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Tables" sheetId="1" r:id="rId5"/>
    <sheet state="visible" name="Current Holdings" sheetId="2" r:id="rId6"/>
    <sheet state="visible" name="Performance Chart" sheetId="3" r:id="rId7"/>
    <sheet state="hidden" name="PRACTICE Equity Price Data" sheetId="4" r:id="rId8"/>
    <sheet state="visible" name="Allocation Chart" sheetId="5" r:id="rId9"/>
    <sheet state="hidden" name="Master Scratch Work" sheetId="6" r:id="rId10"/>
    <sheet state="hidden" name="Equity Volume Data" sheetId="7" r:id="rId11"/>
    <sheet state="hidden" name="Equity Price Data" sheetId="8" r:id="rId12"/>
    <sheet state="hidden" name="Sheet11" sheetId="9" r:id="rId13"/>
    <sheet state="visible" name="Greek Scratch Work" sheetId="10" r:id="rId14"/>
    <sheet state="hidden" name="Dates" sheetId="11" r:id="rId15"/>
  </sheets>
  <definedNames>
    <definedName hidden="1" localSheetId="1" name="_xlnm._FilterDatabase">'Current Holdings'!$B$2:$P$61</definedName>
  </definedNames>
  <calcPr/>
</workbook>
</file>

<file path=xl/sharedStrings.xml><?xml version="1.0" encoding="utf-8"?>
<sst xmlns="http://schemas.openxmlformats.org/spreadsheetml/2006/main" count="455" uniqueCount="124">
  <si>
    <t>GICS Industry</t>
  </si>
  <si>
    <t>% of Portfolio</t>
  </si>
  <si>
    <t>Dollar of Portfolio</t>
  </si>
  <si>
    <t>Portfolio Metrics</t>
  </si>
  <si>
    <t>Cash and Cash Equivalents</t>
  </si>
  <si>
    <t>Beta</t>
  </si>
  <si>
    <t>Utilities</t>
  </si>
  <si>
    <t>Alpha</t>
  </si>
  <si>
    <t>Consumer Discretionary</t>
  </si>
  <si>
    <t>Sharpe Ratio</t>
  </si>
  <si>
    <t>Consumer Staples</t>
  </si>
  <si>
    <t>Health Care</t>
  </si>
  <si>
    <t>Financials</t>
  </si>
  <si>
    <t>Information Technology</t>
  </si>
  <si>
    <t>Industrials</t>
  </si>
  <si>
    <t>Energy</t>
  </si>
  <si>
    <t>Real Estate</t>
  </si>
  <si>
    <t>Communication Services</t>
  </si>
  <si>
    <t>Materials</t>
  </si>
  <si>
    <t>Name</t>
  </si>
  <si>
    <t>Ticker</t>
  </si>
  <si>
    <t>Sector</t>
  </si>
  <si>
    <t>Shares Owned</t>
  </si>
  <si>
    <t>Price on X Date:</t>
  </si>
  <si>
    <t>Current Price</t>
  </si>
  <si>
    <t>Average Purchase Price</t>
  </si>
  <si>
    <t>Current Market Value</t>
  </si>
  <si>
    <t>Day Change</t>
  </si>
  <si>
    <t>Trend 30d</t>
  </si>
  <si>
    <t>Trend 180d</t>
  </si>
  <si>
    <t>$ Return</t>
  </si>
  <si>
    <t>YTD Return</t>
  </si>
  <si>
    <t>% Return Since Purchase</t>
  </si>
  <si>
    <t>ADBE</t>
  </si>
  <si>
    <t>AMZN</t>
  </si>
  <si>
    <t>AWK</t>
  </si>
  <si>
    <t>AAPL</t>
  </si>
  <si>
    <t>AMAT</t>
  </si>
  <si>
    <t>BK</t>
  </si>
  <si>
    <t>BCS</t>
  </si>
  <si>
    <t>BRK.B</t>
  </si>
  <si>
    <t>BHP</t>
  </si>
  <si>
    <t>BSX</t>
  </si>
  <si>
    <t>CCJ</t>
  </si>
  <si>
    <t>CARR</t>
  </si>
  <si>
    <t>--</t>
  </si>
  <si>
    <t>CAT</t>
  </si>
  <si>
    <t>CHKP</t>
  </si>
  <si>
    <t>CVX</t>
  </si>
  <si>
    <t>CI</t>
  </si>
  <si>
    <t>CFG</t>
  </si>
  <si>
    <t>KO</t>
  </si>
  <si>
    <t>ED</t>
  </si>
  <si>
    <t>DLR</t>
  </si>
  <si>
    <t>DPZ</t>
  </si>
  <si>
    <t>EBAY</t>
  </si>
  <si>
    <t>XOM</t>
  </si>
  <si>
    <t>FDX</t>
  </si>
  <si>
    <t>RACE</t>
  </si>
  <si>
    <t>GD</t>
  </si>
  <si>
    <t>GILD</t>
  </si>
  <si>
    <t>GS</t>
  </si>
  <si>
    <t>HD</t>
  </si>
  <si>
    <t>HURN</t>
  </si>
  <si>
    <t>ICE</t>
  </si>
  <si>
    <t>ISRG</t>
  </si>
  <si>
    <t>JPM</t>
  </si>
  <si>
    <t>LMT</t>
  </si>
  <si>
    <t>MFC</t>
  </si>
  <si>
    <t>MDT</t>
  </si>
  <si>
    <t>MET</t>
  </si>
  <si>
    <t>MSFT</t>
  </si>
  <si>
    <t>MP</t>
  </si>
  <si>
    <t>NEE</t>
  </si>
  <si>
    <t>NRG</t>
  </si>
  <si>
    <t>NVDA</t>
  </si>
  <si>
    <t>OTIS</t>
  </si>
  <si>
    <t>PLTR</t>
  </si>
  <si>
    <t>PFE</t>
  </si>
  <si>
    <t>RVMD</t>
  </si>
  <si>
    <t>RTX</t>
  </si>
  <si>
    <t>TMUS</t>
  </si>
  <si>
    <t>TMO</t>
  </si>
  <si>
    <t>TM</t>
  </si>
  <si>
    <t>TMDX</t>
  </si>
  <si>
    <t>UNP</t>
  </si>
  <si>
    <t>UNH</t>
  </si>
  <si>
    <t>VTIP</t>
  </si>
  <si>
    <t>VTRS</t>
  </si>
  <si>
    <t>DIS</t>
  </si>
  <si>
    <t>WM</t>
  </si>
  <si>
    <t>Total Portfolio Value:</t>
  </si>
  <si>
    <t>.INX</t>
  </si>
  <si>
    <t>.IXIC</t>
  </si>
  <si>
    <t>.DJI</t>
  </si>
  <si>
    <t>RUT</t>
  </si>
  <si>
    <t>BIIB</t>
  </si>
  <si>
    <t>DLTR</t>
  </si>
  <si>
    <t>GM</t>
  </si>
  <si>
    <t>LULU</t>
  </si>
  <si>
    <t>ONON</t>
  </si>
  <si>
    <t>PYPL</t>
  </si>
  <si>
    <t>UAA</t>
  </si>
  <si>
    <t>CASH</t>
  </si>
  <si>
    <t>Close</t>
  </si>
  <si>
    <t>Date</t>
  </si>
  <si>
    <t>Investment Club Portfolio</t>
  </si>
  <si>
    <t>Club Portfolio</t>
  </si>
  <si>
    <t>SPY</t>
  </si>
  <si>
    <t>QQQ</t>
  </si>
  <si>
    <t>Club Portolio</t>
  </si>
  <si>
    <t>S&amp;P 500</t>
  </si>
  <si>
    <t>NASDAQ</t>
  </si>
  <si>
    <t>Dow Jones Industrial Average</t>
  </si>
  <si>
    <t>Russell 2000</t>
  </si>
  <si>
    <t>Month</t>
  </si>
  <si>
    <t>Club Portfolio Excess Return</t>
  </si>
  <si>
    <t>Portfolio Monthly Return</t>
  </si>
  <si>
    <t>S&amp;P Monthly Return</t>
  </si>
  <si>
    <t>NASDAQ Monthly Return</t>
  </si>
  <si>
    <t>DJIA Monthly Return</t>
  </si>
  <si>
    <t>Russell 2000 Monthly Return</t>
  </si>
  <si>
    <t>Risk Free Rate</t>
  </si>
  <si>
    <t>Daily Risk Free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</si>
</sst>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0.0000"/>
    <numFmt numFmtId="166" formatCode="m/d/yy"/>
    <numFmt numFmtId="167" formatCode="&quot;$&quot;#,##0"/>
    <numFmt numFmtId="168" formatCode="0.0000%"/>
    <numFmt numFmtId="169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0" xfId="0" applyFont="1" applyNumberFormat="1"/>
    <xf borderId="2" fillId="0" fontId="1" numFmtId="0" xfId="0" applyAlignment="1" applyBorder="1" applyFont="1">
      <alignment horizontal="center" readingOrder="0"/>
    </xf>
    <xf borderId="2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center" readingOrder="0" vertical="bottom"/>
    </xf>
    <xf borderId="0" fillId="0" fontId="1" numFmtId="166" xfId="0" applyAlignment="1" applyFont="1" applyNumberFormat="1">
      <alignment horizontal="center"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3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0" fillId="0" fontId="3" numFmtId="168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5" numFmtId="166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4" xfId="0" applyFont="1" applyNumberFormat="1"/>
    <xf borderId="0" fillId="0" fontId="1" numFmtId="169" xfId="0" applyAlignment="1" applyFont="1" applyNumberFormat="1">
      <alignment readingOrder="0"/>
    </xf>
    <xf borderId="0" fillId="0" fontId="1" numFmtId="9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1" numFmtId="168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5.xml"/><Relationship Id="rId10" Type="http://schemas.openxmlformats.org/officeDocument/2006/relationships/worksheet" Target="worksheets/sheet4.xml"/><Relationship Id="rId13" Type="http://schemas.openxmlformats.org/officeDocument/2006/relationships/worksheet" Target="worksheets/sheet7.xml"/><Relationship Id="rId12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chartsheet" Target="chartsheets/sheet2.xml"/><Relationship Id="rId15" Type="http://schemas.openxmlformats.org/officeDocument/2006/relationships/worksheet" Target="worksheets/sheet9.xml"/><Relationship Id="rId14" Type="http://schemas.openxmlformats.org/officeDocument/2006/relationships/worksheet" Target="worksheets/sheet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chartsheet" Target="chartsheets/sheet1.xml"/><Relationship Id="rId8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65001C"/>
                </a:solidFill>
                <a:latin typeface="+mn-lt"/>
              </a:defRPr>
            </a:pPr>
            <a:r>
              <a:rPr b="1" sz="2000">
                <a:solidFill>
                  <a:srgbClr val="65001C"/>
                </a:solidFill>
                <a:latin typeface="+mn-lt"/>
              </a:rPr>
              <a:t>Portfolio Performance Compared to Major Market Indexes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Sheet11!$B$1</c:f>
            </c:strRef>
          </c:tx>
          <c:spPr>
            <a:ln cmpd="sng" w="19050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Sheet11!$A$2:$A$443</c:f>
            </c:strRef>
          </c:cat>
          <c:val>
            <c:numRef>
              <c:f>Sheet11!$B$2:$B$443</c:f>
              <c:numCache/>
            </c:numRef>
          </c:val>
          <c:smooth val="0"/>
        </c:ser>
        <c:ser>
          <c:idx val="1"/>
          <c:order val="1"/>
          <c:tx>
            <c:strRef>
              <c:f>Sheet11!$C$1</c:f>
            </c:strRef>
          </c:tx>
          <c:spPr>
            <a:ln cmpd="sng" w="19050">
              <a:solidFill>
                <a:srgbClr val="EA4335"/>
              </a:solidFill>
              <a:prstDash val="sysDot"/>
            </a:ln>
          </c:spPr>
          <c:marker>
            <c:symbol val="none"/>
          </c:marker>
          <c:cat>
            <c:strRef>
              <c:f>Sheet11!$A$2:$A$443</c:f>
            </c:strRef>
          </c:cat>
          <c:val>
            <c:numRef>
              <c:f>Sheet11!$C$2:$C$443</c:f>
              <c:numCache/>
            </c:numRef>
          </c:val>
          <c:smooth val="0"/>
        </c:ser>
        <c:ser>
          <c:idx val="2"/>
          <c:order val="2"/>
          <c:tx>
            <c:strRef>
              <c:f>Sheet11!$D$1</c:f>
            </c:strRef>
          </c:tx>
          <c:spPr>
            <a:ln cmpd="sng" w="19050">
              <a:solidFill>
                <a:srgbClr val="FBBC04"/>
              </a:solidFill>
              <a:prstDash val="sysDot"/>
            </a:ln>
          </c:spPr>
          <c:marker>
            <c:symbol val="none"/>
          </c:marker>
          <c:dPt>
            <c:idx val="339"/>
            <c:marker>
              <c:symbol val="none"/>
            </c:marker>
          </c:dPt>
          <c:dPt>
            <c:idx val="365"/>
            <c:marker>
              <c:symbol val="none"/>
            </c:marker>
          </c:dPt>
          <c:cat>
            <c:strRef>
              <c:f>Sheet11!$A$2:$A$443</c:f>
            </c:strRef>
          </c:cat>
          <c:val>
            <c:numRef>
              <c:f>Sheet11!$D$2:$D$443</c:f>
              <c:numCache/>
            </c:numRef>
          </c:val>
          <c:smooth val="0"/>
        </c:ser>
        <c:ser>
          <c:idx val="3"/>
          <c:order val="3"/>
          <c:tx>
            <c:strRef>
              <c:f>Sheet11!$E$1</c:f>
            </c:strRef>
          </c:tx>
          <c:spPr>
            <a:ln cmpd="sng" w="19050">
              <a:solidFill>
                <a:srgbClr val="34A853"/>
              </a:solidFill>
              <a:prstDash val="sysDot"/>
            </a:ln>
          </c:spPr>
          <c:marker>
            <c:symbol val="none"/>
          </c:marker>
          <c:cat>
            <c:strRef>
              <c:f>Sheet11!$A$2:$A$443</c:f>
            </c:strRef>
          </c:cat>
          <c:val>
            <c:numRef>
              <c:f>Sheet11!$E$2:$E$443</c:f>
              <c:numCache/>
            </c:numRef>
          </c:val>
          <c:smooth val="0"/>
        </c:ser>
        <c:ser>
          <c:idx val="4"/>
          <c:order val="4"/>
          <c:tx>
            <c:strRef>
              <c:f>Sheet11!$F$1</c:f>
            </c:strRef>
          </c:tx>
          <c:spPr>
            <a:ln cmpd="sng" w="19050">
              <a:solidFill>
                <a:srgbClr val="FF6D01"/>
              </a:solidFill>
              <a:prstDash val="sysDot"/>
            </a:ln>
          </c:spPr>
          <c:marker>
            <c:symbol val="none"/>
          </c:marker>
          <c:cat>
            <c:strRef>
              <c:f>Sheet11!$A$2:$A$443</c:f>
            </c:strRef>
          </c:cat>
          <c:val>
            <c:numRef>
              <c:f>Sheet11!$F$2:$F$443</c:f>
              <c:numCache/>
            </c:numRef>
          </c:val>
          <c:smooth val="0"/>
        </c:ser>
        <c:axId val="1848929457"/>
        <c:axId val="489810370"/>
      </c:lineChart>
      <c:catAx>
        <c:axId val="1848929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434343"/>
                    </a:solidFill>
                    <a:latin typeface="+mn-lt"/>
                  </a:defRPr>
                </a:pPr>
                <a:r>
                  <a:rPr b="0" sz="1800">
                    <a:solidFill>
                      <a:srgbClr val="434343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489810370"/>
      </c:catAx>
      <c:valAx>
        <c:axId val="489810370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434343"/>
                    </a:solidFill>
                    <a:latin typeface="+mn-lt"/>
                  </a:defRPr>
                </a:pPr>
                <a:r>
                  <a:rPr b="0" sz="1800">
                    <a:solidFill>
                      <a:srgbClr val="434343"/>
                    </a:solidFill>
                    <a:latin typeface="+mn-lt"/>
                  </a:rPr>
                  <a:t>Return Since 5/13/24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848929457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65001C"/>
                </a:solidFill>
                <a:latin typeface="+mn-lt"/>
              </a:defRPr>
            </a:pPr>
            <a:r>
              <a:rPr b="1" sz="2400">
                <a:solidFill>
                  <a:srgbClr val="65001C"/>
                </a:solidFill>
                <a:latin typeface="+mn-lt"/>
              </a:rPr>
              <a:t>Sector Allocation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'Summary Tables'!$B$3:$B$14</c:f>
            </c:strRef>
          </c:cat>
          <c:val>
            <c:numRef>
              <c:f>'Summary Tables'!$C$3:$C$14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434343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4" max="4" width="13.75"/>
    <col hidden="1" min="5" max="5" width="12.63"/>
  </cols>
  <sheetData>
    <row r="1">
      <c r="B1" s="1"/>
      <c r="C1" s="1"/>
      <c r="D1" s="1"/>
    </row>
    <row r="2">
      <c r="B2" s="2" t="s">
        <v>0</v>
      </c>
      <c r="C2" s="2" t="s">
        <v>1</v>
      </c>
      <c r="D2" s="2" t="s">
        <v>2</v>
      </c>
      <c r="G2" s="3" t="s">
        <v>3</v>
      </c>
    </row>
    <row r="3">
      <c r="B3" s="3" t="s">
        <v>4</v>
      </c>
      <c r="C3" s="4">
        <f t="shared" ref="C3:C14" si="1">E3</f>
        <v>0.09485457578</v>
      </c>
      <c r="D3" s="5">
        <f>SUMIF('Current Holdings'!D$4:D$61,B3,'Current Holdings'!I$4:I$61)</f>
        <v>155033.52</v>
      </c>
      <c r="E3" s="6">
        <f t="shared" ref="E3:E14" si="2">D3/$D$15</f>
        <v>0.09485457578</v>
      </c>
      <c r="G3" s="7" t="s">
        <v>5</v>
      </c>
      <c r="H3" s="8">
        <f>SLOPE('Greek Scratch Work'!K2:K23,'Greek Scratch Work'!L2:L23)</f>
        <v>0.8607128183</v>
      </c>
    </row>
    <row r="4">
      <c r="B4" s="3" t="s">
        <v>6</v>
      </c>
      <c r="C4" s="4">
        <f t="shared" si="1"/>
        <v>0.05527415841</v>
      </c>
      <c r="D4" s="5">
        <f>SUMIF('Current Holdings'!D$4:D$61,B4,'Current Holdings'!I$4:I$61)</f>
        <v>90341.95</v>
      </c>
      <c r="E4" s="6">
        <f t="shared" si="2"/>
        <v>0.05527415841</v>
      </c>
      <c r="G4" s="3" t="s">
        <v>7</v>
      </c>
      <c r="H4" s="9">
        <f>INTERCEPT('Greek Scratch Work'!K2:K23,'Greek Scratch Work'!L2:L23)</f>
        <v>0.002582991603</v>
      </c>
    </row>
    <row r="5">
      <c r="B5" s="10" t="s">
        <v>8</v>
      </c>
      <c r="C5" s="4">
        <f t="shared" si="1"/>
        <v>0.08281498103</v>
      </c>
      <c r="D5" s="5">
        <f>SUMIF('Current Holdings'!D$4:D$61,B5,'Current Holdings'!I$4:I$61)</f>
        <v>135355.6</v>
      </c>
      <c r="E5" s="6">
        <f t="shared" si="2"/>
        <v>0.08281498103</v>
      </c>
      <c r="G5" s="11" t="s">
        <v>9</v>
      </c>
      <c r="H5" s="12">
        <f>((AVERAGE('Greek Scratch Work'!C:C)-'Greek Scratch Work'!L26)/(_xlfn.STDEV.P('Greek Scratch Work'!C:C))*SQRT(252))</f>
        <v>0.9416900525</v>
      </c>
    </row>
    <row r="6">
      <c r="B6" s="10" t="s">
        <v>10</v>
      </c>
      <c r="C6" s="4">
        <f t="shared" si="1"/>
        <v>0.0130382036</v>
      </c>
      <c r="D6" s="5">
        <f>SUMIF('Current Holdings'!D$4:D$61,B6,'Current Holdings'!I$4:I$61)</f>
        <v>21310.08</v>
      </c>
      <c r="E6" s="6">
        <f t="shared" si="2"/>
        <v>0.0130382036</v>
      </c>
    </row>
    <row r="7">
      <c r="B7" s="10" t="s">
        <v>11</v>
      </c>
      <c r="C7" s="4">
        <f t="shared" si="1"/>
        <v>0.1372809146</v>
      </c>
      <c r="D7" s="5">
        <f>SUMIF('Current Holdings'!D$4:D$61,B7,'Current Holdings'!I$4:I$61)</f>
        <v>224376.56</v>
      </c>
      <c r="E7" s="6">
        <f t="shared" si="2"/>
        <v>0.1372809146</v>
      </c>
    </row>
    <row r="8">
      <c r="B8" s="3" t="s">
        <v>12</v>
      </c>
      <c r="C8" s="4">
        <f t="shared" si="1"/>
        <v>0.1725670312</v>
      </c>
      <c r="D8" s="5">
        <f>SUMIF('Current Holdings'!D$4:D$61,B8,'Current Holdings'!I$4:I$61)</f>
        <v>282049.38</v>
      </c>
      <c r="E8" s="6">
        <f t="shared" si="2"/>
        <v>0.1725670312</v>
      </c>
    </row>
    <row r="9">
      <c r="B9" s="10" t="s">
        <v>13</v>
      </c>
      <c r="C9" s="4">
        <f t="shared" si="1"/>
        <v>0.1380904793</v>
      </c>
      <c r="D9" s="5">
        <f>SUMIF('Current Holdings'!D$4:D$61,B9,'Current Holdings'!I$4:I$61)</f>
        <v>225699.74</v>
      </c>
      <c r="E9" s="6">
        <f t="shared" si="2"/>
        <v>0.1380904793</v>
      </c>
    </row>
    <row r="10">
      <c r="B10" s="3" t="s">
        <v>14</v>
      </c>
      <c r="C10" s="4">
        <f t="shared" si="1"/>
        <v>0.1842199722</v>
      </c>
      <c r="D10" s="5">
        <f>SUMIF('Current Holdings'!D$4:D$61,B10,'Current Holdings'!I$4:I$61)</f>
        <v>301095.34</v>
      </c>
      <c r="E10" s="6">
        <f t="shared" si="2"/>
        <v>0.1842199722</v>
      </c>
    </row>
    <row r="11">
      <c r="B11" s="3" t="s">
        <v>15</v>
      </c>
      <c r="C11" s="4">
        <f t="shared" si="1"/>
        <v>0.02459653076</v>
      </c>
      <c r="D11" s="5">
        <f>SUMIF('Current Holdings'!D$4:D$61,B11,'Current Holdings'!I$4:I$61)</f>
        <v>40201.4</v>
      </c>
      <c r="E11" s="6">
        <f t="shared" si="2"/>
        <v>0.02459653076</v>
      </c>
    </row>
    <row r="12">
      <c r="B12" s="10" t="s">
        <v>16</v>
      </c>
      <c r="C12" s="4">
        <f t="shared" si="1"/>
        <v>0.007524661064</v>
      </c>
      <c r="D12" s="5">
        <f>SUMIF('Current Holdings'!D$4:D$61,B12,'Current Holdings'!I$4:I$61)</f>
        <v>12298.56</v>
      </c>
      <c r="E12" s="6">
        <f t="shared" si="2"/>
        <v>0.007524661064</v>
      </c>
    </row>
    <row r="13">
      <c r="B13" s="3" t="s">
        <v>17</v>
      </c>
      <c r="C13" s="4">
        <f t="shared" si="1"/>
        <v>0.04112686733</v>
      </c>
      <c r="D13" s="5">
        <f>SUMIF('Current Holdings'!D$4:D$61,B13,'Current Holdings'!I$4:I$61)</f>
        <v>67219.14</v>
      </c>
      <c r="E13" s="6">
        <f t="shared" si="2"/>
        <v>0.04112686733</v>
      </c>
    </row>
    <row r="14">
      <c r="B14" s="2" t="s">
        <v>18</v>
      </c>
      <c r="C14" s="13">
        <f t="shared" si="1"/>
        <v>0.04861162467</v>
      </c>
      <c r="D14" s="14">
        <f>SUMIF('Current Holdings'!D$4:D$61,B14,'Current Holdings'!I$4:I$61)</f>
        <v>79452.48</v>
      </c>
      <c r="E14" s="6">
        <f t="shared" si="2"/>
        <v>0.04861162467</v>
      </c>
    </row>
    <row r="15">
      <c r="B15" s="15"/>
      <c r="C15" s="5"/>
      <c r="D15" s="16">
        <f>sum(D3:D14)</f>
        <v>1634433.75</v>
      </c>
      <c r="E15" s="17"/>
    </row>
    <row r="16">
      <c r="B16" s="1"/>
      <c r="C16" s="1"/>
      <c r="D16" s="1"/>
    </row>
    <row r="17">
      <c r="B17" s="1"/>
      <c r="C17" s="1"/>
      <c r="D17" s="1"/>
    </row>
    <row r="18">
      <c r="B18" s="1"/>
      <c r="C18" s="1"/>
      <c r="D18" s="1"/>
    </row>
    <row r="19">
      <c r="B19" s="1"/>
      <c r="C19" s="1"/>
      <c r="D19" s="1"/>
    </row>
    <row r="20">
      <c r="B20" s="1"/>
      <c r="C20" s="1"/>
      <c r="D20" s="1"/>
    </row>
    <row r="21">
      <c r="B21" s="1"/>
      <c r="C21" s="1"/>
      <c r="D21" s="1"/>
    </row>
    <row r="22">
      <c r="B22" s="1"/>
      <c r="C22" s="1"/>
      <c r="D22" s="1"/>
    </row>
    <row r="23">
      <c r="B23" s="1"/>
      <c r="C23" s="1"/>
      <c r="D23" s="1"/>
    </row>
    <row r="24">
      <c r="B24" s="1"/>
      <c r="C24" s="1"/>
      <c r="D24" s="1"/>
    </row>
    <row r="25">
      <c r="B25" s="1"/>
      <c r="C25" s="1"/>
      <c r="D25" s="1"/>
    </row>
    <row r="26">
      <c r="B26" s="1"/>
      <c r="C26" s="1"/>
      <c r="D26" s="1"/>
    </row>
    <row r="27">
      <c r="B27" s="1"/>
      <c r="C27" s="1"/>
      <c r="D27" s="1"/>
    </row>
    <row r="28">
      <c r="B28" s="1"/>
      <c r="C28" s="1"/>
      <c r="D28" s="1"/>
    </row>
    <row r="29">
      <c r="B29" s="1"/>
      <c r="C29" s="1"/>
      <c r="D29" s="1"/>
    </row>
    <row r="30">
      <c r="B30" s="1"/>
      <c r="C30" s="1"/>
      <c r="D30" s="1"/>
    </row>
    <row r="31">
      <c r="B31" s="1"/>
      <c r="C31" s="1"/>
      <c r="D31" s="1"/>
    </row>
    <row r="32">
      <c r="B32" s="1"/>
      <c r="C32" s="1"/>
      <c r="D32" s="1"/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  <row r="1001">
      <c r="B1001" s="1"/>
      <c r="C1001" s="1"/>
      <c r="D1001" s="1"/>
    </row>
    <row r="1002">
      <c r="B1002" s="1"/>
      <c r="C1002" s="1"/>
      <c r="D1002" s="1"/>
    </row>
    <row r="1003">
      <c r="B1003" s="1"/>
      <c r="C1003" s="1"/>
      <c r="D1003" s="1"/>
    </row>
  </sheetData>
  <mergeCells count="1">
    <mergeCell ref="G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2" max="2" width="39.0"/>
    <col customWidth="1" min="3" max="3" width="8.38"/>
    <col customWidth="1" min="4" max="4" width="21.63"/>
    <col customWidth="1" min="5" max="5" width="15.13"/>
    <col customWidth="1" hidden="1" min="6" max="6" width="16.25"/>
    <col customWidth="1" min="7" max="7" width="14.0"/>
    <col customWidth="1" min="8" max="8" width="22.5"/>
    <col customWidth="1" min="9" max="9" width="20.13"/>
    <col customWidth="1" min="10" max="10" width="14.38"/>
    <col customWidth="1" min="11" max="11" width="13.13"/>
    <col customWidth="1" min="12" max="12" width="11.38"/>
    <col customWidth="1" min="13" max="13" width="12.25"/>
    <col customWidth="1" min="14" max="14" width="10.25"/>
    <col customWidth="1" min="15" max="15" width="21.38"/>
    <col customWidth="1" min="16" max="16" width="23.75"/>
  </cols>
  <sheetData>
    <row r="1">
      <c r="A1" s="18"/>
    </row>
    <row r="2">
      <c r="F2" s="19">
        <v>45658.0</v>
      </c>
    </row>
    <row r="3">
      <c r="B3" s="15" t="s">
        <v>19</v>
      </c>
      <c r="C3" s="15" t="s">
        <v>20</v>
      </c>
      <c r="D3" s="15" t="s">
        <v>21</v>
      </c>
      <c r="E3" s="15" t="s">
        <v>22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1</v>
      </c>
      <c r="K3" s="15" t="s">
        <v>27</v>
      </c>
      <c r="L3" s="15" t="s">
        <v>28</v>
      </c>
      <c r="M3" s="15" t="s">
        <v>29</v>
      </c>
      <c r="N3" s="15" t="s">
        <v>30</v>
      </c>
      <c r="O3" s="15" t="s">
        <v>31</v>
      </c>
      <c r="P3" s="15" t="s">
        <v>32</v>
      </c>
    </row>
    <row r="4">
      <c r="B4" s="1" t="str">
        <f>IFERROR(__xludf.DUMMYFUNCTION("GOOGLEFINANCE(C4,B$3)"),"Adobe Inc")</f>
        <v>Adobe Inc</v>
      </c>
      <c r="C4" s="3" t="s">
        <v>33</v>
      </c>
      <c r="D4" s="10" t="s">
        <v>13</v>
      </c>
      <c r="E4" s="3">
        <v>13.0</v>
      </c>
      <c r="F4" s="1">
        <f>IFERROR(__xludf.DUMMYFUNCTION("INDEX(GOOGLEFINANCE(C4,""close"",F$2),2,2)"),441.0)</f>
        <v>441</v>
      </c>
      <c r="G4" s="1">
        <f>IFERROR(__xludf.DUMMYFUNCTION("GOOGLEFINANCE(C4)"),255.17)</f>
        <v>255.17</v>
      </c>
      <c r="H4" s="20">
        <v>667.06</v>
      </c>
      <c r="I4" s="5">
        <f t="shared" ref="I4:I15" si="1">E4*G4</f>
        <v>3317.21</v>
      </c>
      <c r="J4" s="4">
        <f t="shared" ref="J4:J61" si="2">I4/$I$63</f>
        <v>0.002029577522</v>
      </c>
      <c r="K4" s="4">
        <f>IFERROR(__xludf.DUMMYFUNCTION("GOOGLEFINANCE(C4,""changepct"")/100"),0.0344)</f>
        <v>0.0344</v>
      </c>
      <c r="L4" s="5" t="str">
        <f>IFERROR(__xludf.DUMMYFUNCTION("SPARKLINE(GoogleFinance(C4, ""price"", TODAY()-30,TODAY()))"),"")</f>
        <v/>
      </c>
      <c r="M4" s="5" t="str">
        <f>IFERROR(__xludf.DUMMYFUNCTION("SPARKLINE(GoogleFinance(C4, ""price"", TODAY()-180,TODAY()))"),"")</f>
        <v/>
      </c>
      <c r="N4" s="5">
        <f t="shared" ref="N4:N15" si="3">(I4)-(H4*E4)</f>
        <v>-5354.57</v>
      </c>
      <c r="O4" s="4">
        <f t="shared" ref="O4:O15" si="4">(G4-F4)/F4</f>
        <v>-0.42138322</v>
      </c>
      <c r="P4" s="4">
        <f t="shared" ref="P4:P15" si="5">((G4*E4)-(H4*E4))/(H4*E4)</f>
        <v>-0.6174706923</v>
      </c>
    </row>
    <row r="5">
      <c r="B5" s="1" t="str">
        <f>IFERROR(__xludf.DUMMYFUNCTION("GOOGLEFINANCE(C5,B$3)"),"Amazon.com Inc")</f>
        <v>Amazon.com Inc</v>
      </c>
      <c r="C5" s="3" t="s">
        <v>34</v>
      </c>
      <c r="D5" s="10" t="s">
        <v>8</v>
      </c>
      <c r="E5" s="3">
        <v>260.0</v>
      </c>
      <c r="F5" s="1">
        <f>IFERROR(__xludf.DUMMYFUNCTION("INDEX(GOOGLEFINANCE(C5,""close"",F$2),2,2)"),220.22)</f>
        <v>220.22</v>
      </c>
      <c r="G5" s="1">
        <f>IFERROR(__xludf.DUMMYFUNCTION("GOOGLEFINANCE(C5)"),208.56)</f>
        <v>208.56</v>
      </c>
      <c r="H5" s="5">
        <f>(45533.8-35520.26)/E5</f>
        <v>38.51361538</v>
      </c>
      <c r="I5" s="5">
        <f t="shared" si="1"/>
        <v>54225.6</v>
      </c>
      <c r="J5" s="4">
        <f t="shared" si="2"/>
        <v>0.03317699478</v>
      </c>
      <c r="K5" s="4">
        <f>IFERROR(__xludf.DUMMYFUNCTION("GOOGLEFINANCE(C5,""changepct"")/100"),0.016)</f>
        <v>0.016</v>
      </c>
      <c r="L5" s="5" t="str">
        <f>IFERROR(__xludf.DUMMYFUNCTION("SPARKLINE(GoogleFinance(C5, ""price"", TODAY()-30,TODAY()))"),"")</f>
        <v/>
      </c>
      <c r="M5" s="5" t="str">
        <f>IFERROR(__xludf.DUMMYFUNCTION("SPARKLINE(GoogleFinance(C5, ""price"", TODAY()-180,TODAY()))"),"")</f>
        <v/>
      </c>
      <c r="N5" s="5">
        <f t="shared" si="3"/>
        <v>44212.06</v>
      </c>
      <c r="O5" s="4">
        <f t="shared" si="4"/>
        <v>-0.05294705295</v>
      </c>
      <c r="P5" s="4">
        <f t="shared" si="5"/>
        <v>4.415227782</v>
      </c>
    </row>
    <row r="6">
      <c r="B6" s="1" t="str">
        <f>IFERROR(__xludf.DUMMYFUNCTION("GOOGLEFINANCE(C6,B$3)"),"American Water Works Co Inc")</f>
        <v>American Water Works Co Inc</v>
      </c>
      <c r="C6" s="3" t="s">
        <v>35</v>
      </c>
      <c r="D6" s="10" t="s">
        <v>6</v>
      </c>
      <c r="E6" s="3">
        <v>110.0</v>
      </c>
      <c r="F6" s="1">
        <f>IFERROR(__xludf.DUMMYFUNCTION("INDEX(GOOGLEFINANCE(C6,""close"",F$2),2,2)"),123.86)</f>
        <v>123.86</v>
      </c>
      <c r="G6" s="1">
        <f>IFERROR(__xludf.DUMMYFUNCTION("GOOGLEFINANCE(C6)"),134.08)</f>
        <v>134.08</v>
      </c>
      <c r="H6" s="5">
        <f>(15543-10503.83)/E6</f>
        <v>45.81063636</v>
      </c>
      <c r="I6" s="5">
        <f t="shared" si="1"/>
        <v>14748.8</v>
      </c>
      <c r="J6" s="4">
        <f t="shared" si="2"/>
        <v>0.009023797997</v>
      </c>
      <c r="K6" s="4">
        <f>IFERROR(__xludf.DUMMYFUNCTION("GOOGLEFINANCE(C6,""changepct"")/100"),0.009000000000000001)</f>
        <v>0.009</v>
      </c>
      <c r="L6" s="5" t="str">
        <f>IFERROR(__xludf.DUMMYFUNCTION("SPARKLINE(GoogleFinance(C6, ""price"", TODAY()-30,TODAY()))"),"")</f>
        <v/>
      </c>
      <c r="M6" s="5" t="str">
        <f>IFERROR(__xludf.DUMMYFUNCTION("SPARKLINE(GoogleFinance(C6, ""price"", TODAY()-180,TODAY()))"),"")</f>
        <v/>
      </c>
      <c r="N6" s="5">
        <f t="shared" si="3"/>
        <v>9709.63</v>
      </c>
      <c r="O6" s="4">
        <f t="shared" si="4"/>
        <v>0.08251251413</v>
      </c>
      <c r="P6" s="4">
        <f t="shared" si="5"/>
        <v>1.926831204</v>
      </c>
    </row>
    <row r="7">
      <c r="B7" s="1" t="str">
        <f>IFERROR(__xludf.DUMMYFUNCTION("GOOGLEFINANCE(C7,B$3)"),"Apple Inc")</f>
        <v>Apple Inc</v>
      </c>
      <c r="C7" s="3" t="s">
        <v>36</v>
      </c>
      <c r="D7" s="21" t="s">
        <v>13</v>
      </c>
      <c r="E7" s="3">
        <v>256.0</v>
      </c>
      <c r="F7" s="1">
        <f>IFERROR(__xludf.DUMMYFUNCTION("INDEX(GOOGLEFINANCE(C7,""close"",F$2),2,2)"),243.85)</f>
        <v>243.85</v>
      </c>
      <c r="G7" s="1">
        <f>IFERROR(__xludf.DUMMYFUNCTION("GOOGLEFINANCE(C7)"),272.14)</f>
        <v>272.14</v>
      </c>
      <c r="H7" s="5">
        <f>(58388.48-52163.94)/E7</f>
        <v>24.31460938</v>
      </c>
      <c r="I7" s="5">
        <f t="shared" si="1"/>
        <v>69667.84</v>
      </c>
      <c r="J7" s="4">
        <f t="shared" si="2"/>
        <v>0.04262506204</v>
      </c>
      <c r="K7" s="4">
        <f>IFERROR(__xludf.DUMMYFUNCTION("GOOGLEFINANCE(C7,""changepct"")/100"),0.022400000000000003)</f>
        <v>0.0224</v>
      </c>
      <c r="L7" s="5" t="str">
        <f>IFERROR(__xludf.DUMMYFUNCTION("SPARKLINE(GoogleFinance(C7, ""price"", TODAY()-30,TODAY()))"),"")</f>
        <v/>
      </c>
      <c r="M7" s="5" t="str">
        <f>IFERROR(__xludf.DUMMYFUNCTION("SPARKLINE(GoogleFinance(C7, ""price"", TODAY()-180,TODAY()))"),"")</f>
        <v/>
      </c>
      <c r="N7" s="5">
        <f t="shared" si="3"/>
        <v>63443.3</v>
      </c>
      <c r="O7" s="4">
        <f t="shared" si="4"/>
        <v>0.116013943</v>
      </c>
      <c r="P7" s="4">
        <f t="shared" si="5"/>
        <v>10.19244796</v>
      </c>
    </row>
    <row r="8">
      <c r="B8" s="1" t="str">
        <f>IFERROR(__xludf.DUMMYFUNCTION("GOOGLEFINANCE(C8,B$3)"),"Applied Materials Inc")</f>
        <v>Applied Materials Inc</v>
      </c>
      <c r="C8" s="1" t="s">
        <v>37</v>
      </c>
      <c r="D8" s="10" t="s">
        <v>13</v>
      </c>
      <c r="E8" s="3">
        <v>83.0</v>
      </c>
      <c r="F8" s="1">
        <f>IFERROR(__xludf.DUMMYFUNCTION("INDEX(GOOGLEFINANCE(C8,""close"",F$2),2,2)"),163.87)</f>
        <v>163.87</v>
      </c>
      <c r="G8" s="1">
        <f>IFERROR(__xludf.DUMMYFUNCTION("GOOGLEFINANCE(C8)"),377.93)</f>
        <v>377.93</v>
      </c>
      <c r="H8" s="5">
        <f>(16094.12-6122.77)/E8</f>
        <v>120.136747</v>
      </c>
      <c r="I8" s="5">
        <f t="shared" si="1"/>
        <v>31368.19</v>
      </c>
      <c r="J8" s="4">
        <f t="shared" si="2"/>
        <v>0.01919208411</v>
      </c>
      <c r="K8" s="4">
        <f>IFERROR(__xludf.DUMMYFUNCTION("GOOGLEFINANCE(C8,""changepct"")/100"),0.011699999999999999)</f>
        <v>0.0117</v>
      </c>
      <c r="L8" s="5" t="str">
        <f>IFERROR(__xludf.DUMMYFUNCTION("SPARKLINE(GoogleFinance(C8, ""price"", TODAY()-30,TODAY()))"),"")</f>
        <v/>
      </c>
      <c r="M8" s="5" t="str">
        <f>IFERROR(__xludf.DUMMYFUNCTION("SPARKLINE(GoogleFinance(C8, ""price"", TODAY()-180,TODAY()))"),"")</f>
        <v/>
      </c>
      <c r="N8" s="5">
        <f t="shared" si="3"/>
        <v>21396.84</v>
      </c>
      <c r="O8" s="4">
        <f t="shared" si="4"/>
        <v>1.306279368</v>
      </c>
      <c r="P8" s="4">
        <f t="shared" si="5"/>
        <v>2.145831808</v>
      </c>
    </row>
    <row r="9">
      <c r="B9" s="1" t="str">
        <f>IFERROR(__xludf.DUMMYFUNCTION("GOOGLEFINANCE(C9,B$3)"),"Bank of New York Mellon Corp")</f>
        <v>Bank of New York Mellon Corp</v>
      </c>
      <c r="C9" s="1" t="s">
        <v>38</v>
      </c>
      <c r="D9" s="10" t="s">
        <v>12</v>
      </c>
      <c r="E9" s="3">
        <v>188.0</v>
      </c>
      <c r="F9" s="1">
        <f>IFERROR(__xludf.DUMMYFUNCTION("INDEX(GOOGLEFINANCE(C9,""close"",F$2),2,2)"),77.41)</f>
        <v>77.41</v>
      </c>
      <c r="G9" s="1">
        <f>IFERROR(__xludf.DUMMYFUNCTION("GOOGLEFINANCE(C9)"),116.55)</f>
        <v>116.55</v>
      </c>
      <c r="H9" s="20">
        <v>55.46</v>
      </c>
      <c r="I9" s="5">
        <f t="shared" si="1"/>
        <v>21911.4</v>
      </c>
      <c r="J9" s="4">
        <f t="shared" si="2"/>
        <v>0.01340611083</v>
      </c>
      <c r="K9" s="4">
        <f>IFERROR(__xludf.DUMMYFUNCTION("GOOGLEFINANCE(C9,""changepct"")/100"),0.0087)</f>
        <v>0.0087</v>
      </c>
      <c r="L9" s="5" t="str">
        <f>IFERROR(__xludf.DUMMYFUNCTION("SPARKLINE(GoogleFinance(C9, ""price"", TODAY()-30,TODAY()))"),"")</f>
        <v/>
      </c>
      <c r="M9" s="5" t="str">
        <f>IFERROR(__xludf.DUMMYFUNCTION("SPARKLINE(GoogleFinance(C9, ""price"", TODAY()-180,TODAY()))"),"")</f>
        <v/>
      </c>
      <c r="N9" s="5">
        <f t="shared" si="3"/>
        <v>11484.92</v>
      </c>
      <c r="O9" s="4">
        <f t="shared" si="4"/>
        <v>0.505619429</v>
      </c>
      <c r="P9" s="4">
        <f t="shared" si="5"/>
        <v>1.101514605</v>
      </c>
    </row>
    <row r="10">
      <c r="B10" s="1" t="str">
        <f>IFERROR(__xludf.DUMMYFUNCTION("GOOGLEFINANCE(C10,B$3)"),"Barclays PLC")</f>
        <v>Barclays PLC</v>
      </c>
      <c r="C10" s="1" t="s">
        <v>39</v>
      </c>
      <c r="D10" s="10" t="s">
        <v>12</v>
      </c>
      <c r="E10" s="22">
        <v>1000.0</v>
      </c>
      <c r="F10" s="1">
        <f>IFERROR(__xludf.DUMMYFUNCTION("INDEX(GOOGLEFINANCE(C10,""close"",F$2),2,2)"),13.13)</f>
        <v>13.13</v>
      </c>
      <c r="G10" s="1">
        <f>IFERROR(__xludf.DUMMYFUNCTION("GOOGLEFINANCE(C10)"),25.14)</f>
        <v>25.14</v>
      </c>
      <c r="H10" s="5">
        <f>(12064-1185.05)/E10</f>
        <v>10.87895</v>
      </c>
      <c r="I10" s="5">
        <f t="shared" si="1"/>
        <v>25140</v>
      </c>
      <c r="J10" s="4">
        <f t="shared" si="2"/>
        <v>0.01538147386</v>
      </c>
      <c r="K10" s="4">
        <f>IFERROR(__xludf.DUMMYFUNCTION("GOOGLEFINANCE(C10,""changepct"")/100"),0.0012)</f>
        <v>0.0012</v>
      </c>
      <c r="L10" s="5" t="str">
        <f>IFERROR(__xludf.DUMMYFUNCTION("SPARKLINE(GoogleFinance(C10, ""price"", TODAY()-30,TODAY()))"),"")</f>
        <v/>
      </c>
      <c r="M10" s="5" t="str">
        <f>IFERROR(__xludf.DUMMYFUNCTION("SPARKLINE(GoogleFinance(C10, ""price"", TODAY()-180,TODAY()))"),"")</f>
        <v/>
      </c>
      <c r="N10" s="5">
        <f t="shared" si="3"/>
        <v>14261.05</v>
      </c>
      <c r="O10" s="4">
        <f t="shared" si="4"/>
        <v>0.9146991622</v>
      </c>
      <c r="P10" s="4">
        <f t="shared" si="5"/>
        <v>1.310884782</v>
      </c>
    </row>
    <row r="11">
      <c r="B11" s="1" t="str">
        <f>IFERROR(__xludf.DUMMYFUNCTION("GOOGLEFINANCE(C11,B$3)"),"Berkshire Hathaway Inc Class B")</f>
        <v>Berkshire Hathaway Inc Class B</v>
      </c>
      <c r="C11" s="3" t="s">
        <v>40</v>
      </c>
      <c r="D11" s="10" t="s">
        <v>12</v>
      </c>
      <c r="E11" s="3">
        <v>102.0</v>
      </c>
      <c r="F11" s="1">
        <f>IFERROR(__xludf.DUMMYFUNCTION("INDEX(GOOGLEFINANCE(C11,""close"",F$2),2,2)"),451.1)</f>
        <v>451.1</v>
      </c>
      <c r="G11" s="1">
        <f>IFERROR(__xludf.DUMMYFUNCTION("GOOGLEFINANCE(C11)"),494.51)</f>
        <v>494.51</v>
      </c>
      <c r="H11" s="5">
        <f>(48054.75-14754.3)/E11</f>
        <v>326.475</v>
      </c>
      <c r="I11" s="5">
        <f t="shared" si="1"/>
        <v>50440.02</v>
      </c>
      <c r="J11" s="4">
        <f t="shared" si="2"/>
        <v>0.03086085319</v>
      </c>
      <c r="K11" s="4">
        <f>IFERROR(__xludf.DUMMYFUNCTION("GOOGLEFINANCE(C11,""changepct"")/100"),7.000000000000001E-4)</f>
        <v>0.0007</v>
      </c>
      <c r="L11" s="5" t="str">
        <f>IFERROR(__xludf.DUMMYFUNCTION("SPARKLINE(GoogleFinance(C11, ""price"", TODAY()-30,TODAY()))"),"")</f>
        <v/>
      </c>
      <c r="M11" s="5" t="str">
        <f>IFERROR(__xludf.DUMMYFUNCTION("SPARKLINE(GoogleFinance(C11, ""price"", TODAY()-180,TODAY()))"),"")</f>
        <v/>
      </c>
      <c r="N11" s="5">
        <f t="shared" si="3"/>
        <v>17139.57</v>
      </c>
      <c r="O11" s="4">
        <f t="shared" si="4"/>
        <v>0.09623143427</v>
      </c>
      <c r="P11" s="4">
        <f t="shared" si="5"/>
        <v>0.5146948465</v>
      </c>
    </row>
    <row r="12">
      <c r="B12" s="1" t="str">
        <f>IFERROR(__xludf.DUMMYFUNCTION("GOOGLEFINANCE(C12,B$3)"),"BHP Group Ltd")</f>
        <v>BHP Group Ltd</v>
      </c>
      <c r="C12" s="1" t="s">
        <v>41</v>
      </c>
      <c r="D12" s="10" t="s">
        <v>18</v>
      </c>
      <c r="E12" s="3">
        <v>200.0</v>
      </c>
      <c r="F12" s="1">
        <f>IFERROR(__xludf.DUMMYFUNCTION("INDEX(GOOGLEFINANCE(C12,""close"",F$2),2,2)"),49.21)</f>
        <v>49.21</v>
      </c>
      <c r="G12" s="1">
        <f>IFERROR(__xludf.DUMMYFUNCTION("GOOGLEFINANCE(C12)"),79.65)</f>
        <v>79.65</v>
      </c>
      <c r="H12" s="5">
        <f>(10953+1304.56)/E12</f>
        <v>61.2878</v>
      </c>
      <c r="I12" s="5">
        <f t="shared" si="1"/>
        <v>15930</v>
      </c>
      <c r="J12" s="4">
        <f t="shared" si="2"/>
        <v>0.009746494772</v>
      </c>
      <c r="K12" s="4">
        <f>IFERROR(__xludf.DUMMYFUNCTION("GOOGLEFINANCE(C12,""changepct"")/100"),0.021)</f>
        <v>0.021</v>
      </c>
      <c r="L12" s="5" t="str">
        <f>IFERROR(__xludf.DUMMYFUNCTION("SPARKLINE(GoogleFinance(C12, ""price"", TODAY()-30,TODAY()))"),"")</f>
        <v/>
      </c>
      <c r="M12" s="5" t="str">
        <f>IFERROR(__xludf.DUMMYFUNCTION("SPARKLINE(GoogleFinance(C12, ""price"", TODAY()-180,TODAY()))"),"")</f>
        <v/>
      </c>
      <c r="N12" s="5">
        <f t="shared" si="3"/>
        <v>3672.44</v>
      </c>
      <c r="O12" s="4">
        <f t="shared" si="4"/>
        <v>0.6185734607</v>
      </c>
      <c r="P12" s="4">
        <f t="shared" si="5"/>
        <v>0.2996061206</v>
      </c>
    </row>
    <row r="13">
      <c r="B13" s="1" t="str">
        <f>IFERROR(__xludf.DUMMYFUNCTION("GOOGLEFINANCE(C13,B$3)"),"Boston Scientific Corp")</f>
        <v>Boston Scientific Corp</v>
      </c>
      <c r="C13" s="3" t="s">
        <v>42</v>
      </c>
      <c r="D13" s="10" t="s">
        <v>11</v>
      </c>
      <c r="E13" s="3">
        <v>146.0</v>
      </c>
      <c r="F13" s="1">
        <f>IFERROR(__xludf.DUMMYFUNCTION("INDEX(GOOGLEFINANCE(C13,""close"",F$2),2,2)"),89.38)</f>
        <v>89.38</v>
      </c>
      <c r="G13" s="1">
        <f>IFERROR(__xludf.DUMMYFUNCTION("GOOGLEFINANCE(C13)"),75.15)</f>
        <v>75.15</v>
      </c>
      <c r="H13" s="20">
        <v>102.725</v>
      </c>
      <c r="I13" s="5">
        <f t="shared" si="1"/>
        <v>10971.9</v>
      </c>
      <c r="J13" s="4">
        <f t="shared" si="2"/>
        <v>0.006712967106</v>
      </c>
      <c r="K13" s="4">
        <f>IFERROR(__xludf.DUMMYFUNCTION("GOOGLEFINANCE(C13,""changepct"")/100"),0.0105)</f>
        <v>0.0105</v>
      </c>
      <c r="L13" s="5" t="str">
        <f>IFERROR(__xludf.DUMMYFUNCTION("SPARKLINE(GoogleFinance(C13, ""price"", TODAY()-30,TODAY()))"),"")</f>
        <v/>
      </c>
      <c r="M13" s="5" t="str">
        <f>IFERROR(__xludf.DUMMYFUNCTION("SPARKLINE(GoogleFinance(C13, ""price"", TODAY()-180,TODAY()))"),"")</f>
        <v/>
      </c>
      <c r="N13" s="5">
        <f t="shared" si="3"/>
        <v>-4025.95</v>
      </c>
      <c r="O13" s="4">
        <f t="shared" si="4"/>
        <v>-0.1592078765</v>
      </c>
      <c r="P13" s="4">
        <f t="shared" si="5"/>
        <v>-0.2684351424</v>
      </c>
    </row>
    <row r="14">
      <c r="B14" s="1" t="str">
        <f>IFERROR(__xludf.DUMMYFUNCTION("GOOGLEFINANCE(C14,B$3)"),"Cameco Corp")</f>
        <v>Cameco Corp</v>
      </c>
      <c r="C14" s="3" t="s">
        <v>43</v>
      </c>
      <c r="D14" s="10" t="s">
        <v>18</v>
      </c>
      <c r="E14" s="3">
        <v>417.0</v>
      </c>
      <c r="F14" s="1">
        <f>IFERROR(__xludf.DUMMYFUNCTION("INDEX(GOOGLEFINANCE(C14,""close"",F$2),2,2)"),52.16)</f>
        <v>52.16</v>
      </c>
      <c r="G14" s="1">
        <f>IFERROR(__xludf.DUMMYFUNCTION("GOOGLEFINANCE(C14)"),121.08)</f>
        <v>121.08</v>
      </c>
      <c r="H14" s="20">
        <v>47.86</v>
      </c>
      <c r="I14" s="5">
        <f t="shared" si="1"/>
        <v>50490.36</v>
      </c>
      <c r="J14" s="4">
        <f t="shared" si="2"/>
        <v>0.03089165284</v>
      </c>
      <c r="K14" s="4">
        <f>IFERROR(__xludf.DUMMYFUNCTION("GOOGLEFINANCE(C14,""changepct"")/100"),0.0196)</f>
        <v>0.0196</v>
      </c>
      <c r="L14" s="5" t="str">
        <f>IFERROR(__xludf.DUMMYFUNCTION("SPARKLINE(GoogleFinance(C14, ""price"", TODAY()-30,TODAY()))"),"")</f>
        <v/>
      </c>
      <c r="M14" s="5" t="str">
        <f>IFERROR(__xludf.DUMMYFUNCTION("SPARKLINE(GoogleFinance(C14, ""price"", TODAY()-180,TODAY()))"),"")</f>
        <v/>
      </c>
      <c r="N14" s="5">
        <f t="shared" si="3"/>
        <v>30532.74</v>
      </c>
      <c r="O14" s="4">
        <f t="shared" si="4"/>
        <v>1.321319018</v>
      </c>
      <c r="P14" s="4">
        <f t="shared" si="5"/>
        <v>1.529878813</v>
      </c>
    </row>
    <row r="15">
      <c r="B15" s="1" t="str">
        <f>IFERROR(__xludf.DUMMYFUNCTION("GOOGLEFINANCE(C15,B$3)"),"Carrier Global Corp")</f>
        <v>Carrier Global Corp</v>
      </c>
      <c r="C15" s="1" t="s">
        <v>44</v>
      </c>
      <c r="D15" s="10" t="s">
        <v>14</v>
      </c>
      <c r="E15" s="3">
        <v>80.0</v>
      </c>
      <c r="F15" s="1">
        <f>IFERROR(__xludf.DUMMYFUNCTION("INDEX(GOOGLEFINANCE(C15,""close"",F$2),2,2)"),68.33)</f>
        <v>68.33</v>
      </c>
      <c r="G15" s="1">
        <f>IFERROR(__xludf.DUMMYFUNCTION("GOOGLEFINANCE(C15)"),63.53)</f>
        <v>63.53</v>
      </c>
      <c r="H15" s="5">
        <f>(5733.6-4358.57)/E15</f>
        <v>17.187875</v>
      </c>
      <c r="I15" s="5">
        <f t="shared" si="1"/>
        <v>5082.4</v>
      </c>
      <c r="J15" s="4">
        <f t="shared" si="2"/>
        <v>0.00310957847</v>
      </c>
      <c r="K15" s="4">
        <f>IFERROR(__xludf.DUMMYFUNCTION("GOOGLEFINANCE(C15,""changepct"")/100"),0.0011)</f>
        <v>0.0011</v>
      </c>
      <c r="L15" s="5" t="str">
        <f>IFERROR(__xludf.DUMMYFUNCTION("SPARKLINE(GoogleFinance(C15, ""price"", TODAY()-30,TODAY()))"),"")</f>
        <v/>
      </c>
      <c r="M15" s="5" t="str">
        <f>IFERROR(__xludf.DUMMYFUNCTION("SPARKLINE(GoogleFinance(C15, ""price"", TODAY()-180,TODAY()))"),"")</f>
        <v/>
      </c>
      <c r="N15" s="5">
        <f t="shared" si="3"/>
        <v>3707.37</v>
      </c>
      <c r="O15" s="4">
        <f t="shared" si="4"/>
        <v>-0.07024732914</v>
      </c>
      <c r="P15" s="4">
        <f t="shared" si="5"/>
        <v>2.696210265</v>
      </c>
    </row>
    <row r="16">
      <c r="B16" s="3" t="s">
        <v>45</v>
      </c>
      <c r="C16" s="1"/>
      <c r="D16" s="3" t="s">
        <v>4</v>
      </c>
      <c r="E16" s="3">
        <v>1.0</v>
      </c>
      <c r="F16" s="1"/>
      <c r="G16" s="1"/>
      <c r="H16" s="1"/>
      <c r="I16" s="20">
        <v>65366.0</v>
      </c>
      <c r="J16" s="4">
        <f t="shared" si="2"/>
        <v>0.0399930557</v>
      </c>
      <c r="K16" s="4"/>
      <c r="L16" s="1"/>
      <c r="M16" s="1"/>
      <c r="N16" s="1"/>
      <c r="O16" s="4"/>
      <c r="P16" s="1"/>
    </row>
    <row r="17">
      <c r="B17" s="1" t="str">
        <f>IFERROR(__xludf.DUMMYFUNCTION("GOOGLEFINANCE(C17,B$3)"),"Caterpillar Inc")</f>
        <v>Caterpillar Inc</v>
      </c>
      <c r="C17" s="1" t="s">
        <v>46</v>
      </c>
      <c r="D17" s="10" t="s">
        <v>14</v>
      </c>
      <c r="E17" s="3">
        <v>150.0</v>
      </c>
      <c r="F17" s="1">
        <f>IFERROR(__xludf.DUMMYFUNCTION("INDEX(GOOGLEFINANCE(C17,""close"",F$2),2,2)"),359.77)</f>
        <v>359.77</v>
      </c>
      <c r="G17" s="1">
        <f>IFERROR(__xludf.DUMMYFUNCTION("GOOGLEFINANCE(C17)"),768.23)</f>
        <v>768.23</v>
      </c>
      <c r="H17" s="20">
        <v>300.31</v>
      </c>
      <c r="I17" s="5">
        <f t="shared" ref="I17:I61" si="6">E17*G17</f>
        <v>115234.5</v>
      </c>
      <c r="J17" s="4">
        <f t="shared" si="2"/>
        <v>0.07050423426</v>
      </c>
      <c r="K17" s="4">
        <f>IFERROR(__xludf.DUMMYFUNCTION("GOOGLEFINANCE(C17,""changepct"")/100"),0.0147)</f>
        <v>0.0147</v>
      </c>
      <c r="L17" s="5" t="str">
        <f>IFERROR(__xludf.DUMMYFUNCTION("SPARKLINE(GoogleFinance(C17, ""price"", TODAY()-30,TODAY()))"),"")</f>
        <v/>
      </c>
      <c r="M17" s="5" t="str">
        <f>IFERROR(__xludf.DUMMYFUNCTION("SPARKLINE(GoogleFinance(C17, ""price"", TODAY()-180,TODAY()))"),"")</f>
        <v/>
      </c>
      <c r="N17" s="5">
        <f t="shared" ref="N17:N61" si="7">(I17)-(H17*E17)</f>
        <v>70188</v>
      </c>
      <c r="O17" s="4">
        <f t="shared" ref="O17:O61" si="8">(G17-F17)/F17</f>
        <v>1.135336465</v>
      </c>
      <c r="P17" s="4">
        <f t="shared" ref="P17:P61" si="9">((G17*E17)-(H17*E17))/(H17*E17)</f>
        <v>1.558123273</v>
      </c>
    </row>
    <row r="18">
      <c r="B18" s="1" t="str">
        <f>IFERROR(__xludf.DUMMYFUNCTION("GOOGLEFINANCE(C18,B$3)"),"Check Point Software Technologies Ltd")</f>
        <v>Check Point Software Technologies Ltd</v>
      </c>
      <c r="C18" s="1" t="s">
        <v>47</v>
      </c>
      <c r="D18" s="10" t="s">
        <v>13</v>
      </c>
      <c r="E18" s="3">
        <v>120.0</v>
      </c>
      <c r="F18" s="1">
        <f>IFERROR(__xludf.DUMMYFUNCTION("INDEX(GOOGLEFINANCE(C18,""close"",F$2),2,2)"),184.58)</f>
        <v>184.58</v>
      </c>
      <c r="G18" s="1">
        <f>IFERROR(__xludf.DUMMYFUNCTION("GOOGLEFINANCE(C18)"),152.44)</f>
        <v>152.44</v>
      </c>
      <c r="H18" s="20">
        <v>158.93</v>
      </c>
      <c r="I18" s="5">
        <f t="shared" si="6"/>
        <v>18292.8</v>
      </c>
      <c r="J18" s="4">
        <f t="shared" si="2"/>
        <v>0.01119213306</v>
      </c>
      <c r="K18" s="4">
        <f>IFERROR(__xludf.DUMMYFUNCTION("GOOGLEFINANCE(C18,""changepct"")/100"),-0.0148)</f>
        <v>-0.0148</v>
      </c>
      <c r="L18" s="5" t="str">
        <f>IFERROR(__xludf.DUMMYFUNCTION("SPARKLINE(GoogleFinance(C18, ""price"", TODAY()-30,TODAY()))"),"")</f>
        <v/>
      </c>
      <c r="M18" s="5" t="str">
        <f>IFERROR(__xludf.DUMMYFUNCTION("SPARKLINE(GoogleFinance(C18, ""price"", TODAY()-180,TODAY()))"),"")</f>
        <v/>
      </c>
      <c r="N18" s="5">
        <f t="shared" si="7"/>
        <v>-778.8</v>
      </c>
      <c r="O18" s="4">
        <f t="shared" si="8"/>
        <v>-0.1741250406</v>
      </c>
      <c r="P18" s="4">
        <f t="shared" si="9"/>
        <v>-0.04083558799</v>
      </c>
    </row>
    <row r="19">
      <c r="B19" s="1" t="str">
        <f>IFERROR(__xludf.DUMMYFUNCTION("GOOGLEFINANCE(C19,B$3)"),"Chevron Corp")</f>
        <v>Chevron Corp</v>
      </c>
      <c r="C19" s="1" t="s">
        <v>48</v>
      </c>
      <c r="D19" s="10" t="s">
        <v>15</v>
      </c>
      <c r="E19" s="3">
        <v>80.0</v>
      </c>
      <c r="F19" s="1">
        <f>IFERROR(__xludf.DUMMYFUNCTION("INDEX(GOOGLEFINANCE(C19,""close"",F$2),2,2)"),146.71)</f>
        <v>146.71</v>
      </c>
      <c r="G19" s="1">
        <f>IFERROR(__xludf.DUMMYFUNCTION("GOOGLEFINANCE(C19)"),185.34)</f>
        <v>185.34</v>
      </c>
      <c r="H19" s="20">
        <v>147.43</v>
      </c>
      <c r="I19" s="5">
        <f t="shared" si="6"/>
        <v>14827.2</v>
      </c>
      <c r="J19" s="4">
        <f t="shared" si="2"/>
        <v>0.00907176568</v>
      </c>
      <c r="K19" s="4">
        <f>IFERROR(__xludf.DUMMYFUNCTION("GOOGLEFINANCE(C19,""changepct"")/100"),0.0023)</f>
        <v>0.0023</v>
      </c>
      <c r="L19" s="5" t="str">
        <f>IFERROR(__xludf.DUMMYFUNCTION("SPARKLINE(GoogleFinance(C19, ""price"", TODAY()-30,TODAY()))"),"")</f>
        <v/>
      </c>
      <c r="M19" s="5" t="str">
        <f>IFERROR(__xludf.DUMMYFUNCTION("SPARKLINE(GoogleFinance(C19, ""price"", TODAY()-180,TODAY()))"),"")</f>
        <v/>
      </c>
      <c r="N19" s="5">
        <f t="shared" si="7"/>
        <v>3032.8</v>
      </c>
      <c r="O19" s="4">
        <f t="shared" si="8"/>
        <v>0.2633085679</v>
      </c>
      <c r="P19" s="4">
        <f t="shared" si="9"/>
        <v>0.2571389812</v>
      </c>
    </row>
    <row r="20">
      <c r="B20" s="1" t="str">
        <f>IFERROR(__xludf.DUMMYFUNCTION("GOOGLEFINANCE(C20,B$3)"),"Cigna Group")</f>
        <v>Cigna Group</v>
      </c>
      <c r="C20" s="1" t="s">
        <v>49</v>
      </c>
      <c r="D20" s="10" t="s">
        <v>11</v>
      </c>
      <c r="E20" s="3">
        <v>88.0</v>
      </c>
      <c r="F20" s="1">
        <f>IFERROR(__xludf.DUMMYFUNCTION("INDEX(GOOGLEFINANCE(C20,""close"",F$2),2,2)"),274.49)</f>
        <v>274.49</v>
      </c>
      <c r="G20" s="1">
        <f>IFERROR(__xludf.DUMMYFUNCTION("GOOGLEFINANCE(C20)"),281.0)</f>
        <v>281</v>
      </c>
      <c r="H20" s="20">
        <v>255.56</v>
      </c>
      <c r="I20" s="5">
        <f t="shared" si="6"/>
        <v>24728</v>
      </c>
      <c r="J20" s="4">
        <f t="shared" si="2"/>
        <v>0.01512939879</v>
      </c>
      <c r="K20" s="4">
        <f>IFERROR(__xludf.DUMMYFUNCTION("GOOGLEFINANCE(C20,""changepct"")/100"),-0.0077)</f>
        <v>-0.0077</v>
      </c>
      <c r="L20" s="5" t="str">
        <f>IFERROR(__xludf.DUMMYFUNCTION("SPARKLINE(GoogleFinance(C20, ""price"", TODAY()-30,TODAY()))"),"")</f>
        <v/>
      </c>
      <c r="M20" s="5" t="str">
        <f>IFERROR(__xludf.DUMMYFUNCTION("SPARKLINE(GoogleFinance(C20, ""price"", TODAY()-180,TODAY()))"),"")</f>
        <v/>
      </c>
      <c r="N20" s="5">
        <f t="shared" si="7"/>
        <v>2238.72</v>
      </c>
      <c r="O20" s="4">
        <f t="shared" si="8"/>
        <v>0.02371671099</v>
      </c>
      <c r="P20" s="4">
        <f t="shared" si="9"/>
        <v>0.09954609485</v>
      </c>
    </row>
    <row r="21">
      <c r="B21" s="1" t="str">
        <f>IFERROR(__xludf.DUMMYFUNCTION("GOOGLEFINANCE(C21,B$3)"),"Citizens Financial Group Inc")</f>
        <v>Citizens Financial Group Inc</v>
      </c>
      <c r="C21" s="1" t="s">
        <v>50</v>
      </c>
      <c r="D21" s="10" t="s">
        <v>12</v>
      </c>
      <c r="E21" s="3">
        <v>250.0</v>
      </c>
      <c r="F21" s="1">
        <f>IFERROR(__xludf.DUMMYFUNCTION("INDEX(GOOGLEFINANCE(C21,""close"",F$2),2,2)"),43.6)</f>
        <v>43.6</v>
      </c>
      <c r="G21" s="1">
        <f>IFERROR(__xludf.DUMMYFUNCTION("GOOGLEFINANCE(C21)"),62.07)</f>
        <v>62.07</v>
      </c>
      <c r="H21" s="20">
        <v>40.31</v>
      </c>
      <c r="I21" s="5">
        <f t="shared" si="6"/>
        <v>15517.5</v>
      </c>
      <c r="J21" s="4">
        <f t="shared" si="2"/>
        <v>0.009494113787</v>
      </c>
      <c r="K21" s="4">
        <f>IFERROR(__xludf.DUMMYFUNCTION("GOOGLEFINANCE(C21,""changepct"")/100"),-0.0067)</f>
        <v>-0.0067</v>
      </c>
      <c r="L21" s="5" t="str">
        <f>IFERROR(__xludf.DUMMYFUNCTION("SPARKLINE(GoogleFinance(C21, ""price"", TODAY()-30,TODAY()))"),"")</f>
        <v/>
      </c>
      <c r="M21" s="5" t="str">
        <f>IFERROR(__xludf.DUMMYFUNCTION("SPARKLINE(GoogleFinance(C21, ""price"", TODAY()-180,TODAY()))"),"")</f>
        <v/>
      </c>
      <c r="N21" s="5">
        <f t="shared" si="7"/>
        <v>5440</v>
      </c>
      <c r="O21" s="4">
        <f t="shared" si="8"/>
        <v>0.4236238532</v>
      </c>
      <c r="P21" s="4">
        <f t="shared" si="9"/>
        <v>0.5398164227</v>
      </c>
    </row>
    <row r="22">
      <c r="B22" s="1" t="str">
        <f>IFERROR(__xludf.DUMMYFUNCTION("GOOGLEFINANCE(C22,B$3)"),"Coca-Cola Co")</f>
        <v>Coca-Cola Co</v>
      </c>
      <c r="C22" s="1" t="s">
        <v>51</v>
      </c>
      <c r="D22" s="10" t="s">
        <v>10</v>
      </c>
      <c r="E22" s="3">
        <v>264.0</v>
      </c>
      <c r="F22" s="1">
        <f>IFERROR(__xludf.DUMMYFUNCTION("INDEX(GOOGLEFINANCE(C22,""close"",F$2),2,2)"),61.84)</f>
        <v>61.84</v>
      </c>
      <c r="G22" s="1">
        <f>IFERROR(__xludf.DUMMYFUNCTION("GOOGLEFINANCE(C22)"),80.72)</f>
        <v>80.72</v>
      </c>
      <c r="H22" s="20">
        <v>36.67</v>
      </c>
      <c r="I22" s="5">
        <f t="shared" si="6"/>
        <v>21310.08</v>
      </c>
      <c r="J22" s="4">
        <f t="shared" si="2"/>
        <v>0.0130382036</v>
      </c>
      <c r="K22" s="4">
        <f>IFERROR(__xludf.DUMMYFUNCTION("GOOGLEFINANCE(C22,""changepct"")/100"),0.0019)</f>
        <v>0.0019</v>
      </c>
      <c r="L22" s="5" t="str">
        <f>IFERROR(__xludf.DUMMYFUNCTION("SPARKLINE(GoogleFinance(C22, ""price"", TODAY()-30,TODAY()))"),"")</f>
        <v/>
      </c>
      <c r="M22" s="5" t="str">
        <f>IFERROR(__xludf.DUMMYFUNCTION("SPARKLINE(GoogleFinance(C22, ""price"", TODAY()-180,TODAY()))"),"")</f>
        <v/>
      </c>
      <c r="N22" s="5">
        <f t="shared" si="7"/>
        <v>11629.2</v>
      </c>
      <c r="O22" s="4">
        <f t="shared" si="8"/>
        <v>0.3053040103</v>
      </c>
      <c r="P22" s="4">
        <f t="shared" si="9"/>
        <v>1.201254431</v>
      </c>
    </row>
    <row r="23">
      <c r="B23" s="1" t="str">
        <f>IFERROR(__xludf.DUMMYFUNCTION("GOOGLEFINANCE(C23,B$3)"),"Consolidated Edison Inc")</f>
        <v>Consolidated Edison Inc</v>
      </c>
      <c r="C23" s="1" t="s">
        <v>52</v>
      </c>
      <c r="D23" s="10" t="s">
        <v>6</v>
      </c>
      <c r="E23" s="3">
        <v>161.0</v>
      </c>
      <c r="F23" s="1">
        <f>IFERROR(__xludf.DUMMYFUNCTION("INDEX(GOOGLEFINANCE(C23,""close"",F$2),2,2)"),89.03)</f>
        <v>89.03</v>
      </c>
      <c r="G23" s="1">
        <f>IFERROR(__xludf.DUMMYFUNCTION("GOOGLEFINANCE(C23)"),111.01)</f>
        <v>111.01</v>
      </c>
      <c r="H23" s="20">
        <v>87.1</v>
      </c>
      <c r="I23" s="5">
        <f t="shared" si="6"/>
        <v>17872.61</v>
      </c>
      <c r="J23" s="4">
        <f t="shared" si="2"/>
        <v>0.01093504708</v>
      </c>
      <c r="K23" s="4">
        <f>IFERROR(__xludf.DUMMYFUNCTION("GOOGLEFINANCE(C23,""changepct"")/100"),-0.009899999999999999)</f>
        <v>-0.0099</v>
      </c>
      <c r="L23" s="5" t="str">
        <f>IFERROR(__xludf.DUMMYFUNCTION("SPARKLINE(GoogleFinance(C23, ""price"", TODAY()-30,TODAY()))"),"")</f>
        <v/>
      </c>
      <c r="M23" s="5" t="str">
        <f>IFERROR(__xludf.DUMMYFUNCTION("SPARKLINE(GoogleFinance(C23, ""price"", TODAY()-180,TODAY()))"),"")</f>
        <v/>
      </c>
      <c r="N23" s="5">
        <f t="shared" si="7"/>
        <v>3849.51</v>
      </c>
      <c r="O23" s="4">
        <f t="shared" si="8"/>
        <v>0.2468830731</v>
      </c>
      <c r="P23" s="4">
        <f t="shared" si="9"/>
        <v>0.2745120551</v>
      </c>
    </row>
    <row r="24">
      <c r="B24" s="1" t="str">
        <f>IFERROR(__xludf.DUMMYFUNCTION("GOOGLEFINANCE(C24,B$3)"),"Digital Realty Trust Inc")</f>
        <v>Digital Realty Trust Inc</v>
      </c>
      <c r="C24" s="1" t="s">
        <v>53</v>
      </c>
      <c r="D24" s="10" t="s">
        <v>16</v>
      </c>
      <c r="E24" s="3">
        <v>69.0</v>
      </c>
      <c r="F24" s="1">
        <f>IFERROR(__xludf.DUMMYFUNCTION("INDEX(GOOGLEFINANCE(C24,""close"",F$2),2,2)"),177.0)</f>
        <v>177</v>
      </c>
      <c r="G24" s="1">
        <f>IFERROR(__xludf.DUMMYFUNCTION("GOOGLEFINANCE(C24)"),178.24)</f>
        <v>178.24</v>
      </c>
      <c r="H24" s="20">
        <v>143.79</v>
      </c>
      <c r="I24" s="5">
        <f t="shared" si="6"/>
        <v>12298.56</v>
      </c>
      <c r="J24" s="4">
        <f t="shared" si="2"/>
        <v>0.007524661064</v>
      </c>
      <c r="K24" s="4">
        <f>IFERROR(__xludf.DUMMYFUNCTION("GOOGLEFINANCE(C24,""changepct"")/100"),0.012199999999999999)</f>
        <v>0.0122</v>
      </c>
      <c r="L24" s="5" t="str">
        <f>IFERROR(__xludf.DUMMYFUNCTION("SPARKLINE(GoogleFinance(C24, ""price"", TODAY()-30,TODAY()))"),"")</f>
        <v/>
      </c>
      <c r="M24" s="5" t="str">
        <f>IFERROR(__xludf.DUMMYFUNCTION("SPARKLINE(GoogleFinance(C24, ""price"", TODAY()-180,TODAY()))"),"")</f>
        <v/>
      </c>
      <c r="N24" s="5">
        <f t="shared" si="7"/>
        <v>2377.05</v>
      </c>
      <c r="O24" s="4">
        <f t="shared" si="8"/>
        <v>0.007005649718</v>
      </c>
      <c r="P24" s="4">
        <f t="shared" si="9"/>
        <v>0.2395855066</v>
      </c>
    </row>
    <row r="25">
      <c r="B25" s="1" t="str">
        <f>IFERROR(__xludf.DUMMYFUNCTION("GOOGLEFINANCE(C25,B$3)"),"Domino's Pizza Inc")</f>
        <v>Domino's Pizza Inc</v>
      </c>
      <c r="C25" s="1" t="s">
        <v>54</v>
      </c>
      <c r="D25" s="10" t="s">
        <v>8</v>
      </c>
      <c r="E25" s="3">
        <v>13.0</v>
      </c>
      <c r="F25" s="1">
        <f>IFERROR(__xludf.DUMMYFUNCTION("INDEX(GOOGLEFINANCE(C25,""close"",F$2),2,2)"),434.93)</f>
        <v>434.93</v>
      </c>
      <c r="G25" s="1">
        <f>IFERROR(__xludf.DUMMYFUNCTION("GOOGLEFINANCE(C25)"),414.2)</f>
        <v>414.2</v>
      </c>
      <c r="H25" s="20">
        <v>389.85</v>
      </c>
      <c r="I25" s="5">
        <f t="shared" si="6"/>
        <v>5384.6</v>
      </c>
      <c r="J25" s="4">
        <f t="shared" si="2"/>
        <v>0.00329447431</v>
      </c>
      <c r="K25" s="4">
        <f>IFERROR(__xludf.DUMMYFUNCTION("GOOGLEFINANCE(C25,""changepct"")/100"),0.0346)</f>
        <v>0.0346</v>
      </c>
      <c r="L25" s="5" t="str">
        <f>IFERROR(__xludf.DUMMYFUNCTION("SPARKLINE(GoogleFinance(C25, ""price"", TODAY()-30,TODAY()))"),"")</f>
        <v/>
      </c>
      <c r="M25" s="5" t="str">
        <f>IFERROR(__xludf.DUMMYFUNCTION("SPARKLINE(GoogleFinance(C25, ""price"", TODAY()-180,TODAY()))"),"")</f>
        <v/>
      </c>
      <c r="N25" s="5">
        <f t="shared" si="7"/>
        <v>316.55</v>
      </c>
      <c r="O25" s="4">
        <f t="shared" si="8"/>
        <v>-0.0476628423</v>
      </c>
      <c r="P25" s="4">
        <f t="shared" si="9"/>
        <v>0.06245992048</v>
      </c>
    </row>
    <row r="26">
      <c r="B26" s="1" t="str">
        <f>IFERROR(__xludf.DUMMYFUNCTION("GOOGLEFINANCE(C26,B$3)"),"eBay Inc")</f>
        <v>eBay Inc</v>
      </c>
      <c r="C26" s="1" t="s">
        <v>55</v>
      </c>
      <c r="D26" s="10" t="s">
        <v>8</v>
      </c>
      <c r="E26" s="3">
        <v>150.0</v>
      </c>
      <c r="F26" s="1">
        <f>IFERROR(__xludf.DUMMYFUNCTION("INDEX(GOOGLEFINANCE(C26,""close"",F$2),2,2)"),62.27)</f>
        <v>62.27</v>
      </c>
      <c r="G26" s="1">
        <f>IFERROR(__xludf.DUMMYFUNCTION("GOOGLEFINANCE(C26)"),85.3)</f>
        <v>85.3</v>
      </c>
      <c r="H26" s="20">
        <v>41.07</v>
      </c>
      <c r="I26" s="5">
        <f t="shared" si="6"/>
        <v>12795</v>
      </c>
      <c r="J26" s="4">
        <f t="shared" si="2"/>
        <v>0.007828399285</v>
      </c>
      <c r="K26" s="4">
        <f>IFERROR(__xludf.DUMMYFUNCTION("GOOGLEFINANCE(C26,""changepct"")/100"),0.011699999999999999)</f>
        <v>0.0117</v>
      </c>
      <c r="L26" s="5" t="str">
        <f>IFERROR(__xludf.DUMMYFUNCTION("SPARKLINE(GoogleFinance(C26, ""price"", TODAY()-30,TODAY()))"),"")</f>
        <v/>
      </c>
      <c r="M26" s="5" t="str">
        <f>IFERROR(__xludf.DUMMYFUNCTION("SPARKLINE(GoogleFinance(C26, ""price"", TODAY()-180,TODAY()))"),"")</f>
        <v/>
      </c>
      <c r="N26" s="5">
        <f t="shared" si="7"/>
        <v>6634.5</v>
      </c>
      <c r="O26" s="4">
        <f t="shared" si="8"/>
        <v>0.3698410149</v>
      </c>
      <c r="P26" s="4">
        <f t="shared" si="9"/>
        <v>1.076941807</v>
      </c>
    </row>
    <row r="27">
      <c r="B27" s="1" t="str">
        <f>IFERROR(__xludf.DUMMYFUNCTION("GOOGLEFINANCE(C27,B$3)"),"Exxon Mobil Corp")</f>
        <v>Exxon Mobil Corp</v>
      </c>
      <c r="C27" s="1" t="s">
        <v>56</v>
      </c>
      <c r="D27" s="10" t="s">
        <v>15</v>
      </c>
      <c r="E27" s="3">
        <v>170.0</v>
      </c>
      <c r="F27" s="1">
        <f>IFERROR(__xludf.DUMMYFUNCTION("INDEX(GOOGLEFINANCE(C27,""close"",F$2),2,2)"),107.31)</f>
        <v>107.31</v>
      </c>
      <c r="G27" s="1">
        <f>IFERROR(__xludf.DUMMYFUNCTION("GOOGLEFINANCE(C27)"),149.26)</f>
        <v>149.26</v>
      </c>
      <c r="H27" s="20">
        <v>102.81</v>
      </c>
      <c r="I27" s="5">
        <f t="shared" si="6"/>
        <v>25374.2</v>
      </c>
      <c r="J27" s="4">
        <f t="shared" si="2"/>
        <v>0.01552476508</v>
      </c>
      <c r="K27" s="4">
        <f>IFERROR(__xludf.DUMMYFUNCTION("GOOGLEFINANCE(C27,""changepct"")/100"),-0.009899999999999999)</f>
        <v>-0.0099</v>
      </c>
      <c r="L27" s="5" t="str">
        <f>IFERROR(__xludf.DUMMYFUNCTION("SPARKLINE(GoogleFinance(C27, ""price"", TODAY()-30,TODAY()))"),"")</f>
        <v/>
      </c>
      <c r="M27" s="5" t="str">
        <f>IFERROR(__xludf.DUMMYFUNCTION("SPARKLINE(GoogleFinance(C27, ""price"", TODAY()-180,TODAY()))"),"")</f>
        <v/>
      </c>
      <c r="N27" s="5">
        <f t="shared" si="7"/>
        <v>7896.5</v>
      </c>
      <c r="O27" s="4">
        <f t="shared" si="8"/>
        <v>0.3909234927</v>
      </c>
      <c r="P27" s="4">
        <f t="shared" si="9"/>
        <v>0.4518042992</v>
      </c>
    </row>
    <row r="28">
      <c r="B28" s="1" t="str">
        <f>IFERROR(__xludf.DUMMYFUNCTION("GOOGLEFINANCE(C28,B$3)"),"FedEx Corp")</f>
        <v>FedEx Corp</v>
      </c>
      <c r="C28" s="1" t="s">
        <v>57</v>
      </c>
      <c r="D28" s="10" t="s">
        <v>14</v>
      </c>
      <c r="E28" s="3">
        <v>60.0</v>
      </c>
      <c r="F28" s="1">
        <f>IFERROR(__xludf.DUMMYFUNCTION("INDEX(GOOGLEFINANCE(C28,""close"",F$2),2,2)"),274.28)</f>
        <v>274.28</v>
      </c>
      <c r="G28" s="1">
        <f>IFERROR(__xludf.DUMMYFUNCTION("GOOGLEFINANCE(C28)"),386.56)</f>
        <v>386.56</v>
      </c>
      <c r="H28" s="20">
        <v>278.57</v>
      </c>
      <c r="I28" s="5">
        <f t="shared" si="6"/>
        <v>23193.6</v>
      </c>
      <c r="J28" s="4">
        <f t="shared" si="2"/>
        <v>0.01419060271</v>
      </c>
      <c r="K28" s="4">
        <f>IFERROR(__xludf.DUMMYFUNCTION("GOOGLEFINANCE(C28,""changepct"")/100"),0.0074)</f>
        <v>0.0074</v>
      </c>
      <c r="L28" s="5" t="str">
        <f>IFERROR(__xludf.DUMMYFUNCTION("SPARKLINE(GoogleFinance(C28, ""price"", TODAY()-30,TODAY()))"),"")</f>
        <v/>
      </c>
      <c r="M28" s="5" t="str">
        <f>IFERROR(__xludf.DUMMYFUNCTION("SPARKLINE(GoogleFinance(C28, ""price"", TODAY()-180,TODAY()))"),"")</f>
        <v/>
      </c>
      <c r="N28" s="5">
        <f t="shared" si="7"/>
        <v>6479.4</v>
      </c>
      <c r="O28" s="4">
        <f t="shared" si="8"/>
        <v>0.4093626951</v>
      </c>
      <c r="P28" s="4">
        <f t="shared" si="9"/>
        <v>0.3876583982</v>
      </c>
    </row>
    <row r="29">
      <c r="B29" s="1" t="str">
        <f>IFERROR(__xludf.DUMMYFUNCTION("GOOGLEFINANCE(C29,B$3)"),"Ferrari NV")</f>
        <v>Ferrari NV</v>
      </c>
      <c r="C29" s="1" t="s">
        <v>58</v>
      </c>
      <c r="D29" s="10" t="s">
        <v>8</v>
      </c>
      <c r="E29" s="3">
        <v>40.0</v>
      </c>
      <c r="F29" s="1">
        <f>IFERROR(__xludf.DUMMYFUNCTION("INDEX(GOOGLEFINANCE(C29,""close"",F$2),2,2)"),416.42)</f>
        <v>416.42</v>
      </c>
      <c r="G29" s="1">
        <f>IFERROR(__xludf.DUMMYFUNCTION("GOOGLEFINANCE(C29)"),373.92)</f>
        <v>373.92</v>
      </c>
      <c r="H29" s="20">
        <v>345.92</v>
      </c>
      <c r="I29" s="5">
        <f t="shared" si="6"/>
        <v>14956.8</v>
      </c>
      <c r="J29" s="4">
        <f t="shared" si="2"/>
        <v>0.009151059197</v>
      </c>
      <c r="K29" s="4">
        <f>IFERROR(__xludf.DUMMYFUNCTION("GOOGLEFINANCE(C29,""changepct"")/100"),0.0432)</f>
        <v>0.0432</v>
      </c>
      <c r="L29" s="5" t="str">
        <f>IFERROR(__xludf.DUMMYFUNCTION("SPARKLINE(GoogleFinance(C29, ""price"", TODAY()-30,TODAY()))"),"")</f>
        <v/>
      </c>
      <c r="M29" s="5" t="str">
        <f>IFERROR(__xludf.DUMMYFUNCTION("SPARKLINE(GoogleFinance(C29, ""price"", TODAY()-180,TODAY()))"),"")</f>
        <v/>
      </c>
      <c r="N29" s="5">
        <f t="shared" si="7"/>
        <v>1120</v>
      </c>
      <c r="O29" s="4">
        <f t="shared" si="8"/>
        <v>-0.1020604198</v>
      </c>
      <c r="P29" s="4">
        <f t="shared" si="9"/>
        <v>0.08094357077</v>
      </c>
    </row>
    <row r="30">
      <c r="B30" s="1" t="str">
        <f>IFERROR(__xludf.DUMMYFUNCTION("GOOGLEFINANCE(C30,B$3)"),"General Dynamics Corp")</f>
        <v>General Dynamics Corp</v>
      </c>
      <c r="C30" s="1" t="s">
        <v>59</v>
      </c>
      <c r="D30" s="10" t="s">
        <v>14</v>
      </c>
      <c r="E30" s="3">
        <v>45.0</v>
      </c>
      <c r="F30" s="1">
        <f>IFERROR(__xludf.DUMMYFUNCTION("INDEX(GOOGLEFINANCE(C30,""close"",F$2),2,2)"),261.01)</f>
        <v>261.01</v>
      </c>
      <c r="G30" s="1">
        <f>IFERROR(__xludf.DUMMYFUNCTION("GOOGLEFINANCE(C30)"),351.18)</f>
        <v>351.18</v>
      </c>
      <c r="H30" s="20">
        <v>226.68</v>
      </c>
      <c r="I30" s="5">
        <f t="shared" si="6"/>
        <v>15803.1</v>
      </c>
      <c r="J30" s="4">
        <f t="shared" si="2"/>
        <v>0.009668853204</v>
      </c>
      <c r="K30" s="4">
        <f>IFERROR(__xludf.DUMMYFUNCTION("GOOGLEFINANCE(C30,""changepct"")/100"),0.0063)</f>
        <v>0.0063</v>
      </c>
      <c r="L30" s="5" t="str">
        <f>IFERROR(__xludf.DUMMYFUNCTION("SPARKLINE(GoogleFinance(C30, ""price"", TODAY()-30,TODAY()))"),"")</f>
        <v/>
      </c>
      <c r="M30" s="5" t="str">
        <f>IFERROR(__xludf.DUMMYFUNCTION("SPARKLINE(GoogleFinance(C30, ""price"", TODAY()-180,TODAY()))"),"")</f>
        <v/>
      </c>
      <c r="N30" s="5">
        <f t="shared" si="7"/>
        <v>5602.5</v>
      </c>
      <c r="O30" s="4">
        <f t="shared" si="8"/>
        <v>0.345465691</v>
      </c>
      <c r="P30" s="4">
        <f t="shared" si="9"/>
        <v>0.5492323981</v>
      </c>
    </row>
    <row r="31">
      <c r="B31" s="1" t="str">
        <f>IFERROR(__xludf.DUMMYFUNCTION("GOOGLEFINANCE(C31,B$3)"),"Gilead Sciences Inc")</f>
        <v>Gilead Sciences Inc</v>
      </c>
      <c r="C31" s="1" t="s">
        <v>60</v>
      </c>
      <c r="D31" s="10" t="s">
        <v>11</v>
      </c>
      <c r="E31" s="3">
        <v>205.0</v>
      </c>
      <c r="F31" s="1">
        <f>IFERROR(__xludf.DUMMYFUNCTION("INDEX(GOOGLEFINANCE(C31,""close"",F$2),2,2)"),91.88)</f>
        <v>91.88</v>
      </c>
      <c r="G31" s="1">
        <f>IFERROR(__xludf.DUMMYFUNCTION("GOOGLEFINANCE(C31)"),147.64)</f>
        <v>147.64</v>
      </c>
      <c r="H31" s="20">
        <v>23.03</v>
      </c>
      <c r="I31" s="5">
        <f t="shared" si="6"/>
        <v>30266.2</v>
      </c>
      <c r="J31" s="4">
        <f t="shared" si="2"/>
        <v>0.0185178506</v>
      </c>
      <c r="K31" s="4">
        <f>IFERROR(__xludf.DUMMYFUNCTION("GOOGLEFINANCE(C31,""changepct"")/100"),-0.0146)</f>
        <v>-0.0146</v>
      </c>
      <c r="L31" s="5" t="str">
        <f>IFERROR(__xludf.DUMMYFUNCTION("SPARKLINE(GoogleFinance(C31, ""price"", TODAY()-30,TODAY()))"),"")</f>
        <v/>
      </c>
      <c r="M31" s="5" t="str">
        <f>IFERROR(__xludf.DUMMYFUNCTION("SPARKLINE(GoogleFinance(C31, ""price"", TODAY()-180,TODAY()))"),"")</f>
        <v/>
      </c>
      <c r="N31" s="5">
        <f t="shared" si="7"/>
        <v>25545.05</v>
      </c>
      <c r="O31" s="4">
        <f t="shared" si="8"/>
        <v>0.6068785372</v>
      </c>
      <c r="P31" s="4">
        <f t="shared" si="9"/>
        <v>5.410768563</v>
      </c>
    </row>
    <row r="32">
      <c r="B32" s="1" t="str">
        <f>IFERROR(__xludf.DUMMYFUNCTION("GOOGLEFINANCE(C32,B$3)"),"Goldman Sachs Group Inc")</f>
        <v>Goldman Sachs Group Inc</v>
      </c>
      <c r="C32" s="1" t="s">
        <v>61</v>
      </c>
      <c r="D32" s="10" t="s">
        <v>12</v>
      </c>
      <c r="E32" s="3">
        <v>60.0</v>
      </c>
      <c r="F32" s="1">
        <f>IFERROR(__xludf.DUMMYFUNCTION("INDEX(GOOGLEFINANCE(C32,""close"",F$2),2,2)"),574.97)</f>
        <v>574.97</v>
      </c>
      <c r="G32" s="1">
        <f>IFERROR(__xludf.DUMMYFUNCTION("GOOGLEFINANCE(C32)"),902.27)</f>
        <v>902.27</v>
      </c>
      <c r="H32" s="20">
        <v>195.29</v>
      </c>
      <c r="I32" s="5">
        <f t="shared" si="6"/>
        <v>54136.2</v>
      </c>
      <c r="J32" s="4">
        <f t="shared" si="2"/>
        <v>0.03312229694</v>
      </c>
      <c r="K32" s="4">
        <f>IFERROR(__xludf.DUMMYFUNCTION("GOOGLEFINANCE(C32,""changepct"")/100"),0.011200000000000002)</f>
        <v>0.0112</v>
      </c>
      <c r="L32" s="5" t="str">
        <f>IFERROR(__xludf.DUMMYFUNCTION("SPARKLINE(GoogleFinance(C32, ""price"", TODAY()-30,TODAY()))"),"")</f>
        <v/>
      </c>
      <c r="M32" s="5" t="str">
        <f>IFERROR(__xludf.DUMMYFUNCTION("SPARKLINE(GoogleFinance(C32, ""price"", TODAY()-180,TODAY()))"),"")</f>
        <v/>
      </c>
      <c r="N32" s="5">
        <f t="shared" si="7"/>
        <v>42418.8</v>
      </c>
      <c r="O32" s="4">
        <f t="shared" si="8"/>
        <v>0.5692470912</v>
      </c>
      <c r="P32" s="4">
        <f t="shared" si="9"/>
        <v>3.620154642</v>
      </c>
    </row>
    <row r="33">
      <c r="B33" s="1" t="str">
        <f>IFERROR(__xludf.DUMMYFUNCTION("GOOGLEFINANCE(C33,B$3)"),"Home Depot Inc")</f>
        <v>Home Depot Inc</v>
      </c>
      <c r="C33" s="1" t="s">
        <v>62</v>
      </c>
      <c r="D33" s="10" t="s">
        <v>8</v>
      </c>
      <c r="E33" s="3">
        <v>100.0</v>
      </c>
      <c r="F33" s="1">
        <f>IFERROR(__xludf.DUMMYFUNCTION("INDEX(GOOGLEFINANCE(C33,""close"",F$2),2,2)"),388.46)</f>
        <v>388.46</v>
      </c>
      <c r="G33" s="1">
        <f>IFERROR(__xludf.DUMMYFUNCTION("GOOGLEFINANCE(C33)"),384.48)</f>
        <v>384.48</v>
      </c>
      <c r="H33" s="20">
        <v>73.51</v>
      </c>
      <c r="I33" s="5">
        <f t="shared" si="6"/>
        <v>38448</v>
      </c>
      <c r="J33" s="4">
        <f t="shared" si="2"/>
        <v>0.02352374331</v>
      </c>
      <c r="K33" s="4">
        <f>IFERROR(__xludf.DUMMYFUNCTION("GOOGLEFINANCE(C33,""changepct"")/100"),0.0199)</f>
        <v>0.0199</v>
      </c>
      <c r="L33" s="5" t="str">
        <f>IFERROR(__xludf.DUMMYFUNCTION("SPARKLINE(GoogleFinance(C33, ""price"", TODAY()-30,TODAY()))"),"")</f>
        <v/>
      </c>
      <c r="M33" s="5" t="str">
        <f>IFERROR(__xludf.DUMMYFUNCTION("SPARKLINE(GoogleFinance(C33, ""price"", TODAY()-180,TODAY()))"),"")</f>
        <v/>
      </c>
      <c r="N33" s="5">
        <f t="shared" si="7"/>
        <v>31097</v>
      </c>
      <c r="O33" s="4">
        <f t="shared" si="8"/>
        <v>-0.01024558513</v>
      </c>
      <c r="P33" s="4">
        <f t="shared" si="9"/>
        <v>4.230308802</v>
      </c>
    </row>
    <row r="34">
      <c r="B34" s="1" t="str">
        <f>IFERROR(__xludf.DUMMYFUNCTION("GOOGLEFINANCE(C34,B$3)"),"Huron Consulting Group Inc")</f>
        <v>Huron Consulting Group Inc</v>
      </c>
      <c r="C34" s="1" t="s">
        <v>63</v>
      </c>
      <c r="D34" s="10" t="s">
        <v>14</v>
      </c>
      <c r="E34" s="3">
        <v>175.0</v>
      </c>
      <c r="F34" s="1">
        <f>IFERROR(__xludf.DUMMYFUNCTION("INDEX(GOOGLEFINANCE(C34,""close"",F$2),2,2)"),123.31)</f>
        <v>123.31</v>
      </c>
      <c r="G34" s="1">
        <f>IFERROR(__xludf.DUMMYFUNCTION("GOOGLEFINANCE(C34)"),126.36)</f>
        <v>126.36</v>
      </c>
      <c r="H34" s="20">
        <v>67.56</v>
      </c>
      <c r="I34" s="5">
        <f t="shared" si="6"/>
        <v>22113</v>
      </c>
      <c r="J34" s="4">
        <f t="shared" si="2"/>
        <v>0.0135294563</v>
      </c>
      <c r="K34" s="4">
        <f>IFERROR(__xludf.DUMMYFUNCTION("GOOGLEFINANCE(C34,""changepct"")/100"),-0.0063)</f>
        <v>-0.0063</v>
      </c>
      <c r="L34" s="5" t="str">
        <f>IFERROR(__xludf.DUMMYFUNCTION("SPARKLINE(GoogleFinance(C34, ""price"", TODAY()-30,TODAY()))"),"")</f>
        <v/>
      </c>
      <c r="M34" s="5" t="str">
        <f>IFERROR(__xludf.DUMMYFUNCTION("SPARKLINE(GoogleFinance(C34, ""price"", TODAY()-180,TODAY()))"),"")</f>
        <v/>
      </c>
      <c r="N34" s="5">
        <f t="shared" si="7"/>
        <v>10290</v>
      </c>
      <c r="O34" s="4">
        <f t="shared" si="8"/>
        <v>0.02473440921</v>
      </c>
      <c r="P34" s="4">
        <f t="shared" si="9"/>
        <v>0.8703374778</v>
      </c>
    </row>
    <row r="35">
      <c r="B35" s="1" t="str">
        <f>IFERROR(__xludf.DUMMYFUNCTION("GOOGLEFINANCE(C35,B$3)"),"Intercontinental Exchange Inc")</f>
        <v>Intercontinental Exchange Inc</v>
      </c>
      <c r="C35" s="1" t="s">
        <v>64</v>
      </c>
      <c r="D35" s="10" t="s">
        <v>12</v>
      </c>
      <c r="E35" s="3">
        <v>130.0</v>
      </c>
      <c r="F35" s="1">
        <f>IFERROR(__xludf.DUMMYFUNCTION("INDEX(GOOGLEFINANCE(C35,""close"",F$2),2,2)"),149.34)</f>
        <v>149.34</v>
      </c>
      <c r="G35" s="1">
        <f>IFERROR(__xludf.DUMMYFUNCTION("GOOGLEFINANCE(C35)"),155.36)</f>
        <v>155.36</v>
      </c>
      <c r="H35" s="20">
        <v>91.59</v>
      </c>
      <c r="I35" s="5">
        <f t="shared" si="6"/>
        <v>20196.8</v>
      </c>
      <c r="J35" s="4">
        <f t="shared" si="2"/>
        <v>0.0123570625</v>
      </c>
      <c r="K35" s="4">
        <f>IFERROR(__xludf.DUMMYFUNCTION("GOOGLEFINANCE(C35,""changepct"")/100"),0.008199999999999999)</f>
        <v>0.0082</v>
      </c>
      <c r="L35" s="5" t="str">
        <f>IFERROR(__xludf.DUMMYFUNCTION("SPARKLINE(GoogleFinance(C35, ""price"", TODAY()-30,TODAY()))"),"")</f>
        <v/>
      </c>
      <c r="M35" s="5" t="str">
        <f>IFERROR(__xludf.DUMMYFUNCTION("SPARKLINE(GoogleFinance(C35, ""price"", TODAY()-180,TODAY()))"),"")</f>
        <v/>
      </c>
      <c r="N35" s="5">
        <f t="shared" si="7"/>
        <v>8290.1</v>
      </c>
      <c r="O35" s="4">
        <f t="shared" si="8"/>
        <v>0.04031070042</v>
      </c>
      <c r="P35" s="4">
        <f t="shared" si="9"/>
        <v>0.6962550497</v>
      </c>
    </row>
    <row r="36">
      <c r="B36" s="1" t="str">
        <f>IFERROR(__xludf.DUMMYFUNCTION("GOOGLEFINANCE(C36,B$3)"),"Intuitive Surgical Inc")</f>
        <v>Intuitive Surgical Inc</v>
      </c>
      <c r="C36" s="3" t="s">
        <v>65</v>
      </c>
      <c r="D36" s="10" t="s">
        <v>11</v>
      </c>
      <c r="E36" s="3">
        <v>47.0</v>
      </c>
      <c r="F36" s="1">
        <f>IFERROR(__xludf.DUMMYFUNCTION("INDEX(GOOGLEFINANCE(C36,""close"",F$2),2,2)"),524.03)</f>
        <v>524.03</v>
      </c>
      <c r="G36" s="1">
        <f>IFERROR(__xludf.DUMMYFUNCTION("GOOGLEFINANCE(C36)"),494.02)</f>
        <v>494.02</v>
      </c>
      <c r="H36" s="20">
        <v>533.21</v>
      </c>
      <c r="I36" s="5">
        <f t="shared" si="6"/>
        <v>23218.94</v>
      </c>
      <c r="J36" s="4">
        <f t="shared" si="2"/>
        <v>0.01420610655</v>
      </c>
      <c r="K36" s="4">
        <f>IFERROR(__xludf.DUMMYFUNCTION("GOOGLEFINANCE(C36,""changepct"")/100"),0.0039000000000000003)</f>
        <v>0.0039</v>
      </c>
      <c r="L36" s="5" t="str">
        <f>IFERROR(__xludf.DUMMYFUNCTION("SPARKLINE(GoogleFinance(C36, ""price"", TODAY()-30,TODAY()))"),"")</f>
        <v/>
      </c>
      <c r="M36" s="5" t="str">
        <f>IFERROR(__xludf.DUMMYFUNCTION("SPARKLINE(GoogleFinance(C36, ""price"", TODAY()-180,TODAY()))"),"")</f>
        <v/>
      </c>
      <c r="N36" s="5">
        <f t="shared" si="7"/>
        <v>-1841.93</v>
      </c>
      <c r="O36" s="4">
        <f t="shared" si="8"/>
        <v>-0.05726771368</v>
      </c>
      <c r="P36" s="4">
        <f t="shared" si="9"/>
        <v>-0.07349824647</v>
      </c>
    </row>
    <row r="37">
      <c r="B37" s="1" t="str">
        <f>IFERROR(__xludf.DUMMYFUNCTION("GOOGLEFINANCE(C37,B$3)"),"JPMorgan Chase &amp; Co")</f>
        <v>JPMorgan Chase &amp; Co</v>
      </c>
      <c r="C37" s="1" t="s">
        <v>66</v>
      </c>
      <c r="D37" s="10" t="s">
        <v>12</v>
      </c>
      <c r="E37" s="3">
        <v>160.0</v>
      </c>
      <c r="F37" s="1">
        <f>IFERROR(__xludf.DUMMYFUNCTION("INDEX(GOOGLEFINANCE(C37,""close"",F$2),2,2)"),240.0)</f>
        <v>240</v>
      </c>
      <c r="G37" s="1">
        <f>IFERROR(__xludf.DUMMYFUNCTION("GOOGLEFINANCE(C37)"),297.3)</f>
        <v>297.3</v>
      </c>
      <c r="H37" s="20">
        <v>39.94</v>
      </c>
      <c r="I37" s="5">
        <f t="shared" si="6"/>
        <v>47568</v>
      </c>
      <c r="J37" s="4">
        <f t="shared" si="2"/>
        <v>0.02910365746</v>
      </c>
      <c r="K37" s="4">
        <f>IFERROR(__xludf.DUMMYFUNCTION("GOOGLEFINANCE(C37,""changepct"")/100"),-0.0012)</f>
        <v>-0.0012</v>
      </c>
      <c r="L37" s="5" t="str">
        <f>IFERROR(__xludf.DUMMYFUNCTION("SPARKLINE(GoogleFinance(C37, ""price"", TODAY()-30,TODAY()))"),"")</f>
        <v/>
      </c>
      <c r="M37" s="5" t="str">
        <f>IFERROR(__xludf.DUMMYFUNCTION("SPARKLINE(GoogleFinance(C37, ""price"", TODAY()-180,TODAY()))"),"")</f>
        <v/>
      </c>
      <c r="N37" s="5">
        <f t="shared" si="7"/>
        <v>41177.6</v>
      </c>
      <c r="O37" s="4">
        <f t="shared" si="8"/>
        <v>0.23875</v>
      </c>
      <c r="P37" s="4">
        <f t="shared" si="9"/>
        <v>6.443665498</v>
      </c>
    </row>
    <row r="38">
      <c r="B38" s="1" t="str">
        <f>IFERROR(__xludf.DUMMYFUNCTION("GOOGLEFINANCE(C38,B$3)"),"Lockheed Martin Corp")</f>
        <v>Lockheed Martin Corp</v>
      </c>
      <c r="C38" s="1" t="s">
        <v>67</v>
      </c>
      <c r="D38" s="10" t="s">
        <v>14</v>
      </c>
      <c r="E38" s="3">
        <v>70.0</v>
      </c>
      <c r="F38" s="1">
        <f>IFERROR(__xludf.DUMMYFUNCTION("INDEX(GOOGLEFINANCE(C38,""close"",F$2),2,2)"),482.25)</f>
        <v>482.25</v>
      </c>
      <c r="G38" s="1">
        <f>IFERROR(__xludf.DUMMYFUNCTION("GOOGLEFINANCE(C38)"),664.43)</f>
        <v>664.43</v>
      </c>
      <c r="H38" s="20">
        <v>430.0</v>
      </c>
      <c r="I38" s="5">
        <f t="shared" si="6"/>
        <v>46510.1</v>
      </c>
      <c r="J38" s="4">
        <f t="shared" si="2"/>
        <v>0.02845639966</v>
      </c>
      <c r="K38" s="4">
        <f>IFERROR(__xludf.DUMMYFUNCTION("GOOGLEFINANCE(C38,""changepct"")/100"),0.0058)</f>
        <v>0.0058</v>
      </c>
      <c r="L38" s="5" t="str">
        <f>IFERROR(__xludf.DUMMYFUNCTION("SPARKLINE(GoogleFinance(C38, ""price"", TODAY()-30,TODAY()))"),"")</f>
        <v/>
      </c>
      <c r="M38" s="5" t="str">
        <f>IFERROR(__xludf.DUMMYFUNCTION("SPARKLINE(GoogleFinance(C38, ""price"", TODAY()-180,TODAY()))"),"")</f>
        <v/>
      </c>
      <c r="N38" s="5">
        <f t="shared" si="7"/>
        <v>16410.1</v>
      </c>
      <c r="O38" s="4">
        <f t="shared" si="8"/>
        <v>0.3777708657</v>
      </c>
      <c r="P38" s="4">
        <f t="shared" si="9"/>
        <v>0.5451860465</v>
      </c>
    </row>
    <row r="39">
      <c r="B39" s="1" t="str">
        <f>IFERROR(__xludf.DUMMYFUNCTION("GOOGLEFINANCE(C39,B$3)"),"Manulife Financial Corp")</f>
        <v>Manulife Financial Corp</v>
      </c>
      <c r="C39" s="1" t="s">
        <v>68</v>
      </c>
      <c r="D39" s="10" t="s">
        <v>12</v>
      </c>
      <c r="E39" s="3">
        <v>854.0</v>
      </c>
      <c r="F39" s="1">
        <f>IFERROR(__xludf.DUMMYFUNCTION("INDEX(GOOGLEFINANCE(C39,""close"",F$2),2,2)"),30.52)</f>
        <v>30.52</v>
      </c>
      <c r="G39" s="1">
        <f>IFERROR(__xludf.DUMMYFUNCTION("GOOGLEFINANCE(C39)"),35.79)</f>
        <v>35.79</v>
      </c>
      <c r="H39" s="20">
        <v>20.03</v>
      </c>
      <c r="I39" s="5">
        <f t="shared" si="6"/>
        <v>30564.66</v>
      </c>
      <c r="J39" s="4">
        <f t="shared" si="2"/>
        <v>0.01870045819</v>
      </c>
      <c r="K39" s="4">
        <f>IFERROR(__xludf.DUMMYFUNCTION("GOOGLEFINANCE(C39,""changepct"")/100"),-0.004)</f>
        <v>-0.004</v>
      </c>
      <c r="L39" s="5" t="str">
        <f>IFERROR(__xludf.DUMMYFUNCTION("SPARKLINE(GoogleFinance(C39, ""price"", TODAY()-30,TODAY()))"),"")</f>
        <v/>
      </c>
      <c r="M39" s="5" t="str">
        <f>IFERROR(__xludf.DUMMYFUNCTION("SPARKLINE(GoogleFinance(C39, ""price"", TODAY()-180,TODAY()))"),"")</f>
        <v/>
      </c>
      <c r="N39" s="5">
        <f t="shared" si="7"/>
        <v>13459.04</v>
      </c>
      <c r="O39" s="4">
        <f t="shared" si="8"/>
        <v>0.1726736566</v>
      </c>
      <c r="P39" s="4">
        <f t="shared" si="9"/>
        <v>0.7868197703</v>
      </c>
    </row>
    <row r="40">
      <c r="B40" s="1" t="str">
        <f>IFERROR(__xludf.DUMMYFUNCTION("GOOGLEFINANCE(C40,B$3)"),"Medtronic PLC")</f>
        <v>Medtronic PLC</v>
      </c>
      <c r="C40" s="1" t="s">
        <v>69</v>
      </c>
      <c r="D40" s="10" t="s">
        <v>11</v>
      </c>
      <c r="E40" s="3">
        <v>250.0</v>
      </c>
      <c r="F40" s="1">
        <f>IFERROR(__xludf.DUMMYFUNCTION("INDEX(GOOGLEFINANCE(C40,""close"",F$2),2,2)"),80.22)</f>
        <v>80.22</v>
      </c>
      <c r="G40" s="1">
        <f>IFERROR(__xludf.DUMMYFUNCTION("GOOGLEFINANCE(C40)"),96.75)</f>
        <v>96.75</v>
      </c>
      <c r="H40" s="20">
        <v>87.54</v>
      </c>
      <c r="I40" s="5">
        <f t="shared" si="6"/>
        <v>24187.5</v>
      </c>
      <c r="J40" s="4">
        <f t="shared" si="2"/>
        <v>0.01479870322</v>
      </c>
      <c r="K40" s="4">
        <f>IFERROR(__xludf.DUMMYFUNCTION("GOOGLEFINANCE(C40,""changepct"")/100"),-0.0189)</f>
        <v>-0.0189</v>
      </c>
      <c r="L40" s="5" t="str">
        <f>IFERROR(__xludf.DUMMYFUNCTION("SPARKLINE(GoogleFinance(C40, ""price"", TODAY()-30,TODAY()))"),"")</f>
        <v/>
      </c>
      <c r="M40" s="5" t="str">
        <f>IFERROR(__xludf.DUMMYFUNCTION("SPARKLINE(GoogleFinance(C40, ""price"", TODAY()-180,TODAY()))"),"")</f>
        <v/>
      </c>
      <c r="N40" s="5">
        <f t="shared" si="7"/>
        <v>2302.5</v>
      </c>
      <c r="O40" s="4">
        <f t="shared" si="8"/>
        <v>0.2060583396</v>
      </c>
      <c r="P40" s="4">
        <f t="shared" si="9"/>
        <v>0.1052090473</v>
      </c>
    </row>
    <row r="41">
      <c r="B41" s="1" t="str">
        <f>IFERROR(__xludf.DUMMYFUNCTION("GOOGLEFINANCE(C41,B$3)"),"Metlife Inc")</f>
        <v>Metlife Inc</v>
      </c>
      <c r="C41" s="1" t="s">
        <v>70</v>
      </c>
      <c r="D41" s="10" t="s">
        <v>12</v>
      </c>
      <c r="E41" s="3">
        <v>220.0</v>
      </c>
      <c r="F41" s="1">
        <f>IFERROR(__xludf.DUMMYFUNCTION("INDEX(GOOGLEFINANCE(C41,""close"",F$2),2,2)"),81.78)</f>
        <v>81.78</v>
      </c>
      <c r="G41" s="1">
        <f>IFERROR(__xludf.DUMMYFUNCTION("GOOGLEFINANCE(C41)"),75.34)</f>
        <v>75.34</v>
      </c>
      <c r="H41" s="20">
        <v>46.42</v>
      </c>
      <c r="I41" s="5">
        <f t="shared" si="6"/>
        <v>16574.8</v>
      </c>
      <c r="J41" s="4">
        <f t="shared" si="2"/>
        <v>0.01014100449</v>
      </c>
      <c r="K41" s="4">
        <f>IFERROR(__xludf.DUMMYFUNCTION("GOOGLEFINANCE(C41,""changepct"")/100"),0.0013)</f>
        <v>0.0013</v>
      </c>
      <c r="L41" s="5" t="str">
        <f>IFERROR(__xludf.DUMMYFUNCTION("SPARKLINE(GoogleFinance(C41, ""price"", TODAY()-30,TODAY()))"),"")</f>
        <v/>
      </c>
      <c r="M41" s="5" t="str">
        <f>IFERROR(__xludf.DUMMYFUNCTION("SPARKLINE(GoogleFinance(C41, ""price"", TODAY()-180,TODAY()))"),"")</f>
        <v/>
      </c>
      <c r="N41" s="5">
        <f t="shared" si="7"/>
        <v>6362.4</v>
      </c>
      <c r="O41" s="4">
        <f t="shared" si="8"/>
        <v>-0.07874786011</v>
      </c>
      <c r="P41" s="4">
        <f t="shared" si="9"/>
        <v>0.6230073244</v>
      </c>
    </row>
    <row r="42">
      <c r="B42" s="1" t="str">
        <f>IFERROR(__xludf.DUMMYFUNCTION("GOOGLEFINANCE(C42,B$3)"),"Microsoft Corp")</f>
        <v>Microsoft Corp</v>
      </c>
      <c r="C42" s="1" t="s">
        <v>71</v>
      </c>
      <c r="D42" s="10" t="s">
        <v>13</v>
      </c>
      <c r="E42" s="3">
        <v>120.0</v>
      </c>
      <c r="F42" s="1">
        <f>IFERROR(__xludf.DUMMYFUNCTION("INDEX(GOOGLEFINANCE(C42,""close"",F$2),2,2)"),418.58)</f>
        <v>418.58</v>
      </c>
      <c r="G42" s="1">
        <f>IFERROR(__xludf.DUMMYFUNCTION("GOOGLEFINANCE(C42)"),389.0)</f>
        <v>389</v>
      </c>
      <c r="H42" s="20">
        <v>397.58</v>
      </c>
      <c r="I42" s="5">
        <f t="shared" si="6"/>
        <v>46680</v>
      </c>
      <c r="J42" s="4">
        <f t="shared" si="2"/>
        <v>0.02856035003</v>
      </c>
      <c r="K42" s="4">
        <f>IFERROR(__xludf.DUMMYFUNCTION("GOOGLEFINANCE(C42,""changepct"")/100"),0.0118)</f>
        <v>0.0118</v>
      </c>
      <c r="L42" s="5" t="str">
        <f>IFERROR(__xludf.DUMMYFUNCTION("SPARKLINE(GoogleFinance(C42, ""price"", TODAY()-30,TODAY()))"),"")</f>
        <v/>
      </c>
      <c r="M42" s="5" t="str">
        <f>IFERROR(__xludf.DUMMYFUNCTION("SPARKLINE(GoogleFinance(C42, ""price"", TODAY()-180,TODAY()))"),"")</f>
        <v/>
      </c>
      <c r="N42" s="5">
        <f t="shared" si="7"/>
        <v>-1029.6</v>
      </c>
      <c r="O42" s="4">
        <f t="shared" si="8"/>
        <v>-0.07066749486</v>
      </c>
      <c r="P42" s="4">
        <f t="shared" si="9"/>
        <v>-0.0215805624</v>
      </c>
    </row>
    <row r="43">
      <c r="B43" s="1" t="str">
        <f>IFERROR(__xludf.DUMMYFUNCTION("GOOGLEFINANCE(C43,B$3)"),"Mp Materials Corp")</f>
        <v>Mp Materials Corp</v>
      </c>
      <c r="C43" s="3" t="s">
        <v>72</v>
      </c>
      <c r="D43" s="10" t="s">
        <v>18</v>
      </c>
      <c r="E43" s="3">
        <v>223.0</v>
      </c>
      <c r="F43" s="1">
        <f>IFERROR(__xludf.DUMMYFUNCTION("INDEX(GOOGLEFINANCE(C43,""close"",F$2),2,2)"),16.39)</f>
        <v>16.39</v>
      </c>
      <c r="G43" s="1">
        <f>IFERROR(__xludf.DUMMYFUNCTION("GOOGLEFINANCE(C43)"),58.44)</f>
        <v>58.44</v>
      </c>
      <c r="H43" s="20">
        <v>22.63</v>
      </c>
      <c r="I43" s="5">
        <f t="shared" si="6"/>
        <v>13032.12</v>
      </c>
      <c r="J43" s="4">
        <f t="shared" si="2"/>
        <v>0.007973477053</v>
      </c>
      <c r="K43" s="4">
        <f>IFERROR(__xludf.DUMMYFUNCTION("GOOGLEFINANCE(C43,""changepct"")/100"),0.0492)</f>
        <v>0.0492</v>
      </c>
      <c r="L43" s="5" t="str">
        <f>IFERROR(__xludf.DUMMYFUNCTION("SPARKLINE(GoogleFinance(C43, ""price"", TODAY()-30,TODAY()))"),"")</f>
        <v/>
      </c>
      <c r="M43" s="5" t="str">
        <f>IFERROR(__xludf.DUMMYFUNCTION("SPARKLINE(GoogleFinance(C43, ""price"", TODAY()-180,TODAY()))"),"")</f>
        <v/>
      </c>
      <c r="N43" s="5">
        <f t="shared" si="7"/>
        <v>7985.63</v>
      </c>
      <c r="O43" s="4">
        <f t="shared" si="8"/>
        <v>2.565588774</v>
      </c>
      <c r="P43" s="4">
        <f t="shared" si="9"/>
        <v>1.582412726</v>
      </c>
    </row>
    <row r="44">
      <c r="B44" s="1" t="str">
        <f>IFERROR(__xludf.DUMMYFUNCTION("GOOGLEFINANCE(C44,B$3)"),"NextEra Energy Inc")</f>
        <v>NextEra Energy Inc</v>
      </c>
      <c r="C44" s="1" t="s">
        <v>73</v>
      </c>
      <c r="D44" s="10" t="s">
        <v>6</v>
      </c>
      <c r="E44" s="3">
        <v>384.0</v>
      </c>
      <c r="F44" s="1">
        <f>IFERROR(__xludf.DUMMYFUNCTION("INDEX(GOOGLEFINANCE(C44,""close"",F$2),2,2)"),71.61)</f>
        <v>71.61</v>
      </c>
      <c r="G44" s="1">
        <f>IFERROR(__xludf.DUMMYFUNCTION("GOOGLEFINANCE(C44)"),95.68)</f>
        <v>95.68</v>
      </c>
      <c r="H44" s="20">
        <v>73.52</v>
      </c>
      <c r="I44" s="5">
        <f t="shared" si="6"/>
        <v>36741.12</v>
      </c>
      <c r="J44" s="4">
        <f t="shared" si="2"/>
        <v>0.02247941833</v>
      </c>
      <c r="K44" s="4">
        <f>IFERROR(__xludf.DUMMYFUNCTION("GOOGLEFINANCE(C44,""changepct"")/100"),0.0172)</f>
        <v>0.0172</v>
      </c>
      <c r="L44" s="5" t="str">
        <f>IFERROR(__xludf.DUMMYFUNCTION("SPARKLINE(GoogleFinance(C44, ""price"", TODAY()-30,TODAY()))"),"")</f>
        <v/>
      </c>
      <c r="M44" s="5" t="str">
        <f>IFERROR(__xludf.DUMMYFUNCTION("SPARKLINE(GoogleFinance(C44, ""price"", TODAY()-180,TODAY()))"),"")</f>
        <v/>
      </c>
      <c r="N44" s="5">
        <f t="shared" si="7"/>
        <v>8509.44</v>
      </c>
      <c r="O44" s="4">
        <f t="shared" si="8"/>
        <v>0.3361262394</v>
      </c>
      <c r="P44" s="4">
        <f t="shared" si="9"/>
        <v>0.3014145811</v>
      </c>
    </row>
    <row r="45">
      <c r="B45" s="1" t="str">
        <f>IFERROR(__xludf.DUMMYFUNCTION("GOOGLEFINANCE(C45,B$3)"),"NRG Energy Inc")</f>
        <v>NRG Energy Inc</v>
      </c>
      <c r="C45" s="3" t="s">
        <v>74</v>
      </c>
      <c r="D45" s="10" t="s">
        <v>6</v>
      </c>
      <c r="E45" s="3">
        <v>114.0</v>
      </c>
      <c r="F45" s="1">
        <f>IFERROR(__xludf.DUMMYFUNCTION("INDEX(GOOGLEFINANCE(C45,""close"",F$2),2,2)"),92.75)</f>
        <v>92.75</v>
      </c>
      <c r="G45" s="1">
        <f>IFERROR(__xludf.DUMMYFUNCTION("GOOGLEFINANCE(C45)"),184.03)</f>
        <v>184.03</v>
      </c>
      <c r="H45" s="20">
        <v>173.16</v>
      </c>
      <c r="I45" s="5">
        <f t="shared" si="6"/>
        <v>20979.42</v>
      </c>
      <c r="J45" s="4">
        <f t="shared" si="2"/>
        <v>0.012835895</v>
      </c>
      <c r="K45" s="4">
        <f>IFERROR(__xludf.DUMMYFUNCTION("GOOGLEFINANCE(C45,""changepct"")/100"),0.0425)</f>
        <v>0.0425</v>
      </c>
      <c r="L45" s="5" t="str">
        <f>IFERROR(__xludf.DUMMYFUNCTION("SPARKLINE(GoogleFinance(C45, ""price"", TODAY()-30,TODAY()))"),"")</f>
        <v/>
      </c>
      <c r="M45" s="5" t="str">
        <f>IFERROR(__xludf.DUMMYFUNCTION("SPARKLINE(GoogleFinance(C45, ""price"", TODAY()-180,TODAY()))"),"")</f>
        <v/>
      </c>
      <c r="N45" s="5">
        <f t="shared" si="7"/>
        <v>1239.18</v>
      </c>
      <c r="O45" s="4">
        <f t="shared" si="8"/>
        <v>0.9841509434</v>
      </c>
      <c r="P45" s="4">
        <f t="shared" si="9"/>
        <v>0.06277431277</v>
      </c>
    </row>
    <row r="46">
      <c r="B46" s="1" t="str">
        <f>IFERROR(__xludf.DUMMYFUNCTION("GOOGLEFINANCE(C46,B$3)"),"NVIDIA Corp")</f>
        <v>NVIDIA Corp</v>
      </c>
      <c r="C46" s="1" t="s">
        <v>75</v>
      </c>
      <c r="D46" s="10" t="s">
        <v>13</v>
      </c>
      <c r="E46" s="3">
        <v>142.0</v>
      </c>
      <c r="F46" s="1">
        <f>IFERROR(__xludf.DUMMYFUNCTION("INDEX(GOOGLEFINANCE(C46,""close"",F$2),2,2)"),138.31)</f>
        <v>138.31</v>
      </c>
      <c r="G46" s="1">
        <f>IFERROR(__xludf.DUMMYFUNCTION("GOOGLEFINANCE(C46)"),192.85)</f>
        <v>192.85</v>
      </c>
      <c r="H46" s="20">
        <v>20.56</v>
      </c>
      <c r="I46" s="5">
        <f t="shared" si="6"/>
        <v>27384.7</v>
      </c>
      <c r="J46" s="4">
        <f t="shared" si="2"/>
        <v>0.0167548547</v>
      </c>
      <c r="K46" s="4">
        <f>IFERROR(__xludf.DUMMYFUNCTION("GOOGLEFINANCE(C46,""changepct"")/100"),0.0068000000000000005)</f>
        <v>0.0068</v>
      </c>
      <c r="L46" s="5" t="str">
        <f>IFERROR(__xludf.DUMMYFUNCTION("SPARKLINE(GoogleFinance(C46, ""price"", TODAY()-30,TODAY()))"),"")</f>
        <v/>
      </c>
      <c r="M46" s="5" t="str">
        <f>IFERROR(__xludf.DUMMYFUNCTION("SPARKLINE(GoogleFinance(C46, ""price"", TODAY()-180,TODAY()))"),"")</f>
        <v/>
      </c>
      <c r="N46" s="5">
        <f t="shared" si="7"/>
        <v>24465.18</v>
      </c>
      <c r="O46" s="4">
        <f t="shared" si="8"/>
        <v>0.394331574</v>
      </c>
      <c r="P46" s="4">
        <f t="shared" si="9"/>
        <v>8.379863813</v>
      </c>
    </row>
    <row r="47">
      <c r="B47" s="1" t="str">
        <f>IFERROR(__xludf.DUMMYFUNCTION("GOOGLEFINANCE(C47,B$3)"),"Otis Worldwide Corp")</f>
        <v>Otis Worldwide Corp</v>
      </c>
      <c r="C47" s="1" t="s">
        <v>76</v>
      </c>
      <c r="D47" s="10" t="s">
        <v>14</v>
      </c>
      <c r="E47" s="3">
        <v>40.0</v>
      </c>
      <c r="F47" s="1">
        <f>IFERROR(__xludf.DUMMYFUNCTION("INDEX(GOOGLEFINANCE(C47,""close"",F$2),2,2)"),92.24)</f>
        <v>92.24</v>
      </c>
      <c r="G47" s="1">
        <f>IFERROR(__xludf.DUMMYFUNCTION("GOOGLEFINANCE(C47)"),89.91)</f>
        <v>89.91</v>
      </c>
      <c r="H47" s="20">
        <v>51.54</v>
      </c>
      <c r="I47" s="5">
        <f t="shared" si="6"/>
        <v>3596.4</v>
      </c>
      <c r="J47" s="4">
        <f t="shared" si="2"/>
        <v>0.002200395091</v>
      </c>
      <c r="K47" s="4">
        <f>IFERROR(__xludf.DUMMYFUNCTION("GOOGLEFINANCE(C47,""changepct"")/100"),-0.0070999999999999995)</f>
        <v>-0.0071</v>
      </c>
      <c r="L47" s="5" t="str">
        <f>IFERROR(__xludf.DUMMYFUNCTION("SPARKLINE(GoogleFinance(C47, ""price"", TODAY()-30,TODAY()))"),"")</f>
        <v/>
      </c>
      <c r="M47" s="5" t="str">
        <f>IFERROR(__xludf.DUMMYFUNCTION("SPARKLINE(GoogleFinance(C47, ""price"", TODAY()-180,TODAY()))"),"")</f>
        <v/>
      </c>
      <c r="N47" s="5">
        <f t="shared" si="7"/>
        <v>1534.8</v>
      </c>
      <c r="O47" s="4">
        <f t="shared" si="8"/>
        <v>-0.02526019081</v>
      </c>
      <c r="P47" s="4">
        <f t="shared" si="9"/>
        <v>0.7444703143</v>
      </c>
    </row>
    <row r="48">
      <c r="B48" s="1" t="str">
        <f>IFERROR(__xludf.DUMMYFUNCTION("GOOGLEFINANCE(C48,B$3)"),"Palantir Technologies Inc")</f>
        <v>Palantir Technologies Inc</v>
      </c>
      <c r="C48" s="3" t="s">
        <v>77</v>
      </c>
      <c r="D48" s="10" t="s">
        <v>13</v>
      </c>
      <c r="E48" s="3">
        <v>225.0</v>
      </c>
      <c r="F48" s="1">
        <f>IFERROR(__xludf.DUMMYFUNCTION("INDEX(GOOGLEFINANCE(C48,""close"",F$2),2,2)"),75.19)</f>
        <v>75.19</v>
      </c>
      <c r="G48" s="1">
        <f>IFERROR(__xludf.DUMMYFUNCTION("GOOGLEFINANCE(C48)"),128.84)</f>
        <v>128.84</v>
      </c>
      <c r="H48" s="20">
        <v>37.275</v>
      </c>
      <c r="I48" s="5">
        <f t="shared" si="6"/>
        <v>28989</v>
      </c>
      <c r="J48" s="4">
        <f t="shared" si="2"/>
        <v>0.01773641789</v>
      </c>
      <c r="K48" s="4">
        <f>IFERROR(__xludf.DUMMYFUNCTION("GOOGLEFINANCE(C48,""changepct"")/100"),-0.013500000000000002)</f>
        <v>-0.0135</v>
      </c>
      <c r="L48" s="5" t="str">
        <f>IFERROR(__xludf.DUMMYFUNCTION("SPARKLINE(GoogleFinance(C48, ""price"", TODAY()-30,TODAY()))"),"")</f>
        <v/>
      </c>
      <c r="M48" s="5" t="str">
        <f>IFERROR(__xludf.DUMMYFUNCTION("SPARKLINE(GoogleFinance(C48, ""price"", TODAY()-180,TODAY()))"),"")</f>
        <v/>
      </c>
      <c r="N48" s="5">
        <f t="shared" si="7"/>
        <v>20602.125</v>
      </c>
      <c r="O48" s="4">
        <f t="shared" si="8"/>
        <v>0.7135257348</v>
      </c>
      <c r="P48" s="4">
        <f t="shared" si="9"/>
        <v>2.456472166</v>
      </c>
    </row>
    <row r="49">
      <c r="B49" s="1" t="str">
        <f>IFERROR(__xludf.DUMMYFUNCTION("GOOGLEFINANCE(C49,B$3)"),"Pfizer Inc")</f>
        <v>Pfizer Inc</v>
      </c>
      <c r="C49" s="1" t="s">
        <v>78</v>
      </c>
      <c r="D49" s="10" t="s">
        <v>11</v>
      </c>
      <c r="E49" s="3">
        <v>190.0</v>
      </c>
      <c r="F49" s="1">
        <f>IFERROR(__xludf.DUMMYFUNCTION("INDEX(GOOGLEFINANCE(C49,""close"",F$2),2,2)"),26.61)</f>
        <v>26.61</v>
      </c>
      <c r="G49" s="1">
        <f>IFERROR(__xludf.DUMMYFUNCTION("GOOGLEFINANCE(C49)"),27.14)</f>
        <v>27.14</v>
      </c>
      <c r="H49" s="20">
        <v>27.08</v>
      </c>
      <c r="I49" s="5">
        <f t="shared" si="6"/>
        <v>5156.6</v>
      </c>
      <c r="J49" s="4">
        <f t="shared" si="2"/>
        <v>0.003154976456</v>
      </c>
      <c r="K49" s="4">
        <f>IFERROR(__xludf.DUMMYFUNCTION("GOOGLEFINANCE(C49,""changepct"")/100"),0.003)</f>
        <v>0.003</v>
      </c>
      <c r="L49" s="5" t="str">
        <f>IFERROR(__xludf.DUMMYFUNCTION("SPARKLINE(GoogleFinance(C49, ""price"", TODAY()-30,TODAY()))"),"")</f>
        <v/>
      </c>
      <c r="M49" s="5" t="str">
        <f>IFERROR(__xludf.DUMMYFUNCTION("SPARKLINE(GoogleFinance(C49, ""price"", TODAY()-180,TODAY()))"),"")</f>
        <v/>
      </c>
      <c r="N49" s="5">
        <f t="shared" si="7"/>
        <v>11.4</v>
      </c>
      <c r="O49" s="4">
        <f t="shared" si="8"/>
        <v>0.01991732431</v>
      </c>
      <c r="P49" s="4">
        <f t="shared" si="9"/>
        <v>0.002215657312</v>
      </c>
    </row>
    <row r="50">
      <c r="B50" s="1" t="str">
        <f>IFERROR(__xludf.DUMMYFUNCTION("GOOGLEFINANCE(C50,B$3)"),"Revolution Medicines Inc")</f>
        <v>Revolution Medicines Inc</v>
      </c>
      <c r="C50" s="3" t="s">
        <v>79</v>
      </c>
      <c r="D50" s="10" t="s">
        <v>11</v>
      </c>
      <c r="E50" s="3">
        <v>328.0</v>
      </c>
      <c r="F50" s="1">
        <f>IFERROR(__xludf.DUMMYFUNCTION("INDEX(GOOGLEFINANCE(C50,""close"",F$2),2,2)"),44.0)</f>
        <v>44</v>
      </c>
      <c r="G50" s="1">
        <f>IFERROR(__xludf.DUMMYFUNCTION("GOOGLEFINANCE(C50)"),104.83)</f>
        <v>104.83</v>
      </c>
      <c r="H50" s="20">
        <v>39.615</v>
      </c>
      <c r="I50" s="5">
        <f t="shared" si="6"/>
        <v>34384.24</v>
      </c>
      <c r="J50" s="4">
        <f t="shared" si="2"/>
        <v>0.0210374021</v>
      </c>
      <c r="K50" s="4">
        <f>IFERROR(__xludf.DUMMYFUNCTION("GOOGLEFINANCE(C50,""changepct"")/100"),0.011000000000000001)</f>
        <v>0.011</v>
      </c>
      <c r="L50" s="5" t="str">
        <f>IFERROR(__xludf.DUMMYFUNCTION("SPARKLINE(GoogleFinance(C50, ""price"", TODAY()-30,TODAY()))"),"")</f>
        <v/>
      </c>
      <c r="M50" s="5" t="str">
        <f>IFERROR(__xludf.DUMMYFUNCTION("SPARKLINE(GoogleFinance(C50, ""price"", TODAY()-180,TODAY()))"),"")</f>
        <v/>
      </c>
      <c r="N50" s="5">
        <f t="shared" si="7"/>
        <v>21390.52</v>
      </c>
      <c r="O50" s="4">
        <f t="shared" si="8"/>
        <v>1.3825</v>
      </c>
      <c r="P50" s="4">
        <f t="shared" si="9"/>
        <v>1.646219866</v>
      </c>
    </row>
    <row r="51">
      <c r="B51" s="1" t="str">
        <f>IFERROR(__xludf.DUMMYFUNCTION("GOOGLEFINANCE(C51,B$3)"),"Rtx Corp")</f>
        <v>Rtx Corp</v>
      </c>
      <c r="C51" s="1" t="s">
        <v>80</v>
      </c>
      <c r="D51" s="10" t="s">
        <v>14</v>
      </c>
      <c r="E51" s="3">
        <v>80.0</v>
      </c>
      <c r="F51" s="1">
        <f>IFERROR(__xludf.DUMMYFUNCTION("INDEX(GOOGLEFINANCE(C51,""close"",F$2),2,2)"),116.01)</f>
        <v>116.01</v>
      </c>
      <c r="G51" s="1">
        <f>IFERROR(__xludf.DUMMYFUNCTION("GOOGLEFINANCE(C51)"),198.46)</f>
        <v>198.46</v>
      </c>
      <c r="H51" s="20">
        <v>57.34</v>
      </c>
      <c r="I51" s="5">
        <f t="shared" si="6"/>
        <v>15876.8</v>
      </c>
      <c r="J51" s="4">
        <f t="shared" si="2"/>
        <v>0.009713945273</v>
      </c>
      <c r="K51" s="4">
        <f>IFERROR(__xludf.DUMMYFUNCTION("GOOGLEFINANCE(C51,""changepct"")/100"),-0.0171)</f>
        <v>-0.0171</v>
      </c>
      <c r="L51" s="5" t="str">
        <f>IFERROR(__xludf.DUMMYFUNCTION("SPARKLINE(GoogleFinance(C51, ""price"", TODAY()-30,TODAY()))"),"")</f>
        <v/>
      </c>
      <c r="M51" s="5" t="str">
        <f>IFERROR(__xludf.DUMMYFUNCTION("SPARKLINE(GoogleFinance(C51, ""price"", TODAY()-180,TODAY()))"),"")</f>
        <v/>
      </c>
      <c r="N51" s="5">
        <f t="shared" si="7"/>
        <v>11289.6</v>
      </c>
      <c r="O51" s="4">
        <f t="shared" si="8"/>
        <v>0.7107145936</v>
      </c>
      <c r="P51" s="4">
        <f t="shared" si="9"/>
        <v>2.461109173</v>
      </c>
    </row>
    <row r="52">
      <c r="B52" s="1" t="str">
        <f>IFERROR(__xludf.DUMMYFUNCTION("GOOGLEFINANCE(C52,B$3)"),"T-Mobile Us Inc")</f>
        <v>T-Mobile Us Inc</v>
      </c>
      <c r="C52" s="1" t="s">
        <v>81</v>
      </c>
      <c r="D52" s="10" t="s">
        <v>17</v>
      </c>
      <c r="E52" s="3">
        <v>213.0</v>
      </c>
      <c r="F52" s="1">
        <f>IFERROR(__xludf.DUMMYFUNCTION("INDEX(GOOGLEFINANCE(C52,""close"",F$2),2,2)"),219.53)</f>
        <v>219.53</v>
      </c>
      <c r="G52" s="1">
        <f>IFERROR(__xludf.DUMMYFUNCTION("GOOGLEFINANCE(C52)"),221.98)</f>
        <v>221.98</v>
      </c>
      <c r="H52" s="20">
        <v>140.92</v>
      </c>
      <c r="I52" s="5">
        <f t="shared" si="6"/>
        <v>47281.74</v>
      </c>
      <c r="J52" s="4">
        <f t="shared" si="2"/>
        <v>0.02892851423</v>
      </c>
      <c r="K52" s="4">
        <f>IFERROR(__xludf.DUMMYFUNCTION("GOOGLEFINANCE(C52,""changepct"")/100"),0.0092)</f>
        <v>0.0092</v>
      </c>
      <c r="L52" s="5" t="str">
        <f>IFERROR(__xludf.DUMMYFUNCTION("SPARKLINE(GoogleFinance(C52, ""price"", TODAY()-30,TODAY()))"),"")</f>
        <v/>
      </c>
      <c r="M52" s="5" t="str">
        <f>IFERROR(__xludf.DUMMYFUNCTION("SPARKLINE(GoogleFinance(C52, ""price"", TODAY()-180,TODAY()))"),"")</f>
        <v/>
      </c>
      <c r="N52" s="5">
        <f t="shared" si="7"/>
        <v>17265.78</v>
      </c>
      <c r="O52" s="4">
        <f t="shared" si="8"/>
        <v>0.01116020589</v>
      </c>
      <c r="P52" s="4">
        <f t="shared" si="9"/>
        <v>0.575219983</v>
      </c>
    </row>
    <row r="53">
      <c r="B53" s="1" t="str">
        <f>IFERROR(__xludf.DUMMYFUNCTION("GOOGLEFINANCE(C53,B$3)"),"Thermo Fisher Scientific Inc")</f>
        <v>Thermo Fisher Scientific Inc</v>
      </c>
      <c r="C53" s="1" t="s">
        <v>82</v>
      </c>
      <c r="D53" s="10" t="s">
        <v>11</v>
      </c>
      <c r="E53" s="3">
        <v>23.0</v>
      </c>
      <c r="F53" s="1">
        <f>IFERROR(__xludf.DUMMYFUNCTION("INDEX(GOOGLEFINANCE(C53,""close"",F$2),2,2)"),522.57)</f>
        <v>522.57</v>
      </c>
      <c r="G53" s="1">
        <f>IFERROR(__xludf.DUMMYFUNCTION("GOOGLEFINANCE(C53)"),515.6)</f>
        <v>515.6</v>
      </c>
      <c r="H53" s="20">
        <v>259.18</v>
      </c>
      <c r="I53" s="5">
        <f t="shared" si="6"/>
        <v>11858.8</v>
      </c>
      <c r="J53" s="4">
        <f t="shared" si="2"/>
        <v>0.007255601519</v>
      </c>
      <c r="K53" s="4">
        <f>IFERROR(__xludf.DUMMYFUNCTION("GOOGLEFINANCE(C53,""changepct"")/100"),-0.0016)</f>
        <v>-0.0016</v>
      </c>
      <c r="L53" s="5" t="str">
        <f>IFERROR(__xludf.DUMMYFUNCTION("SPARKLINE(GoogleFinance(C53, ""price"", TODAY()-30,TODAY()))"),"")</f>
        <v/>
      </c>
      <c r="M53" s="5" t="str">
        <f>IFERROR(__xludf.DUMMYFUNCTION("SPARKLINE(GoogleFinance(C53, ""price"", TODAY()-180,TODAY()))"),"")</f>
        <v/>
      </c>
      <c r="N53" s="5">
        <f t="shared" si="7"/>
        <v>5897.66</v>
      </c>
      <c r="O53" s="4">
        <f t="shared" si="8"/>
        <v>-0.01333792602</v>
      </c>
      <c r="P53" s="4">
        <f t="shared" si="9"/>
        <v>0.9893510302</v>
      </c>
    </row>
    <row r="54">
      <c r="B54" s="1" t="str">
        <f>IFERROR(__xludf.DUMMYFUNCTION("GOOGLEFINANCE(C54,B$3)"),"Toyota Motor Corp")</f>
        <v>Toyota Motor Corp</v>
      </c>
      <c r="C54" s="1" t="s">
        <v>83</v>
      </c>
      <c r="D54" s="10" t="s">
        <v>8</v>
      </c>
      <c r="E54" s="3">
        <v>40.0</v>
      </c>
      <c r="F54" s="1">
        <f>IFERROR(__xludf.DUMMYFUNCTION("INDEX(GOOGLEFINANCE(C54,""close"",F$2),2,2)"),193.12)</f>
        <v>193.12</v>
      </c>
      <c r="G54" s="1">
        <f>IFERROR(__xludf.DUMMYFUNCTION("GOOGLEFINANCE(C54)"),238.64)</f>
        <v>238.64</v>
      </c>
      <c r="H54" s="20">
        <v>121.51</v>
      </c>
      <c r="I54" s="5">
        <f t="shared" si="6"/>
        <v>9545.6</v>
      </c>
      <c r="J54" s="4">
        <f t="shared" si="2"/>
        <v>0.005840310138</v>
      </c>
      <c r="K54" s="4">
        <f>IFERROR(__xludf.DUMMYFUNCTION("GOOGLEFINANCE(C54,""changepct"")/100"),0.0026)</f>
        <v>0.0026</v>
      </c>
      <c r="L54" s="5" t="str">
        <f>IFERROR(__xludf.DUMMYFUNCTION("SPARKLINE(GoogleFinance(C54, ""price"", TODAY()-30,TODAY()))"),"")</f>
        <v/>
      </c>
      <c r="M54" s="5" t="str">
        <f>IFERROR(__xludf.DUMMYFUNCTION("SPARKLINE(GoogleFinance(C54, ""price"", TODAY()-180,TODAY()))"),"")</f>
        <v/>
      </c>
      <c r="N54" s="5">
        <f t="shared" si="7"/>
        <v>4685.2</v>
      </c>
      <c r="O54" s="4">
        <f t="shared" si="8"/>
        <v>0.2357083679</v>
      </c>
      <c r="P54" s="4">
        <f t="shared" si="9"/>
        <v>0.9639535841</v>
      </c>
    </row>
    <row r="55">
      <c r="B55" s="1" t="str">
        <f>IFERROR(__xludf.DUMMYFUNCTION("GOOGLEFINANCE(C55,B$3)"),"TransMedics Group Inc")</f>
        <v>TransMedics Group Inc</v>
      </c>
      <c r="C55" s="1" t="s">
        <v>84</v>
      </c>
      <c r="D55" s="10" t="s">
        <v>11</v>
      </c>
      <c r="E55" s="3">
        <v>278.0</v>
      </c>
      <c r="F55" s="1">
        <f>IFERROR(__xludf.DUMMYFUNCTION("INDEX(GOOGLEFINANCE(C55,""close"",F$2),2,2)"),66.5)</f>
        <v>66.5</v>
      </c>
      <c r="G55" s="1">
        <f>IFERROR(__xludf.DUMMYFUNCTION("GOOGLEFINANCE(C55)"),137.78)</f>
        <v>137.78</v>
      </c>
      <c r="H55" s="20">
        <v>84.0</v>
      </c>
      <c r="I55" s="5">
        <f t="shared" si="6"/>
        <v>38302.84</v>
      </c>
      <c r="J55" s="4">
        <f t="shared" si="2"/>
        <v>0.02343492968</v>
      </c>
      <c r="K55" s="4">
        <f>IFERROR(__xludf.DUMMYFUNCTION("GOOGLEFINANCE(C55,""changepct"")/100"),0.0232)</f>
        <v>0.0232</v>
      </c>
      <c r="L55" s="5" t="str">
        <f>IFERROR(__xludf.DUMMYFUNCTION("SPARKLINE(GoogleFinance(C55, ""price"", TODAY()-30,TODAY()))"),"")</f>
        <v/>
      </c>
      <c r="M55" s="5" t="str">
        <f>IFERROR(__xludf.DUMMYFUNCTION("SPARKLINE(GoogleFinance(C55, ""price"", TODAY()-180,TODAY()))"),"")</f>
        <v/>
      </c>
      <c r="N55" s="5">
        <f t="shared" si="7"/>
        <v>14950.84</v>
      </c>
      <c r="O55" s="4">
        <f t="shared" si="8"/>
        <v>1.071879699</v>
      </c>
      <c r="P55" s="4">
        <f t="shared" si="9"/>
        <v>0.6402380952</v>
      </c>
    </row>
    <row r="56">
      <c r="B56" s="1" t="str">
        <f>IFERROR(__xludf.DUMMYFUNCTION("GOOGLEFINANCE(C56,B$3)"),"Union Pacific Corp")</f>
        <v>Union Pacific Corp</v>
      </c>
      <c r="C56" s="1" t="s">
        <v>85</v>
      </c>
      <c r="D56" s="10" t="s">
        <v>14</v>
      </c>
      <c r="E56" s="3">
        <v>160.0</v>
      </c>
      <c r="F56" s="1">
        <f>IFERROR(__xludf.DUMMYFUNCTION("INDEX(GOOGLEFINANCE(C56,""close"",F$2),2,2)"),229.12)</f>
        <v>229.12</v>
      </c>
      <c r="G56" s="1">
        <f>IFERROR(__xludf.DUMMYFUNCTION("GOOGLEFINANCE(C56)"),266.66)</f>
        <v>266.66</v>
      </c>
      <c r="H56" s="20">
        <v>47.08</v>
      </c>
      <c r="I56" s="5">
        <f t="shared" si="6"/>
        <v>42665.6</v>
      </c>
      <c r="J56" s="4">
        <f t="shared" si="2"/>
        <v>0.02610420887</v>
      </c>
      <c r="K56" s="4">
        <f>IFERROR(__xludf.DUMMYFUNCTION("GOOGLEFINANCE(C56,""changepct"")/100"),0.011000000000000001)</f>
        <v>0.011</v>
      </c>
      <c r="L56" s="5" t="str">
        <f>IFERROR(__xludf.DUMMYFUNCTION("SPARKLINE(GoogleFinance(C56, ""price"", TODAY()-30,TODAY()))"),"")</f>
        <v/>
      </c>
      <c r="M56" s="5" t="str">
        <f>IFERROR(__xludf.DUMMYFUNCTION("SPARKLINE(GoogleFinance(C56, ""price"", TODAY()-180,TODAY()))"),"")</f>
        <v/>
      </c>
      <c r="N56" s="5">
        <f t="shared" si="7"/>
        <v>35132.8</v>
      </c>
      <c r="O56" s="4">
        <f t="shared" si="8"/>
        <v>0.1638442737</v>
      </c>
      <c r="P56" s="4">
        <f t="shared" si="9"/>
        <v>4.663976211</v>
      </c>
    </row>
    <row r="57">
      <c r="B57" s="1" t="str">
        <f>IFERROR(__xludf.DUMMYFUNCTION("GOOGLEFINANCE(C57,B$3)"),"UnitedHealth Group Inc")</f>
        <v>UnitedHealth Group Inc</v>
      </c>
      <c r="C57" s="1" t="s">
        <v>86</v>
      </c>
      <c r="D57" s="10" t="s">
        <v>11</v>
      </c>
      <c r="E57" s="3">
        <v>75.0</v>
      </c>
      <c r="F57" s="1">
        <f>IFERROR(__xludf.DUMMYFUNCTION("INDEX(GOOGLEFINANCE(C57,""close"",F$2),2,2)"),504.51)</f>
        <v>504.51</v>
      </c>
      <c r="G57" s="1">
        <f>IFERROR(__xludf.DUMMYFUNCTION("GOOGLEFINANCE(C57)"),273.95)</f>
        <v>273.95</v>
      </c>
      <c r="H57" s="20">
        <v>67.65</v>
      </c>
      <c r="I57" s="5">
        <f t="shared" si="6"/>
        <v>20546.25</v>
      </c>
      <c r="J57" s="4">
        <f t="shared" si="2"/>
        <v>0.01257086743</v>
      </c>
      <c r="K57" s="4">
        <f>IFERROR(__xludf.DUMMYFUNCTION("GOOGLEFINANCE(C57,""changepct"")/100"),-0.0297)</f>
        <v>-0.0297</v>
      </c>
      <c r="L57" s="5" t="str">
        <f>IFERROR(__xludf.DUMMYFUNCTION("SPARKLINE(GoogleFinance(C57, ""price"", TODAY()-30,TODAY()))"),"")</f>
        <v/>
      </c>
      <c r="M57" s="5" t="str">
        <f>IFERROR(__xludf.DUMMYFUNCTION("SPARKLINE(GoogleFinance(C57, ""price"", TODAY()-180,TODAY()))"),"")</f>
        <v/>
      </c>
      <c r="N57" s="5">
        <f t="shared" si="7"/>
        <v>15472.5</v>
      </c>
      <c r="O57" s="4">
        <f t="shared" si="8"/>
        <v>-0.4569978791</v>
      </c>
      <c r="P57" s="4">
        <f t="shared" si="9"/>
        <v>3.049519586</v>
      </c>
    </row>
    <row r="58">
      <c r="B58" s="1" t="str">
        <f>IFERROR(__xludf.DUMMYFUNCTION("GOOGLEFINANCE(C58,B$3)"),"Vanguard Sht-Term Inflation-Protected Sec Idx ETF")</f>
        <v>Vanguard Sht-Term Inflation-Protected Sec Idx ETF</v>
      </c>
      <c r="C58" s="1" t="s">
        <v>87</v>
      </c>
      <c r="D58" s="10" t="s">
        <v>4</v>
      </c>
      <c r="E58" s="22">
        <v>1802.0</v>
      </c>
      <c r="F58" s="1">
        <f>IFERROR(__xludf.DUMMYFUNCTION("INDEX(GOOGLEFINANCE(C58,""close"",F$2),2,2)"),48.45)</f>
        <v>48.45</v>
      </c>
      <c r="G58" s="1">
        <f>IFERROR(__xludf.DUMMYFUNCTION("GOOGLEFINANCE(C58)"),49.76)</f>
        <v>49.76</v>
      </c>
      <c r="H58" s="20">
        <v>47.83</v>
      </c>
      <c r="I58" s="5">
        <f t="shared" si="6"/>
        <v>89667.52</v>
      </c>
      <c r="J58" s="4">
        <f t="shared" si="2"/>
        <v>0.05486152008</v>
      </c>
      <c r="K58" s="4">
        <f>IFERROR(__xludf.DUMMYFUNCTION("GOOGLEFINANCE(C58,""changepct"")/100"),-2.0E-4)</f>
        <v>-0.0002</v>
      </c>
      <c r="L58" s="5" t="str">
        <f>IFERROR(__xludf.DUMMYFUNCTION("SPARKLINE(GoogleFinance(C58, ""price"", TODAY()-30,TODAY()))"),"")</f>
        <v/>
      </c>
      <c r="M58" s="5" t="str">
        <f>IFERROR(__xludf.DUMMYFUNCTION("SPARKLINE(GoogleFinance(C58, ""price"", TODAY()-180,TODAY()))"),"")</f>
        <v/>
      </c>
      <c r="N58" s="5">
        <f t="shared" si="7"/>
        <v>3477.86</v>
      </c>
      <c r="O58" s="4">
        <f t="shared" si="8"/>
        <v>0.02703818369</v>
      </c>
      <c r="P58" s="4">
        <f t="shared" si="9"/>
        <v>0.04035124399</v>
      </c>
    </row>
    <row r="59">
      <c r="B59" s="1" t="str">
        <f>IFERROR(__xludf.DUMMYFUNCTION("GOOGLEFINANCE(C59,B$3)"),"Viatris Inc")</f>
        <v>Viatris Inc</v>
      </c>
      <c r="C59" s="1" t="s">
        <v>88</v>
      </c>
      <c r="D59" s="10" t="s">
        <v>11</v>
      </c>
      <c r="E59" s="3">
        <v>47.0</v>
      </c>
      <c r="F59" s="1">
        <f>IFERROR(__xludf.DUMMYFUNCTION("INDEX(GOOGLEFINANCE(C59,""close"",F$2),2,2)"),12.42)</f>
        <v>12.42</v>
      </c>
      <c r="G59" s="1">
        <f>IFERROR(__xludf.DUMMYFUNCTION("GOOGLEFINANCE(C59)"),16.07)</f>
        <v>16.07</v>
      </c>
      <c r="H59" s="20">
        <v>11.77</v>
      </c>
      <c r="I59" s="5">
        <f t="shared" si="6"/>
        <v>755.29</v>
      </c>
      <c r="J59" s="4">
        <f t="shared" si="2"/>
        <v>0.0004621111134</v>
      </c>
      <c r="K59" s="4">
        <f>IFERROR(__xludf.DUMMYFUNCTION("GOOGLEFINANCE(C59,""changepct"")/100"),0.0072)</f>
        <v>0.0072</v>
      </c>
      <c r="L59" s="5" t="str">
        <f>IFERROR(__xludf.DUMMYFUNCTION("SPARKLINE(GoogleFinance(C59, ""price"", TODAY()-30,TODAY()))"),"")</f>
        <v/>
      </c>
      <c r="M59" s="5" t="str">
        <f>IFERROR(__xludf.DUMMYFUNCTION("SPARKLINE(GoogleFinance(C59, ""price"", TODAY()-180,TODAY()))"),"")</f>
        <v/>
      </c>
      <c r="N59" s="5">
        <f t="shared" si="7"/>
        <v>202.1</v>
      </c>
      <c r="O59" s="4">
        <f t="shared" si="8"/>
        <v>0.2938808374</v>
      </c>
      <c r="P59" s="4">
        <f t="shared" si="9"/>
        <v>0.365335599</v>
      </c>
    </row>
    <row r="60">
      <c r="B60" s="1" t="str">
        <f>IFERROR(__xludf.DUMMYFUNCTION("GOOGLEFINANCE(C60,B$3)"),"Walt Disney Co")</f>
        <v>Walt Disney Co</v>
      </c>
      <c r="C60" s="1" t="s">
        <v>89</v>
      </c>
      <c r="D60" s="10" t="s">
        <v>17</v>
      </c>
      <c r="E60" s="3">
        <v>188.0</v>
      </c>
      <c r="F60" s="1">
        <f>IFERROR(__xludf.DUMMYFUNCTION("INDEX(GOOGLEFINANCE(C60,""close"",F$2),2,2)"),110.82)</f>
        <v>110.82</v>
      </c>
      <c r="G60" s="1">
        <f>IFERROR(__xludf.DUMMYFUNCTION("GOOGLEFINANCE(C60)"),106.05)</f>
        <v>106.05</v>
      </c>
      <c r="H60" s="20">
        <v>79.18</v>
      </c>
      <c r="I60" s="5">
        <f t="shared" si="6"/>
        <v>19937.4</v>
      </c>
      <c r="J60" s="4">
        <f t="shared" si="2"/>
        <v>0.0121983531</v>
      </c>
      <c r="K60" s="4">
        <f>IFERROR(__xludf.DUMMYFUNCTION("GOOGLEFINANCE(C60,""changepct"")/100"),0.015700000000000002)</f>
        <v>0.0157</v>
      </c>
      <c r="L60" s="5" t="str">
        <f>IFERROR(__xludf.DUMMYFUNCTION("SPARKLINE(GoogleFinance(C60, ""price"", TODAY()-30,TODAY()))"),"")</f>
        <v/>
      </c>
      <c r="M60" s="5" t="str">
        <f>IFERROR(__xludf.DUMMYFUNCTION("SPARKLINE(GoogleFinance(C60, ""price"", TODAY()-180,TODAY()))"),"")</f>
        <v/>
      </c>
      <c r="N60" s="5">
        <f t="shared" si="7"/>
        <v>5051.56</v>
      </c>
      <c r="O60" s="4">
        <f t="shared" si="8"/>
        <v>-0.04304277206</v>
      </c>
      <c r="P60" s="4">
        <f t="shared" si="9"/>
        <v>0.3393533721</v>
      </c>
    </row>
    <row r="61">
      <c r="B61" s="1" t="str">
        <f>IFERROR(__xludf.DUMMYFUNCTION("GOOGLEFINANCE(C61,B$3)"),"Waste Management Inc")</f>
        <v>Waste Management Inc</v>
      </c>
      <c r="C61" s="3" t="s">
        <v>90</v>
      </c>
      <c r="D61" s="10" t="s">
        <v>14</v>
      </c>
      <c r="E61" s="3">
        <v>48.0</v>
      </c>
      <c r="F61" s="1">
        <f>IFERROR(__xludf.DUMMYFUNCTION("INDEX(GOOGLEFINANCE(C61,""close"",F$2),2,2)"),200.54)</f>
        <v>200.54</v>
      </c>
      <c r="G61" s="1">
        <f>IFERROR(__xludf.DUMMYFUNCTION("GOOGLEFINANCE(C61)"),229.58)</f>
        <v>229.58</v>
      </c>
      <c r="H61" s="20">
        <v>206.28</v>
      </c>
      <c r="I61" s="5">
        <f t="shared" si="6"/>
        <v>11019.84</v>
      </c>
      <c r="J61" s="4">
        <f t="shared" si="2"/>
        <v>0.006742298365</v>
      </c>
      <c r="K61" s="4">
        <f>IFERROR(__xludf.DUMMYFUNCTION("GOOGLEFINANCE(C61,""changepct"")/100"),-0.0043)</f>
        <v>-0.0043</v>
      </c>
      <c r="L61" s="5" t="str">
        <f>IFERROR(__xludf.DUMMYFUNCTION("SPARKLINE(GoogleFinance(C61, ""price"", TODAY()-30,TODAY()))"),"")</f>
        <v/>
      </c>
      <c r="M61" s="5" t="str">
        <f>IFERROR(__xludf.DUMMYFUNCTION("SPARKLINE(GoogleFinance(C61, ""price"", TODAY()-180,TODAY()))"),"")</f>
        <v/>
      </c>
      <c r="N61" s="5">
        <f t="shared" si="7"/>
        <v>1118.4</v>
      </c>
      <c r="O61" s="4">
        <f t="shared" si="8"/>
        <v>0.1448090157</v>
      </c>
      <c r="P61" s="4">
        <f t="shared" si="9"/>
        <v>0.1129532674</v>
      </c>
    </row>
    <row r="63">
      <c r="H63" s="23" t="s">
        <v>91</v>
      </c>
      <c r="I63" s="5">
        <f>sum(I4:I61)</f>
        <v>1634433.75</v>
      </c>
    </row>
    <row r="143">
      <c r="I143" s="6"/>
    </row>
  </sheetData>
  <autoFilter ref="$B$2:$P$61"/>
  <conditionalFormatting sqref="O4:O61 P4:P60">
    <cfRule type="colorScale" priority="1">
      <colorScale>
        <cfvo type="formula" val="-0.07159863946"/>
        <cfvo type="formula" val="0"/>
        <cfvo type="max"/>
        <color rgb="FFE67C73"/>
        <color rgb="FFFFFFFF"/>
        <color rgb="FF57BB8A"/>
      </colorScale>
    </cfRule>
  </conditionalFormatting>
  <conditionalFormatting sqref="O4:O61 P4:P60">
    <cfRule type="colorScale" priority="2">
      <colorScale>
        <cfvo type="min"/>
        <cfvo type="formula" val="0"/>
        <color rgb="FFE67C73"/>
        <color rgb="FFFFFFFF"/>
      </colorScale>
    </cfRule>
  </conditionalFormatting>
  <dataValidations>
    <dataValidation type="list" allowBlank="1" showErrorMessage="1" sqref="F2">
      <formula1>Dates!B$2:B$1000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hidden="1" min="6" max="65" width="12.63"/>
  </cols>
  <sheetData>
    <row r="1">
      <c r="B1" s="24" t="s">
        <v>92</v>
      </c>
      <c r="C1" s="24" t="s">
        <v>93</v>
      </c>
      <c r="D1" s="24" t="s">
        <v>94</v>
      </c>
      <c r="E1" s="24" t="s">
        <v>95</v>
      </c>
      <c r="F1" s="3" t="s">
        <v>33</v>
      </c>
      <c r="G1" s="3" t="s">
        <v>34</v>
      </c>
      <c r="H1" s="3" t="s">
        <v>35</v>
      </c>
      <c r="I1" s="3" t="s">
        <v>36</v>
      </c>
      <c r="J1" s="1" t="s">
        <v>37</v>
      </c>
      <c r="K1" s="1" t="s">
        <v>38</v>
      </c>
      <c r="L1" s="1" t="s">
        <v>39</v>
      </c>
      <c r="M1" s="3" t="s">
        <v>40</v>
      </c>
      <c r="N1" s="1" t="s">
        <v>41</v>
      </c>
      <c r="O1" s="1" t="s">
        <v>96</v>
      </c>
      <c r="P1" s="1" t="s">
        <v>44</v>
      </c>
      <c r="Q1" s="1" t="s">
        <v>46</v>
      </c>
      <c r="R1" s="3" t="s">
        <v>43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97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98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3" t="s">
        <v>65</v>
      </c>
      <c r="AN1" s="1" t="s">
        <v>66</v>
      </c>
      <c r="AO1" s="1" t="s">
        <v>67</v>
      </c>
      <c r="AP1" s="1" t="s">
        <v>99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73</v>
      </c>
      <c r="AV1" s="1" t="s">
        <v>75</v>
      </c>
      <c r="AW1" s="1" t="s">
        <v>76</v>
      </c>
      <c r="AX1" s="3" t="s">
        <v>100</v>
      </c>
      <c r="AY1" s="3" t="s">
        <v>77</v>
      </c>
      <c r="AZ1" s="1" t="s">
        <v>101</v>
      </c>
      <c r="BA1" s="1" t="s">
        <v>78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102</v>
      </c>
      <c r="BH1" s="1" t="s">
        <v>85</v>
      </c>
      <c r="BI1" s="1" t="s">
        <v>86</v>
      </c>
      <c r="BJ1" s="1" t="s">
        <v>87</v>
      </c>
      <c r="BK1" s="1" t="s">
        <v>88</v>
      </c>
      <c r="BL1" s="3" t="s">
        <v>90</v>
      </c>
      <c r="BM1" s="1" t="s">
        <v>89</v>
      </c>
      <c r="BN1" s="3" t="s">
        <v>103</v>
      </c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>
      <c r="A2" s="25" t="str">
        <f>IFERROR(__xludf.DUMMYFUNCTION("INDEX(GOOGLEFINANCE(F$1, ""price"", DATE(2024,5,13), TODAY(), ""DAILY""), ,1)"),"#REF!")</f>
        <v>#REF!</v>
      </c>
      <c r="B2" s="15" t="str">
        <f>IFERROR(__xludf.DUMMYFUNCTION("INDEX(GOOGLEFINANCE(B$1, ""price"", DATE(2024,5,13), TODAY(), ""DAILY""), ,2)"),"Close")</f>
        <v>Close</v>
      </c>
      <c r="C2" s="15" t="str">
        <f>IFERROR(__xludf.DUMMYFUNCTION("INDEX(GOOGLEFINANCE(C$1, ""price"", DATE(2024,5,13), TODAY(), ""DAILY""), ,2)"),"Close")</f>
        <v>Close</v>
      </c>
      <c r="D2" s="15" t="str">
        <f>IFERROR(__xludf.DUMMYFUNCTION("INDEX(GOOGLEFINANCE(D$1, ""price"", DATE(2024,5,13), TODAY(), ""DAILY""), ,2)"),"Close")</f>
        <v>Close</v>
      </c>
      <c r="E2" s="15" t="str">
        <f>IFERROR(__xludf.DUMMYFUNCTION("INDEX(GOOGLEFINANCE(E$1, ""price"", DATE(2024,5,13), TODAY(), ""DAILY""), ,2)"),"Close")</f>
        <v>Close</v>
      </c>
      <c r="F2" s="3" t="str">
        <f>IFERROR(__xludf.DUMMYFUNCTION("INDEX(GOOGLEFINANCE(F$1, ""price"", DATE(2024,5,13), TODAY(), ""DAILY""), ,2)"),"Close")</f>
        <v>Close</v>
      </c>
      <c r="G2" s="3" t="str">
        <f>IFERROR(__xludf.DUMMYFUNCTION("INDEX(GOOGLEFINANCE(G$1, ""price"", DATE(2024,5,13), TODAY(), ""DAILY""), ,2)"),"Close")</f>
        <v>Close</v>
      </c>
      <c r="H2" s="3" t="str">
        <f>IFERROR(__xludf.DUMMYFUNCTION("INDEX(GOOGLEFINANCE(H$1, ""price"", DATE(2024,5,13), TODAY(), ""DAILY""), ,2)"),"Close")</f>
        <v>Close</v>
      </c>
      <c r="I2" s="3" t="str">
        <f>IFERROR(__xludf.DUMMYFUNCTION("INDEX(GOOGLEFINANCE(I$1, ""price"", DATE(2024,5,13), TODAY(), ""DAILY""), ,2)"),"Close")</f>
        <v>Close</v>
      </c>
      <c r="J2" s="3" t="str">
        <f>IFERROR(__xludf.DUMMYFUNCTION("INDEX(GOOGLEFINANCE(J$1, ""price"", DATE(2024,5,13), TODAY(), ""DAILY""), ,2)"),"Close")</f>
        <v>Close</v>
      </c>
      <c r="K2" s="3" t="str">
        <f>IFERROR(__xludf.DUMMYFUNCTION("INDEX(GOOGLEFINANCE(K$1, ""price"", DATE(2024,5,13), TODAY(), ""DAILY""), ,2)"),"Close")</f>
        <v>Close</v>
      </c>
      <c r="L2" s="3" t="str">
        <f>IFERROR(__xludf.DUMMYFUNCTION("INDEX(GOOGLEFINANCE(L$1, ""price"", DATE(2024,5,13), TODAY(), ""DAILY""), ,2)"),"Close")</f>
        <v>Close</v>
      </c>
      <c r="M2" s="3" t="str">
        <f>IFERROR(__xludf.DUMMYFUNCTION("INDEX(GOOGLEFINANCE(M$1, ""price"", DATE(2024,5,13), TODAY(), ""DAILY""), ,2)"),"Close")</f>
        <v>Close</v>
      </c>
      <c r="N2" s="3" t="str">
        <f>IFERROR(__xludf.DUMMYFUNCTION("INDEX(GOOGLEFINANCE(N$1, ""price"", DATE(2024,5,13), TODAY(), ""DAILY""), ,2)"),"Close")</f>
        <v>Close</v>
      </c>
      <c r="O2" s="3" t="str">
        <f>IFERROR(__xludf.DUMMYFUNCTION("INDEX(GOOGLEFINANCE(O$1, ""price"", DATE(2024,5,13), TODAY(), ""DAILY""), ,2)"),"Close")</f>
        <v>Close</v>
      </c>
      <c r="P2" s="3" t="str">
        <f>IFERROR(__xludf.DUMMYFUNCTION("INDEX(GOOGLEFINANCE(P$1, ""price"", DATE(2024,5,13), TODAY(), ""DAILY""), ,2)"),"Close")</f>
        <v>Close</v>
      </c>
      <c r="Q2" s="3" t="str">
        <f>IFERROR(__xludf.DUMMYFUNCTION("INDEX(GOOGLEFINANCE(Q$1, ""price"", DATE(2024,5,13), TODAY(), ""DAILY""), ,2)"),"Close")</f>
        <v>Close</v>
      </c>
      <c r="R2" s="3" t="str">
        <f>IFERROR(__xludf.DUMMYFUNCTION("INDEX(GOOGLEFINANCE(R$1, ""price"", DATE(2024,5,13), TODAY(), ""DAILY""), ,2)"),"Close")</f>
        <v>Close</v>
      </c>
      <c r="S2" s="3" t="str">
        <f>IFERROR(__xludf.DUMMYFUNCTION("INDEX(GOOGLEFINANCE(S$1, ""price"", DATE(2024,5,13), TODAY(), ""DAILY""), ,2)"),"Close")</f>
        <v>Close</v>
      </c>
      <c r="T2" s="3" t="str">
        <f>IFERROR(__xludf.DUMMYFUNCTION("INDEX(GOOGLEFINANCE(T$1, ""price"", DATE(2024,5,13), TODAY(), ""DAILY""), ,2)"),"Close")</f>
        <v>Close</v>
      </c>
      <c r="U2" s="3" t="str">
        <f>IFERROR(__xludf.DUMMYFUNCTION("INDEX(GOOGLEFINANCE(U$1, ""price"", DATE(2024,5,13), TODAY(), ""DAILY""), ,2)"),"Close")</f>
        <v>Close</v>
      </c>
      <c r="V2" s="3" t="str">
        <f>IFERROR(__xludf.DUMMYFUNCTION("INDEX(GOOGLEFINANCE(V$1, ""price"", DATE(2024,5,13), TODAY(), ""DAILY""), ,2)"),"Close")</f>
        <v>Close</v>
      </c>
      <c r="W2" s="3" t="str">
        <f>IFERROR(__xludf.DUMMYFUNCTION("INDEX(GOOGLEFINANCE(W$1, ""price"", DATE(2024,5,13), TODAY(), ""DAILY""), ,2)"),"Close")</f>
        <v>Close</v>
      </c>
      <c r="X2" s="3" t="str">
        <f>IFERROR(__xludf.DUMMYFUNCTION("INDEX(GOOGLEFINANCE(X$1, ""price"", DATE(2024,5,13), TODAY(), ""DAILY""), ,2)"),"Close")</f>
        <v>Close</v>
      </c>
      <c r="Y2" s="3" t="str">
        <f>IFERROR(__xludf.DUMMYFUNCTION("INDEX(GOOGLEFINANCE(Y$1, ""price"", DATE(2024,5,13), TODAY(), ""DAILY""), ,2)"),"Close")</f>
        <v>Close</v>
      </c>
      <c r="Z2" s="3" t="str">
        <f>IFERROR(__xludf.DUMMYFUNCTION("INDEX(GOOGLEFINANCE(Z$1, ""price"", DATE(2024,5,13), TODAY(), ""DAILY""), ,2)"),"Close")</f>
        <v>Close</v>
      </c>
      <c r="AA2" s="3" t="str">
        <f>IFERROR(__xludf.DUMMYFUNCTION("INDEX(GOOGLEFINANCE(AA$1, ""price"", DATE(2024,5,13), TODAY(), ""DAILY""), ,2)"),"Close")</f>
        <v>Close</v>
      </c>
      <c r="AB2" s="3" t="str">
        <f>IFERROR(__xludf.DUMMYFUNCTION("INDEX(GOOGLEFINANCE(AB$1, ""price"", DATE(2024,5,13), TODAY(), ""DAILY""), ,2)"),"Close")</f>
        <v>Close</v>
      </c>
      <c r="AC2" s="3" t="str">
        <f>IFERROR(__xludf.DUMMYFUNCTION("INDEX(GOOGLEFINANCE(AC$1, ""price"", DATE(2024,5,13), TODAY(), ""DAILY""), ,2)"),"Close")</f>
        <v>Close</v>
      </c>
      <c r="AD2" s="3" t="str">
        <f>IFERROR(__xludf.DUMMYFUNCTION("INDEX(GOOGLEFINANCE(AD$1, ""price"", DATE(2024,5,13), TODAY(), ""DAILY""), ,2)"),"Close")</f>
        <v>Close</v>
      </c>
      <c r="AE2" s="3" t="str">
        <f>IFERROR(__xludf.DUMMYFUNCTION("INDEX(GOOGLEFINANCE(AE$1, ""price"", DATE(2024,5,13), TODAY(), ""DAILY""), ,2)"),"Close")</f>
        <v>Close</v>
      </c>
      <c r="AF2" s="3" t="str">
        <f>IFERROR(__xludf.DUMMYFUNCTION("INDEX(GOOGLEFINANCE(AF$1, ""price"", DATE(2024,5,13), TODAY(), ""DAILY""), ,2)"),"Close")</f>
        <v>Close</v>
      </c>
      <c r="AG2" s="3" t="str">
        <f>IFERROR(__xludf.DUMMYFUNCTION("INDEX(GOOGLEFINANCE(AG$1, ""price"", DATE(2024,5,13), TODAY(), ""DAILY""), ,2)"),"Close")</f>
        <v>Close</v>
      </c>
      <c r="AH2" s="3" t="str">
        <f>IFERROR(__xludf.DUMMYFUNCTION("INDEX(GOOGLEFINANCE(AH$1, ""price"", DATE(2024,5,13), TODAY(), ""DAILY""), ,2)"),"Close")</f>
        <v>Close</v>
      </c>
      <c r="AI2" s="3" t="str">
        <f>IFERROR(__xludf.DUMMYFUNCTION("INDEX(GOOGLEFINANCE(AI$1, ""price"", DATE(2024,5,13), TODAY(), ""DAILY""), ,2)"),"Close")</f>
        <v>Close</v>
      </c>
      <c r="AJ2" s="3" t="str">
        <f>IFERROR(__xludf.DUMMYFUNCTION("INDEX(GOOGLEFINANCE(AJ$1, ""price"", DATE(2024,5,13), TODAY(), ""DAILY""), ,2)"),"Close")</f>
        <v>Close</v>
      </c>
      <c r="AK2" s="3" t="str">
        <f>IFERROR(__xludf.DUMMYFUNCTION("INDEX(GOOGLEFINANCE(AK$1, ""price"", DATE(2024,5,13), TODAY(), ""DAILY""), ,2)"),"Close")</f>
        <v>Close</v>
      </c>
      <c r="AL2" s="3" t="str">
        <f>IFERROR(__xludf.DUMMYFUNCTION("INDEX(GOOGLEFINANCE(AL$1, ""price"", DATE(2024,5,13), TODAY(), ""DAILY""), ,2)"),"Close")</f>
        <v>Close</v>
      </c>
      <c r="AM2" s="3" t="str">
        <f>IFERROR(__xludf.DUMMYFUNCTION("INDEX(GOOGLEFINANCE(AM$1, ""price"", DATE(2024,5,13), TODAY(), ""DAILY""), ,2)"),"Close")</f>
        <v>Close</v>
      </c>
      <c r="AN2" s="3" t="str">
        <f>IFERROR(__xludf.DUMMYFUNCTION("INDEX(GOOGLEFINANCE(AN$1, ""price"", DATE(2024,5,13), TODAY(), ""DAILY""), ,2)"),"Close")</f>
        <v>Close</v>
      </c>
      <c r="AO2" s="3" t="str">
        <f>IFERROR(__xludf.DUMMYFUNCTION("INDEX(GOOGLEFINANCE(AO$1, ""price"", DATE(2024,5,13), TODAY(), ""DAILY""), ,2)"),"Close")</f>
        <v>Close</v>
      </c>
      <c r="AP2" s="3" t="str">
        <f>IFERROR(__xludf.DUMMYFUNCTION("INDEX(GOOGLEFINANCE(AP$1, ""price"", DATE(2024,5,13), TODAY(), ""DAILY""), ,2)"),"Close")</f>
        <v>Close</v>
      </c>
      <c r="AQ2" s="3" t="str">
        <f>IFERROR(__xludf.DUMMYFUNCTION("INDEX(GOOGLEFINANCE(AQ$1, ""price"", DATE(2024,5,13), TODAY(), ""DAILY""), ,2)"),"Close")</f>
        <v>Close</v>
      </c>
      <c r="AR2" s="3" t="str">
        <f>IFERROR(__xludf.DUMMYFUNCTION("INDEX(GOOGLEFINANCE(AR$1, ""price"", DATE(2024,5,13), TODAY(), ""DAILY""), ,2)"),"Close")</f>
        <v>Close</v>
      </c>
      <c r="AS2" s="3" t="str">
        <f>IFERROR(__xludf.DUMMYFUNCTION("INDEX(GOOGLEFINANCE(AS$1, ""price"", DATE(2024,5,13), TODAY(), ""DAILY""), ,2)"),"Close")</f>
        <v>Close</v>
      </c>
      <c r="AT2" s="3" t="str">
        <f>IFERROR(__xludf.DUMMYFUNCTION("INDEX(GOOGLEFINANCE(AT$1, ""price"", DATE(2024,5,13), TODAY(), ""DAILY""), ,2)"),"Close")</f>
        <v>Close</v>
      </c>
      <c r="AU2" s="3" t="str">
        <f>IFERROR(__xludf.DUMMYFUNCTION("INDEX(GOOGLEFINANCE(AU$1, ""price"", DATE(2024,5,13), TODAY(), ""DAILY""), ,2)"),"Close")</f>
        <v>Close</v>
      </c>
      <c r="AV2" s="3" t="str">
        <f>IFERROR(__xludf.DUMMYFUNCTION("INDEX(GOOGLEFINANCE(AV$1, ""price"", DATE(2024,5,13), TODAY(), ""DAILY""), ,2)"),"Close")</f>
        <v>Close</v>
      </c>
      <c r="AW2" s="3" t="str">
        <f>IFERROR(__xludf.DUMMYFUNCTION("INDEX(GOOGLEFINANCE(AW$1, ""price"", DATE(2024,5,13), TODAY(), ""DAILY""), ,2)"),"Close")</f>
        <v>Close</v>
      </c>
      <c r="AX2" s="3" t="str">
        <f>IFERROR(__xludf.DUMMYFUNCTION("INDEX(GOOGLEFINANCE(AX$1, ""price"", DATE(2024,5,13), TODAY(), ""DAILY""), ,2)"),"Close")</f>
        <v>Close</v>
      </c>
      <c r="AY2" s="3" t="str">
        <f>IFERROR(__xludf.DUMMYFUNCTION("INDEX(GOOGLEFINANCE(AY$1, ""price"", DATE(2024,5,13), TODAY(), ""DAILY""), ,2)"),"Close")</f>
        <v>Close</v>
      </c>
      <c r="AZ2" s="3" t="str">
        <f>IFERROR(__xludf.DUMMYFUNCTION("INDEX(GOOGLEFINANCE(AZ$1, ""price"", DATE(2024,5,13), TODAY(), ""DAILY""), ,2)"),"Close")</f>
        <v>Close</v>
      </c>
      <c r="BA2" s="3" t="str">
        <f>IFERROR(__xludf.DUMMYFUNCTION("INDEX(GOOGLEFINANCE(BA$1, ""price"", DATE(2024,5,13), TODAY(), ""DAILY""), ,2)"),"Close")</f>
        <v>Close</v>
      </c>
      <c r="BB2" s="3" t="str">
        <f>IFERROR(__xludf.DUMMYFUNCTION("INDEX(GOOGLEFINANCE(BB$1, ""price"", DATE(2024,5,13), TODAY(), ""DAILY""), ,2)"),"Close")</f>
        <v>Close</v>
      </c>
      <c r="BC2" s="3" t="str">
        <f>IFERROR(__xludf.DUMMYFUNCTION("INDEX(GOOGLEFINANCE(BC$1, ""price"", DATE(2024,5,13), TODAY(), ""DAILY""), ,2)"),"Close")</f>
        <v>Close</v>
      </c>
      <c r="BD2" s="3" t="str">
        <f>IFERROR(__xludf.DUMMYFUNCTION("INDEX(GOOGLEFINANCE(BD$1, ""price"", DATE(2024,5,13), TODAY(), ""DAILY""), ,2)"),"Close")</f>
        <v>Close</v>
      </c>
      <c r="BE2" s="3" t="str">
        <f>IFERROR(__xludf.DUMMYFUNCTION("INDEX(GOOGLEFINANCE(BE$1, ""price"", DATE(2024,5,13), TODAY(), ""DAILY""), ,2)"),"Close")</f>
        <v>Close</v>
      </c>
      <c r="BF2" s="3" t="str">
        <f>IFERROR(__xludf.DUMMYFUNCTION("INDEX(GOOGLEFINANCE(BF$1, ""price"", DATE(2024,5,13), TODAY(), ""DAILY""), ,2)"),"Close")</f>
        <v>Close</v>
      </c>
      <c r="BG2" s="3" t="str">
        <f>IFERROR(__xludf.DUMMYFUNCTION("INDEX(GOOGLEFINANCE(BG$1, ""price"", DATE(2024,5,13), TODAY(), ""DAILY""), ,2)"),"Close")</f>
        <v>Close</v>
      </c>
      <c r="BH2" s="3" t="str">
        <f>IFERROR(__xludf.DUMMYFUNCTION("INDEX(GOOGLEFINANCE(BH$1, ""price"", DATE(2024,5,13), TODAY(), ""DAILY""), ,2)"),"Close")</f>
        <v>Close</v>
      </c>
      <c r="BI2" s="3" t="str">
        <f>IFERROR(__xludf.DUMMYFUNCTION("INDEX(GOOGLEFINANCE(BI$1, ""price"", DATE(2024,5,13), TODAY(), ""DAILY""), ,2)"),"Close")</f>
        <v>Close</v>
      </c>
      <c r="BJ2" s="3" t="str">
        <f>IFERROR(__xludf.DUMMYFUNCTION("INDEX(GOOGLEFINANCE(BJ$1, ""price"", DATE(2024,5,13), TODAY(), ""DAILY""), ,2)"),"Close")</f>
        <v>Close</v>
      </c>
      <c r="BK2" s="3" t="str">
        <f>IFERROR(__xludf.DUMMYFUNCTION("INDEX(GOOGLEFINANCE(BK$1, ""price"", DATE(2024,5,13), TODAY(), ""DAILY""), ,2)"),"Close")</f>
        <v>Close</v>
      </c>
      <c r="BL2" s="3" t="str">
        <f>IFERROR(__xludf.DUMMYFUNCTION("INDEX(GOOGLEFINANCE(BL$1, ""price"", DATE(2024,5,13), TODAY(), ""DAILY""), ,2)"),"Close")</f>
        <v>Close</v>
      </c>
      <c r="BM2" s="3" t="str">
        <f>IFERROR(__xludf.DUMMYFUNCTION("INDEX(GOOGLEFINANCE(BM$1, ""price"", DATE(2024,5,13), TODAY(), ""DAILY""), ,2)"),"Close")</f>
        <v>Close</v>
      </c>
      <c r="BN2" s="3" t="s">
        <v>104</v>
      </c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>
      <c r="A3" s="25">
        <v>45425.66666666667</v>
      </c>
      <c r="B3" s="17">
        <f>IFERROR(__xludf.DUMMYFUNCTION("""COMPUTED_VALUE"""),5221.42)</f>
        <v>5221.42</v>
      </c>
      <c r="C3" s="17">
        <f>IFERROR(__xludf.DUMMYFUNCTION("""COMPUTED_VALUE"""),16388.24)</f>
        <v>16388.24</v>
      </c>
      <c r="D3" s="17">
        <f>IFERROR(__xludf.DUMMYFUNCTION("""COMPUTED_VALUE"""),39431.51)</f>
        <v>39431.51</v>
      </c>
      <c r="E3" s="17">
        <f>IFERROR(__xludf.DUMMYFUNCTION("""COMPUTED_VALUE"""),2062.12)</f>
        <v>2062.12</v>
      </c>
      <c r="F3" s="26">
        <f>IFERROR(__xludf.DUMMYFUNCTION("""COMPUTED_VALUE"""),483.11)</f>
        <v>483.11</v>
      </c>
      <c r="G3" s="26">
        <f>IFERROR(__xludf.DUMMYFUNCTION("""COMPUTED_VALUE"""),186.57)</f>
        <v>186.57</v>
      </c>
      <c r="H3" s="26">
        <f>IFERROR(__xludf.DUMMYFUNCTION("""COMPUTED_VALUE"""),133.78)</f>
        <v>133.78</v>
      </c>
      <c r="I3" s="26">
        <f>IFERROR(__xludf.DUMMYFUNCTION("""COMPUTED_VALUE"""),186.28)</f>
        <v>186.28</v>
      </c>
      <c r="J3" s="26">
        <f>IFERROR(__xludf.DUMMYFUNCTION("""COMPUTED_VALUE"""),206.63)</f>
        <v>206.63</v>
      </c>
      <c r="K3" s="26">
        <f>IFERROR(__xludf.DUMMYFUNCTION("""COMPUTED_VALUE"""),57.85)</f>
        <v>57.85</v>
      </c>
      <c r="L3" s="26">
        <f>IFERROR(__xludf.DUMMYFUNCTION("""COMPUTED_VALUE"""),10.84)</f>
        <v>10.84</v>
      </c>
      <c r="M3" s="26">
        <f>IFERROR(__xludf.DUMMYFUNCTION("""COMPUTED_VALUE"""),411.22)</f>
        <v>411.22</v>
      </c>
      <c r="N3" s="26">
        <f>IFERROR(__xludf.DUMMYFUNCTION("""COMPUTED_VALUE"""),57.18)</f>
        <v>57.18</v>
      </c>
      <c r="O3" s="26">
        <f>IFERROR(__xludf.DUMMYFUNCTION("""COMPUTED_VALUE"""),225.34)</f>
        <v>225.34</v>
      </c>
      <c r="P3" s="26">
        <f>IFERROR(__xludf.DUMMYFUNCTION("""COMPUTED_VALUE"""),64.33)</f>
        <v>64.33</v>
      </c>
      <c r="Q3" s="26">
        <f>IFERROR(__xludf.DUMMYFUNCTION("""COMPUTED_VALUE"""),356.68)</f>
        <v>356.68</v>
      </c>
      <c r="R3" s="26">
        <f>IFERROR(__xludf.DUMMYFUNCTION("""COMPUTED_VALUE"""),48.98)</f>
        <v>48.98</v>
      </c>
      <c r="S3" s="26">
        <f>IFERROR(__xludf.DUMMYFUNCTION("""COMPUTED_VALUE"""),150.03)</f>
        <v>150.03</v>
      </c>
      <c r="T3" s="26">
        <f>IFERROR(__xludf.DUMMYFUNCTION("""COMPUTED_VALUE"""),164.53)</f>
        <v>164.53</v>
      </c>
      <c r="U3" s="26">
        <f>IFERROR(__xludf.DUMMYFUNCTION("""COMPUTED_VALUE"""),349.14)</f>
        <v>349.14</v>
      </c>
      <c r="V3" s="26">
        <f>IFERROR(__xludf.DUMMYFUNCTION("""COMPUTED_VALUE"""),35.94)</f>
        <v>35.94</v>
      </c>
      <c r="W3" s="26">
        <f>IFERROR(__xludf.DUMMYFUNCTION("""COMPUTED_VALUE"""),63.58)</f>
        <v>63.58</v>
      </c>
      <c r="X3" s="26">
        <f>IFERROR(__xludf.DUMMYFUNCTION("""COMPUTED_VALUE"""),97.64)</f>
        <v>97.64</v>
      </c>
      <c r="Y3" s="26">
        <f>IFERROR(__xludf.DUMMYFUNCTION("""COMPUTED_VALUE"""),143.09)</f>
        <v>143.09</v>
      </c>
      <c r="Z3" s="26">
        <f>IFERROR(__xludf.DUMMYFUNCTION("""COMPUTED_VALUE"""),120.2)</f>
        <v>120.2</v>
      </c>
      <c r="AA3" s="26">
        <f>IFERROR(__xludf.DUMMYFUNCTION("""COMPUTED_VALUE"""),510.24)</f>
        <v>510.24</v>
      </c>
      <c r="AB3" s="26">
        <f>IFERROR(__xludf.DUMMYFUNCTION("""COMPUTED_VALUE"""),51.99)</f>
        <v>51.99</v>
      </c>
      <c r="AC3" s="26">
        <f>IFERROR(__xludf.DUMMYFUNCTION("""COMPUTED_VALUE"""),117.91)</f>
        <v>117.91</v>
      </c>
      <c r="AD3" s="26">
        <f>IFERROR(__xludf.DUMMYFUNCTION("""COMPUTED_VALUE"""),266.89)</f>
        <v>266.89</v>
      </c>
      <c r="AE3" s="26">
        <f>IFERROR(__xludf.DUMMYFUNCTION("""COMPUTED_VALUE"""),405.73)</f>
        <v>405.73</v>
      </c>
      <c r="AF3" s="26">
        <f>IFERROR(__xludf.DUMMYFUNCTION("""COMPUTED_VALUE"""),293.53)</f>
        <v>293.53</v>
      </c>
      <c r="AG3" s="26">
        <f>IFERROR(__xludf.DUMMYFUNCTION("""COMPUTED_VALUE"""),45.17)</f>
        <v>45.17</v>
      </c>
      <c r="AH3" s="26">
        <f>IFERROR(__xludf.DUMMYFUNCTION("""COMPUTED_VALUE"""),67.54)</f>
        <v>67.54</v>
      </c>
      <c r="AI3" s="26">
        <f>IFERROR(__xludf.DUMMYFUNCTION("""COMPUTED_VALUE"""),453.56)</f>
        <v>453.56</v>
      </c>
      <c r="AJ3" s="26">
        <f>IFERROR(__xludf.DUMMYFUNCTION("""COMPUTED_VALUE"""),340.96)</f>
        <v>340.96</v>
      </c>
      <c r="AK3" s="26">
        <f>IFERROR(__xludf.DUMMYFUNCTION("""COMPUTED_VALUE"""),87.33)</f>
        <v>87.33</v>
      </c>
      <c r="AL3" s="26">
        <f>IFERROR(__xludf.DUMMYFUNCTION("""COMPUTED_VALUE"""),133.74)</f>
        <v>133.74</v>
      </c>
      <c r="AM3" s="26">
        <f>IFERROR(__xludf.DUMMYFUNCTION("""COMPUTED_VALUE"""),380.88)</f>
        <v>380.88</v>
      </c>
      <c r="AN3" s="26">
        <f>IFERROR(__xludf.DUMMYFUNCTION("""COMPUTED_VALUE"""),198.73)</f>
        <v>198.73</v>
      </c>
      <c r="AO3" s="26">
        <f>IFERROR(__xludf.DUMMYFUNCTION("""COMPUTED_VALUE"""),470.56)</f>
        <v>470.56</v>
      </c>
      <c r="AP3" s="26">
        <f>IFERROR(__xludf.DUMMYFUNCTION("""COMPUTED_VALUE"""),347.16)</f>
        <v>347.16</v>
      </c>
      <c r="AQ3" s="26">
        <f>IFERROR(__xludf.DUMMYFUNCTION("""COMPUTED_VALUE"""),25.69)</f>
        <v>25.69</v>
      </c>
      <c r="AR3" s="26">
        <f>IFERROR(__xludf.DUMMYFUNCTION("""COMPUTED_VALUE"""),83.52)</f>
        <v>83.52</v>
      </c>
      <c r="AS3" s="26">
        <f>IFERROR(__xludf.DUMMYFUNCTION("""COMPUTED_VALUE"""),72.41)</f>
        <v>72.41</v>
      </c>
      <c r="AT3" s="26">
        <f>IFERROR(__xludf.DUMMYFUNCTION("""COMPUTED_VALUE"""),413.72)</f>
        <v>413.72</v>
      </c>
      <c r="AU3" s="26">
        <f>IFERROR(__xludf.DUMMYFUNCTION("""COMPUTED_VALUE"""),74.58)</f>
        <v>74.58</v>
      </c>
      <c r="AV3" s="26">
        <f>IFERROR(__xludf.DUMMYFUNCTION("""COMPUTED_VALUE"""),90.4)</f>
        <v>90.4</v>
      </c>
      <c r="AW3" s="26">
        <f>IFERROR(__xludf.DUMMYFUNCTION("""COMPUTED_VALUE"""),96.59)</f>
        <v>96.59</v>
      </c>
      <c r="AX3" s="26">
        <f>IFERROR(__xludf.DUMMYFUNCTION("""COMPUTED_VALUE"""),30.69)</f>
        <v>30.69</v>
      </c>
      <c r="AY3" s="26">
        <f>IFERROR(__xludf.DUMMYFUNCTION("""COMPUTED_VALUE"""),20.94)</f>
        <v>20.94</v>
      </c>
      <c r="AZ3" s="26">
        <f>IFERROR(__xludf.DUMMYFUNCTION("""COMPUTED_VALUE"""),63.95)</f>
        <v>63.95</v>
      </c>
      <c r="BA3" s="26">
        <f>IFERROR(__xludf.DUMMYFUNCTION("""COMPUTED_VALUE"""),28.44)</f>
        <v>28.44</v>
      </c>
      <c r="BB3" s="26">
        <f>IFERROR(__xludf.DUMMYFUNCTION("""COMPUTED_VALUE"""),105.8)</f>
        <v>105.8</v>
      </c>
      <c r="BC3" s="26">
        <f>IFERROR(__xludf.DUMMYFUNCTION("""COMPUTED_VALUE"""),163.35)</f>
        <v>163.35</v>
      </c>
      <c r="BD3" s="26">
        <f>IFERROR(__xludf.DUMMYFUNCTION("""COMPUTED_VALUE"""),590.7)</f>
        <v>590.7</v>
      </c>
      <c r="BE3" s="26">
        <f>IFERROR(__xludf.DUMMYFUNCTION("""COMPUTED_VALUE"""),215.64)</f>
        <v>215.64</v>
      </c>
      <c r="BF3" s="26">
        <f>IFERROR(__xludf.DUMMYFUNCTION("""COMPUTED_VALUE"""),132.04)</f>
        <v>132.04</v>
      </c>
      <c r="BG3" s="26">
        <f>IFERROR(__xludf.DUMMYFUNCTION("""COMPUTED_VALUE"""),6.78)</f>
        <v>6.78</v>
      </c>
      <c r="BH3" s="26">
        <f>IFERROR(__xludf.DUMMYFUNCTION("""COMPUTED_VALUE"""),245.68)</f>
        <v>245.68</v>
      </c>
      <c r="BI3" s="26">
        <f>IFERROR(__xludf.DUMMYFUNCTION("""COMPUTED_VALUE"""),511.74)</f>
        <v>511.74</v>
      </c>
      <c r="BJ3" s="26">
        <f>IFERROR(__xludf.DUMMYFUNCTION("""COMPUTED_VALUE"""),48.05)</f>
        <v>48.05</v>
      </c>
      <c r="BK3" s="26">
        <f>IFERROR(__xludf.DUMMYFUNCTION("""COMPUTED_VALUE"""),11.36)</f>
        <v>11.36</v>
      </c>
      <c r="BL3" s="26">
        <f>IFERROR(__xludf.DUMMYFUNCTION("""COMPUTED_VALUE"""),210.82)</f>
        <v>210.82</v>
      </c>
      <c r="BM3" s="26">
        <f>IFERROR(__xludf.DUMMYFUNCTION("""COMPUTED_VALUE"""),105.83)</f>
        <v>105.83</v>
      </c>
    </row>
    <row r="4">
      <c r="A4" s="25">
        <v>45426.66666666667</v>
      </c>
      <c r="B4" s="17">
        <f>IFERROR(__xludf.DUMMYFUNCTION("""COMPUTED_VALUE"""),5246.68)</f>
        <v>5246.68</v>
      </c>
      <c r="C4" s="17">
        <f>IFERROR(__xludf.DUMMYFUNCTION("""COMPUTED_VALUE"""),16511.18)</f>
        <v>16511.18</v>
      </c>
      <c r="D4" s="17">
        <f>IFERROR(__xludf.DUMMYFUNCTION("""COMPUTED_VALUE"""),39558.11)</f>
        <v>39558.11</v>
      </c>
      <c r="E4" s="17">
        <f>IFERROR(__xludf.DUMMYFUNCTION("""COMPUTED_VALUE"""),2085.69)</f>
        <v>2085.69</v>
      </c>
      <c r="F4" s="26">
        <f>IFERROR(__xludf.DUMMYFUNCTION("""COMPUTED_VALUE"""),475.95)</f>
        <v>475.95</v>
      </c>
      <c r="G4" s="26">
        <f>IFERROR(__xludf.DUMMYFUNCTION("""COMPUTED_VALUE"""),187.07)</f>
        <v>187.07</v>
      </c>
      <c r="H4" s="26">
        <f>IFERROR(__xludf.DUMMYFUNCTION("""COMPUTED_VALUE"""),133.13)</f>
        <v>133.13</v>
      </c>
      <c r="I4" s="26">
        <f>IFERROR(__xludf.DUMMYFUNCTION("""COMPUTED_VALUE"""),187.43)</f>
        <v>187.43</v>
      </c>
      <c r="J4" s="26">
        <f>IFERROR(__xludf.DUMMYFUNCTION("""COMPUTED_VALUE"""),209.82)</f>
        <v>209.82</v>
      </c>
      <c r="K4" s="26">
        <f>IFERROR(__xludf.DUMMYFUNCTION("""COMPUTED_VALUE"""),58.35)</f>
        <v>58.35</v>
      </c>
      <c r="L4" s="26">
        <f>IFERROR(__xludf.DUMMYFUNCTION("""COMPUTED_VALUE"""),11.04)</f>
        <v>11.04</v>
      </c>
      <c r="M4" s="26">
        <f>IFERROR(__xludf.DUMMYFUNCTION("""COMPUTED_VALUE"""),410.24)</f>
        <v>410.24</v>
      </c>
      <c r="N4" s="26">
        <f>IFERROR(__xludf.DUMMYFUNCTION("""COMPUTED_VALUE"""),58.79)</f>
        <v>58.79</v>
      </c>
      <c r="O4" s="26">
        <f>IFERROR(__xludf.DUMMYFUNCTION("""COMPUTED_VALUE"""),226.88)</f>
        <v>226.88</v>
      </c>
      <c r="P4" s="26">
        <f>IFERROR(__xludf.DUMMYFUNCTION("""COMPUTED_VALUE"""),64.96)</f>
        <v>64.96</v>
      </c>
      <c r="Q4" s="26">
        <f>IFERROR(__xludf.DUMMYFUNCTION("""COMPUTED_VALUE"""),358.18)</f>
        <v>358.18</v>
      </c>
      <c r="R4" s="26">
        <f>IFERROR(__xludf.DUMMYFUNCTION("""COMPUTED_VALUE"""),49.98)</f>
        <v>49.98</v>
      </c>
      <c r="S4" s="26">
        <f>IFERROR(__xludf.DUMMYFUNCTION("""COMPUTED_VALUE"""),148.91)</f>
        <v>148.91</v>
      </c>
      <c r="T4" s="26">
        <f>IFERROR(__xludf.DUMMYFUNCTION("""COMPUTED_VALUE"""),163.61)</f>
        <v>163.61</v>
      </c>
      <c r="U4" s="26">
        <f>IFERROR(__xludf.DUMMYFUNCTION("""COMPUTED_VALUE"""),346.42)</f>
        <v>346.42</v>
      </c>
      <c r="V4" s="26">
        <f>IFERROR(__xludf.DUMMYFUNCTION("""COMPUTED_VALUE"""),36.43)</f>
        <v>36.43</v>
      </c>
      <c r="W4" s="26">
        <f>IFERROR(__xludf.DUMMYFUNCTION("""COMPUTED_VALUE"""),63.1)</f>
        <v>63.1</v>
      </c>
      <c r="X4" s="26">
        <f>IFERROR(__xludf.DUMMYFUNCTION("""COMPUTED_VALUE"""),96.64)</f>
        <v>96.64</v>
      </c>
      <c r="Y4" s="26">
        <f>IFERROR(__xludf.DUMMYFUNCTION("""COMPUTED_VALUE"""),141.86)</f>
        <v>141.86</v>
      </c>
      <c r="Z4" s="26">
        <f>IFERROR(__xludf.DUMMYFUNCTION("""COMPUTED_VALUE"""),118.88)</f>
        <v>118.88</v>
      </c>
      <c r="AA4" s="26">
        <f>IFERROR(__xludf.DUMMYFUNCTION("""COMPUTED_VALUE"""),510.71)</f>
        <v>510.71</v>
      </c>
      <c r="AB4" s="26">
        <f>IFERROR(__xludf.DUMMYFUNCTION("""COMPUTED_VALUE"""),52.1)</f>
        <v>52.1</v>
      </c>
      <c r="AC4" s="26">
        <f>IFERROR(__xludf.DUMMYFUNCTION("""COMPUTED_VALUE"""),117.67)</f>
        <v>117.67</v>
      </c>
      <c r="AD4" s="26">
        <f>IFERROR(__xludf.DUMMYFUNCTION("""COMPUTED_VALUE"""),259.04)</f>
        <v>259.04</v>
      </c>
      <c r="AE4" s="26">
        <f>IFERROR(__xludf.DUMMYFUNCTION("""COMPUTED_VALUE"""),411.02)</f>
        <v>411.02</v>
      </c>
      <c r="AF4" s="26">
        <f>IFERROR(__xludf.DUMMYFUNCTION("""COMPUTED_VALUE"""),294.06)</f>
        <v>294.06</v>
      </c>
      <c r="AG4" s="26">
        <f>IFERROR(__xludf.DUMMYFUNCTION("""COMPUTED_VALUE"""),45.03)</f>
        <v>45.03</v>
      </c>
      <c r="AH4" s="26">
        <f>IFERROR(__xludf.DUMMYFUNCTION("""COMPUTED_VALUE"""),67.65)</f>
        <v>67.65</v>
      </c>
      <c r="AI4" s="26">
        <f>IFERROR(__xludf.DUMMYFUNCTION("""COMPUTED_VALUE"""),458.47)</f>
        <v>458.47</v>
      </c>
      <c r="AJ4" s="26">
        <f>IFERROR(__xludf.DUMMYFUNCTION("""COMPUTED_VALUE"""),340.5)</f>
        <v>340.5</v>
      </c>
      <c r="AK4" s="26">
        <f>IFERROR(__xludf.DUMMYFUNCTION("""COMPUTED_VALUE"""),87.12)</f>
        <v>87.12</v>
      </c>
      <c r="AL4" s="26">
        <f>IFERROR(__xludf.DUMMYFUNCTION("""COMPUTED_VALUE"""),134.39)</f>
        <v>134.39</v>
      </c>
      <c r="AM4" s="26">
        <f>IFERROR(__xludf.DUMMYFUNCTION("""COMPUTED_VALUE"""),384.19)</f>
        <v>384.19</v>
      </c>
      <c r="AN4" s="26">
        <f>IFERROR(__xludf.DUMMYFUNCTION("""COMPUTED_VALUE"""),201.51)</f>
        <v>201.51</v>
      </c>
      <c r="AO4" s="26">
        <f>IFERROR(__xludf.DUMMYFUNCTION("""COMPUTED_VALUE"""),467.18)</f>
        <v>467.18</v>
      </c>
      <c r="AP4" s="26">
        <f>IFERROR(__xludf.DUMMYFUNCTION("""COMPUTED_VALUE"""),352.35)</f>
        <v>352.35</v>
      </c>
      <c r="AQ4" s="26">
        <f>IFERROR(__xludf.DUMMYFUNCTION("""COMPUTED_VALUE"""),26.01)</f>
        <v>26.01</v>
      </c>
      <c r="AR4" s="26">
        <f>IFERROR(__xludf.DUMMYFUNCTION("""COMPUTED_VALUE"""),84.3)</f>
        <v>84.3</v>
      </c>
      <c r="AS4" s="26">
        <f>IFERROR(__xludf.DUMMYFUNCTION("""COMPUTED_VALUE"""),73.31)</f>
        <v>73.31</v>
      </c>
      <c r="AT4" s="26">
        <f>IFERROR(__xludf.DUMMYFUNCTION("""COMPUTED_VALUE"""),416.56)</f>
        <v>416.56</v>
      </c>
      <c r="AU4" s="26">
        <f>IFERROR(__xludf.DUMMYFUNCTION("""COMPUTED_VALUE"""),75.42)</f>
        <v>75.42</v>
      </c>
      <c r="AV4" s="26">
        <f>IFERROR(__xludf.DUMMYFUNCTION("""COMPUTED_VALUE"""),91.36)</f>
        <v>91.36</v>
      </c>
      <c r="AW4" s="26">
        <f>IFERROR(__xludf.DUMMYFUNCTION("""COMPUTED_VALUE"""),97.07)</f>
        <v>97.07</v>
      </c>
      <c r="AX4" s="26">
        <f>IFERROR(__xludf.DUMMYFUNCTION("""COMPUTED_VALUE"""),36.3)</f>
        <v>36.3</v>
      </c>
      <c r="AY4" s="26">
        <f>IFERROR(__xludf.DUMMYFUNCTION("""COMPUTED_VALUE"""),21.44)</f>
        <v>21.44</v>
      </c>
      <c r="AZ4" s="26">
        <f>IFERROR(__xludf.DUMMYFUNCTION("""COMPUTED_VALUE"""),64.58)</f>
        <v>64.58</v>
      </c>
      <c r="BA4" s="26">
        <f>IFERROR(__xludf.DUMMYFUNCTION("""COMPUTED_VALUE"""),28.38)</f>
        <v>28.38</v>
      </c>
      <c r="BB4" s="26">
        <f>IFERROR(__xludf.DUMMYFUNCTION("""COMPUTED_VALUE"""),105.7)</f>
        <v>105.7</v>
      </c>
      <c r="BC4" s="26">
        <f>IFERROR(__xludf.DUMMYFUNCTION("""COMPUTED_VALUE"""),162.41)</f>
        <v>162.41</v>
      </c>
      <c r="BD4" s="26">
        <f>IFERROR(__xludf.DUMMYFUNCTION("""COMPUTED_VALUE"""),594.8)</f>
        <v>594.8</v>
      </c>
      <c r="BE4" s="26">
        <f>IFERROR(__xludf.DUMMYFUNCTION("""COMPUTED_VALUE"""),217.12)</f>
        <v>217.12</v>
      </c>
      <c r="BF4" s="26">
        <f>IFERROR(__xludf.DUMMYFUNCTION("""COMPUTED_VALUE"""),132.44)</f>
        <v>132.44</v>
      </c>
      <c r="BG4" s="26">
        <f>IFERROR(__xludf.DUMMYFUNCTION("""COMPUTED_VALUE"""),6.83)</f>
        <v>6.83</v>
      </c>
      <c r="BH4" s="26">
        <f>IFERROR(__xludf.DUMMYFUNCTION("""COMPUTED_VALUE"""),244.94)</f>
        <v>244.94</v>
      </c>
      <c r="BI4" s="26">
        <f>IFERROR(__xludf.DUMMYFUNCTION("""COMPUTED_VALUE"""),513.88)</f>
        <v>513.88</v>
      </c>
      <c r="BJ4" s="26">
        <f>IFERROR(__xludf.DUMMYFUNCTION("""COMPUTED_VALUE"""),48.09)</f>
        <v>48.09</v>
      </c>
      <c r="BK4" s="26">
        <f>IFERROR(__xludf.DUMMYFUNCTION("""COMPUTED_VALUE"""),11.14)</f>
        <v>11.14</v>
      </c>
      <c r="BL4" s="26">
        <f>IFERROR(__xludf.DUMMYFUNCTION("""COMPUTED_VALUE"""),209.86)</f>
        <v>209.86</v>
      </c>
      <c r="BM4" s="26">
        <f>IFERROR(__xludf.DUMMYFUNCTION("""COMPUTED_VALUE"""),105.35)</f>
        <v>105.35</v>
      </c>
    </row>
    <row r="5">
      <c r="A5" s="25">
        <v>45427.66666666667</v>
      </c>
      <c r="B5" s="17">
        <f>IFERROR(__xludf.DUMMYFUNCTION("""COMPUTED_VALUE"""),5308.15)</f>
        <v>5308.15</v>
      </c>
      <c r="C5" s="17">
        <f>IFERROR(__xludf.DUMMYFUNCTION("""COMPUTED_VALUE"""),16742.39)</f>
        <v>16742.39</v>
      </c>
      <c r="D5" s="17">
        <f>IFERROR(__xludf.DUMMYFUNCTION("""COMPUTED_VALUE"""),39908.0)</f>
        <v>39908</v>
      </c>
      <c r="E5" s="17">
        <f>IFERROR(__xludf.DUMMYFUNCTION("""COMPUTED_VALUE"""),2109.46)</f>
        <v>2109.46</v>
      </c>
      <c r="F5" s="26">
        <f>IFERROR(__xludf.DUMMYFUNCTION("""COMPUTED_VALUE"""),485.35)</f>
        <v>485.35</v>
      </c>
      <c r="G5" s="26">
        <f>IFERROR(__xludf.DUMMYFUNCTION("""COMPUTED_VALUE"""),185.99)</f>
        <v>185.99</v>
      </c>
      <c r="H5" s="26">
        <f>IFERROR(__xludf.DUMMYFUNCTION("""COMPUTED_VALUE"""),133.75)</f>
        <v>133.75</v>
      </c>
      <c r="I5" s="26">
        <f>IFERROR(__xludf.DUMMYFUNCTION("""COMPUTED_VALUE"""),189.72)</f>
        <v>189.72</v>
      </c>
      <c r="J5" s="26">
        <f>IFERROR(__xludf.DUMMYFUNCTION("""COMPUTED_VALUE"""),217.49)</f>
        <v>217.49</v>
      </c>
      <c r="K5" s="26">
        <f>IFERROR(__xludf.DUMMYFUNCTION("""COMPUTED_VALUE"""),58.8)</f>
        <v>58.8</v>
      </c>
      <c r="L5" s="26">
        <f>IFERROR(__xludf.DUMMYFUNCTION("""COMPUTED_VALUE"""),10.94)</f>
        <v>10.94</v>
      </c>
      <c r="M5" s="26">
        <f>IFERROR(__xludf.DUMMYFUNCTION("""COMPUTED_VALUE"""),412.76)</f>
        <v>412.76</v>
      </c>
      <c r="N5" s="26">
        <f>IFERROR(__xludf.DUMMYFUNCTION("""COMPUTED_VALUE"""),59.27)</f>
        <v>59.27</v>
      </c>
      <c r="O5" s="26">
        <f>IFERROR(__xludf.DUMMYFUNCTION("""COMPUTED_VALUE"""),235.32)</f>
        <v>235.32</v>
      </c>
      <c r="P5" s="26">
        <f>IFERROR(__xludf.DUMMYFUNCTION("""COMPUTED_VALUE"""),65.8)</f>
        <v>65.8</v>
      </c>
      <c r="Q5" s="26">
        <f>IFERROR(__xludf.DUMMYFUNCTION("""COMPUTED_VALUE"""),360.04)</f>
        <v>360.04</v>
      </c>
      <c r="R5" s="26">
        <f>IFERROR(__xludf.DUMMYFUNCTION("""COMPUTED_VALUE"""),49.97)</f>
        <v>49.97</v>
      </c>
      <c r="S5" s="26">
        <f>IFERROR(__xludf.DUMMYFUNCTION("""COMPUTED_VALUE"""),149.0)</f>
        <v>149</v>
      </c>
      <c r="T5" s="26">
        <f>IFERROR(__xludf.DUMMYFUNCTION("""COMPUTED_VALUE"""),163.05)</f>
        <v>163.05</v>
      </c>
      <c r="U5" s="26">
        <f>IFERROR(__xludf.DUMMYFUNCTION("""COMPUTED_VALUE"""),343.28)</f>
        <v>343.28</v>
      </c>
      <c r="V5" s="26">
        <f>IFERROR(__xludf.DUMMYFUNCTION("""COMPUTED_VALUE"""),36.84)</f>
        <v>36.84</v>
      </c>
      <c r="W5" s="26">
        <f>IFERROR(__xludf.DUMMYFUNCTION("""COMPUTED_VALUE"""),63.13)</f>
        <v>63.13</v>
      </c>
      <c r="X5" s="26">
        <f>IFERROR(__xludf.DUMMYFUNCTION("""COMPUTED_VALUE"""),96.91)</f>
        <v>96.91</v>
      </c>
      <c r="Y5" s="26">
        <f>IFERROR(__xludf.DUMMYFUNCTION("""COMPUTED_VALUE"""),144.64)</f>
        <v>144.64</v>
      </c>
      <c r="Z5" s="26">
        <f>IFERROR(__xludf.DUMMYFUNCTION("""COMPUTED_VALUE"""),118.8)</f>
        <v>118.8</v>
      </c>
      <c r="AA5" s="26">
        <f>IFERROR(__xludf.DUMMYFUNCTION("""COMPUTED_VALUE"""),517.68)</f>
        <v>517.68</v>
      </c>
      <c r="AB5" s="26">
        <f>IFERROR(__xludf.DUMMYFUNCTION("""COMPUTED_VALUE"""),52.42)</f>
        <v>52.42</v>
      </c>
      <c r="AC5" s="26">
        <f>IFERROR(__xludf.DUMMYFUNCTION("""COMPUTED_VALUE"""),118.58)</f>
        <v>118.58</v>
      </c>
      <c r="AD5" s="26">
        <f>IFERROR(__xludf.DUMMYFUNCTION("""COMPUTED_VALUE"""),259.32)</f>
        <v>259.32</v>
      </c>
      <c r="AE5" s="26">
        <f>IFERROR(__xludf.DUMMYFUNCTION("""COMPUTED_VALUE"""),417.21)</f>
        <v>417.21</v>
      </c>
      <c r="AF5" s="26">
        <f>IFERROR(__xludf.DUMMYFUNCTION("""COMPUTED_VALUE"""),294.59)</f>
        <v>294.59</v>
      </c>
      <c r="AG5" s="26">
        <f>IFERROR(__xludf.DUMMYFUNCTION("""COMPUTED_VALUE"""),45.49)</f>
        <v>45.49</v>
      </c>
      <c r="AH5" s="26">
        <f>IFERROR(__xludf.DUMMYFUNCTION("""COMPUTED_VALUE"""),67.01)</f>
        <v>67.01</v>
      </c>
      <c r="AI5" s="26">
        <f>IFERROR(__xludf.DUMMYFUNCTION("""COMPUTED_VALUE"""),466.09)</f>
        <v>466.09</v>
      </c>
      <c r="AJ5" s="26">
        <f>IFERROR(__xludf.DUMMYFUNCTION("""COMPUTED_VALUE"""),348.67)</f>
        <v>348.67</v>
      </c>
      <c r="AK5" s="26">
        <f>IFERROR(__xludf.DUMMYFUNCTION("""COMPUTED_VALUE"""),86.6)</f>
        <v>86.6</v>
      </c>
      <c r="AL5" s="26">
        <f>IFERROR(__xludf.DUMMYFUNCTION("""COMPUTED_VALUE"""),137.87)</f>
        <v>137.87</v>
      </c>
      <c r="AM5" s="26">
        <f>IFERROR(__xludf.DUMMYFUNCTION("""COMPUTED_VALUE"""),399.39)</f>
        <v>399.39</v>
      </c>
      <c r="AN5" s="26">
        <f>IFERROR(__xludf.DUMMYFUNCTION("""COMPUTED_VALUE"""),202.11)</f>
        <v>202.11</v>
      </c>
      <c r="AO5" s="26">
        <f>IFERROR(__xludf.DUMMYFUNCTION("""COMPUTED_VALUE"""),464.08)</f>
        <v>464.08</v>
      </c>
      <c r="AP5" s="26">
        <f>IFERROR(__xludf.DUMMYFUNCTION("""COMPUTED_VALUE"""),346.85)</f>
        <v>346.85</v>
      </c>
      <c r="AQ5" s="26">
        <f>IFERROR(__xludf.DUMMYFUNCTION("""COMPUTED_VALUE"""),26.15)</f>
        <v>26.15</v>
      </c>
      <c r="AR5" s="26">
        <f>IFERROR(__xludf.DUMMYFUNCTION("""COMPUTED_VALUE"""),84.72)</f>
        <v>84.72</v>
      </c>
      <c r="AS5" s="26">
        <f>IFERROR(__xludf.DUMMYFUNCTION("""COMPUTED_VALUE"""),73.13)</f>
        <v>73.13</v>
      </c>
      <c r="AT5" s="26">
        <f>IFERROR(__xludf.DUMMYFUNCTION("""COMPUTED_VALUE"""),423.08)</f>
        <v>423.08</v>
      </c>
      <c r="AU5" s="26">
        <f>IFERROR(__xludf.DUMMYFUNCTION("""COMPUTED_VALUE"""),77.05)</f>
        <v>77.05</v>
      </c>
      <c r="AV5" s="26">
        <f>IFERROR(__xludf.DUMMYFUNCTION("""COMPUTED_VALUE"""),94.63)</f>
        <v>94.63</v>
      </c>
      <c r="AW5" s="26">
        <f>IFERROR(__xludf.DUMMYFUNCTION("""COMPUTED_VALUE"""),97.27)</f>
        <v>97.27</v>
      </c>
      <c r="AX5" s="26">
        <f>IFERROR(__xludf.DUMMYFUNCTION("""COMPUTED_VALUE"""),36.42)</f>
        <v>36.42</v>
      </c>
      <c r="AY5" s="26">
        <f>IFERROR(__xludf.DUMMYFUNCTION("""COMPUTED_VALUE"""),21.67)</f>
        <v>21.67</v>
      </c>
      <c r="AZ5" s="26">
        <f>IFERROR(__xludf.DUMMYFUNCTION("""COMPUTED_VALUE"""),63.9)</f>
        <v>63.9</v>
      </c>
      <c r="BA5" s="26">
        <f>IFERROR(__xludf.DUMMYFUNCTION("""COMPUTED_VALUE"""),28.82)</f>
        <v>28.82</v>
      </c>
      <c r="BB5" s="26">
        <f>IFERROR(__xludf.DUMMYFUNCTION("""COMPUTED_VALUE"""),105.35)</f>
        <v>105.35</v>
      </c>
      <c r="BC5" s="26">
        <f>IFERROR(__xludf.DUMMYFUNCTION("""COMPUTED_VALUE"""),162.68)</f>
        <v>162.68</v>
      </c>
      <c r="BD5" s="26">
        <f>IFERROR(__xludf.DUMMYFUNCTION("""COMPUTED_VALUE"""),599.02)</f>
        <v>599.02</v>
      </c>
      <c r="BE5" s="26">
        <f>IFERROR(__xludf.DUMMYFUNCTION("""COMPUTED_VALUE"""),219.55)</f>
        <v>219.55</v>
      </c>
      <c r="BF5" s="26">
        <f>IFERROR(__xludf.DUMMYFUNCTION("""COMPUTED_VALUE"""),136.14)</f>
        <v>136.14</v>
      </c>
      <c r="BG5" s="26">
        <f>IFERROR(__xludf.DUMMYFUNCTION("""COMPUTED_VALUE"""),6.8)</f>
        <v>6.8</v>
      </c>
      <c r="BH5" s="26">
        <f>IFERROR(__xludf.DUMMYFUNCTION("""COMPUTED_VALUE"""),246.54)</f>
        <v>246.54</v>
      </c>
      <c r="BI5" s="26">
        <f>IFERROR(__xludf.DUMMYFUNCTION("""COMPUTED_VALUE"""),517.55)</f>
        <v>517.55</v>
      </c>
      <c r="BJ5" s="26">
        <f>IFERROR(__xludf.DUMMYFUNCTION("""COMPUTED_VALUE"""),48.16)</f>
        <v>48.16</v>
      </c>
      <c r="BK5" s="26">
        <f>IFERROR(__xludf.DUMMYFUNCTION("""COMPUTED_VALUE"""),11.07)</f>
        <v>11.07</v>
      </c>
      <c r="BL5" s="26">
        <f>IFERROR(__xludf.DUMMYFUNCTION("""COMPUTED_VALUE"""),209.0)</f>
        <v>209</v>
      </c>
      <c r="BM5" s="26">
        <f>IFERROR(__xludf.DUMMYFUNCTION("""COMPUTED_VALUE"""),102.77)</f>
        <v>102.77</v>
      </c>
    </row>
    <row r="6">
      <c r="A6" s="25">
        <v>45428.66666666667</v>
      </c>
      <c r="B6" s="17">
        <f>IFERROR(__xludf.DUMMYFUNCTION("""COMPUTED_VALUE"""),5297.1)</f>
        <v>5297.1</v>
      </c>
      <c r="C6" s="17">
        <f>IFERROR(__xludf.DUMMYFUNCTION("""COMPUTED_VALUE"""),16698.32)</f>
        <v>16698.32</v>
      </c>
      <c r="D6" s="17">
        <f>IFERROR(__xludf.DUMMYFUNCTION("""COMPUTED_VALUE"""),39869.38)</f>
        <v>39869.38</v>
      </c>
      <c r="E6" s="17">
        <f>IFERROR(__xludf.DUMMYFUNCTION("""COMPUTED_VALUE"""),2096.25)</f>
        <v>2096.25</v>
      </c>
      <c r="F6" s="26">
        <f>IFERROR(__xludf.DUMMYFUNCTION("""COMPUTED_VALUE"""),482.88)</f>
        <v>482.88</v>
      </c>
      <c r="G6" s="26">
        <f>IFERROR(__xludf.DUMMYFUNCTION("""COMPUTED_VALUE"""),183.63)</f>
        <v>183.63</v>
      </c>
      <c r="H6" s="26">
        <f>IFERROR(__xludf.DUMMYFUNCTION("""COMPUTED_VALUE"""),134.27)</f>
        <v>134.27</v>
      </c>
      <c r="I6" s="26">
        <f>IFERROR(__xludf.DUMMYFUNCTION("""COMPUTED_VALUE"""),189.84)</f>
        <v>189.84</v>
      </c>
      <c r="J6" s="26">
        <f>IFERROR(__xludf.DUMMYFUNCTION("""COMPUTED_VALUE"""),214.03)</f>
        <v>214.03</v>
      </c>
      <c r="K6" s="26">
        <f>IFERROR(__xludf.DUMMYFUNCTION("""COMPUTED_VALUE"""),58.77)</f>
        <v>58.77</v>
      </c>
      <c r="L6" s="26">
        <f>IFERROR(__xludf.DUMMYFUNCTION("""COMPUTED_VALUE"""),10.94)</f>
        <v>10.94</v>
      </c>
      <c r="M6" s="26">
        <f>IFERROR(__xludf.DUMMYFUNCTION("""COMPUTED_VALUE"""),413.12)</f>
        <v>413.12</v>
      </c>
      <c r="N6" s="26">
        <f>IFERROR(__xludf.DUMMYFUNCTION("""COMPUTED_VALUE"""),60.02)</f>
        <v>60.02</v>
      </c>
      <c r="O6" s="26">
        <f>IFERROR(__xludf.DUMMYFUNCTION("""COMPUTED_VALUE"""),230.04)</f>
        <v>230.04</v>
      </c>
      <c r="P6" s="26">
        <f>IFERROR(__xludf.DUMMYFUNCTION("""COMPUTED_VALUE"""),65.0)</f>
        <v>65</v>
      </c>
      <c r="Q6" s="26">
        <f>IFERROR(__xludf.DUMMYFUNCTION("""COMPUTED_VALUE"""),350.72)</f>
        <v>350.72</v>
      </c>
      <c r="R6" s="26">
        <f>IFERROR(__xludf.DUMMYFUNCTION("""COMPUTED_VALUE"""),49.83)</f>
        <v>49.83</v>
      </c>
      <c r="S6" s="26">
        <f>IFERROR(__xludf.DUMMYFUNCTION("""COMPUTED_VALUE"""),151.1)</f>
        <v>151.1</v>
      </c>
      <c r="T6" s="26">
        <f>IFERROR(__xludf.DUMMYFUNCTION("""COMPUTED_VALUE"""),161.09)</f>
        <v>161.09</v>
      </c>
      <c r="U6" s="26">
        <f>IFERROR(__xludf.DUMMYFUNCTION("""COMPUTED_VALUE"""),339.26)</f>
        <v>339.26</v>
      </c>
      <c r="V6" s="26">
        <f>IFERROR(__xludf.DUMMYFUNCTION("""COMPUTED_VALUE"""),36.52)</f>
        <v>36.52</v>
      </c>
      <c r="W6" s="26">
        <f>IFERROR(__xludf.DUMMYFUNCTION("""COMPUTED_VALUE"""),63.32)</f>
        <v>63.32</v>
      </c>
      <c r="X6" s="26">
        <f>IFERROR(__xludf.DUMMYFUNCTION("""COMPUTED_VALUE"""),96.91)</f>
        <v>96.91</v>
      </c>
      <c r="Y6" s="26">
        <f>IFERROR(__xludf.DUMMYFUNCTION("""COMPUTED_VALUE"""),144.94)</f>
        <v>144.94</v>
      </c>
      <c r="Z6" s="26">
        <f>IFERROR(__xludf.DUMMYFUNCTION("""COMPUTED_VALUE"""),121.3)</f>
        <v>121.3</v>
      </c>
      <c r="AA6" s="26">
        <f>IFERROR(__xludf.DUMMYFUNCTION("""COMPUTED_VALUE"""),513.3)</f>
        <v>513.3</v>
      </c>
      <c r="AB6" s="26">
        <f>IFERROR(__xludf.DUMMYFUNCTION("""COMPUTED_VALUE"""),52.7)</f>
        <v>52.7</v>
      </c>
      <c r="AC6" s="26">
        <f>IFERROR(__xludf.DUMMYFUNCTION("""COMPUTED_VALUE"""),117.87)</f>
        <v>117.87</v>
      </c>
      <c r="AD6" s="26">
        <f>IFERROR(__xludf.DUMMYFUNCTION("""COMPUTED_VALUE"""),258.78)</f>
        <v>258.78</v>
      </c>
      <c r="AE6" s="26">
        <f>IFERROR(__xludf.DUMMYFUNCTION("""COMPUTED_VALUE"""),419.57)</f>
        <v>419.57</v>
      </c>
      <c r="AF6" s="26">
        <f>IFERROR(__xludf.DUMMYFUNCTION("""COMPUTED_VALUE"""),295.75)</f>
        <v>295.75</v>
      </c>
      <c r="AG6" s="26">
        <f>IFERROR(__xludf.DUMMYFUNCTION("""COMPUTED_VALUE"""),45.87)</f>
        <v>45.87</v>
      </c>
      <c r="AH6" s="26">
        <f>IFERROR(__xludf.DUMMYFUNCTION("""COMPUTED_VALUE"""),67.86)</f>
        <v>67.86</v>
      </c>
      <c r="AI6" s="26">
        <f>IFERROR(__xludf.DUMMYFUNCTION("""COMPUTED_VALUE"""),464.52)</f>
        <v>464.52</v>
      </c>
      <c r="AJ6" s="26">
        <f>IFERROR(__xludf.DUMMYFUNCTION("""COMPUTED_VALUE"""),342.73)</f>
        <v>342.73</v>
      </c>
      <c r="AK6" s="26">
        <f>IFERROR(__xludf.DUMMYFUNCTION("""COMPUTED_VALUE"""),87.72)</f>
        <v>87.72</v>
      </c>
      <c r="AL6" s="26">
        <f>IFERROR(__xludf.DUMMYFUNCTION("""COMPUTED_VALUE"""),137.11)</f>
        <v>137.11</v>
      </c>
      <c r="AM6" s="26">
        <f>IFERROR(__xludf.DUMMYFUNCTION("""COMPUTED_VALUE"""),396.43)</f>
        <v>396.43</v>
      </c>
      <c r="AN6" s="26">
        <f>IFERROR(__xludf.DUMMYFUNCTION("""COMPUTED_VALUE"""),202.47)</f>
        <v>202.47</v>
      </c>
      <c r="AO6" s="26">
        <f>IFERROR(__xludf.DUMMYFUNCTION("""COMPUTED_VALUE"""),464.83)</f>
        <v>464.83</v>
      </c>
      <c r="AP6" s="26">
        <f>IFERROR(__xludf.DUMMYFUNCTION("""COMPUTED_VALUE"""),338.28)</f>
        <v>338.28</v>
      </c>
      <c r="AQ6" s="26">
        <f>IFERROR(__xludf.DUMMYFUNCTION("""COMPUTED_VALUE"""),26.39)</f>
        <v>26.39</v>
      </c>
      <c r="AR6" s="26">
        <f>IFERROR(__xludf.DUMMYFUNCTION("""COMPUTED_VALUE"""),85.64)</f>
        <v>85.64</v>
      </c>
      <c r="AS6" s="26">
        <f>IFERROR(__xludf.DUMMYFUNCTION("""COMPUTED_VALUE"""),73.47)</f>
        <v>73.47</v>
      </c>
      <c r="AT6" s="26">
        <f>IFERROR(__xludf.DUMMYFUNCTION("""COMPUTED_VALUE"""),420.99)</f>
        <v>420.99</v>
      </c>
      <c r="AU6" s="26">
        <f>IFERROR(__xludf.DUMMYFUNCTION("""COMPUTED_VALUE"""),76.41)</f>
        <v>76.41</v>
      </c>
      <c r="AV6" s="26">
        <f>IFERROR(__xludf.DUMMYFUNCTION("""COMPUTED_VALUE"""),94.36)</f>
        <v>94.36</v>
      </c>
      <c r="AW6" s="26">
        <f>IFERROR(__xludf.DUMMYFUNCTION("""COMPUTED_VALUE"""),96.56)</f>
        <v>96.56</v>
      </c>
      <c r="AX6" s="26">
        <f>IFERROR(__xludf.DUMMYFUNCTION("""COMPUTED_VALUE"""),36.64)</f>
        <v>36.64</v>
      </c>
      <c r="AY6" s="26">
        <f>IFERROR(__xludf.DUMMYFUNCTION("""COMPUTED_VALUE"""),21.65)</f>
        <v>21.65</v>
      </c>
      <c r="AZ6" s="26">
        <f>IFERROR(__xludf.DUMMYFUNCTION("""COMPUTED_VALUE"""),64.1)</f>
        <v>64.1</v>
      </c>
      <c r="BA6" s="26">
        <f>IFERROR(__xludf.DUMMYFUNCTION("""COMPUTED_VALUE"""),28.92)</f>
        <v>28.92</v>
      </c>
      <c r="BB6" s="26">
        <f>IFERROR(__xludf.DUMMYFUNCTION("""COMPUTED_VALUE"""),104.24)</f>
        <v>104.24</v>
      </c>
      <c r="BC6" s="26">
        <f>IFERROR(__xludf.DUMMYFUNCTION("""COMPUTED_VALUE"""),163.58)</f>
        <v>163.58</v>
      </c>
      <c r="BD6" s="26">
        <f>IFERROR(__xludf.DUMMYFUNCTION("""COMPUTED_VALUE"""),597.15)</f>
        <v>597.15</v>
      </c>
      <c r="BE6" s="26">
        <f>IFERROR(__xludf.DUMMYFUNCTION("""COMPUTED_VALUE"""),215.63)</f>
        <v>215.63</v>
      </c>
      <c r="BF6" s="26">
        <f>IFERROR(__xludf.DUMMYFUNCTION("""COMPUTED_VALUE"""),134.93)</f>
        <v>134.93</v>
      </c>
      <c r="BG6" s="26">
        <f>IFERROR(__xludf.DUMMYFUNCTION("""COMPUTED_VALUE"""),6.71)</f>
        <v>6.71</v>
      </c>
      <c r="BH6" s="26">
        <f>IFERROR(__xludf.DUMMYFUNCTION("""COMPUTED_VALUE"""),245.9)</f>
        <v>245.9</v>
      </c>
      <c r="BI6" s="26">
        <f>IFERROR(__xludf.DUMMYFUNCTION("""COMPUTED_VALUE"""),521.27)</f>
        <v>521.27</v>
      </c>
      <c r="BJ6" s="26">
        <f>IFERROR(__xludf.DUMMYFUNCTION("""COMPUTED_VALUE"""),48.16)</f>
        <v>48.16</v>
      </c>
      <c r="BK6" s="26">
        <f>IFERROR(__xludf.DUMMYFUNCTION("""COMPUTED_VALUE"""),11.02)</f>
        <v>11.02</v>
      </c>
      <c r="BL6" s="26">
        <f>IFERROR(__xludf.DUMMYFUNCTION("""COMPUTED_VALUE"""),212.2)</f>
        <v>212.2</v>
      </c>
      <c r="BM6" s="26">
        <f>IFERROR(__xludf.DUMMYFUNCTION("""COMPUTED_VALUE"""),103.37)</f>
        <v>103.37</v>
      </c>
    </row>
    <row r="7">
      <c r="A7" s="25">
        <v>45429.66666666667</v>
      </c>
      <c r="B7" s="17">
        <f>IFERROR(__xludf.DUMMYFUNCTION("""COMPUTED_VALUE"""),5303.27)</f>
        <v>5303.27</v>
      </c>
      <c r="C7" s="17">
        <f>IFERROR(__xludf.DUMMYFUNCTION("""COMPUTED_VALUE"""),16685.97)</f>
        <v>16685.97</v>
      </c>
      <c r="D7" s="17">
        <f>IFERROR(__xludf.DUMMYFUNCTION("""COMPUTED_VALUE"""),40003.59)</f>
        <v>40003.59</v>
      </c>
      <c r="E7" s="17">
        <f>IFERROR(__xludf.DUMMYFUNCTION("""COMPUTED_VALUE"""),2095.72)</f>
        <v>2095.72</v>
      </c>
      <c r="F7" s="26">
        <f>IFERROR(__xludf.DUMMYFUNCTION("""COMPUTED_VALUE"""),483.43)</f>
        <v>483.43</v>
      </c>
      <c r="G7" s="26">
        <f>IFERROR(__xludf.DUMMYFUNCTION("""COMPUTED_VALUE"""),184.7)</f>
        <v>184.7</v>
      </c>
      <c r="H7" s="26">
        <f>IFERROR(__xludf.DUMMYFUNCTION("""COMPUTED_VALUE"""),133.76)</f>
        <v>133.76</v>
      </c>
      <c r="I7" s="26">
        <f>IFERROR(__xludf.DUMMYFUNCTION("""COMPUTED_VALUE"""),189.87)</f>
        <v>189.87</v>
      </c>
      <c r="J7" s="26">
        <f>IFERROR(__xludf.DUMMYFUNCTION("""COMPUTED_VALUE"""),212.08)</f>
        <v>212.08</v>
      </c>
      <c r="K7" s="26">
        <f>IFERROR(__xludf.DUMMYFUNCTION("""COMPUTED_VALUE"""),59.5)</f>
        <v>59.5</v>
      </c>
      <c r="L7" s="26">
        <f>IFERROR(__xludf.DUMMYFUNCTION("""COMPUTED_VALUE"""),11.12)</f>
        <v>11.12</v>
      </c>
      <c r="M7" s="26">
        <f>IFERROR(__xludf.DUMMYFUNCTION("""COMPUTED_VALUE"""),416.94)</f>
        <v>416.94</v>
      </c>
      <c r="N7" s="26">
        <f>IFERROR(__xludf.DUMMYFUNCTION("""COMPUTED_VALUE"""),61.47)</f>
        <v>61.47</v>
      </c>
      <c r="O7" s="26">
        <f>IFERROR(__xludf.DUMMYFUNCTION("""COMPUTED_VALUE"""),230.57)</f>
        <v>230.57</v>
      </c>
      <c r="P7" s="26">
        <f>IFERROR(__xludf.DUMMYFUNCTION("""COMPUTED_VALUE"""),65.23)</f>
        <v>65.23</v>
      </c>
      <c r="Q7" s="26">
        <f>IFERROR(__xludf.DUMMYFUNCTION("""COMPUTED_VALUE"""),356.27)</f>
        <v>356.27</v>
      </c>
      <c r="R7" s="26">
        <f>IFERROR(__xludf.DUMMYFUNCTION("""COMPUTED_VALUE"""),53.05)</f>
        <v>53.05</v>
      </c>
      <c r="S7" s="26">
        <f>IFERROR(__xludf.DUMMYFUNCTION("""COMPUTED_VALUE"""),151.13)</f>
        <v>151.13</v>
      </c>
      <c r="T7" s="26">
        <f>IFERROR(__xludf.DUMMYFUNCTION("""COMPUTED_VALUE"""),162.67)</f>
        <v>162.67</v>
      </c>
      <c r="U7" s="26">
        <f>IFERROR(__xludf.DUMMYFUNCTION("""COMPUTED_VALUE"""),338.71)</f>
        <v>338.71</v>
      </c>
      <c r="V7" s="26">
        <f>IFERROR(__xludf.DUMMYFUNCTION("""COMPUTED_VALUE"""),37.16)</f>
        <v>37.16</v>
      </c>
      <c r="W7" s="26">
        <f>IFERROR(__xludf.DUMMYFUNCTION("""COMPUTED_VALUE"""),63.03)</f>
        <v>63.03</v>
      </c>
      <c r="X7" s="26">
        <f>IFERROR(__xludf.DUMMYFUNCTION("""COMPUTED_VALUE"""),97.1)</f>
        <v>97.1</v>
      </c>
      <c r="Y7" s="26">
        <f>IFERROR(__xludf.DUMMYFUNCTION("""COMPUTED_VALUE"""),143.83)</f>
        <v>143.83</v>
      </c>
      <c r="Z7" s="26">
        <f>IFERROR(__xludf.DUMMYFUNCTION("""COMPUTED_VALUE"""),117.31)</f>
        <v>117.31</v>
      </c>
      <c r="AA7" s="26">
        <f>IFERROR(__xludf.DUMMYFUNCTION("""COMPUTED_VALUE"""),513.03)</f>
        <v>513.03</v>
      </c>
      <c r="AB7" s="26">
        <f>IFERROR(__xludf.DUMMYFUNCTION("""COMPUTED_VALUE"""),51.48)</f>
        <v>51.48</v>
      </c>
      <c r="AC7" s="26">
        <f>IFERROR(__xludf.DUMMYFUNCTION("""COMPUTED_VALUE"""),119.64)</f>
        <v>119.64</v>
      </c>
      <c r="AD7" s="26">
        <f>IFERROR(__xludf.DUMMYFUNCTION("""COMPUTED_VALUE"""),257.25)</f>
        <v>257.25</v>
      </c>
      <c r="AE7" s="26">
        <f>IFERROR(__xludf.DUMMYFUNCTION("""COMPUTED_VALUE"""),422.3)</f>
        <v>422.3</v>
      </c>
      <c r="AF7" s="26">
        <f>IFERROR(__xludf.DUMMYFUNCTION("""COMPUTED_VALUE"""),299.02)</f>
        <v>299.02</v>
      </c>
      <c r="AG7" s="26">
        <f>IFERROR(__xludf.DUMMYFUNCTION("""COMPUTED_VALUE"""),45.76)</f>
        <v>45.76</v>
      </c>
      <c r="AH7" s="26">
        <f>IFERROR(__xludf.DUMMYFUNCTION("""COMPUTED_VALUE"""),67.72)</f>
        <v>67.72</v>
      </c>
      <c r="AI7" s="26">
        <f>IFERROR(__xludf.DUMMYFUNCTION("""COMPUTED_VALUE"""),467.72)</f>
        <v>467.72</v>
      </c>
      <c r="AJ7" s="26">
        <f>IFERROR(__xludf.DUMMYFUNCTION("""COMPUTED_VALUE"""),344.21)</f>
        <v>344.21</v>
      </c>
      <c r="AK7" s="26">
        <f>IFERROR(__xludf.DUMMYFUNCTION("""COMPUTED_VALUE"""),87.66)</f>
        <v>87.66</v>
      </c>
      <c r="AL7" s="26">
        <f>IFERROR(__xludf.DUMMYFUNCTION("""COMPUTED_VALUE"""),138.4)</f>
        <v>138.4</v>
      </c>
      <c r="AM7" s="26">
        <f>IFERROR(__xludf.DUMMYFUNCTION("""COMPUTED_VALUE"""),398.82)</f>
        <v>398.82</v>
      </c>
      <c r="AN7" s="26">
        <f>IFERROR(__xludf.DUMMYFUNCTION("""COMPUTED_VALUE"""),204.79)</f>
        <v>204.79</v>
      </c>
      <c r="AO7" s="26">
        <f>IFERROR(__xludf.DUMMYFUNCTION("""COMPUTED_VALUE"""),466.2)</f>
        <v>466.2</v>
      </c>
      <c r="AP7" s="26">
        <f>IFERROR(__xludf.DUMMYFUNCTION("""COMPUTED_VALUE"""),334.95)</f>
        <v>334.95</v>
      </c>
      <c r="AQ7" s="26">
        <f>IFERROR(__xludf.DUMMYFUNCTION("""COMPUTED_VALUE"""),26.69)</f>
        <v>26.69</v>
      </c>
      <c r="AR7" s="26">
        <f>IFERROR(__xludf.DUMMYFUNCTION("""COMPUTED_VALUE"""),85.92)</f>
        <v>85.92</v>
      </c>
      <c r="AS7" s="26">
        <f>IFERROR(__xludf.DUMMYFUNCTION("""COMPUTED_VALUE"""),74.22)</f>
        <v>74.22</v>
      </c>
      <c r="AT7" s="26">
        <f>IFERROR(__xludf.DUMMYFUNCTION("""COMPUTED_VALUE"""),420.21)</f>
        <v>420.21</v>
      </c>
      <c r="AU7" s="26">
        <f>IFERROR(__xludf.DUMMYFUNCTION("""COMPUTED_VALUE"""),76.09)</f>
        <v>76.09</v>
      </c>
      <c r="AV7" s="26">
        <f>IFERROR(__xludf.DUMMYFUNCTION("""COMPUTED_VALUE"""),92.48)</f>
        <v>92.48</v>
      </c>
      <c r="AW7" s="26">
        <f>IFERROR(__xludf.DUMMYFUNCTION("""COMPUTED_VALUE"""),96.79)</f>
        <v>96.79</v>
      </c>
      <c r="AX7" s="26">
        <f>IFERROR(__xludf.DUMMYFUNCTION("""COMPUTED_VALUE"""),38.12)</f>
        <v>38.12</v>
      </c>
      <c r="AY7" s="26">
        <f>IFERROR(__xludf.DUMMYFUNCTION("""COMPUTED_VALUE"""),21.76)</f>
        <v>21.76</v>
      </c>
      <c r="AZ7" s="26">
        <f>IFERROR(__xludf.DUMMYFUNCTION("""COMPUTED_VALUE"""),64.48)</f>
        <v>64.48</v>
      </c>
      <c r="BA7" s="26">
        <f>IFERROR(__xludf.DUMMYFUNCTION("""COMPUTED_VALUE"""),28.64)</f>
        <v>28.64</v>
      </c>
      <c r="BB7" s="26">
        <f>IFERROR(__xludf.DUMMYFUNCTION("""COMPUTED_VALUE"""),104.18)</f>
        <v>104.18</v>
      </c>
      <c r="BC7" s="26">
        <f>IFERROR(__xludf.DUMMYFUNCTION("""COMPUTED_VALUE"""),164.0)</f>
        <v>164</v>
      </c>
      <c r="BD7" s="26">
        <f>IFERROR(__xludf.DUMMYFUNCTION("""COMPUTED_VALUE"""),595.3)</f>
        <v>595.3</v>
      </c>
      <c r="BE7" s="26">
        <f>IFERROR(__xludf.DUMMYFUNCTION("""COMPUTED_VALUE"""),219.76)</f>
        <v>219.76</v>
      </c>
      <c r="BF7" s="26">
        <f>IFERROR(__xludf.DUMMYFUNCTION("""COMPUTED_VALUE"""),137.98)</f>
        <v>137.98</v>
      </c>
      <c r="BG7" s="26">
        <f>IFERROR(__xludf.DUMMYFUNCTION("""COMPUTED_VALUE"""),6.78)</f>
        <v>6.78</v>
      </c>
      <c r="BH7" s="26">
        <f>IFERROR(__xludf.DUMMYFUNCTION("""COMPUTED_VALUE"""),244.97)</f>
        <v>244.97</v>
      </c>
      <c r="BI7" s="26">
        <f>IFERROR(__xludf.DUMMYFUNCTION("""COMPUTED_VALUE"""),524.63)</f>
        <v>524.63</v>
      </c>
      <c r="BJ7" s="26">
        <f>IFERROR(__xludf.DUMMYFUNCTION("""COMPUTED_VALUE"""),48.16)</f>
        <v>48.16</v>
      </c>
      <c r="BK7" s="26">
        <f>IFERROR(__xludf.DUMMYFUNCTION("""COMPUTED_VALUE"""),10.98)</f>
        <v>10.98</v>
      </c>
      <c r="BL7" s="26">
        <f>IFERROR(__xludf.DUMMYFUNCTION("""COMPUTED_VALUE"""),210.44)</f>
        <v>210.44</v>
      </c>
      <c r="BM7" s="26">
        <f>IFERROR(__xludf.DUMMYFUNCTION("""COMPUTED_VALUE"""),103.25)</f>
        <v>103.25</v>
      </c>
    </row>
    <row r="8">
      <c r="A8" s="25">
        <v>45432.66666666667</v>
      </c>
      <c r="B8" s="17">
        <f>IFERROR(__xludf.DUMMYFUNCTION("""COMPUTED_VALUE"""),5308.13)</f>
        <v>5308.13</v>
      </c>
      <c r="C8" s="17">
        <f>IFERROR(__xludf.DUMMYFUNCTION("""COMPUTED_VALUE"""),16794.87)</f>
        <v>16794.87</v>
      </c>
      <c r="D8" s="17">
        <f>IFERROR(__xludf.DUMMYFUNCTION("""COMPUTED_VALUE"""),39806.77)</f>
        <v>39806.77</v>
      </c>
      <c r="E8" s="17">
        <f>IFERROR(__xludf.DUMMYFUNCTION("""COMPUTED_VALUE"""),2102.5)</f>
        <v>2102.5</v>
      </c>
      <c r="F8" s="26">
        <f>IFERROR(__xludf.DUMMYFUNCTION("""COMPUTED_VALUE"""),484.69)</f>
        <v>484.69</v>
      </c>
      <c r="G8" s="26">
        <f>IFERROR(__xludf.DUMMYFUNCTION("""COMPUTED_VALUE"""),183.54)</f>
        <v>183.54</v>
      </c>
      <c r="H8" s="26">
        <f>IFERROR(__xludf.DUMMYFUNCTION("""COMPUTED_VALUE"""),133.57)</f>
        <v>133.57</v>
      </c>
      <c r="I8" s="26">
        <f>IFERROR(__xludf.DUMMYFUNCTION("""COMPUTED_VALUE"""),191.04)</f>
        <v>191.04</v>
      </c>
      <c r="J8" s="26">
        <f>IFERROR(__xludf.DUMMYFUNCTION("""COMPUTED_VALUE"""),219.95)</f>
        <v>219.95</v>
      </c>
      <c r="K8" s="26">
        <f>IFERROR(__xludf.DUMMYFUNCTION("""COMPUTED_VALUE"""),58.95)</f>
        <v>58.95</v>
      </c>
      <c r="L8" s="26">
        <f>IFERROR(__xludf.DUMMYFUNCTION("""COMPUTED_VALUE"""),11.02)</f>
        <v>11.02</v>
      </c>
      <c r="M8" s="26">
        <f>IFERROR(__xludf.DUMMYFUNCTION("""COMPUTED_VALUE"""),413.0)</f>
        <v>413</v>
      </c>
      <c r="N8" s="26">
        <f>IFERROR(__xludf.DUMMYFUNCTION("""COMPUTED_VALUE"""),61.58)</f>
        <v>61.58</v>
      </c>
      <c r="O8" s="26">
        <f>IFERROR(__xludf.DUMMYFUNCTION("""COMPUTED_VALUE"""),231.58)</f>
        <v>231.58</v>
      </c>
      <c r="P8" s="26">
        <f>IFERROR(__xludf.DUMMYFUNCTION("""COMPUTED_VALUE"""),65.98)</f>
        <v>65.98</v>
      </c>
      <c r="Q8" s="26">
        <f>IFERROR(__xludf.DUMMYFUNCTION("""COMPUTED_VALUE"""),362.75)</f>
        <v>362.75</v>
      </c>
      <c r="R8" s="26">
        <f>IFERROR(__xludf.DUMMYFUNCTION("""COMPUTED_VALUE"""),54.0)</f>
        <v>54</v>
      </c>
      <c r="S8" s="26">
        <f>IFERROR(__xludf.DUMMYFUNCTION("""COMPUTED_VALUE"""),151.86)</f>
        <v>151.86</v>
      </c>
      <c r="T8" s="26">
        <f>IFERROR(__xludf.DUMMYFUNCTION("""COMPUTED_VALUE"""),161.14)</f>
        <v>161.14</v>
      </c>
      <c r="U8" s="26">
        <f>IFERROR(__xludf.DUMMYFUNCTION("""COMPUTED_VALUE"""),333.37)</f>
        <v>333.37</v>
      </c>
      <c r="V8" s="26">
        <f>IFERROR(__xludf.DUMMYFUNCTION("""COMPUTED_VALUE"""),36.49)</f>
        <v>36.49</v>
      </c>
      <c r="W8" s="26">
        <f>IFERROR(__xludf.DUMMYFUNCTION("""COMPUTED_VALUE"""),62.57)</f>
        <v>62.57</v>
      </c>
      <c r="X8" s="26">
        <f>IFERROR(__xludf.DUMMYFUNCTION("""COMPUTED_VALUE"""),96.51)</f>
        <v>96.51</v>
      </c>
      <c r="Y8" s="26">
        <f>IFERROR(__xludf.DUMMYFUNCTION("""COMPUTED_VALUE"""),143.35)</f>
        <v>143.35</v>
      </c>
      <c r="Z8" s="26">
        <f>IFERROR(__xludf.DUMMYFUNCTION("""COMPUTED_VALUE"""),113.48)</f>
        <v>113.48</v>
      </c>
      <c r="AA8" s="26">
        <f>IFERROR(__xludf.DUMMYFUNCTION("""COMPUTED_VALUE"""),516.08)</f>
        <v>516.08</v>
      </c>
      <c r="AB8" s="26">
        <f>IFERROR(__xludf.DUMMYFUNCTION("""COMPUTED_VALUE"""),51.24)</f>
        <v>51.24</v>
      </c>
      <c r="AC8" s="26">
        <f>IFERROR(__xludf.DUMMYFUNCTION("""COMPUTED_VALUE"""),118.67)</f>
        <v>118.67</v>
      </c>
      <c r="AD8" s="26">
        <f>IFERROR(__xludf.DUMMYFUNCTION("""COMPUTED_VALUE"""),254.71)</f>
        <v>254.71</v>
      </c>
      <c r="AE8" s="26">
        <f>IFERROR(__xludf.DUMMYFUNCTION("""COMPUTED_VALUE"""),416.65)</f>
        <v>416.65</v>
      </c>
      <c r="AF8" s="26">
        <f>IFERROR(__xludf.DUMMYFUNCTION("""COMPUTED_VALUE"""),300.23)</f>
        <v>300.23</v>
      </c>
      <c r="AG8" s="26">
        <f>IFERROR(__xludf.DUMMYFUNCTION("""COMPUTED_VALUE"""),45.11)</f>
        <v>45.11</v>
      </c>
      <c r="AH8" s="26">
        <f>IFERROR(__xludf.DUMMYFUNCTION("""COMPUTED_VALUE"""),67.9)</f>
        <v>67.9</v>
      </c>
      <c r="AI8" s="26">
        <f>IFERROR(__xludf.DUMMYFUNCTION("""COMPUTED_VALUE"""),462.94)</f>
        <v>462.94</v>
      </c>
      <c r="AJ8" s="26">
        <f>IFERROR(__xludf.DUMMYFUNCTION("""COMPUTED_VALUE"""),337.82)</f>
        <v>337.82</v>
      </c>
      <c r="AK8" s="26">
        <f>IFERROR(__xludf.DUMMYFUNCTION("""COMPUTED_VALUE"""),86.71)</f>
        <v>86.71</v>
      </c>
      <c r="AL8" s="26">
        <f>IFERROR(__xludf.DUMMYFUNCTION("""COMPUTED_VALUE"""),136.95)</f>
        <v>136.95</v>
      </c>
      <c r="AM8" s="26">
        <f>IFERROR(__xludf.DUMMYFUNCTION("""COMPUTED_VALUE"""),400.03)</f>
        <v>400.03</v>
      </c>
      <c r="AN8" s="26">
        <f>IFERROR(__xludf.DUMMYFUNCTION("""COMPUTED_VALUE"""),195.58)</f>
        <v>195.58</v>
      </c>
      <c r="AO8" s="26">
        <f>IFERROR(__xludf.DUMMYFUNCTION("""COMPUTED_VALUE"""),467.08)</f>
        <v>467.08</v>
      </c>
      <c r="AP8" s="26">
        <f>IFERROR(__xludf.DUMMYFUNCTION("""COMPUTED_VALUE"""),327.07)</f>
        <v>327.07</v>
      </c>
      <c r="AQ8" s="26">
        <f>IFERROR(__xludf.DUMMYFUNCTION("""COMPUTED_VALUE"""),26.45)</f>
        <v>26.45</v>
      </c>
      <c r="AR8" s="26">
        <f>IFERROR(__xludf.DUMMYFUNCTION("""COMPUTED_VALUE"""),84.51)</f>
        <v>84.51</v>
      </c>
      <c r="AS8" s="26">
        <f>IFERROR(__xludf.DUMMYFUNCTION("""COMPUTED_VALUE"""),72.89)</f>
        <v>72.89</v>
      </c>
      <c r="AT8" s="26">
        <f>IFERROR(__xludf.DUMMYFUNCTION("""COMPUTED_VALUE"""),425.34)</f>
        <v>425.34</v>
      </c>
      <c r="AU8" s="26">
        <f>IFERROR(__xludf.DUMMYFUNCTION("""COMPUTED_VALUE"""),75.87)</f>
        <v>75.87</v>
      </c>
      <c r="AV8" s="26">
        <f>IFERROR(__xludf.DUMMYFUNCTION("""COMPUTED_VALUE"""),94.78)</f>
        <v>94.78</v>
      </c>
      <c r="AW8" s="26">
        <f>IFERROR(__xludf.DUMMYFUNCTION("""COMPUTED_VALUE"""),97.08)</f>
        <v>97.08</v>
      </c>
      <c r="AX8" s="26">
        <f>IFERROR(__xludf.DUMMYFUNCTION("""COMPUTED_VALUE"""),38.36)</f>
        <v>38.36</v>
      </c>
      <c r="AY8" s="26">
        <f>IFERROR(__xludf.DUMMYFUNCTION("""COMPUTED_VALUE"""),21.62)</f>
        <v>21.62</v>
      </c>
      <c r="AZ8" s="26">
        <f>IFERROR(__xludf.DUMMYFUNCTION("""COMPUTED_VALUE"""),64.77)</f>
        <v>64.77</v>
      </c>
      <c r="BA8" s="26">
        <f>IFERROR(__xludf.DUMMYFUNCTION("""COMPUTED_VALUE"""),28.53)</f>
        <v>28.53</v>
      </c>
      <c r="BB8" s="26">
        <f>IFERROR(__xludf.DUMMYFUNCTION("""COMPUTED_VALUE"""),105.02)</f>
        <v>105.02</v>
      </c>
      <c r="BC8" s="26">
        <f>IFERROR(__xludf.DUMMYFUNCTION("""COMPUTED_VALUE"""),163.9)</f>
        <v>163.9</v>
      </c>
      <c r="BD8" s="26">
        <f>IFERROR(__xludf.DUMMYFUNCTION("""COMPUTED_VALUE"""),594.01)</f>
        <v>594.01</v>
      </c>
      <c r="BE8" s="26">
        <f>IFERROR(__xludf.DUMMYFUNCTION("""COMPUTED_VALUE"""),220.5)</f>
        <v>220.5</v>
      </c>
      <c r="BF8" s="26">
        <f>IFERROR(__xludf.DUMMYFUNCTION("""COMPUTED_VALUE"""),138.62)</f>
        <v>138.62</v>
      </c>
      <c r="BG8" s="26">
        <f>IFERROR(__xludf.DUMMYFUNCTION("""COMPUTED_VALUE"""),6.7)</f>
        <v>6.7</v>
      </c>
      <c r="BH8" s="26">
        <f>IFERROR(__xludf.DUMMYFUNCTION("""COMPUTED_VALUE"""),243.63)</f>
        <v>243.63</v>
      </c>
      <c r="BI8" s="26">
        <f>IFERROR(__xludf.DUMMYFUNCTION("""COMPUTED_VALUE"""),517.23)</f>
        <v>517.23</v>
      </c>
      <c r="BJ8" s="26">
        <f>IFERROR(__xludf.DUMMYFUNCTION("""COMPUTED_VALUE"""),48.15)</f>
        <v>48.15</v>
      </c>
      <c r="BK8" s="26">
        <f>IFERROR(__xludf.DUMMYFUNCTION("""COMPUTED_VALUE"""),11.07)</f>
        <v>11.07</v>
      </c>
      <c r="BL8" s="26">
        <f>IFERROR(__xludf.DUMMYFUNCTION("""COMPUTED_VALUE"""),208.47)</f>
        <v>208.47</v>
      </c>
      <c r="BM8" s="26">
        <f>IFERROR(__xludf.DUMMYFUNCTION("""COMPUTED_VALUE"""),102.9)</f>
        <v>102.9</v>
      </c>
    </row>
    <row r="9">
      <c r="A9" s="25">
        <v>45433.66666666667</v>
      </c>
      <c r="B9" s="17">
        <f>IFERROR(__xludf.DUMMYFUNCTION("""COMPUTED_VALUE"""),5321.41)</f>
        <v>5321.41</v>
      </c>
      <c r="C9" s="17">
        <f>IFERROR(__xludf.DUMMYFUNCTION("""COMPUTED_VALUE"""),16832.62)</f>
        <v>16832.62</v>
      </c>
      <c r="D9" s="17">
        <f>IFERROR(__xludf.DUMMYFUNCTION("""COMPUTED_VALUE"""),39872.99)</f>
        <v>39872.99</v>
      </c>
      <c r="E9" s="17">
        <f>IFERROR(__xludf.DUMMYFUNCTION("""COMPUTED_VALUE"""),2098.36)</f>
        <v>2098.36</v>
      </c>
      <c r="F9" s="26">
        <f>IFERROR(__xludf.DUMMYFUNCTION("""COMPUTED_VALUE"""),481.85)</f>
        <v>481.85</v>
      </c>
      <c r="G9" s="26">
        <f>IFERROR(__xludf.DUMMYFUNCTION("""COMPUTED_VALUE"""),183.15)</f>
        <v>183.15</v>
      </c>
      <c r="H9" s="26">
        <f>IFERROR(__xludf.DUMMYFUNCTION("""COMPUTED_VALUE"""),134.36)</f>
        <v>134.36</v>
      </c>
      <c r="I9" s="26">
        <f>IFERROR(__xludf.DUMMYFUNCTION("""COMPUTED_VALUE"""),192.35)</f>
        <v>192.35</v>
      </c>
      <c r="J9" s="26">
        <f>IFERROR(__xludf.DUMMYFUNCTION("""COMPUTED_VALUE"""),219.8)</f>
        <v>219.8</v>
      </c>
      <c r="K9" s="26">
        <f>IFERROR(__xludf.DUMMYFUNCTION("""COMPUTED_VALUE"""),59.08)</f>
        <v>59.08</v>
      </c>
      <c r="L9" s="26">
        <f>IFERROR(__xludf.DUMMYFUNCTION("""COMPUTED_VALUE"""),11.17)</f>
        <v>11.17</v>
      </c>
      <c r="M9" s="26">
        <f>IFERROR(__xludf.DUMMYFUNCTION("""COMPUTED_VALUE"""),414.37)</f>
        <v>414.37</v>
      </c>
      <c r="N9" s="26">
        <f>IFERROR(__xludf.DUMMYFUNCTION("""COMPUTED_VALUE"""),61.63)</f>
        <v>61.63</v>
      </c>
      <c r="O9" s="26">
        <f>IFERROR(__xludf.DUMMYFUNCTION("""COMPUTED_VALUE"""),227.69)</f>
        <v>227.69</v>
      </c>
      <c r="P9" s="26">
        <f>IFERROR(__xludf.DUMMYFUNCTION("""COMPUTED_VALUE"""),66.22)</f>
        <v>66.22</v>
      </c>
      <c r="Q9" s="26">
        <f>IFERROR(__xludf.DUMMYFUNCTION("""COMPUTED_VALUE"""),359.07)</f>
        <v>359.07</v>
      </c>
      <c r="R9" s="26">
        <f>IFERROR(__xludf.DUMMYFUNCTION("""COMPUTED_VALUE"""),53.73)</f>
        <v>53.73</v>
      </c>
      <c r="S9" s="26">
        <f>IFERROR(__xludf.DUMMYFUNCTION("""COMPUTED_VALUE"""),151.58)</f>
        <v>151.58</v>
      </c>
      <c r="T9" s="26">
        <f>IFERROR(__xludf.DUMMYFUNCTION("""COMPUTED_VALUE"""),159.97)</f>
        <v>159.97</v>
      </c>
      <c r="U9" s="26">
        <f>IFERROR(__xludf.DUMMYFUNCTION("""COMPUTED_VALUE"""),336.38)</f>
        <v>336.38</v>
      </c>
      <c r="V9" s="26">
        <f>IFERROR(__xludf.DUMMYFUNCTION("""COMPUTED_VALUE"""),36.57)</f>
        <v>36.57</v>
      </c>
      <c r="W9" s="26">
        <f>IFERROR(__xludf.DUMMYFUNCTION("""COMPUTED_VALUE"""),62.91)</f>
        <v>62.91</v>
      </c>
      <c r="X9" s="26">
        <f>IFERROR(__xludf.DUMMYFUNCTION("""COMPUTED_VALUE"""),96.34)</f>
        <v>96.34</v>
      </c>
      <c r="Y9" s="26">
        <f>IFERROR(__xludf.DUMMYFUNCTION("""COMPUTED_VALUE"""),144.26)</f>
        <v>144.26</v>
      </c>
      <c r="Z9" s="26">
        <f>IFERROR(__xludf.DUMMYFUNCTION("""COMPUTED_VALUE"""),114.7)</f>
        <v>114.7</v>
      </c>
      <c r="AA9" s="26">
        <f>IFERROR(__xludf.DUMMYFUNCTION("""COMPUTED_VALUE"""),513.72)</f>
        <v>513.72</v>
      </c>
      <c r="AB9" s="26">
        <f>IFERROR(__xludf.DUMMYFUNCTION("""COMPUTED_VALUE"""),52.17)</f>
        <v>52.17</v>
      </c>
      <c r="AC9" s="26">
        <f>IFERROR(__xludf.DUMMYFUNCTION("""COMPUTED_VALUE"""),117.85)</f>
        <v>117.85</v>
      </c>
      <c r="AD9" s="26">
        <f>IFERROR(__xludf.DUMMYFUNCTION("""COMPUTED_VALUE"""),252.33)</f>
        <v>252.33</v>
      </c>
      <c r="AE9" s="26">
        <f>IFERROR(__xludf.DUMMYFUNCTION("""COMPUTED_VALUE"""),418.37)</f>
        <v>418.37</v>
      </c>
      <c r="AF9" s="26">
        <f>IFERROR(__xludf.DUMMYFUNCTION("""COMPUTED_VALUE"""),297.06)</f>
        <v>297.06</v>
      </c>
      <c r="AG9" s="26">
        <f>IFERROR(__xludf.DUMMYFUNCTION("""COMPUTED_VALUE"""),44.92)</f>
        <v>44.92</v>
      </c>
      <c r="AH9" s="26">
        <f>IFERROR(__xludf.DUMMYFUNCTION("""COMPUTED_VALUE"""),67.29)</f>
        <v>67.29</v>
      </c>
      <c r="AI9" s="26">
        <f>IFERROR(__xludf.DUMMYFUNCTION("""COMPUTED_VALUE"""),470.41)</f>
        <v>470.41</v>
      </c>
      <c r="AJ9" s="26">
        <f>IFERROR(__xludf.DUMMYFUNCTION("""COMPUTED_VALUE"""),336.15)</f>
        <v>336.15</v>
      </c>
      <c r="AK9" s="26">
        <f>IFERROR(__xludf.DUMMYFUNCTION("""COMPUTED_VALUE"""),85.42)</f>
        <v>85.42</v>
      </c>
      <c r="AL9" s="26">
        <f>IFERROR(__xludf.DUMMYFUNCTION("""COMPUTED_VALUE"""),137.27)</f>
        <v>137.27</v>
      </c>
      <c r="AM9" s="26">
        <f>IFERROR(__xludf.DUMMYFUNCTION("""COMPUTED_VALUE"""),402.11)</f>
        <v>402.11</v>
      </c>
      <c r="AN9" s="26">
        <f>IFERROR(__xludf.DUMMYFUNCTION("""COMPUTED_VALUE"""),199.52)</f>
        <v>199.52</v>
      </c>
      <c r="AO9" s="26">
        <f>IFERROR(__xludf.DUMMYFUNCTION("""COMPUTED_VALUE"""),468.31)</f>
        <v>468.31</v>
      </c>
      <c r="AP9" s="26">
        <f>IFERROR(__xludf.DUMMYFUNCTION("""COMPUTED_VALUE"""),322.98)</f>
        <v>322.98</v>
      </c>
      <c r="AQ9" s="26">
        <f>IFERROR(__xludf.DUMMYFUNCTION("""COMPUTED_VALUE"""),26.37)</f>
        <v>26.37</v>
      </c>
      <c r="AR9" s="26">
        <f>IFERROR(__xludf.DUMMYFUNCTION("""COMPUTED_VALUE"""),85.17)</f>
        <v>85.17</v>
      </c>
      <c r="AS9" s="26">
        <f>IFERROR(__xludf.DUMMYFUNCTION("""COMPUTED_VALUE"""),72.59)</f>
        <v>72.59</v>
      </c>
      <c r="AT9" s="26">
        <f>IFERROR(__xludf.DUMMYFUNCTION("""COMPUTED_VALUE"""),429.04)</f>
        <v>429.04</v>
      </c>
      <c r="AU9" s="26">
        <f>IFERROR(__xludf.DUMMYFUNCTION("""COMPUTED_VALUE"""),76.95)</f>
        <v>76.95</v>
      </c>
      <c r="AV9" s="26">
        <f>IFERROR(__xludf.DUMMYFUNCTION("""COMPUTED_VALUE"""),95.39)</f>
        <v>95.39</v>
      </c>
      <c r="AW9" s="26">
        <f>IFERROR(__xludf.DUMMYFUNCTION("""COMPUTED_VALUE"""),98.15)</f>
        <v>98.15</v>
      </c>
      <c r="AX9" s="26">
        <f>IFERROR(__xludf.DUMMYFUNCTION("""COMPUTED_VALUE"""),37.31)</f>
        <v>37.31</v>
      </c>
      <c r="AY9" s="26">
        <f>IFERROR(__xludf.DUMMYFUNCTION("""COMPUTED_VALUE"""),21.24)</f>
        <v>21.24</v>
      </c>
      <c r="AZ9" s="26">
        <f>IFERROR(__xludf.DUMMYFUNCTION("""COMPUTED_VALUE"""),64.1)</f>
        <v>64.1</v>
      </c>
      <c r="BA9" s="26">
        <f>IFERROR(__xludf.DUMMYFUNCTION("""COMPUTED_VALUE"""),28.56)</f>
        <v>28.56</v>
      </c>
      <c r="BB9" s="26">
        <f>IFERROR(__xludf.DUMMYFUNCTION("""COMPUTED_VALUE"""),105.43)</f>
        <v>105.43</v>
      </c>
      <c r="BC9" s="26">
        <f>IFERROR(__xludf.DUMMYFUNCTION("""COMPUTED_VALUE"""),164.36)</f>
        <v>164.36</v>
      </c>
      <c r="BD9" s="26">
        <f>IFERROR(__xludf.DUMMYFUNCTION("""COMPUTED_VALUE"""),590.12)</f>
        <v>590.12</v>
      </c>
      <c r="BE9" s="26">
        <f>IFERROR(__xludf.DUMMYFUNCTION("""COMPUTED_VALUE"""),219.36)</f>
        <v>219.36</v>
      </c>
      <c r="BF9" s="26">
        <f>IFERROR(__xludf.DUMMYFUNCTION("""COMPUTED_VALUE"""),138.42)</f>
        <v>138.42</v>
      </c>
      <c r="BG9" s="26">
        <f>IFERROR(__xludf.DUMMYFUNCTION("""COMPUTED_VALUE"""),6.85)</f>
        <v>6.85</v>
      </c>
      <c r="BH9" s="26">
        <f>IFERROR(__xludf.DUMMYFUNCTION("""COMPUTED_VALUE"""),234.96)</f>
        <v>234.96</v>
      </c>
      <c r="BI9" s="26">
        <f>IFERROR(__xludf.DUMMYFUNCTION("""COMPUTED_VALUE"""),523.55)</f>
        <v>523.55</v>
      </c>
      <c r="BJ9" s="26">
        <f>IFERROR(__xludf.DUMMYFUNCTION("""COMPUTED_VALUE"""),48.2)</f>
        <v>48.2</v>
      </c>
      <c r="BK9" s="26">
        <f>IFERROR(__xludf.DUMMYFUNCTION("""COMPUTED_VALUE"""),10.96)</f>
        <v>10.96</v>
      </c>
      <c r="BL9" s="26">
        <f>IFERROR(__xludf.DUMMYFUNCTION("""COMPUTED_VALUE"""),208.33)</f>
        <v>208.33</v>
      </c>
      <c r="BM9" s="26">
        <f>IFERROR(__xludf.DUMMYFUNCTION("""COMPUTED_VALUE"""),103.01)</f>
        <v>103.01</v>
      </c>
    </row>
    <row r="10">
      <c r="A10" s="25">
        <v>45434.66666666667</v>
      </c>
      <c r="B10" s="17">
        <f>IFERROR(__xludf.DUMMYFUNCTION("""COMPUTED_VALUE"""),5307.01)</f>
        <v>5307.01</v>
      </c>
      <c r="C10" s="17">
        <f>IFERROR(__xludf.DUMMYFUNCTION("""COMPUTED_VALUE"""),16801.54)</f>
        <v>16801.54</v>
      </c>
      <c r="D10" s="17">
        <f>IFERROR(__xludf.DUMMYFUNCTION("""COMPUTED_VALUE"""),39671.04)</f>
        <v>39671.04</v>
      </c>
      <c r="E10" s="17">
        <f>IFERROR(__xludf.DUMMYFUNCTION("""COMPUTED_VALUE"""),2081.71)</f>
        <v>2081.71</v>
      </c>
      <c r="F10" s="26">
        <f>IFERROR(__xludf.DUMMYFUNCTION("""COMPUTED_VALUE"""),483.93)</f>
        <v>483.93</v>
      </c>
      <c r="G10" s="26">
        <f>IFERROR(__xludf.DUMMYFUNCTION("""COMPUTED_VALUE"""),183.13)</f>
        <v>183.13</v>
      </c>
      <c r="H10" s="26">
        <f>IFERROR(__xludf.DUMMYFUNCTION("""COMPUTED_VALUE"""),133.75)</f>
        <v>133.75</v>
      </c>
      <c r="I10" s="26">
        <f>IFERROR(__xludf.DUMMYFUNCTION("""COMPUTED_VALUE"""),190.9)</f>
        <v>190.9</v>
      </c>
      <c r="J10" s="26">
        <f>IFERROR(__xludf.DUMMYFUNCTION("""COMPUTED_VALUE"""),218.15)</f>
        <v>218.15</v>
      </c>
      <c r="K10" s="26">
        <f>IFERROR(__xludf.DUMMYFUNCTION("""COMPUTED_VALUE"""),58.97)</f>
        <v>58.97</v>
      </c>
      <c r="L10" s="26">
        <f>IFERROR(__xludf.DUMMYFUNCTION("""COMPUTED_VALUE"""),10.84)</f>
        <v>10.84</v>
      </c>
      <c r="M10" s="26">
        <f>IFERROR(__xludf.DUMMYFUNCTION("""COMPUTED_VALUE"""),413.99)</f>
        <v>413.99</v>
      </c>
      <c r="N10" s="26">
        <f>IFERROR(__xludf.DUMMYFUNCTION("""COMPUTED_VALUE"""),58.73)</f>
        <v>58.73</v>
      </c>
      <c r="O10" s="26">
        <f>IFERROR(__xludf.DUMMYFUNCTION("""COMPUTED_VALUE"""),225.21)</f>
        <v>225.21</v>
      </c>
      <c r="P10" s="26">
        <f>IFERROR(__xludf.DUMMYFUNCTION("""COMPUTED_VALUE"""),65.35)</f>
        <v>65.35</v>
      </c>
      <c r="Q10" s="26">
        <f>IFERROR(__xludf.DUMMYFUNCTION("""COMPUTED_VALUE"""),355.94)</f>
        <v>355.94</v>
      </c>
      <c r="R10" s="26">
        <f>IFERROR(__xludf.DUMMYFUNCTION("""COMPUTED_VALUE"""),52.14)</f>
        <v>52.14</v>
      </c>
      <c r="S10" s="26">
        <f>IFERROR(__xludf.DUMMYFUNCTION("""COMPUTED_VALUE"""),153.52)</f>
        <v>153.52</v>
      </c>
      <c r="T10" s="26">
        <f>IFERROR(__xludf.DUMMYFUNCTION("""COMPUTED_VALUE"""),157.57)</f>
        <v>157.57</v>
      </c>
      <c r="U10" s="26">
        <f>IFERROR(__xludf.DUMMYFUNCTION("""COMPUTED_VALUE"""),336.47)</f>
        <v>336.47</v>
      </c>
      <c r="V10" s="26">
        <f>IFERROR(__xludf.DUMMYFUNCTION("""COMPUTED_VALUE"""),35.91)</f>
        <v>35.91</v>
      </c>
      <c r="W10" s="26">
        <f>IFERROR(__xludf.DUMMYFUNCTION("""COMPUTED_VALUE"""),63.0)</f>
        <v>63</v>
      </c>
      <c r="X10" s="26">
        <f>IFERROR(__xludf.DUMMYFUNCTION("""COMPUTED_VALUE"""),96.13)</f>
        <v>96.13</v>
      </c>
      <c r="Y10" s="26">
        <f>IFERROR(__xludf.DUMMYFUNCTION("""COMPUTED_VALUE"""),143.15)</f>
        <v>143.15</v>
      </c>
      <c r="Z10" s="26">
        <f>IFERROR(__xludf.DUMMYFUNCTION("""COMPUTED_VALUE"""),113.77)</f>
        <v>113.77</v>
      </c>
      <c r="AA10" s="26">
        <f>IFERROR(__xludf.DUMMYFUNCTION("""COMPUTED_VALUE"""),511.92)</f>
        <v>511.92</v>
      </c>
      <c r="AB10" s="26">
        <f>IFERROR(__xludf.DUMMYFUNCTION("""COMPUTED_VALUE"""),52.8)</f>
        <v>52.8</v>
      </c>
      <c r="AC10" s="26">
        <f>IFERROR(__xludf.DUMMYFUNCTION("""COMPUTED_VALUE"""),115.48)</f>
        <v>115.48</v>
      </c>
      <c r="AD10" s="26">
        <f>IFERROR(__xludf.DUMMYFUNCTION("""COMPUTED_VALUE"""),252.07)</f>
        <v>252.07</v>
      </c>
      <c r="AE10" s="26">
        <f>IFERROR(__xludf.DUMMYFUNCTION("""COMPUTED_VALUE"""),415.05)</f>
        <v>415.05</v>
      </c>
      <c r="AF10" s="26">
        <f>IFERROR(__xludf.DUMMYFUNCTION("""COMPUTED_VALUE"""),298.01)</f>
        <v>298.01</v>
      </c>
      <c r="AG10" s="26">
        <f>IFERROR(__xludf.DUMMYFUNCTION("""COMPUTED_VALUE"""),43.97)</f>
        <v>43.97</v>
      </c>
      <c r="AH10" s="26">
        <f>IFERROR(__xludf.DUMMYFUNCTION("""COMPUTED_VALUE"""),67.8)</f>
        <v>67.8</v>
      </c>
      <c r="AI10" s="26">
        <f>IFERROR(__xludf.DUMMYFUNCTION("""COMPUTED_VALUE"""),462.38)</f>
        <v>462.38</v>
      </c>
      <c r="AJ10" s="26">
        <f>IFERROR(__xludf.DUMMYFUNCTION("""COMPUTED_VALUE"""),330.59)</f>
        <v>330.59</v>
      </c>
      <c r="AK10" s="26">
        <f>IFERROR(__xludf.DUMMYFUNCTION("""COMPUTED_VALUE"""),85.22)</f>
        <v>85.22</v>
      </c>
      <c r="AL10" s="26">
        <f>IFERROR(__xludf.DUMMYFUNCTION("""COMPUTED_VALUE"""),136.89)</f>
        <v>136.89</v>
      </c>
      <c r="AM10" s="26">
        <f>IFERROR(__xludf.DUMMYFUNCTION("""COMPUTED_VALUE"""),400.9)</f>
        <v>400.9</v>
      </c>
      <c r="AN10" s="26">
        <f>IFERROR(__xludf.DUMMYFUNCTION("""COMPUTED_VALUE"""),198.31)</f>
        <v>198.31</v>
      </c>
      <c r="AO10" s="26">
        <f>IFERROR(__xludf.DUMMYFUNCTION("""COMPUTED_VALUE"""),469.71)</f>
        <v>469.71</v>
      </c>
      <c r="AP10" s="26">
        <f>IFERROR(__xludf.DUMMYFUNCTION("""COMPUTED_VALUE"""),299.63)</f>
        <v>299.63</v>
      </c>
      <c r="AQ10" s="26">
        <f>IFERROR(__xludf.DUMMYFUNCTION("""COMPUTED_VALUE"""),26.27)</f>
        <v>26.27</v>
      </c>
      <c r="AR10" s="26">
        <f>IFERROR(__xludf.DUMMYFUNCTION("""COMPUTED_VALUE"""),85.76)</f>
        <v>85.76</v>
      </c>
      <c r="AS10" s="26">
        <f>IFERROR(__xludf.DUMMYFUNCTION("""COMPUTED_VALUE"""),72.87)</f>
        <v>72.87</v>
      </c>
      <c r="AT10" s="26">
        <f>IFERROR(__xludf.DUMMYFUNCTION("""COMPUTED_VALUE"""),430.52)</f>
        <v>430.52</v>
      </c>
      <c r="AU10" s="26">
        <f>IFERROR(__xludf.DUMMYFUNCTION("""COMPUTED_VALUE"""),76.32)</f>
        <v>76.32</v>
      </c>
      <c r="AV10" s="26">
        <f>IFERROR(__xludf.DUMMYFUNCTION("""COMPUTED_VALUE"""),94.95)</f>
        <v>94.95</v>
      </c>
      <c r="AW10" s="26">
        <f>IFERROR(__xludf.DUMMYFUNCTION("""COMPUTED_VALUE"""),98.7)</f>
        <v>98.7</v>
      </c>
      <c r="AX10" s="26">
        <f>IFERROR(__xludf.DUMMYFUNCTION("""COMPUTED_VALUE"""),37.59)</f>
        <v>37.59</v>
      </c>
      <c r="AY10" s="26">
        <f>IFERROR(__xludf.DUMMYFUNCTION("""COMPUTED_VALUE"""),21.17)</f>
        <v>21.17</v>
      </c>
      <c r="AZ10" s="26">
        <f>IFERROR(__xludf.DUMMYFUNCTION("""COMPUTED_VALUE"""),62.19)</f>
        <v>62.19</v>
      </c>
      <c r="BA10" s="26">
        <f>IFERROR(__xludf.DUMMYFUNCTION("""COMPUTED_VALUE"""),29.6)</f>
        <v>29.6</v>
      </c>
      <c r="BB10" s="26">
        <f>IFERROR(__xludf.DUMMYFUNCTION("""COMPUTED_VALUE"""),106.31)</f>
        <v>106.31</v>
      </c>
      <c r="BC10" s="26">
        <f>IFERROR(__xludf.DUMMYFUNCTION("""COMPUTED_VALUE"""),165.5)</f>
        <v>165.5</v>
      </c>
      <c r="BD10" s="26">
        <f>IFERROR(__xludf.DUMMYFUNCTION("""COMPUTED_VALUE"""),590.8)</f>
        <v>590.8</v>
      </c>
      <c r="BE10" s="26">
        <f>IFERROR(__xludf.DUMMYFUNCTION("""COMPUTED_VALUE"""),216.63)</f>
        <v>216.63</v>
      </c>
      <c r="BF10" s="26">
        <f>IFERROR(__xludf.DUMMYFUNCTION("""COMPUTED_VALUE"""),136.97)</f>
        <v>136.97</v>
      </c>
      <c r="BG10" s="26">
        <f>IFERROR(__xludf.DUMMYFUNCTION("""COMPUTED_VALUE"""),6.95)</f>
        <v>6.95</v>
      </c>
      <c r="BH10" s="26">
        <f>IFERROR(__xludf.DUMMYFUNCTION("""COMPUTED_VALUE"""),234.71)</f>
        <v>234.71</v>
      </c>
      <c r="BI10" s="26">
        <f>IFERROR(__xludf.DUMMYFUNCTION("""COMPUTED_VALUE"""),521.35)</f>
        <v>521.35</v>
      </c>
      <c r="BJ10" s="26">
        <f>IFERROR(__xludf.DUMMYFUNCTION("""COMPUTED_VALUE"""),48.17)</f>
        <v>48.17</v>
      </c>
      <c r="BK10" s="26">
        <f>IFERROR(__xludf.DUMMYFUNCTION("""COMPUTED_VALUE"""),10.88)</f>
        <v>10.88</v>
      </c>
      <c r="BL10" s="26">
        <f>IFERROR(__xludf.DUMMYFUNCTION("""COMPUTED_VALUE"""),209.92)</f>
        <v>209.92</v>
      </c>
      <c r="BM10" s="26">
        <f>IFERROR(__xludf.DUMMYFUNCTION("""COMPUTED_VALUE"""),103.02)</f>
        <v>103.02</v>
      </c>
    </row>
    <row r="11">
      <c r="A11" s="25">
        <v>45435.66666666667</v>
      </c>
      <c r="B11" s="17">
        <f>IFERROR(__xludf.DUMMYFUNCTION("""COMPUTED_VALUE"""),5267.84)</f>
        <v>5267.84</v>
      </c>
      <c r="C11" s="17">
        <f>IFERROR(__xludf.DUMMYFUNCTION("""COMPUTED_VALUE"""),16736.03)</f>
        <v>16736.03</v>
      </c>
      <c r="D11" s="17">
        <f>IFERROR(__xludf.DUMMYFUNCTION("""COMPUTED_VALUE"""),39065.26)</f>
        <v>39065.26</v>
      </c>
      <c r="E11" s="17">
        <f>IFERROR(__xludf.DUMMYFUNCTION("""COMPUTED_VALUE"""),2048.41)</f>
        <v>2048.41</v>
      </c>
      <c r="F11" s="26">
        <f>IFERROR(__xludf.DUMMYFUNCTION("""COMPUTED_VALUE"""),483.31)</f>
        <v>483.31</v>
      </c>
      <c r="G11" s="26">
        <f>IFERROR(__xludf.DUMMYFUNCTION("""COMPUTED_VALUE"""),181.05)</f>
        <v>181.05</v>
      </c>
      <c r="H11" s="26">
        <f>IFERROR(__xludf.DUMMYFUNCTION("""COMPUTED_VALUE"""),128.6)</f>
        <v>128.6</v>
      </c>
      <c r="I11" s="26">
        <f>IFERROR(__xludf.DUMMYFUNCTION("""COMPUTED_VALUE"""),186.88)</f>
        <v>186.88</v>
      </c>
      <c r="J11" s="26">
        <f>IFERROR(__xludf.DUMMYFUNCTION("""COMPUTED_VALUE"""),217.95)</f>
        <v>217.95</v>
      </c>
      <c r="K11" s="26">
        <f>IFERROR(__xludf.DUMMYFUNCTION("""COMPUTED_VALUE"""),58.33)</f>
        <v>58.33</v>
      </c>
      <c r="L11" s="26">
        <f>IFERROR(__xludf.DUMMYFUNCTION("""COMPUTED_VALUE"""),10.91)</f>
        <v>10.91</v>
      </c>
      <c r="M11" s="26">
        <f>IFERROR(__xludf.DUMMYFUNCTION("""COMPUTED_VALUE"""),405.88)</f>
        <v>405.88</v>
      </c>
      <c r="N11" s="26">
        <f>IFERROR(__xludf.DUMMYFUNCTION("""COMPUTED_VALUE"""),58.75)</f>
        <v>58.75</v>
      </c>
      <c r="O11" s="26">
        <f>IFERROR(__xludf.DUMMYFUNCTION("""COMPUTED_VALUE"""),218.06)</f>
        <v>218.06</v>
      </c>
      <c r="P11" s="26">
        <f>IFERROR(__xludf.DUMMYFUNCTION("""COMPUTED_VALUE"""),64.35)</f>
        <v>64.35</v>
      </c>
      <c r="Q11" s="26">
        <f>IFERROR(__xludf.DUMMYFUNCTION("""COMPUTED_VALUE"""),350.7)</f>
        <v>350.7</v>
      </c>
      <c r="R11" s="26">
        <f>IFERROR(__xludf.DUMMYFUNCTION("""COMPUTED_VALUE"""),51.69)</f>
        <v>51.69</v>
      </c>
      <c r="S11" s="26">
        <f>IFERROR(__xludf.DUMMYFUNCTION("""COMPUTED_VALUE"""),153.5)</f>
        <v>153.5</v>
      </c>
      <c r="T11" s="26">
        <f>IFERROR(__xludf.DUMMYFUNCTION("""COMPUTED_VALUE"""),156.94)</f>
        <v>156.94</v>
      </c>
      <c r="U11" s="26">
        <f>IFERROR(__xludf.DUMMYFUNCTION("""COMPUTED_VALUE"""),337.83)</f>
        <v>337.83</v>
      </c>
      <c r="V11" s="26">
        <f>IFERROR(__xludf.DUMMYFUNCTION("""COMPUTED_VALUE"""),35.12)</f>
        <v>35.12</v>
      </c>
      <c r="W11" s="26">
        <f>IFERROR(__xludf.DUMMYFUNCTION("""COMPUTED_VALUE"""),62.09)</f>
        <v>62.09</v>
      </c>
      <c r="X11" s="26">
        <f>IFERROR(__xludf.DUMMYFUNCTION("""COMPUTED_VALUE"""),93.87)</f>
        <v>93.87</v>
      </c>
      <c r="Y11" s="26">
        <f>IFERROR(__xludf.DUMMYFUNCTION("""COMPUTED_VALUE"""),142.25)</f>
        <v>142.25</v>
      </c>
      <c r="Z11" s="26">
        <f>IFERROR(__xludf.DUMMYFUNCTION("""COMPUTED_VALUE"""),114.6)</f>
        <v>114.6</v>
      </c>
      <c r="AA11" s="26">
        <f>IFERROR(__xludf.DUMMYFUNCTION("""COMPUTED_VALUE"""),502.13)</f>
        <v>502.13</v>
      </c>
      <c r="AB11" s="26">
        <f>IFERROR(__xludf.DUMMYFUNCTION("""COMPUTED_VALUE"""),52.81)</f>
        <v>52.81</v>
      </c>
      <c r="AC11" s="26">
        <f>IFERROR(__xludf.DUMMYFUNCTION("""COMPUTED_VALUE"""),113.51)</f>
        <v>113.51</v>
      </c>
      <c r="AD11" s="26">
        <f>IFERROR(__xludf.DUMMYFUNCTION("""COMPUTED_VALUE"""),249.29)</f>
        <v>249.29</v>
      </c>
      <c r="AE11" s="26">
        <f>IFERROR(__xludf.DUMMYFUNCTION("""COMPUTED_VALUE"""),413.53)</f>
        <v>413.53</v>
      </c>
      <c r="AF11" s="26">
        <f>IFERROR(__xludf.DUMMYFUNCTION("""COMPUTED_VALUE"""),296.52)</f>
        <v>296.52</v>
      </c>
      <c r="AG11" s="26">
        <f>IFERROR(__xludf.DUMMYFUNCTION("""COMPUTED_VALUE"""),43.73)</f>
        <v>43.73</v>
      </c>
      <c r="AH11" s="26">
        <f>IFERROR(__xludf.DUMMYFUNCTION("""COMPUTED_VALUE"""),66.17)</f>
        <v>66.17</v>
      </c>
      <c r="AI11" s="26">
        <f>IFERROR(__xludf.DUMMYFUNCTION("""COMPUTED_VALUE"""),458.15)</f>
        <v>458.15</v>
      </c>
      <c r="AJ11" s="26">
        <f>IFERROR(__xludf.DUMMYFUNCTION("""COMPUTED_VALUE"""),326.89)</f>
        <v>326.89</v>
      </c>
      <c r="AK11" s="26">
        <f>IFERROR(__xludf.DUMMYFUNCTION("""COMPUTED_VALUE"""),85.58)</f>
        <v>85.58</v>
      </c>
      <c r="AL11" s="26">
        <f>IFERROR(__xludf.DUMMYFUNCTION("""COMPUTED_VALUE"""),135.4)</f>
        <v>135.4</v>
      </c>
      <c r="AM11" s="26">
        <f>IFERROR(__xludf.DUMMYFUNCTION("""COMPUTED_VALUE"""),398.39)</f>
        <v>398.39</v>
      </c>
      <c r="AN11" s="26">
        <f>IFERROR(__xludf.DUMMYFUNCTION("""COMPUTED_VALUE"""),196.92)</f>
        <v>196.92</v>
      </c>
      <c r="AO11" s="26">
        <f>IFERROR(__xludf.DUMMYFUNCTION("""COMPUTED_VALUE"""),467.08)</f>
        <v>467.08</v>
      </c>
      <c r="AP11" s="26">
        <f>IFERROR(__xludf.DUMMYFUNCTION("""COMPUTED_VALUE"""),299.74)</f>
        <v>299.74</v>
      </c>
      <c r="AQ11" s="26">
        <f>IFERROR(__xludf.DUMMYFUNCTION("""COMPUTED_VALUE"""),26.14)</f>
        <v>26.14</v>
      </c>
      <c r="AR11" s="26">
        <f>IFERROR(__xludf.DUMMYFUNCTION("""COMPUTED_VALUE"""),81.38)</f>
        <v>81.38</v>
      </c>
      <c r="AS11" s="26">
        <f>IFERROR(__xludf.DUMMYFUNCTION("""COMPUTED_VALUE"""),71.65)</f>
        <v>71.65</v>
      </c>
      <c r="AT11" s="26">
        <f>IFERROR(__xludf.DUMMYFUNCTION("""COMPUTED_VALUE"""),427.0)</f>
        <v>427</v>
      </c>
      <c r="AU11" s="26">
        <f>IFERROR(__xludf.DUMMYFUNCTION("""COMPUTED_VALUE"""),75.32)</f>
        <v>75.32</v>
      </c>
      <c r="AV11" s="26">
        <f>IFERROR(__xludf.DUMMYFUNCTION("""COMPUTED_VALUE"""),103.8)</f>
        <v>103.8</v>
      </c>
      <c r="AW11" s="26">
        <f>IFERROR(__xludf.DUMMYFUNCTION("""COMPUTED_VALUE"""),97.13)</f>
        <v>97.13</v>
      </c>
      <c r="AX11" s="26">
        <f>IFERROR(__xludf.DUMMYFUNCTION("""COMPUTED_VALUE"""),38.41)</f>
        <v>38.41</v>
      </c>
      <c r="AY11" s="26">
        <f>IFERROR(__xludf.DUMMYFUNCTION("""COMPUTED_VALUE"""),20.72)</f>
        <v>20.72</v>
      </c>
      <c r="AZ11" s="26">
        <f>IFERROR(__xludf.DUMMYFUNCTION("""COMPUTED_VALUE"""),61.58)</f>
        <v>61.58</v>
      </c>
      <c r="BA11" s="26">
        <f>IFERROR(__xludf.DUMMYFUNCTION("""COMPUTED_VALUE"""),28.69)</f>
        <v>28.69</v>
      </c>
      <c r="BB11" s="26">
        <f>IFERROR(__xludf.DUMMYFUNCTION("""COMPUTED_VALUE"""),105.41)</f>
        <v>105.41</v>
      </c>
      <c r="BC11" s="26">
        <f>IFERROR(__xludf.DUMMYFUNCTION("""COMPUTED_VALUE"""),164.97)</f>
        <v>164.97</v>
      </c>
      <c r="BD11" s="26">
        <f>IFERROR(__xludf.DUMMYFUNCTION("""COMPUTED_VALUE"""),585.03)</f>
        <v>585.03</v>
      </c>
      <c r="BE11" s="26">
        <f>IFERROR(__xludf.DUMMYFUNCTION("""COMPUTED_VALUE"""),214.72)</f>
        <v>214.72</v>
      </c>
      <c r="BF11" s="26">
        <f>IFERROR(__xludf.DUMMYFUNCTION("""COMPUTED_VALUE"""),137.53)</f>
        <v>137.53</v>
      </c>
      <c r="BG11" s="26">
        <f>IFERROR(__xludf.DUMMYFUNCTION("""COMPUTED_VALUE"""),6.72)</f>
        <v>6.72</v>
      </c>
      <c r="BH11" s="26">
        <f>IFERROR(__xludf.DUMMYFUNCTION("""COMPUTED_VALUE"""),232.71)</f>
        <v>232.71</v>
      </c>
      <c r="BI11" s="26">
        <f>IFERROR(__xludf.DUMMYFUNCTION("""COMPUTED_VALUE"""),516.83)</f>
        <v>516.83</v>
      </c>
      <c r="BJ11" s="26">
        <f>IFERROR(__xludf.DUMMYFUNCTION("""COMPUTED_VALUE"""),48.12)</f>
        <v>48.12</v>
      </c>
      <c r="BK11" s="26">
        <f>IFERROR(__xludf.DUMMYFUNCTION("""COMPUTED_VALUE"""),10.53)</f>
        <v>10.53</v>
      </c>
      <c r="BL11" s="26">
        <f>IFERROR(__xludf.DUMMYFUNCTION("""COMPUTED_VALUE"""),209.49)</f>
        <v>209.49</v>
      </c>
      <c r="BM11" s="26">
        <f>IFERROR(__xludf.DUMMYFUNCTION("""COMPUTED_VALUE"""),100.66)</f>
        <v>100.66</v>
      </c>
    </row>
    <row r="12">
      <c r="A12" s="25">
        <v>45436.66666666667</v>
      </c>
      <c r="B12" s="17">
        <f>IFERROR(__xludf.DUMMYFUNCTION("""COMPUTED_VALUE"""),5304.72)</f>
        <v>5304.72</v>
      </c>
      <c r="C12" s="17">
        <f>IFERROR(__xludf.DUMMYFUNCTION("""COMPUTED_VALUE"""),16920.79)</f>
        <v>16920.79</v>
      </c>
      <c r="D12" s="17">
        <f>IFERROR(__xludf.DUMMYFUNCTION("""COMPUTED_VALUE"""),39069.59)</f>
        <v>39069.59</v>
      </c>
      <c r="E12" s="17">
        <f>IFERROR(__xludf.DUMMYFUNCTION("""COMPUTED_VALUE"""),2069.67)</f>
        <v>2069.67</v>
      </c>
      <c r="F12" s="26">
        <f>IFERROR(__xludf.DUMMYFUNCTION("""COMPUTED_VALUE"""),475.43)</f>
        <v>475.43</v>
      </c>
      <c r="G12" s="26">
        <f>IFERROR(__xludf.DUMMYFUNCTION("""COMPUTED_VALUE"""),180.75)</f>
        <v>180.75</v>
      </c>
      <c r="H12" s="26">
        <f>IFERROR(__xludf.DUMMYFUNCTION("""COMPUTED_VALUE"""),128.23)</f>
        <v>128.23</v>
      </c>
      <c r="I12" s="26">
        <f>IFERROR(__xludf.DUMMYFUNCTION("""COMPUTED_VALUE"""),189.98)</f>
        <v>189.98</v>
      </c>
      <c r="J12" s="26">
        <f>IFERROR(__xludf.DUMMYFUNCTION("""COMPUTED_VALUE"""),220.89)</f>
        <v>220.89</v>
      </c>
      <c r="K12" s="26">
        <f>IFERROR(__xludf.DUMMYFUNCTION("""COMPUTED_VALUE"""),59.09)</f>
        <v>59.09</v>
      </c>
      <c r="L12" s="26">
        <f>IFERROR(__xludf.DUMMYFUNCTION("""COMPUTED_VALUE"""),11.08)</f>
        <v>11.08</v>
      </c>
      <c r="M12" s="26">
        <f>IFERROR(__xludf.DUMMYFUNCTION("""COMPUTED_VALUE"""),407.41)</f>
        <v>407.41</v>
      </c>
      <c r="N12" s="26">
        <f>IFERROR(__xludf.DUMMYFUNCTION("""COMPUTED_VALUE"""),59.63)</f>
        <v>59.63</v>
      </c>
      <c r="O12" s="26">
        <f>IFERROR(__xludf.DUMMYFUNCTION("""COMPUTED_VALUE"""),217.81)</f>
        <v>217.81</v>
      </c>
      <c r="P12" s="26">
        <f>IFERROR(__xludf.DUMMYFUNCTION("""COMPUTED_VALUE"""),65.65)</f>
        <v>65.65</v>
      </c>
      <c r="Q12" s="26">
        <f>IFERROR(__xludf.DUMMYFUNCTION("""COMPUTED_VALUE"""),348.9)</f>
        <v>348.9</v>
      </c>
      <c r="R12" s="26">
        <f>IFERROR(__xludf.DUMMYFUNCTION("""COMPUTED_VALUE"""),52.99)</f>
        <v>52.99</v>
      </c>
      <c r="S12" s="26">
        <f>IFERROR(__xludf.DUMMYFUNCTION("""COMPUTED_VALUE"""),154.42)</f>
        <v>154.42</v>
      </c>
      <c r="T12" s="26">
        <f>IFERROR(__xludf.DUMMYFUNCTION("""COMPUTED_VALUE"""),157.75)</f>
        <v>157.75</v>
      </c>
      <c r="U12" s="26">
        <f>IFERROR(__xludf.DUMMYFUNCTION("""COMPUTED_VALUE"""),332.61)</f>
        <v>332.61</v>
      </c>
      <c r="V12" s="26">
        <f>IFERROR(__xludf.DUMMYFUNCTION("""COMPUTED_VALUE"""),35.35)</f>
        <v>35.35</v>
      </c>
      <c r="W12" s="26">
        <f>IFERROR(__xludf.DUMMYFUNCTION("""COMPUTED_VALUE"""),62.0)</f>
        <v>62</v>
      </c>
      <c r="X12" s="26">
        <f>IFERROR(__xludf.DUMMYFUNCTION("""COMPUTED_VALUE"""),94.43)</f>
        <v>94.43</v>
      </c>
      <c r="Y12" s="26">
        <f>IFERROR(__xludf.DUMMYFUNCTION("""COMPUTED_VALUE"""),142.77)</f>
        <v>142.77</v>
      </c>
      <c r="Z12" s="26">
        <f>IFERROR(__xludf.DUMMYFUNCTION("""COMPUTED_VALUE"""),115.37)</f>
        <v>115.37</v>
      </c>
      <c r="AA12" s="26">
        <f>IFERROR(__xludf.DUMMYFUNCTION("""COMPUTED_VALUE"""),502.16)</f>
        <v>502.16</v>
      </c>
      <c r="AB12" s="26">
        <f>IFERROR(__xludf.DUMMYFUNCTION("""COMPUTED_VALUE"""),54.41)</f>
        <v>54.41</v>
      </c>
      <c r="AC12" s="26">
        <f>IFERROR(__xludf.DUMMYFUNCTION("""COMPUTED_VALUE"""),113.42)</f>
        <v>113.42</v>
      </c>
      <c r="AD12" s="26">
        <f>IFERROR(__xludf.DUMMYFUNCTION("""COMPUTED_VALUE"""),247.59)</f>
        <v>247.59</v>
      </c>
      <c r="AE12" s="26">
        <f>IFERROR(__xludf.DUMMYFUNCTION("""COMPUTED_VALUE"""),416.16)</f>
        <v>416.16</v>
      </c>
      <c r="AF12" s="26">
        <f>IFERROR(__xludf.DUMMYFUNCTION("""COMPUTED_VALUE"""),299.62)</f>
        <v>299.62</v>
      </c>
      <c r="AG12" s="26">
        <f>IFERROR(__xludf.DUMMYFUNCTION("""COMPUTED_VALUE"""),44.11)</f>
        <v>44.11</v>
      </c>
      <c r="AH12" s="26">
        <f>IFERROR(__xludf.DUMMYFUNCTION("""COMPUTED_VALUE"""),65.68)</f>
        <v>65.68</v>
      </c>
      <c r="AI12" s="26">
        <f>IFERROR(__xludf.DUMMYFUNCTION("""COMPUTED_VALUE"""),461.18)</f>
        <v>461.18</v>
      </c>
      <c r="AJ12" s="26">
        <f>IFERROR(__xludf.DUMMYFUNCTION("""COMPUTED_VALUE"""),325.1)</f>
        <v>325.1</v>
      </c>
      <c r="AK12" s="26">
        <f>IFERROR(__xludf.DUMMYFUNCTION("""COMPUTED_VALUE"""),87.17)</f>
        <v>87.17</v>
      </c>
      <c r="AL12" s="26">
        <f>IFERROR(__xludf.DUMMYFUNCTION("""COMPUTED_VALUE"""),136.34)</f>
        <v>136.34</v>
      </c>
      <c r="AM12" s="26">
        <f>IFERROR(__xludf.DUMMYFUNCTION("""COMPUTED_VALUE"""),404.85)</f>
        <v>404.85</v>
      </c>
      <c r="AN12" s="26">
        <f>IFERROR(__xludf.DUMMYFUNCTION("""COMPUTED_VALUE"""),200.71)</f>
        <v>200.71</v>
      </c>
      <c r="AO12" s="26">
        <f>IFERROR(__xludf.DUMMYFUNCTION("""COMPUTED_VALUE"""),467.35)</f>
        <v>467.35</v>
      </c>
      <c r="AP12" s="26">
        <f>IFERROR(__xludf.DUMMYFUNCTION("""COMPUTED_VALUE"""),303.01)</f>
        <v>303.01</v>
      </c>
      <c r="AQ12" s="26">
        <f>IFERROR(__xludf.DUMMYFUNCTION("""COMPUTED_VALUE"""),26.54)</f>
        <v>26.54</v>
      </c>
      <c r="AR12" s="26">
        <f>IFERROR(__xludf.DUMMYFUNCTION("""COMPUTED_VALUE"""),82.29)</f>
        <v>82.29</v>
      </c>
      <c r="AS12" s="26">
        <f>IFERROR(__xludf.DUMMYFUNCTION("""COMPUTED_VALUE"""),72.54)</f>
        <v>72.54</v>
      </c>
      <c r="AT12" s="26">
        <f>IFERROR(__xludf.DUMMYFUNCTION("""COMPUTED_VALUE"""),430.16)</f>
        <v>430.16</v>
      </c>
      <c r="AU12" s="26">
        <f>IFERROR(__xludf.DUMMYFUNCTION("""COMPUTED_VALUE"""),76.61)</f>
        <v>76.61</v>
      </c>
      <c r="AV12" s="26">
        <f>IFERROR(__xludf.DUMMYFUNCTION("""COMPUTED_VALUE"""),106.47)</f>
        <v>106.47</v>
      </c>
      <c r="AW12" s="26">
        <f>IFERROR(__xludf.DUMMYFUNCTION("""COMPUTED_VALUE"""),97.57)</f>
        <v>97.57</v>
      </c>
      <c r="AX12" s="26">
        <f>IFERROR(__xludf.DUMMYFUNCTION("""COMPUTED_VALUE"""),40.23)</f>
        <v>40.23</v>
      </c>
      <c r="AY12" s="26">
        <f>IFERROR(__xludf.DUMMYFUNCTION("""COMPUTED_VALUE"""),21.01)</f>
        <v>21.01</v>
      </c>
      <c r="AZ12" s="26">
        <f>IFERROR(__xludf.DUMMYFUNCTION("""COMPUTED_VALUE"""),61.64)</f>
        <v>61.64</v>
      </c>
      <c r="BA12" s="26">
        <f>IFERROR(__xludf.DUMMYFUNCTION("""COMPUTED_VALUE"""),28.88)</f>
        <v>28.88</v>
      </c>
      <c r="BB12" s="26">
        <f>IFERROR(__xludf.DUMMYFUNCTION("""COMPUTED_VALUE"""),106.27)</f>
        <v>106.27</v>
      </c>
      <c r="BC12" s="26">
        <f>IFERROR(__xludf.DUMMYFUNCTION("""COMPUTED_VALUE"""),166.0)</f>
        <v>166</v>
      </c>
      <c r="BD12" s="26">
        <f>IFERROR(__xludf.DUMMYFUNCTION("""COMPUTED_VALUE"""),584.05)</f>
        <v>584.05</v>
      </c>
      <c r="BE12" s="26">
        <f>IFERROR(__xludf.DUMMYFUNCTION("""COMPUTED_VALUE"""),216.84)</f>
        <v>216.84</v>
      </c>
      <c r="BF12" s="26">
        <f>IFERROR(__xludf.DUMMYFUNCTION("""COMPUTED_VALUE"""),140.29)</f>
        <v>140.29</v>
      </c>
      <c r="BG12" s="26">
        <f>IFERROR(__xludf.DUMMYFUNCTION("""COMPUTED_VALUE"""),6.65)</f>
        <v>6.65</v>
      </c>
      <c r="BH12" s="26">
        <f>IFERROR(__xludf.DUMMYFUNCTION("""COMPUTED_VALUE"""),232.05)</f>
        <v>232.05</v>
      </c>
      <c r="BI12" s="26">
        <f>IFERROR(__xludf.DUMMYFUNCTION("""COMPUTED_VALUE"""),508.17)</f>
        <v>508.17</v>
      </c>
      <c r="BJ12" s="26">
        <f>IFERROR(__xludf.DUMMYFUNCTION("""COMPUTED_VALUE"""),48.15)</f>
        <v>48.15</v>
      </c>
      <c r="BK12" s="26">
        <f>IFERROR(__xludf.DUMMYFUNCTION("""COMPUTED_VALUE"""),10.41)</f>
        <v>10.41</v>
      </c>
      <c r="BL12" s="26">
        <f>IFERROR(__xludf.DUMMYFUNCTION("""COMPUTED_VALUE"""),208.81)</f>
        <v>208.81</v>
      </c>
      <c r="BM12" s="26">
        <f>IFERROR(__xludf.DUMMYFUNCTION("""COMPUTED_VALUE"""),101.76)</f>
        <v>101.76</v>
      </c>
    </row>
    <row r="13">
      <c r="A13" s="25">
        <v>45440.66666666667</v>
      </c>
      <c r="B13" s="17">
        <f>IFERROR(__xludf.DUMMYFUNCTION("""COMPUTED_VALUE"""),5306.04)</f>
        <v>5306.04</v>
      </c>
      <c r="C13" s="17">
        <f>IFERROR(__xludf.DUMMYFUNCTION("""COMPUTED_VALUE"""),17019.88)</f>
        <v>17019.88</v>
      </c>
      <c r="D13" s="17">
        <f>IFERROR(__xludf.DUMMYFUNCTION("""COMPUTED_VALUE"""),38852.86)</f>
        <v>38852.86</v>
      </c>
      <c r="E13" s="17">
        <f>IFERROR(__xludf.DUMMYFUNCTION("""COMPUTED_VALUE"""),2066.85)</f>
        <v>2066.85</v>
      </c>
      <c r="F13" s="26">
        <f>IFERROR(__xludf.DUMMYFUNCTION("""COMPUTED_VALUE"""),478.43)</f>
        <v>478.43</v>
      </c>
      <c r="G13" s="26">
        <f>IFERROR(__xludf.DUMMYFUNCTION("""COMPUTED_VALUE"""),182.15)</f>
        <v>182.15</v>
      </c>
      <c r="H13" s="26">
        <f>IFERROR(__xludf.DUMMYFUNCTION("""COMPUTED_VALUE"""),126.24)</f>
        <v>126.24</v>
      </c>
      <c r="I13" s="26">
        <f>IFERROR(__xludf.DUMMYFUNCTION("""COMPUTED_VALUE"""),189.99)</f>
        <v>189.99</v>
      </c>
      <c r="J13" s="26">
        <f>IFERROR(__xludf.DUMMYFUNCTION("""COMPUTED_VALUE"""),221.32)</f>
        <v>221.32</v>
      </c>
      <c r="K13" s="26">
        <f>IFERROR(__xludf.DUMMYFUNCTION("""COMPUTED_VALUE"""),58.24)</f>
        <v>58.24</v>
      </c>
      <c r="L13" s="26">
        <f>IFERROR(__xludf.DUMMYFUNCTION("""COMPUTED_VALUE"""),11.25)</f>
        <v>11.25</v>
      </c>
      <c r="M13" s="26">
        <f>IFERROR(__xludf.DUMMYFUNCTION("""COMPUTED_VALUE"""),403.9)</f>
        <v>403.9</v>
      </c>
      <c r="N13" s="26">
        <f>IFERROR(__xludf.DUMMYFUNCTION("""COMPUTED_VALUE"""),59.6)</f>
        <v>59.6</v>
      </c>
      <c r="O13" s="26">
        <f>IFERROR(__xludf.DUMMYFUNCTION("""COMPUTED_VALUE"""),218.73)</f>
        <v>218.73</v>
      </c>
      <c r="P13" s="26">
        <f>IFERROR(__xludf.DUMMYFUNCTION("""COMPUTED_VALUE"""),64.67)</f>
        <v>64.67</v>
      </c>
      <c r="Q13" s="26">
        <f>IFERROR(__xludf.DUMMYFUNCTION("""COMPUTED_VALUE"""),346.47)</f>
        <v>346.47</v>
      </c>
      <c r="R13" s="26">
        <f>IFERROR(__xludf.DUMMYFUNCTION("""COMPUTED_VALUE"""),54.13)</f>
        <v>54.13</v>
      </c>
      <c r="S13" s="26">
        <f>IFERROR(__xludf.DUMMYFUNCTION("""COMPUTED_VALUE"""),149.71)</f>
        <v>149.71</v>
      </c>
      <c r="T13" s="26">
        <f>IFERROR(__xludf.DUMMYFUNCTION("""COMPUTED_VALUE"""),159.04)</f>
        <v>159.04</v>
      </c>
      <c r="U13" s="26">
        <f>IFERROR(__xludf.DUMMYFUNCTION("""COMPUTED_VALUE"""),333.21)</f>
        <v>333.21</v>
      </c>
      <c r="V13" s="26">
        <f>IFERROR(__xludf.DUMMYFUNCTION("""COMPUTED_VALUE"""),34.66)</f>
        <v>34.66</v>
      </c>
      <c r="W13" s="26">
        <f>IFERROR(__xludf.DUMMYFUNCTION("""COMPUTED_VALUE"""),61.82)</f>
        <v>61.82</v>
      </c>
      <c r="X13" s="26">
        <f>IFERROR(__xludf.DUMMYFUNCTION("""COMPUTED_VALUE"""),93.21)</f>
        <v>93.21</v>
      </c>
      <c r="Y13" s="26">
        <f>IFERROR(__xludf.DUMMYFUNCTION("""COMPUTED_VALUE"""),143.77)</f>
        <v>143.77</v>
      </c>
      <c r="Z13" s="26">
        <f>IFERROR(__xludf.DUMMYFUNCTION("""COMPUTED_VALUE"""),113.02)</f>
        <v>113.02</v>
      </c>
      <c r="AA13" s="26">
        <f>IFERROR(__xludf.DUMMYFUNCTION("""COMPUTED_VALUE"""),509.08)</f>
        <v>509.08</v>
      </c>
      <c r="AB13" s="26">
        <f>IFERROR(__xludf.DUMMYFUNCTION("""COMPUTED_VALUE"""),52.9)</f>
        <v>52.9</v>
      </c>
      <c r="AC13" s="26">
        <f>IFERROR(__xludf.DUMMYFUNCTION("""COMPUTED_VALUE"""),114.86)</f>
        <v>114.86</v>
      </c>
      <c r="AD13" s="26">
        <f>IFERROR(__xludf.DUMMYFUNCTION("""COMPUTED_VALUE"""),248.04)</f>
        <v>248.04</v>
      </c>
      <c r="AE13" s="26">
        <f>IFERROR(__xludf.DUMMYFUNCTION("""COMPUTED_VALUE"""),412.14)</f>
        <v>412.14</v>
      </c>
      <c r="AF13" s="26">
        <f>IFERROR(__xludf.DUMMYFUNCTION("""COMPUTED_VALUE"""),297.34)</f>
        <v>297.34</v>
      </c>
      <c r="AG13" s="26">
        <f>IFERROR(__xludf.DUMMYFUNCTION("""COMPUTED_VALUE"""),43.09)</f>
        <v>43.09</v>
      </c>
      <c r="AH13" s="26">
        <f>IFERROR(__xludf.DUMMYFUNCTION("""COMPUTED_VALUE"""),63.94)</f>
        <v>63.94</v>
      </c>
      <c r="AI13" s="26">
        <f>IFERROR(__xludf.DUMMYFUNCTION("""COMPUTED_VALUE"""),459.81)</f>
        <v>459.81</v>
      </c>
      <c r="AJ13" s="26">
        <f>IFERROR(__xludf.DUMMYFUNCTION("""COMPUTED_VALUE"""),328.7)</f>
        <v>328.7</v>
      </c>
      <c r="AK13" s="26">
        <f>IFERROR(__xludf.DUMMYFUNCTION("""COMPUTED_VALUE"""),88.06)</f>
        <v>88.06</v>
      </c>
      <c r="AL13" s="26">
        <f>IFERROR(__xludf.DUMMYFUNCTION("""COMPUTED_VALUE"""),133.68)</f>
        <v>133.68</v>
      </c>
      <c r="AM13" s="26">
        <f>IFERROR(__xludf.DUMMYFUNCTION("""COMPUTED_VALUE"""),401.03)</f>
        <v>401.03</v>
      </c>
      <c r="AN13" s="26">
        <f>IFERROR(__xludf.DUMMYFUNCTION("""COMPUTED_VALUE"""),199.5)</f>
        <v>199.5</v>
      </c>
      <c r="AO13" s="26">
        <f>IFERROR(__xludf.DUMMYFUNCTION("""COMPUTED_VALUE"""),458.48)</f>
        <v>458.48</v>
      </c>
      <c r="AP13" s="26">
        <f>IFERROR(__xludf.DUMMYFUNCTION("""COMPUTED_VALUE"""),295.25)</f>
        <v>295.25</v>
      </c>
      <c r="AQ13" s="26">
        <f>IFERROR(__xludf.DUMMYFUNCTION("""COMPUTED_VALUE"""),26.2)</f>
        <v>26.2</v>
      </c>
      <c r="AR13" s="26">
        <f>IFERROR(__xludf.DUMMYFUNCTION("""COMPUTED_VALUE"""),82.0)</f>
        <v>82</v>
      </c>
      <c r="AS13" s="26">
        <f>IFERROR(__xludf.DUMMYFUNCTION("""COMPUTED_VALUE"""),70.98)</f>
        <v>70.98</v>
      </c>
      <c r="AT13" s="26">
        <f>IFERROR(__xludf.DUMMYFUNCTION("""COMPUTED_VALUE"""),430.32)</f>
        <v>430.32</v>
      </c>
      <c r="AU13" s="26">
        <f>IFERROR(__xludf.DUMMYFUNCTION("""COMPUTED_VALUE"""),77.53)</f>
        <v>77.53</v>
      </c>
      <c r="AV13" s="26">
        <f>IFERROR(__xludf.DUMMYFUNCTION("""COMPUTED_VALUE"""),113.9)</f>
        <v>113.9</v>
      </c>
      <c r="AW13" s="26">
        <f>IFERROR(__xludf.DUMMYFUNCTION("""COMPUTED_VALUE"""),95.25)</f>
        <v>95.25</v>
      </c>
      <c r="AX13" s="26">
        <f>IFERROR(__xludf.DUMMYFUNCTION("""COMPUTED_VALUE"""),41.82)</f>
        <v>41.82</v>
      </c>
      <c r="AY13" s="26">
        <f>IFERROR(__xludf.DUMMYFUNCTION("""COMPUTED_VALUE"""),21.05)</f>
        <v>21.05</v>
      </c>
      <c r="AZ13" s="26">
        <f>IFERROR(__xludf.DUMMYFUNCTION("""COMPUTED_VALUE"""),62.17)</f>
        <v>62.17</v>
      </c>
      <c r="BA13" s="26">
        <f>IFERROR(__xludf.DUMMYFUNCTION("""COMPUTED_VALUE"""),28.3)</f>
        <v>28.3</v>
      </c>
      <c r="BB13" s="26">
        <f>IFERROR(__xludf.DUMMYFUNCTION("""COMPUTED_VALUE"""),105.52)</f>
        <v>105.52</v>
      </c>
      <c r="BC13" s="26">
        <f>IFERROR(__xludf.DUMMYFUNCTION("""COMPUTED_VALUE"""),167.31)</f>
        <v>167.31</v>
      </c>
      <c r="BD13" s="26">
        <f>IFERROR(__xludf.DUMMYFUNCTION("""COMPUTED_VALUE"""),572.57)</f>
        <v>572.57</v>
      </c>
      <c r="BE13" s="26">
        <f>IFERROR(__xludf.DUMMYFUNCTION("""COMPUTED_VALUE"""),218.72)</f>
        <v>218.72</v>
      </c>
      <c r="BF13" s="26">
        <f>IFERROR(__xludf.DUMMYFUNCTION("""COMPUTED_VALUE"""),142.86)</f>
        <v>142.86</v>
      </c>
      <c r="BG13" s="26">
        <f>IFERROR(__xludf.DUMMYFUNCTION("""COMPUTED_VALUE"""),6.84)</f>
        <v>6.84</v>
      </c>
      <c r="BH13" s="26">
        <f>IFERROR(__xludf.DUMMYFUNCTION("""COMPUTED_VALUE"""),229.01)</f>
        <v>229.01</v>
      </c>
      <c r="BI13" s="26">
        <f>IFERROR(__xludf.DUMMYFUNCTION("""COMPUTED_VALUE"""),503.68)</f>
        <v>503.68</v>
      </c>
      <c r="BJ13" s="26">
        <f>IFERROR(__xludf.DUMMYFUNCTION("""COMPUTED_VALUE"""),48.16)</f>
        <v>48.16</v>
      </c>
      <c r="BK13" s="26">
        <f>IFERROR(__xludf.DUMMYFUNCTION("""COMPUTED_VALUE"""),10.39)</f>
        <v>10.39</v>
      </c>
      <c r="BL13" s="26">
        <f>IFERROR(__xludf.DUMMYFUNCTION("""COMPUTED_VALUE"""),206.46)</f>
        <v>206.46</v>
      </c>
      <c r="BM13" s="26">
        <f>IFERROR(__xludf.DUMMYFUNCTION("""COMPUTED_VALUE"""),102.44)</f>
        <v>102.44</v>
      </c>
    </row>
    <row r="14">
      <c r="A14" s="25">
        <v>45441.66666666667</v>
      </c>
      <c r="B14" s="17">
        <f>IFERROR(__xludf.DUMMYFUNCTION("""COMPUTED_VALUE"""),5266.95)</f>
        <v>5266.95</v>
      </c>
      <c r="C14" s="17">
        <f>IFERROR(__xludf.DUMMYFUNCTION("""COMPUTED_VALUE"""),16920.58)</f>
        <v>16920.58</v>
      </c>
      <c r="D14" s="17">
        <f>IFERROR(__xludf.DUMMYFUNCTION("""COMPUTED_VALUE"""),38441.54)</f>
        <v>38441.54</v>
      </c>
      <c r="E14" s="17">
        <f>IFERROR(__xludf.DUMMYFUNCTION("""COMPUTED_VALUE"""),2036.19)</f>
        <v>2036.19</v>
      </c>
      <c r="F14" s="26">
        <f>IFERROR(__xludf.DUMMYFUNCTION("""COMPUTED_VALUE"""),477.6)</f>
        <v>477.6</v>
      </c>
      <c r="G14" s="26">
        <f>IFERROR(__xludf.DUMMYFUNCTION("""COMPUTED_VALUE"""),182.02)</f>
        <v>182.02</v>
      </c>
      <c r="H14" s="26">
        <f>IFERROR(__xludf.DUMMYFUNCTION("""COMPUTED_VALUE"""),124.11)</f>
        <v>124.11</v>
      </c>
      <c r="I14" s="26">
        <f>IFERROR(__xludf.DUMMYFUNCTION("""COMPUTED_VALUE"""),190.29)</f>
        <v>190.29</v>
      </c>
      <c r="J14" s="26">
        <f>IFERROR(__xludf.DUMMYFUNCTION("""COMPUTED_VALUE"""),219.05)</f>
        <v>219.05</v>
      </c>
      <c r="K14" s="26">
        <f>IFERROR(__xludf.DUMMYFUNCTION("""COMPUTED_VALUE"""),57.76)</f>
        <v>57.76</v>
      </c>
      <c r="L14" s="26">
        <f>IFERROR(__xludf.DUMMYFUNCTION("""COMPUTED_VALUE"""),10.98)</f>
        <v>10.98</v>
      </c>
      <c r="M14" s="26">
        <f>IFERROR(__xludf.DUMMYFUNCTION("""COMPUTED_VALUE"""),404.09)</f>
        <v>404.09</v>
      </c>
      <c r="N14" s="26">
        <f>IFERROR(__xludf.DUMMYFUNCTION("""COMPUTED_VALUE"""),59.45)</f>
        <v>59.45</v>
      </c>
      <c r="O14" s="26">
        <f>IFERROR(__xludf.DUMMYFUNCTION("""COMPUTED_VALUE"""),214.41)</f>
        <v>214.41</v>
      </c>
      <c r="P14" s="26">
        <f>IFERROR(__xludf.DUMMYFUNCTION("""COMPUTED_VALUE"""),63.07)</f>
        <v>63.07</v>
      </c>
      <c r="Q14" s="26">
        <f>IFERROR(__xludf.DUMMYFUNCTION("""COMPUTED_VALUE"""),338.11)</f>
        <v>338.11</v>
      </c>
      <c r="R14" s="26">
        <f>IFERROR(__xludf.DUMMYFUNCTION("""COMPUTED_VALUE"""),54.34)</f>
        <v>54.34</v>
      </c>
      <c r="S14" s="26">
        <f>IFERROR(__xludf.DUMMYFUNCTION("""COMPUTED_VALUE"""),149.05)</f>
        <v>149.05</v>
      </c>
      <c r="T14" s="26">
        <f>IFERROR(__xludf.DUMMYFUNCTION("""COMPUTED_VALUE"""),156.9)</f>
        <v>156.9</v>
      </c>
      <c r="U14" s="26">
        <f>IFERROR(__xludf.DUMMYFUNCTION("""COMPUTED_VALUE"""),332.92)</f>
        <v>332.92</v>
      </c>
      <c r="V14" s="26">
        <f>IFERROR(__xludf.DUMMYFUNCTION("""COMPUTED_VALUE"""),34.2)</f>
        <v>34.2</v>
      </c>
      <c r="W14" s="26">
        <f>IFERROR(__xludf.DUMMYFUNCTION("""COMPUTED_VALUE"""),61.7)</f>
        <v>61.7</v>
      </c>
      <c r="X14" s="26">
        <f>IFERROR(__xludf.DUMMYFUNCTION("""COMPUTED_VALUE"""),91.91)</f>
        <v>91.91</v>
      </c>
      <c r="Y14" s="26">
        <f>IFERROR(__xludf.DUMMYFUNCTION("""COMPUTED_VALUE"""),141.43)</f>
        <v>141.43</v>
      </c>
      <c r="Z14" s="26">
        <f>IFERROR(__xludf.DUMMYFUNCTION("""COMPUTED_VALUE"""),113.83)</f>
        <v>113.83</v>
      </c>
      <c r="AA14" s="26">
        <f>IFERROR(__xludf.DUMMYFUNCTION("""COMPUTED_VALUE"""),510.01)</f>
        <v>510.01</v>
      </c>
      <c r="AB14" s="26">
        <f>IFERROR(__xludf.DUMMYFUNCTION("""COMPUTED_VALUE"""),52.09)</f>
        <v>52.09</v>
      </c>
      <c r="AC14" s="26">
        <f>IFERROR(__xludf.DUMMYFUNCTION("""COMPUTED_VALUE"""),113.63)</f>
        <v>113.63</v>
      </c>
      <c r="AD14" s="26">
        <f>IFERROR(__xludf.DUMMYFUNCTION("""COMPUTED_VALUE"""),245.11)</f>
        <v>245.11</v>
      </c>
      <c r="AE14" s="26">
        <f>IFERROR(__xludf.DUMMYFUNCTION("""COMPUTED_VALUE"""),406.19)</f>
        <v>406.19</v>
      </c>
      <c r="AF14" s="26">
        <f>IFERROR(__xludf.DUMMYFUNCTION("""COMPUTED_VALUE"""),293.48)</f>
        <v>293.48</v>
      </c>
      <c r="AG14" s="26">
        <f>IFERROR(__xludf.DUMMYFUNCTION("""COMPUTED_VALUE"""),42.64)</f>
        <v>42.64</v>
      </c>
      <c r="AH14" s="26">
        <f>IFERROR(__xludf.DUMMYFUNCTION("""COMPUTED_VALUE"""),63.5)</f>
        <v>63.5</v>
      </c>
      <c r="AI14" s="26">
        <f>IFERROR(__xludf.DUMMYFUNCTION("""COMPUTED_VALUE"""),457.17)</f>
        <v>457.17</v>
      </c>
      <c r="AJ14" s="26">
        <f>IFERROR(__xludf.DUMMYFUNCTION("""COMPUTED_VALUE"""),325.91)</f>
        <v>325.91</v>
      </c>
      <c r="AK14" s="26">
        <f>IFERROR(__xludf.DUMMYFUNCTION("""COMPUTED_VALUE"""),86.1)</f>
        <v>86.1</v>
      </c>
      <c r="AL14" s="26">
        <f>IFERROR(__xludf.DUMMYFUNCTION("""COMPUTED_VALUE"""),131.95)</f>
        <v>131.95</v>
      </c>
      <c r="AM14" s="26">
        <f>IFERROR(__xludf.DUMMYFUNCTION("""COMPUTED_VALUE"""),398.4)</f>
        <v>398.4</v>
      </c>
      <c r="AN14" s="26">
        <f>IFERROR(__xludf.DUMMYFUNCTION("""COMPUTED_VALUE"""),198.11)</f>
        <v>198.11</v>
      </c>
      <c r="AO14" s="26">
        <f>IFERROR(__xludf.DUMMYFUNCTION("""COMPUTED_VALUE"""),452.72)</f>
        <v>452.72</v>
      </c>
      <c r="AP14" s="26">
        <f>IFERROR(__xludf.DUMMYFUNCTION("""COMPUTED_VALUE"""),298.54)</f>
        <v>298.54</v>
      </c>
      <c r="AQ14" s="26">
        <f>IFERROR(__xludf.DUMMYFUNCTION("""COMPUTED_VALUE"""),25.63)</f>
        <v>25.63</v>
      </c>
      <c r="AR14" s="26">
        <f>IFERROR(__xludf.DUMMYFUNCTION("""COMPUTED_VALUE"""),81.49)</f>
        <v>81.49</v>
      </c>
      <c r="AS14" s="26">
        <f>IFERROR(__xludf.DUMMYFUNCTION("""COMPUTED_VALUE"""),70.44)</f>
        <v>70.44</v>
      </c>
      <c r="AT14" s="26">
        <f>IFERROR(__xludf.DUMMYFUNCTION("""COMPUTED_VALUE"""),429.17)</f>
        <v>429.17</v>
      </c>
      <c r="AU14" s="26">
        <f>IFERROR(__xludf.DUMMYFUNCTION("""COMPUTED_VALUE"""),76.68)</f>
        <v>76.68</v>
      </c>
      <c r="AV14" s="26">
        <f>IFERROR(__xludf.DUMMYFUNCTION("""COMPUTED_VALUE"""),114.83)</f>
        <v>114.83</v>
      </c>
      <c r="AW14" s="26">
        <f>IFERROR(__xludf.DUMMYFUNCTION("""COMPUTED_VALUE"""),94.79)</f>
        <v>94.79</v>
      </c>
      <c r="AX14" s="26">
        <f>IFERROR(__xludf.DUMMYFUNCTION("""COMPUTED_VALUE"""),42.65)</f>
        <v>42.65</v>
      </c>
      <c r="AY14" s="26">
        <f>IFERROR(__xludf.DUMMYFUNCTION("""COMPUTED_VALUE"""),20.94)</f>
        <v>20.94</v>
      </c>
      <c r="AZ14" s="26">
        <f>IFERROR(__xludf.DUMMYFUNCTION("""COMPUTED_VALUE"""),61.05)</f>
        <v>61.05</v>
      </c>
      <c r="BA14" s="26">
        <f>IFERROR(__xludf.DUMMYFUNCTION("""COMPUTED_VALUE"""),27.82)</f>
        <v>27.82</v>
      </c>
      <c r="BB14" s="26">
        <f>IFERROR(__xludf.DUMMYFUNCTION("""COMPUTED_VALUE"""),104.57)</f>
        <v>104.57</v>
      </c>
      <c r="BC14" s="26">
        <f>IFERROR(__xludf.DUMMYFUNCTION("""COMPUTED_VALUE"""),168.88)</f>
        <v>168.88</v>
      </c>
      <c r="BD14" s="26">
        <f>IFERROR(__xludf.DUMMYFUNCTION("""COMPUTED_VALUE"""),567.3)</f>
        <v>567.3</v>
      </c>
      <c r="BE14" s="26">
        <f>IFERROR(__xludf.DUMMYFUNCTION("""COMPUTED_VALUE"""),213.95)</f>
        <v>213.95</v>
      </c>
      <c r="BF14" s="26">
        <f>IFERROR(__xludf.DUMMYFUNCTION("""COMPUTED_VALUE"""),142.3)</f>
        <v>142.3</v>
      </c>
      <c r="BG14" s="26">
        <f>IFERROR(__xludf.DUMMYFUNCTION("""COMPUTED_VALUE"""),6.94)</f>
        <v>6.94</v>
      </c>
      <c r="BH14" s="26">
        <f>IFERROR(__xludf.DUMMYFUNCTION("""COMPUTED_VALUE"""),225.88)</f>
        <v>225.88</v>
      </c>
      <c r="BI14" s="26">
        <f>IFERROR(__xludf.DUMMYFUNCTION("""COMPUTED_VALUE"""),484.72)</f>
        <v>484.72</v>
      </c>
      <c r="BJ14" s="26">
        <f>IFERROR(__xludf.DUMMYFUNCTION("""COMPUTED_VALUE"""),48.11)</f>
        <v>48.11</v>
      </c>
      <c r="BK14" s="26">
        <f>IFERROR(__xludf.DUMMYFUNCTION("""COMPUTED_VALUE"""),10.31)</f>
        <v>10.31</v>
      </c>
      <c r="BL14" s="26">
        <f>IFERROR(__xludf.DUMMYFUNCTION("""COMPUTED_VALUE"""),204.16)</f>
        <v>204.16</v>
      </c>
      <c r="BM14" s="26">
        <f>IFERROR(__xludf.DUMMYFUNCTION("""COMPUTED_VALUE"""),100.88)</f>
        <v>100.88</v>
      </c>
    </row>
    <row r="15">
      <c r="A15" s="25">
        <v>45442.66666666667</v>
      </c>
      <c r="B15" s="17">
        <f>IFERROR(__xludf.DUMMYFUNCTION("""COMPUTED_VALUE"""),5235.48)</f>
        <v>5235.48</v>
      </c>
      <c r="C15" s="17">
        <f>IFERROR(__xludf.DUMMYFUNCTION("""COMPUTED_VALUE"""),16737.08)</f>
        <v>16737.08</v>
      </c>
      <c r="D15" s="17">
        <f>IFERROR(__xludf.DUMMYFUNCTION("""COMPUTED_VALUE"""),38111.48)</f>
        <v>38111.48</v>
      </c>
      <c r="E15" s="17">
        <f>IFERROR(__xludf.DUMMYFUNCTION("""COMPUTED_VALUE"""),2056.6)</f>
        <v>2056.6</v>
      </c>
      <c r="F15" s="26">
        <f>IFERROR(__xludf.DUMMYFUNCTION("""COMPUTED_VALUE"""),445.87)</f>
        <v>445.87</v>
      </c>
      <c r="G15" s="26">
        <f>IFERROR(__xludf.DUMMYFUNCTION("""COMPUTED_VALUE"""),179.32)</f>
        <v>179.32</v>
      </c>
      <c r="H15" s="26">
        <f>IFERROR(__xludf.DUMMYFUNCTION("""COMPUTED_VALUE"""),126.28)</f>
        <v>126.28</v>
      </c>
      <c r="I15" s="26">
        <f>IFERROR(__xludf.DUMMYFUNCTION("""COMPUTED_VALUE"""),191.29)</f>
        <v>191.29</v>
      </c>
      <c r="J15" s="26">
        <f>IFERROR(__xludf.DUMMYFUNCTION("""COMPUTED_VALUE"""),216.54)</f>
        <v>216.54</v>
      </c>
      <c r="K15" s="26">
        <f>IFERROR(__xludf.DUMMYFUNCTION("""COMPUTED_VALUE"""),58.42)</f>
        <v>58.42</v>
      </c>
      <c r="L15" s="26">
        <f>IFERROR(__xludf.DUMMYFUNCTION("""COMPUTED_VALUE"""),11.26)</f>
        <v>11.26</v>
      </c>
      <c r="M15" s="26">
        <f>IFERROR(__xludf.DUMMYFUNCTION("""COMPUTED_VALUE"""),408.61)</f>
        <v>408.61</v>
      </c>
      <c r="N15" s="26">
        <f>IFERROR(__xludf.DUMMYFUNCTION("""COMPUTED_VALUE"""),58.66)</f>
        <v>58.66</v>
      </c>
      <c r="O15" s="26">
        <f>IFERROR(__xludf.DUMMYFUNCTION("""COMPUTED_VALUE"""),220.07)</f>
        <v>220.07</v>
      </c>
      <c r="P15" s="26">
        <f>IFERROR(__xludf.DUMMYFUNCTION("""COMPUTED_VALUE"""),63.34)</f>
        <v>63.34</v>
      </c>
      <c r="Q15" s="26">
        <f>IFERROR(__xludf.DUMMYFUNCTION("""COMPUTED_VALUE"""),339.25)</f>
        <v>339.25</v>
      </c>
      <c r="R15" s="26">
        <f>IFERROR(__xludf.DUMMYFUNCTION("""COMPUTED_VALUE"""),54.77)</f>
        <v>54.77</v>
      </c>
      <c r="S15" s="26">
        <f>IFERROR(__xludf.DUMMYFUNCTION("""COMPUTED_VALUE"""),146.79)</f>
        <v>146.79</v>
      </c>
      <c r="T15" s="26">
        <f>IFERROR(__xludf.DUMMYFUNCTION("""COMPUTED_VALUE"""),158.26)</f>
        <v>158.26</v>
      </c>
      <c r="U15" s="26">
        <f>IFERROR(__xludf.DUMMYFUNCTION("""COMPUTED_VALUE"""),331.0)</f>
        <v>331</v>
      </c>
      <c r="V15" s="26">
        <f>IFERROR(__xludf.DUMMYFUNCTION("""COMPUTED_VALUE"""),34.41)</f>
        <v>34.41</v>
      </c>
      <c r="W15" s="26">
        <f>IFERROR(__xludf.DUMMYFUNCTION("""COMPUTED_VALUE"""),61.97)</f>
        <v>61.97</v>
      </c>
      <c r="X15" s="26">
        <f>IFERROR(__xludf.DUMMYFUNCTION("""COMPUTED_VALUE"""),92.45)</f>
        <v>92.45</v>
      </c>
      <c r="Y15" s="26">
        <f>IFERROR(__xludf.DUMMYFUNCTION("""COMPUTED_VALUE"""),144.04)</f>
        <v>144.04</v>
      </c>
      <c r="Z15" s="26">
        <f>IFERROR(__xludf.DUMMYFUNCTION("""COMPUTED_VALUE"""),114.79)</f>
        <v>114.79</v>
      </c>
      <c r="AA15" s="26">
        <f>IFERROR(__xludf.DUMMYFUNCTION("""COMPUTED_VALUE"""),509.1)</f>
        <v>509.1</v>
      </c>
      <c r="AB15" s="26">
        <f>IFERROR(__xludf.DUMMYFUNCTION("""COMPUTED_VALUE"""),53.35)</f>
        <v>53.35</v>
      </c>
      <c r="AC15" s="26">
        <f>IFERROR(__xludf.DUMMYFUNCTION("""COMPUTED_VALUE"""),113.99)</f>
        <v>113.99</v>
      </c>
      <c r="AD15" s="26">
        <f>IFERROR(__xludf.DUMMYFUNCTION("""COMPUTED_VALUE"""),249.58)</f>
        <v>249.58</v>
      </c>
      <c r="AE15" s="26">
        <f>IFERROR(__xludf.DUMMYFUNCTION("""COMPUTED_VALUE"""),408.98)</f>
        <v>408.98</v>
      </c>
      <c r="AF15" s="26">
        <f>IFERROR(__xludf.DUMMYFUNCTION("""COMPUTED_VALUE"""),296.08)</f>
        <v>296.08</v>
      </c>
      <c r="AG15" s="26">
        <f>IFERROR(__xludf.DUMMYFUNCTION("""COMPUTED_VALUE"""),43.41)</f>
        <v>43.41</v>
      </c>
      <c r="AH15" s="26">
        <f>IFERROR(__xludf.DUMMYFUNCTION("""COMPUTED_VALUE"""),64.08)</f>
        <v>64.08</v>
      </c>
      <c r="AI15" s="26">
        <f>IFERROR(__xludf.DUMMYFUNCTION("""COMPUTED_VALUE"""),450.23)</f>
        <v>450.23</v>
      </c>
      <c r="AJ15" s="26">
        <f>IFERROR(__xludf.DUMMYFUNCTION("""COMPUTED_VALUE"""),329.18)</f>
        <v>329.18</v>
      </c>
      <c r="AK15" s="26">
        <f>IFERROR(__xludf.DUMMYFUNCTION("""COMPUTED_VALUE"""),85.92)</f>
        <v>85.92</v>
      </c>
      <c r="AL15" s="26">
        <f>IFERROR(__xludf.DUMMYFUNCTION("""COMPUTED_VALUE"""),133.24)</f>
        <v>133.24</v>
      </c>
      <c r="AM15" s="26">
        <f>IFERROR(__xludf.DUMMYFUNCTION("""COMPUTED_VALUE"""),403.39)</f>
        <v>403.39</v>
      </c>
      <c r="AN15" s="26">
        <f>IFERROR(__xludf.DUMMYFUNCTION("""COMPUTED_VALUE"""),199.33)</f>
        <v>199.33</v>
      </c>
      <c r="AO15" s="26">
        <f>IFERROR(__xludf.DUMMYFUNCTION("""COMPUTED_VALUE"""),460.94)</f>
        <v>460.94</v>
      </c>
      <c r="AP15" s="26">
        <f>IFERROR(__xludf.DUMMYFUNCTION("""COMPUTED_VALUE"""),302.9)</f>
        <v>302.9</v>
      </c>
      <c r="AQ15" s="26">
        <f>IFERROR(__xludf.DUMMYFUNCTION("""COMPUTED_VALUE"""),25.66)</f>
        <v>25.66</v>
      </c>
      <c r="AR15" s="26">
        <f>IFERROR(__xludf.DUMMYFUNCTION("""COMPUTED_VALUE"""),80.6)</f>
        <v>80.6</v>
      </c>
      <c r="AS15" s="26">
        <f>IFERROR(__xludf.DUMMYFUNCTION("""COMPUTED_VALUE"""),71.11)</f>
        <v>71.11</v>
      </c>
      <c r="AT15" s="26">
        <f>IFERROR(__xludf.DUMMYFUNCTION("""COMPUTED_VALUE"""),414.67)</f>
        <v>414.67</v>
      </c>
      <c r="AU15" s="26">
        <f>IFERROR(__xludf.DUMMYFUNCTION("""COMPUTED_VALUE"""),78.19)</f>
        <v>78.19</v>
      </c>
      <c r="AV15" s="26">
        <f>IFERROR(__xludf.DUMMYFUNCTION("""COMPUTED_VALUE"""),110.5)</f>
        <v>110.5</v>
      </c>
      <c r="AW15" s="26">
        <f>IFERROR(__xludf.DUMMYFUNCTION("""COMPUTED_VALUE"""),96.39)</f>
        <v>96.39</v>
      </c>
      <c r="AX15" s="26">
        <f>IFERROR(__xludf.DUMMYFUNCTION("""COMPUTED_VALUE"""),42.6)</f>
        <v>42.6</v>
      </c>
      <c r="AY15" s="26">
        <f>IFERROR(__xludf.DUMMYFUNCTION("""COMPUTED_VALUE"""),21.73)</f>
        <v>21.73</v>
      </c>
      <c r="AZ15" s="26">
        <f>IFERROR(__xludf.DUMMYFUNCTION("""COMPUTED_VALUE"""),62.51)</f>
        <v>62.51</v>
      </c>
      <c r="BA15" s="26">
        <f>IFERROR(__xludf.DUMMYFUNCTION("""COMPUTED_VALUE"""),28.2)</f>
        <v>28.2</v>
      </c>
      <c r="BB15" s="26">
        <f>IFERROR(__xludf.DUMMYFUNCTION("""COMPUTED_VALUE"""),105.72)</f>
        <v>105.72</v>
      </c>
      <c r="BC15" s="26">
        <f>IFERROR(__xludf.DUMMYFUNCTION("""COMPUTED_VALUE"""),170.7)</f>
        <v>170.7</v>
      </c>
      <c r="BD15" s="26">
        <f>IFERROR(__xludf.DUMMYFUNCTION("""COMPUTED_VALUE"""),562.76)</f>
        <v>562.76</v>
      </c>
      <c r="BE15" s="26">
        <f>IFERROR(__xludf.DUMMYFUNCTION("""COMPUTED_VALUE"""),214.17)</f>
        <v>214.17</v>
      </c>
      <c r="BF15" s="26">
        <f>IFERROR(__xludf.DUMMYFUNCTION("""COMPUTED_VALUE"""),136.42)</f>
        <v>136.42</v>
      </c>
      <c r="BG15" s="26">
        <f>IFERROR(__xludf.DUMMYFUNCTION("""COMPUTED_VALUE"""),6.95)</f>
        <v>6.95</v>
      </c>
      <c r="BH15" s="26">
        <f>IFERROR(__xludf.DUMMYFUNCTION("""COMPUTED_VALUE"""),229.24)</f>
        <v>229.24</v>
      </c>
      <c r="BI15" s="26">
        <f>IFERROR(__xludf.DUMMYFUNCTION("""COMPUTED_VALUE"""),481.65)</f>
        <v>481.65</v>
      </c>
      <c r="BJ15" s="26">
        <f>IFERROR(__xludf.DUMMYFUNCTION("""COMPUTED_VALUE"""),48.19)</f>
        <v>48.19</v>
      </c>
      <c r="BK15" s="26">
        <f>IFERROR(__xludf.DUMMYFUNCTION("""COMPUTED_VALUE"""),10.48)</f>
        <v>10.48</v>
      </c>
      <c r="BL15" s="26">
        <f>IFERROR(__xludf.DUMMYFUNCTION("""COMPUTED_VALUE"""),206.25)</f>
        <v>206.25</v>
      </c>
      <c r="BM15" s="26">
        <f>IFERROR(__xludf.DUMMYFUNCTION("""COMPUTED_VALUE"""),101.7)</f>
        <v>101.7</v>
      </c>
    </row>
    <row r="16">
      <c r="A16" s="25">
        <v>45443.66666666667</v>
      </c>
      <c r="B16" s="17">
        <f>IFERROR(__xludf.DUMMYFUNCTION("""COMPUTED_VALUE"""),5277.51)</f>
        <v>5277.51</v>
      </c>
      <c r="C16" s="17">
        <f>IFERROR(__xludf.DUMMYFUNCTION("""COMPUTED_VALUE"""),16735.02)</f>
        <v>16735.02</v>
      </c>
      <c r="D16" s="17">
        <f>IFERROR(__xludf.DUMMYFUNCTION("""COMPUTED_VALUE"""),38686.32)</f>
        <v>38686.32</v>
      </c>
      <c r="E16" s="17">
        <f>IFERROR(__xludf.DUMMYFUNCTION("""COMPUTED_VALUE"""),2070.13)</f>
        <v>2070.13</v>
      </c>
      <c r="F16" s="26">
        <f>IFERROR(__xludf.DUMMYFUNCTION("""COMPUTED_VALUE"""),444.76)</f>
        <v>444.76</v>
      </c>
      <c r="G16" s="26">
        <f>IFERROR(__xludf.DUMMYFUNCTION("""COMPUTED_VALUE"""),176.44)</f>
        <v>176.44</v>
      </c>
      <c r="H16" s="26">
        <f>IFERROR(__xludf.DUMMYFUNCTION("""COMPUTED_VALUE"""),130.77)</f>
        <v>130.77</v>
      </c>
      <c r="I16" s="26">
        <f>IFERROR(__xludf.DUMMYFUNCTION("""COMPUTED_VALUE"""),192.25)</f>
        <v>192.25</v>
      </c>
      <c r="J16" s="26">
        <f>IFERROR(__xludf.DUMMYFUNCTION("""COMPUTED_VALUE"""),215.08)</f>
        <v>215.08</v>
      </c>
      <c r="K16" s="26">
        <f>IFERROR(__xludf.DUMMYFUNCTION("""COMPUTED_VALUE"""),59.61)</f>
        <v>59.61</v>
      </c>
      <c r="L16" s="26">
        <f>IFERROR(__xludf.DUMMYFUNCTION("""COMPUTED_VALUE"""),11.35)</f>
        <v>11.35</v>
      </c>
      <c r="M16" s="26">
        <f>IFERROR(__xludf.DUMMYFUNCTION("""COMPUTED_VALUE"""),414.4)</f>
        <v>414.4</v>
      </c>
      <c r="N16" s="26">
        <f>IFERROR(__xludf.DUMMYFUNCTION("""COMPUTED_VALUE"""),59.53)</f>
        <v>59.53</v>
      </c>
      <c r="O16" s="26">
        <f>IFERROR(__xludf.DUMMYFUNCTION("""COMPUTED_VALUE"""),224.94)</f>
        <v>224.94</v>
      </c>
      <c r="P16" s="26">
        <f>IFERROR(__xludf.DUMMYFUNCTION("""COMPUTED_VALUE"""),63.19)</f>
        <v>63.19</v>
      </c>
      <c r="Q16" s="26">
        <f>IFERROR(__xludf.DUMMYFUNCTION("""COMPUTED_VALUE"""),338.52)</f>
        <v>338.52</v>
      </c>
      <c r="R16" s="26">
        <f>IFERROR(__xludf.DUMMYFUNCTION("""COMPUTED_VALUE"""),55.51)</f>
        <v>55.51</v>
      </c>
      <c r="S16" s="26">
        <f>IFERROR(__xludf.DUMMYFUNCTION("""COMPUTED_VALUE"""),150.5)</f>
        <v>150.5</v>
      </c>
      <c r="T16" s="26">
        <f>IFERROR(__xludf.DUMMYFUNCTION("""COMPUTED_VALUE"""),162.3)</f>
        <v>162.3</v>
      </c>
      <c r="U16" s="26">
        <f>IFERROR(__xludf.DUMMYFUNCTION("""COMPUTED_VALUE"""),344.62)</f>
        <v>344.62</v>
      </c>
      <c r="V16" s="26">
        <f>IFERROR(__xludf.DUMMYFUNCTION("""COMPUTED_VALUE"""),35.29)</f>
        <v>35.29</v>
      </c>
      <c r="W16" s="26">
        <f>IFERROR(__xludf.DUMMYFUNCTION("""COMPUTED_VALUE"""),62.93)</f>
        <v>62.93</v>
      </c>
      <c r="X16" s="26">
        <f>IFERROR(__xludf.DUMMYFUNCTION("""COMPUTED_VALUE"""),94.55)</f>
        <v>94.55</v>
      </c>
      <c r="Y16" s="26">
        <f>IFERROR(__xludf.DUMMYFUNCTION("""COMPUTED_VALUE"""),145.34)</f>
        <v>145.34</v>
      </c>
      <c r="Z16" s="26">
        <f>IFERROR(__xludf.DUMMYFUNCTION("""COMPUTED_VALUE"""),117.95)</f>
        <v>117.95</v>
      </c>
      <c r="AA16" s="26">
        <f>IFERROR(__xludf.DUMMYFUNCTION("""COMPUTED_VALUE"""),508.58)</f>
        <v>508.58</v>
      </c>
      <c r="AB16" s="26">
        <f>IFERROR(__xludf.DUMMYFUNCTION("""COMPUTED_VALUE"""),54.22)</f>
        <v>54.22</v>
      </c>
      <c r="AC16" s="26">
        <f>IFERROR(__xludf.DUMMYFUNCTION("""COMPUTED_VALUE"""),117.26)</f>
        <v>117.26</v>
      </c>
      <c r="AD16" s="26">
        <f>IFERROR(__xludf.DUMMYFUNCTION("""COMPUTED_VALUE"""),253.96)</f>
        <v>253.96</v>
      </c>
      <c r="AE16" s="26">
        <f>IFERROR(__xludf.DUMMYFUNCTION("""COMPUTED_VALUE"""),411.0)</f>
        <v>411</v>
      </c>
      <c r="AF16" s="26">
        <f>IFERROR(__xludf.DUMMYFUNCTION("""COMPUTED_VALUE"""),299.77)</f>
        <v>299.77</v>
      </c>
      <c r="AG16" s="26">
        <f>IFERROR(__xludf.DUMMYFUNCTION("""COMPUTED_VALUE"""),44.99)</f>
        <v>44.99</v>
      </c>
      <c r="AH16" s="26">
        <f>IFERROR(__xludf.DUMMYFUNCTION("""COMPUTED_VALUE"""),64.27)</f>
        <v>64.27</v>
      </c>
      <c r="AI16" s="26">
        <f>IFERROR(__xludf.DUMMYFUNCTION("""COMPUTED_VALUE"""),456.52)</f>
        <v>456.52</v>
      </c>
      <c r="AJ16" s="26">
        <f>IFERROR(__xludf.DUMMYFUNCTION("""COMPUTED_VALUE"""),334.87)</f>
        <v>334.87</v>
      </c>
      <c r="AK16" s="26">
        <f>IFERROR(__xludf.DUMMYFUNCTION("""COMPUTED_VALUE"""),88.31)</f>
        <v>88.31</v>
      </c>
      <c r="AL16" s="26">
        <f>IFERROR(__xludf.DUMMYFUNCTION("""COMPUTED_VALUE"""),133.9)</f>
        <v>133.9</v>
      </c>
      <c r="AM16" s="26">
        <f>IFERROR(__xludf.DUMMYFUNCTION("""COMPUTED_VALUE"""),402.12)</f>
        <v>402.12</v>
      </c>
      <c r="AN16" s="26">
        <f>IFERROR(__xludf.DUMMYFUNCTION("""COMPUTED_VALUE"""),202.63)</f>
        <v>202.63</v>
      </c>
      <c r="AO16" s="26">
        <f>IFERROR(__xludf.DUMMYFUNCTION("""COMPUTED_VALUE"""),470.34)</f>
        <v>470.34</v>
      </c>
      <c r="AP16" s="26">
        <f>IFERROR(__xludf.DUMMYFUNCTION("""COMPUTED_VALUE"""),311.99)</f>
        <v>311.99</v>
      </c>
      <c r="AQ16" s="26">
        <f>IFERROR(__xludf.DUMMYFUNCTION("""COMPUTED_VALUE"""),25.96)</f>
        <v>25.96</v>
      </c>
      <c r="AR16" s="26">
        <f>IFERROR(__xludf.DUMMYFUNCTION("""COMPUTED_VALUE"""),81.37)</f>
        <v>81.37</v>
      </c>
      <c r="AS16" s="26">
        <f>IFERROR(__xludf.DUMMYFUNCTION("""COMPUTED_VALUE"""),72.37)</f>
        <v>72.37</v>
      </c>
      <c r="AT16" s="26">
        <f>IFERROR(__xludf.DUMMYFUNCTION("""COMPUTED_VALUE"""),415.13)</f>
        <v>415.13</v>
      </c>
      <c r="AU16" s="26">
        <f>IFERROR(__xludf.DUMMYFUNCTION("""COMPUTED_VALUE"""),80.02)</f>
        <v>80.02</v>
      </c>
      <c r="AV16" s="26">
        <f>IFERROR(__xludf.DUMMYFUNCTION("""COMPUTED_VALUE"""),109.63)</f>
        <v>109.63</v>
      </c>
      <c r="AW16" s="26">
        <f>IFERROR(__xludf.DUMMYFUNCTION("""COMPUTED_VALUE"""),99.2)</f>
        <v>99.2</v>
      </c>
      <c r="AX16" s="26">
        <f>IFERROR(__xludf.DUMMYFUNCTION("""COMPUTED_VALUE"""),42.54)</f>
        <v>42.54</v>
      </c>
      <c r="AY16" s="26">
        <f>IFERROR(__xludf.DUMMYFUNCTION("""COMPUTED_VALUE"""),21.68)</f>
        <v>21.68</v>
      </c>
      <c r="AZ16" s="26">
        <f>IFERROR(__xludf.DUMMYFUNCTION("""COMPUTED_VALUE"""),62.99)</f>
        <v>62.99</v>
      </c>
      <c r="BA16" s="26">
        <f>IFERROR(__xludf.DUMMYFUNCTION("""COMPUTED_VALUE"""),28.66)</f>
        <v>28.66</v>
      </c>
      <c r="BB16" s="26">
        <f>IFERROR(__xludf.DUMMYFUNCTION("""COMPUTED_VALUE"""),107.81)</f>
        <v>107.81</v>
      </c>
      <c r="BC16" s="26">
        <f>IFERROR(__xludf.DUMMYFUNCTION("""COMPUTED_VALUE"""),174.96)</f>
        <v>174.96</v>
      </c>
      <c r="BD16" s="26">
        <f>IFERROR(__xludf.DUMMYFUNCTION("""COMPUTED_VALUE"""),567.98)</f>
        <v>567.98</v>
      </c>
      <c r="BE16" s="26">
        <f>IFERROR(__xludf.DUMMYFUNCTION("""COMPUTED_VALUE"""),217.51)</f>
        <v>217.51</v>
      </c>
      <c r="BF16" s="26">
        <f>IFERROR(__xludf.DUMMYFUNCTION("""COMPUTED_VALUE"""),136.4)</f>
        <v>136.4</v>
      </c>
      <c r="BG16" s="26">
        <f>IFERROR(__xludf.DUMMYFUNCTION("""COMPUTED_VALUE"""),7.19)</f>
        <v>7.19</v>
      </c>
      <c r="BH16" s="26">
        <f>IFERROR(__xludf.DUMMYFUNCTION("""COMPUTED_VALUE"""),232.82)</f>
        <v>232.82</v>
      </c>
      <c r="BI16" s="26">
        <f>IFERROR(__xludf.DUMMYFUNCTION("""COMPUTED_VALUE"""),495.37)</f>
        <v>495.37</v>
      </c>
      <c r="BJ16" s="26">
        <f>IFERROR(__xludf.DUMMYFUNCTION("""COMPUTED_VALUE"""),48.28)</f>
        <v>48.28</v>
      </c>
      <c r="BK16" s="26">
        <f>IFERROR(__xludf.DUMMYFUNCTION("""COMPUTED_VALUE"""),10.6)</f>
        <v>10.6</v>
      </c>
      <c r="BL16" s="26">
        <f>IFERROR(__xludf.DUMMYFUNCTION("""COMPUTED_VALUE"""),210.73)</f>
        <v>210.73</v>
      </c>
      <c r="BM16" s="26">
        <f>IFERROR(__xludf.DUMMYFUNCTION("""COMPUTED_VALUE"""),103.91)</f>
        <v>103.91</v>
      </c>
    </row>
    <row r="17">
      <c r="A17" s="25">
        <v>45446.66666666667</v>
      </c>
      <c r="B17" s="17">
        <f>IFERROR(__xludf.DUMMYFUNCTION("""COMPUTED_VALUE"""),5283.4)</f>
        <v>5283.4</v>
      </c>
      <c r="C17" s="17">
        <f>IFERROR(__xludf.DUMMYFUNCTION("""COMPUTED_VALUE"""),16828.67)</f>
        <v>16828.67</v>
      </c>
      <c r="D17" s="17">
        <f>IFERROR(__xludf.DUMMYFUNCTION("""COMPUTED_VALUE"""),38571.03)</f>
        <v>38571.03</v>
      </c>
      <c r="E17" s="17">
        <f>IFERROR(__xludf.DUMMYFUNCTION("""COMPUTED_VALUE"""),2059.68)</f>
        <v>2059.68</v>
      </c>
      <c r="F17" s="26">
        <f>IFERROR(__xludf.DUMMYFUNCTION("""COMPUTED_VALUE"""),439.02)</f>
        <v>439.02</v>
      </c>
      <c r="G17" s="26">
        <f>IFERROR(__xludf.DUMMYFUNCTION("""COMPUTED_VALUE"""),178.34)</f>
        <v>178.34</v>
      </c>
      <c r="H17" s="26">
        <f>IFERROR(__xludf.DUMMYFUNCTION("""COMPUTED_VALUE"""),130.77)</f>
        <v>130.77</v>
      </c>
      <c r="I17" s="26">
        <f>IFERROR(__xludf.DUMMYFUNCTION("""COMPUTED_VALUE"""),194.03)</f>
        <v>194.03</v>
      </c>
      <c r="J17" s="26">
        <f>IFERROR(__xludf.DUMMYFUNCTION("""COMPUTED_VALUE"""),214.21)</f>
        <v>214.21</v>
      </c>
      <c r="K17" s="26">
        <f>IFERROR(__xludf.DUMMYFUNCTION("""COMPUTED_VALUE"""),59.57)</f>
        <v>59.57</v>
      </c>
      <c r="L17" s="26">
        <f>IFERROR(__xludf.DUMMYFUNCTION("""COMPUTED_VALUE"""),11.41)</f>
        <v>11.41</v>
      </c>
      <c r="M17" s="26">
        <f>IFERROR(__xludf.DUMMYFUNCTION("""COMPUTED_VALUE"""),414.79)</f>
        <v>414.79</v>
      </c>
      <c r="N17" s="26">
        <f>IFERROR(__xludf.DUMMYFUNCTION("""COMPUTED_VALUE"""),59.38)</f>
        <v>59.38</v>
      </c>
      <c r="O17" s="26">
        <f>IFERROR(__xludf.DUMMYFUNCTION("""COMPUTED_VALUE"""),229.8)</f>
        <v>229.8</v>
      </c>
      <c r="P17" s="26">
        <f>IFERROR(__xludf.DUMMYFUNCTION("""COMPUTED_VALUE"""),61.99)</f>
        <v>61.99</v>
      </c>
      <c r="Q17" s="26">
        <f>IFERROR(__xludf.DUMMYFUNCTION("""COMPUTED_VALUE"""),331.36)</f>
        <v>331.36</v>
      </c>
      <c r="R17" s="26">
        <f>IFERROR(__xludf.DUMMYFUNCTION("""COMPUTED_VALUE"""),54.1)</f>
        <v>54.1</v>
      </c>
      <c r="S17" s="26">
        <f>IFERROR(__xludf.DUMMYFUNCTION("""COMPUTED_VALUE"""),151.07)</f>
        <v>151.07</v>
      </c>
      <c r="T17" s="26">
        <f>IFERROR(__xludf.DUMMYFUNCTION("""COMPUTED_VALUE"""),157.46)</f>
        <v>157.46</v>
      </c>
      <c r="U17" s="26">
        <f>IFERROR(__xludf.DUMMYFUNCTION("""COMPUTED_VALUE"""),341.49)</f>
        <v>341.49</v>
      </c>
      <c r="V17" s="26">
        <f>IFERROR(__xludf.DUMMYFUNCTION("""COMPUTED_VALUE"""),34.72)</f>
        <v>34.72</v>
      </c>
      <c r="W17" s="26">
        <f>IFERROR(__xludf.DUMMYFUNCTION("""COMPUTED_VALUE"""),62.93)</f>
        <v>62.93</v>
      </c>
      <c r="X17" s="26">
        <f>IFERROR(__xludf.DUMMYFUNCTION("""COMPUTED_VALUE"""),93.68)</f>
        <v>93.68</v>
      </c>
      <c r="Y17" s="26">
        <f>IFERROR(__xludf.DUMMYFUNCTION("""COMPUTED_VALUE"""),143.04)</f>
        <v>143.04</v>
      </c>
      <c r="Z17" s="26">
        <f>IFERROR(__xludf.DUMMYFUNCTION("""COMPUTED_VALUE"""),120.98)</f>
        <v>120.98</v>
      </c>
      <c r="AA17" s="26">
        <f>IFERROR(__xludf.DUMMYFUNCTION("""COMPUTED_VALUE"""),522.98)</f>
        <v>522.98</v>
      </c>
      <c r="AB17" s="26">
        <f>IFERROR(__xludf.DUMMYFUNCTION("""COMPUTED_VALUE"""),53.61)</f>
        <v>53.61</v>
      </c>
      <c r="AC17" s="26">
        <f>IFERROR(__xludf.DUMMYFUNCTION("""COMPUTED_VALUE"""),114.45)</f>
        <v>114.45</v>
      </c>
      <c r="AD17" s="26">
        <f>IFERROR(__xludf.DUMMYFUNCTION("""COMPUTED_VALUE"""),248.62)</f>
        <v>248.62</v>
      </c>
      <c r="AE17" s="26">
        <f>IFERROR(__xludf.DUMMYFUNCTION("""COMPUTED_VALUE"""),409.05)</f>
        <v>409.05</v>
      </c>
      <c r="AF17" s="26">
        <f>IFERROR(__xludf.DUMMYFUNCTION("""COMPUTED_VALUE"""),298.26)</f>
        <v>298.26</v>
      </c>
      <c r="AG17" s="26">
        <f>IFERROR(__xludf.DUMMYFUNCTION("""COMPUTED_VALUE"""),45.74)</f>
        <v>45.74</v>
      </c>
      <c r="AH17" s="26">
        <f>IFERROR(__xludf.DUMMYFUNCTION("""COMPUTED_VALUE"""),63.43)</f>
        <v>63.43</v>
      </c>
      <c r="AI17" s="26">
        <f>IFERROR(__xludf.DUMMYFUNCTION("""COMPUTED_VALUE"""),454.98)</f>
        <v>454.98</v>
      </c>
      <c r="AJ17" s="26">
        <f>IFERROR(__xludf.DUMMYFUNCTION("""COMPUTED_VALUE"""),328.01)</f>
        <v>328.01</v>
      </c>
      <c r="AK17" s="26">
        <f>IFERROR(__xludf.DUMMYFUNCTION("""COMPUTED_VALUE"""),89.89)</f>
        <v>89.89</v>
      </c>
      <c r="AL17" s="26">
        <f>IFERROR(__xludf.DUMMYFUNCTION("""COMPUTED_VALUE"""),133.65)</f>
        <v>133.65</v>
      </c>
      <c r="AM17" s="26">
        <f>IFERROR(__xludf.DUMMYFUNCTION("""COMPUTED_VALUE"""),403.86)</f>
        <v>403.86</v>
      </c>
      <c r="AN17" s="26">
        <f>IFERROR(__xludf.DUMMYFUNCTION("""COMPUTED_VALUE"""),201.82)</f>
        <v>201.82</v>
      </c>
      <c r="AO17" s="26">
        <f>IFERROR(__xludf.DUMMYFUNCTION("""COMPUTED_VALUE"""),467.6)</f>
        <v>467.6</v>
      </c>
      <c r="AP17" s="26">
        <f>IFERROR(__xludf.DUMMYFUNCTION("""COMPUTED_VALUE"""),306.62)</f>
        <v>306.62</v>
      </c>
      <c r="AQ17" s="26">
        <f>IFERROR(__xludf.DUMMYFUNCTION("""COMPUTED_VALUE"""),25.88)</f>
        <v>25.88</v>
      </c>
      <c r="AR17" s="26">
        <f>IFERROR(__xludf.DUMMYFUNCTION("""COMPUTED_VALUE"""),82.12)</f>
        <v>82.12</v>
      </c>
      <c r="AS17" s="26">
        <f>IFERROR(__xludf.DUMMYFUNCTION("""COMPUTED_VALUE"""),71.42)</f>
        <v>71.42</v>
      </c>
      <c r="AT17" s="26">
        <f>IFERROR(__xludf.DUMMYFUNCTION("""COMPUTED_VALUE"""),413.52)</f>
        <v>413.52</v>
      </c>
      <c r="AU17" s="26">
        <f>IFERROR(__xludf.DUMMYFUNCTION("""COMPUTED_VALUE"""),77.71)</f>
        <v>77.71</v>
      </c>
      <c r="AV17" s="26">
        <f>IFERROR(__xludf.DUMMYFUNCTION("""COMPUTED_VALUE"""),115.0)</f>
        <v>115</v>
      </c>
      <c r="AW17" s="26">
        <f>IFERROR(__xludf.DUMMYFUNCTION("""COMPUTED_VALUE"""),98.83)</f>
        <v>98.83</v>
      </c>
      <c r="AX17" s="26">
        <f>IFERROR(__xludf.DUMMYFUNCTION("""COMPUTED_VALUE"""),41.24)</f>
        <v>41.24</v>
      </c>
      <c r="AY17" s="26">
        <f>IFERROR(__xludf.DUMMYFUNCTION("""COMPUTED_VALUE"""),21.32)</f>
        <v>21.32</v>
      </c>
      <c r="AZ17" s="26">
        <f>IFERROR(__xludf.DUMMYFUNCTION("""COMPUTED_VALUE"""),63.46)</f>
        <v>63.46</v>
      </c>
      <c r="BA17" s="26">
        <f>IFERROR(__xludf.DUMMYFUNCTION("""COMPUTED_VALUE"""),29.31)</f>
        <v>29.31</v>
      </c>
      <c r="BB17" s="26">
        <f>IFERROR(__xludf.DUMMYFUNCTION("""COMPUTED_VALUE"""),107.37)</f>
        <v>107.37</v>
      </c>
      <c r="BC17" s="26">
        <f>IFERROR(__xludf.DUMMYFUNCTION("""COMPUTED_VALUE"""),173.08)</f>
        <v>173.08</v>
      </c>
      <c r="BD17" s="26">
        <f>IFERROR(__xludf.DUMMYFUNCTION("""COMPUTED_VALUE"""),569.58)</f>
        <v>569.58</v>
      </c>
      <c r="BE17" s="26">
        <f>IFERROR(__xludf.DUMMYFUNCTION("""COMPUTED_VALUE"""),212.17)</f>
        <v>212.17</v>
      </c>
      <c r="BF17" s="26">
        <f>IFERROR(__xludf.DUMMYFUNCTION("""COMPUTED_VALUE"""),133.63)</f>
        <v>133.63</v>
      </c>
      <c r="BG17" s="26">
        <f>IFERROR(__xludf.DUMMYFUNCTION("""COMPUTED_VALUE"""),6.95)</f>
        <v>6.95</v>
      </c>
      <c r="BH17" s="26">
        <f>IFERROR(__xludf.DUMMYFUNCTION("""COMPUTED_VALUE"""),228.32)</f>
        <v>228.32</v>
      </c>
      <c r="BI17" s="26">
        <f>IFERROR(__xludf.DUMMYFUNCTION("""COMPUTED_VALUE"""),497.44)</f>
        <v>497.44</v>
      </c>
      <c r="BJ17" s="26">
        <f>IFERROR(__xludf.DUMMYFUNCTION("""COMPUTED_VALUE"""),48.3)</f>
        <v>48.3</v>
      </c>
      <c r="BK17" s="26">
        <f>IFERROR(__xludf.DUMMYFUNCTION("""COMPUTED_VALUE"""),10.58)</f>
        <v>10.58</v>
      </c>
      <c r="BL17" s="26">
        <f>IFERROR(__xludf.DUMMYFUNCTION("""COMPUTED_VALUE"""),201.3)</f>
        <v>201.3</v>
      </c>
      <c r="BM17" s="26">
        <f>IFERROR(__xludf.DUMMYFUNCTION("""COMPUTED_VALUE"""),102.77)</f>
        <v>102.77</v>
      </c>
    </row>
    <row r="18">
      <c r="A18" s="25">
        <v>45447.66666666667</v>
      </c>
      <c r="B18" s="17">
        <f>IFERROR(__xludf.DUMMYFUNCTION("""COMPUTED_VALUE"""),5291.34)</f>
        <v>5291.34</v>
      </c>
      <c r="C18" s="17">
        <f>IFERROR(__xludf.DUMMYFUNCTION("""COMPUTED_VALUE"""),16857.05)</f>
        <v>16857.05</v>
      </c>
      <c r="D18" s="17">
        <f>IFERROR(__xludf.DUMMYFUNCTION("""COMPUTED_VALUE"""),38711.29)</f>
        <v>38711.29</v>
      </c>
      <c r="E18" s="17">
        <f>IFERROR(__xludf.DUMMYFUNCTION("""COMPUTED_VALUE"""),2033.94)</f>
        <v>2033.94</v>
      </c>
      <c r="F18" s="26">
        <f>IFERROR(__xludf.DUMMYFUNCTION("""COMPUTED_VALUE"""),448.37)</f>
        <v>448.37</v>
      </c>
      <c r="G18" s="26">
        <f>IFERROR(__xludf.DUMMYFUNCTION("""COMPUTED_VALUE"""),179.34)</f>
        <v>179.34</v>
      </c>
      <c r="H18" s="26">
        <f>IFERROR(__xludf.DUMMYFUNCTION("""COMPUTED_VALUE"""),132.82)</f>
        <v>132.82</v>
      </c>
      <c r="I18" s="26">
        <f>IFERROR(__xludf.DUMMYFUNCTION("""COMPUTED_VALUE"""),194.35)</f>
        <v>194.35</v>
      </c>
      <c r="J18" s="26">
        <f>IFERROR(__xludf.DUMMYFUNCTION("""COMPUTED_VALUE"""),212.22)</f>
        <v>212.22</v>
      </c>
      <c r="K18" s="26">
        <f>IFERROR(__xludf.DUMMYFUNCTION("""COMPUTED_VALUE"""),58.87)</f>
        <v>58.87</v>
      </c>
      <c r="L18" s="26">
        <f>IFERROR(__xludf.DUMMYFUNCTION("""COMPUTED_VALUE"""),11.09)</f>
        <v>11.09</v>
      </c>
      <c r="M18" s="26">
        <f>IFERROR(__xludf.DUMMYFUNCTION("""COMPUTED_VALUE"""),409.53)</f>
        <v>409.53</v>
      </c>
      <c r="N18" s="26">
        <f>IFERROR(__xludf.DUMMYFUNCTION("""COMPUTED_VALUE"""),58.07)</f>
        <v>58.07</v>
      </c>
      <c r="O18" s="26">
        <f>IFERROR(__xludf.DUMMYFUNCTION("""COMPUTED_VALUE"""),234.13)</f>
        <v>234.13</v>
      </c>
      <c r="P18" s="26">
        <f>IFERROR(__xludf.DUMMYFUNCTION("""COMPUTED_VALUE"""),61.27)</f>
        <v>61.27</v>
      </c>
      <c r="Q18" s="26">
        <f>IFERROR(__xludf.DUMMYFUNCTION("""COMPUTED_VALUE"""),327.57)</f>
        <v>327.57</v>
      </c>
      <c r="R18" s="26">
        <f>IFERROR(__xludf.DUMMYFUNCTION("""COMPUTED_VALUE"""),53.62)</f>
        <v>53.62</v>
      </c>
      <c r="S18" s="26">
        <f>IFERROR(__xludf.DUMMYFUNCTION("""COMPUTED_VALUE"""),151.03)</f>
        <v>151.03</v>
      </c>
      <c r="T18" s="26">
        <f>IFERROR(__xludf.DUMMYFUNCTION("""COMPUTED_VALUE"""),156.13)</f>
        <v>156.13</v>
      </c>
      <c r="U18" s="26">
        <f>IFERROR(__xludf.DUMMYFUNCTION("""COMPUTED_VALUE"""),337.06)</f>
        <v>337.06</v>
      </c>
      <c r="V18" s="26">
        <f>IFERROR(__xludf.DUMMYFUNCTION("""COMPUTED_VALUE"""),34.17)</f>
        <v>34.17</v>
      </c>
      <c r="W18" s="26">
        <f>IFERROR(__xludf.DUMMYFUNCTION("""COMPUTED_VALUE"""),63.94)</f>
        <v>63.94</v>
      </c>
      <c r="X18" s="26">
        <f>IFERROR(__xludf.DUMMYFUNCTION("""COMPUTED_VALUE"""),93.72)</f>
        <v>93.72</v>
      </c>
      <c r="Y18" s="26">
        <f>IFERROR(__xludf.DUMMYFUNCTION("""COMPUTED_VALUE"""),145.12)</f>
        <v>145.12</v>
      </c>
      <c r="Z18" s="26">
        <f>IFERROR(__xludf.DUMMYFUNCTION("""COMPUTED_VALUE"""),120.3)</f>
        <v>120.3</v>
      </c>
      <c r="AA18" s="26">
        <f>IFERROR(__xludf.DUMMYFUNCTION("""COMPUTED_VALUE"""),520.98)</f>
        <v>520.98</v>
      </c>
      <c r="AB18" s="26">
        <f>IFERROR(__xludf.DUMMYFUNCTION("""COMPUTED_VALUE"""),53.75)</f>
        <v>53.75</v>
      </c>
      <c r="AC18" s="26">
        <f>IFERROR(__xludf.DUMMYFUNCTION("""COMPUTED_VALUE"""),112.67)</f>
        <v>112.67</v>
      </c>
      <c r="AD18" s="26">
        <f>IFERROR(__xludf.DUMMYFUNCTION("""COMPUTED_VALUE"""),245.95)</f>
        <v>245.95</v>
      </c>
      <c r="AE18" s="26">
        <f>IFERROR(__xludf.DUMMYFUNCTION("""COMPUTED_VALUE"""),410.74)</f>
        <v>410.74</v>
      </c>
      <c r="AF18" s="26">
        <f>IFERROR(__xludf.DUMMYFUNCTION("""COMPUTED_VALUE"""),297.32)</f>
        <v>297.32</v>
      </c>
      <c r="AG18" s="26">
        <f>IFERROR(__xludf.DUMMYFUNCTION("""COMPUTED_VALUE"""),45.26)</f>
        <v>45.26</v>
      </c>
      <c r="AH18" s="26">
        <f>IFERROR(__xludf.DUMMYFUNCTION("""COMPUTED_VALUE"""),64.16)</f>
        <v>64.16</v>
      </c>
      <c r="AI18" s="26">
        <f>IFERROR(__xludf.DUMMYFUNCTION("""COMPUTED_VALUE"""),455.3)</f>
        <v>455.3</v>
      </c>
      <c r="AJ18" s="26">
        <f>IFERROR(__xludf.DUMMYFUNCTION("""COMPUTED_VALUE"""),328.26)</f>
        <v>328.26</v>
      </c>
      <c r="AK18" s="26">
        <f>IFERROR(__xludf.DUMMYFUNCTION("""COMPUTED_VALUE"""),91.22)</f>
        <v>91.22</v>
      </c>
      <c r="AL18" s="26">
        <f>IFERROR(__xludf.DUMMYFUNCTION("""COMPUTED_VALUE"""),134.76)</f>
        <v>134.76</v>
      </c>
      <c r="AM18" s="26">
        <f>IFERROR(__xludf.DUMMYFUNCTION("""COMPUTED_VALUE"""),406.61)</f>
        <v>406.61</v>
      </c>
      <c r="AN18" s="26">
        <f>IFERROR(__xludf.DUMMYFUNCTION("""COMPUTED_VALUE"""),199.16)</f>
        <v>199.16</v>
      </c>
      <c r="AO18" s="26">
        <f>IFERROR(__xludf.DUMMYFUNCTION("""COMPUTED_VALUE"""),468.89)</f>
        <v>468.89</v>
      </c>
      <c r="AP18" s="26">
        <f>IFERROR(__xludf.DUMMYFUNCTION("""COMPUTED_VALUE"""),306.78)</f>
        <v>306.78</v>
      </c>
      <c r="AQ18" s="26">
        <f>IFERROR(__xludf.DUMMYFUNCTION("""COMPUTED_VALUE"""),25.81)</f>
        <v>25.81</v>
      </c>
      <c r="AR18" s="26">
        <f>IFERROR(__xludf.DUMMYFUNCTION("""COMPUTED_VALUE"""),83.27)</f>
        <v>83.27</v>
      </c>
      <c r="AS18" s="26">
        <f>IFERROR(__xludf.DUMMYFUNCTION("""COMPUTED_VALUE"""),70.31)</f>
        <v>70.31</v>
      </c>
      <c r="AT18" s="26">
        <f>IFERROR(__xludf.DUMMYFUNCTION("""COMPUTED_VALUE"""),416.07)</f>
        <v>416.07</v>
      </c>
      <c r="AU18" s="26">
        <f>IFERROR(__xludf.DUMMYFUNCTION("""COMPUTED_VALUE"""),77.15)</f>
        <v>77.15</v>
      </c>
      <c r="AV18" s="26">
        <f>IFERROR(__xludf.DUMMYFUNCTION("""COMPUTED_VALUE"""),116.44)</f>
        <v>116.44</v>
      </c>
      <c r="AW18" s="26">
        <f>IFERROR(__xludf.DUMMYFUNCTION("""COMPUTED_VALUE"""),99.21)</f>
        <v>99.21</v>
      </c>
      <c r="AX18" s="26">
        <f>IFERROR(__xludf.DUMMYFUNCTION("""COMPUTED_VALUE"""),40.82)</f>
        <v>40.82</v>
      </c>
      <c r="AY18" s="26">
        <f>IFERROR(__xludf.DUMMYFUNCTION("""COMPUTED_VALUE"""),22.1)</f>
        <v>22.1</v>
      </c>
      <c r="AZ18" s="26">
        <f>IFERROR(__xludf.DUMMYFUNCTION("""COMPUTED_VALUE"""),63.33)</f>
        <v>63.33</v>
      </c>
      <c r="BA18" s="26">
        <f>IFERROR(__xludf.DUMMYFUNCTION("""COMPUTED_VALUE"""),29.49)</f>
        <v>29.49</v>
      </c>
      <c r="BB18" s="26">
        <f>IFERROR(__xludf.DUMMYFUNCTION("""COMPUTED_VALUE"""),107.9)</f>
        <v>107.9</v>
      </c>
      <c r="BC18" s="26">
        <f>IFERROR(__xludf.DUMMYFUNCTION("""COMPUTED_VALUE"""),177.91)</f>
        <v>177.91</v>
      </c>
      <c r="BD18" s="26">
        <f>IFERROR(__xludf.DUMMYFUNCTION("""COMPUTED_VALUE"""),569.67)</f>
        <v>569.67</v>
      </c>
      <c r="BE18" s="26">
        <f>IFERROR(__xludf.DUMMYFUNCTION("""COMPUTED_VALUE"""),210.38)</f>
        <v>210.38</v>
      </c>
      <c r="BF18" s="26">
        <f>IFERROR(__xludf.DUMMYFUNCTION("""COMPUTED_VALUE"""),134.48)</f>
        <v>134.48</v>
      </c>
      <c r="BG18" s="26">
        <f>IFERROR(__xludf.DUMMYFUNCTION("""COMPUTED_VALUE"""),7.02)</f>
        <v>7.02</v>
      </c>
      <c r="BH18" s="26">
        <f>IFERROR(__xludf.DUMMYFUNCTION("""COMPUTED_VALUE"""),227.62)</f>
        <v>227.62</v>
      </c>
      <c r="BI18" s="26">
        <f>IFERROR(__xludf.DUMMYFUNCTION("""COMPUTED_VALUE"""),505.49)</f>
        <v>505.49</v>
      </c>
      <c r="BJ18" s="26">
        <f>IFERROR(__xludf.DUMMYFUNCTION("""COMPUTED_VALUE"""),48.34)</f>
        <v>48.34</v>
      </c>
      <c r="BK18" s="26">
        <f>IFERROR(__xludf.DUMMYFUNCTION("""COMPUTED_VALUE"""),10.53)</f>
        <v>10.53</v>
      </c>
      <c r="BL18" s="26">
        <f>IFERROR(__xludf.DUMMYFUNCTION("""COMPUTED_VALUE"""),203.63)</f>
        <v>203.63</v>
      </c>
      <c r="BM18" s="26">
        <f>IFERROR(__xludf.DUMMYFUNCTION("""COMPUTED_VALUE"""),103.33)</f>
        <v>103.33</v>
      </c>
    </row>
    <row r="19">
      <c r="A19" s="25">
        <v>45448.66666666667</v>
      </c>
      <c r="B19" s="17">
        <f>IFERROR(__xludf.DUMMYFUNCTION("""COMPUTED_VALUE"""),5354.03)</f>
        <v>5354.03</v>
      </c>
      <c r="C19" s="17">
        <f>IFERROR(__xludf.DUMMYFUNCTION("""COMPUTED_VALUE"""),17187.91)</f>
        <v>17187.91</v>
      </c>
      <c r="D19" s="17">
        <f>IFERROR(__xludf.DUMMYFUNCTION("""COMPUTED_VALUE"""),38807.33)</f>
        <v>38807.33</v>
      </c>
      <c r="E19" s="17">
        <f>IFERROR(__xludf.DUMMYFUNCTION("""COMPUTED_VALUE"""),2063.87)</f>
        <v>2063.87</v>
      </c>
      <c r="F19" s="26">
        <f>IFERROR(__xludf.DUMMYFUNCTION("""COMPUTED_VALUE"""),455.8)</f>
        <v>455.8</v>
      </c>
      <c r="G19" s="26">
        <f>IFERROR(__xludf.DUMMYFUNCTION("""COMPUTED_VALUE"""),181.28)</f>
        <v>181.28</v>
      </c>
      <c r="H19" s="26">
        <f>IFERROR(__xludf.DUMMYFUNCTION("""COMPUTED_VALUE"""),131.68)</f>
        <v>131.68</v>
      </c>
      <c r="I19" s="26">
        <f>IFERROR(__xludf.DUMMYFUNCTION("""COMPUTED_VALUE"""),195.87)</f>
        <v>195.87</v>
      </c>
      <c r="J19" s="26">
        <f>IFERROR(__xludf.DUMMYFUNCTION("""COMPUTED_VALUE"""),223.37)</f>
        <v>223.37</v>
      </c>
      <c r="K19" s="26">
        <f>IFERROR(__xludf.DUMMYFUNCTION("""COMPUTED_VALUE"""),58.89)</f>
        <v>58.89</v>
      </c>
      <c r="L19" s="26">
        <f>IFERROR(__xludf.DUMMYFUNCTION("""COMPUTED_VALUE"""),11.02)</f>
        <v>11.02</v>
      </c>
      <c r="M19" s="26">
        <f>IFERROR(__xludf.DUMMYFUNCTION("""COMPUTED_VALUE"""),409.85)</f>
        <v>409.85</v>
      </c>
      <c r="N19" s="26">
        <f>IFERROR(__xludf.DUMMYFUNCTION("""COMPUTED_VALUE"""),58.62)</f>
        <v>58.62</v>
      </c>
      <c r="O19" s="26">
        <f>IFERROR(__xludf.DUMMYFUNCTION("""COMPUTED_VALUE"""),236.72)</f>
        <v>236.72</v>
      </c>
      <c r="P19" s="26">
        <f>IFERROR(__xludf.DUMMYFUNCTION("""COMPUTED_VALUE"""),63.17)</f>
        <v>63.17</v>
      </c>
      <c r="Q19" s="26">
        <f>IFERROR(__xludf.DUMMYFUNCTION("""COMPUTED_VALUE"""),329.45)</f>
        <v>329.45</v>
      </c>
      <c r="R19" s="26">
        <f>IFERROR(__xludf.DUMMYFUNCTION("""COMPUTED_VALUE"""),54.28)</f>
        <v>54.28</v>
      </c>
      <c r="S19" s="26">
        <f>IFERROR(__xludf.DUMMYFUNCTION("""COMPUTED_VALUE"""),153.8)</f>
        <v>153.8</v>
      </c>
      <c r="T19" s="26">
        <f>IFERROR(__xludf.DUMMYFUNCTION("""COMPUTED_VALUE"""),154.98)</f>
        <v>154.98</v>
      </c>
      <c r="U19" s="26">
        <f>IFERROR(__xludf.DUMMYFUNCTION("""COMPUTED_VALUE"""),334.18)</f>
        <v>334.18</v>
      </c>
      <c r="V19" s="26">
        <f>IFERROR(__xludf.DUMMYFUNCTION("""COMPUTED_VALUE"""),34.11)</f>
        <v>34.11</v>
      </c>
      <c r="W19" s="26">
        <f>IFERROR(__xludf.DUMMYFUNCTION("""COMPUTED_VALUE"""),63.92)</f>
        <v>63.92</v>
      </c>
      <c r="X19" s="26">
        <f>IFERROR(__xludf.DUMMYFUNCTION("""COMPUTED_VALUE"""),92.6)</f>
        <v>92.6</v>
      </c>
      <c r="Y19" s="26">
        <f>IFERROR(__xludf.DUMMYFUNCTION("""COMPUTED_VALUE"""),147.36)</f>
        <v>147.36</v>
      </c>
      <c r="Z19" s="26">
        <f>IFERROR(__xludf.DUMMYFUNCTION("""COMPUTED_VALUE"""),114.38)</f>
        <v>114.38</v>
      </c>
      <c r="AA19" s="26">
        <f>IFERROR(__xludf.DUMMYFUNCTION("""COMPUTED_VALUE"""),517.1)</f>
        <v>517.1</v>
      </c>
      <c r="AB19" s="26">
        <f>IFERROR(__xludf.DUMMYFUNCTION("""COMPUTED_VALUE"""),53.01)</f>
        <v>53.01</v>
      </c>
      <c r="AC19" s="26">
        <f>IFERROR(__xludf.DUMMYFUNCTION("""COMPUTED_VALUE"""),113.12)</f>
        <v>113.12</v>
      </c>
      <c r="AD19" s="26">
        <f>IFERROR(__xludf.DUMMYFUNCTION("""COMPUTED_VALUE"""),248.05)</f>
        <v>248.05</v>
      </c>
      <c r="AE19" s="26">
        <f>IFERROR(__xludf.DUMMYFUNCTION("""COMPUTED_VALUE"""),422.4)</f>
        <v>422.4</v>
      </c>
      <c r="AF19" s="26">
        <f>IFERROR(__xludf.DUMMYFUNCTION("""COMPUTED_VALUE"""),299.45)</f>
        <v>299.45</v>
      </c>
      <c r="AG19" s="26">
        <f>IFERROR(__xludf.DUMMYFUNCTION("""COMPUTED_VALUE"""),45.62)</f>
        <v>45.62</v>
      </c>
      <c r="AH19" s="26">
        <f>IFERROR(__xludf.DUMMYFUNCTION("""COMPUTED_VALUE"""),63.88)</f>
        <v>63.88</v>
      </c>
      <c r="AI19" s="26">
        <f>IFERROR(__xludf.DUMMYFUNCTION("""COMPUTED_VALUE"""),461.68)</f>
        <v>461.68</v>
      </c>
      <c r="AJ19" s="26">
        <f>IFERROR(__xludf.DUMMYFUNCTION("""COMPUTED_VALUE"""),330.26)</f>
        <v>330.26</v>
      </c>
      <c r="AK19" s="26">
        <f>IFERROR(__xludf.DUMMYFUNCTION("""COMPUTED_VALUE"""),94.49)</f>
        <v>94.49</v>
      </c>
      <c r="AL19" s="26">
        <f>IFERROR(__xludf.DUMMYFUNCTION("""COMPUTED_VALUE"""),135.34)</f>
        <v>135.34</v>
      </c>
      <c r="AM19" s="26">
        <f>IFERROR(__xludf.DUMMYFUNCTION("""COMPUTED_VALUE"""),417.24)</f>
        <v>417.24</v>
      </c>
      <c r="AN19" s="26">
        <f>IFERROR(__xludf.DUMMYFUNCTION("""COMPUTED_VALUE"""),197.26)</f>
        <v>197.26</v>
      </c>
      <c r="AO19" s="26">
        <f>IFERROR(__xludf.DUMMYFUNCTION("""COMPUTED_VALUE"""),465.23)</f>
        <v>465.23</v>
      </c>
      <c r="AP19" s="26">
        <f>IFERROR(__xludf.DUMMYFUNCTION("""COMPUTED_VALUE"""),308.27)</f>
        <v>308.27</v>
      </c>
      <c r="AQ19" s="26">
        <f>IFERROR(__xludf.DUMMYFUNCTION("""COMPUTED_VALUE"""),25.82)</f>
        <v>25.82</v>
      </c>
      <c r="AR19" s="26">
        <f>IFERROR(__xludf.DUMMYFUNCTION("""COMPUTED_VALUE"""),82.31)</f>
        <v>82.31</v>
      </c>
      <c r="AS19" s="26">
        <f>IFERROR(__xludf.DUMMYFUNCTION("""COMPUTED_VALUE"""),70.33)</f>
        <v>70.33</v>
      </c>
      <c r="AT19" s="26">
        <f>IFERROR(__xludf.DUMMYFUNCTION("""COMPUTED_VALUE"""),424.01)</f>
        <v>424.01</v>
      </c>
      <c r="AU19" s="26">
        <f>IFERROR(__xludf.DUMMYFUNCTION("""COMPUTED_VALUE"""),77.05)</f>
        <v>77.05</v>
      </c>
      <c r="AV19" s="26">
        <f>IFERROR(__xludf.DUMMYFUNCTION("""COMPUTED_VALUE"""),122.44)</f>
        <v>122.44</v>
      </c>
      <c r="AW19" s="26">
        <f>IFERROR(__xludf.DUMMYFUNCTION("""COMPUTED_VALUE"""),100.78)</f>
        <v>100.78</v>
      </c>
      <c r="AX19" s="26">
        <f>IFERROR(__xludf.DUMMYFUNCTION("""COMPUTED_VALUE"""),42.0)</f>
        <v>42</v>
      </c>
      <c r="AY19" s="26">
        <f>IFERROR(__xludf.DUMMYFUNCTION("""COMPUTED_VALUE"""),22.96)</f>
        <v>22.96</v>
      </c>
      <c r="AZ19" s="26">
        <f>IFERROR(__xludf.DUMMYFUNCTION("""COMPUTED_VALUE"""),63.53)</f>
        <v>63.53</v>
      </c>
      <c r="BA19" s="26">
        <f>IFERROR(__xludf.DUMMYFUNCTION("""COMPUTED_VALUE"""),29.55)</f>
        <v>29.55</v>
      </c>
      <c r="BB19" s="26">
        <f>IFERROR(__xludf.DUMMYFUNCTION("""COMPUTED_VALUE"""),108.44)</f>
        <v>108.44</v>
      </c>
      <c r="BC19" s="26">
        <f>IFERROR(__xludf.DUMMYFUNCTION("""COMPUTED_VALUE"""),180.27)</f>
        <v>180.27</v>
      </c>
      <c r="BD19" s="26">
        <f>IFERROR(__xludf.DUMMYFUNCTION("""COMPUTED_VALUE"""),575.28)</f>
        <v>575.28</v>
      </c>
      <c r="BE19" s="26">
        <f>IFERROR(__xludf.DUMMYFUNCTION("""COMPUTED_VALUE"""),208.33)</f>
        <v>208.33</v>
      </c>
      <c r="BF19" s="26">
        <f>IFERROR(__xludf.DUMMYFUNCTION("""COMPUTED_VALUE"""),135.09)</f>
        <v>135.09</v>
      </c>
      <c r="BG19" s="26">
        <f>IFERROR(__xludf.DUMMYFUNCTION("""COMPUTED_VALUE"""),6.88)</f>
        <v>6.88</v>
      </c>
      <c r="BH19" s="26">
        <f>IFERROR(__xludf.DUMMYFUNCTION("""COMPUTED_VALUE"""),227.41)</f>
        <v>227.41</v>
      </c>
      <c r="BI19" s="26">
        <f>IFERROR(__xludf.DUMMYFUNCTION("""COMPUTED_VALUE"""),503.12)</f>
        <v>503.12</v>
      </c>
      <c r="BJ19" s="26">
        <f>IFERROR(__xludf.DUMMYFUNCTION("""COMPUTED_VALUE"""),48.39)</f>
        <v>48.39</v>
      </c>
      <c r="BK19" s="26">
        <f>IFERROR(__xludf.DUMMYFUNCTION("""COMPUTED_VALUE"""),10.49)</f>
        <v>10.49</v>
      </c>
      <c r="BL19" s="26">
        <f>IFERROR(__xludf.DUMMYFUNCTION("""COMPUTED_VALUE"""),203.9)</f>
        <v>203.9</v>
      </c>
      <c r="BM19" s="26">
        <f>IFERROR(__xludf.DUMMYFUNCTION("""COMPUTED_VALUE"""),101.5)</f>
        <v>101.5</v>
      </c>
    </row>
    <row r="20">
      <c r="A20" s="25">
        <v>45449.66666666667</v>
      </c>
      <c r="B20" s="17">
        <f>IFERROR(__xludf.DUMMYFUNCTION("""COMPUTED_VALUE"""),5352.96)</f>
        <v>5352.96</v>
      </c>
      <c r="C20" s="17">
        <f>IFERROR(__xludf.DUMMYFUNCTION("""COMPUTED_VALUE"""),17173.12)</f>
        <v>17173.12</v>
      </c>
      <c r="D20" s="17">
        <f>IFERROR(__xludf.DUMMYFUNCTION("""COMPUTED_VALUE"""),38886.17)</f>
        <v>38886.17</v>
      </c>
      <c r="E20" s="17">
        <f>IFERROR(__xludf.DUMMYFUNCTION("""COMPUTED_VALUE"""),2049.44)</f>
        <v>2049.44</v>
      </c>
      <c r="F20" s="26">
        <f>IFERROR(__xludf.DUMMYFUNCTION("""COMPUTED_VALUE"""),458.13)</f>
        <v>458.13</v>
      </c>
      <c r="G20" s="26">
        <f>IFERROR(__xludf.DUMMYFUNCTION("""COMPUTED_VALUE"""),185.0)</f>
        <v>185</v>
      </c>
      <c r="H20" s="26">
        <f>IFERROR(__xludf.DUMMYFUNCTION("""COMPUTED_VALUE"""),130.62)</f>
        <v>130.62</v>
      </c>
      <c r="I20" s="26">
        <f>IFERROR(__xludf.DUMMYFUNCTION("""COMPUTED_VALUE"""),194.48)</f>
        <v>194.48</v>
      </c>
      <c r="J20" s="26">
        <f>IFERROR(__xludf.DUMMYFUNCTION("""COMPUTED_VALUE"""),221.75)</f>
        <v>221.75</v>
      </c>
      <c r="K20" s="26">
        <f>IFERROR(__xludf.DUMMYFUNCTION("""COMPUTED_VALUE"""),59.91)</f>
        <v>59.91</v>
      </c>
      <c r="L20" s="26">
        <f>IFERROR(__xludf.DUMMYFUNCTION("""COMPUTED_VALUE"""),11.12)</f>
        <v>11.12</v>
      </c>
      <c r="M20" s="26">
        <f>IFERROR(__xludf.DUMMYFUNCTION("""COMPUTED_VALUE"""),411.08)</f>
        <v>411.08</v>
      </c>
      <c r="N20" s="26">
        <f>IFERROR(__xludf.DUMMYFUNCTION("""COMPUTED_VALUE"""),59.7)</f>
        <v>59.7</v>
      </c>
      <c r="O20" s="26">
        <f>IFERROR(__xludf.DUMMYFUNCTION("""COMPUTED_VALUE"""),231.99)</f>
        <v>231.99</v>
      </c>
      <c r="P20" s="26">
        <f>IFERROR(__xludf.DUMMYFUNCTION("""COMPUTED_VALUE"""),62.48)</f>
        <v>62.48</v>
      </c>
      <c r="Q20" s="26">
        <f>IFERROR(__xludf.DUMMYFUNCTION("""COMPUTED_VALUE"""),328.29)</f>
        <v>328.29</v>
      </c>
      <c r="R20" s="26">
        <f>IFERROR(__xludf.DUMMYFUNCTION("""COMPUTED_VALUE"""),55.47)</f>
        <v>55.47</v>
      </c>
      <c r="S20" s="26">
        <f>IFERROR(__xludf.DUMMYFUNCTION("""COMPUTED_VALUE"""),154.82)</f>
        <v>154.82</v>
      </c>
      <c r="T20" s="26">
        <f>IFERROR(__xludf.DUMMYFUNCTION("""COMPUTED_VALUE"""),155.93)</f>
        <v>155.93</v>
      </c>
      <c r="U20" s="26">
        <f>IFERROR(__xludf.DUMMYFUNCTION("""COMPUTED_VALUE"""),337.91)</f>
        <v>337.91</v>
      </c>
      <c r="V20" s="26">
        <f>IFERROR(__xludf.DUMMYFUNCTION("""COMPUTED_VALUE"""),34.06)</f>
        <v>34.06</v>
      </c>
      <c r="W20" s="26">
        <f>IFERROR(__xludf.DUMMYFUNCTION("""COMPUTED_VALUE"""),64.15)</f>
        <v>64.15</v>
      </c>
      <c r="X20" s="26">
        <f>IFERROR(__xludf.DUMMYFUNCTION("""COMPUTED_VALUE"""),91.89)</f>
        <v>91.89</v>
      </c>
      <c r="Y20" s="26">
        <f>IFERROR(__xludf.DUMMYFUNCTION("""COMPUTED_VALUE"""),147.12)</f>
        <v>147.12</v>
      </c>
      <c r="Z20" s="26">
        <f>IFERROR(__xludf.DUMMYFUNCTION("""COMPUTED_VALUE"""),112.37)</f>
        <v>112.37</v>
      </c>
      <c r="AA20" s="26">
        <f>IFERROR(__xludf.DUMMYFUNCTION("""COMPUTED_VALUE"""),513.69)</f>
        <v>513.69</v>
      </c>
      <c r="AB20" s="26">
        <f>IFERROR(__xludf.DUMMYFUNCTION("""COMPUTED_VALUE"""),53.39)</f>
        <v>53.39</v>
      </c>
      <c r="AC20" s="26">
        <f>IFERROR(__xludf.DUMMYFUNCTION("""COMPUTED_VALUE"""),113.97)</f>
        <v>113.97</v>
      </c>
      <c r="AD20" s="26">
        <f>IFERROR(__xludf.DUMMYFUNCTION("""COMPUTED_VALUE"""),250.27)</f>
        <v>250.27</v>
      </c>
      <c r="AE20" s="26">
        <f>IFERROR(__xludf.DUMMYFUNCTION("""COMPUTED_VALUE"""),416.92)</f>
        <v>416.92</v>
      </c>
      <c r="AF20" s="26">
        <f>IFERROR(__xludf.DUMMYFUNCTION("""COMPUTED_VALUE"""),298.27)</f>
        <v>298.27</v>
      </c>
      <c r="AG20" s="26">
        <f>IFERROR(__xludf.DUMMYFUNCTION("""COMPUTED_VALUE"""),45.61)</f>
        <v>45.61</v>
      </c>
      <c r="AH20" s="26">
        <f>IFERROR(__xludf.DUMMYFUNCTION("""COMPUTED_VALUE"""),63.85)</f>
        <v>63.85</v>
      </c>
      <c r="AI20" s="26">
        <f>IFERROR(__xludf.DUMMYFUNCTION("""COMPUTED_VALUE"""),458.1)</f>
        <v>458.1</v>
      </c>
      <c r="AJ20" s="26">
        <f>IFERROR(__xludf.DUMMYFUNCTION("""COMPUTED_VALUE"""),331.1)</f>
        <v>331.1</v>
      </c>
      <c r="AK20" s="26">
        <f>IFERROR(__xludf.DUMMYFUNCTION("""COMPUTED_VALUE"""),96.12)</f>
        <v>96.12</v>
      </c>
      <c r="AL20" s="26">
        <f>IFERROR(__xludf.DUMMYFUNCTION("""COMPUTED_VALUE"""),134.86)</f>
        <v>134.86</v>
      </c>
      <c r="AM20" s="26">
        <f>IFERROR(__xludf.DUMMYFUNCTION("""COMPUTED_VALUE"""),418.15)</f>
        <v>418.15</v>
      </c>
      <c r="AN20" s="26">
        <f>IFERROR(__xludf.DUMMYFUNCTION("""COMPUTED_VALUE"""),196.91)</f>
        <v>196.91</v>
      </c>
      <c r="AO20" s="26">
        <f>IFERROR(__xludf.DUMMYFUNCTION("""COMPUTED_VALUE"""),468.62)</f>
        <v>468.62</v>
      </c>
      <c r="AP20" s="26">
        <f>IFERROR(__xludf.DUMMYFUNCTION("""COMPUTED_VALUE"""),323.03)</f>
        <v>323.03</v>
      </c>
      <c r="AQ20" s="26">
        <f>IFERROR(__xludf.DUMMYFUNCTION("""COMPUTED_VALUE"""),25.87)</f>
        <v>25.87</v>
      </c>
      <c r="AR20" s="26">
        <f>IFERROR(__xludf.DUMMYFUNCTION("""COMPUTED_VALUE"""),82.34)</f>
        <v>82.34</v>
      </c>
      <c r="AS20" s="26">
        <f>IFERROR(__xludf.DUMMYFUNCTION("""COMPUTED_VALUE"""),70.04)</f>
        <v>70.04</v>
      </c>
      <c r="AT20" s="26">
        <f>IFERROR(__xludf.DUMMYFUNCTION("""COMPUTED_VALUE"""),424.52)</f>
        <v>424.52</v>
      </c>
      <c r="AU20" s="26">
        <f>IFERROR(__xludf.DUMMYFUNCTION("""COMPUTED_VALUE"""),76.7)</f>
        <v>76.7</v>
      </c>
      <c r="AV20" s="26">
        <f>IFERROR(__xludf.DUMMYFUNCTION("""COMPUTED_VALUE"""),121.0)</f>
        <v>121</v>
      </c>
      <c r="AW20" s="26">
        <f>IFERROR(__xludf.DUMMYFUNCTION("""COMPUTED_VALUE"""),99.41)</f>
        <v>99.41</v>
      </c>
      <c r="AX20" s="26">
        <f>IFERROR(__xludf.DUMMYFUNCTION("""COMPUTED_VALUE"""),42.2)</f>
        <v>42.2</v>
      </c>
      <c r="AY20" s="26">
        <f>IFERROR(__xludf.DUMMYFUNCTION("""COMPUTED_VALUE"""),23.79)</f>
        <v>23.79</v>
      </c>
      <c r="AZ20" s="26">
        <f>IFERROR(__xludf.DUMMYFUNCTION("""COMPUTED_VALUE"""),67.02)</f>
        <v>67.02</v>
      </c>
      <c r="BA20" s="26">
        <f>IFERROR(__xludf.DUMMYFUNCTION("""COMPUTED_VALUE"""),28.8)</f>
        <v>28.8</v>
      </c>
      <c r="BB20" s="26">
        <f>IFERROR(__xludf.DUMMYFUNCTION("""COMPUTED_VALUE"""),108.18)</f>
        <v>108.18</v>
      </c>
      <c r="BC20" s="26">
        <f>IFERROR(__xludf.DUMMYFUNCTION("""COMPUTED_VALUE"""),179.77)</f>
        <v>179.77</v>
      </c>
      <c r="BD20" s="26">
        <f>IFERROR(__xludf.DUMMYFUNCTION("""COMPUTED_VALUE"""),579.84)</f>
        <v>579.84</v>
      </c>
      <c r="BE20" s="26">
        <f>IFERROR(__xludf.DUMMYFUNCTION("""COMPUTED_VALUE"""),210.04)</f>
        <v>210.04</v>
      </c>
      <c r="BF20" s="26">
        <f>IFERROR(__xludf.DUMMYFUNCTION("""COMPUTED_VALUE"""),133.02)</f>
        <v>133.02</v>
      </c>
      <c r="BG20" s="26">
        <f>IFERROR(__xludf.DUMMYFUNCTION("""COMPUTED_VALUE"""),6.94)</f>
        <v>6.94</v>
      </c>
      <c r="BH20" s="26">
        <f>IFERROR(__xludf.DUMMYFUNCTION("""COMPUTED_VALUE"""),228.31)</f>
        <v>228.31</v>
      </c>
      <c r="BI20" s="26">
        <f>IFERROR(__xludf.DUMMYFUNCTION("""COMPUTED_VALUE"""),501.92)</f>
        <v>501.92</v>
      </c>
      <c r="BJ20" s="26">
        <f>IFERROR(__xludf.DUMMYFUNCTION("""COMPUTED_VALUE"""),48.39)</f>
        <v>48.39</v>
      </c>
      <c r="BK20" s="26">
        <f>IFERROR(__xludf.DUMMYFUNCTION("""COMPUTED_VALUE"""),10.42)</f>
        <v>10.42</v>
      </c>
      <c r="BL20" s="26">
        <f>IFERROR(__xludf.DUMMYFUNCTION("""COMPUTED_VALUE"""),202.5)</f>
        <v>202.5</v>
      </c>
      <c r="BM20" s="26">
        <f>IFERROR(__xludf.DUMMYFUNCTION("""COMPUTED_VALUE"""),101.21)</f>
        <v>101.21</v>
      </c>
    </row>
    <row r="21">
      <c r="A21" s="25">
        <v>45450.66666666667</v>
      </c>
      <c r="B21" s="17">
        <f>IFERROR(__xludf.DUMMYFUNCTION("""COMPUTED_VALUE"""),5346.99)</f>
        <v>5346.99</v>
      </c>
      <c r="C21" s="17">
        <f>IFERROR(__xludf.DUMMYFUNCTION("""COMPUTED_VALUE"""),17133.13)</f>
        <v>17133.13</v>
      </c>
      <c r="D21" s="17">
        <f>IFERROR(__xludf.DUMMYFUNCTION("""COMPUTED_VALUE"""),38798.99)</f>
        <v>38798.99</v>
      </c>
      <c r="E21" s="17">
        <f>IFERROR(__xludf.DUMMYFUNCTION("""COMPUTED_VALUE"""),2026.55)</f>
        <v>2026.55</v>
      </c>
      <c r="F21" s="26">
        <f>IFERROR(__xludf.DUMMYFUNCTION("""COMPUTED_VALUE"""),465.43)</f>
        <v>465.43</v>
      </c>
      <c r="G21" s="26">
        <f>IFERROR(__xludf.DUMMYFUNCTION("""COMPUTED_VALUE"""),184.3)</f>
        <v>184.3</v>
      </c>
      <c r="H21" s="26">
        <f>IFERROR(__xludf.DUMMYFUNCTION("""COMPUTED_VALUE"""),128.25)</f>
        <v>128.25</v>
      </c>
      <c r="I21" s="26">
        <f>IFERROR(__xludf.DUMMYFUNCTION("""COMPUTED_VALUE"""),196.89)</f>
        <v>196.89</v>
      </c>
      <c r="J21" s="26">
        <f>IFERROR(__xludf.DUMMYFUNCTION("""COMPUTED_VALUE"""),221.73)</f>
        <v>221.73</v>
      </c>
      <c r="K21" s="26">
        <f>IFERROR(__xludf.DUMMYFUNCTION("""COMPUTED_VALUE"""),60.31)</f>
        <v>60.31</v>
      </c>
      <c r="L21" s="26">
        <f>IFERROR(__xludf.DUMMYFUNCTION("""COMPUTED_VALUE"""),11.07)</f>
        <v>11.07</v>
      </c>
      <c r="M21" s="26">
        <f>IFERROR(__xludf.DUMMYFUNCTION("""COMPUTED_VALUE"""),413.72)</f>
        <v>413.72</v>
      </c>
      <c r="N21" s="26">
        <f>IFERROR(__xludf.DUMMYFUNCTION("""COMPUTED_VALUE"""),58.19)</f>
        <v>58.19</v>
      </c>
      <c r="O21" s="26">
        <f>IFERROR(__xludf.DUMMYFUNCTION("""COMPUTED_VALUE"""),225.43)</f>
        <v>225.43</v>
      </c>
      <c r="P21" s="26">
        <f>IFERROR(__xludf.DUMMYFUNCTION("""COMPUTED_VALUE"""),62.71)</f>
        <v>62.71</v>
      </c>
      <c r="Q21" s="26">
        <f>IFERROR(__xludf.DUMMYFUNCTION("""COMPUTED_VALUE"""),328.94)</f>
        <v>328.94</v>
      </c>
      <c r="R21" s="26">
        <f>IFERROR(__xludf.DUMMYFUNCTION("""COMPUTED_VALUE"""),53.4)</f>
        <v>53.4</v>
      </c>
      <c r="S21" s="26">
        <f>IFERROR(__xludf.DUMMYFUNCTION("""COMPUTED_VALUE"""),156.41)</f>
        <v>156.41</v>
      </c>
      <c r="T21" s="26">
        <f>IFERROR(__xludf.DUMMYFUNCTION("""COMPUTED_VALUE"""),156.08)</f>
        <v>156.08</v>
      </c>
      <c r="U21" s="26">
        <f>IFERROR(__xludf.DUMMYFUNCTION("""COMPUTED_VALUE"""),338.1)</f>
        <v>338.1</v>
      </c>
      <c r="V21" s="26">
        <f>IFERROR(__xludf.DUMMYFUNCTION("""COMPUTED_VALUE"""),34.15)</f>
        <v>34.15</v>
      </c>
      <c r="W21" s="26">
        <f>IFERROR(__xludf.DUMMYFUNCTION("""COMPUTED_VALUE"""),63.91)</f>
        <v>63.91</v>
      </c>
      <c r="X21" s="26">
        <f>IFERROR(__xludf.DUMMYFUNCTION("""COMPUTED_VALUE"""),91.61)</f>
        <v>91.61</v>
      </c>
      <c r="Y21" s="26">
        <f>IFERROR(__xludf.DUMMYFUNCTION("""COMPUTED_VALUE"""),146.35)</f>
        <v>146.35</v>
      </c>
      <c r="Z21" s="26">
        <f>IFERROR(__xludf.DUMMYFUNCTION("""COMPUTED_VALUE"""),111.29)</f>
        <v>111.29</v>
      </c>
      <c r="AA21" s="26">
        <f>IFERROR(__xludf.DUMMYFUNCTION("""COMPUTED_VALUE"""),513.55)</f>
        <v>513.55</v>
      </c>
      <c r="AB21" s="26">
        <f>IFERROR(__xludf.DUMMYFUNCTION("""COMPUTED_VALUE"""),53.08)</f>
        <v>53.08</v>
      </c>
      <c r="AC21" s="26">
        <f>IFERROR(__xludf.DUMMYFUNCTION("""COMPUTED_VALUE"""),112.75)</f>
        <v>112.75</v>
      </c>
      <c r="AD21" s="26">
        <f>IFERROR(__xludf.DUMMYFUNCTION("""COMPUTED_VALUE"""),247.73)</f>
        <v>247.73</v>
      </c>
      <c r="AE21" s="26">
        <f>IFERROR(__xludf.DUMMYFUNCTION("""COMPUTED_VALUE"""),412.93)</f>
        <v>412.93</v>
      </c>
      <c r="AF21" s="26">
        <f>IFERROR(__xludf.DUMMYFUNCTION("""COMPUTED_VALUE"""),299.14)</f>
        <v>299.14</v>
      </c>
      <c r="AG21" s="26">
        <f>IFERROR(__xludf.DUMMYFUNCTION("""COMPUTED_VALUE"""),45.72)</f>
        <v>45.72</v>
      </c>
      <c r="AH21" s="26">
        <f>IFERROR(__xludf.DUMMYFUNCTION("""COMPUTED_VALUE"""),64.7)</f>
        <v>64.7</v>
      </c>
      <c r="AI21" s="26">
        <f>IFERROR(__xludf.DUMMYFUNCTION("""COMPUTED_VALUE"""),454.91)</f>
        <v>454.91</v>
      </c>
      <c r="AJ21" s="26">
        <f>IFERROR(__xludf.DUMMYFUNCTION("""COMPUTED_VALUE"""),327.03)</f>
        <v>327.03</v>
      </c>
      <c r="AK21" s="26">
        <f>IFERROR(__xludf.DUMMYFUNCTION("""COMPUTED_VALUE"""),97.36)</f>
        <v>97.36</v>
      </c>
      <c r="AL21" s="26">
        <f>IFERROR(__xludf.DUMMYFUNCTION("""COMPUTED_VALUE"""),133.79)</f>
        <v>133.79</v>
      </c>
      <c r="AM21" s="26">
        <f>IFERROR(__xludf.DUMMYFUNCTION("""COMPUTED_VALUE"""),417.61)</f>
        <v>417.61</v>
      </c>
      <c r="AN21" s="26">
        <f>IFERROR(__xludf.DUMMYFUNCTION("""COMPUTED_VALUE"""),199.95)</f>
        <v>199.95</v>
      </c>
      <c r="AO21" s="26">
        <f>IFERROR(__xludf.DUMMYFUNCTION("""COMPUTED_VALUE"""),470.13)</f>
        <v>470.13</v>
      </c>
      <c r="AP21" s="26">
        <f>IFERROR(__xludf.DUMMYFUNCTION("""COMPUTED_VALUE"""),317.86)</f>
        <v>317.86</v>
      </c>
      <c r="AQ21" s="26">
        <f>IFERROR(__xludf.DUMMYFUNCTION("""COMPUTED_VALUE"""),25.85)</f>
        <v>25.85</v>
      </c>
      <c r="AR21" s="26">
        <f>IFERROR(__xludf.DUMMYFUNCTION("""COMPUTED_VALUE"""),84.07)</f>
        <v>84.07</v>
      </c>
      <c r="AS21" s="26">
        <f>IFERROR(__xludf.DUMMYFUNCTION("""COMPUTED_VALUE"""),70.05)</f>
        <v>70.05</v>
      </c>
      <c r="AT21" s="26">
        <f>IFERROR(__xludf.DUMMYFUNCTION("""COMPUTED_VALUE"""),423.85)</f>
        <v>423.85</v>
      </c>
      <c r="AU21" s="26">
        <f>IFERROR(__xludf.DUMMYFUNCTION("""COMPUTED_VALUE"""),75.39)</f>
        <v>75.39</v>
      </c>
      <c r="AV21" s="26">
        <f>IFERROR(__xludf.DUMMYFUNCTION("""COMPUTED_VALUE"""),120.89)</f>
        <v>120.89</v>
      </c>
      <c r="AW21" s="26">
        <f>IFERROR(__xludf.DUMMYFUNCTION("""COMPUTED_VALUE"""),98.66)</f>
        <v>98.66</v>
      </c>
      <c r="AX21" s="26">
        <f>IFERROR(__xludf.DUMMYFUNCTION("""COMPUTED_VALUE"""),42.35)</f>
        <v>42.35</v>
      </c>
      <c r="AY21" s="26">
        <f>IFERROR(__xludf.DUMMYFUNCTION("""COMPUTED_VALUE"""),23.31)</f>
        <v>23.31</v>
      </c>
      <c r="AZ21" s="26">
        <f>IFERROR(__xludf.DUMMYFUNCTION("""COMPUTED_VALUE"""),67.3)</f>
        <v>67.3</v>
      </c>
      <c r="BA21" s="26">
        <f>IFERROR(__xludf.DUMMYFUNCTION("""COMPUTED_VALUE"""),28.58)</f>
        <v>28.58</v>
      </c>
      <c r="BB21" s="26">
        <f>IFERROR(__xludf.DUMMYFUNCTION("""COMPUTED_VALUE"""),108.11)</f>
        <v>108.11</v>
      </c>
      <c r="BC21" s="26">
        <f>IFERROR(__xludf.DUMMYFUNCTION("""COMPUTED_VALUE"""),179.82)</f>
        <v>179.82</v>
      </c>
      <c r="BD21" s="26">
        <f>IFERROR(__xludf.DUMMYFUNCTION("""COMPUTED_VALUE"""),581.09)</f>
        <v>581.09</v>
      </c>
      <c r="BE21" s="26">
        <f>IFERROR(__xludf.DUMMYFUNCTION("""COMPUTED_VALUE"""),206.36)</f>
        <v>206.36</v>
      </c>
      <c r="BF21" s="26">
        <f>IFERROR(__xludf.DUMMYFUNCTION("""COMPUTED_VALUE"""),137.18)</f>
        <v>137.18</v>
      </c>
      <c r="BG21" s="26">
        <f>IFERROR(__xludf.DUMMYFUNCTION("""COMPUTED_VALUE"""),6.91)</f>
        <v>6.91</v>
      </c>
      <c r="BH21" s="26">
        <f>IFERROR(__xludf.DUMMYFUNCTION("""COMPUTED_VALUE"""),227.97)</f>
        <v>227.97</v>
      </c>
      <c r="BI21" s="26">
        <f>IFERROR(__xludf.DUMMYFUNCTION("""COMPUTED_VALUE"""),490.69)</f>
        <v>490.69</v>
      </c>
      <c r="BJ21" s="26">
        <f>IFERROR(__xludf.DUMMYFUNCTION("""COMPUTED_VALUE"""),48.25)</f>
        <v>48.25</v>
      </c>
      <c r="BK21" s="26">
        <f>IFERROR(__xludf.DUMMYFUNCTION("""COMPUTED_VALUE"""),10.47)</f>
        <v>10.47</v>
      </c>
      <c r="BL21" s="26">
        <f>IFERROR(__xludf.DUMMYFUNCTION("""COMPUTED_VALUE"""),200.55)</f>
        <v>200.55</v>
      </c>
      <c r="BM21" s="26">
        <f>IFERROR(__xludf.DUMMYFUNCTION("""COMPUTED_VALUE"""),101.54)</f>
        <v>101.54</v>
      </c>
    </row>
    <row r="22">
      <c r="A22" s="25">
        <v>45453.66666666667</v>
      </c>
      <c r="B22" s="17">
        <f>IFERROR(__xludf.DUMMYFUNCTION("""COMPUTED_VALUE"""),5360.79)</f>
        <v>5360.79</v>
      </c>
      <c r="C22" s="17">
        <f>IFERROR(__xludf.DUMMYFUNCTION("""COMPUTED_VALUE"""),17192.53)</f>
        <v>17192.53</v>
      </c>
      <c r="D22" s="17">
        <f>IFERROR(__xludf.DUMMYFUNCTION("""COMPUTED_VALUE"""),38868.04)</f>
        <v>38868.04</v>
      </c>
      <c r="E22" s="17">
        <f>IFERROR(__xludf.DUMMYFUNCTION("""COMPUTED_VALUE"""),2031.61)</f>
        <v>2031.61</v>
      </c>
      <c r="F22" s="26">
        <f>IFERROR(__xludf.DUMMYFUNCTION("""COMPUTED_VALUE"""),459.94)</f>
        <v>459.94</v>
      </c>
      <c r="G22" s="26">
        <f>IFERROR(__xludf.DUMMYFUNCTION("""COMPUTED_VALUE"""),187.06)</f>
        <v>187.06</v>
      </c>
      <c r="H22" s="26">
        <f>IFERROR(__xludf.DUMMYFUNCTION("""COMPUTED_VALUE"""),128.56)</f>
        <v>128.56</v>
      </c>
      <c r="I22" s="26">
        <f>IFERROR(__xludf.DUMMYFUNCTION("""COMPUTED_VALUE"""),193.12)</f>
        <v>193.12</v>
      </c>
      <c r="J22" s="26">
        <f>IFERROR(__xludf.DUMMYFUNCTION("""COMPUTED_VALUE"""),228.16)</f>
        <v>228.16</v>
      </c>
      <c r="K22" s="26">
        <f>IFERROR(__xludf.DUMMYFUNCTION("""COMPUTED_VALUE"""),60.74)</f>
        <v>60.74</v>
      </c>
      <c r="L22" s="26">
        <f>IFERROR(__xludf.DUMMYFUNCTION("""COMPUTED_VALUE"""),11.05)</f>
        <v>11.05</v>
      </c>
      <c r="M22" s="26">
        <f>IFERROR(__xludf.DUMMYFUNCTION("""COMPUTED_VALUE"""),410.81)</f>
        <v>410.81</v>
      </c>
      <c r="N22" s="26">
        <f>IFERROR(__xludf.DUMMYFUNCTION("""COMPUTED_VALUE"""),58.41)</f>
        <v>58.41</v>
      </c>
      <c r="O22" s="26">
        <f>IFERROR(__xludf.DUMMYFUNCTION("""COMPUTED_VALUE"""),225.98)</f>
        <v>225.98</v>
      </c>
      <c r="P22" s="26">
        <f>IFERROR(__xludf.DUMMYFUNCTION("""COMPUTED_VALUE"""),62.54)</f>
        <v>62.54</v>
      </c>
      <c r="Q22" s="26">
        <f>IFERROR(__xludf.DUMMYFUNCTION("""COMPUTED_VALUE"""),329.61)</f>
        <v>329.61</v>
      </c>
      <c r="R22" s="26">
        <f>IFERROR(__xludf.DUMMYFUNCTION("""COMPUTED_VALUE"""),53.6)</f>
        <v>53.6</v>
      </c>
      <c r="S22" s="26">
        <f>IFERROR(__xludf.DUMMYFUNCTION("""COMPUTED_VALUE"""),156.11)</f>
        <v>156.11</v>
      </c>
      <c r="T22" s="26">
        <f>IFERROR(__xludf.DUMMYFUNCTION("""COMPUTED_VALUE"""),156.74)</f>
        <v>156.74</v>
      </c>
      <c r="U22" s="26">
        <f>IFERROR(__xludf.DUMMYFUNCTION("""COMPUTED_VALUE"""),338.65)</f>
        <v>338.65</v>
      </c>
      <c r="V22" s="26">
        <f>IFERROR(__xludf.DUMMYFUNCTION("""COMPUTED_VALUE"""),34.38)</f>
        <v>34.38</v>
      </c>
      <c r="W22" s="26">
        <f>IFERROR(__xludf.DUMMYFUNCTION("""COMPUTED_VALUE"""),63.59)</f>
        <v>63.59</v>
      </c>
      <c r="X22" s="26">
        <f>IFERROR(__xludf.DUMMYFUNCTION("""COMPUTED_VALUE"""),92.32)</f>
        <v>92.32</v>
      </c>
      <c r="Y22" s="26">
        <f>IFERROR(__xludf.DUMMYFUNCTION("""COMPUTED_VALUE"""),149.09)</f>
        <v>149.09</v>
      </c>
      <c r="Z22" s="26">
        <f>IFERROR(__xludf.DUMMYFUNCTION("""COMPUTED_VALUE"""),110.19)</f>
        <v>110.19</v>
      </c>
      <c r="AA22" s="26">
        <f>IFERROR(__xludf.DUMMYFUNCTION("""COMPUTED_VALUE"""),526.55)</f>
        <v>526.55</v>
      </c>
      <c r="AB22" s="26">
        <f>IFERROR(__xludf.DUMMYFUNCTION("""COMPUTED_VALUE"""),53.15)</f>
        <v>53.15</v>
      </c>
      <c r="AC22" s="26">
        <f>IFERROR(__xludf.DUMMYFUNCTION("""COMPUTED_VALUE"""),113.08)</f>
        <v>113.08</v>
      </c>
      <c r="AD22" s="26">
        <f>IFERROR(__xludf.DUMMYFUNCTION("""COMPUTED_VALUE"""),253.72)</f>
        <v>253.72</v>
      </c>
      <c r="AE22" s="26">
        <f>IFERROR(__xludf.DUMMYFUNCTION("""COMPUTED_VALUE"""),413.48)</f>
        <v>413.48</v>
      </c>
      <c r="AF22" s="26">
        <f>IFERROR(__xludf.DUMMYFUNCTION("""COMPUTED_VALUE"""),294.68)</f>
        <v>294.68</v>
      </c>
      <c r="AG22" s="26">
        <f>IFERROR(__xludf.DUMMYFUNCTION("""COMPUTED_VALUE"""),47.57)</f>
        <v>47.57</v>
      </c>
      <c r="AH22" s="26">
        <f>IFERROR(__xludf.DUMMYFUNCTION("""COMPUTED_VALUE"""),65.25)</f>
        <v>65.25</v>
      </c>
      <c r="AI22" s="26">
        <f>IFERROR(__xludf.DUMMYFUNCTION("""COMPUTED_VALUE"""),453.55)</f>
        <v>453.55</v>
      </c>
      <c r="AJ22" s="26">
        <f>IFERROR(__xludf.DUMMYFUNCTION("""COMPUTED_VALUE"""),332.56)</f>
        <v>332.56</v>
      </c>
      <c r="AK22" s="26">
        <f>IFERROR(__xludf.DUMMYFUNCTION("""COMPUTED_VALUE"""),97.38)</f>
        <v>97.38</v>
      </c>
      <c r="AL22" s="26">
        <f>IFERROR(__xludf.DUMMYFUNCTION("""COMPUTED_VALUE"""),133.88)</f>
        <v>133.88</v>
      </c>
      <c r="AM22" s="26">
        <f>IFERROR(__xludf.DUMMYFUNCTION("""COMPUTED_VALUE"""),418.38)</f>
        <v>418.38</v>
      </c>
      <c r="AN22" s="26">
        <f>IFERROR(__xludf.DUMMYFUNCTION("""COMPUTED_VALUE"""),199.61)</f>
        <v>199.61</v>
      </c>
      <c r="AO22" s="26">
        <f>IFERROR(__xludf.DUMMYFUNCTION("""COMPUTED_VALUE"""),467.46)</f>
        <v>467.46</v>
      </c>
      <c r="AP22" s="26">
        <f>IFERROR(__xludf.DUMMYFUNCTION("""COMPUTED_VALUE"""),318.26)</f>
        <v>318.26</v>
      </c>
      <c r="AQ22" s="26">
        <f>IFERROR(__xludf.DUMMYFUNCTION("""COMPUTED_VALUE"""),26.24)</f>
        <v>26.24</v>
      </c>
      <c r="AR22" s="26">
        <f>IFERROR(__xludf.DUMMYFUNCTION("""COMPUTED_VALUE"""),83.14)</f>
        <v>83.14</v>
      </c>
      <c r="AS22" s="26">
        <f>IFERROR(__xludf.DUMMYFUNCTION("""COMPUTED_VALUE"""),70.27)</f>
        <v>70.27</v>
      </c>
      <c r="AT22" s="26">
        <f>IFERROR(__xludf.DUMMYFUNCTION("""COMPUTED_VALUE"""),427.87)</f>
        <v>427.87</v>
      </c>
      <c r="AU22" s="26">
        <f>IFERROR(__xludf.DUMMYFUNCTION("""COMPUTED_VALUE"""),76.97)</f>
        <v>76.97</v>
      </c>
      <c r="AV22" s="26">
        <f>IFERROR(__xludf.DUMMYFUNCTION("""COMPUTED_VALUE"""),121.79)</f>
        <v>121.79</v>
      </c>
      <c r="AW22" s="26">
        <f>IFERROR(__xludf.DUMMYFUNCTION("""COMPUTED_VALUE"""),97.75)</f>
        <v>97.75</v>
      </c>
      <c r="AX22" s="26">
        <f>IFERROR(__xludf.DUMMYFUNCTION("""COMPUTED_VALUE"""),42.73)</f>
        <v>42.73</v>
      </c>
      <c r="AY22" s="26">
        <f>IFERROR(__xludf.DUMMYFUNCTION("""COMPUTED_VALUE"""),23.13)</f>
        <v>23.13</v>
      </c>
      <c r="AZ22" s="26">
        <f>IFERROR(__xludf.DUMMYFUNCTION("""COMPUTED_VALUE"""),67.09)</f>
        <v>67.09</v>
      </c>
      <c r="BA22" s="26">
        <f>IFERROR(__xludf.DUMMYFUNCTION("""COMPUTED_VALUE"""),28.07)</f>
        <v>28.07</v>
      </c>
      <c r="BB22" s="26">
        <f>IFERROR(__xludf.DUMMYFUNCTION("""COMPUTED_VALUE"""),107.09)</f>
        <v>107.09</v>
      </c>
      <c r="BC22" s="26">
        <f>IFERROR(__xludf.DUMMYFUNCTION("""COMPUTED_VALUE"""),180.69)</f>
        <v>180.69</v>
      </c>
      <c r="BD22" s="26">
        <f>IFERROR(__xludf.DUMMYFUNCTION("""COMPUTED_VALUE"""),581.48)</f>
        <v>581.48</v>
      </c>
      <c r="BE22" s="26">
        <f>IFERROR(__xludf.DUMMYFUNCTION("""COMPUTED_VALUE"""),208.02)</f>
        <v>208.02</v>
      </c>
      <c r="BF22" s="26">
        <f>IFERROR(__xludf.DUMMYFUNCTION("""COMPUTED_VALUE"""),144.67)</f>
        <v>144.67</v>
      </c>
      <c r="BG22" s="26">
        <f>IFERROR(__xludf.DUMMYFUNCTION("""COMPUTED_VALUE"""),6.81)</f>
        <v>6.81</v>
      </c>
      <c r="BH22" s="26">
        <f>IFERROR(__xludf.DUMMYFUNCTION("""COMPUTED_VALUE"""),228.95)</f>
        <v>228.95</v>
      </c>
      <c r="BI22" s="26">
        <f>IFERROR(__xludf.DUMMYFUNCTION("""COMPUTED_VALUE"""),495.0)</f>
        <v>495</v>
      </c>
      <c r="BJ22" s="26">
        <f>IFERROR(__xludf.DUMMYFUNCTION("""COMPUTED_VALUE"""),48.25)</f>
        <v>48.25</v>
      </c>
      <c r="BK22" s="26">
        <f>IFERROR(__xludf.DUMMYFUNCTION("""COMPUTED_VALUE"""),10.51)</f>
        <v>10.51</v>
      </c>
      <c r="BL22" s="26">
        <f>IFERROR(__xludf.DUMMYFUNCTION("""COMPUTED_VALUE"""),201.71)</f>
        <v>201.71</v>
      </c>
      <c r="BM22" s="26">
        <f>IFERROR(__xludf.DUMMYFUNCTION("""COMPUTED_VALUE"""),102.74)</f>
        <v>102.74</v>
      </c>
    </row>
    <row r="23">
      <c r="A23" s="25">
        <v>45454.66666666667</v>
      </c>
      <c r="B23" s="17">
        <f>IFERROR(__xludf.DUMMYFUNCTION("""COMPUTED_VALUE"""),5375.32)</f>
        <v>5375.32</v>
      </c>
      <c r="C23" s="17">
        <f>IFERROR(__xludf.DUMMYFUNCTION("""COMPUTED_VALUE"""),17343.55)</f>
        <v>17343.55</v>
      </c>
      <c r="D23" s="17">
        <f>IFERROR(__xludf.DUMMYFUNCTION("""COMPUTED_VALUE"""),38747.42)</f>
        <v>38747.42</v>
      </c>
      <c r="E23" s="17">
        <f>IFERROR(__xludf.DUMMYFUNCTION("""COMPUTED_VALUE"""),2024.35)</f>
        <v>2024.35</v>
      </c>
      <c r="F23" s="26">
        <f>IFERROR(__xludf.DUMMYFUNCTION("""COMPUTED_VALUE"""),462.69)</f>
        <v>462.69</v>
      </c>
      <c r="G23" s="26">
        <f>IFERROR(__xludf.DUMMYFUNCTION("""COMPUTED_VALUE"""),187.23)</f>
        <v>187.23</v>
      </c>
      <c r="H23" s="26">
        <f>IFERROR(__xludf.DUMMYFUNCTION("""COMPUTED_VALUE"""),127.92)</f>
        <v>127.92</v>
      </c>
      <c r="I23" s="26">
        <f>IFERROR(__xludf.DUMMYFUNCTION("""COMPUTED_VALUE"""),207.15)</f>
        <v>207.15</v>
      </c>
      <c r="J23" s="26">
        <f>IFERROR(__xludf.DUMMYFUNCTION("""COMPUTED_VALUE"""),229.97)</f>
        <v>229.97</v>
      </c>
      <c r="K23" s="26">
        <f>IFERROR(__xludf.DUMMYFUNCTION("""COMPUTED_VALUE"""),58.76)</f>
        <v>58.76</v>
      </c>
      <c r="L23" s="26">
        <f>IFERROR(__xludf.DUMMYFUNCTION("""COMPUTED_VALUE"""),10.73)</f>
        <v>10.73</v>
      </c>
      <c r="M23" s="26">
        <f>IFERROR(__xludf.DUMMYFUNCTION("""COMPUTED_VALUE"""),408.5)</f>
        <v>408.5</v>
      </c>
      <c r="N23" s="26">
        <f>IFERROR(__xludf.DUMMYFUNCTION("""COMPUTED_VALUE"""),56.8)</f>
        <v>56.8</v>
      </c>
      <c r="O23" s="26">
        <f>IFERROR(__xludf.DUMMYFUNCTION("""COMPUTED_VALUE"""),225.74)</f>
        <v>225.74</v>
      </c>
      <c r="P23" s="26">
        <f>IFERROR(__xludf.DUMMYFUNCTION("""COMPUTED_VALUE"""),62.0)</f>
        <v>62</v>
      </c>
      <c r="Q23" s="26">
        <f>IFERROR(__xludf.DUMMYFUNCTION("""COMPUTED_VALUE"""),327.31)</f>
        <v>327.31</v>
      </c>
      <c r="R23" s="26">
        <f>IFERROR(__xludf.DUMMYFUNCTION("""COMPUTED_VALUE"""),50.81)</f>
        <v>50.81</v>
      </c>
      <c r="S23" s="26">
        <f>IFERROR(__xludf.DUMMYFUNCTION("""COMPUTED_VALUE"""),156.89)</f>
        <v>156.89</v>
      </c>
      <c r="T23" s="26">
        <f>IFERROR(__xludf.DUMMYFUNCTION("""COMPUTED_VALUE"""),156.49)</f>
        <v>156.49</v>
      </c>
      <c r="U23" s="26">
        <f>IFERROR(__xludf.DUMMYFUNCTION("""COMPUTED_VALUE"""),337.94)</f>
        <v>337.94</v>
      </c>
      <c r="V23" s="26">
        <f>IFERROR(__xludf.DUMMYFUNCTION("""COMPUTED_VALUE"""),33.97)</f>
        <v>33.97</v>
      </c>
      <c r="W23" s="26">
        <f>IFERROR(__xludf.DUMMYFUNCTION("""COMPUTED_VALUE"""),63.55)</f>
        <v>63.55</v>
      </c>
      <c r="X23" s="26">
        <f>IFERROR(__xludf.DUMMYFUNCTION("""COMPUTED_VALUE"""),91.75)</f>
        <v>91.75</v>
      </c>
      <c r="Y23" s="26">
        <f>IFERROR(__xludf.DUMMYFUNCTION("""COMPUTED_VALUE"""),149.88)</f>
        <v>149.88</v>
      </c>
      <c r="Z23" s="26">
        <f>IFERROR(__xludf.DUMMYFUNCTION("""COMPUTED_VALUE"""),109.64)</f>
        <v>109.64</v>
      </c>
      <c r="AA23" s="26">
        <f>IFERROR(__xludf.DUMMYFUNCTION("""COMPUTED_VALUE"""),527.95)</f>
        <v>527.95</v>
      </c>
      <c r="AB23" s="26">
        <f>IFERROR(__xludf.DUMMYFUNCTION("""COMPUTED_VALUE"""),53.0)</f>
        <v>53</v>
      </c>
      <c r="AC23" s="26">
        <f>IFERROR(__xludf.DUMMYFUNCTION("""COMPUTED_VALUE"""),112.17)</f>
        <v>112.17</v>
      </c>
      <c r="AD23" s="26">
        <f>IFERROR(__xludf.DUMMYFUNCTION("""COMPUTED_VALUE"""),252.43)</f>
        <v>252.43</v>
      </c>
      <c r="AE23" s="26">
        <f>IFERROR(__xludf.DUMMYFUNCTION("""COMPUTED_VALUE"""),410.94)</f>
        <v>410.94</v>
      </c>
      <c r="AF23" s="26">
        <f>IFERROR(__xludf.DUMMYFUNCTION("""COMPUTED_VALUE"""),292.65)</f>
        <v>292.65</v>
      </c>
      <c r="AG23" s="26">
        <f>IFERROR(__xludf.DUMMYFUNCTION("""COMPUTED_VALUE"""),48.21)</f>
        <v>48.21</v>
      </c>
      <c r="AH23" s="26">
        <f>IFERROR(__xludf.DUMMYFUNCTION("""COMPUTED_VALUE"""),64.89)</f>
        <v>64.89</v>
      </c>
      <c r="AI23" s="26">
        <f>IFERROR(__xludf.DUMMYFUNCTION("""COMPUTED_VALUE"""),444.27)</f>
        <v>444.27</v>
      </c>
      <c r="AJ23" s="26">
        <f>IFERROR(__xludf.DUMMYFUNCTION("""COMPUTED_VALUE"""),335.72)</f>
        <v>335.72</v>
      </c>
      <c r="AK23" s="26">
        <f>IFERROR(__xludf.DUMMYFUNCTION("""COMPUTED_VALUE"""),97.2)</f>
        <v>97.2</v>
      </c>
      <c r="AL23" s="26">
        <f>IFERROR(__xludf.DUMMYFUNCTION("""COMPUTED_VALUE"""),134.59)</f>
        <v>134.59</v>
      </c>
      <c r="AM23" s="26">
        <f>IFERROR(__xludf.DUMMYFUNCTION("""COMPUTED_VALUE"""),418.78)</f>
        <v>418.78</v>
      </c>
      <c r="AN23" s="26">
        <f>IFERROR(__xludf.DUMMYFUNCTION("""COMPUTED_VALUE"""),194.36)</f>
        <v>194.36</v>
      </c>
      <c r="AO23" s="26">
        <f>IFERROR(__xludf.DUMMYFUNCTION("""COMPUTED_VALUE"""),462.8)</f>
        <v>462.8</v>
      </c>
      <c r="AP23" s="26">
        <f>IFERROR(__xludf.DUMMYFUNCTION("""COMPUTED_VALUE"""),318.04)</f>
        <v>318.04</v>
      </c>
      <c r="AQ23" s="26">
        <f>IFERROR(__xludf.DUMMYFUNCTION("""COMPUTED_VALUE"""),25.77)</f>
        <v>25.77</v>
      </c>
      <c r="AR23" s="26">
        <f>IFERROR(__xludf.DUMMYFUNCTION("""COMPUTED_VALUE"""),81.95)</f>
        <v>81.95</v>
      </c>
      <c r="AS23" s="26">
        <f>IFERROR(__xludf.DUMMYFUNCTION("""COMPUTED_VALUE"""),69.06)</f>
        <v>69.06</v>
      </c>
      <c r="AT23" s="26">
        <f>IFERROR(__xludf.DUMMYFUNCTION("""COMPUTED_VALUE"""),432.68)</f>
        <v>432.68</v>
      </c>
      <c r="AU23" s="26">
        <f>IFERROR(__xludf.DUMMYFUNCTION("""COMPUTED_VALUE"""),72.74)</f>
        <v>72.74</v>
      </c>
      <c r="AV23" s="26">
        <f>IFERROR(__xludf.DUMMYFUNCTION("""COMPUTED_VALUE"""),120.91)</f>
        <v>120.91</v>
      </c>
      <c r="AW23" s="26">
        <f>IFERROR(__xludf.DUMMYFUNCTION("""COMPUTED_VALUE"""),96.5)</f>
        <v>96.5</v>
      </c>
      <c r="AX23" s="26">
        <f>IFERROR(__xludf.DUMMYFUNCTION("""COMPUTED_VALUE"""),43.79)</f>
        <v>43.79</v>
      </c>
      <c r="AY23" s="26">
        <f>IFERROR(__xludf.DUMMYFUNCTION("""COMPUTED_VALUE"""),23.85)</f>
        <v>23.85</v>
      </c>
      <c r="AZ23" s="26">
        <f>IFERROR(__xludf.DUMMYFUNCTION("""COMPUTED_VALUE"""),64.77)</f>
        <v>64.77</v>
      </c>
      <c r="BA23" s="26">
        <f>IFERROR(__xludf.DUMMYFUNCTION("""COMPUTED_VALUE"""),28.03)</f>
        <v>28.03</v>
      </c>
      <c r="BB23" s="26">
        <f>IFERROR(__xludf.DUMMYFUNCTION("""COMPUTED_VALUE"""),106.92)</f>
        <v>106.92</v>
      </c>
      <c r="BC23" s="26">
        <f>IFERROR(__xludf.DUMMYFUNCTION("""COMPUTED_VALUE"""),178.4)</f>
        <v>178.4</v>
      </c>
      <c r="BD23" s="26">
        <f>IFERROR(__xludf.DUMMYFUNCTION("""COMPUTED_VALUE"""),575.89)</f>
        <v>575.89</v>
      </c>
      <c r="BE23" s="26">
        <f>IFERROR(__xludf.DUMMYFUNCTION("""COMPUTED_VALUE"""),205.31)</f>
        <v>205.31</v>
      </c>
      <c r="BF23" s="26">
        <f>IFERROR(__xludf.DUMMYFUNCTION("""COMPUTED_VALUE"""),139.03)</f>
        <v>139.03</v>
      </c>
      <c r="BG23" s="26">
        <f>IFERROR(__xludf.DUMMYFUNCTION("""COMPUTED_VALUE"""),6.82)</f>
        <v>6.82</v>
      </c>
      <c r="BH23" s="26">
        <f>IFERROR(__xludf.DUMMYFUNCTION("""COMPUTED_VALUE"""),227.41)</f>
        <v>227.41</v>
      </c>
      <c r="BI23" s="26">
        <f>IFERROR(__xludf.DUMMYFUNCTION("""COMPUTED_VALUE"""),496.22)</f>
        <v>496.22</v>
      </c>
      <c r="BJ23" s="26">
        <f>IFERROR(__xludf.DUMMYFUNCTION("""COMPUTED_VALUE"""),48.29)</f>
        <v>48.29</v>
      </c>
      <c r="BK23" s="26">
        <f>IFERROR(__xludf.DUMMYFUNCTION("""COMPUTED_VALUE"""),10.64)</f>
        <v>10.64</v>
      </c>
      <c r="BL23" s="26">
        <f>IFERROR(__xludf.DUMMYFUNCTION("""COMPUTED_VALUE"""),202.13)</f>
        <v>202.13</v>
      </c>
      <c r="BM23" s="26">
        <f>IFERROR(__xludf.DUMMYFUNCTION("""COMPUTED_VALUE"""),100.87)</f>
        <v>100.87</v>
      </c>
    </row>
    <row r="24">
      <c r="A24" s="25">
        <v>45455.66666666667</v>
      </c>
      <c r="B24" s="17">
        <f>IFERROR(__xludf.DUMMYFUNCTION("""COMPUTED_VALUE"""),5421.03)</f>
        <v>5421.03</v>
      </c>
      <c r="C24" s="17">
        <f>IFERROR(__xludf.DUMMYFUNCTION("""COMPUTED_VALUE"""),17608.44)</f>
        <v>17608.44</v>
      </c>
      <c r="D24" s="17">
        <f>IFERROR(__xludf.DUMMYFUNCTION("""COMPUTED_VALUE"""),38712.21)</f>
        <v>38712.21</v>
      </c>
      <c r="E24" s="17">
        <f>IFERROR(__xludf.DUMMYFUNCTION("""COMPUTED_VALUE"""),2057.1)</f>
        <v>2057.1</v>
      </c>
      <c r="F24" s="26">
        <f>IFERROR(__xludf.DUMMYFUNCTION("""COMPUTED_VALUE"""),459.87)</f>
        <v>459.87</v>
      </c>
      <c r="G24" s="26">
        <f>IFERROR(__xludf.DUMMYFUNCTION("""COMPUTED_VALUE"""),186.89)</f>
        <v>186.89</v>
      </c>
      <c r="H24" s="26">
        <f>IFERROR(__xludf.DUMMYFUNCTION("""COMPUTED_VALUE"""),128.13)</f>
        <v>128.13</v>
      </c>
      <c r="I24" s="26">
        <f>IFERROR(__xludf.DUMMYFUNCTION("""COMPUTED_VALUE"""),213.07)</f>
        <v>213.07</v>
      </c>
      <c r="J24" s="26">
        <f>IFERROR(__xludf.DUMMYFUNCTION("""COMPUTED_VALUE"""),237.65)</f>
        <v>237.65</v>
      </c>
      <c r="K24" s="26">
        <f>IFERROR(__xludf.DUMMYFUNCTION("""COMPUTED_VALUE"""),58.61)</f>
        <v>58.61</v>
      </c>
      <c r="L24" s="26">
        <f>IFERROR(__xludf.DUMMYFUNCTION("""COMPUTED_VALUE"""),10.77)</f>
        <v>10.77</v>
      </c>
      <c r="M24" s="26">
        <f>IFERROR(__xludf.DUMMYFUNCTION("""COMPUTED_VALUE"""),408.77)</f>
        <v>408.77</v>
      </c>
      <c r="N24" s="26">
        <f>IFERROR(__xludf.DUMMYFUNCTION("""COMPUTED_VALUE"""),57.39)</f>
        <v>57.39</v>
      </c>
      <c r="O24" s="26">
        <f>IFERROR(__xludf.DUMMYFUNCTION("""COMPUTED_VALUE"""),230.63)</f>
        <v>230.63</v>
      </c>
      <c r="P24" s="26">
        <f>IFERROR(__xludf.DUMMYFUNCTION("""COMPUTED_VALUE"""),64.38)</f>
        <v>64.38</v>
      </c>
      <c r="Q24" s="26">
        <f>IFERROR(__xludf.DUMMYFUNCTION("""COMPUTED_VALUE"""),328.73)</f>
        <v>328.73</v>
      </c>
      <c r="R24" s="26">
        <f>IFERROR(__xludf.DUMMYFUNCTION("""COMPUTED_VALUE"""),52.44)</f>
        <v>52.44</v>
      </c>
      <c r="S24" s="26">
        <f>IFERROR(__xludf.DUMMYFUNCTION("""COMPUTED_VALUE"""),158.0)</f>
        <v>158</v>
      </c>
      <c r="T24" s="26">
        <f>IFERROR(__xludf.DUMMYFUNCTION("""COMPUTED_VALUE"""),154.22)</f>
        <v>154.22</v>
      </c>
      <c r="U24" s="26">
        <f>IFERROR(__xludf.DUMMYFUNCTION("""COMPUTED_VALUE"""),336.05)</f>
        <v>336.05</v>
      </c>
      <c r="V24" s="26">
        <f>IFERROR(__xludf.DUMMYFUNCTION("""COMPUTED_VALUE"""),35.16)</f>
        <v>35.16</v>
      </c>
      <c r="W24" s="26">
        <f>IFERROR(__xludf.DUMMYFUNCTION("""COMPUTED_VALUE"""),62.88)</f>
        <v>62.88</v>
      </c>
      <c r="X24" s="26">
        <f>IFERROR(__xludf.DUMMYFUNCTION("""COMPUTED_VALUE"""),91.14)</f>
        <v>91.14</v>
      </c>
      <c r="Y24" s="26">
        <f>IFERROR(__xludf.DUMMYFUNCTION("""COMPUTED_VALUE"""),149.59)</f>
        <v>149.59</v>
      </c>
      <c r="Z24" s="26">
        <f>IFERROR(__xludf.DUMMYFUNCTION("""COMPUTED_VALUE"""),108.87)</f>
        <v>108.87</v>
      </c>
      <c r="AA24" s="26">
        <f>IFERROR(__xludf.DUMMYFUNCTION("""COMPUTED_VALUE"""),531.4)</f>
        <v>531.4</v>
      </c>
      <c r="AB24" s="26">
        <f>IFERROR(__xludf.DUMMYFUNCTION("""COMPUTED_VALUE"""),53.19)</f>
        <v>53.19</v>
      </c>
      <c r="AC24" s="26">
        <f>IFERROR(__xludf.DUMMYFUNCTION("""COMPUTED_VALUE"""),110.93)</f>
        <v>110.93</v>
      </c>
      <c r="AD24" s="26">
        <f>IFERROR(__xludf.DUMMYFUNCTION("""COMPUTED_VALUE"""),248.6)</f>
        <v>248.6</v>
      </c>
      <c r="AE24" s="26">
        <f>IFERROR(__xludf.DUMMYFUNCTION("""COMPUTED_VALUE"""),427.36)</f>
        <v>427.36</v>
      </c>
      <c r="AF24" s="26">
        <f>IFERROR(__xludf.DUMMYFUNCTION("""COMPUTED_VALUE"""),294.34)</f>
        <v>294.34</v>
      </c>
      <c r="AG24" s="26">
        <f>IFERROR(__xludf.DUMMYFUNCTION("""COMPUTED_VALUE"""),48.86)</f>
        <v>48.86</v>
      </c>
      <c r="AH24" s="26">
        <f>IFERROR(__xludf.DUMMYFUNCTION("""COMPUTED_VALUE"""),64.34)</f>
        <v>64.34</v>
      </c>
      <c r="AI24" s="26">
        <f>IFERROR(__xludf.DUMMYFUNCTION("""COMPUTED_VALUE"""),448.7)</f>
        <v>448.7</v>
      </c>
      <c r="AJ24" s="26">
        <f>IFERROR(__xludf.DUMMYFUNCTION("""COMPUTED_VALUE"""),344.14)</f>
        <v>344.14</v>
      </c>
      <c r="AK24" s="26">
        <f>IFERROR(__xludf.DUMMYFUNCTION("""COMPUTED_VALUE"""),97.44)</f>
        <v>97.44</v>
      </c>
      <c r="AL24" s="26">
        <f>IFERROR(__xludf.DUMMYFUNCTION("""COMPUTED_VALUE"""),136.05)</f>
        <v>136.05</v>
      </c>
      <c r="AM24" s="26">
        <f>IFERROR(__xludf.DUMMYFUNCTION("""COMPUTED_VALUE"""),428.1)</f>
        <v>428.1</v>
      </c>
      <c r="AN24" s="26">
        <f>IFERROR(__xludf.DUMMYFUNCTION("""COMPUTED_VALUE"""),191.53)</f>
        <v>191.53</v>
      </c>
      <c r="AO24" s="26">
        <f>IFERROR(__xludf.DUMMYFUNCTION("""COMPUTED_VALUE"""),459.11)</f>
        <v>459.11</v>
      </c>
      <c r="AP24" s="26">
        <f>IFERROR(__xludf.DUMMYFUNCTION("""COMPUTED_VALUE"""),309.81)</f>
        <v>309.81</v>
      </c>
      <c r="AQ24" s="26">
        <f>IFERROR(__xludf.DUMMYFUNCTION("""COMPUTED_VALUE"""),25.8)</f>
        <v>25.8</v>
      </c>
      <c r="AR24" s="26">
        <f>IFERROR(__xludf.DUMMYFUNCTION("""COMPUTED_VALUE"""),82.23)</f>
        <v>82.23</v>
      </c>
      <c r="AS24" s="26">
        <f>IFERROR(__xludf.DUMMYFUNCTION("""COMPUTED_VALUE"""),69.02)</f>
        <v>69.02</v>
      </c>
      <c r="AT24" s="26">
        <f>IFERROR(__xludf.DUMMYFUNCTION("""COMPUTED_VALUE"""),441.06)</f>
        <v>441.06</v>
      </c>
      <c r="AU24" s="26">
        <f>IFERROR(__xludf.DUMMYFUNCTION("""COMPUTED_VALUE"""),72.26)</f>
        <v>72.26</v>
      </c>
      <c r="AV24" s="26">
        <f>IFERROR(__xludf.DUMMYFUNCTION("""COMPUTED_VALUE"""),125.2)</f>
        <v>125.2</v>
      </c>
      <c r="AW24" s="26">
        <f>IFERROR(__xludf.DUMMYFUNCTION("""COMPUTED_VALUE"""),97.45)</f>
        <v>97.45</v>
      </c>
      <c r="AX24" s="26">
        <f>IFERROR(__xludf.DUMMYFUNCTION("""COMPUTED_VALUE"""),43.63)</f>
        <v>43.63</v>
      </c>
      <c r="AY24" s="26">
        <f>IFERROR(__xludf.DUMMYFUNCTION("""COMPUTED_VALUE"""),23.77)</f>
        <v>23.77</v>
      </c>
      <c r="AZ24" s="26">
        <f>IFERROR(__xludf.DUMMYFUNCTION("""COMPUTED_VALUE"""),63.43)</f>
        <v>63.43</v>
      </c>
      <c r="BA24" s="26">
        <f>IFERROR(__xludf.DUMMYFUNCTION("""COMPUTED_VALUE"""),27.66)</f>
        <v>27.66</v>
      </c>
      <c r="BB24" s="26">
        <f>IFERROR(__xludf.DUMMYFUNCTION("""COMPUTED_VALUE"""),106.77)</f>
        <v>106.77</v>
      </c>
      <c r="BC24" s="26">
        <f>IFERROR(__xludf.DUMMYFUNCTION("""COMPUTED_VALUE"""),173.79)</f>
        <v>173.79</v>
      </c>
      <c r="BD24" s="26">
        <f>IFERROR(__xludf.DUMMYFUNCTION("""COMPUTED_VALUE"""),575.69)</f>
        <v>575.69</v>
      </c>
      <c r="BE24" s="26">
        <f>IFERROR(__xludf.DUMMYFUNCTION("""COMPUTED_VALUE"""),205.65)</f>
        <v>205.65</v>
      </c>
      <c r="BF24" s="26">
        <f>IFERROR(__xludf.DUMMYFUNCTION("""COMPUTED_VALUE"""),141.88)</f>
        <v>141.88</v>
      </c>
      <c r="BG24" s="26">
        <f>IFERROR(__xludf.DUMMYFUNCTION("""COMPUTED_VALUE"""),6.78)</f>
        <v>6.78</v>
      </c>
      <c r="BH24" s="26">
        <f>IFERROR(__xludf.DUMMYFUNCTION("""COMPUTED_VALUE"""),226.47)</f>
        <v>226.47</v>
      </c>
      <c r="BI24" s="26">
        <f>IFERROR(__xludf.DUMMYFUNCTION("""COMPUTED_VALUE"""),493.07)</f>
        <v>493.07</v>
      </c>
      <c r="BJ24" s="26">
        <f>IFERROR(__xludf.DUMMYFUNCTION("""COMPUTED_VALUE"""),48.27)</f>
        <v>48.27</v>
      </c>
      <c r="BK24" s="26">
        <f>IFERROR(__xludf.DUMMYFUNCTION("""COMPUTED_VALUE"""),10.63)</f>
        <v>10.63</v>
      </c>
      <c r="BL24" s="26">
        <f>IFERROR(__xludf.DUMMYFUNCTION("""COMPUTED_VALUE"""),200.87)</f>
        <v>200.87</v>
      </c>
      <c r="BM24" s="26">
        <f>IFERROR(__xludf.DUMMYFUNCTION("""COMPUTED_VALUE"""),100.8)</f>
        <v>100.8</v>
      </c>
    </row>
    <row r="25">
      <c r="A25" s="25">
        <v>45456.66666666667</v>
      </c>
      <c r="B25" s="17">
        <f>IFERROR(__xludf.DUMMYFUNCTION("""COMPUTED_VALUE"""),5433.74)</f>
        <v>5433.74</v>
      </c>
      <c r="C25" s="17">
        <f>IFERROR(__xludf.DUMMYFUNCTION("""COMPUTED_VALUE"""),17667.56)</f>
        <v>17667.56</v>
      </c>
      <c r="D25" s="17">
        <f>IFERROR(__xludf.DUMMYFUNCTION("""COMPUTED_VALUE"""),38647.1)</f>
        <v>38647.1</v>
      </c>
      <c r="E25" s="17">
        <f>IFERROR(__xludf.DUMMYFUNCTION("""COMPUTED_VALUE"""),2038.91)</f>
        <v>2038.91</v>
      </c>
      <c r="F25" s="26">
        <f>IFERROR(__xludf.DUMMYFUNCTION("""COMPUTED_VALUE"""),458.74)</f>
        <v>458.74</v>
      </c>
      <c r="G25" s="26">
        <f>IFERROR(__xludf.DUMMYFUNCTION("""COMPUTED_VALUE"""),183.83)</f>
        <v>183.83</v>
      </c>
      <c r="H25" s="26">
        <f>IFERROR(__xludf.DUMMYFUNCTION("""COMPUTED_VALUE"""),129.22)</f>
        <v>129.22</v>
      </c>
      <c r="I25" s="26">
        <f>IFERROR(__xludf.DUMMYFUNCTION("""COMPUTED_VALUE"""),214.24)</f>
        <v>214.24</v>
      </c>
      <c r="J25" s="26">
        <f>IFERROR(__xludf.DUMMYFUNCTION("""COMPUTED_VALUE"""),237.55)</f>
        <v>237.55</v>
      </c>
      <c r="K25" s="26">
        <f>IFERROR(__xludf.DUMMYFUNCTION("""COMPUTED_VALUE"""),58.5)</f>
        <v>58.5</v>
      </c>
      <c r="L25" s="26">
        <f>IFERROR(__xludf.DUMMYFUNCTION("""COMPUTED_VALUE"""),10.6)</f>
        <v>10.6</v>
      </c>
      <c r="M25" s="26">
        <f>IFERROR(__xludf.DUMMYFUNCTION("""COMPUTED_VALUE"""),405.92)</f>
        <v>405.92</v>
      </c>
      <c r="N25" s="26">
        <f>IFERROR(__xludf.DUMMYFUNCTION("""COMPUTED_VALUE"""),57.35)</f>
        <v>57.35</v>
      </c>
      <c r="O25" s="26">
        <f>IFERROR(__xludf.DUMMYFUNCTION("""COMPUTED_VALUE"""),233.84)</f>
        <v>233.84</v>
      </c>
      <c r="P25" s="26">
        <f>IFERROR(__xludf.DUMMYFUNCTION("""COMPUTED_VALUE"""),63.99)</f>
        <v>63.99</v>
      </c>
      <c r="Q25" s="26">
        <f>IFERROR(__xludf.DUMMYFUNCTION("""COMPUTED_VALUE"""),326.36)</f>
        <v>326.36</v>
      </c>
      <c r="R25" s="26">
        <f>IFERROR(__xludf.DUMMYFUNCTION("""COMPUTED_VALUE"""),52.92)</f>
        <v>52.92</v>
      </c>
      <c r="S25" s="26">
        <f>IFERROR(__xludf.DUMMYFUNCTION("""COMPUTED_VALUE"""),157.56)</f>
        <v>157.56</v>
      </c>
      <c r="T25" s="26">
        <f>IFERROR(__xludf.DUMMYFUNCTION("""COMPUTED_VALUE"""),152.84)</f>
        <v>152.84</v>
      </c>
      <c r="U25" s="26">
        <f>IFERROR(__xludf.DUMMYFUNCTION("""COMPUTED_VALUE"""),334.15)</f>
        <v>334.15</v>
      </c>
      <c r="V25" s="26">
        <f>IFERROR(__xludf.DUMMYFUNCTION("""COMPUTED_VALUE"""),34.49)</f>
        <v>34.49</v>
      </c>
      <c r="W25" s="26">
        <f>IFERROR(__xludf.DUMMYFUNCTION("""COMPUTED_VALUE"""),62.99)</f>
        <v>62.99</v>
      </c>
      <c r="X25" s="26">
        <f>IFERROR(__xludf.DUMMYFUNCTION("""COMPUTED_VALUE"""),90.61)</f>
        <v>90.61</v>
      </c>
      <c r="Y25" s="26">
        <f>IFERROR(__xludf.DUMMYFUNCTION("""COMPUTED_VALUE"""),149.76)</f>
        <v>149.76</v>
      </c>
      <c r="Z25" s="26">
        <f>IFERROR(__xludf.DUMMYFUNCTION("""COMPUTED_VALUE"""),106.53)</f>
        <v>106.53</v>
      </c>
      <c r="AA25" s="26">
        <f>IFERROR(__xludf.DUMMYFUNCTION("""COMPUTED_VALUE"""),528.75)</f>
        <v>528.75</v>
      </c>
      <c r="AB25" s="26">
        <f>IFERROR(__xludf.DUMMYFUNCTION("""COMPUTED_VALUE"""),53.69)</f>
        <v>53.69</v>
      </c>
      <c r="AC25" s="26">
        <f>IFERROR(__xludf.DUMMYFUNCTION("""COMPUTED_VALUE"""),110.04)</f>
        <v>110.04</v>
      </c>
      <c r="AD25" s="26">
        <f>IFERROR(__xludf.DUMMYFUNCTION("""COMPUTED_VALUE"""),248.6)</f>
        <v>248.6</v>
      </c>
      <c r="AE25" s="26">
        <f>IFERROR(__xludf.DUMMYFUNCTION("""COMPUTED_VALUE"""),416.68)</f>
        <v>416.68</v>
      </c>
      <c r="AF25" s="26">
        <f>IFERROR(__xludf.DUMMYFUNCTION("""COMPUTED_VALUE"""),292.52)</f>
        <v>292.52</v>
      </c>
      <c r="AG25" s="26">
        <f>IFERROR(__xludf.DUMMYFUNCTION("""COMPUTED_VALUE"""),47.65)</f>
        <v>47.65</v>
      </c>
      <c r="AH25" s="26">
        <f>IFERROR(__xludf.DUMMYFUNCTION("""COMPUTED_VALUE"""),63.56)</f>
        <v>63.56</v>
      </c>
      <c r="AI25" s="26">
        <f>IFERROR(__xludf.DUMMYFUNCTION("""COMPUTED_VALUE"""),446.35)</f>
        <v>446.35</v>
      </c>
      <c r="AJ25" s="26">
        <f>IFERROR(__xludf.DUMMYFUNCTION("""COMPUTED_VALUE"""),347.88)</f>
        <v>347.88</v>
      </c>
      <c r="AK25" s="26">
        <f>IFERROR(__xludf.DUMMYFUNCTION("""COMPUTED_VALUE"""),96.17)</f>
        <v>96.17</v>
      </c>
      <c r="AL25" s="26">
        <f>IFERROR(__xludf.DUMMYFUNCTION("""COMPUTED_VALUE"""),135.26)</f>
        <v>135.26</v>
      </c>
      <c r="AM25" s="26">
        <f>IFERROR(__xludf.DUMMYFUNCTION("""COMPUTED_VALUE"""),422.9)</f>
        <v>422.9</v>
      </c>
      <c r="AN25" s="26">
        <f>IFERROR(__xludf.DUMMYFUNCTION("""COMPUTED_VALUE"""),193.66)</f>
        <v>193.66</v>
      </c>
      <c r="AO25" s="26">
        <f>IFERROR(__xludf.DUMMYFUNCTION("""COMPUTED_VALUE"""),458.56)</f>
        <v>458.56</v>
      </c>
      <c r="AP25" s="26">
        <f>IFERROR(__xludf.DUMMYFUNCTION("""COMPUTED_VALUE"""),307.49)</f>
        <v>307.49</v>
      </c>
      <c r="AQ25" s="26">
        <f>IFERROR(__xludf.DUMMYFUNCTION("""COMPUTED_VALUE"""),25.18)</f>
        <v>25.18</v>
      </c>
      <c r="AR25" s="26">
        <f>IFERROR(__xludf.DUMMYFUNCTION("""COMPUTED_VALUE"""),81.66)</f>
        <v>81.66</v>
      </c>
      <c r="AS25" s="26">
        <f>IFERROR(__xludf.DUMMYFUNCTION("""COMPUTED_VALUE"""),68.66)</f>
        <v>68.66</v>
      </c>
      <c r="AT25" s="26">
        <f>IFERROR(__xludf.DUMMYFUNCTION("""COMPUTED_VALUE"""),441.58)</f>
        <v>441.58</v>
      </c>
      <c r="AU25" s="26">
        <f>IFERROR(__xludf.DUMMYFUNCTION("""COMPUTED_VALUE"""),73.18)</f>
        <v>73.18</v>
      </c>
      <c r="AV25" s="26">
        <f>IFERROR(__xludf.DUMMYFUNCTION("""COMPUTED_VALUE"""),129.61)</f>
        <v>129.61</v>
      </c>
      <c r="AW25" s="26">
        <f>IFERROR(__xludf.DUMMYFUNCTION("""COMPUTED_VALUE"""),97.44)</f>
        <v>97.44</v>
      </c>
      <c r="AX25" s="26">
        <f>IFERROR(__xludf.DUMMYFUNCTION("""COMPUTED_VALUE"""),42.9)</f>
        <v>42.9</v>
      </c>
      <c r="AY25" s="26">
        <f>IFERROR(__xludf.DUMMYFUNCTION("""COMPUTED_VALUE"""),23.27)</f>
        <v>23.27</v>
      </c>
      <c r="AZ25" s="26">
        <f>IFERROR(__xludf.DUMMYFUNCTION("""COMPUTED_VALUE"""),61.54)</f>
        <v>61.54</v>
      </c>
      <c r="BA25" s="26">
        <f>IFERROR(__xludf.DUMMYFUNCTION("""COMPUTED_VALUE"""),27.65)</f>
        <v>27.65</v>
      </c>
      <c r="BB25" s="26">
        <f>IFERROR(__xludf.DUMMYFUNCTION("""COMPUTED_VALUE"""),105.03)</f>
        <v>105.03</v>
      </c>
      <c r="BC25" s="26">
        <f>IFERROR(__xludf.DUMMYFUNCTION("""COMPUTED_VALUE"""),175.11)</f>
        <v>175.11</v>
      </c>
      <c r="BD25" s="26">
        <f>IFERROR(__xludf.DUMMYFUNCTION("""COMPUTED_VALUE"""),572.63)</f>
        <v>572.63</v>
      </c>
      <c r="BE25" s="26">
        <f>IFERROR(__xludf.DUMMYFUNCTION("""COMPUTED_VALUE"""),199.35)</f>
        <v>199.35</v>
      </c>
      <c r="BF25" s="26">
        <f>IFERROR(__xludf.DUMMYFUNCTION("""COMPUTED_VALUE"""),143.4)</f>
        <v>143.4</v>
      </c>
      <c r="BG25" s="26">
        <f>IFERROR(__xludf.DUMMYFUNCTION("""COMPUTED_VALUE"""),6.76)</f>
        <v>6.76</v>
      </c>
      <c r="BH25" s="26">
        <f>IFERROR(__xludf.DUMMYFUNCTION("""COMPUTED_VALUE"""),222.12)</f>
        <v>222.12</v>
      </c>
      <c r="BI25" s="26">
        <f>IFERROR(__xludf.DUMMYFUNCTION("""COMPUTED_VALUE"""),497.3)</f>
        <v>497.3</v>
      </c>
      <c r="BJ25" s="26">
        <f>IFERROR(__xludf.DUMMYFUNCTION("""COMPUTED_VALUE"""),48.35)</f>
        <v>48.35</v>
      </c>
      <c r="BK25" s="26">
        <f>IFERROR(__xludf.DUMMYFUNCTION("""COMPUTED_VALUE"""),10.39)</f>
        <v>10.39</v>
      </c>
      <c r="BL25" s="26">
        <f>IFERROR(__xludf.DUMMYFUNCTION("""COMPUTED_VALUE"""),201.22)</f>
        <v>201.22</v>
      </c>
      <c r="BM25" s="26">
        <f>IFERROR(__xludf.DUMMYFUNCTION("""COMPUTED_VALUE"""),100.09)</f>
        <v>100.09</v>
      </c>
    </row>
    <row r="26">
      <c r="A26" s="25">
        <v>45457.66666666667</v>
      </c>
      <c r="B26" s="17">
        <f>IFERROR(__xludf.DUMMYFUNCTION("""COMPUTED_VALUE"""),5431.6)</f>
        <v>5431.6</v>
      </c>
      <c r="C26" s="17">
        <f>IFERROR(__xludf.DUMMYFUNCTION("""COMPUTED_VALUE"""),17688.88)</f>
        <v>17688.88</v>
      </c>
      <c r="D26" s="17">
        <f>IFERROR(__xludf.DUMMYFUNCTION("""COMPUTED_VALUE"""),38589.16)</f>
        <v>38589.16</v>
      </c>
      <c r="E26" s="17">
        <f>IFERROR(__xludf.DUMMYFUNCTION("""COMPUTED_VALUE"""),2006.16)</f>
        <v>2006.16</v>
      </c>
      <c r="F26" s="26">
        <f>IFERROR(__xludf.DUMMYFUNCTION("""COMPUTED_VALUE"""),525.31)</f>
        <v>525.31</v>
      </c>
      <c r="G26" s="26">
        <f>IFERROR(__xludf.DUMMYFUNCTION("""COMPUTED_VALUE"""),183.66)</f>
        <v>183.66</v>
      </c>
      <c r="H26" s="26">
        <f>IFERROR(__xludf.DUMMYFUNCTION("""COMPUTED_VALUE"""),129.3)</f>
        <v>129.3</v>
      </c>
      <c r="I26" s="26">
        <f>IFERROR(__xludf.DUMMYFUNCTION("""COMPUTED_VALUE"""),212.49)</f>
        <v>212.49</v>
      </c>
      <c r="J26" s="26">
        <f>IFERROR(__xludf.DUMMYFUNCTION("""COMPUTED_VALUE"""),237.03)</f>
        <v>237.03</v>
      </c>
      <c r="K26" s="26">
        <f>IFERROR(__xludf.DUMMYFUNCTION("""COMPUTED_VALUE"""),58.02)</f>
        <v>58.02</v>
      </c>
      <c r="L26" s="26">
        <f>IFERROR(__xludf.DUMMYFUNCTION("""COMPUTED_VALUE"""),10.41)</f>
        <v>10.41</v>
      </c>
      <c r="M26" s="26">
        <f>IFERROR(__xludf.DUMMYFUNCTION("""COMPUTED_VALUE"""),405.54)</f>
        <v>405.54</v>
      </c>
      <c r="N26" s="26">
        <f>IFERROR(__xludf.DUMMYFUNCTION("""COMPUTED_VALUE"""),56.83)</f>
        <v>56.83</v>
      </c>
      <c r="O26" s="26">
        <f>IFERROR(__xludf.DUMMYFUNCTION("""COMPUTED_VALUE"""),231.69)</f>
        <v>231.69</v>
      </c>
      <c r="P26" s="26">
        <f>IFERROR(__xludf.DUMMYFUNCTION("""COMPUTED_VALUE"""),64.35)</f>
        <v>64.35</v>
      </c>
      <c r="Q26" s="26">
        <f>IFERROR(__xludf.DUMMYFUNCTION("""COMPUTED_VALUE"""),321.47)</f>
        <v>321.47</v>
      </c>
      <c r="R26" s="26">
        <f>IFERROR(__xludf.DUMMYFUNCTION("""COMPUTED_VALUE"""),51.9)</f>
        <v>51.9</v>
      </c>
      <c r="S26" s="26">
        <f>IFERROR(__xludf.DUMMYFUNCTION("""COMPUTED_VALUE"""),156.49)</f>
        <v>156.49</v>
      </c>
      <c r="T26" s="26">
        <f>IFERROR(__xludf.DUMMYFUNCTION("""COMPUTED_VALUE"""),152.57)</f>
        <v>152.57</v>
      </c>
      <c r="U26" s="26">
        <f>IFERROR(__xludf.DUMMYFUNCTION("""COMPUTED_VALUE"""),333.29)</f>
        <v>333.29</v>
      </c>
      <c r="V26" s="26">
        <f>IFERROR(__xludf.DUMMYFUNCTION("""COMPUTED_VALUE"""),34.07)</f>
        <v>34.07</v>
      </c>
      <c r="W26" s="26">
        <f>IFERROR(__xludf.DUMMYFUNCTION("""COMPUTED_VALUE"""),62.55)</f>
        <v>62.55</v>
      </c>
      <c r="X26" s="26">
        <f>IFERROR(__xludf.DUMMYFUNCTION("""COMPUTED_VALUE"""),90.87)</f>
        <v>90.87</v>
      </c>
      <c r="Y26" s="26">
        <f>IFERROR(__xludf.DUMMYFUNCTION("""COMPUTED_VALUE"""),149.92)</f>
        <v>149.92</v>
      </c>
      <c r="Z26" s="26">
        <f>IFERROR(__xludf.DUMMYFUNCTION("""COMPUTED_VALUE"""),106.03)</f>
        <v>106.03</v>
      </c>
      <c r="AA26" s="26">
        <f>IFERROR(__xludf.DUMMYFUNCTION("""COMPUTED_VALUE"""),521.41)</f>
        <v>521.41</v>
      </c>
      <c r="AB26" s="26">
        <f>IFERROR(__xludf.DUMMYFUNCTION("""COMPUTED_VALUE"""),52.13)</f>
        <v>52.13</v>
      </c>
      <c r="AC26" s="26">
        <f>IFERROR(__xludf.DUMMYFUNCTION("""COMPUTED_VALUE"""),109.11)</f>
        <v>109.11</v>
      </c>
      <c r="AD26" s="26">
        <f>IFERROR(__xludf.DUMMYFUNCTION("""COMPUTED_VALUE"""),246.43)</f>
        <v>246.43</v>
      </c>
      <c r="AE26" s="26">
        <f>IFERROR(__xludf.DUMMYFUNCTION("""COMPUTED_VALUE"""),409.98)</f>
        <v>409.98</v>
      </c>
      <c r="AF26" s="26">
        <f>IFERROR(__xludf.DUMMYFUNCTION("""COMPUTED_VALUE"""),291.78)</f>
        <v>291.78</v>
      </c>
      <c r="AG26" s="26">
        <f>IFERROR(__xludf.DUMMYFUNCTION("""COMPUTED_VALUE"""),46.77)</f>
        <v>46.77</v>
      </c>
      <c r="AH26" s="26">
        <f>IFERROR(__xludf.DUMMYFUNCTION("""COMPUTED_VALUE"""),65.06)</f>
        <v>65.06</v>
      </c>
      <c r="AI26" s="26">
        <f>IFERROR(__xludf.DUMMYFUNCTION("""COMPUTED_VALUE"""),446.46)</f>
        <v>446.46</v>
      </c>
      <c r="AJ26" s="26">
        <f>IFERROR(__xludf.DUMMYFUNCTION("""COMPUTED_VALUE"""),346.84)</f>
        <v>346.84</v>
      </c>
      <c r="AK26" s="26">
        <f>IFERROR(__xludf.DUMMYFUNCTION("""COMPUTED_VALUE"""),94.95)</f>
        <v>94.95</v>
      </c>
      <c r="AL26" s="26">
        <f>IFERROR(__xludf.DUMMYFUNCTION("""COMPUTED_VALUE"""),135.67)</f>
        <v>135.67</v>
      </c>
      <c r="AM26" s="26">
        <f>IFERROR(__xludf.DUMMYFUNCTION("""COMPUTED_VALUE"""),425.78)</f>
        <v>425.78</v>
      </c>
      <c r="AN26" s="26">
        <f>IFERROR(__xludf.DUMMYFUNCTION("""COMPUTED_VALUE"""),193.78)</f>
        <v>193.78</v>
      </c>
      <c r="AO26" s="26">
        <f>IFERROR(__xludf.DUMMYFUNCTION("""COMPUTED_VALUE"""),458.34)</f>
        <v>458.34</v>
      </c>
      <c r="AP26" s="26">
        <f>IFERROR(__xludf.DUMMYFUNCTION("""COMPUTED_VALUE"""),306.01)</f>
        <v>306.01</v>
      </c>
      <c r="AQ26" s="26">
        <f>IFERROR(__xludf.DUMMYFUNCTION("""COMPUTED_VALUE"""),25.1)</f>
        <v>25.1</v>
      </c>
      <c r="AR26" s="26">
        <f>IFERROR(__xludf.DUMMYFUNCTION("""COMPUTED_VALUE"""),81.04)</f>
        <v>81.04</v>
      </c>
      <c r="AS26" s="26">
        <f>IFERROR(__xludf.DUMMYFUNCTION("""COMPUTED_VALUE"""),68.55)</f>
        <v>68.55</v>
      </c>
      <c r="AT26" s="26">
        <f>IFERROR(__xludf.DUMMYFUNCTION("""COMPUTED_VALUE"""),442.57)</f>
        <v>442.57</v>
      </c>
      <c r="AU26" s="26">
        <f>IFERROR(__xludf.DUMMYFUNCTION("""COMPUTED_VALUE"""),73.06)</f>
        <v>73.06</v>
      </c>
      <c r="AV26" s="26">
        <f>IFERROR(__xludf.DUMMYFUNCTION("""COMPUTED_VALUE"""),131.88)</f>
        <v>131.88</v>
      </c>
      <c r="AW26" s="26">
        <f>IFERROR(__xludf.DUMMYFUNCTION("""COMPUTED_VALUE"""),97.13)</f>
        <v>97.13</v>
      </c>
      <c r="AX26" s="26">
        <f>IFERROR(__xludf.DUMMYFUNCTION("""COMPUTED_VALUE"""),42.0)</f>
        <v>42</v>
      </c>
      <c r="AY26" s="26">
        <f>IFERROR(__xludf.DUMMYFUNCTION("""COMPUTED_VALUE"""),23.57)</f>
        <v>23.57</v>
      </c>
      <c r="AZ26" s="26">
        <f>IFERROR(__xludf.DUMMYFUNCTION("""COMPUTED_VALUE"""),60.64)</f>
        <v>60.64</v>
      </c>
      <c r="BA26" s="26">
        <f>IFERROR(__xludf.DUMMYFUNCTION("""COMPUTED_VALUE"""),27.53)</f>
        <v>27.53</v>
      </c>
      <c r="BB26" s="26">
        <f>IFERROR(__xludf.DUMMYFUNCTION("""COMPUTED_VALUE"""),104.23)</f>
        <v>104.23</v>
      </c>
      <c r="BC26" s="26">
        <f>IFERROR(__xludf.DUMMYFUNCTION("""COMPUTED_VALUE"""),175.99)</f>
        <v>175.99</v>
      </c>
      <c r="BD26" s="26">
        <f>IFERROR(__xludf.DUMMYFUNCTION("""COMPUTED_VALUE"""),572.05)</f>
        <v>572.05</v>
      </c>
      <c r="BE26" s="26">
        <f>IFERROR(__xludf.DUMMYFUNCTION("""COMPUTED_VALUE"""),197.13)</f>
        <v>197.13</v>
      </c>
      <c r="BF26" s="26">
        <f>IFERROR(__xludf.DUMMYFUNCTION("""COMPUTED_VALUE"""),142.01)</f>
        <v>142.01</v>
      </c>
      <c r="BG26" s="26">
        <f>IFERROR(__xludf.DUMMYFUNCTION("""COMPUTED_VALUE"""),6.68)</f>
        <v>6.68</v>
      </c>
      <c r="BH26" s="26">
        <f>IFERROR(__xludf.DUMMYFUNCTION("""COMPUTED_VALUE"""),222.1)</f>
        <v>222.1</v>
      </c>
      <c r="BI26" s="26">
        <f>IFERROR(__xludf.DUMMYFUNCTION("""COMPUTED_VALUE"""),497.12)</f>
        <v>497.12</v>
      </c>
      <c r="BJ26" s="26">
        <f>IFERROR(__xludf.DUMMYFUNCTION("""COMPUTED_VALUE"""),48.35)</f>
        <v>48.35</v>
      </c>
      <c r="BK26" s="26">
        <f>IFERROR(__xludf.DUMMYFUNCTION("""COMPUTED_VALUE"""),10.17)</f>
        <v>10.17</v>
      </c>
      <c r="BL26" s="26">
        <f>IFERROR(__xludf.DUMMYFUNCTION("""COMPUTED_VALUE"""),203.64)</f>
        <v>203.64</v>
      </c>
      <c r="BM26" s="26">
        <f>IFERROR(__xludf.DUMMYFUNCTION("""COMPUTED_VALUE"""),99.97)</f>
        <v>99.97</v>
      </c>
    </row>
    <row r="27">
      <c r="A27" s="25">
        <v>45460.66666666667</v>
      </c>
      <c r="B27" s="17">
        <f>IFERROR(__xludf.DUMMYFUNCTION("""COMPUTED_VALUE"""),5473.23)</f>
        <v>5473.23</v>
      </c>
      <c r="C27" s="17">
        <f>IFERROR(__xludf.DUMMYFUNCTION("""COMPUTED_VALUE"""),17857.02)</f>
        <v>17857.02</v>
      </c>
      <c r="D27" s="17">
        <f>IFERROR(__xludf.DUMMYFUNCTION("""COMPUTED_VALUE"""),38778.1)</f>
        <v>38778.1</v>
      </c>
      <c r="E27" s="17">
        <f>IFERROR(__xludf.DUMMYFUNCTION("""COMPUTED_VALUE"""),2022.01)</f>
        <v>2022.01</v>
      </c>
      <c r="F27" s="26">
        <f>IFERROR(__xludf.DUMMYFUNCTION("""COMPUTED_VALUE"""),518.74)</f>
        <v>518.74</v>
      </c>
      <c r="G27" s="26">
        <f>IFERROR(__xludf.DUMMYFUNCTION("""COMPUTED_VALUE"""),184.06)</f>
        <v>184.06</v>
      </c>
      <c r="H27" s="26">
        <f>IFERROR(__xludf.DUMMYFUNCTION("""COMPUTED_VALUE"""),128.72)</f>
        <v>128.72</v>
      </c>
      <c r="I27" s="26">
        <f>IFERROR(__xludf.DUMMYFUNCTION("""COMPUTED_VALUE"""),216.67)</f>
        <v>216.67</v>
      </c>
      <c r="J27" s="26">
        <f>IFERROR(__xludf.DUMMYFUNCTION("""COMPUTED_VALUE"""),242.86)</f>
        <v>242.86</v>
      </c>
      <c r="K27" s="26">
        <f>IFERROR(__xludf.DUMMYFUNCTION("""COMPUTED_VALUE"""),58.17)</f>
        <v>58.17</v>
      </c>
      <c r="L27" s="26">
        <f>IFERROR(__xludf.DUMMYFUNCTION("""COMPUTED_VALUE"""),10.59)</f>
        <v>10.59</v>
      </c>
      <c r="M27" s="26">
        <f>IFERROR(__xludf.DUMMYFUNCTION("""COMPUTED_VALUE"""),407.32)</f>
        <v>407.32</v>
      </c>
      <c r="N27" s="26">
        <f>IFERROR(__xludf.DUMMYFUNCTION("""COMPUTED_VALUE"""),56.25)</f>
        <v>56.25</v>
      </c>
      <c r="O27" s="26">
        <f>IFERROR(__xludf.DUMMYFUNCTION("""COMPUTED_VALUE"""),226.46)</f>
        <v>226.46</v>
      </c>
      <c r="P27" s="26">
        <f>IFERROR(__xludf.DUMMYFUNCTION("""COMPUTED_VALUE"""),65.12)</f>
        <v>65.12</v>
      </c>
      <c r="Q27" s="26">
        <f>IFERROR(__xludf.DUMMYFUNCTION("""COMPUTED_VALUE"""),322.4)</f>
        <v>322.4</v>
      </c>
      <c r="R27" s="26">
        <f>IFERROR(__xludf.DUMMYFUNCTION("""COMPUTED_VALUE"""),51.29)</f>
        <v>51.29</v>
      </c>
      <c r="S27" s="26">
        <f>IFERROR(__xludf.DUMMYFUNCTION("""COMPUTED_VALUE"""),157.63)</f>
        <v>157.63</v>
      </c>
      <c r="T27" s="26">
        <f>IFERROR(__xludf.DUMMYFUNCTION("""COMPUTED_VALUE"""),153.19)</f>
        <v>153.19</v>
      </c>
      <c r="U27" s="26">
        <f>IFERROR(__xludf.DUMMYFUNCTION("""COMPUTED_VALUE"""),333.9)</f>
        <v>333.9</v>
      </c>
      <c r="V27" s="26">
        <f>IFERROR(__xludf.DUMMYFUNCTION("""COMPUTED_VALUE"""),34.5)</f>
        <v>34.5</v>
      </c>
      <c r="W27" s="26">
        <f>IFERROR(__xludf.DUMMYFUNCTION("""COMPUTED_VALUE"""),62.62)</f>
        <v>62.62</v>
      </c>
      <c r="X27" s="26">
        <f>IFERROR(__xludf.DUMMYFUNCTION("""COMPUTED_VALUE"""),90.65)</f>
        <v>90.65</v>
      </c>
      <c r="Y27" s="26">
        <f>IFERROR(__xludf.DUMMYFUNCTION("""COMPUTED_VALUE"""),149.01)</f>
        <v>149.01</v>
      </c>
      <c r="Z27" s="26">
        <f>IFERROR(__xludf.DUMMYFUNCTION("""COMPUTED_VALUE"""),108.65)</f>
        <v>108.65</v>
      </c>
      <c r="AA27" s="26">
        <f>IFERROR(__xludf.DUMMYFUNCTION("""COMPUTED_VALUE"""),532.16)</f>
        <v>532.16</v>
      </c>
      <c r="AB27" s="26">
        <f>IFERROR(__xludf.DUMMYFUNCTION("""COMPUTED_VALUE"""),53.14)</f>
        <v>53.14</v>
      </c>
      <c r="AC27" s="26">
        <f>IFERROR(__xludf.DUMMYFUNCTION("""COMPUTED_VALUE"""),108.36)</f>
        <v>108.36</v>
      </c>
      <c r="AD27" s="26">
        <f>IFERROR(__xludf.DUMMYFUNCTION("""COMPUTED_VALUE"""),250.06)</f>
        <v>250.06</v>
      </c>
      <c r="AE27" s="26">
        <f>IFERROR(__xludf.DUMMYFUNCTION("""COMPUTED_VALUE"""),416.06)</f>
        <v>416.06</v>
      </c>
      <c r="AF27" s="26">
        <f>IFERROR(__xludf.DUMMYFUNCTION("""COMPUTED_VALUE"""),293.83)</f>
        <v>293.83</v>
      </c>
      <c r="AG27" s="26">
        <f>IFERROR(__xludf.DUMMYFUNCTION("""COMPUTED_VALUE"""),47.4)</f>
        <v>47.4</v>
      </c>
      <c r="AH27" s="26">
        <f>IFERROR(__xludf.DUMMYFUNCTION("""COMPUTED_VALUE"""),64.27)</f>
        <v>64.27</v>
      </c>
      <c r="AI27" s="26">
        <f>IFERROR(__xludf.DUMMYFUNCTION("""COMPUTED_VALUE"""),450.18)</f>
        <v>450.18</v>
      </c>
      <c r="AJ27" s="26">
        <f>IFERROR(__xludf.DUMMYFUNCTION("""COMPUTED_VALUE"""),349.5)</f>
        <v>349.5</v>
      </c>
      <c r="AK27" s="26">
        <f>IFERROR(__xludf.DUMMYFUNCTION("""COMPUTED_VALUE"""),96.74)</f>
        <v>96.74</v>
      </c>
      <c r="AL27" s="26">
        <f>IFERROR(__xludf.DUMMYFUNCTION("""COMPUTED_VALUE"""),136.2)</f>
        <v>136.2</v>
      </c>
      <c r="AM27" s="26">
        <f>IFERROR(__xludf.DUMMYFUNCTION("""COMPUTED_VALUE"""),430.0)</f>
        <v>430</v>
      </c>
      <c r="AN27" s="26">
        <f>IFERROR(__xludf.DUMMYFUNCTION("""COMPUTED_VALUE"""),194.98)</f>
        <v>194.98</v>
      </c>
      <c r="AO27" s="26">
        <f>IFERROR(__xludf.DUMMYFUNCTION("""COMPUTED_VALUE"""),459.01)</f>
        <v>459.01</v>
      </c>
      <c r="AP27" s="26">
        <f>IFERROR(__xludf.DUMMYFUNCTION("""COMPUTED_VALUE"""),312.91)</f>
        <v>312.91</v>
      </c>
      <c r="AQ27" s="26">
        <f>IFERROR(__xludf.DUMMYFUNCTION("""COMPUTED_VALUE"""),25.49)</f>
        <v>25.49</v>
      </c>
      <c r="AR27" s="26">
        <f>IFERROR(__xludf.DUMMYFUNCTION("""COMPUTED_VALUE"""),79.95)</f>
        <v>79.95</v>
      </c>
      <c r="AS27" s="26">
        <f>IFERROR(__xludf.DUMMYFUNCTION("""COMPUTED_VALUE"""),69.38)</f>
        <v>69.38</v>
      </c>
      <c r="AT27" s="26">
        <f>IFERROR(__xludf.DUMMYFUNCTION("""COMPUTED_VALUE"""),448.37)</f>
        <v>448.37</v>
      </c>
      <c r="AU27" s="26">
        <f>IFERROR(__xludf.DUMMYFUNCTION("""COMPUTED_VALUE"""),72.31)</f>
        <v>72.31</v>
      </c>
      <c r="AV27" s="26">
        <f>IFERROR(__xludf.DUMMYFUNCTION("""COMPUTED_VALUE"""),130.98)</f>
        <v>130.98</v>
      </c>
      <c r="AW27" s="26">
        <f>IFERROR(__xludf.DUMMYFUNCTION("""COMPUTED_VALUE"""),97.47)</f>
        <v>97.47</v>
      </c>
      <c r="AX27" s="26">
        <f>IFERROR(__xludf.DUMMYFUNCTION("""COMPUTED_VALUE"""),41.63)</f>
        <v>41.63</v>
      </c>
      <c r="AY27" s="26">
        <f>IFERROR(__xludf.DUMMYFUNCTION("""COMPUTED_VALUE"""),25.02)</f>
        <v>25.02</v>
      </c>
      <c r="AZ27" s="26">
        <f>IFERROR(__xludf.DUMMYFUNCTION("""COMPUTED_VALUE"""),60.13)</f>
        <v>60.13</v>
      </c>
      <c r="BA27" s="26">
        <f>IFERROR(__xludf.DUMMYFUNCTION("""COMPUTED_VALUE"""),26.98)</f>
        <v>26.98</v>
      </c>
      <c r="BB27" s="26">
        <f>IFERROR(__xludf.DUMMYFUNCTION("""COMPUTED_VALUE"""),104.47)</f>
        <v>104.47</v>
      </c>
      <c r="BC27" s="26">
        <f>IFERROR(__xludf.DUMMYFUNCTION("""COMPUTED_VALUE"""),177.38)</f>
        <v>177.38</v>
      </c>
      <c r="BD27" s="26">
        <f>IFERROR(__xludf.DUMMYFUNCTION("""COMPUTED_VALUE"""),568.0)</f>
        <v>568</v>
      </c>
      <c r="BE27" s="26">
        <f>IFERROR(__xludf.DUMMYFUNCTION("""COMPUTED_VALUE"""),195.2)</f>
        <v>195.2</v>
      </c>
      <c r="BF27" s="26">
        <f>IFERROR(__xludf.DUMMYFUNCTION("""COMPUTED_VALUE"""),143.07)</f>
        <v>143.07</v>
      </c>
      <c r="BG27" s="26">
        <f>IFERROR(__xludf.DUMMYFUNCTION("""COMPUTED_VALUE"""),6.94)</f>
        <v>6.94</v>
      </c>
      <c r="BH27" s="26">
        <f>IFERROR(__xludf.DUMMYFUNCTION("""COMPUTED_VALUE"""),221.38)</f>
        <v>221.38</v>
      </c>
      <c r="BI27" s="26">
        <f>IFERROR(__xludf.DUMMYFUNCTION("""COMPUTED_VALUE"""),489.23)</f>
        <v>489.23</v>
      </c>
      <c r="BJ27" s="26">
        <f>IFERROR(__xludf.DUMMYFUNCTION("""COMPUTED_VALUE"""),48.34)</f>
        <v>48.34</v>
      </c>
      <c r="BK27" s="26">
        <f>IFERROR(__xludf.DUMMYFUNCTION("""COMPUTED_VALUE"""),10.11)</f>
        <v>10.11</v>
      </c>
      <c r="BL27" s="26">
        <f>IFERROR(__xludf.DUMMYFUNCTION("""COMPUTED_VALUE"""),206.38)</f>
        <v>206.38</v>
      </c>
      <c r="BM27" s="26">
        <f>IFERROR(__xludf.DUMMYFUNCTION("""COMPUTED_VALUE"""),101.52)</f>
        <v>101.52</v>
      </c>
    </row>
    <row r="28">
      <c r="A28" s="25">
        <v>45461.66666666667</v>
      </c>
      <c r="B28" s="17">
        <f>IFERROR(__xludf.DUMMYFUNCTION("""COMPUTED_VALUE"""),5487.03)</f>
        <v>5487.03</v>
      </c>
      <c r="C28" s="17">
        <f>IFERROR(__xludf.DUMMYFUNCTION("""COMPUTED_VALUE"""),17862.23)</f>
        <v>17862.23</v>
      </c>
      <c r="D28" s="17">
        <f>IFERROR(__xludf.DUMMYFUNCTION("""COMPUTED_VALUE"""),38834.86)</f>
        <v>38834.86</v>
      </c>
      <c r="E28" s="17">
        <f>IFERROR(__xludf.DUMMYFUNCTION("""COMPUTED_VALUE"""),2025.23)</f>
        <v>2025.23</v>
      </c>
      <c r="F28" s="26">
        <f>IFERROR(__xludf.DUMMYFUNCTION("""COMPUTED_VALUE"""),522.25)</f>
        <v>522.25</v>
      </c>
      <c r="G28" s="26">
        <f>IFERROR(__xludf.DUMMYFUNCTION("""COMPUTED_VALUE"""),182.81)</f>
        <v>182.81</v>
      </c>
      <c r="H28" s="26">
        <f>IFERROR(__xludf.DUMMYFUNCTION("""COMPUTED_VALUE"""),130.47)</f>
        <v>130.47</v>
      </c>
      <c r="I28" s="26">
        <f>IFERROR(__xludf.DUMMYFUNCTION("""COMPUTED_VALUE"""),214.29)</f>
        <v>214.29</v>
      </c>
      <c r="J28" s="26">
        <f>IFERROR(__xludf.DUMMYFUNCTION("""COMPUTED_VALUE"""),247.83)</f>
        <v>247.83</v>
      </c>
      <c r="K28" s="26">
        <f>IFERROR(__xludf.DUMMYFUNCTION("""COMPUTED_VALUE"""),58.68)</f>
        <v>58.68</v>
      </c>
      <c r="L28" s="26">
        <f>IFERROR(__xludf.DUMMYFUNCTION("""COMPUTED_VALUE"""),10.56)</f>
        <v>10.56</v>
      </c>
      <c r="M28" s="26">
        <f>IFERROR(__xludf.DUMMYFUNCTION("""COMPUTED_VALUE"""),407.95)</f>
        <v>407.95</v>
      </c>
      <c r="N28" s="26">
        <f>IFERROR(__xludf.DUMMYFUNCTION("""COMPUTED_VALUE"""),56.66)</f>
        <v>56.66</v>
      </c>
      <c r="O28" s="26">
        <f>IFERROR(__xludf.DUMMYFUNCTION("""COMPUTED_VALUE"""),223.65)</f>
        <v>223.65</v>
      </c>
      <c r="P28" s="26">
        <f>IFERROR(__xludf.DUMMYFUNCTION("""COMPUTED_VALUE"""),65.72)</f>
        <v>65.72</v>
      </c>
      <c r="Q28" s="26">
        <f>IFERROR(__xludf.DUMMYFUNCTION("""COMPUTED_VALUE"""),325.14)</f>
        <v>325.14</v>
      </c>
      <c r="R28" s="26">
        <f>IFERROR(__xludf.DUMMYFUNCTION("""COMPUTED_VALUE"""),52.4)</f>
        <v>52.4</v>
      </c>
      <c r="S28" s="26">
        <f>IFERROR(__xludf.DUMMYFUNCTION("""COMPUTED_VALUE"""),159.12)</f>
        <v>159.12</v>
      </c>
      <c r="T28" s="26">
        <f>IFERROR(__xludf.DUMMYFUNCTION("""COMPUTED_VALUE"""),153.33)</f>
        <v>153.33</v>
      </c>
      <c r="U28" s="26">
        <f>IFERROR(__xludf.DUMMYFUNCTION("""COMPUTED_VALUE"""),334.8)</f>
        <v>334.8</v>
      </c>
      <c r="V28" s="26">
        <f>IFERROR(__xludf.DUMMYFUNCTION("""COMPUTED_VALUE"""),34.77)</f>
        <v>34.77</v>
      </c>
      <c r="W28" s="26">
        <f>IFERROR(__xludf.DUMMYFUNCTION("""COMPUTED_VALUE"""),62.63)</f>
        <v>62.63</v>
      </c>
      <c r="X28" s="26">
        <f>IFERROR(__xludf.DUMMYFUNCTION("""COMPUTED_VALUE"""),90.39)</f>
        <v>90.39</v>
      </c>
      <c r="Y28" s="26">
        <f>IFERROR(__xludf.DUMMYFUNCTION("""COMPUTED_VALUE"""),149.56)</f>
        <v>149.56</v>
      </c>
      <c r="Z28" s="26">
        <f>IFERROR(__xludf.DUMMYFUNCTION("""COMPUTED_VALUE"""),107.24)</f>
        <v>107.24</v>
      </c>
      <c r="AA28" s="26">
        <f>IFERROR(__xludf.DUMMYFUNCTION("""COMPUTED_VALUE"""),533.64)</f>
        <v>533.64</v>
      </c>
      <c r="AB28" s="26">
        <f>IFERROR(__xludf.DUMMYFUNCTION("""COMPUTED_VALUE"""),54.55)</f>
        <v>54.55</v>
      </c>
      <c r="AC28" s="26">
        <f>IFERROR(__xludf.DUMMYFUNCTION("""COMPUTED_VALUE"""),109.38)</f>
        <v>109.38</v>
      </c>
      <c r="AD28" s="26">
        <f>IFERROR(__xludf.DUMMYFUNCTION("""COMPUTED_VALUE"""),248.09)</f>
        <v>248.09</v>
      </c>
      <c r="AE28" s="26">
        <f>IFERROR(__xludf.DUMMYFUNCTION("""COMPUTED_VALUE"""),414.36)</f>
        <v>414.36</v>
      </c>
      <c r="AF28" s="26">
        <f>IFERROR(__xludf.DUMMYFUNCTION("""COMPUTED_VALUE"""),298.0)</f>
        <v>298</v>
      </c>
      <c r="AG28" s="26">
        <f>IFERROR(__xludf.DUMMYFUNCTION("""COMPUTED_VALUE"""),47.44)</f>
        <v>47.44</v>
      </c>
      <c r="AH28" s="26">
        <f>IFERROR(__xludf.DUMMYFUNCTION("""COMPUTED_VALUE"""),63.15)</f>
        <v>63.15</v>
      </c>
      <c r="AI28" s="26">
        <f>IFERROR(__xludf.DUMMYFUNCTION("""COMPUTED_VALUE"""),457.43)</f>
        <v>457.43</v>
      </c>
      <c r="AJ28" s="26">
        <f>IFERROR(__xludf.DUMMYFUNCTION("""COMPUTED_VALUE"""),353.87)</f>
        <v>353.87</v>
      </c>
      <c r="AK28" s="26">
        <f>IFERROR(__xludf.DUMMYFUNCTION("""COMPUTED_VALUE"""),96.75)</f>
        <v>96.75</v>
      </c>
      <c r="AL28" s="26">
        <f>IFERROR(__xludf.DUMMYFUNCTION("""COMPUTED_VALUE"""),136.38)</f>
        <v>136.38</v>
      </c>
      <c r="AM28" s="26">
        <f>IFERROR(__xludf.DUMMYFUNCTION("""COMPUTED_VALUE"""),435.0)</f>
        <v>435</v>
      </c>
      <c r="AN28" s="26">
        <f>IFERROR(__xludf.DUMMYFUNCTION("""COMPUTED_VALUE"""),197.0)</f>
        <v>197</v>
      </c>
      <c r="AO28" s="26">
        <f>IFERROR(__xludf.DUMMYFUNCTION("""COMPUTED_VALUE"""),460.0)</f>
        <v>460</v>
      </c>
      <c r="AP28" s="26">
        <f>IFERROR(__xludf.DUMMYFUNCTION("""COMPUTED_VALUE"""),313.23)</f>
        <v>313.23</v>
      </c>
      <c r="AQ28" s="26">
        <f>IFERROR(__xludf.DUMMYFUNCTION("""COMPUTED_VALUE"""),25.55)</f>
        <v>25.55</v>
      </c>
      <c r="AR28" s="26">
        <f>IFERROR(__xludf.DUMMYFUNCTION("""COMPUTED_VALUE"""),79.75)</f>
        <v>79.75</v>
      </c>
      <c r="AS28" s="26">
        <f>IFERROR(__xludf.DUMMYFUNCTION("""COMPUTED_VALUE"""),69.86)</f>
        <v>69.86</v>
      </c>
      <c r="AT28" s="26">
        <f>IFERROR(__xludf.DUMMYFUNCTION("""COMPUTED_VALUE"""),446.34)</f>
        <v>446.34</v>
      </c>
      <c r="AU28" s="26">
        <f>IFERROR(__xludf.DUMMYFUNCTION("""COMPUTED_VALUE"""),70.44)</f>
        <v>70.44</v>
      </c>
      <c r="AV28" s="26">
        <f>IFERROR(__xludf.DUMMYFUNCTION("""COMPUTED_VALUE"""),135.58)</f>
        <v>135.58</v>
      </c>
      <c r="AW28" s="26">
        <f>IFERROR(__xludf.DUMMYFUNCTION("""COMPUTED_VALUE"""),96.5)</f>
        <v>96.5</v>
      </c>
      <c r="AX28" s="26">
        <f>IFERROR(__xludf.DUMMYFUNCTION("""COMPUTED_VALUE"""),42.23)</f>
        <v>42.23</v>
      </c>
      <c r="AY28" s="26">
        <f>IFERROR(__xludf.DUMMYFUNCTION("""COMPUTED_VALUE"""),25.82)</f>
        <v>25.82</v>
      </c>
      <c r="AZ28" s="26">
        <f>IFERROR(__xludf.DUMMYFUNCTION("""COMPUTED_VALUE"""),59.12)</f>
        <v>59.12</v>
      </c>
      <c r="BA28" s="26">
        <f>IFERROR(__xludf.DUMMYFUNCTION("""COMPUTED_VALUE"""),27.41)</f>
        <v>27.41</v>
      </c>
      <c r="BB28" s="26">
        <f>IFERROR(__xludf.DUMMYFUNCTION("""COMPUTED_VALUE"""),104.77)</f>
        <v>104.77</v>
      </c>
      <c r="BC28" s="26">
        <f>IFERROR(__xludf.DUMMYFUNCTION("""COMPUTED_VALUE"""),177.61)</f>
        <v>177.61</v>
      </c>
      <c r="BD28" s="26">
        <f>IFERROR(__xludf.DUMMYFUNCTION("""COMPUTED_VALUE"""),569.17)</f>
        <v>569.17</v>
      </c>
      <c r="BE28" s="26">
        <f>IFERROR(__xludf.DUMMYFUNCTION("""COMPUTED_VALUE"""),194.14)</f>
        <v>194.14</v>
      </c>
      <c r="BF28" s="26">
        <f>IFERROR(__xludf.DUMMYFUNCTION("""COMPUTED_VALUE"""),145.96)</f>
        <v>145.96</v>
      </c>
      <c r="BG28" s="26">
        <f>IFERROR(__xludf.DUMMYFUNCTION("""COMPUTED_VALUE"""),6.95)</f>
        <v>6.95</v>
      </c>
      <c r="BH28" s="26">
        <f>IFERROR(__xludf.DUMMYFUNCTION("""COMPUTED_VALUE"""),222.58)</f>
        <v>222.58</v>
      </c>
      <c r="BI28" s="26">
        <f>IFERROR(__xludf.DUMMYFUNCTION("""COMPUTED_VALUE"""),481.05)</f>
        <v>481.05</v>
      </c>
      <c r="BJ28" s="26">
        <f>IFERROR(__xludf.DUMMYFUNCTION("""COMPUTED_VALUE"""),48.45)</f>
        <v>48.45</v>
      </c>
      <c r="BK28" s="26">
        <f>IFERROR(__xludf.DUMMYFUNCTION("""COMPUTED_VALUE"""),10.05)</f>
        <v>10.05</v>
      </c>
      <c r="BL28" s="26">
        <f>IFERROR(__xludf.DUMMYFUNCTION("""COMPUTED_VALUE"""),207.89)</f>
        <v>207.89</v>
      </c>
      <c r="BM28" s="26">
        <f>IFERROR(__xludf.DUMMYFUNCTION("""COMPUTED_VALUE"""),101.5)</f>
        <v>101.5</v>
      </c>
    </row>
    <row r="29">
      <c r="A29" s="25">
        <v>45463.66666666667</v>
      </c>
      <c r="B29" s="17">
        <f>IFERROR(__xludf.DUMMYFUNCTION("""COMPUTED_VALUE"""),5473.17)</f>
        <v>5473.17</v>
      </c>
      <c r="C29" s="17">
        <f>IFERROR(__xludf.DUMMYFUNCTION("""COMPUTED_VALUE"""),17721.59)</f>
        <v>17721.59</v>
      </c>
      <c r="D29" s="17">
        <f>IFERROR(__xludf.DUMMYFUNCTION("""COMPUTED_VALUE"""),39134.76)</f>
        <v>39134.76</v>
      </c>
      <c r="E29" s="17">
        <f>IFERROR(__xludf.DUMMYFUNCTION("""COMPUTED_VALUE"""),2017.39)</f>
        <v>2017.39</v>
      </c>
      <c r="F29" s="26">
        <f>IFERROR(__xludf.DUMMYFUNCTION("""COMPUTED_VALUE"""),522.95)</f>
        <v>522.95</v>
      </c>
      <c r="G29" s="26">
        <f>IFERROR(__xludf.DUMMYFUNCTION("""COMPUTED_VALUE"""),186.1)</f>
        <v>186.1</v>
      </c>
      <c r="H29" s="26">
        <f>IFERROR(__xludf.DUMMYFUNCTION("""COMPUTED_VALUE"""),130.26)</f>
        <v>130.26</v>
      </c>
      <c r="I29" s="26">
        <f>IFERROR(__xludf.DUMMYFUNCTION("""COMPUTED_VALUE"""),209.68)</f>
        <v>209.68</v>
      </c>
      <c r="J29" s="26">
        <f>IFERROR(__xludf.DUMMYFUNCTION("""COMPUTED_VALUE"""),239.99)</f>
        <v>239.99</v>
      </c>
      <c r="K29" s="26">
        <f>IFERROR(__xludf.DUMMYFUNCTION("""COMPUTED_VALUE"""),58.84)</f>
        <v>58.84</v>
      </c>
      <c r="L29" s="26">
        <f>IFERROR(__xludf.DUMMYFUNCTION("""COMPUTED_VALUE"""),10.72)</f>
        <v>10.72</v>
      </c>
      <c r="M29" s="26">
        <f>IFERROR(__xludf.DUMMYFUNCTION("""COMPUTED_VALUE"""),409.15)</f>
        <v>409.15</v>
      </c>
      <c r="N29" s="26">
        <f>IFERROR(__xludf.DUMMYFUNCTION("""COMPUTED_VALUE"""),57.21)</f>
        <v>57.21</v>
      </c>
      <c r="O29" s="26">
        <f>IFERROR(__xludf.DUMMYFUNCTION("""COMPUTED_VALUE"""),225.58)</f>
        <v>225.58</v>
      </c>
      <c r="P29" s="26">
        <f>IFERROR(__xludf.DUMMYFUNCTION("""COMPUTED_VALUE"""),64.22)</f>
        <v>64.22</v>
      </c>
      <c r="Q29" s="26">
        <f>IFERROR(__xludf.DUMMYFUNCTION("""COMPUTED_VALUE"""),329.13)</f>
        <v>329.13</v>
      </c>
      <c r="R29" s="26">
        <f>IFERROR(__xludf.DUMMYFUNCTION("""COMPUTED_VALUE"""),52.22)</f>
        <v>52.22</v>
      </c>
      <c r="S29" s="26">
        <f>IFERROR(__xludf.DUMMYFUNCTION("""COMPUTED_VALUE"""),158.72)</f>
        <v>158.72</v>
      </c>
      <c r="T29" s="26">
        <f>IFERROR(__xludf.DUMMYFUNCTION("""COMPUTED_VALUE"""),156.64)</f>
        <v>156.64</v>
      </c>
      <c r="U29" s="26">
        <f>IFERROR(__xludf.DUMMYFUNCTION("""COMPUTED_VALUE"""),337.88)</f>
        <v>337.88</v>
      </c>
      <c r="V29" s="26">
        <f>IFERROR(__xludf.DUMMYFUNCTION("""COMPUTED_VALUE"""),34.68)</f>
        <v>34.68</v>
      </c>
      <c r="W29" s="26">
        <f>IFERROR(__xludf.DUMMYFUNCTION("""COMPUTED_VALUE"""),62.18)</f>
        <v>62.18</v>
      </c>
      <c r="X29" s="26">
        <f>IFERROR(__xludf.DUMMYFUNCTION("""COMPUTED_VALUE"""),90.53)</f>
        <v>90.53</v>
      </c>
      <c r="Y29" s="26">
        <f>IFERROR(__xludf.DUMMYFUNCTION("""COMPUTED_VALUE"""),147.89)</f>
        <v>147.89</v>
      </c>
      <c r="Z29" s="26">
        <f>IFERROR(__xludf.DUMMYFUNCTION("""COMPUTED_VALUE"""),107.58)</f>
        <v>107.58</v>
      </c>
      <c r="AA29" s="26">
        <f>IFERROR(__xludf.DUMMYFUNCTION("""COMPUTED_VALUE"""),525.0)</f>
        <v>525</v>
      </c>
      <c r="AB29" s="26">
        <f>IFERROR(__xludf.DUMMYFUNCTION("""COMPUTED_VALUE"""),53.84)</f>
        <v>53.84</v>
      </c>
      <c r="AC29" s="26">
        <f>IFERROR(__xludf.DUMMYFUNCTION("""COMPUTED_VALUE"""),111.74)</f>
        <v>111.74</v>
      </c>
      <c r="AD29" s="26">
        <f>IFERROR(__xludf.DUMMYFUNCTION("""COMPUTED_VALUE"""),252.52)</f>
        <v>252.52</v>
      </c>
      <c r="AE29" s="26">
        <f>IFERROR(__xludf.DUMMYFUNCTION("""COMPUTED_VALUE"""),420.09)</f>
        <v>420.09</v>
      </c>
      <c r="AF29" s="26">
        <f>IFERROR(__xludf.DUMMYFUNCTION("""COMPUTED_VALUE"""),299.63)</f>
        <v>299.63</v>
      </c>
      <c r="AG29" s="26">
        <f>IFERROR(__xludf.DUMMYFUNCTION("""COMPUTED_VALUE"""),47.77)</f>
        <v>47.77</v>
      </c>
      <c r="AH29" s="26">
        <f>IFERROR(__xludf.DUMMYFUNCTION("""COMPUTED_VALUE"""),68.49)</f>
        <v>68.49</v>
      </c>
      <c r="AI29" s="26">
        <f>IFERROR(__xludf.DUMMYFUNCTION("""COMPUTED_VALUE"""),458.05)</f>
        <v>458.05</v>
      </c>
      <c r="AJ29" s="26">
        <f>IFERROR(__xludf.DUMMYFUNCTION("""COMPUTED_VALUE"""),353.44)</f>
        <v>353.44</v>
      </c>
      <c r="AK29" s="26">
        <f>IFERROR(__xludf.DUMMYFUNCTION("""COMPUTED_VALUE"""),97.03)</f>
        <v>97.03</v>
      </c>
      <c r="AL29" s="26">
        <f>IFERROR(__xludf.DUMMYFUNCTION("""COMPUTED_VALUE"""),137.11)</f>
        <v>137.11</v>
      </c>
      <c r="AM29" s="26">
        <f>IFERROR(__xludf.DUMMYFUNCTION("""COMPUTED_VALUE"""),432.55)</f>
        <v>432.55</v>
      </c>
      <c r="AN29" s="26">
        <f>IFERROR(__xludf.DUMMYFUNCTION("""COMPUTED_VALUE"""),198.67)</f>
        <v>198.67</v>
      </c>
      <c r="AO29" s="26">
        <f>IFERROR(__xludf.DUMMYFUNCTION("""COMPUTED_VALUE"""),466.34)</f>
        <v>466.34</v>
      </c>
      <c r="AP29" s="26">
        <f>IFERROR(__xludf.DUMMYFUNCTION("""COMPUTED_VALUE"""),310.77)</f>
        <v>310.77</v>
      </c>
      <c r="AQ29" s="26">
        <f>IFERROR(__xludf.DUMMYFUNCTION("""COMPUTED_VALUE"""),25.74)</f>
        <v>25.74</v>
      </c>
      <c r="AR29" s="26">
        <f>IFERROR(__xludf.DUMMYFUNCTION("""COMPUTED_VALUE"""),80.17)</f>
        <v>80.17</v>
      </c>
      <c r="AS29" s="26">
        <f>IFERROR(__xludf.DUMMYFUNCTION("""COMPUTED_VALUE"""),70.85)</f>
        <v>70.85</v>
      </c>
      <c r="AT29" s="26">
        <f>IFERROR(__xludf.DUMMYFUNCTION("""COMPUTED_VALUE"""),445.7)</f>
        <v>445.7</v>
      </c>
      <c r="AU29" s="26">
        <f>IFERROR(__xludf.DUMMYFUNCTION("""COMPUTED_VALUE"""),72.46)</f>
        <v>72.46</v>
      </c>
      <c r="AV29" s="26">
        <f>IFERROR(__xludf.DUMMYFUNCTION("""COMPUTED_VALUE"""),130.78)</f>
        <v>130.78</v>
      </c>
      <c r="AW29" s="26">
        <f>IFERROR(__xludf.DUMMYFUNCTION("""COMPUTED_VALUE"""),96.6)</f>
        <v>96.6</v>
      </c>
      <c r="AX29" s="26">
        <f>IFERROR(__xludf.DUMMYFUNCTION("""COMPUTED_VALUE"""),41.73)</f>
        <v>41.73</v>
      </c>
      <c r="AY29" s="26">
        <f>IFERROR(__xludf.DUMMYFUNCTION("""COMPUTED_VALUE"""),25.56)</f>
        <v>25.56</v>
      </c>
      <c r="AZ29" s="26">
        <f>IFERROR(__xludf.DUMMYFUNCTION("""COMPUTED_VALUE"""),59.8)</f>
        <v>59.8</v>
      </c>
      <c r="BA29" s="26">
        <f>IFERROR(__xludf.DUMMYFUNCTION("""COMPUTED_VALUE"""),27.74)</f>
        <v>27.74</v>
      </c>
      <c r="BB29" s="26">
        <f>IFERROR(__xludf.DUMMYFUNCTION("""COMPUTED_VALUE"""),105.07)</f>
        <v>105.07</v>
      </c>
      <c r="BC29" s="26">
        <f>IFERROR(__xludf.DUMMYFUNCTION("""COMPUTED_VALUE"""),176.44)</f>
        <v>176.44</v>
      </c>
      <c r="BD29" s="26">
        <f>IFERROR(__xludf.DUMMYFUNCTION("""COMPUTED_VALUE"""),557.21)</f>
        <v>557.21</v>
      </c>
      <c r="BE29" s="26">
        <f>IFERROR(__xludf.DUMMYFUNCTION("""COMPUTED_VALUE"""),194.54)</f>
        <v>194.54</v>
      </c>
      <c r="BF29" s="26">
        <f>IFERROR(__xludf.DUMMYFUNCTION("""COMPUTED_VALUE"""),144.0)</f>
        <v>144</v>
      </c>
      <c r="BG29" s="26">
        <f>IFERROR(__xludf.DUMMYFUNCTION("""COMPUTED_VALUE"""),6.99)</f>
        <v>6.99</v>
      </c>
      <c r="BH29" s="26">
        <f>IFERROR(__xludf.DUMMYFUNCTION("""COMPUTED_VALUE"""),225.17)</f>
        <v>225.17</v>
      </c>
      <c r="BI29" s="26">
        <f>IFERROR(__xludf.DUMMYFUNCTION("""COMPUTED_VALUE"""),484.52)</f>
        <v>484.52</v>
      </c>
      <c r="BJ29" s="26">
        <f>IFERROR(__xludf.DUMMYFUNCTION("""COMPUTED_VALUE"""),48.48)</f>
        <v>48.48</v>
      </c>
      <c r="BK29" s="26">
        <f>IFERROR(__xludf.DUMMYFUNCTION("""COMPUTED_VALUE"""),10.26)</f>
        <v>10.26</v>
      </c>
      <c r="BL29" s="26">
        <f>IFERROR(__xludf.DUMMYFUNCTION("""COMPUTED_VALUE"""),208.77)</f>
        <v>208.77</v>
      </c>
      <c r="BM29" s="26">
        <f>IFERROR(__xludf.DUMMYFUNCTION("""COMPUTED_VALUE"""),101.84)</f>
        <v>101.84</v>
      </c>
    </row>
    <row r="30">
      <c r="A30" s="25">
        <v>45464.66666666667</v>
      </c>
      <c r="B30" s="17">
        <f>IFERROR(__xludf.DUMMYFUNCTION("""COMPUTED_VALUE"""),5464.62)</f>
        <v>5464.62</v>
      </c>
      <c r="C30" s="17">
        <f>IFERROR(__xludf.DUMMYFUNCTION("""COMPUTED_VALUE"""),17689.36)</f>
        <v>17689.36</v>
      </c>
      <c r="D30" s="17">
        <f>IFERROR(__xludf.DUMMYFUNCTION("""COMPUTED_VALUE"""),39150.33)</f>
        <v>39150.33</v>
      </c>
      <c r="E30" s="17">
        <f>IFERROR(__xludf.DUMMYFUNCTION("""COMPUTED_VALUE"""),2022.03)</f>
        <v>2022.03</v>
      </c>
      <c r="F30" s="26">
        <f>IFERROR(__xludf.DUMMYFUNCTION("""COMPUTED_VALUE"""),533.44)</f>
        <v>533.44</v>
      </c>
      <c r="G30" s="26">
        <f>IFERROR(__xludf.DUMMYFUNCTION("""COMPUTED_VALUE"""),189.08)</f>
        <v>189.08</v>
      </c>
      <c r="H30" s="26">
        <f>IFERROR(__xludf.DUMMYFUNCTION("""COMPUTED_VALUE"""),130.54)</f>
        <v>130.54</v>
      </c>
      <c r="I30" s="26">
        <f>IFERROR(__xludf.DUMMYFUNCTION("""COMPUTED_VALUE"""),207.49)</f>
        <v>207.49</v>
      </c>
      <c r="J30" s="26">
        <f>IFERROR(__xludf.DUMMYFUNCTION("""COMPUTED_VALUE"""),235.41)</f>
        <v>235.41</v>
      </c>
      <c r="K30" s="26">
        <f>IFERROR(__xludf.DUMMYFUNCTION("""COMPUTED_VALUE"""),58.82)</f>
        <v>58.82</v>
      </c>
      <c r="L30" s="26">
        <f>IFERROR(__xludf.DUMMYFUNCTION("""COMPUTED_VALUE"""),10.44)</f>
        <v>10.44</v>
      </c>
      <c r="M30" s="26">
        <f>IFERROR(__xludf.DUMMYFUNCTION("""COMPUTED_VALUE"""),409.62)</f>
        <v>409.62</v>
      </c>
      <c r="N30" s="26">
        <f>IFERROR(__xludf.DUMMYFUNCTION("""COMPUTED_VALUE"""),56.58)</f>
        <v>56.58</v>
      </c>
      <c r="O30" s="26">
        <f>IFERROR(__xludf.DUMMYFUNCTION("""COMPUTED_VALUE"""),224.0)</f>
        <v>224</v>
      </c>
      <c r="P30" s="26">
        <f>IFERROR(__xludf.DUMMYFUNCTION("""COMPUTED_VALUE"""),62.88)</f>
        <v>62.88</v>
      </c>
      <c r="Q30" s="26">
        <f>IFERROR(__xludf.DUMMYFUNCTION("""COMPUTED_VALUE"""),327.84)</f>
        <v>327.84</v>
      </c>
      <c r="R30" s="26">
        <f>IFERROR(__xludf.DUMMYFUNCTION("""COMPUTED_VALUE"""),51.57)</f>
        <v>51.57</v>
      </c>
      <c r="S30" s="26">
        <f>IFERROR(__xludf.DUMMYFUNCTION("""COMPUTED_VALUE"""),158.85)</f>
        <v>158.85</v>
      </c>
      <c r="T30" s="26">
        <f>IFERROR(__xludf.DUMMYFUNCTION("""COMPUTED_VALUE"""),155.28)</f>
        <v>155.28</v>
      </c>
      <c r="U30" s="26">
        <f>IFERROR(__xludf.DUMMYFUNCTION("""COMPUTED_VALUE"""),339.98)</f>
        <v>339.98</v>
      </c>
      <c r="V30" s="26">
        <f>IFERROR(__xludf.DUMMYFUNCTION("""COMPUTED_VALUE"""),34.77)</f>
        <v>34.77</v>
      </c>
      <c r="W30" s="26">
        <f>IFERROR(__xludf.DUMMYFUNCTION("""COMPUTED_VALUE"""),62.77)</f>
        <v>62.77</v>
      </c>
      <c r="X30" s="26">
        <f>IFERROR(__xludf.DUMMYFUNCTION("""COMPUTED_VALUE"""),90.34)</f>
        <v>90.34</v>
      </c>
      <c r="Y30" s="26">
        <f>IFERROR(__xludf.DUMMYFUNCTION("""COMPUTED_VALUE"""),148.35)</f>
        <v>148.35</v>
      </c>
      <c r="Z30" s="26">
        <f>IFERROR(__xludf.DUMMYFUNCTION("""COMPUTED_VALUE"""),106.87)</f>
        <v>106.87</v>
      </c>
      <c r="AA30" s="26">
        <f>IFERROR(__xludf.DUMMYFUNCTION("""COMPUTED_VALUE"""),521.83)</f>
        <v>521.83</v>
      </c>
      <c r="AB30" s="26">
        <f>IFERROR(__xludf.DUMMYFUNCTION("""COMPUTED_VALUE"""),54.15)</f>
        <v>54.15</v>
      </c>
      <c r="AC30" s="26">
        <f>IFERROR(__xludf.DUMMYFUNCTION("""COMPUTED_VALUE"""),110.76)</f>
        <v>110.76</v>
      </c>
      <c r="AD30" s="26">
        <f>IFERROR(__xludf.DUMMYFUNCTION("""COMPUTED_VALUE"""),253.66)</f>
        <v>253.66</v>
      </c>
      <c r="AE30" s="26">
        <f>IFERROR(__xludf.DUMMYFUNCTION("""COMPUTED_VALUE"""),414.65)</f>
        <v>414.65</v>
      </c>
      <c r="AF30" s="26">
        <f>IFERROR(__xludf.DUMMYFUNCTION("""COMPUTED_VALUE"""),298.25)</f>
        <v>298.25</v>
      </c>
      <c r="AG30" s="26">
        <f>IFERROR(__xludf.DUMMYFUNCTION("""COMPUTED_VALUE"""),47.72)</f>
        <v>47.72</v>
      </c>
      <c r="AH30" s="26">
        <f>IFERROR(__xludf.DUMMYFUNCTION("""COMPUTED_VALUE"""),70.67)</f>
        <v>70.67</v>
      </c>
      <c r="AI30" s="26">
        <f>IFERROR(__xludf.DUMMYFUNCTION("""COMPUTED_VALUE"""),450.18)</f>
        <v>450.18</v>
      </c>
      <c r="AJ30" s="26">
        <f>IFERROR(__xludf.DUMMYFUNCTION("""COMPUTED_VALUE"""),355.8)</f>
        <v>355.8</v>
      </c>
      <c r="AK30" s="26">
        <f>IFERROR(__xludf.DUMMYFUNCTION("""COMPUTED_VALUE"""),98.16)</f>
        <v>98.16</v>
      </c>
      <c r="AL30" s="26">
        <f>IFERROR(__xludf.DUMMYFUNCTION("""COMPUTED_VALUE"""),137.84)</f>
        <v>137.84</v>
      </c>
      <c r="AM30" s="26">
        <f>IFERROR(__xludf.DUMMYFUNCTION("""COMPUTED_VALUE"""),432.56)</f>
        <v>432.56</v>
      </c>
      <c r="AN30" s="26">
        <f>IFERROR(__xludf.DUMMYFUNCTION("""COMPUTED_VALUE"""),196.3)</f>
        <v>196.3</v>
      </c>
      <c r="AO30" s="26">
        <f>IFERROR(__xludf.DUMMYFUNCTION("""COMPUTED_VALUE"""),467.6)</f>
        <v>467.6</v>
      </c>
      <c r="AP30" s="26">
        <f>IFERROR(__xludf.DUMMYFUNCTION("""COMPUTED_VALUE"""),311.82)</f>
        <v>311.82</v>
      </c>
      <c r="AQ30" s="26">
        <f>IFERROR(__xludf.DUMMYFUNCTION("""COMPUTED_VALUE"""),25.69)</f>
        <v>25.69</v>
      </c>
      <c r="AR30" s="26">
        <f>IFERROR(__xludf.DUMMYFUNCTION("""COMPUTED_VALUE"""),81.64)</f>
        <v>81.64</v>
      </c>
      <c r="AS30" s="26">
        <f>IFERROR(__xludf.DUMMYFUNCTION("""COMPUTED_VALUE"""),71.27)</f>
        <v>71.27</v>
      </c>
      <c r="AT30" s="26">
        <f>IFERROR(__xludf.DUMMYFUNCTION("""COMPUTED_VALUE"""),449.78)</f>
        <v>449.78</v>
      </c>
      <c r="AU30" s="26">
        <f>IFERROR(__xludf.DUMMYFUNCTION("""COMPUTED_VALUE"""),72.81)</f>
        <v>72.81</v>
      </c>
      <c r="AV30" s="26">
        <f>IFERROR(__xludf.DUMMYFUNCTION("""COMPUTED_VALUE"""),126.57)</f>
        <v>126.57</v>
      </c>
      <c r="AW30" s="26">
        <f>IFERROR(__xludf.DUMMYFUNCTION("""COMPUTED_VALUE"""),95.92)</f>
        <v>95.92</v>
      </c>
      <c r="AX30" s="26">
        <f>IFERROR(__xludf.DUMMYFUNCTION("""COMPUTED_VALUE"""),39.72)</f>
        <v>39.72</v>
      </c>
      <c r="AY30" s="26">
        <f>IFERROR(__xludf.DUMMYFUNCTION("""COMPUTED_VALUE"""),23.84)</f>
        <v>23.84</v>
      </c>
      <c r="AZ30" s="26">
        <f>IFERROR(__xludf.DUMMYFUNCTION("""COMPUTED_VALUE"""),60.61)</f>
        <v>60.61</v>
      </c>
      <c r="BA30" s="26">
        <f>IFERROR(__xludf.DUMMYFUNCTION("""COMPUTED_VALUE"""),27.74)</f>
        <v>27.74</v>
      </c>
      <c r="BB30" s="26">
        <f>IFERROR(__xludf.DUMMYFUNCTION("""COMPUTED_VALUE"""),105.61)</f>
        <v>105.61</v>
      </c>
      <c r="BC30" s="26">
        <f>IFERROR(__xludf.DUMMYFUNCTION("""COMPUTED_VALUE"""),176.73)</f>
        <v>176.73</v>
      </c>
      <c r="BD30" s="26">
        <f>IFERROR(__xludf.DUMMYFUNCTION("""COMPUTED_VALUE"""),564.6)</f>
        <v>564.6</v>
      </c>
      <c r="BE30" s="26">
        <f>IFERROR(__xludf.DUMMYFUNCTION("""COMPUTED_VALUE"""),193.58)</f>
        <v>193.58</v>
      </c>
      <c r="BF30" s="26">
        <f>IFERROR(__xludf.DUMMYFUNCTION("""COMPUTED_VALUE"""),139.04)</f>
        <v>139.04</v>
      </c>
      <c r="BG30" s="26">
        <f>IFERROR(__xludf.DUMMYFUNCTION("""COMPUTED_VALUE"""),6.99)</f>
        <v>6.99</v>
      </c>
      <c r="BH30" s="26">
        <f>IFERROR(__xludf.DUMMYFUNCTION("""COMPUTED_VALUE"""),226.11)</f>
        <v>226.11</v>
      </c>
      <c r="BI30" s="26">
        <f>IFERROR(__xludf.DUMMYFUNCTION("""COMPUTED_VALUE"""),482.59)</f>
        <v>482.59</v>
      </c>
      <c r="BJ30" s="26">
        <f>IFERROR(__xludf.DUMMYFUNCTION("""COMPUTED_VALUE"""),48.46)</f>
        <v>48.46</v>
      </c>
      <c r="BK30" s="26">
        <f>IFERROR(__xludf.DUMMYFUNCTION("""COMPUTED_VALUE"""),10.47)</f>
        <v>10.47</v>
      </c>
      <c r="BL30" s="26">
        <f>IFERROR(__xludf.DUMMYFUNCTION("""COMPUTED_VALUE"""),208.99)</f>
        <v>208.99</v>
      </c>
      <c r="BM30" s="26">
        <f>IFERROR(__xludf.DUMMYFUNCTION("""COMPUTED_VALUE"""),102.27)</f>
        <v>102.27</v>
      </c>
    </row>
    <row r="31">
      <c r="A31" s="25">
        <v>45467.66666666667</v>
      </c>
      <c r="B31" s="17">
        <f>IFERROR(__xludf.DUMMYFUNCTION("""COMPUTED_VALUE"""),5447.87)</f>
        <v>5447.87</v>
      </c>
      <c r="C31" s="17">
        <f>IFERROR(__xludf.DUMMYFUNCTION("""COMPUTED_VALUE"""),17496.82)</f>
        <v>17496.82</v>
      </c>
      <c r="D31" s="17">
        <f>IFERROR(__xludf.DUMMYFUNCTION("""COMPUTED_VALUE"""),39411.21)</f>
        <v>39411.21</v>
      </c>
      <c r="E31" s="17">
        <f>IFERROR(__xludf.DUMMYFUNCTION("""COMPUTED_VALUE"""),2030.81)</f>
        <v>2030.81</v>
      </c>
      <c r="F31" s="26">
        <f>IFERROR(__xludf.DUMMYFUNCTION("""COMPUTED_VALUE"""),524.17)</f>
        <v>524.17</v>
      </c>
      <c r="G31" s="26">
        <f>IFERROR(__xludf.DUMMYFUNCTION("""COMPUTED_VALUE"""),185.57)</f>
        <v>185.57</v>
      </c>
      <c r="H31" s="26">
        <f>IFERROR(__xludf.DUMMYFUNCTION("""COMPUTED_VALUE"""),132.18)</f>
        <v>132.18</v>
      </c>
      <c r="I31" s="26">
        <f>IFERROR(__xludf.DUMMYFUNCTION("""COMPUTED_VALUE"""),208.14)</f>
        <v>208.14</v>
      </c>
      <c r="J31" s="26">
        <f>IFERROR(__xludf.DUMMYFUNCTION("""COMPUTED_VALUE"""),229.84)</f>
        <v>229.84</v>
      </c>
      <c r="K31" s="26">
        <f>IFERROR(__xludf.DUMMYFUNCTION("""COMPUTED_VALUE"""),59.48)</f>
        <v>59.48</v>
      </c>
      <c r="L31" s="26">
        <f>IFERROR(__xludf.DUMMYFUNCTION("""COMPUTED_VALUE"""),10.63)</f>
        <v>10.63</v>
      </c>
      <c r="M31" s="26">
        <f>IFERROR(__xludf.DUMMYFUNCTION("""COMPUTED_VALUE"""),413.98)</f>
        <v>413.98</v>
      </c>
      <c r="N31" s="26">
        <f>IFERROR(__xludf.DUMMYFUNCTION("""COMPUTED_VALUE"""),56.69)</f>
        <v>56.69</v>
      </c>
      <c r="O31" s="26">
        <f>IFERROR(__xludf.DUMMYFUNCTION("""COMPUTED_VALUE"""),226.6)</f>
        <v>226.6</v>
      </c>
      <c r="P31" s="26">
        <f>IFERROR(__xludf.DUMMYFUNCTION("""COMPUTED_VALUE"""),64.63)</f>
        <v>64.63</v>
      </c>
      <c r="Q31" s="26">
        <f>IFERROR(__xludf.DUMMYFUNCTION("""COMPUTED_VALUE"""),330.0)</f>
        <v>330</v>
      </c>
      <c r="R31" s="26">
        <f>IFERROR(__xludf.DUMMYFUNCTION("""COMPUTED_VALUE"""),50.44)</f>
        <v>50.44</v>
      </c>
      <c r="S31" s="26">
        <f>IFERROR(__xludf.DUMMYFUNCTION("""COMPUTED_VALUE"""),155.98)</f>
        <v>155.98</v>
      </c>
      <c r="T31" s="26">
        <f>IFERROR(__xludf.DUMMYFUNCTION("""COMPUTED_VALUE"""),159.31)</f>
        <v>159.31</v>
      </c>
      <c r="U31" s="26">
        <f>IFERROR(__xludf.DUMMYFUNCTION("""COMPUTED_VALUE"""),343.14)</f>
        <v>343.14</v>
      </c>
      <c r="V31" s="26">
        <f>IFERROR(__xludf.DUMMYFUNCTION("""COMPUTED_VALUE"""),35.39)</f>
        <v>35.39</v>
      </c>
      <c r="W31" s="26">
        <f>IFERROR(__xludf.DUMMYFUNCTION("""COMPUTED_VALUE"""),63.97)</f>
        <v>63.97</v>
      </c>
      <c r="X31" s="26">
        <f>IFERROR(__xludf.DUMMYFUNCTION("""COMPUTED_VALUE"""),91.27)</f>
        <v>91.27</v>
      </c>
      <c r="Y31" s="26">
        <f>IFERROR(__xludf.DUMMYFUNCTION("""COMPUTED_VALUE"""),147.01)</f>
        <v>147.01</v>
      </c>
      <c r="Z31" s="26">
        <f>IFERROR(__xludf.DUMMYFUNCTION("""COMPUTED_VALUE"""),107.35)</f>
        <v>107.35</v>
      </c>
      <c r="AA31" s="26">
        <f>IFERROR(__xludf.DUMMYFUNCTION("""COMPUTED_VALUE"""),533.42)</f>
        <v>533.42</v>
      </c>
      <c r="AB31" s="26">
        <f>IFERROR(__xludf.DUMMYFUNCTION("""COMPUTED_VALUE"""),54.01)</f>
        <v>54.01</v>
      </c>
      <c r="AC31" s="26">
        <f>IFERROR(__xludf.DUMMYFUNCTION("""COMPUTED_VALUE"""),114.05)</f>
        <v>114.05</v>
      </c>
      <c r="AD31" s="26">
        <f>IFERROR(__xludf.DUMMYFUNCTION("""COMPUTED_VALUE"""),256.51)</f>
        <v>256.51</v>
      </c>
      <c r="AE31" s="26">
        <f>IFERROR(__xludf.DUMMYFUNCTION("""COMPUTED_VALUE"""),421.68)</f>
        <v>421.68</v>
      </c>
      <c r="AF31" s="26">
        <f>IFERROR(__xludf.DUMMYFUNCTION("""COMPUTED_VALUE"""),298.53)</f>
        <v>298.53</v>
      </c>
      <c r="AG31" s="26">
        <f>IFERROR(__xludf.DUMMYFUNCTION("""COMPUTED_VALUE"""),48.11)</f>
        <v>48.11</v>
      </c>
      <c r="AH31" s="26">
        <f>IFERROR(__xludf.DUMMYFUNCTION("""COMPUTED_VALUE"""),70.73)</f>
        <v>70.73</v>
      </c>
      <c r="AI31" s="26">
        <f>IFERROR(__xludf.DUMMYFUNCTION("""COMPUTED_VALUE"""),462.09)</f>
        <v>462.09</v>
      </c>
      <c r="AJ31" s="26">
        <f>IFERROR(__xludf.DUMMYFUNCTION("""COMPUTED_VALUE"""),350.88)</f>
        <v>350.88</v>
      </c>
      <c r="AK31" s="26">
        <f>IFERROR(__xludf.DUMMYFUNCTION("""COMPUTED_VALUE"""),97.52)</f>
        <v>97.52</v>
      </c>
      <c r="AL31" s="26">
        <f>IFERROR(__xludf.DUMMYFUNCTION("""COMPUTED_VALUE"""),138.72)</f>
        <v>138.72</v>
      </c>
      <c r="AM31" s="26">
        <f>IFERROR(__xludf.DUMMYFUNCTION("""COMPUTED_VALUE"""),429.04)</f>
        <v>429.04</v>
      </c>
      <c r="AN31" s="26">
        <f>IFERROR(__xludf.DUMMYFUNCTION("""COMPUTED_VALUE"""),198.88)</f>
        <v>198.88</v>
      </c>
      <c r="AO31" s="26">
        <f>IFERROR(__xludf.DUMMYFUNCTION("""COMPUTED_VALUE"""),471.51)</f>
        <v>471.51</v>
      </c>
      <c r="AP31" s="26">
        <f>IFERROR(__xludf.DUMMYFUNCTION("""COMPUTED_VALUE"""),312.28)</f>
        <v>312.28</v>
      </c>
      <c r="AQ31" s="26">
        <f>IFERROR(__xludf.DUMMYFUNCTION("""COMPUTED_VALUE"""),26.18)</f>
        <v>26.18</v>
      </c>
      <c r="AR31" s="26">
        <f>IFERROR(__xludf.DUMMYFUNCTION("""COMPUTED_VALUE"""),81.04)</f>
        <v>81.04</v>
      </c>
      <c r="AS31" s="26">
        <f>IFERROR(__xludf.DUMMYFUNCTION("""COMPUTED_VALUE"""),72.12)</f>
        <v>72.12</v>
      </c>
      <c r="AT31" s="26">
        <f>IFERROR(__xludf.DUMMYFUNCTION("""COMPUTED_VALUE"""),447.67)</f>
        <v>447.67</v>
      </c>
      <c r="AU31" s="26">
        <f>IFERROR(__xludf.DUMMYFUNCTION("""COMPUTED_VALUE"""),73.85)</f>
        <v>73.85</v>
      </c>
      <c r="AV31" s="26">
        <f>IFERROR(__xludf.DUMMYFUNCTION("""COMPUTED_VALUE"""),118.11)</f>
        <v>118.11</v>
      </c>
      <c r="AW31" s="26">
        <f>IFERROR(__xludf.DUMMYFUNCTION("""COMPUTED_VALUE"""),96.87)</f>
        <v>96.87</v>
      </c>
      <c r="AX31" s="26">
        <f>IFERROR(__xludf.DUMMYFUNCTION("""COMPUTED_VALUE"""),39.03)</f>
        <v>39.03</v>
      </c>
      <c r="AY31" s="26">
        <f>IFERROR(__xludf.DUMMYFUNCTION("""COMPUTED_VALUE"""),24.16)</f>
        <v>24.16</v>
      </c>
      <c r="AZ31" s="26">
        <f>IFERROR(__xludf.DUMMYFUNCTION("""COMPUTED_VALUE"""),59.49)</f>
        <v>59.49</v>
      </c>
      <c r="BA31" s="26">
        <f>IFERROR(__xludf.DUMMYFUNCTION("""COMPUTED_VALUE"""),28.36)</f>
        <v>28.36</v>
      </c>
      <c r="BB31" s="26">
        <f>IFERROR(__xludf.DUMMYFUNCTION("""COMPUTED_VALUE"""),101.96)</f>
        <v>101.96</v>
      </c>
      <c r="BC31" s="26">
        <f>IFERROR(__xludf.DUMMYFUNCTION("""COMPUTED_VALUE"""),177.95)</f>
        <v>177.95</v>
      </c>
      <c r="BD31" s="26">
        <f>IFERROR(__xludf.DUMMYFUNCTION("""COMPUTED_VALUE"""),565.95)</f>
        <v>565.95</v>
      </c>
      <c r="BE31" s="26">
        <f>IFERROR(__xludf.DUMMYFUNCTION("""COMPUTED_VALUE"""),198.98)</f>
        <v>198.98</v>
      </c>
      <c r="BF31" s="26">
        <f>IFERROR(__xludf.DUMMYFUNCTION("""COMPUTED_VALUE"""),140.51)</f>
        <v>140.51</v>
      </c>
      <c r="BG31" s="26">
        <f>IFERROR(__xludf.DUMMYFUNCTION("""COMPUTED_VALUE"""),7.13)</f>
        <v>7.13</v>
      </c>
      <c r="BH31" s="26">
        <f>IFERROR(__xludf.DUMMYFUNCTION("""COMPUTED_VALUE"""),226.36)</f>
        <v>226.36</v>
      </c>
      <c r="BI31" s="26">
        <f>IFERROR(__xludf.DUMMYFUNCTION("""COMPUTED_VALUE"""),489.98)</f>
        <v>489.98</v>
      </c>
      <c r="BJ31" s="26">
        <f>IFERROR(__xludf.DUMMYFUNCTION("""COMPUTED_VALUE"""),48.48)</f>
        <v>48.48</v>
      </c>
      <c r="BK31" s="26">
        <f>IFERROR(__xludf.DUMMYFUNCTION("""COMPUTED_VALUE"""),10.47)</f>
        <v>10.47</v>
      </c>
      <c r="BL31" s="26">
        <f>IFERROR(__xludf.DUMMYFUNCTION("""COMPUTED_VALUE"""),212.44)</f>
        <v>212.44</v>
      </c>
      <c r="BM31" s="26">
        <f>IFERROR(__xludf.DUMMYFUNCTION("""COMPUTED_VALUE"""),101.98)</f>
        <v>101.98</v>
      </c>
    </row>
    <row r="32">
      <c r="A32" s="25">
        <v>45468.66666666667</v>
      </c>
      <c r="B32" s="17">
        <f>IFERROR(__xludf.DUMMYFUNCTION("""COMPUTED_VALUE"""),5469.3)</f>
        <v>5469.3</v>
      </c>
      <c r="C32" s="17">
        <f>IFERROR(__xludf.DUMMYFUNCTION("""COMPUTED_VALUE"""),17717.65)</f>
        <v>17717.65</v>
      </c>
      <c r="D32" s="17">
        <f>IFERROR(__xludf.DUMMYFUNCTION("""COMPUTED_VALUE"""),39112.16)</f>
        <v>39112.16</v>
      </c>
      <c r="E32" s="17">
        <f>IFERROR(__xludf.DUMMYFUNCTION("""COMPUTED_VALUE"""),2022.35)</f>
        <v>2022.35</v>
      </c>
      <c r="F32" s="26">
        <f>IFERROR(__xludf.DUMMYFUNCTION("""COMPUTED_VALUE"""),526.88)</f>
        <v>526.88</v>
      </c>
      <c r="G32" s="26">
        <f>IFERROR(__xludf.DUMMYFUNCTION("""COMPUTED_VALUE"""),186.34)</f>
        <v>186.34</v>
      </c>
      <c r="H32" s="26">
        <f>IFERROR(__xludf.DUMMYFUNCTION("""COMPUTED_VALUE"""),129.37)</f>
        <v>129.37</v>
      </c>
      <c r="I32" s="26">
        <f>IFERROR(__xludf.DUMMYFUNCTION("""COMPUTED_VALUE"""),209.07)</f>
        <v>209.07</v>
      </c>
      <c r="J32" s="26">
        <f>IFERROR(__xludf.DUMMYFUNCTION("""COMPUTED_VALUE"""),234.27)</f>
        <v>234.27</v>
      </c>
      <c r="K32" s="26">
        <f>IFERROR(__xludf.DUMMYFUNCTION("""COMPUTED_VALUE"""),58.79)</f>
        <v>58.79</v>
      </c>
      <c r="L32" s="26">
        <f>IFERROR(__xludf.DUMMYFUNCTION("""COMPUTED_VALUE"""),10.54)</f>
        <v>10.54</v>
      </c>
      <c r="M32" s="26">
        <f>IFERROR(__xludf.DUMMYFUNCTION("""COMPUTED_VALUE"""),410.97)</f>
        <v>410.97</v>
      </c>
      <c r="N32" s="26">
        <f>IFERROR(__xludf.DUMMYFUNCTION("""COMPUTED_VALUE"""),56.97)</f>
        <v>56.97</v>
      </c>
      <c r="O32" s="26">
        <f>IFERROR(__xludf.DUMMYFUNCTION("""COMPUTED_VALUE"""),223.19)</f>
        <v>223.19</v>
      </c>
      <c r="P32" s="26">
        <f>IFERROR(__xludf.DUMMYFUNCTION("""COMPUTED_VALUE"""),63.93)</f>
        <v>63.93</v>
      </c>
      <c r="Q32" s="26">
        <f>IFERROR(__xludf.DUMMYFUNCTION("""COMPUTED_VALUE"""),327.4)</f>
        <v>327.4</v>
      </c>
      <c r="R32" s="26">
        <f>IFERROR(__xludf.DUMMYFUNCTION("""COMPUTED_VALUE"""),50.04)</f>
        <v>50.04</v>
      </c>
      <c r="S32" s="26">
        <f>IFERROR(__xludf.DUMMYFUNCTION("""COMPUTED_VALUE"""),155.5)</f>
        <v>155.5</v>
      </c>
      <c r="T32" s="26">
        <f>IFERROR(__xludf.DUMMYFUNCTION("""COMPUTED_VALUE"""),158.46)</f>
        <v>158.46</v>
      </c>
      <c r="U32" s="26">
        <f>IFERROR(__xludf.DUMMYFUNCTION("""COMPUTED_VALUE"""),338.8)</f>
        <v>338.8</v>
      </c>
      <c r="V32" s="26">
        <f>IFERROR(__xludf.DUMMYFUNCTION("""COMPUTED_VALUE"""),34.99)</f>
        <v>34.99</v>
      </c>
      <c r="W32" s="26">
        <f>IFERROR(__xludf.DUMMYFUNCTION("""COMPUTED_VALUE"""),63.84)</f>
        <v>63.84</v>
      </c>
      <c r="X32" s="26">
        <f>IFERROR(__xludf.DUMMYFUNCTION("""COMPUTED_VALUE"""),89.39)</f>
        <v>89.39</v>
      </c>
      <c r="Y32" s="26">
        <f>IFERROR(__xludf.DUMMYFUNCTION("""COMPUTED_VALUE"""),146.44)</f>
        <v>146.44</v>
      </c>
      <c r="Z32" s="26">
        <f>IFERROR(__xludf.DUMMYFUNCTION("""COMPUTED_VALUE"""),105.41)</f>
        <v>105.41</v>
      </c>
      <c r="AA32" s="26">
        <f>IFERROR(__xludf.DUMMYFUNCTION("""COMPUTED_VALUE"""),527.87)</f>
        <v>527.87</v>
      </c>
      <c r="AB32" s="26">
        <f>IFERROR(__xludf.DUMMYFUNCTION("""COMPUTED_VALUE"""),53.95)</f>
        <v>53.95</v>
      </c>
      <c r="AC32" s="26">
        <f>IFERROR(__xludf.DUMMYFUNCTION("""COMPUTED_VALUE"""),114.37)</f>
        <v>114.37</v>
      </c>
      <c r="AD32" s="26">
        <f>IFERROR(__xludf.DUMMYFUNCTION("""COMPUTED_VALUE"""),256.38)</f>
        <v>256.38</v>
      </c>
      <c r="AE32" s="26">
        <f>IFERROR(__xludf.DUMMYFUNCTION("""COMPUTED_VALUE"""),423.82)</f>
        <v>423.82</v>
      </c>
      <c r="AF32" s="26">
        <f>IFERROR(__xludf.DUMMYFUNCTION("""COMPUTED_VALUE"""),295.28)</f>
        <v>295.28</v>
      </c>
      <c r="AG32" s="26">
        <f>IFERROR(__xludf.DUMMYFUNCTION("""COMPUTED_VALUE"""),46.41)</f>
        <v>46.41</v>
      </c>
      <c r="AH32" s="26">
        <f>IFERROR(__xludf.DUMMYFUNCTION("""COMPUTED_VALUE"""),69.61)</f>
        <v>69.61</v>
      </c>
      <c r="AI32" s="26">
        <f>IFERROR(__xludf.DUMMYFUNCTION("""COMPUTED_VALUE"""),457.38)</f>
        <v>457.38</v>
      </c>
      <c r="AJ32" s="26">
        <f>IFERROR(__xludf.DUMMYFUNCTION("""COMPUTED_VALUE"""),338.32)</f>
        <v>338.32</v>
      </c>
      <c r="AK32" s="26">
        <f>IFERROR(__xludf.DUMMYFUNCTION("""COMPUTED_VALUE"""),98.86)</f>
        <v>98.86</v>
      </c>
      <c r="AL32" s="26">
        <f>IFERROR(__xludf.DUMMYFUNCTION("""COMPUTED_VALUE"""),137.33)</f>
        <v>137.33</v>
      </c>
      <c r="AM32" s="26">
        <f>IFERROR(__xludf.DUMMYFUNCTION("""COMPUTED_VALUE"""),442.31)</f>
        <v>442.31</v>
      </c>
      <c r="AN32" s="26">
        <f>IFERROR(__xludf.DUMMYFUNCTION("""COMPUTED_VALUE"""),198.07)</f>
        <v>198.07</v>
      </c>
      <c r="AO32" s="26">
        <f>IFERROR(__xludf.DUMMYFUNCTION("""COMPUTED_VALUE"""),468.07)</f>
        <v>468.07</v>
      </c>
      <c r="AP32" s="26">
        <f>IFERROR(__xludf.DUMMYFUNCTION("""COMPUTED_VALUE"""),309.07)</f>
        <v>309.07</v>
      </c>
      <c r="AQ32" s="26">
        <f>IFERROR(__xludf.DUMMYFUNCTION("""COMPUTED_VALUE"""),26.48)</f>
        <v>26.48</v>
      </c>
      <c r="AR32" s="26">
        <f>IFERROR(__xludf.DUMMYFUNCTION("""COMPUTED_VALUE"""),80.41)</f>
        <v>80.41</v>
      </c>
      <c r="AS32" s="26">
        <f>IFERROR(__xludf.DUMMYFUNCTION("""COMPUTED_VALUE"""),71.41)</f>
        <v>71.41</v>
      </c>
      <c r="AT32" s="26">
        <f>IFERROR(__xludf.DUMMYFUNCTION("""COMPUTED_VALUE"""),450.95)</f>
        <v>450.95</v>
      </c>
      <c r="AU32" s="26">
        <f>IFERROR(__xludf.DUMMYFUNCTION("""COMPUTED_VALUE"""),72.98)</f>
        <v>72.98</v>
      </c>
      <c r="AV32" s="26">
        <f>IFERROR(__xludf.DUMMYFUNCTION("""COMPUTED_VALUE"""),126.09)</f>
        <v>126.09</v>
      </c>
      <c r="AW32" s="26">
        <f>IFERROR(__xludf.DUMMYFUNCTION("""COMPUTED_VALUE"""),95.66)</f>
        <v>95.66</v>
      </c>
      <c r="AX32" s="26">
        <f>IFERROR(__xludf.DUMMYFUNCTION("""COMPUTED_VALUE"""),38.76)</f>
        <v>38.76</v>
      </c>
      <c r="AY32" s="26">
        <f>IFERROR(__xludf.DUMMYFUNCTION("""COMPUTED_VALUE"""),24.56)</f>
        <v>24.56</v>
      </c>
      <c r="AZ32" s="26">
        <f>IFERROR(__xludf.DUMMYFUNCTION("""COMPUTED_VALUE"""),59.33)</f>
        <v>59.33</v>
      </c>
      <c r="BA32" s="26">
        <f>IFERROR(__xludf.DUMMYFUNCTION("""COMPUTED_VALUE"""),27.99)</f>
        <v>27.99</v>
      </c>
      <c r="BB32" s="26">
        <f>IFERROR(__xludf.DUMMYFUNCTION("""COMPUTED_VALUE"""),101.57)</f>
        <v>101.57</v>
      </c>
      <c r="BC32" s="26">
        <f>IFERROR(__xludf.DUMMYFUNCTION("""COMPUTED_VALUE"""),177.63)</f>
        <v>177.63</v>
      </c>
      <c r="BD32" s="26">
        <f>IFERROR(__xludf.DUMMYFUNCTION("""COMPUTED_VALUE"""),556.52)</f>
        <v>556.52</v>
      </c>
      <c r="BE32" s="26">
        <f>IFERROR(__xludf.DUMMYFUNCTION("""COMPUTED_VALUE"""),206.22)</f>
        <v>206.22</v>
      </c>
      <c r="BF32" s="26">
        <f>IFERROR(__xludf.DUMMYFUNCTION("""COMPUTED_VALUE"""),145.98)</f>
        <v>145.98</v>
      </c>
      <c r="BG32" s="26">
        <f>IFERROR(__xludf.DUMMYFUNCTION("""COMPUTED_VALUE"""),6.94)</f>
        <v>6.94</v>
      </c>
      <c r="BH32" s="26">
        <f>IFERROR(__xludf.DUMMYFUNCTION("""COMPUTED_VALUE"""),224.06)</f>
        <v>224.06</v>
      </c>
      <c r="BI32" s="26">
        <f>IFERROR(__xludf.DUMMYFUNCTION("""COMPUTED_VALUE"""),484.5)</f>
        <v>484.5</v>
      </c>
      <c r="BJ32" s="26">
        <f>IFERROR(__xludf.DUMMYFUNCTION("""COMPUTED_VALUE"""),48.48)</f>
        <v>48.48</v>
      </c>
      <c r="BK32" s="26">
        <f>IFERROR(__xludf.DUMMYFUNCTION("""COMPUTED_VALUE"""),10.31)</f>
        <v>10.31</v>
      </c>
      <c r="BL32" s="26">
        <f>IFERROR(__xludf.DUMMYFUNCTION("""COMPUTED_VALUE"""),212.06)</f>
        <v>212.06</v>
      </c>
      <c r="BM32" s="26">
        <f>IFERROR(__xludf.DUMMYFUNCTION("""COMPUTED_VALUE"""),102.2)</f>
        <v>102.2</v>
      </c>
    </row>
    <row r="33">
      <c r="A33" s="25">
        <v>45469.66666666667</v>
      </c>
      <c r="B33" s="17">
        <f>IFERROR(__xludf.DUMMYFUNCTION("""COMPUTED_VALUE"""),5477.9)</f>
        <v>5477.9</v>
      </c>
      <c r="C33" s="17">
        <f>IFERROR(__xludf.DUMMYFUNCTION("""COMPUTED_VALUE"""),17805.16)</f>
        <v>17805.16</v>
      </c>
      <c r="D33" s="17">
        <f>IFERROR(__xludf.DUMMYFUNCTION("""COMPUTED_VALUE"""),39127.8)</f>
        <v>39127.8</v>
      </c>
      <c r="E33" s="17">
        <f>IFERROR(__xludf.DUMMYFUNCTION("""COMPUTED_VALUE"""),2018.12)</f>
        <v>2018.12</v>
      </c>
      <c r="F33" s="26">
        <f>IFERROR(__xludf.DUMMYFUNCTION("""COMPUTED_VALUE"""),528.66)</f>
        <v>528.66</v>
      </c>
      <c r="G33" s="26">
        <f>IFERROR(__xludf.DUMMYFUNCTION("""COMPUTED_VALUE"""),193.61)</f>
        <v>193.61</v>
      </c>
      <c r="H33" s="26">
        <f>IFERROR(__xludf.DUMMYFUNCTION("""COMPUTED_VALUE"""),129.58)</f>
        <v>129.58</v>
      </c>
      <c r="I33" s="26">
        <f>IFERROR(__xludf.DUMMYFUNCTION("""COMPUTED_VALUE"""),213.25)</f>
        <v>213.25</v>
      </c>
      <c r="J33" s="26">
        <f>IFERROR(__xludf.DUMMYFUNCTION("""COMPUTED_VALUE"""),232.17)</f>
        <v>232.17</v>
      </c>
      <c r="K33" s="26">
        <f>IFERROR(__xludf.DUMMYFUNCTION("""COMPUTED_VALUE"""),58.67)</f>
        <v>58.67</v>
      </c>
      <c r="L33" s="26">
        <f>IFERROR(__xludf.DUMMYFUNCTION("""COMPUTED_VALUE"""),10.51)</f>
        <v>10.51</v>
      </c>
      <c r="M33" s="26">
        <f>IFERROR(__xludf.DUMMYFUNCTION("""COMPUTED_VALUE"""),410.26)</f>
        <v>410.26</v>
      </c>
      <c r="N33" s="26">
        <f>IFERROR(__xludf.DUMMYFUNCTION("""COMPUTED_VALUE"""),57.33)</f>
        <v>57.33</v>
      </c>
      <c r="O33" s="26">
        <f>IFERROR(__xludf.DUMMYFUNCTION("""COMPUTED_VALUE"""),224.46)</f>
        <v>224.46</v>
      </c>
      <c r="P33" s="26">
        <f>IFERROR(__xludf.DUMMYFUNCTION("""COMPUTED_VALUE"""),62.86)</f>
        <v>62.86</v>
      </c>
      <c r="Q33" s="26">
        <f>IFERROR(__xludf.DUMMYFUNCTION("""COMPUTED_VALUE"""),326.73)</f>
        <v>326.73</v>
      </c>
      <c r="R33" s="26">
        <f>IFERROR(__xludf.DUMMYFUNCTION("""COMPUTED_VALUE"""),50.49)</f>
        <v>50.49</v>
      </c>
      <c r="S33" s="26">
        <f>IFERROR(__xludf.DUMMYFUNCTION("""COMPUTED_VALUE"""),156.56)</f>
        <v>156.56</v>
      </c>
      <c r="T33" s="26">
        <f>IFERROR(__xludf.DUMMYFUNCTION("""COMPUTED_VALUE"""),155.95)</f>
        <v>155.95</v>
      </c>
      <c r="U33" s="26">
        <f>IFERROR(__xludf.DUMMYFUNCTION("""COMPUTED_VALUE"""),337.58)</f>
        <v>337.58</v>
      </c>
      <c r="V33" s="26">
        <f>IFERROR(__xludf.DUMMYFUNCTION("""COMPUTED_VALUE"""),34.78)</f>
        <v>34.78</v>
      </c>
      <c r="W33" s="26">
        <f>IFERROR(__xludf.DUMMYFUNCTION("""COMPUTED_VALUE"""),64.05)</f>
        <v>64.05</v>
      </c>
      <c r="X33" s="26">
        <f>IFERROR(__xludf.DUMMYFUNCTION("""COMPUTED_VALUE"""),89.67)</f>
        <v>89.67</v>
      </c>
      <c r="Y33" s="26">
        <f>IFERROR(__xludf.DUMMYFUNCTION("""COMPUTED_VALUE"""),146.89)</f>
        <v>146.89</v>
      </c>
      <c r="Z33" s="26">
        <f>IFERROR(__xludf.DUMMYFUNCTION("""COMPUTED_VALUE"""),103.43)</f>
        <v>103.43</v>
      </c>
      <c r="AA33" s="26">
        <f>IFERROR(__xludf.DUMMYFUNCTION("""COMPUTED_VALUE"""),519.37)</f>
        <v>519.37</v>
      </c>
      <c r="AB33" s="26">
        <f>IFERROR(__xludf.DUMMYFUNCTION("""COMPUTED_VALUE"""),53.69)</f>
        <v>53.69</v>
      </c>
      <c r="AC33" s="26">
        <f>IFERROR(__xludf.DUMMYFUNCTION("""COMPUTED_VALUE"""),114.41)</f>
        <v>114.41</v>
      </c>
      <c r="AD33" s="26">
        <f>IFERROR(__xludf.DUMMYFUNCTION("""COMPUTED_VALUE"""),296.19)</f>
        <v>296.19</v>
      </c>
      <c r="AE33" s="26">
        <f>IFERROR(__xludf.DUMMYFUNCTION("""COMPUTED_VALUE"""),412.52)</f>
        <v>412.52</v>
      </c>
      <c r="AF33" s="26">
        <f>IFERROR(__xludf.DUMMYFUNCTION("""COMPUTED_VALUE"""),294.53)</f>
        <v>294.53</v>
      </c>
      <c r="AG33" s="26">
        <f>IFERROR(__xludf.DUMMYFUNCTION("""COMPUTED_VALUE"""),45.77)</f>
        <v>45.77</v>
      </c>
      <c r="AH33" s="26">
        <f>IFERROR(__xludf.DUMMYFUNCTION("""COMPUTED_VALUE"""),69.31)</f>
        <v>69.31</v>
      </c>
      <c r="AI33" s="26">
        <f>IFERROR(__xludf.DUMMYFUNCTION("""COMPUTED_VALUE"""),455.86)</f>
        <v>455.86</v>
      </c>
      <c r="AJ33" s="26">
        <f>IFERROR(__xludf.DUMMYFUNCTION("""COMPUTED_VALUE"""),341.82)</f>
        <v>341.82</v>
      </c>
      <c r="AK33" s="26">
        <f>IFERROR(__xludf.DUMMYFUNCTION("""COMPUTED_VALUE"""),97.9)</f>
        <v>97.9</v>
      </c>
      <c r="AL33" s="26">
        <f>IFERROR(__xludf.DUMMYFUNCTION("""COMPUTED_VALUE"""),137.39)</f>
        <v>137.39</v>
      </c>
      <c r="AM33" s="26">
        <f>IFERROR(__xludf.DUMMYFUNCTION("""COMPUTED_VALUE"""),442.56)</f>
        <v>442.56</v>
      </c>
      <c r="AN33" s="26">
        <f>IFERROR(__xludf.DUMMYFUNCTION("""COMPUTED_VALUE"""),197.43)</f>
        <v>197.43</v>
      </c>
      <c r="AO33" s="26">
        <f>IFERROR(__xludf.DUMMYFUNCTION("""COMPUTED_VALUE"""),466.99)</f>
        <v>466.99</v>
      </c>
      <c r="AP33" s="26">
        <f>IFERROR(__xludf.DUMMYFUNCTION("""COMPUTED_VALUE"""),304.81)</f>
        <v>304.81</v>
      </c>
      <c r="AQ33" s="26">
        <f>IFERROR(__xludf.DUMMYFUNCTION("""COMPUTED_VALUE"""),25.89)</f>
        <v>25.89</v>
      </c>
      <c r="AR33" s="26">
        <f>IFERROR(__xludf.DUMMYFUNCTION("""COMPUTED_VALUE"""),80.05)</f>
        <v>80.05</v>
      </c>
      <c r="AS33" s="26">
        <f>IFERROR(__xludf.DUMMYFUNCTION("""COMPUTED_VALUE"""),71.18)</f>
        <v>71.18</v>
      </c>
      <c r="AT33" s="26">
        <f>IFERROR(__xludf.DUMMYFUNCTION("""COMPUTED_VALUE"""),452.16)</f>
        <v>452.16</v>
      </c>
      <c r="AU33" s="26">
        <f>IFERROR(__xludf.DUMMYFUNCTION("""COMPUTED_VALUE"""),73.37)</f>
        <v>73.37</v>
      </c>
      <c r="AV33" s="26">
        <f>IFERROR(__xludf.DUMMYFUNCTION("""COMPUTED_VALUE"""),126.4)</f>
        <v>126.4</v>
      </c>
      <c r="AW33" s="26">
        <f>IFERROR(__xludf.DUMMYFUNCTION("""COMPUTED_VALUE"""),95.75)</f>
        <v>95.75</v>
      </c>
      <c r="AX33" s="26">
        <f>IFERROR(__xludf.DUMMYFUNCTION("""COMPUTED_VALUE"""),38.6)</f>
        <v>38.6</v>
      </c>
      <c r="AY33" s="26">
        <f>IFERROR(__xludf.DUMMYFUNCTION("""COMPUTED_VALUE"""),24.1)</f>
        <v>24.1</v>
      </c>
      <c r="AZ33" s="26">
        <f>IFERROR(__xludf.DUMMYFUNCTION("""COMPUTED_VALUE"""),58.26)</f>
        <v>58.26</v>
      </c>
      <c r="BA33" s="26">
        <f>IFERROR(__xludf.DUMMYFUNCTION("""COMPUTED_VALUE"""),27.42)</f>
        <v>27.42</v>
      </c>
      <c r="BB33" s="26">
        <f>IFERROR(__xludf.DUMMYFUNCTION("""COMPUTED_VALUE"""),101.26)</f>
        <v>101.26</v>
      </c>
      <c r="BC33" s="26">
        <f>IFERROR(__xludf.DUMMYFUNCTION("""COMPUTED_VALUE"""),176.31)</f>
        <v>176.31</v>
      </c>
      <c r="BD33" s="26">
        <f>IFERROR(__xludf.DUMMYFUNCTION("""COMPUTED_VALUE"""),558.17)</f>
        <v>558.17</v>
      </c>
      <c r="BE33" s="26">
        <f>IFERROR(__xludf.DUMMYFUNCTION("""COMPUTED_VALUE"""),203.18)</f>
        <v>203.18</v>
      </c>
      <c r="BF33" s="26">
        <f>IFERROR(__xludf.DUMMYFUNCTION("""COMPUTED_VALUE"""),144.66)</f>
        <v>144.66</v>
      </c>
      <c r="BG33" s="26">
        <f>IFERROR(__xludf.DUMMYFUNCTION("""COMPUTED_VALUE"""),7.04)</f>
        <v>7.04</v>
      </c>
      <c r="BH33" s="26">
        <f>IFERROR(__xludf.DUMMYFUNCTION("""COMPUTED_VALUE"""),223.61)</f>
        <v>223.61</v>
      </c>
      <c r="BI33" s="26">
        <f>IFERROR(__xludf.DUMMYFUNCTION("""COMPUTED_VALUE"""),484.04)</f>
        <v>484.04</v>
      </c>
      <c r="BJ33" s="26">
        <f>IFERROR(__xludf.DUMMYFUNCTION("""COMPUTED_VALUE"""),48.46)</f>
        <v>48.46</v>
      </c>
      <c r="BK33" s="26">
        <f>IFERROR(__xludf.DUMMYFUNCTION("""COMPUTED_VALUE"""),10.43)</f>
        <v>10.43</v>
      </c>
      <c r="BL33" s="26">
        <f>IFERROR(__xludf.DUMMYFUNCTION("""COMPUTED_VALUE"""),212.67)</f>
        <v>212.67</v>
      </c>
      <c r="BM33" s="26">
        <f>IFERROR(__xludf.DUMMYFUNCTION("""COMPUTED_VALUE"""),102.18)</f>
        <v>102.18</v>
      </c>
    </row>
    <row r="34">
      <c r="A34" s="25">
        <v>45470.66666666667</v>
      </c>
      <c r="B34" s="17">
        <f>IFERROR(__xludf.DUMMYFUNCTION("""COMPUTED_VALUE"""),5482.87)</f>
        <v>5482.87</v>
      </c>
      <c r="C34" s="17">
        <f>IFERROR(__xludf.DUMMYFUNCTION("""COMPUTED_VALUE"""),17858.68)</f>
        <v>17858.68</v>
      </c>
      <c r="D34" s="17">
        <f>IFERROR(__xludf.DUMMYFUNCTION("""COMPUTED_VALUE"""),39164.06)</f>
        <v>39164.06</v>
      </c>
      <c r="E34" s="17">
        <f>IFERROR(__xludf.DUMMYFUNCTION("""COMPUTED_VALUE"""),2038.34)</f>
        <v>2038.34</v>
      </c>
      <c r="F34" s="26">
        <f>IFERROR(__xludf.DUMMYFUNCTION("""COMPUTED_VALUE"""),546.76)</f>
        <v>546.76</v>
      </c>
      <c r="G34" s="26">
        <f>IFERROR(__xludf.DUMMYFUNCTION("""COMPUTED_VALUE"""),197.85)</f>
        <v>197.85</v>
      </c>
      <c r="H34" s="26">
        <f>IFERROR(__xludf.DUMMYFUNCTION("""COMPUTED_VALUE"""),129.27)</f>
        <v>129.27</v>
      </c>
      <c r="I34" s="26">
        <f>IFERROR(__xludf.DUMMYFUNCTION("""COMPUTED_VALUE"""),214.1)</f>
        <v>214.1</v>
      </c>
      <c r="J34" s="26">
        <f>IFERROR(__xludf.DUMMYFUNCTION("""COMPUTED_VALUE"""),232.53)</f>
        <v>232.53</v>
      </c>
      <c r="K34" s="26">
        <f>IFERROR(__xludf.DUMMYFUNCTION("""COMPUTED_VALUE"""),59.54)</f>
        <v>59.54</v>
      </c>
      <c r="L34" s="26">
        <f>IFERROR(__xludf.DUMMYFUNCTION("""COMPUTED_VALUE"""),10.68)</f>
        <v>10.68</v>
      </c>
      <c r="M34" s="26">
        <f>IFERROR(__xludf.DUMMYFUNCTION("""COMPUTED_VALUE"""),407.95)</f>
        <v>407.95</v>
      </c>
      <c r="N34" s="26">
        <f>IFERROR(__xludf.DUMMYFUNCTION("""COMPUTED_VALUE"""),56.74)</f>
        <v>56.74</v>
      </c>
      <c r="O34" s="26">
        <f>IFERROR(__xludf.DUMMYFUNCTION("""COMPUTED_VALUE"""),228.72)</f>
        <v>228.72</v>
      </c>
      <c r="P34" s="26">
        <f>IFERROR(__xludf.DUMMYFUNCTION("""COMPUTED_VALUE"""),63.23)</f>
        <v>63.23</v>
      </c>
      <c r="Q34" s="26">
        <f>IFERROR(__xludf.DUMMYFUNCTION("""COMPUTED_VALUE"""),327.46)</f>
        <v>327.46</v>
      </c>
      <c r="R34" s="26">
        <f>IFERROR(__xludf.DUMMYFUNCTION("""COMPUTED_VALUE"""),51.76)</f>
        <v>51.76</v>
      </c>
      <c r="S34" s="26">
        <f>IFERROR(__xludf.DUMMYFUNCTION("""COMPUTED_VALUE"""),162.7)</f>
        <v>162.7</v>
      </c>
      <c r="T34" s="26">
        <f>IFERROR(__xludf.DUMMYFUNCTION("""COMPUTED_VALUE"""),156.32)</f>
        <v>156.32</v>
      </c>
      <c r="U34" s="26">
        <f>IFERROR(__xludf.DUMMYFUNCTION("""COMPUTED_VALUE"""),334.15)</f>
        <v>334.15</v>
      </c>
      <c r="V34" s="26">
        <f>IFERROR(__xludf.DUMMYFUNCTION("""COMPUTED_VALUE"""),34.63)</f>
        <v>34.63</v>
      </c>
      <c r="W34" s="26">
        <f>IFERROR(__xludf.DUMMYFUNCTION("""COMPUTED_VALUE"""),63.91)</f>
        <v>63.91</v>
      </c>
      <c r="X34" s="26">
        <f>IFERROR(__xludf.DUMMYFUNCTION("""COMPUTED_VALUE"""),89.68)</f>
        <v>89.68</v>
      </c>
      <c r="Y34" s="26">
        <f>IFERROR(__xludf.DUMMYFUNCTION("""COMPUTED_VALUE"""),148.72)</f>
        <v>148.72</v>
      </c>
      <c r="Z34" s="26">
        <f>IFERROR(__xludf.DUMMYFUNCTION("""COMPUTED_VALUE"""),105.21)</f>
        <v>105.21</v>
      </c>
      <c r="AA34" s="26">
        <f>IFERROR(__xludf.DUMMYFUNCTION("""COMPUTED_VALUE"""),515.99)</f>
        <v>515.99</v>
      </c>
      <c r="AB34" s="26">
        <f>IFERROR(__xludf.DUMMYFUNCTION("""COMPUTED_VALUE"""),53.05)</f>
        <v>53.05</v>
      </c>
      <c r="AC34" s="26">
        <f>IFERROR(__xludf.DUMMYFUNCTION("""COMPUTED_VALUE"""),114.9)</f>
        <v>114.9</v>
      </c>
      <c r="AD34" s="26">
        <f>IFERROR(__xludf.DUMMYFUNCTION("""COMPUTED_VALUE"""),295.47)</f>
        <v>295.47</v>
      </c>
      <c r="AE34" s="26">
        <f>IFERROR(__xludf.DUMMYFUNCTION("""COMPUTED_VALUE"""),409.46)</f>
        <v>409.46</v>
      </c>
      <c r="AF34" s="26">
        <f>IFERROR(__xludf.DUMMYFUNCTION("""COMPUTED_VALUE"""),292.5)</f>
        <v>292.5</v>
      </c>
      <c r="AG34" s="26">
        <f>IFERROR(__xludf.DUMMYFUNCTION("""COMPUTED_VALUE"""),45.58)</f>
        <v>45.58</v>
      </c>
      <c r="AH34" s="26">
        <f>IFERROR(__xludf.DUMMYFUNCTION("""COMPUTED_VALUE"""),68.83)</f>
        <v>68.83</v>
      </c>
      <c r="AI34" s="26">
        <f>IFERROR(__xludf.DUMMYFUNCTION("""COMPUTED_VALUE"""),445.96)</f>
        <v>445.96</v>
      </c>
      <c r="AJ34" s="26">
        <f>IFERROR(__xludf.DUMMYFUNCTION("""COMPUTED_VALUE"""),341.49)</f>
        <v>341.49</v>
      </c>
      <c r="AK34" s="26">
        <f>IFERROR(__xludf.DUMMYFUNCTION("""COMPUTED_VALUE"""),97.62)</f>
        <v>97.62</v>
      </c>
      <c r="AL34" s="26">
        <f>IFERROR(__xludf.DUMMYFUNCTION("""COMPUTED_VALUE"""),137.47)</f>
        <v>137.47</v>
      </c>
      <c r="AM34" s="26">
        <f>IFERROR(__xludf.DUMMYFUNCTION("""COMPUTED_VALUE"""),445.11)</f>
        <v>445.11</v>
      </c>
      <c r="AN34" s="26">
        <f>IFERROR(__xludf.DUMMYFUNCTION("""COMPUTED_VALUE"""),199.17)</f>
        <v>199.17</v>
      </c>
      <c r="AO34" s="26">
        <f>IFERROR(__xludf.DUMMYFUNCTION("""COMPUTED_VALUE"""),467.13)</f>
        <v>467.13</v>
      </c>
      <c r="AP34" s="26">
        <f>IFERROR(__xludf.DUMMYFUNCTION("""COMPUTED_VALUE"""),308.3)</f>
        <v>308.3</v>
      </c>
      <c r="AQ34" s="26">
        <f>IFERROR(__xludf.DUMMYFUNCTION("""COMPUTED_VALUE"""),26.5)</f>
        <v>26.5</v>
      </c>
      <c r="AR34" s="26">
        <f>IFERROR(__xludf.DUMMYFUNCTION("""COMPUTED_VALUE"""),79.33)</f>
        <v>79.33</v>
      </c>
      <c r="AS34" s="26">
        <f>IFERROR(__xludf.DUMMYFUNCTION("""COMPUTED_VALUE"""),70.86)</f>
        <v>70.86</v>
      </c>
      <c r="AT34" s="26">
        <f>IFERROR(__xludf.DUMMYFUNCTION("""COMPUTED_VALUE"""),452.85)</f>
        <v>452.85</v>
      </c>
      <c r="AU34" s="26">
        <f>IFERROR(__xludf.DUMMYFUNCTION("""COMPUTED_VALUE"""),73.72)</f>
        <v>73.72</v>
      </c>
      <c r="AV34" s="26">
        <f>IFERROR(__xludf.DUMMYFUNCTION("""COMPUTED_VALUE"""),123.99)</f>
        <v>123.99</v>
      </c>
      <c r="AW34" s="26">
        <f>IFERROR(__xludf.DUMMYFUNCTION("""COMPUTED_VALUE"""),96.0)</f>
        <v>96</v>
      </c>
      <c r="AX34" s="26">
        <f>IFERROR(__xludf.DUMMYFUNCTION("""COMPUTED_VALUE"""),39.03)</f>
        <v>39.03</v>
      </c>
      <c r="AY34" s="26">
        <f>IFERROR(__xludf.DUMMYFUNCTION("""COMPUTED_VALUE"""),25.22)</f>
        <v>25.22</v>
      </c>
      <c r="AZ34" s="26">
        <f>IFERROR(__xludf.DUMMYFUNCTION("""COMPUTED_VALUE"""),58.37)</f>
        <v>58.37</v>
      </c>
      <c r="BA34" s="26">
        <f>IFERROR(__xludf.DUMMYFUNCTION("""COMPUTED_VALUE"""),27.8)</f>
        <v>27.8</v>
      </c>
      <c r="BB34" s="26">
        <f>IFERROR(__xludf.DUMMYFUNCTION("""COMPUTED_VALUE"""),100.62)</f>
        <v>100.62</v>
      </c>
      <c r="BC34" s="26">
        <f>IFERROR(__xludf.DUMMYFUNCTION("""COMPUTED_VALUE"""),177.42)</f>
        <v>177.42</v>
      </c>
      <c r="BD34" s="26">
        <f>IFERROR(__xludf.DUMMYFUNCTION("""COMPUTED_VALUE"""),550.78)</f>
        <v>550.78</v>
      </c>
      <c r="BE34" s="26">
        <f>IFERROR(__xludf.DUMMYFUNCTION("""COMPUTED_VALUE"""),203.88)</f>
        <v>203.88</v>
      </c>
      <c r="BF34" s="26">
        <f>IFERROR(__xludf.DUMMYFUNCTION("""COMPUTED_VALUE"""),147.82)</f>
        <v>147.82</v>
      </c>
      <c r="BG34" s="26">
        <f>IFERROR(__xludf.DUMMYFUNCTION("""COMPUTED_VALUE"""),6.85)</f>
        <v>6.85</v>
      </c>
      <c r="BH34" s="26">
        <f>IFERROR(__xludf.DUMMYFUNCTION("""COMPUTED_VALUE"""),223.47)</f>
        <v>223.47</v>
      </c>
      <c r="BI34" s="26">
        <f>IFERROR(__xludf.DUMMYFUNCTION("""COMPUTED_VALUE"""),486.44)</f>
        <v>486.44</v>
      </c>
      <c r="BJ34" s="26">
        <f>IFERROR(__xludf.DUMMYFUNCTION("""COMPUTED_VALUE"""),48.51)</f>
        <v>48.51</v>
      </c>
      <c r="BK34" s="26">
        <f>IFERROR(__xludf.DUMMYFUNCTION("""COMPUTED_VALUE"""),10.48)</f>
        <v>10.48</v>
      </c>
      <c r="BL34" s="26">
        <f>IFERROR(__xludf.DUMMYFUNCTION("""COMPUTED_VALUE"""),212.67)</f>
        <v>212.67</v>
      </c>
      <c r="BM34" s="26">
        <f>IFERROR(__xludf.DUMMYFUNCTION("""COMPUTED_VALUE"""),102.17)</f>
        <v>102.17</v>
      </c>
    </row>
    <row r="35">
      <c r="A35" s="25">
        <v>45471.66666666667</v>
      </c>
      <c r="B35" s="17">
        <f>IFERROR(__xludf.DUMMYFUNCTION("""COMPUTED_VALUE"""),5460.48)</f>
        <v>5460.48</v>
      </c>
      <c r="C35" s="17">
        <f>IFERROR(__xludf.DUMMYFUNCTION("""COMPUTED_VALUE"""),17732.6)</f>
        <v>17732.6</v>
      </c>
      <c r="D35" s="17">
        <f>IFERROR(__xludf.DUMMYFUNCTION("""COMPUTED_VALUE"""),39118.86)</f>
        <v>39118.86</v>
      </c>
      <c r="E35" s="17">
        <f>IFERROR(__xludf.DUMMYFUNCTION("""COMPUTED_VALUE"""),2047.69)</f>
        <v>2047.69</v>
      </c>
      <c r="F35" s="26">
        <f>IFERROR(__xludf.DUMMYFUNCTION("""COMPUTED_VALUE"""),555.54)</f>
        <v>555.54</v>
      </c>
      <c r="G35" s="26">
        <f>IFERROR(__xludf.DUMMYFUNCTION("""COMPUTED_VALUE"""),193.25)</f>
        <v>193.25</v>
      </c>
      <c r="H35" s="26">
        <f>IFERROR(__xludf.DUMMYFUNCTION("""COMPUTED_VALUE"""),129.16)</f>
        <v>129.16</v>
      </c>
      <c r="I35" s="26">
        <f>IFERROR(__xludf.DUMMYFUNCTION("""COMPUTED_VALUE"""),210.62)</f>
        <v>210.62</v>
      </c>
      <c r="J35" s="26">
        <f>IFERROR(__xludf.DUMMYFUNCTION("""COMPUTED_VALUE"""),235.99)</f>
        <v>235.99</v>
      </c>
      <c r="K35" s="26">
        <f>IFERROR(__xludf.DUMMYFUNCTION("""COMPUTED_VALUE"""),59.89)</f>
        <v>59.89</v>
      </c>
      <c r="L35" s="26">
        <f>IFERROR(__xludf.DUMMYFUNCTION("""COMPUTED_VALUE"""),10.71)</f>
        <v>10.71</v>
      </c>
      <c r="M35" s="26">
        <f>IFERROR(__xludf.DUMMYFUNCTION("""COMPUTED_VALUE"""),406.8)</f>
        <v>406.8</v>
      </c>
      <c r="N35" s="26">
        <f>IFERROR(__xludf.DUMMYFUNCTION("""COMPUTED_VALUE"""),57.09)</f>
        <v>57.09</v>
      </c>
      <c r="O35" s="26">
        <f>IFERROR(__xludf.DUMMYFUNCTION("""COMPUTED_VALUE"""),231.82)</f>
        <v>231.82</v>
      </c>
      <c r="P35" s="26">
        <f>IFERROR(__xludf.DUMMYFUNCTION("""COMPUTED_VALUE"""),63.08)</f>
        <v>63.08</v>
      </c>
      <c r="Q35" s="26">
        <f>IFERROR(__xludf.DUMMYFUNCTION("""COMPUTED_VALUE"""),333.1)</f>
        <v>333.1</v>
      </c>
      <c r="R35" s="26">
        <f>IFERROR(__xludf.DUMMYFUNCTION("""COMPUTED_VALUE"""),49.2)</f>
        <v>49.2</v>
      </c>
      <c r="S35" s="26">
        <f>IFERROR(__xludf.DUMMYFUNCTION("""COMPUTED_VALUE"""),165.0)</f>
        <v>165</v>
      </c>
      <c r="T35" s="26">
        <f>IFERROR(__xludf.DUMMYFUNCTION("""COMPUTED_VALUE"""),156.42)</f>
        <v>156.42</v>
      </c>
      <c r="U35" s="26">
        <f>IFERROR(__xludf.DUMMYFUNCTION("""COMPUTED_VALUE"""),330.57)</f>
        <v>330.57</v>
      </c>
      <c r="V35" s="26">
        <f>IFERROR(__xludf.DUMMYFUNCTION("""COMPUTED_VALUE"""),36.03)</f>
        <v>36.03</v>
      </c>
      <c r="W35" s="26">
        <f>IFERROR(__xludf.DUMMYFUNCTION("""COMPUTED_VALUE"""),63.65)</f>
        <v>63.65</v>
      </c>
      <c r="X35" s="26">
        <f>IFERROR(__xludf.DUMMYFUNCTION("""COMPUTED_VALUE"""),89.42)</f>
        <v>89.42</v>
      </c>
      <c r="Y35" s="26">
        <f>IFERROR(__xludf.DUMMYFUNCTION("""COMPUTED_VALUE"""),152.05)</f>
        <v>152.05</v>
      </c>
      <c r="Z35" s="26">
        <f>IFERROR(__xludf.DUMMYFUNCTION("""COMPUTED_VALUE"""),106.77)</f>
        <v>106.77</v>
      </c>
      <c r="AA35" s="26">
        <f>IFERROR(__xludf.DUMMYFUNCTION("""COMPUTED_VALUE"""),516.33)</f>
        <v>516.33</v>
      </c>
      <c r="AB35" s="26">
        <f>IFERROR(__xludf.DUMMYFUNCTION("""COMPUTED_VALUE"""),53.72)</f>
        <v>53.72</v>
      </c>
      <c r="AC35" s="26">
        <f>IFERROR(__xludf.DUMMYFUNCTION("""COMPUTED_VALUE"""),115.12)</f>
        <v>115.12</v>
      </c>
      <c r="AD35" s="26">
        <f>IFERROR(__xludf.DUMMYFUNCTION("""COMPUTED_VALUE"""),299.84)</f>
        <v>299.84</v>
      </c>
      <c r="AE35" s="26">
        <f>IFERROR(__xludf.DUMMYFUNCTION("""COMPUTED_VALUE"""),408.37)</f>
        <v>408.37</v>
      </c>
      <c r="AF35" s="26">
        <f>IFERROR(__xludf.DUMMYFUNCTION("""COMPUTED_VALUE"""),290.14)</f>
        <v>290.14</v>
      </c>
      <c r="AG35" s="26">
        <f>IFERROR(__xludf.DUMMYFUNCTION("""COMPUTED_VALUE"""),46.46)</f>
        <v>46.46</v>
      </c>
      <c r="AH35" s="26">
        <f>IFERROR(__xludf.DUMMYFUNCTION("""COMPUTED_VALUE"""),68.61)</f>
        <v>68.61</v>
      </c>
      <c r="AI35" s="26">
        <f>IFERROR(__xludf.DUMMYFUNCTION("""COMPUTED_VALUE"""),452.32)</f>
        <v>452.32</v>
      </c>
      <c r="AJ35" s="26">
        <f>IFERROR(__xludf.DUMMYFUNCTION("""COMPUTED_VALUE"""),344.24)</f>
        <v>344.24</v>
      </c>
      <c r="AK35" s="26">
        <f>IFERROR(__xludf.DUMMYFUNCTION("""COMPUTED_VALUE"""),98.5)</f>
        <v>98.5</v>
      </c>
      <c r="AL35" s="26">
        <f>IFERROR(__xludf.DUMMYFUNCTION("""COMPUTED_VALUE"""),136.89)</f>
        <v>136.89</v>
      </c>
      <c r="AM35" s="26">
        <f>IFERROR(__xludf.DUMMYFUNCTION("""COMPUTED_VALUE"""),444.85)</f>
        <v>444.85</v>
      </c>
      <c r="AN35" s="26">
        <f>IFERROR(__xludf.DUMMYFUNCTION("""COMPUTED_VALUE"""),202.26)</f>
        <v>202.26</v>
      </c>
      <c r="AO35" s="26">
        <f>IFERROR(__xludf.DUMMYFUNCTION("""COMPUTED_VALUE"""),467.1)</f>
        <v>467.1</v>
      </c>
      <c r="AP35" s="26">
        <f>IFERROR(__xludf.DUMMYFUNCTION("""COMPUTED_VALUE"""),298.7)</f>
        <v>298.7</v>
      </c>
      <c r="AQ35" s="26">
        <f>IFERROR(__xludf.DUMMYFUNCTION("""COMPUTED_VALUE"""),26.62)</f>
        <v>26.62</v>
      </c>
      <c r="AR35" s="26">
        <f>IFERROR(__xludf.DUMMYFUNCTION("""COMPUTED_VALUE"""),78.71)</f>
        <v>78.71</v>
      </c>
      <c r="AS35" s="26">
        <f>IFERROR(__xludf.DUMMYFUNCTION("""COMPUTED_VALUE"""),70.19)</f>
        <v>70.19</v>
      </c>
      <c r="AT35" s="26">
        <f>IFERROR(__xludf.DUMMYFUNCTION("""COMPUTED_VALUE"""),446.95)</f>
        <v>446.95</v>
      </c>
      <c r="AU35" s="26">
        <f>IFERROR(__xludf.DUMMYFUNCTION("""COMPUTED_VALUE"""),70.81)</f>
        <v>70.81</v>
      </c>
      <c r="AV35" s="26">
        <f>IFERROR(__xludf.DUMMYFUNCTION("""COMPUTED_VALUE"""),123.54)</f>
        <v>123.54</v>
      </c>
      <c r="AW35" s="26">
        <f>IFERROR(__xludf.DUMMYFUNCTION("""COMPUTED_VALUE"""),96.26)</f>
        <v>96.26</v>
      </c>
      <c r="AX35" s="26">
        <f>IFERROR(__xludf.DUMMYFUNCTION("""COMPUTED_VALUE"""),38.8)</f>
        <v>38.8</v>
      </c>
      <c r="AY35" s="26">
        <f>IFERROR(__xludf.DUMMYFUNCTION("""COMPUTED_VALUE"""),25.33)</f>
        <v>25.33</v>
      </c>
      <c r="AZ35" s="26">
        <f>IFERROR(__xludf.DUMMYFUNCTION("""COMPUTED_VALUE"""),58.03)</f>
        <v>58.03</v>
      </c>
      <c r="BA35" s="26">
        <f>IFERROR(__xludf.DUMMYFUNCTION("""COMPUTED_VALUE"""),27.98)</f>
        <v>27.98</v>
      </c>
      <c r="BB35" s="26">
        <f>IFERROR(__xludf.DUMMYFUNCTION("""COMPUTED_VALUE"""),100.39)</f>
        <v>100.39</v>
      </c>
      <c r="BC35" s="26">
        <f>IFERROR(__xludf.DUMMYFUNCTION("""COMPUTED_VALUE"""),176.18)</f>
        <v>176.18</v>
      </c>
      <c r="BD35" s="26">
        <f>IFERROR(__xludf.DUMMYFUNCTION("""COMPUTED_VALUE"""),553.0)</f>
        <v>553</v>
      </c>
      <c r="BE35" s="26">
        <f>IFERROR(__xludf.DUMMYFUNCTION("""COMPUTED_VALUE"""),204.97)</f>
        <v>204.97</v>
      </c>
      <c r="BF35" s="26">
        <f>IFERROR(__xludf.DUMMYFUNCTION("""COMPUTED_VALUE"""),150.62)</f>
        <v>150.62</v>
      </c>
      <c r="BG35" s="26">
        <f>IFERROR(__xludf.DUMMYFUNCTION("""COMPUTED_VALUE"""),6.67)</f>
        <v>6.67</v>
      </c>
      <c r="BH35" s="26">
        <f>IFERROR(__xludf.DUMMYFUNCTION("""COMPUTED_VALUE"""),226.26)</f>
        <v>226.26</v>
      </c>
      <c r="BI35" s="26">
        <f>IFERROR(__xludf.DUMMYFUNCTION("""COMPUTED_VALUE"""),509.26)</f>
        <v>509.26</v>
      </c>
      <c r="BJ35" s="26">
        <f>IFERROR(__xludf.DUMMYFUNCTION("""COMPUTED_VALUE"""),48.54)</f>
        <v>48.54</v>
      </c>
      <c r="BK35" s="26">
        <f>IFERROR(__xludf.DUMMYFUNCTION("""COMPUTED_VALUE"""),10.63)</f>
        <v>10.63</v>
      </c>
      <c r="BL35" s="26">
        <f>IFERROR(__xludf.DUMMYFUNCTION("""COMPUTED_VALUE"""),213.34)</f>
        <v>213.34</v>
      </c>
      <c r="BM35" s="26">
        <f>IFERROR(__xludf.DUMMYFUNCTION("""COMPUTED_VALUE"""),99.29)</f>
        <v>99.29</v>
      </c>
    </row>
    <row r="36">
      <c r="A36" s="25">
        <v>45474.66666666667</v>
      </c>
      <c r="B36" s="17">
        <f>IFERROR(__xludf.DUMMYFUNCTION("""COMPUTED_VALUE"""),5475.09)</f>
        <v>5475.09</v>
      </c>
      <c r="C36" s="17">
        <f>IFERROR(__xludf.DUMMYFUNCTION("""COMPUTED_VALUE"""),17879.3)</f>
        <v>17879.3</v>
      </c>
      <c r="D36" s="17">
        <f>IFERROR(__xludf.DUMMYFUNCTION("""COMPUTED_VALUE"""),39169.52)</f>
        <v>39169.52</v>
      </c>
      <c r="E36" s="17">
        <f>IFERROR(__xludf.DUMMYFUNCTION("""COMPUTED_VALUE"""),2030.07)</f>
        <v>2030.07</v>
      </c>
      <c r="F36" s="26">
        <f>IFERROR(__xludf.DUMMYFUNCTION("""COMPUTED_VALUE"""),560.01)</f>
        <v>560.01</v>
      </c>
      <c r="G36" s="26">
        <f>IFERROR(__xludf.DUMMYFUNCTION("""COMPUTED_VALUE"""),197.2)</f>
        <v>197.2</v>
      </c>
      <c r="H36" s="26">
        <f>IFERROR(__xludf.DUMMYFUNCTION("""COMPUTED_VALUE"""),127.76)</f>
        <v>127.76</v>
      </c>
      <c r="I36" s="26">
        <f>IFERROR(__xludf.DUMMYFUNCTION("""COMPUTED_VALUE"""),216.75)</f>
        <v>216.75</v>
      </c>
      <c r="J36" s="26">
        <f>IFERROR(__xludf.DUMMYFUNCTION("""COMPUTED_VALUE"""),237.41)</f>
        <v>237.41</v>
      </c>
      <c r="K36" s="26">
        <f>IFERROR(__xludf.DUMMYFUNCTION("""COMPUTED_VALUE"""),60.11)</f>
        <v>60.11</v>
      </c>
      <c r="L36" s="26">
        <f>IFERROR(__xludf.DUMMYFUNCTION("""COMPUTED_VALUE"""),10.87)</f>
        <v>10.87</v>
      </c>
      <c r="M36" s="26">
        <f>IFERROR(__xludf.DUMMYFUNCTION("""COMPUTED_VALUE"""),405.19)</f>
        <v>405.19</v>
      </c>
      <c r="N36" s="26">
        <f>IFERROR(__xludf.DUMMYFUNCTION("""COMPUTED_VALUE"""),57.71)</f>
        <v>57.71</v>
      </c>
      <c r="O36" s="26">
        <f>IFERROR(__xludf.DUMMYFUNCTION("""COMPUTED_VALUE"""),231.77)</f>
        <v>231.77</v>
      </c>
      <c r="P36" s="26">
        <f>IFERROR(__xludf.DUMMYFUNCTION("""COMPUTED_VALUE"""),61.9)</f>
        <v>61.9</v>
      </c>
      <c r="Q36" s="26">
        <f>IFERROR(__xludf.DUMMYFUNCTION("""COMPUTED_VALUE"""),329.08)</f>
        <v>329.08</v>
      </c>
      <c r="R36" s="26">
        <f>IFERROR(__xludf.DUMMYFUNCTION("""COMPUTED_VALUE"""),50.22)</f>
        <v>50.22</v>
      </c>
      <c r="S36" s="26">
        <f>IFERROR(__xludf.DUMMYFUNCTION("""COMPUTED_VALUE"""),165.0)</f>
        <v>165</v>
      </c>
      <c r="T36" s="26">
        <f>IFERROR(__xludf.DUMMYFUNCTION("""COMPUTED_VALUE"""),156.52)</f>
        <v>156.52</v>
      </c>
      <c r="U36" s="26">
        <f>IFERROR(__xludf.DUMMYFUNCTION("""COMPUTED_VALUE"""),326.27)</f>
        <v>326.27</v>
      </c>
      <c r="V36" s="26">
        <f>IFERROR(__xludf.DUMMYFUNCTION("""COMPUTED_VALUE"""),35.83)</f>
        <v>35.83</v>
      </c>
      <c r="W36" s="26">
        <f>IFERROR(__xludf.DUMMYFUNCTION("""COMPUTED_VALUE"""),63.28)</f>
        <v>63.28</v>
      </c>
      <c r="X36" s="26">
        <f>IFERROR(__xludf.DUMMYFUNCTION("""COMPUTED_VALUE"""),88.81)</f>
        <v>88.81</v>
      </c>
      <c r="Y36" s="26">
        <f>IFERROR(__xludf.DUMMYFUNCTION("""COMPUTED_VALUE"""),152.13)</f>
        <v>152.13</v>
      </c>
      <c r="Z36" s="26">
        <f>IFERROR(__xludf.DUMMYFUNCTION("""COMPUTED_VALUE"""),107.25)</f>
        <v>107.25</v>
      </c>
      <c r="AA36" s="26">
        <f>IFERROR(__xludf.DUMMYFUNCTION("""COMPUTED_VALUE"""),505.35)</f>
        <v>505.35</v>
      </c>
      <c r="AB36" s="26">
        <f>IFERROR(__xludf.DUMMYFUNCTION("""COMPUTED_VALUE"""),52.68)</f>
        <v>52.68</v>
      </c>
      <c r="AC36" s="26">
        <f>IFERROR(__xludf.DUMMYFUNCTION("""COMPUTED_VALUE"""),114.96)</f>
        <v>114.96</v>
      </c>
      <c r="AD36" s="26">
        <f>IFERROR(__xludf.DUMMYFUNCTION("""COMPUTED_VALUE"""),298.68)</f>
        <v>298.68</v>
      </c>
      <c r="AE36" s="26">
        <f>IFERROR(__xludf.DUMMYFUNCTION("""COMPUTED_VALUE"""),410.24)</f>
        <v>410.24</v>
      </c>
      <c r="AF36" s="26">
        <f>IFERROR(__xludf.DUMMYFUNCTION("""COMPUTED_VALUE"""),287.87)</f>
        <v>287.87</v>
      </c>
      <c r="AG36" s="26">
        <f>IFERROR(__xludf.DUMMYFUNCTION("""COMPUTED_VALUE"""),46.68)</f>
        <v>46.68</v>
      </c>
      <c r="AH36" s="26">
        <f>IFERROR(__xludf.DUMMYFUNCTION("""COMPUTED_VALUE"""),68.64)</f>
        <v>68.64</v>
      </c>
      <c r="AI36" s="26">
        <f>IFERROR(__xludf.DUMMYFUNCTION("""COMPUTED_VALUE"""),463.66)</f>
        <v>463.66</v>
      </c>
      <c r="AJ36" s="26">
        <f>IFERROR(__xludf.DUMMYFUNCTION("""COMPUTED_VALUE"""),336.19)</f>
        <v>336.19</v>
      </c>
      <c r="AK36" s="26">
        <f>IFERROR(__xludf.DUMMYFUNCTION("""COMPUTED_VALUE"""),98.63)</f>
        <v>98.63</v>
      </c>
      <c r="AL36" s="26">
        <f>IFERROR(__xludf.DUMMYFUNCTION("""COMPUTED_VALUE"""),136.93)</f>
        <v>136.93</v>
      </c>
      <c r="AM36" s="26">
        <f>IFERROR(__xludf.DUMMYFUNCTION("""COMPUTED_VALUE"""),436.24)</f>
        <v>436.24</v>
      </c>
      <c r="AN36" s="26">
        <f>IFERROR(__xludf.DUMMYFUNCTION("""COMPUTED_VALUE"""),205.45)</f>
        <v>205.45</v>
      </c>
      <c r="AO36" s="26">
        <f>IFERROR(__xludf.DUMMYFUNCTION("""COMPUTED_VALUE"""),466.44)</f>
        <v>466.44</v>
      </c>
      <c r="AP36" s="26">
        <f>IFERROR(__xludf.DUMMYFUNCTION("""COMPUTED_VALUE"""),302.36)</f>
        <v>302.36</v>
      </c>
      <c r="AQ36" s="26">
        <f>IFERROR(__xludf.DUMMYFUNCTION("""COMPUTED_VALUE"""),26.3)</f>
        <v>26.3</v>
      </c>
      <c r="AR36" s="26">
        <f>IFERROR(__xludf.DUMMYFUNCTION("""COMPUTED_VALUE"""),77.12)</f>
        <v>77.12</v>
      </c>
      <c r="AS36" s="26">
        <f>IFERROR(__xludf.DUMMYFUNCTION("""COMPUTED_VALUE"""),69.88)</f>
        <v>69.88</v>
      </c>
      <c r="AT36" s="26">
        <f>IFERROR(__xludf.DUMMYFUNCTION("""COMPUTED_VALUE"""),456.73)</f>
        <v>456.73</v>
      </c>
      <c r="AU36" s="26">
        <f>IFERROR(__xludf.DUMMYFUNCTION("""COMPUTED_VALUE"""),69.9)</f>
        <v>69.9</v>
      </c>
      <c r="AV36" s="26">
        <f>IFERROR(__xludf.DUMMYFUNCTION("""COMPUTED_VALUE"""),124.3)</f>
        <v>124.3</v>
      </c>
      <c r="AW36" s="26">
        <f>IFERROR(__xludf.DUMMYFUNCTION("""COMPUTED_VALUE"""),94.95)</f>
        <v>94.95</v>
      </c>
      <c r="AX36" s="26">
        <f>IFERROR(__xludf.DUMMYFUNCTION("""COMPUTED_VALUE"""),38.03)</f>
        <v>38.03</v>
      </c>
      <c r="AY36" s="26">
        <f>IFERROR(__xludf.DUMMYFUNCTION("""COMPUTED_VALUE"""),25.88)</f>
        <v>25.88</v>
      </c>
      <c r="AZ36" s="26">
        <f>IFERROR(__xludf.DUMMYFUNCTION("""COMPUTED_VALUE"""),57.81)</f>
        <v>57.81</v>
      </c>
      <c r="BA36" s="26">
        <f>IFERROR(__xludf.DUMMYFUNCTION("""COMPUTED_VALUE"""),28.22)</f>
        <v>28.22</v>
      </c>
      <c r="BB36" s="26">
        <f>IFERROR(__xludf.DUMMYFUNCTION("""COMPUTED_VALUE"""),99.55)</f>
        <v>99.55</v>
      </c>
      <c r="BC36" s="26">
        <f>IFERROR(__xludf.DUMMYFUNCTION("""COMPUTED_VALUE"""),179.08)</f>
        <v>179.08</v>
      </c>
      <c r="BD36" s="26">
        <f>IFERROR(__xludf.DUMMYFUNCTION("""COMPUTED_VALUE"""),541.72)</f>
        <v>541.72</v>
      </c>
      <c r="BE36" s="26">
        <f>IFERROR(__xludf.DUMMYFUNCTION("""COMPUTED_VALUE"""),203.71)</f>
        <v>203.71</v>
      </c>
      <c r="BF36" s="26">
        <f>IFERROR(__xludf.DUMMYFUNCTION("""COMPUTED_VALUE"""),150.19)</f>
        <v>150.19</v>
      </c>
      <c r="BG36" s="26">
        <f>IFERROR(__xludf.DUMMYFUNCTION("""COMPUTED_VALUE"""),6.51)</f>
        <v>6.51</v>
      </c>
      <c r="BH36" s="26">
        <f>IFERROR(__xludf.DUMMYFUNCTION("""COMPUTED_VALUE"""),224.86)</f>
        <v>224.86</v>
      </c>
      <c r="BI36" s="26">
        <f>IFERROR(__xludf.DUMMYFUNCTION("""COMPUTED_VALUE"""),494.65)</f>
        <v>494.65</v>
      </c>
      <c r="BJ36" s="26">
        <f>IFERROR(__xludf.DUMMYFUNCTION("""COMPUTED_VALUE"""),48.06)</f>
        <v>48.06</v>
      </c>
      <c r="BK36" s="26">
        <f>IFERROR(__xludf.DUMMYFUNCTION("""COMPUTED_VALUE"""),10.59)</f>
        <v>10.59</v>
      </c>
      <c r="BL36" s="26">
        <f>IFERROR(__xludf.DUMMYFUNCTION("""COMPUTED_VALUE"""),209.36)</f>
        <v>209.36</v>
      </c>
      <c r="BM36" s="26">
        <f>IFERROR(__xludf.DUMMYFUNCTION("""COMPUTED_VALUE"""),98.04)</f>
        <v>98.04</v>
      </c>
    </row>
    <row r="37">
      <c r="A37" s="25">
        <v>45475.66666666667</v>
      </c>
      <c r="B37" s="17">
        <f>IFERROR(__xludf.DUMMYFUNCTION("""COMPUTED_VALUE"""),5509.01)</f>
        <v>5509.01</v>
      </c>
      <c r="C37" s="17">
        <f>IFERROR(__xludf.DUMMYFUNCTION("""COMPUTED_VALUE"""),18028.76)</f>
        <v>18028.76</v>
      </c>
      <c r="D37" s="17">
        <f>IFERROR(__xludf.DUMMYFUNCTION("""COMPUTED_VALUE"""),39331.85)</f>
        <v>39331.85</v>
      </c>
      <c r="E37" s="17">
        <f>IFERROR(__xludf.DUMMYFUNCTION("""COMPUTED_VALUE"""),2033.87)</f>
        <v>2033.87</v>
      </c>
      <c r="F37" s="26">
        <f>IFERROR(__xludf.DUMMYFUNCTION("""COMPUTED_VALUE"""),567.71)</f>
        <v>567.71</v>
      </c>
      <c r="G37" s="26">
        <f>IFERROR(__xludf.DUMMYFUNCTION("""COMPUTED_VALUE"""),200.0)</f>
        <v>200</v>
      </c>
      <c r="H37" s="26">
        <f>IFERROR(__xludf.DUMMYFUNCTION("""COMPUTED_VALUE"""),128.46)</f>
        <v>128.46</v>
      </c>
      <c r="I37" s="26">
        <f>IFERROR(__xludf.DUMMYFUNCTION("""COMPUTED_VALUE"""),220.27)</f>
        <v>220.27</v>
      </c>
      <c r="J37" s="26">
        <f>IFERROR(__xludf.DUMMYFUNCTION("""COMPUTED_VALUE"""),240.86)</f>
        <v>240.86</v>
      </c>
      <c r="K37" s="26">
        <f>IFERROR(__xludf.DUMMYFUNCTION("""COMPUTED_VALUE"""),60.5)</f>
        <v>60.5</v>
      </c>
      <c r="L37" s="26">
        <f>IFERROR(__xludf.DUMMYFUNCTION("""COMPUTED_VALUE"""),10.89)</f>
        <v>10.89</v>
      </c>
      <c r="M37" s="26">
        <f>IFERROR(__xludf.DUMMYFUNCTION("""COMPUTED_VALUE"""),407.1)</f>
        <v>407.1</v>
      </c>
      <c r="N37" s="26">
        <f>IFERROR(__xludf.DUMMYFUNCTION("""COMPUTED_VALUE"""),57.75)</f>
        <v>57.75</v>
      </c>
      <c r="O37" s="26">
        <f>IFERROR(__xludf.DUMMYFUNCTION("""COMPUTED_VALUE"""),228.82)</f>
        <v>228.82</v>
      </c>
      <c r="P37" s="26">
        <f>IFERROR(__xludf.DUMMYFUNCTION("""COMPUTED_VALUE"""),62.83)</f>
        <v>62.83</v>
      </c>
      <c r="Q37" s="26">
        <f>IFERROR(__xludf.DUMMYFUNCTION("""COMPUTED_VALUE"""),327.76)</f>
        <v>327.76</v>
      </c>
      <c r="R37" s="26">
        <f>IFERROR(__xludf.DUMMYFUNCTION("""COMPUTED_VALUE"""),49.73)</f>
        <v>49.73</v>
      </c>
      <c r="S37" s="26">
        <f>IFERROR(__xludf.DUMMYFUNCTION("""COMPUTED_VALUE"""),167.73)</f>
        <v>167.73</v>
      </c>
      <c r="T37" s="26">
        <f>IFERROR(__xludf.DUMMYFUNCTION("""COMPUTED_VALUE"""),156.75)</f>
        <v>156.75</v>
      </c>
      <c r="U37" s="26">
        <f>IFERROR(__xludf.DUMMYFUNCTION("""COMPUTED_VALUE"""),325.91)</f>
        <v>325.91</v>
      </c>
      <c r="V37" s="26">
        <f>IFERROR(__xludf.DUMMYFUNCTION("""COMPUTED_VALUE"""),36.38)</f>
        <v>36.38</v>
      </c>
      <c r="W37" s="26">
        <f>IFERROR(__xludf.DUMMYFUNCTION("""COMPUTED_VALUE"""),63.15)</f>
        <v>63.15</v>
      </c>
      <c r="X37" s="26">
        <f>IFERROR(__xludf.DUMMYFUNCTION("""COMPUTED_VALUE"""),88.97)</f>
        <v>88.97</v>
      </c>
      <c r="Y37" s="26">
        <f>IFERROR(__xludf.DUMMYFUNCTION("""COMPUTED_VALUE"""),152.91)</f>
        <v>152.91</v>
      </c>
      <c r="Z37" s="26">
        <f>IFERROR(__xludf.DUMMYFUNCTION("""COMPUTED_VALUE"""),107.11)</f>
        <v>107.11</v>
      </c>
      <c r="AA37" s="26">
        <f>IFERROR(__xludf.DUMMYFUNCTION("""COMPUTED_VALUE"""),492.61)</f>
        <v>492.61</v>
      </c>
      <c r="AB37" s="26">
        <f>IFERROR(__xludf.DUMMYFUNCTION("""COMPUTED_VALUE"""),53.25)</f>
        <v>53.25</v>
      </c>
      <c r="AC37" s="26">
        <f>IFERROR(__xludf.DUMMYFUNCTION("""COMPUTED_VALUE"""),114.18)</f>
        <v>114.18</v>
      </c>
      <c r="AD37" s="26">
        <f>IFERROR(__xludf.DUMMYFUNCTION("""COMPUTED_VALUE"""),298.22)</f>
        <v>298.22</v>
      </c>
      <c r="AE37" s="26">
        <f>IFERROR(__xludf.DUMMYFUNCTION("""COMPUTED_VALUE"""),414.38)</f>
        <v>414.38</v>
      </c>
      <c r="AF37" s="26">
        <f>IFERROR(__xludf.DUMMYFUNCTION("""COMPUTED_VALUE"""),285.81)</f>
        <v>285.81</v>
      </c>
      <c r="AG37" s="26">
        <f>IFERROR(__xludf.DUMMYFUNCTION("""COMPUTED_VALUE"""),46.95)</f>
        <v>46.95</v>
      </c>
      <c r="AH37" s="26">
        <f>IFERROR(__xludf.DUMMYFUNCTION("""COMPUTED_VALUE"""),68.4)</f>
        <v>68.4</v>
      </c>
      <c r="AI37" s="26">
        <f>IFERROR(__xludf.DUMMYFUNCTION("""COMPUTED_VALUE"""),465.61)</f>
        <v>465.61</v>
      </c>
      <c r="AJ37" s="26">
        <f>IFERROR(__xludf.DUMMYFUNCTION("""COMPUTED_VALUE"""),334.97)</f>
        <v>334.97</v>
      </c>
      <c r="AK37" s="26">
        <f>IFERROR(__xludf.DUMMYFUNCTION("""COMPUTED_VALUE"""),99.26)</f>
        <v>99.26</v>
      </c>
      <c r="AL37" s="26">
        <f>IFERROR(__xludf.DUMMYFUNCTION("""COMPUTED_VALUE"""),140.82)</f>
        <v>140.82</v>
      </c>
      <c r="AM37" s="26">
        <f>IFERROR(__xludf.DUMMYFUNCTION("""COMPUTED_VALUE"""),438.81)</f>
        <v>438.81</v>
      </c>
      <c r="AN37" s="26">
        <f>IFERROR(__xludf.DUMMYFUNCTION("""COMPUTED_VALUE"""),208.83)</f>
        <v>208.83</v>
      </c>
      <c r="AO37" s="26">
        <f>IFERROR(__xludf.DUMMYFUNCTION("""COMPUTED_VALUE"""),465.7)</f>
        <v>465.7</v>
      </c>
      <c r="AP37" s="26">
        <f>IFERROR(__xludf.DUMMYFUNCTION("""COMPUTED_VALUE"""),301.67)</f>
        <v>301.67</v>
      </c>
      <c r="AQ37" s="26">
        <f>IFERROR(__xludf.DUMMYFUNCTION("""COMPUTED_VALUE"""),26.43)</f>
        <v>26.43</v>
      </c>
      <c r="AR37" s="26">
        <f>IFERROR(__xludf.DUMMYFUNCTION("""COMPUTED_VALUE"""),77.37)</f>
        <v>77.37</v>
      </c>
      <c r="AS37" s="26">
        <f>IFERROR(__xludf.DUMMYFUNCTION("""COMPUTED_VALUE"""),70.04)</f>
        <v>70.04</v>
      </c>
      <c r="AT37" s="26">
        <f>IFERROR(__xludf.DUMMYFUNCTION("""COMPUTED_VALUE"""),459.28)</f>
        <v>459.28</v>
      </c>
      <c r="AU37" s="26">
        <f>IFERROR(__xludf.DUMMYFUNCTION("""COMPUTED_VALUE"""),70.47)</f>
        <v>70.47</v>
      </c>
      <c r="AV37" s="26">
        <f>IFERROR(__xludf.DUMMYFUNCTION("""COMPUTED_VALUE"""),122.67)</f>
        <v>122.67</v>
      </c>
      <c r="AW37" s="26">
        <f>IFERROR(__xludf.DUMMYFUNCTION("""COMPUTED_VALUE"""),95.95)</f>
        <v>95.95</v>
      </c>
      <c r="AX37" s="26">
        <f>IFERROR(__xludf.DUMMYFUNCTION("""COMPUTED_VALUE"""),37.22)</f>
        <v>37.22</v>
      </c>
      <c r="AY37" s="26">
        <f>IFERROR(__xludf.DUMMYFUNCTION("""COMPUTED_VALUE"""),25.83)</f>
        <v>25.83</v>
      </c>
      <c r="AZ37" s="26">
        <f>IFERROR(__xludf.DUMMYFUNCTION("""COMPUTED_VALUE"""),58.97)</f>
        <v>58.97</v>
      </c>
      <c r="BA37" s="26">
        <f>IFERROR(__xludf.DUMMYFUNCTION("""COMPUTED_VALUE"""),27.83)</f>
        <v>27.83</v>
      </c>
      <c r="BB37" s="26">
        <f>IFERROR(__xludf.DUMMYFUNCTION("""COMPUTED_VALUE"""),100.41)</f>
        <v>100.41</v>
      </c>
      <c r="BC37" s="26">
        <f>IFERROR(__xludf.DUMMYFUNCTION("""COMPUTED_VALUE"""),179.98)</f>
        <v>179.98</v>
      </c>
      <c r="BD37" s="26">
        <f>IFERROR(__xludf.DUMMYFUNCTION("""COMPUTED_VALUE"""),533.93)</f>
        <v>533.93</v>
      </c>
      <c r="BE37" s="26">
        <f>IFERROR(__xludf.DUMMYFUNCTION("""COMPUTED_VALUE"""),206.21)</f>
        <v>206.21</v>
      </c>
      <c r="BF37" s="26">
        <f>IFERROR(__xludf.DUMMYFUNCTION("""COMPUTED_VALUE"""),148.97)</f>
        <v>148.97</v>
      </c>
      <c r="BG37" s="26">
        <f>IFERROR(__xludf.DUMMYFUNCTION("""COMPUTED_VALUE"""),6.44)</f>
        <v>6.44</v>
      </c>
      <c r="BH37" s="26">
        <f>IFERROR(__xludf.DUMMYFUNCTION("""COMPUTED_VALUE"""),225.5)</f>
        <v>225.5</v>
      </c>
      <c r="BI37" s="26">
        <f>IFERROR(__xludf.DUMMYFUNCTION("""COMPUTED_VALUE"""),498.24)</f>
        <v>498.24</v>
      </c>
      <c r="BJ37" s="26">
        <f>IFERROR(__xludf.DUMMYFUNCTION("""COMPUTED_VALUE"""),48.09)</f>
        <v>48.09</v>
      </c>
      <c r="BK37" s="26">
        <f>IFERROR(__xludf.DUMMYFUNCTION("""COMPUTED_VALUE"""),10.43)</f>
        <v>10.43</v>
      </c>
      <c r="BL37" s="26">
        <f>IFERROR(__xludf.DUMMYFUNCTION("""COMPUTED_VALUE"""),209.47)</f>
        <v>209.47</v>
      </c>
      <c r="BM37" s="26">
        <f>IFERROR(__xludf.DUMMYFUNCTION("""COMPUTED_VALUE"""),97.99)</f>
        <v>97.99</v>
      </c>
    </row>
    <row r="38">
      <c r="A38" s="25">
        <v>45476.54513888889</v>
      </c>
      <c r="B38" s="17">
        <f>IFERROR(__xludf.DUMMYFUNCTION("""COMPUTED_VALUE"""),5537.02)</f>
        <v>5537.02</v>
      </c>
      <c r="C38" s="17">
        <f>IFERROR(__xludf.DUMMYFUNCTION("""COMPUTED_VALUE"""),18188.3)</f>
        <v>18188.3</v>
      </c>
      <c r="D38" s="17">
        <f>IFERROR(__xludf.DUMMYFUNCTION("""COMPUTED_VALUE"""),39308.0)</f>
        <v>39308</v>
      </c>
      <c r="E38" s="17">
        <f>IFERROR(__xludf.DUMMYFUNCTION("""COMPUTED_VALUE"""),2036.62)</f>
        <v>2036.62</v>
      </c>
      <c r="F38" s="26">
        <f>IFERROR(__xludf.DUMMYFUNCTION("""COMPUTED_VALUE"""),570.15)</f>
        <v>570.15</v>
      </c>
      <c r="G38" s="26">
        <f>IFERROR(__xludf.DUMMYFUNCTION("""COMPUTED_VALUE"""),197.59)</f>
        <v>197.59</v>
      </c>
      <c r="H38" s="26">
        <f>IFERROR(__xludf.DUMMYFUNCTION("""COMPUTED_VALUE"""),127.96)</f>
        <v>127.96</v>
      </c>
      <c r="I38" s="26">
        <f>IFERROR(__xludf.DUMMYFUNCTION("""COMPUTED_VALUE"""),221.55)</f>
        <v>221.55</v>
      </c>
      <c r="J38" s="26">
        <f>IFERROR(__xludf.DUMMYFUNCTION("""COMPUTED_VALUE"""),243.31)</f>
        <v>243.31</v>
      </c>
      <c r="K38" s="26">
        <f>IFERROR(__xludf.DUMMYFUNCTION("""COMPUTED_VALUE"""),60.47)</f>
        <v>60.47</v>
      </c>
      <c r="L38" s="26">
        <f>IFERROR(__xludf.DUMMYFUNCTION("""COMPUTED_VALUE"""),11.18)</f>
        <v>11.18</v>
      </c>
      <c r="M38" s="26">
        <f>IFERROR(__xludf.DUMMYFUNCTION("""COMPUTED_VALUE"""),405.77)</f>
        <v>405.77</v>
      </c>
      <c r="N38" s="26">
        <f>IFERROR(__xludf.DUMMYFUNCTION("""COMPUTED_VALUE"""),59.54)</f>
        <v>59.54</v>
      </c>
      <c r="O38" s="26">
        <f>IFERROR(__xludf.DUMMYFUNCTION("""COMPUTED_VALUE"""),224.61)</f>
        <v>224.61</v>
      </c>
      <c r="P38" s="26">
        <f>IFERROR(__xludf.DUMMYFUNCTION("""COMPUTED_VALUE"""),63.46)</f>
        <v>63.46</v>
      </c>
      <c r="Q38" s="26">
        <f>IFERROR(__xludf.DUMMYFUNCTION("""COMPUTED_VALUE"""),330.61)</f>
        <v>330.61</v>
      </c>
      <c r="R38" s="26">
        <f>IFERROR(__xludf.DUMMYFUNCTION("""COMPUTED_VALUE"""),50.56)</f>
        <v>50.56</v>
      </c>
      <c r="S38" s="26">
        <f>IFERROR(__xludf.DUMMYFUNCTION("""COMPUTED_VALUE"""),168.72)</f>
        <v>168.72</v>
      </c>
      <c r="T38" s="26">
        <f>IFERROR(__xludf.DUMMYFUNCTION("""COMPUTED_VALUE"""),156.71)</f>
        <v>156.71</v>
      </c>
      <c r="U38" s="26">
        <f>IFERROR(__xludf.DUMMYFUNCTION("""COMPUTED_VALUE"""),325.43)</f>
        <v>325.43</v>
      </c>
      <c r="V38" s="26">
        <f>IFERROR(__xludf.DUMMYFUNCTION("""COMPUTED_VALUE"""),36.05)</f>
        <v>36.05</v>
      </c>
      <c r="W38" s="26">
        <f>IFERROR(__xludf.DUMMYFUNCTION("""COMPUTED_VALUE"""),63.33)</f>
        <v>63.33</v>
      </c>
      <c r="X38" s="26">
        <f>IFERROR(__xludf.DUMMYFUNCTION("""COMPUTED_VALUE"""),88.71)</f>
        <v>88.71</v>
      </c>
      <c r="Y38" s="26">
        <f>IFERROR(__xludf.DUMMYFUNCTION("""COMPUTED_VALUE"""),151.71)</f>
        <v>151.71</v>
      </c>
      <c r="Z38" s="26">
        <f>IFERROR(__xludf.DUMMYFUNCTION("""COMPUTED_VALUE"""),105.95)</f>
        <v>105.95</v>
      </c>
      <c r="AA38" s="26">
        <f>IFERROR(__xludf.DUMMYFUNCTION("""COMPUTED_VALUE"""),497.33)</f>
        <v>497.33</v>
      </c>
      <c r="AB38" s="26">
        <f>IFERROR(__xludf.DUMMYFUNCTION("""COMPUTED_VALUE"""),52.61)</f>
        <v>52.61</v>
      </c>
      <c r="AC38" s="26">
        <f>IFERROR(__xludf.DUMMYFUNCTION("""COMPUTED_VALUE"""),114.76)</f>
        <v>114.76</v>
      </c>
      <c r="AD38" s="26">
        <f>IFERROR(__xludf.DUMMYFUNCTION("""COMPUTED_VALUE"""),293.71)</f>
        <v>293.71</v>
      </c>
      <c r="AE38" s="26">
        <f>IFERROR(__xludf.DUMMYFUNCTION("""COMPUTED_VALUE"""),422.72)</f>
        <v>422.72</v>
      </c>
      <c r="AF38" s="26">
        <f>IFERROR(__xludf.DUMMYFUNCTION("""COMPUTED_VALUE"""),284.88)</f>
        <v>284.88</v>
      </c>
      <c r="AG38" s="26">
        <f>IFERROR(__xludf.DUMMYFUNCTION("""COMPUTED_VALUE"""),46.71)</f>
        <v>46.71</v>
      </c>
      <c r="AH38" s="26">
        <f>IFERROR(__xludf.DUMMYFUNCTION("""COMPUTED_VALUE"""),66.59)</f>
        <v>66.59</v>
      </c>
      <c r="AI38" s="26">
        <f>IFERROR(__xludf.DUMMYFUNCTION("""COMPUTED_VALUE"""),467.92)</f>
        <v>467.92</v>
      </c>
      <c r="AJ38" s="26">
        <f>IFERROR(__xludf.DUMMYFUNCTION("""COMPUTED_VALUE"""),333.64)</f>
        <v>333.64</v>
      </c>
      <c r="AK38" s="26">
        <f>IFERROR(__xludf.DUMMYFUNCTION("""COMPUTED_VALUE"""),97.69)</f>
        <v>97.69</v>
      </c>
      <c r="AL38" s="26">
        <f>IFERROR(__xludf.DUMMYFUNCTION("""COMPUTED_VALUE"""),141.16)</f>
        <v>141.16</v>
      </c>
      <c r="AM38" s="26">
        <f>IFERROR(__xludf.DUMMYFUNCTION("""COMPUTED_VALUE"""),434.81)</f>
        <v>434.81</v>
      </c>
      <c r="AN38" s="26">
        <f>IFERROR(__xludf.DUMMYFUNCTION("""COMPUTED_VALUE"""),208.69)</f>
        <v>208.69</v>
      </c>
      <c r="AO38" s="26">
        <f>IFERROR(__xludf.DUMMYFUNCTION("""COMPUTED_VALUE"""),466.03)</f>
        <v>466.03</v>
      </c>
      <c r="AP38" s="26">
        <f>IFERROR(__xludf.DUMMYFUNCTION("""COMPUTED_VALUE"""),300.32)</f>
        <v>300.32</v>
      </c>
      <c r="AQ38" s="26">
        <f>IFERROR(__xludf.DUMMYFUNCTION("""COMPUTED_VALUE"""),26.83)</f>
        <v>26.83</v>
      </c>
      <c r="AR38" s="26">
        <f>IFERROR(__xludf.DUMMYFUNCTION("""COMPUTED_VALUE"""),77.17)</f>
        <v>77.17</v>
      </c>
      <c r="AS38" s="26">
        <f>IFERROR(__xludf.DUMMYFUNCTION("""COMPUTED_VALUE"""),70.16)</f>
        <v>70.16</v>
      </c>
      <c r="AT38" s="26">
        <f>IFERROR(__xludf.DUMMYFUNCTION("""COMPUTED_VALUE"""),460.77)</f>
        <v>460.77</v>
      </c>
      <c r="AU38" s="26">
        <f>IFERROR(__xludf.DUMMYFUNCTION("""COMPUTED_VALUE"""),71.83)</f>
        <v>71.83</v>
      </c>
      <c r="AV38" s="26">
        <f>IFERROR(__xludf.DUMMYFUNCTION("""COMPUTED_VALUE"""),128.28)</f>
        <v>128.28</v>
      </c>
      <c r="AW38" s="26">
        <f>IFERROR(__xludf.DUMMYFUNCTION("""COMPUTED_VALUE"""),96.51)</f>
        <v>96.51</v>
      </c>
      <c r="AX38" s="26">
        <f>IFERROR(__xludf.DUMMYFUNCTION("""COMPUTED_VALUE"""),36.65)</f>
        <v>36.65</v>
      </c>
      <c r="AY38" s="26">
        <f>IFERROR(__xludf.DUMMYFUNCTION("""COMPUTED_VALUE"""),25.85)</f>
        <v>25.85</v>
      </c>
      <c r="AZ38" s="26">
        <f>IFERROR(__xludf.DUMMYFUNCTION("""COMPUTED_VALUE"""),59.64)</f>
        <v>59.64</v>
      </c>
      <c r="BA38" s="26">
        <f>IFERROR(__xludf.DUMMYFUNCTION("""COMPUTED_VALUE"""),27.7)</f>
        <v>27.7</v>
      </c>
      <c r="BB38" s="26">
        <f>IFERROR(__xludf.DUMMYFUNCTION("""COMPUTED_VALUE"""),100.74)</f>
        <v>100.74</v>
      </c>
      <c r="BC38" s="26">
        <f>IFERROR(__xludf.DUMMYFUNCTION("""COMPUTED_VALUE"""),178.46)</f>
        <v>178.46</v>
      </c>
      <c r="BD38" s="26">
        <f>IFERROR(__xludf.DUMMYFUNCTION("""COMPUTED_VALUE"""),535.61)</f>
        <v>535.61</v>
      </c>
      <c r="BE38" s="26">
        <f>IFERROR(__xludf.DUMMYFUNCTION("""COMPUTED_VALUE"""),206.25)</f>
        <v>206.25</v>
      </c>
      <c r="BF38" s="26">
        <f>IFERROR(__xludf.DUMMYFUNCTION("""COMPUTED_VALUE"""),149.53)</f>
        <v>149.53</v>
      </c>
      <c r="BG38" s="26">
        <f>IFERROR(__xludf.DUMMYFUNCTION("""COMPUTED_VALUE"""),6.4)</f>
        <v>6.4</v>
      </c>
      <c r="BH38" s="26">
        <f>IFERROR(__xludf.DUMMYFUNCTION("""COMPUTED_VALUE"""),225.57)</f>
        <v>225.57</v>
      </c>
      <c r="BI38" s="26">
        <f>IFERROR(__xludf.DUMMYFUNCTION("""COMPUTED_VALUE"""),489.89)</f>
        <v>489.89</v>
      </c>
      <c r="BJ38" s="26">
        <f>IFERROR(__xludf.DUMMYFUNCTION("""COMPUTED_VALUE"""),48.13)</f>
        <v>48.13</v>
      </c>
      <c r="BK38" s="26">
        <f>IFERROR(__xludf.DUMMYFUNCTION("""COMPUTED_VALUE"""),10.38)</f>
        <v>10.38</v>
      </c>
      <c r="BL38" s="26">
        <f>IFERROR(__xludf.DUMMYFUNCTION("""COMPUTED_VALUE"""),210.2)</f>
        <v>210.2</v>
      </c>
      <c r="BM38" s="26">
        <f>IFERROR(__xludf.DUMMYFUNCTION("""COMPUTED_VALUE"""),98.61)</f>
        <v>98.61</v>
      </c>
    </row>
    <row r="39">
      <c r="A39" s="25">
        <v>45478.66666666667</v>
      </c>
      <c r="B39" s="17">
        <f>IFERROR(__xludf.DUMMYFUNCTION("""COMPUTED_VALUE"""),5567.19)</f>
        <v>5567.19</v>
      </c>
      <c r="C39" s="17">
        <f>IFERROR(__xludf.DUMMYFUNCTION("""COMPUTED_VALUE"""),18352.76)</f>
        <v>18352.76</v>
      </c>
      <c r="D39" s="17">
        <f>IFERROR(__xludf.DUMMYFUNCTION("""COMPUTED_VALUE"""),39375.87)</f>
        <v>39375.87</v>
      </c>
      <c r="E39" s="17">
        <f>IFERROR(__xludf.DUMMYFUNCTION("""COMPUTED_VALUE"""),2026.73)</f>
        <v>2026.73</v>
      </c>
      <c r="F39" s="26">
        <f>IFERROR(__xludf.DUMMYFUNCTION("""COMPUTED_VALUE"""),578.34)</f>
        <v>578.34</v>
      </c>
      <c r="G39" s="26">
        <f>IFERROR(__xludf.DUMMYFUNCTION("""COMPUTED_VALUE"""),200.0)</f>
        <v>200</v>
      </c>
      <c r="H39" s="26">
        <f>IFERROR(__xludf.DUMMYFUNCTION("""COMPUTED_VALUE"""),130.01)</f>
        <v>130.01</v>
      </c>
      <c r="I39" s="26">
        <f>IFERROR(__xludf.DUMMYFUNCTION("""COMPUTED_VALUE"""),226.34)</f>
        <v>226.34</v>
      </c>
      <c r="J39" s="26">
        <f>IFERROR(__xludf.DUMMYFUNCTION("""COMPUTED_VALUE"""),242.59)</f>
        <v>242.59</v>
      </c>
      <c r="K39" s="26">
        <f>IFERROR(__xludf.DUMMYFUNCTION("""COMPUTED_VALUE"""),59.88)</f>
        <v>59.88</v>
      </c>
      <c r="L39" s="26">
        <f>IFERROR(__xludf.DUMMYFUNCTION("""COMPUTED_VALUE"""),11.37)</f>
        <v>11.37</v>
      </c>
      <c r="M39" s="26">
        <f>IFERROR(__xludf.DUMMYFUNCTION("""COMPUTED_VALUE"""),411.17)</f>
        <v>411.17</v>
      </c>
      <c r="N39" s="26">
        <f>IFERROR(__xludf.DUMMYFUNCTION("""COMPUTED_VALUE"""),59.49)</f>
        <v>59.49</v>
      </c>
      <c r="O39" s="26">
        <f>IFERROR(__xludf.DUMMYFUNCTION("""COMPUTED_VALUE"""),225.65)</f>
        <v>225.65</v>
      </c>
      <c r="P39" s="26">
        <f>IFERROR(__xludf.DUMMYFUNCTION("""COMPUTED_VALUE"""),63.24)</f>
        <v>63.24</v>
      </c>
      <c r="Q39" s="26">
        <f>IFERROR(__xludf.DUMMYFUNCTION("""COMPUTED_VALUE"""),328.35)</f>
        <v>328.35</v>
      </c>
      <c r="R39" s="26">
        <f>IFERROR(__xludf.DUMMYFUNCTION("""COMPUTED_VALUE"""),49.93)</f>
        <v>49.93</v>
      </c>
      <c r="S39" s="26">
        <f>IFERROR(__xludf.DUMMYFUNCTION("""COMPUTED_VALUE"""),169.45)</f>
        <v>169.45</v>
      </c>
      <c r="T39" s="26">
        <f>IFERROR(__xludf.DUMMYFUNCTION("""COMPUTED_VALUE"""),154.31)</f>
        <v>154.31</v>
      </c>
      <c r="U39" s="26">
        <f>IFERROR(__xludf.DUMMYFUNCTION("""COMPUTED_VALUE"""),319.12)</f>
        <v>319.12</v>
      </c>
      <c r="V39" s="26">
        <f>IFERROR(__xludf.DUMMYFUNCTION("""COMPUTED_VALUE"""),35.24)</f>
        <v>35.24</v>
      </c>
      <c r="W39" s="26">
        <f>IFERROR(__xludf.DUMMYFUNCTION("""COMPUTED_VALUE"""),63.76)</f>
        <v>63.76</v>
      </c>
      <c r="X39" s="26">
        <f>IFERROR(__xludf.DUMMYFUNCTION("""COMPUTED_VALUE"""),89.27)</f>
        <v>89.27</v>
      </c>
      <c r="Y39" s="26">
        <f>IFERROR(__xludf.DUMMYFUNCTION("""COMPUTED_VALUE"""),151.44)</f>
        <v>151.44</v>
      </c>
      <c r="Z39" s="26">
        <f>IFERROR(__xludf.DUMMYFUNCTION("""COMPUTED_VALUE"""),106.68)</f>
        <v>106.68</v>
      </c>
      <c r="AA39" s="26">
        <f>IFERROR(__xludf.DUMMYFUNCTION("""COMPUTED_VALUE"""),493.73)</f>
        <v>493.73</v>
      </c>
      <c r="AB39" s="26">
        <f>IFERROR(__xludf.DUMMYFUNCTION("""COMPUTED_VALUE"""),52.87)</f>
        <v>52.87</v>
      </c>
      <c r="AC39" s="26">
        <f>IFERROR(__xludf.DUMMYFUNCTION("""COMPUTED_VALUE"""),113.37)</f>
        <v>113.37</v>
      </c>
      <c r="AD39" s="26">
        <f>IFERROR(__xludf.DUMMYFUNCTION("""COMPUTED_VALUE"""),294.0)</f>
        <v>294</v>
      </c>
      <c r="AE39" s="26">
        <f>IFERROR(__xludf.DUMMYFUNCTION("""COMPUTED_VALUE"""),422.39)</f>
        <v>422.39</v>
      </c>
      <c r="AF39" s="26">
        <f>IFERROR(__xludf.DUMMYFUNCTION("""COMPUTED_VALUE"""),281.68)</f>
        <v>281.68</v>
      </c>
      <c r="AG39" s="26">
        <f>IFERROR(__xludf.DUMMYFUNCTION("""COMPUTED_VALUE"""),46.52)</f>
        <v>46.52</v>
      </c>
      <c r="AH39" s="26">
        <f>IFERROR(__xludf.DUMMYFUNCTION("""COMPUTED_VALUE"""),66.69)</f>
        <v>66.69</v>
      </c>
      <c r="AI39" s="26">
        <f>IFERROR(__xludf.DUMMYFUNCTION("""COMPUTED_VALUE"""),464.75)</f>
        <v>464.75</v>
      </c>
      <c r="AJ39" s="26">
        <f>IFERROR(__xludf.DUMMYFUNCTION("""COMPUTED_VALUE"""),334.58)</f>
        <v>334.58</v>
      </c>
      <c r="AK39" s="26">
        <f>IFERROR(__xludf.DUMMYFUNCTION("""COMPUTED_VALUE"""),98.09)</f>
        <v>98.09</v>
      </c>
      <c r="AL39" s="26">
        <f>IFERROR(__xludf.DUMMYFUNCTION("""COMPUTED_VALUE"""),140.79)</f>
        <v>140.79</v>
      </c>
      <c r="AM39" s="26">
        <f>IFERROR(__xludf.DUMMYFUNCTION("""COMPUTED_VALUE"""),443.76)</f>
        <v>443.76</v>
      </c>
      <c r="AN39" s="26">
        <f>IFERROR(__xludf.DUMMYFUNCTION("""COMPUTED_VALUE"""),204.79)</f>
        <v>204.79</v>
      </c>
      <c r="AO39" s="26">
        <f>IFERROR(__xludf.DUMMYFUNCTION("""COMPUTED_VALUE"""),462.16)</f>
        <v>462.16</v>
      </c>
      <c r="AP39" s="26">
        <f>IFERROR(__xludf.DUMMYFUNCTION("""COMPUTED_VALUE"""),298.14)</f>
        <v>298.14</v>
      </c>
      <c r="AQ39" s="26">
        <f>IFERROR(__xludf.DUMMYFUNCTION("""COMPUTED_VALUE"""),26.64)</f>
        <v>26.64</v>
      </c>
      <c r="AR39" s="26">
        <f>IFERROR(__xludf.DUMMYFUNCTION("""COMPUTED_VALUE"""),77.61)</f>
        <v>77.61</v>
      </c>
      <c r="AS39" s="26">
        <f>IFERROR(__xludf.DUMMYFUNCTION("""COMPUTED_VALUE"""),69.5)</f>
        <v>69.5</v>
      </c>
      <c r="AT39" s="26">
        <f>IFERROR(__xludf.DUMMYFUNCTION("""COMPUTED_VALUE"""),467.56)</f>
        <v>467.56</v>
      </c>
      <c r="AU39" s="26">
        <f>IFERROR(__xludf.DUMMYFUNCTION("""COMPUTED_VALUE"""),72.09)</f>
        <v>72.09</v>
      </c>
      <c r="AV39" s="26">
        <f>IFERROR(__xludf.DUMMYFUNCTION("""COMPUTED_VALUE"""),125.83)</f>
        <v>125.83</v>
      </c>
      <c r="AW39" s="26">
        <f>IFERROR(__xludf.DUMMYFUNCTION("""COMPUTED_VALUE"""),96.88)</f>
        <v>96.88</v>
      </c>
      <c r="AX39" s="26">
        <f>IFERROR(__xludf.DUMMYFUNCTION("""COMPUTED_VALUE"""),37.19)</f>
        <v>37.19</v>
      </c>
      <c r="AY39" s="26">
        <f>IFERROR(__xludf.DUMMYFUNCTION("""COMPUTED_VALUE"""),27.23)</f>
        <v>27.23</v>
      </c>
      <c r="AZ39" s="26">
        <f>IFERROR(__xludf.DUMMYFUNCTION("""COMPUTED_VALUE"""),59.76)</f>
        <v>59.76</v>
      </c>
      <c r="BA39" s="26">
        <f>IFERROR(__xludf.DUMMYFUNCTION("""COMPUTED_VALUE"""),28.05)</f>
        <v>28.05</v>
      </c>
      <c r="BB39" s="26">
        <f>IFERROR(__xludf.DUMMYFUNCTION("""COMPUTED_VALUE"""),100.37)</f>
        <v>100.37</v>
      </c>
      <c r="BC39" s="26">
        <f>IFERROR(__xludf.DUMMYFUNCTION("""COMPUTED_VALUE"""),179.24)</f>
        <v>179.24</v>
      </c>
      <c r="BD39" s="26">
        <f>IFERROR(__xludf.DUMMYFUNCTION("""COMPUTED_VALUE"""),540.1)</f>
        <v>540.1</v>
      </c>
      <c r="BE39" s="26">
        <f>IFERROR(__xludf.DUMMYFUNCTION("""COMPUTED_VALUE"""),206.45)</f>
        <v>206.45</v>
      </c>
      <c r="BF39" s="26">
        <f>IFERROR(__xludf.DUMMYFUNCTION("""COMPUTED_VALUE"""),152.35)</f>
        <v>152.35</v>
      </c>
      <c r="BG39" s="26">
        <f>IFERROR(__xludf.DUMMYFUNCTION("""COMPUTED_VALUE"""),6.4)</f>
        <v>6.4</v>
      </c>
      <c r="BH39" s="26">
        <f>IFERROR(__xludf.DUMMYFUNCTION("""COMPUTED_VALUE"""),225.17)</f>
        <v>225.17</v>
      </c>
      <c r="BI39" s="26">
        <f>IFERROR(__xludf.DUMMYFUNCTION("""COMPUTED_VALUE"""),488.01)</f>
        <v>488.01</v>
      </c>
      <c r="BJ39" s="26">
        <f>IFERROR(__xludf.DUMMYFUNCTION("""COMPUTED_VALUE"""),48.25)</f>
        <v>48.25</v>
      </c>
      <c r="BK39" s="26">
        <f>IFERROR(__xludf.DUMMYFUNCTION("""COMPUTED_VALUE"""),10.32)</f>
        <v>10.32</v>
      </c>
      <c r="BL39" s="26">
        <f>IFERROR(__xludf.DUMMYFUNCTION("""COMPUTED_VALUE"""),210.33)</f>
        <v>210.33</v>
      </c>
      <c r="BM39" s="26">
        <f>IFERROR(__xludf.DUMMYFUNCTION("""COMPUTED_VALUE"""),97.99)</f>
        <v>97.99</v>
      </c>
    </row>
    <row r="40">
      <c r="A40" s="25">
        <v>45481.66666666667</v>
      </c>
      <c r="B40" s="17">
        <f>IFERROR(__xludf.DUMMYFUNCTION("""COMPUTED_VALUE"""),5572.85)</f>
        <v>5572.85</v>
      </c>
      <c r="C40" s="17">
        <f>IFERROR(__xludf.DUMMYFUNCTION("""COMPUTED_VALUE"""),18403.74)</f>
        <v>18403.74</v>
      </c>
      <c r="D40" s="17">
        <f>IFERROR(__xludf.DUMMYFUNCTION("""COMPUTED_VALUE"""),39344.79)</f>
        <v>39344.79</v>
      </c>
      <c r="E40" s="17">
        <f>IFERROR(__xludf.DUMMYFUNCTION("""COMPUTED_VALUE"""),2038.67)</f>
        <v>2038.67</v>
      </c>
      <c r="F40" s="26">
        <f>IFERROR(__xludf.DUMMYFUNCTION("""COMPUTED_VALUE"""),575.4)</f>
        <v>575.4</v>
      </c>
      <c r="G40" s="26">
        <f>IFERROR(__xludf.DUMMYFUNCTION("""COMPUTED_VALUE"""),199.29)</f>
        <v>199.29</v>
      </c>
      <c r="H40" s="26">
        <f>IFERROR(__xludf.DUMMYFUNCTION("""COMPUTED_VALUE"""),129.92)</f>
        <v>129.92</v>
      </c>
      <c r="I40" s="26">
        <f>IFERROR(__xludf.DUMMYFUNCTION("""COMPUTED_VALUE"""),227.82)</f>
        <v>227.82</v>
      </c>
      <c r="J40" s="26">
        <f>IFERROR(__xludf.DUMMYFUNCTION("""COMPUTED_VALUE"""),246.29)</f>
        <v>246.29</v>
      </c>
      <c r="K40" s="26">
        <f>IFERROR(__xludf.DUMMYFUNCTION("""COMPUTED_VALUE"""),59.54)</f>
        <v>59.54</v>
      </c>
      <c r="L40" s="26">
        <f>IFERROR(__xludf.DUMMYFUNCTION("""COMPUTED_VALUE"""),11.48)</f>
        <v>11.48</v>
      </c>
      <c r="M40" s="26">
        <f>IFERROR(__xludf.DUMMYFUNCTION("""COMPUTED_VALUE"""),409.08)</f>
        <v>409.08</v>
      </c>
      <c r="N40" s="26">
        <f>IFERROR(__xludf.DUMMYFUNCTION("""COMPUTED_VALUE"""),58.35)</f>
        <v>58.35</v>
      </c>
      <c r="O40" s="26">
        <f>IFERROR(__xludf.DUMMYFUNCTION("""COMPUTED_VALUE"""),228.07)</f>
        <v>228.07</v>
      </c>
      <c r="P40" s="26">
        <f>IFERROR(__xludf.DUMMYFUNCTION("""COMPUTED_VALUE"""),63.13)</f>
        <v>63.13</v>
      </c>
      <c r="Q40" s="26">
        <f>IFERROR(__xludf.DUMMYFUNCTION("""COMPUTED_VALUE"""),329.06)</f>
        <v>329.06</v>
      </c>
      <c r="R40" s="26">
        <f>IFERROR(__xludf.DUMMYFUNCTION("""COMPUTED_VALUE"""),48.73)</f>
        <v>48.73</v>
      </c>
      <c r="S40" s="26">
        <f>IFERROR(__xludf.DUMMYFUNCTION("""COMPUTED_VALUE"""),169.4)</f>
        <v>169.4</v>
      </c>
      <c r="T40" s="26">
        <f>IFERROR(__xludf.DUMMYFUNCTION("""COMPUTED_VALUE"""),154.33)</f>
        <v>154.33</v>
      </c>
      <c r="U40" s="26">
        <f>IFERROR(__xludf.DUMMYFUNCTION("""COMPUTED_VALUE"""),323.78)</f>
        <v>323.78</v>
      </c>
      <c r="V40" s="26">
        <f>IFERROR(__xludf.DUMMYFUNCTION("""COMPUTED_VALUE"""),35.55)</f>
        <v>35.55</v>
      </c>
      <c r="W40" s="26">
        <f>IFERROR(__xludf.DUMMYFUNCTION("""COMPUTED_VALUE"""),62.96)</f>
        <v>62.96</v>
      </c>
      <c r="X40" s="26">
        <f>IFERROR(__xludf.DUMMYFUNCTION("""COMPUTED_VALUE"""),88.42)</f>
        <v>88.42</v>
      </c>
      <c r="Y40" s="26">
        <f>IFERROR(__xludf.DUMMYFUNCTION("""COMPUTED_VALUE"""),153.66)</f>
        <v>153.66</v>
      </c>
      <c r="Z40" s="26">
        <f>IFERROR(__xludf.DUMMYFUNCTION("""COMPUTED_VALUE"""),106.72)</f>
        <v>106.72</v>
      </c>
      <c r="AA40" s="26">
        <f>IFERROR(__xludf.DUMMYFUNCTION("""COMPUTED_VALUE"""),500.33)</f>
        <v>500.33</v>
      </c>
      <c r="AB40" s="26">
        <f>IFERROR(__xludf.DUMMYFUNCTION("""COMPUTED_VALUE"""),52.79)</f>
        <v>52.79</v>
      </c>
      <c r="AC40" s="26">
        <f>IFERROR(__xludf.DUMMYFUNCTION("""COMPUTED_VALUE"""),112.18)</f>
        <v>112.18</v>
      </c>
      <c r="AD40" s="26">
        <f>IFERROR(__xludf.DUMMYFUNCTION("""COMPUTED_VALUE"""),295.53)</f>
        <v>295.53</v>
      </c>
      <c r="AE40" s="26">
        <f>IFERROR(__xludf.DUMMYFUNCTION("""COMPUTED_VALUE"""),427.38)</f>
        <v>427.38</v>
      </c>
      <c r="AF40" s="26">
        <f>IFERROR(__xludf.DUMMYFUNCTION("""COMPUTED_VALUE"""),280.47)</f>
        <v>280.47</v>
      </c>
      <c r="AG40" s="26">
        <f>IFERROR(__xludf.DUMMYFUNCTION("""COMPUTED_VALUE"""),46.55)</f>
        <v>46.55</v>
      </c>
      <c r="AH40" s="26">
        <f>IFERROR(__xludf.DUMMYFUNCTION("""COMPUTED_VALUE"""),67.55)</f>
        <v>67.55</v>
      </c>
      <c r="AI40" s="26">
        <f>IFERROR(__xludf.DUMMYFUNCTION("""COMPUTED_VALUE"""),464.82)</f>
        <v>464.82</v>
      </c>
      <c r="AJ40" s="26">
        <f>IFERROR(__xludf.DUMMYFUNCTION("""COMPUTED_VALUE"""),339.6)</f>
        <v>339.6</v>
      </c>
      <c r="AK40" s="26">
        <f>IFERROR(__xludf.DUMMYFUNCTION("""COMPUTED_VALUE"""),98.3)</f>
        <v>98.3</v>
      </c>
      <c r="AL40" s="26">
        <f>IFERROR(__xludf.DUMMYFUNCTION("""COMPUTED_VALUE"""),141.17)</f>
        <v>141.17</v>
      </c>
      <c r="AM40" s="26">
        <f>IFERROR(__xludf.DUMMYFUNCTION("""COMPUTED_VALUE"""),444.53)</f>
        <v>444.53</v>
      </c>
      <c r="AN40" s="26">
        <f>IFERROR(__xludf.DUMMYFUNCTION("""COMPUTED_VALUE"""),205.17)</f>
        <v>205.17</v>
      </c>
      <c r="AO40" s="26">
        <f>IFERROR(__xludf.DUMMYFUNCTION("""COMPUTED_VALUE"""),461.76)</f>
        <v>461.76</v>
      </c>
      <c r="AP40" s="26">
        <f>IFERROR(__xludf.DUMMYFUNCTION("""COMPUTED_VALUE"""),294.03)</f>
        <v>294.03</v>
      </c>
      <c r="AQ40" s="26">
        <f>IFERROR(__xludf.DUMMYFUNCTION("""COMPUTED_VALUE"""),26.99)</f>
        <v>26.99</v>
      </c>
      <c r="AR40" s="26">
        <f>IFERROR(__xludf.DUMMYFUNCTION("""COMPUTED_VALUE"""),76.84)</f>
        <v>76.84</v>
      </c>
      <c r="AS40" s="26">
        <f>IFERROR(__xludf.DUMMYFUNCTION("""COMPUTED_VALUE"""),69.41)</f>
        <v>69.41</v>
      </c>
      <c r="AT40" s="26">
        <f>IFERROR(__xludf.DUMMYFUNCTION("""COMPUTED_VALUE"""),466.24)</f>
        <v>466.24</v>
      </c>
      <c r="AU40" s="26">
        <f>IFERROR(__xludf.DUMMYFUNCTION("""COMPUTED_VALUE"""),72.11)</f>
        <v>72.11</v>
      </c>
      <c r="AV40" s="26">
        <f>IFERROR(__xludf.DUMMYFUNCTION("""COMPUTED_VALUE"""),128.2)</f>
        <v>128.2</v>
      </c>
      <c r="AW40" s="26">
        <f>IFERROR(__xludf.DUMMYFUNCTION("""COMPUTED_VALUE"""),97.4)</f>
        <v>97.4</v>
      </c>
      <c r="AX40" s="26">
        <f>IFERROR(__xludf.DUMMYFUNCTION("""COMPUTED_VALUE"""),37.93)</f>
        <v>37.93</v>
      </c>
      <c r="AY40" s="26">
        <f>IFERROR(__xludf.DUMMYFUNCTION("""COMPUTED_VALUE"""),27.7)</f>
        <v>27.7</v>
      </c>
      <c r="AZ40" s="26">
        <f>IFERROR(__xludf.DUMMYFUNCTION("""COMPUTED_VALUE"""),59.09)</f>
        <v>59.09</v>
      </c>
      <c r="BA40" s="26">
        <f>IFERROR(__xludf.DUMMYFUNCTION("""COMPUTED_VALUE"""),27.93)</f>
        <v>27.93</v>
      </c>
      <c r="BB40" s="26">
        <f>IFERROR(__xludf.DUMMYFUNCTION("""COMPUTED_VALUE"""),100.1)</f>
        <v>100.1</v>
      </c>
      <c r="BC40" s="26">
        <f>IFERROR(__xludf.DUMMYFUNCTION("""COMPUTED_VALUE"""),179.17)</f>
        <v>179.17</v>
      </c>
      <c r="BD40" s="26">
        <f>IFERROR(__xludf.DUMMYFUNCTION("""COMPUTED_VALUE"""),536.29)</f>
        <v>536.29</v>
      </c>
      <c r="BE40" s="26">
        <f>IFERROR(__xludf.DUMMYFUNCTION("""COMPUTED_VALUE"""),204.94)</f>
        <v>204.94</v>
      </c>
      <c r="BF40" s="26">
        <f>IFERROR(__xludf.DUMMYFUNCTION("""COMPUTED_VALUE"""),149.2)</f>
        <v>149.2</v>
      </c>
      <c r="BG40" s="26">
        <f>IFERROR(__xludf.DUMMYFUNCTION("""COMPUTED_VALUE"""),6.8)</f>
        <v>6.8</v>
      </c>
      <c r="BH40" s="26">
        <f>IFERROR(__xludf.DUMMYFUNCTION("""COMPUTED_VALUE"""),223.39)</f>
        <v>223.39</v>
      </c>
      <c r="BI40" s="26">
        <f>IFERROR(__xludf.DUMMYFUNCTION("""COMPUTED_VALUE"""),489.34)</f>
        <v>489.34</v>
      </c>
      <c r="BJ40" s="26">
        <f>IFERROR(__xludf.DUMMYFUNCTION("""COMPUTED_VALUE"""),48.24)</f>
        <v>48.24</v>
      </c>
      <c r="BK40" s="26">
        <f>IFERROR(__xludf.DUMMYFUNCTION("""COMPUTED_VALUE"""),10.61)</f>
        <v>10.61</v>
      </c>
      <c r="BL40" s="26">
        <f>IFERROR(__xludf.DUMMYFUNCTION("""COMPUTED_VALUE"""),210.62)</f>
        <v>210.62</v>
      </c>
      <c r="BM40" s="26">
        <f>IFERROR(__xludf.DUMMYFUNCTION("""COMPUTED_VALUE"""),97.37)</f>
        <v>97.37</v>
      </c>
    </row>
    <row r="41">
      <c r="A41" s="25">
        <v>45482.66666666667</v>
      </c>
      <c r="B41" s="17">
        <f>IFERROR(__xludf.DUMMYFUNCTION("""COMPUTED_VALUE"""),5576.98)</f>
        <v>5576.98</v>
      </c>
      <c r="C41" s="17">
        <f>IFERROR(__xludf.DUMMYFUNCTION("""COMPUTED_VALUE"""),18429.29)</f>
        <v>18429.29</v>
      </c>
      <c r="D41" s="17">
        <f>IFERROR(__xludf.DUMMYFUNCTION("""COMPUTED_VALUE"""),39291.97)</f>
        <v>39291.97</v>
      </c>
      <c r="E41" s="17">
        <f>IFERROR(__xludf.DUMMYFUNCTION("""COMPUTED_VALUE"""),2029.47)</f>
        <v>2029.47</v>
      </c>
      <c r="F41" s="26">
        <f>IFERROR(__xludf.DUMMYFUNCTION("""COMPUTED_VALUE"""),566.02)</f>
        <v>566.02</v>
      </c>
      <c r="G41" s="26">
        <f>IFERROR(__xludf.DUMMYFUNCTION("""COMPUTED_VALUE"""),199.34)</f>
        <v>199.34</v>
      </c>
      <c r="H41" s="26">
        <f>IFERROR(__xludf.DUMMYFUNCTION("""COMPUTED_VALUE"""),130.72)</f>
        <v>130.72</v>
      </c>
      <c r="I41" s="26">
        <f>IFERROR(__xludf.DUMMYFUNCTION("""COMPUTED_VALUE"""),228.68)</f>
        <v>228.68</v>
      </c>
      <c r="J41" s="26">
        <f>IFERROR(__xludf.DUMMYFUNCTION("""COMPUTED_VALUE"""),251.47)</f>
        <v>251.47</v>
      </c>
      <c r="K41" s="26">
        <f>IFERROR(__xludf.DUMMYFUNCTION("""COMPUTED_VALUE"""),60.21)</f>
        <v>60.21</v>
      </c>
      <c r="L41" s="26">
        <f>IFERROR(__xludf.DUMMYFUNCTION("""COMPUTED_VALUE"""),11.17)</f>
        <v>11.17</v>
      </c>
      <c r="M41" s="26">
        <f>IFERROR(__xludf.DUMMYFUNCTION("""COMPUTED_VALUE"""),410.52)</f>
        <v>410.52</v>
      </c>
      <c r="N41" s="26">
        <f>IFERROR(__xludf.DUMMYFUNCTION("""COMPUTED_VALUE"""),58.36)</f>
        <v>58.36</v>
      </c>
      <c r="O41" s="26">
        <f>IFERROR(__xludf.DUMMYFUNCTION("""COMPUTED_VALUE"""),229.06)</f>
        <v>229.06</v>
      </c>
      <c r="P41" s="26">
        <f>IFERROR(__xludf.DUMMYFUNCTION("""COMPUTED_VALUE"""),62.29)</f>
        <v>62.29</v>
      </c>
      <c r="Q41" s="26">
        <f>IFERROR(__xludf.DUMMYFUNCTION("""COMPUTED_VALUE"""),326.06)</f>
        <v>326.06</v>
      </c>
      <c r="R41" s="26">
        <f>IFERROR(__xludf.DUMMYFUNCTION("""COMPUTED_VALUE"""),48.99)</f>
        <v>48.99</v>
      </c>
      <c r="S41" s="26">
        <f>IFERROR(__xludf.DUMMYFUNCTION("""COMPUTED_VALUE"""),169.89)</f>
        <v>169.89</v>
      </c>
      <c r="T41" s="26">
        <f>IFERROR(__xludf.DUMMYFUNCTION("""COMPUTED_VALUE"""),152.98)</f>
        <v>152.98</v>
      </c>
      <c r="U41" s="26">
        <f>IFERROR(__xludf.DUMMYFUNCTION("""COMPUTED_VALUE"""),328.37)</f>
        <v>328.37</v>
      </c>
      <c r="V41" s="26">
        <f>IFERROR(__xludf.DUMMYFUNCTION("""COMPUTED_VALUE"""),36.3)</f>
        <v>36.3</v>
      </c>
      <c r="W41" s="26">
        <f>IFERROR(__xludf.DUMMYFUNCTION("""COMPUTED_VALUE"""),62.69)</f>
        <v>62.69</v>
      </c>
      <c r="X41" s="26">
        <f>IFERROR(__xludf.DUMMYFUNCTION("""COMPUTED_VALUE"""),88.85)</f>
        <v>88.85</v>
      </c>
      <c r="Y41" s="26">
        <f>IFERROR(__xludf.DUMMYFUNCTION("""COMPUTED_VALUE"""),153.3)</f>
        <v>153.3</v>
      </c>
      <c r="Z41" s="26">
        <f>IFERROR(__xludf.DUMMYFUNCTION("""COMPUTED_VALUE"""),104.03)</f>
        <v>104.03</v>
      </c>
      <c r="AA41" s="26">
        <f>IFERROR(__xludf.DUMMYFUNCTION("""COMPUTED_VALUE"""),477.83)</f>
        <v>477.83</v>
      </c>
      <c r="AB41" s="26">
        <f>IFERROR(__xludf.DUMMYFUNCTION("""COMPUTED_VALUE"""),52.65)</f>
        <v>52.65</v>
      </c>
      <c r="AC41" s="26">
        <f>IFERROR(__xludf.DUMMYFUNCTION("""COMPUTED_VALUE"""),110.94)</f>
        <v>110.94</v>
      </c>
      <c r="AD41" s="26">
        <f>IFERROR(__xludf.DUMMYFUNCTION("""COMPUTED_VALUE"""),292.73)</f>
        <v>292.73</v>
      </c>
      <c r="AE41" s="26">
        <f>IFERROR(__xludf.DUMMYFUNCTION("""COMPUTED_VALUE"""),426.29)</f>
        <v>426.29</v>
      </c>
      <c r="AF41" s="26">
        <f>IFERROR(__xludf.DUMMYFUNCTION("""COMPUTED_VALUE"""),279.51)</f>
        <v>279.51</v>
      </c>
      <c r="AG41" s="26">
        <f>IFERROR(__xludf.DUMMYFUNCTION("""COMPUTED_VALUE"""),46.26)</f>
        <v>46.26</v>
      </c>
      <c r="AH41" s="26">
        <f>IFERROR(__xludf.DUMMYFUNCTION("""COMPUTED_VALUE"""),67.76)</f>
        <v>67.76</v>
      </c>
      <c r="AI41" s="26">
        <f>IFERROR(__xludf.DUMMYFUNCTION("""COMPUTED_VALUE"""),472.83)</f>
        <v>472.83</v>
      </c>
      <c r="AJ41" s="26">
        <f>IFERROR(__xludf.DUMMYFUNCTION("""COMPUTED_VALUE"""),337.09)</f>
        <v>337.09</v>
      </c>
      <c r="AK41" s="26">
        <f>IFERROR(__xludf.DUMMYFUNCTION("""COMPUTED_VALUE"""),97.93)</f>
        <v>97.93</v>
      </c>
      <c r="AL41" s="26">
        <f>IFERROR(__xludf.DUMMYFUNCTION("""COMPUTED_VALUE"""),142.46)</f>
        <v>142.46</v>
      </c>
      <c r="AM41" s="26">
        <f>IFERROR(__xludf.DUMMYFUNCTION("""COMPUTED_VALUE"""),442.3)</f>
        <v>442.3</v>
      </c>
      <c r="AN41" s="26">
        <f>IFERROR(__xludf.DUMMYFUNCTION("""COMPUTED_VALUE"""),207.63)</f>
        <v>207.63</v>
      </c>
      <c r="AO41" s="26">
        <f>IFERROR(__xludf.DUMMYFUNCTION("""COMPUTED_VALUE"""),460.3)</f>
        <v>460.3</v>
      </c>
      <c r="AP41" s="26">
        <f>IFERROR(__xludf.DUMMYFUNCTION("""COMPUTED_VALUE"""),289.87)</f>
        <v>289.87</v>
      </c>
      <c r="AQ41" s="26">
        <f>IFERROR(__xludf.DUMMYFUNCTION("""COMPUTED_VALUE"""),26.94)</f>
        <v>26.94</v>
      </c>
      <c r="AR41" s="26">
        <f>IFERROR(__xludf.DUMMYFUNCTION("""COMPUTED_VALUE"""),76.88)</f>
        <v>76.88</v>
      </c>
      <c r="AS41" s="26">
        <f>IFERROR(__xludf.DUMMYFUNCTION("""COMPUTED_VALUE"""),69.92)</f>
        <v>69.92</v>
      </c>
      <c r="AT41" s="26">
        <f>IFERROR(__xludf.DUMMYFUNCTION("""COMPUTED_VALUE"""),459.54)</f>
        <v>459.54</v>
      </c>
      <c r="AU41" s="26">
        <f>IFERROR(__xludf.DUMMYFUNCTION("""COMPUTED_VALUE"""),72.12)</f>
        <v>72.12</v>
      </c>
      <c r="AV41" s="26">
        <f>IFERROR(__xludf.DUMMYFUNCTION("""COMPUTED_VALUE"""),131.38)</f>
        <v>131.38</v>
      </c>
      <c r="AW41" s="26">
        <f>IFERROR(__xludf.DUMMYFUNCTION("""COMPUTED_VALUE"""),96.31)</f>
        <v>96.31</v>
      </c>
      <c r="AX41" s="26">
        <f>IFERROR(__xludf.DUMMYFUNCTION("""COMPUTED_VALUE"""),37.2)</f>
        <v>37.2</v>
      </c>
      <c r="AY41" s="26">
        <f>IFERROR(__xludf.DUMMYFUNCTION("""COMPUTED_VALUE"""),27.39)</f>
        <v>27.39</v>
      </c>
      <c r="AZ41" s="26">
        <f>IFERROR(__xludf.DUMMYFUNCTION("""COMPUTED_VALUE"""),59.0)</f>
        <v>59</v>
      </c>
      <c r="BA41" s="26">
        <f>IFERROR(__xludf.DUMMYFUNCTION("""COMPUTED_VALUE"""),27.72)</f>
        <v>27.72</v>
      </c>
      <c r="BB41" s="26">
        <f>IFERROR(__xludf.DUMMYFUNCTION("""COMPUTED_VALUE"""),101.11)</f>
        <v>101.11</v>
      </c>
      <c r="BC41" s="26">
        <f>IFERROR(__xludf.DUMMYFUNCTION("""COMPUTED_VALUE"""),179.05)</f>
        <v>179.05</v>
      </c>
      <c r="BD41" s="26">
        <f>IFERROR(__xludf.DUMMYFUNCTION("""COMPUTED_VALUE"""),531.86)</f>
        <v>531.86</v>
      </c>
      <c r="BE41" s="26">
        <f>IFERROR(__xludf.DUMMYFUNCTION("""COMPUTED_VALUE"""),201.67)</f>
        <v>201.67</v>
      </c>
      <c r="BF41" s="26">
        <f>IFERROR(__xludf.DUMMYFUNCTION("""COMPUTED_VALUE"""),147.78)</f>
        <v>147.78</v>
      </c>
      <c r="BG41" s="26">
        <f>IFERROR(__xludf.DUMMYFUNCTION("""COMPUTED_VALUE"""),6.8)</f>
        <v>6.8</v>
      </c>
      <c r="BH41" s="26">
        <f>IFERROR(__xludf.DUMMYFUNCTION("""COMPUTED_VALUE"""),221.78)</f>
        <v>221.78</v>
      </c>
      <c r="BI41" s="26">
        <f>IFERROR(__xludf.DUMMYFUNCTION("""COMPUTED_VALUE"""),492.11)</f>
        <v>492.11</v>
      </c>
      <c r="BJ41" s="26">
        <f>IFERROR(__xludf.DUMMYFUNCTION("""COMPUTED_VALUE"""),48.22)</f>
        <v>48.22</v>
      </c>
      <c r="BK41" s="26">
        <f>IFERROR(__xludf.DUMMYFUNCTION("""COMPUTED_VALUE"""),10.8)</f>
        <v>10.8</v>
      </c>
      <c r="BL41" s="26">
        <f>IFERROR(__xludf.DUMMYFUNCTION("""COMPUTED_VALUE"""),210.02)</f>
        <v>210.02</v>
      </c>
      <c r="BM41" s="26">
        <f>IFERROR(__xludf.DUMMYFUNCTION("""COMPUTED_VALUE"""),97.05)</f>
        <v>97.05</v>
      </c>
    </row>
    <row r="42">
      <c r="A42" s="25">
        <v>45483.66666666667</v>
      </c>
      <c r="B42" s="17">
        <f>IFERROR(__xludf.DUMMYFUNCTION("""COMPUTED_VALUE"""),5633.91)</f>
        <v>5633.91</v>
      </c>
      <c r="C42" s="17">
        <f>IFERROR(__xludf.DUMMYFUNCTION("""COMPUTED_VALUE"""),18647.45)</f>
        <v>18647.45</v>
      </c>
      <c r="D42" s="17">
        <f>IFERROR(__xludf.DUMMYFUNCTION("""COMPUTED_VALUE"""),39721.36)</f>
        <v>39721.36</v>
      </c>
      <c r="E42" s="17">
        <f>IFERROR(__xludf.DUMMYFUNCTION("""COMPUTED_VALUE"""),2051.75)</f>
        <v>2051.75</v>
      </c>
      <c r="F42" s="26">
        <f>IFERROR(__xludf.DUMMYFUNCTION("""COMPUTED_VALUE"""),564.55)</f>
        <v>564.55</v>
      </c>
      <c r="G42" s="26">
        <f>IFERROR(__xludf.DUMMYFUNCTION("""COMPUTED_VALUE"""),199.79)</f>
        <v>199.79</v>
      </c>
      <c r="H42" s="26">
        <f>IFERROR(__xludf.DUMMYFUNCTION("""COMPUTED_VALUE"""),132.23)</f>
        <v>132.23</v>
      </c>
      <c r="I42" s="26">
        <f>IFERROR(__xludf.DUMMYFUNCTION("""COMPUTED_VALUE"""),232.98)</f>
        <v>232.98</v>
      </c>
      <c r="J42" s="26">
        <f>IFERROR(__xludf.DUMMYFUNCTION("""COMPUTED_VALUE"""),254.97)</f>
        <v>254.97</v>
      </c>
      <c r="K42" s="26">
        <f>IFERROR(__xludf.DUMMYFUNCTION("""COMPUTED_VALUE"""),60.7)</f>
        <v>60.7</v>
      </c>
      <c r="L42" s="26">
        <f>IFERROR(__xludf.DUMMYFUNCTION("""COMPUTED_VALUE"""),11.4)</f>
        <v>11.4</v>
      </c>
      <c r="M42" s="26">
        <f>IFERROR(__xludf.DUMMYFUNCTION("""COMPUTED_VALUE"""),413.79)</f>
        <v>413.79</v>
      </c>
      <c r="N42" s="26">
        <f>IFERROR(__xludf.DUMMYFUNCTION("""COMPUTED_VALUE"""),58.55)</f>
        <v>58.55</v>
      </c>
      <c r="O42" s="26">
        <f>IFERROR(__xludf.DUMMYFUNCTION("""COMPUTED_VALUE"""),232.75)</f>
        <v>232.75</v>
      </c>
      <c r="P42" s="26">
        <f>IFERROR(__xludf.DUMMYFUNCTION("""COMPUTED_VALUE"""),63.6)</f>
        <v>63.6</v>
      </c>
      <c r="Q42" s="26">
        <f>IFERROR(__xludf.DUMMYFUNCTION("""COMPUTED_VALUE"""),328.48)</f>
        <v>328.48</v>
      </c>
      <c r="R42" s="26">
        <f>IFERROR(__xludf.DUMMYFUNCTION("""COMPUTED_VALUE"""),53.72)</f>
        <v>53.72</v>
      </c>
      <c r="S42" s="26">
        <f>IFERROR(__xludf.DUMMYFUNCTION("""COMPUTED_VALUE"""),170.31)</f>
        <v>170.31</v>
      </c>
      <c r="T42" s="26">
        <f>IFERROR(__xludf.DUMMYFUNCTION("""COMPUTED_VALUE"""),155.13)</f>
        <v>155.13</v>
      </c>
      <c r="U42" s="26">
        <f>IFERROR(__xludf.DUMMYFUNCTION("""COMPUTED_VALUE"""),329.91)</f>
        <v>329.91</v>
      </c>
      <c r="V42" s="26">
        <f>IFERROR(__xludf.DUMMYFUNCTION("""COMPUTED_VALUE"""),36.68)</f>
        <v>36.68</v>
      </c>
      <c r="W42" s="26">
        <f>IFERROR(__xludf.DUMMYFUNCTION("""COMPUTED_VALUE"""),62.83)</f>
        <v>62.83</v>
      </c>
      <c r="X42" s="26">
        <f>IFERROR(__xludf.DUMMYFUNCTION("""COMPUTED_VALUE"""),89.87)</f>
        <v>89.87</v>
      </c>
      <c r="Y42" s="26">
        <f>IFERROR(__xludf.DUMMYFUNCTION("""COMPUTED_VALUE"""),155.63)</f>
        <v>155.63</v>
      </c>
      <c r="Z42" s="26">
        <f>IFERROR(__xludf.DUMMYFUNCTION("""COMPUTED_VALUE"""),102.48)</f>
        <v>102.48</v>
      </c>
      <c r="AA42" s="26">
        <f>IFERROR(__xludf.DUMMYFUNCTION("""COMPUTED_VALUE"""),477.99)</f>
        <v>477.99</v>
      </c>
      <c r="AB42" s="26">
        <f>IFERROR(__xludf.DUMMYFUNCTION("""COMPUTED_VALUE"""),52.98)</f>
        <v>52.98</v>
      </c>
      <c r="AC42" s="26">
        <f>IFERROR(__xludf.DUMMYFUNCTION("""COMPUTED_VALUE"""),111.92)</f>
        <v>111.92</v>
      </c>
      <c r="AD42" s="26">
        <f>IFERROR(__xludf.DUMMYFUNCTION("""COMPUTED_VALUE"""),293.27)</f>
        <v>293.27</v>
      </c>
      <c r="AE42" s="26">
        <f>IFERROR(__xludf.DUMMYFUNCTION("""COMPUTED_VALUE"""),435.05)</f>
        <v>435.05</v>
      </c>
      <c r="AF42" s="26">
        <f>IFERROR(__xludf.DUMMYFUNCTION("""COMPUTED_VALUE"""),281.91)</f>
        <v>281.91</v>
      </c>
      <c r="AG42" s="26">
        <f>IFERROR(__xludf.DUMMYFUNCTION("""COMPUTED_VALUE"""),46.53)</f>
        <v>46.53</v>
      </c>
      <c r="AH42" s="26">
        <f>IFERROR(__xludf.DUMMYFUNCTION("""COMPUTED_VALUE"""),68.75)</f>
        <v>68.75</v>
      </c>
      <c r="AI42" s="26">
        <f>IFERROR(__xludf.DUMMYFUNCTION("""COMPUTED_VALUE"""),478.89)</f>
        <v>478.89</v>
      </c>
      <c r="AJ42" s="26">
        <f>IFERROR(__xludf.DUMMYFUNCTION("""COMPUTED_VALUE"""),344.18)</f>
        <v>344.18</v>
      </c>
      <c r="AK42" s="26">
        <f>IFERROR(__xludf.DUMMYFUNCTION("""COMPUTED_VALUE"""),96.95)</f>
        <v>96.95</v>
      </c>
      <c r="AL42" s="26">
        <f>IFERROR(__xludf.DUMMYFUNCTION("""COMPUTED_VALUE"""),144.41)</f>
        <v>144.41</v>
      </c>
      <c r="AM42" s="26">
        <f>IFERROR(__xludf.DUMMYFUNCTION("""COMPUTED_VALUE"""),444.74)</f>
        <v>444.74</v>
      </c>
      <c r="AN42" s="26">
        <f>IFERROR(__xludf.DUMMYFUNCTION("""COMPUTED_VALUE"""),207.8)</f>
        <v>207.8</v>
      </c>
      <c r="AO42" s="26">
        <f>IFERROR(__xludf.DUMMYFUNCTION("""COMPUTED_VALUE"""),461.01)</f>
        <v>461.01</v>
      </c>
      <c r="AP42" s="26">
        <f>IFERROR(__xludf.DUMMYFUNCTION("""COMPUTED_VALUE"""),288.08)</f>
        <v>288.08</v>
      </c>
      <c r="AQ42" s="26">
        <f>IFERROR(__xludf.DUMMYFUNCTION("""COMPUTED_VALUE"""),27.17)</f>
        <v>27.17</v>
      </c>
      <c r="AR42" s="26">
        <f>IFERROR(__xludf.DUMMYFUNCTION("""COMPUTED_VALUE"""),77.06)</f>
        <v>77.06</v>
      </c>
      <c r="AS42" s="26">
        <f>IFERROR(__xludf.DUMMYFUNCTION("""COMPUTED_VALUE"""),71.62)</f>
        <v>71.62</v>
      </c>
      <c r="AT42" s="26">
        <f>IFERROR(__xludf.DUMMYFUNCTION("""COMPUTED_VALUE"""),466.25)</f>
        <v>466.25</v>
      </c>
      <c r="AU42" s="26">
        <f>IFERROR(__xludf.DUMMYFUNCTION("""COMPUTED_VALUE"""),72.9)</f>
        <v>72.9</v>
      </c>
      <c r="AV42" s="26">
        <f>IFERROR(__xludf.DUMMYFUNCTION("""COMPUTED_VALUE"""),134.91)</f>
        <v>134.91</v>
      </c>
      <c r="AW42" s="26">
        <f>IFERROR(__xludf.DUMMYFUNCTION("""COMPUTED_VALUE"""),96.87)</f>
        <v>96.87</v>
      </c>
      <c r="AX42" s="26">
        <f>IFERROR(__xludf.DUMMYFUNCTION("""COMPUTED_VALUE"""),36.63)</f>
        <v>36.63</v>
      </c>
      <c r="AY42" s="26">
        <f>IFERROR(__xludf.DUMMYFUNCTION("""COMPUTED_VALUE"""),28.42)</f>
        <v>28.42</v>
      </c>
      <c r="AZ42" s="26">
        <f>IFERROR(__xludf.DUMMYFUNCTION("""COMPUTED_VALUE"""),58.9)</f>
        <v>58.9</v>
      </c>
      <c r="BA42" s="26">
        <f>IFERROR(__xludf.DUMMYFUNCTION("""COMPUTED_VALUE"""),28.35)</f>
        <v>28.35</v>
      </c>
      <c r="BB42" s="26">
        <f>IFERROR(__xludf.DUMMYFUNCTION("""COMPUTED_VALUE"""),100.68)</f>
        <v>100.68</v>
      </c>
      <c r="BC42" s="26">
        <f>IFERROR(__xludf.DUMMYFUNCTION("""COMPUTED_VALUE"""),180.52)</f>
        <v>180.52</v>
      </c>
      <c r="BD42" s="26">
        <f>IFERROR(__xludf.DUMMYFUNCTION("""COMPUTED_VALUE"""),536.87)</f>
        <v>536.87</v>
      </c>
      <c r="BE42" s="26">
        <f>IFERROR(__xludf.DUMMYFUNCTION("""COMPUTED_VALUE"""),205.88)</f>
        <v>205.88</v>
      </c>
      <c r="BF42" s="26">
        <f>IFERROR(__xludf.DUMMYFUNCTION("""COMPUTED_VALUE"""),138.53)</f>
        <v>138.53</v>
      </c>
      <c r="BG42" s="26">
        <f>IFERROR(__xludf.DUMMYFUNCTION("""COMPUTED_VALUE"""),6.9)</f>
        <v>6.9</v>
      </c>
      <c r="BH42" s="26">
        <f>IFERROR(__xludf.DUMMYFUNCTION("""COMPUTED_VALUE"""),224.41)</f>
        <v>224.41</v>
      </c>
      <c r="BI42" s="26">
        <f>IFERROR(__xludf.DUMMYFUNCTION("""COMPUTED_VALUE"""),500.93)</f>
        <v>500.93</v>
      </c>
      <c r="BJ42" s="26">
        <f>IFERROR(__xludf.DUMMYFUNCTION("""COMPUTED_VALUE"""),48.23)</f>
        <v>48.23</v>
      </c>
      <c r="BK42" s="26">
        <f>IFERROR(__xludf.DUMMYFUNCTION("""COMPUTED_VALUE"""),10.89)</f>
        <v>10.89</v>
      </c>
      <c r="BL42" s="26">
        <f>IFERROR(__xludf.DUMMYFUNCTION("""COMPUTED_VALUE"""),211.18)</f>
        <v>211.18</v>
      </c>
      <c r="BM42" s="26">
        <f>IFERROR(__xludf.DUMMYFUNCTION("""COMPUTED_VALUE"""),96.97)</f>
        <v>96.97</v>
      </c>
    </row>
    <row r="43">
      <c r="A43" s="25">
        <v>45484.66666666667</v>
      </c>
      <c r="B43" s="17">
        <f>IFERROR(__xludf.DUMMYFUNCTION("""COMPUTED_VALUE"""),5584.54)</f>
        <v>5584.54</v>
      </c>
      <c r="C43" s="17">
        <f>IFERROR(__xludf.DUMMYFUNCTION("""COMPUTED_VALUE"""),18283.41)</f>
        <v>18283.41</v>
      </c>
      <c r="D43" s="17">
        <f>IFERROR(__xludf.DUMMYFUNCTION("""COMPUTED_VALUE"""),39753.75)</f>
        <v>39753.75</v>
      </c>
      <c r="E43" s="17">
        <f>IFERROR(__xludf.DUMMYFUNCTION("""COMPUTED_VALUE"""),2125.04)</f>
        <v>2125.04</v>
      </c>
      <c r="F43" s="26">
        <f>IFERROR(__xludf.DUMMYFUNCTION("""COMPUTED_VALUE"""),557.63)</f>
        <v>557.63</v>
      </c>
      <c r="G43" s="26">
        <f>IFERROR(__xludf.DUMMYFUNCTION("""COMPUTED_VALUE"""),195.05)</f>
        <v>195.05</v>
      </c>
      <c r="H43" s="26">
        <f>IFERROR(__xludf.DUMMYFUNCTION("""COMPUTED_VALUE"""),136.22)</f>
        <v>136.22</v>
      </c>
      <c r="I43" s="26">
        <f>IFERROR(__xludf.DUMMYFUNCTION("""COMPUTED_VALUE"""),227.57)</f>
        <v>227.57</v>
      </c>
      <c r="J43" s="26">
        <f>IFERROR(__xludf.DUMMYFUNCTION("""COMPUTED_VALUE"""),241.26)</f>
        <v>241.26</v>
      </c>
      <c r="K43" s="26">
        <f>IFERROR(__xludf.DUMMYFUNCTION("""COMPUTED_VALUE"""),61.47)</f>
        <v>61.47</v>
      </c>
      <c r="L43" s="26">
        <f>IFERROR(__xludf.DUMMYFUNCTION("""COMPUTED_VALUE"""),11.59)</f>
        <v>11.59</v>
      </c>
      <c r="M43" s="26">
        <f>IFERROR(__xludf.DUMMYFUNCTION("""COMPUTED_VALUE"""),418.78)</f>
        <v>418.78</v>
      </c>
      <c r="N43" s="26">
        <f>IFERROR(__xludf.DUMMYFUNCTION("""COMPUTED_VALUE"""),58.23)</f>
        <v>58.23</v>
      </c>
      <c r="O43" s="26">
        <f>IFERROR(__xludf.DUMMYFUNCTION("""COMPUTED_VALUE"""),236.8)</f>
        <v>236.8</v>
      </c>
      <c r="P43" s="26">
        <f>IFERROR(__xludf.DUMMYFUNCTION("""COMPUTED_VALUE"""),66.41)</f>
        <v>66.41</v>
      </c>
      <c r="Q43" s="26">
        <f>IFERROR(__xludf.DUMMYFUNCTION("""COMPUTED_VALUE"""),331.13)</f>
        <v>331.13</v>
      </c>
      <c r="R43" s="26">
        <f>IFERROR(__xludf.DUMMYFUNCTION("""COMPUTED_VALUE"""),53.72)</f>
        <v>53.72</v>
      </c>
      <c r="S43" s="26">
        <f>IFERROR(__xludf.DUMMYFUNCTION("""COMPUTED_VALUE"""),170.0)</f>
        <v>170</v>
      </c>
      <c r="T43" s="26">
        <f>IFERROR(__xludf.DUMMYFUNCTION("""COMPUTED_VALUE"""),155.26)</f>
        <v>155.26</v>
      </c>
      <c r="U43" s="26">
        <f>IFERROR(__xludf.DUMMYFUNCTION("""COMPUTED_VALUE"""),333.56)</f>
        <v>333.56</v>
      </c>
      <c r="V43" s="26">
        <f>IFERROR(__xludf.DUMMYFUNCTION("""COMPUTED_VALUE"""),38.2)</f>
        <v>38.2</v>
      </c>
      <c r="W43" s="26">
        <f>IFERROR(__xludf.DUMMYFUNCTION("""COMPUTED_VALUE"""),63.1)</f>
        <v>63.1</v>
      </c>
      <c r="X43" s="26">
        <f>IFERROR(__xludf.DUMMYFUNCTION("""COMPUTED_VALUE"""),91.46)</f>
        <v>91.46</v>
      </c>
      <c r="Y43" s="26">
        <f>IFERROR(__xludf.DUMMYFUNCTION("""COMPUTED_VALUE"""),157.73)</f>
        <v>157.73</v>
      </c>
      <c r="Z43" s="26">
        <f>IFERROR(__xludf.DUMMYFUNCTION("""COMPUTED_VALUE"""),106.73)</f>
        <v>106.73</v>
      </c>
      <c r="AA43" s="26">
        <f>IFERROR(__xludf.DUMMYFUNCTION("""COMPUTED_VALUE"""),473.09)</f>
        <v>473.09</v>
      </c>
      <c r="AB43" s="26">
        <f>IFERROR(__xludf.DUMMYFUNCTION("""COMPUTED_VALUE"""),54.02)</f>
        <v>54.02</v>
      </c>
      <c r="AC43" s="26">
        <f>IFERROR(__xludf.DUMMYFUNCTION("""COMPUTED_VALUE"""),113.25)</f>
        <v>113.25</v>
      </c>
      <c r="AD43" s="26">
        <f>IFERROR(__xludf.DUMMYFUNCTION("""COMPUTED_VALUE"""),299.54)</f>
        <v>299.54</v>
      </c>
      <c r="AE43" s="26">
        <f>IFERROR(__xludf.DUMMYFUNCTION("""COMPUTED_VALUE"""),428.47)</f>
        <v>428.47</v>
      </c>
      <c r="AF43" s="26">
        <f>IFERROR(__xludf.DUMMYFUNCTION("""COMPUTED_VALUE"""),284.15)</f>
        <v>284.15</v>
      </c>
      <c r="AG43" s="26">
        <f>IFERROR(__xludf.DUMMYFUNCTION("""COMPUTED_VALUE"""),47.93)</f>
        <v>47.93</v>
      </c>
      <c r="AH43" s="26">
        <f>IFERROR(__xludf.DUMMYFUNCTION("""COMPUTED_VALUE"""),69.97)</f>
        <v>69.97</v>
      </c>
      <c r="AI43" s="26">
        <f>IFERROR(__xludf.DUMMYFUNCTION("""COMPUTED_VALUE"""),479.23)</f>
        <v>479.23</v>
      </c>
      <c r="AJ43" s="26">
        <f>IFERROR(__xludf.DUMMYFUNCTION("""COMPUTED_VALUE"""),353.79)</f>
        <v>353.79</v>
      </c>
      <c r="AK43" s="26">
        <f>IFERROR(__xludf.DUMMYFUNCTION("""COMPUTED_VALUE"""),99.02)</f>
        <v>99.02</v>
      </c>
      <c r="AL43" s="26">
        <f>IFERROR(__xludf.DUMMYFUNCTION("""COMPUTED_VALUE"""),147.15)</f>
        <v>147.15</v>
      </c>
      <c r="AM43" s="26">
        <f>IFERROR(__xludf.DUMMYFUNCTION("""COMPUTED_VALUE"""),443.5)</f>
        <v>443.5</v>
      </c>
      <c r="AN43" s="26">
        <f>IFERROR(__xludf.DUMMYFUNCTION("""COMPUTED_VALUE"""),207.45)</f>
        <v>207.45</v>
      </c>
      <c r="AO43" s="26">
        <f>IFERROR(__xludf.DUMMYFUNCTION("""COMPUTED_VALUE"""),460.38)</f>
        <v>460.38</v>
      </c>
      <c r="AP43" s="26">
        <f>IFERROR(__xludf.DUMMYFUNCTION("""COMPUTED_VALUE"""),289.2)</f>
        <v>289.2</v>
      </c>
      <c r="AQ43" s="26">
        <f>IFERROR(__xludf.DUMMYFUNCTION("""COMPUTED_VALUE"""),27.19)</f>
        <v>27.19</v>
      </c>
      <c r="AR43" s="26">
        <f>IFERROR(__xludf.DUMMYFUNCTION("""COMPUTED_VALUE"""),78.07)</f>
        <v>78.07</v>
      </c>
      <c r="AS43" s="26">
        <f>IFERROR(__xludf.DUMMYFUNCTION("""COMPUTED_VALUE"""),72.44)</f>
        <v>72.44</v>
      </c>
      <c r="AT43" s="26">
        <f>IFERROR(__xludf.DUMMYFUNCTION("""COMPUTED_VALUE"""),454.7)</f>
        <v>454.7</v>
      </c>
      <c r="AU43" s="26">
        <f>IFERROR(__xludf.DUMMYFUNCTION("""COMPUTED_VALUE"""),74.7)</f>
        <v>74.7</v>
      </c>
      <c r="AV43" s="26">
        <f>IFERROR(__xludf.DUMMYFUNCTION("""COMPUTED_VALUE"""),127.4)</f>
        <v>127.4</v>
      </c>
      <c r="AW43" s="26">
        <f>IFERROR(__xludf.DUMMYFUNCTION("""COMPUTED_VALUE"""),99.24)</f>
        <v>99.24</v>
      </c>
      <c r="AX43" s="26">
        <f>IFERROR(__xludf.DUMMYFUNCTION("""COMPUTED_VALUE"""),37.03)</f>
        <v>37.03</v>
      </c>
      <c r="AY43" s="26">
        <f>IFERROR(__xludf.DUMMYFUNCTION("""COMPUTED_VALUE"""),27.64)</f>
        <v>27.64</v>
      </c>
      <c r="AZ43" s="26">
        <f>IFERROR(__xludf.DUMMYFUNCTION("""COMPUTED_VALUE"""),59.99)</f>
        <v>59.99</v>
      </c>
      <c r="BA43" s="26">
        <f>IFERROR(__xludf.DUMMYFUNCTION("""COMPUTED_VALUE"""),28.66)</f>
        <v>28.66</v>
      </c>
      <c r="BB43" s="26">
        <f>IFERROR(__xludf.DUMMYFUNCTION("""COMPUTED_VALUE"""),101.72)</f>
        <v>101.72</v>
      </c>
      <c r="BC43" s="26">
        <f>IFERROR(__xludf.DUMMYFUNCTION("""COMPUTED_VALUE"""),178.81)</f>
        <v>178.81</v>
      </c>
      <c r="BD43" s="26">
        <f>IFERROR(__xludf.DUMMYFUNCTION("""COMPUTED_VALUE"""),542.69)</f>
        <v>542.69</v>
      </c>
      <c r="BE43" s="26">
        <f>IFERROR(__xludf.DUMMYFUNCTION("""COMPUTED_VALUE"""),203.73)</f>
        <v>203.73</v>
      </c>
      <c r="BF43" s="26">
        <f>IFERROR(__xludf.DUMMYFUNCTION("""COMPUTED_VALUE"""),143.93)</f>
        <v>143.93</v>
      </c>
      <c r="BG43" s="26">
        <f>IFERROR(__xludf.DUMMYFUNCTION("""COMPUTED_VALUE"""),6.99)</f>
        <v>6.99</v>
      </c>
      <c r="BH43" s="26">
        <f>IFERROR(__xludf.DUMMYFUNCTION("""COMPUTED_VALUE"""),228.72)</f>
        <v>228.72</v>
      </c>
      <c r="BI43" s="26">
        <f>IFERROR(__xludf.DUMMYFUNCTION("""COMPUTED_VALUE"""),504.36)</f>
        <v>504.36</v>
      </c>
      <c r="BJ43" s="26">
        <f>IFERROR(__xludf.DUMMYFUNCTION("""COMPUTED_VALUE"""),48.27)</f>
        <v>48.27</v>
      </c>
      <c r="BK43" s="26">
        <f>IFERROR(__xludf.DUMMYFUNCTION("""COMPUTED_VALUE"""),11.19)</f>
        <v>11.19</v>
      </c>
      <c r="BL43" s="26">
        <f>IFERROR(__xludf.DUMMYFUNCTION("""COMPUTED_VALUE"""),211.77)</f>
        <v>211.77</v>
      </c>
      <c r="BM43" s="26">
        <f>IFERROR(__xludf.DUMMYFUNCTION("""COMPUTED_VALUE"""),96.6)</f>
        <v>96.6</v>
      </c>
    </row>
    <row r="44">
      <c r="A44" s="25">
        <v>45485.66666666667</v>
      </c>
      <c r="B44" s="17">
        <f>IFERROR(__xludf.DUMMYFUNCTION("""COMPUTED_VALUE"""),5615.35)</f>
        <v>5615.35</v>
      </c>
      <c r="C44" s="17">
        <f>IFERROR(__xludf.DUMMYFUNCTION("""COMPUTED_VALUE"""),18398.45)</f>
        <v>18398.45</v>
      </c>
      <c r="D44" s="17">
        <f>IFERROR(__xludf.DUMMYFUNCTION("""COMPUTED_VALUE"""),40000.9)</f>
        <v>40000.9</v>
      </c>
      <c r="E44" s="17">
        <f>IFERROR(__xludf.DUMMYFUNCTION("""COMPUTED_VALUE"""),2148.27)</f>
        <v>2148.27</v>
      </c>
      <c r="F44" s="26">
        <f>IFERROR(__xludf.DUMMYFUNCTION("""COMPUTED_VALUE"""),559.05)</f>
        <v>559.05</v>
      </c>
      <c r="G44" s="26">
        <f>IFERROR(__xludf.DUMMYFUNCTION("""COMPUTED_VALUE"""),194.49)</f>
        <v>194.49</v>
      </c>
      <c r="H44" s="26">
        <f>IFERROR(__xludf.DUMMYFUNCTION("""COMPUTED_VALUE"""),139.08)</f>
        <v>139.08</v>
      </c>
      <c r="I44" s="26">
        <f>IFERROR(__xludf.DUMMYFUNCTION("""COMPUTED_VALUE"""),230.54)</f>
        <v>230.54</v>
      </c>
      <c r="J44" s="26">
        <f>IFERROR(__xludf.DUMMYFUNCTION("""COMPUTED_VALUE"""),243.4)</f>
        <v>243.4</v>
      </c>
      <c r="K44" s="26">
        <f>IFERROR(__xludf.DUMMYFUNCTION("""COMPUTED_VALUE"""),64.69)</f>
        <v>64.69</v>
      </c>
      <c r="L44" s="26">
        <f>IFERROR(__xludf.DUMMYFUNCTION("""COMPUTED_VALUE"""),11.6)</f>
        <v>11.6</v>
      </c>
      <c r="M44" s="26">
        <f>IFERROR(__xludf.DUMMYFUNCTION("""COMPUTED_VALUE"""),424.44)</f>
        <v>424.44</v>
      </c>
      <c r="N44" s="26">
        <f>IFERROR(__xludf.DUMMYFUNCTION("""COMPUTED_VALUE"""),59.27)</f>
        <v>59.27</v>
      </c>
      <c r="O44" s="26">
        <f>IFERROR(__xludf.DUMMYFUNCTION("""COMPUTED_VALUE"""),230.06)</f>
        <v>230.06</v>
      </c>
      <c r="P44" s="26">
        <f>IFERROR(__xludf.DUMMYFUNCTION("""COMPUTED_VALUE"""),66.0)</f>
        <v>66</v>
      </c>
      <c r="Q44" s="26">
        <f>IFERROR(__xludf.DUMMYFUNCTION("""COMPUTED_VALUE"""),335.59)</f>
        <v>335.59</v>
      </c>
      <c r="R44" s="26">
        <f>IFERROR(__xludf.DUMMYFUNCTION("""COMPUTED_VALUE"""),52.87)</f>
        <v>52.87</v>
      </c>
      <c r="S44" s="26">
        <f>IFERROR(__xludf.DUMMYFUNCTION("""COMPUTED_VALUE"""),171.77)</f>
        <v>171.77</v>
      </c>
      <c r="T44" s="26">
        <f>IFERROR(__xludf.DUMMYFUNCTION("""COMPUTED_VALUE"""),155.59)</f>
        <v>155.59</v>
      </c>
      <c r="U44" s="26">
        <f>IFERROR(__xludf.DUMMYFUNCTION("""COMPUTED_VALUE"""),334.79)</f>
        <v>334.79</v>
      </c>
      <c r="V44" s="26">
        <f>IFERROR(__xludf.DUMMYFUNCTION("""COMPUTED_VALUE"""),38.2)</f>
        <v>38.2</v>
      </c>
      <c r="W44" s="26">
        <f>IFERROR(__xludf.DUMMYFUNCTION("""COMPUTED_VALUE"""),63.7)</f>
        <v>63.7</v>
      </c>
      <c r="X44" s="26">
        <f>IFERROR(__xludf.DUMMYFUNCTION("""COMPUTED_VALUE"""),92.19)</f>
        <v>92.19</v>
      </c>
      <c r="Y44" s="26">
        <f>IFERROR(__xludf.DUMMYFUNCTION("""COMPUTED_VALUE"""),158.35)</f>
        <v>158.35</v>
      </c>
      <c r="Z44" s="26">
        <f>IFERROR(__xludf.DUMMYFUNCTION("""COMPUTED_VALUE"""),107.36)</f>
        <v>107.36</v>
      </c>
      <c r="AA44" s="26">
        <f>IFERROR(__xludf.DUMMYFUNCTION("""COMPUTED_VALUE"""),491.48)</f>
        <v>491.48</v>
      </c>
      <c r="AB44" s="26">
        <f>IFERROR(__xludf.DUMMYFUNCTION("""COMPUTED_VALUE"""),54.19)</f>
        <v>54.19</v>
      </c>
      <c r="AC44" s="26">
        <f>IFERROR(__xludf.DUMMYFUNCTION("""COMPUTED_VALUE"""),113.27)</f>
        <v>113.27</v>
      </c>
      <c r="AD44" s="26">
        <f>IFERROR(__xludf.DUMMYFUNCTION("""COMPUTED_VALUE"""),299.02)</f>
        <v>299.02</v>
      </c>
      <c r="AE44" s="26">
        <f>IFERROR(__xludf.DUMMYFUNCTION("""COMPUTED_VALUE"""),435.16)</f>
        <v>435.16</v>
      </c>
      <c r="AF44" s="26">
        <f>IFERROR(__xludf.DUMMYFUNCTION("""COMPUTED_VALUE"""),283.89)</f>
        <v>283.89</v>
      </c>
      <c r="AG44" s="26">
        <f>IFERROR(__xludf.DUMMYFUNCTION("""COMPUTED_VALUE"""),49.01)</f>
        <v>49.01</v>
      </c>
      <c r="AH44" s="26">
        <f>IFERROR(__xludf.DUMMYFUNCTION("""COMPUTED_VALUE"""),69.96)</f>
        <v>69.96</v>
      </c>
      <c r="AI44" s="26">
        <f>IFERROR(__xludf.DUMMYFUNCTION("""COMPUTED_VALUE"""),479.88)</f>
        <v>479.88</v>
      </c>
      <c r="AJ44" s="26">
        <f>IFERROR(__xludf.DUMMYFUNCTION("""COMPUTED_VALUE"""),359.77)</f>
        <v>359.77</v>
      </c>
      <c r="AK44" s="26">
        <f>IFERROR(__xludf.DUMMYFUNCTION("""COMPUTED_VALUE"""),102.1)</f>
        <v>102.1</v>
      </c>
      <c r="AL44" s="26">
        <f>IFERROR(__xludf.DUMMYFUNCTION("""COMPUTED_VALUE"""),148.4)</f>
        <v>148.4</v>
      </c>
      <c r="AM44" s="26">
        <f>IFERROR(__xludf.DUMMYFUNCTION("""COMPUTED_VALUE"""),444.16)</f>
        <v>444.16</v>
      </c>
      <c r="AN44" s="26">
        <f>IFERROR(__xludf.DUMMYFUNCTION("""COMPUTED_VALUE"""),204.94)</f>
        <v>204.94</v>
      </c>
      <c r="AO44" s="26">
        <f>IFERROR(__xludf.DUMMYFUNCTION("""COMPUTED_VALUE"""),463.73)</f>
        <v>463.73</v>
      </c>
      <c r="AP44" s="26">
        <f>IFERROR(__xludf.DUMMYFUNCTION("""COMPUTED_VALUE"""),291.06)</f>
        <v>291.06</v>
      </c>
      <c r="AQ44" s="26">
        <f>IFERROR(__xludf.DUMMYFUNCTION("""COMPUTED_VALUE"""),27.14)</f>
        <v>27.14</v>
      </c>
      <c r="AR44" s="26">
        <f>IFERROR(__xludf.DUMMYFUNCTION("""COMPUTED_VALUE"""),77.95)</f>
        <v>77.95</v>
      </c>
      <c r="AS44" s="26">
        <f>IFERROR(__xludf.DUMMYFUNCTION("""COMPUTED_VALUE"""),73.39)</f>
        <v>73.39</v>
      </c>
      <c r="AT44" s="26">
        <f>IFERROR(__xludf.DUMMYFUNCTION("""COMPUTED_VALUE"""),453.55)</f>
        <v>453.55</v>
      </c>
      <c r="AU44" s="26">
        <f>IFERROR(__xludf.DUMMYFUNCTION("""COMPUTED_VALUE"""),76.0)</f>
        <v>76</v>
      </c>
      <c r="AV44" s="26">
        <f>IFERROR(__xludf.DUMMYFUNCTION("""COMPUTED_VALUE"""),129.24)</f>
        <v>129.24</v>
      </c>
      <c r="AW44" s="26">
        <f>IFERROR(__xludf.DUMMYFUNCTION("""COMPUTED_VALUE"""),100.21)</f>
        <v>100.21</v>
      </c>
      <c r="AX44" s="26">
        <f>IFERROR(__xludf.DUMMYFUNCTION("""COMPUTED_VALUE"""),37.51)</f>
        <v>37.51</v>
      </c>
      <c r="AY44" s="26">
        <f>IFERROR(__xludf.DUMMYFUNCTION("""COMPUTED_VALUE"""),28.07)</f>
        <v>28.07</v>
      </c>
      <c r="AZ44" s="26">
        <f>IFERROR(__xludf.DUMMYFUNCTION("""COMPUTED_VALUE"""),60.27)</f>
        <v>60.27</v>
      </c>
      <c r="BA44" s="26">
        <f>IFERROR(__xludf.DUMMYFUNCTION("""COMPUTED_VALUE"""),28.92)</f>
        <v>28.92</v>
      </c>
      <c r="BB44" s="26">
        <f>IFERROR(__xludf.DUMMYFUNCTION("""COMPUTED_VALUE"""),101.28)</f>
        <v>101.28</v>
      </c>
      <c r="BC44" s="26">
        <f>IFERROR(__xludf.DUMMYFUNCTION("""COMPUTED_VALUE"""),179.54)</f>
        <v>179.54</v>
      </c>
      <c r="BD44" s="26">
        <f>IFERROR(__xludf.DUMMYFUNCTION("""COMPUTED_VALUE"""),548.09)</f>
        <v>548.09</v>
      </c>
      <c r="BE44" s="26">
        <f>IFERROR(__xludf.DUMMYFUNCTION("""COMPUTED_VALUE"""),207.59)</f>
        <v>207.59</v>
      </c>
      <c r="BF44" s="26">
        <f>IFERROR(__xludf.DUMMYFUNCTION("""COMPUTED_VALUE"""),142.19)</f>
        <v>142.19</v>
      </c>
      <c r="BG44" s="26">
        <f>IFERROR(__xludf.DUMMYFUNCTION("""COMPUTED_VALUE"""),6.87)</f>
        <v>6.87</v>
      </c>
      <c r="BH44" s="26">
        <f>IFERROR(__xludf.DUMMYFUNCTION("""COMPUTED_VALUE"""),230.22)</f>
        <v>230.22</v>
      </c>
      <c r="BI44" s="26">
        <f>IFERROR(__xludf.DUMMYFUNCTION("""COMPUTED_VALUE"""),511.53)</f>
        <v>511.53</v>
      </c>
      <c r="BJ44" s="26">
        <f>IFERROR(__xludf.DUMMYFUNCTION("""COMPUTED_VALUE"""),48.31)</f>
        <v>48.31</v>
      </c>
      <c r="BK44" s="26">
        <f>IFERROR(__xludf.DUMMYFUNCTION("""COMPUTED_VALUE"""),11.24)</f>
        <v>11.24</v>
      </c>
      <c r="BL44" s="26">
        <f>IFERROR(__xludf.DUMMYFUNCTION("""COMPUTED_VALUE"""),213.75)</f>
        <v>213.75</v>
      </c>
      <c r="BM44" s="26">
        <f>IFERROR(__xludf.DUMMYFUNCTION("""COMPUTED_VALUE"""),97.13)</f>
        <v>97.13</v>
      </c>
    </row>
    <row r="45">
      <c r="A45" s="25">
        <v>45488.66666666667</v>
      </c>
      <c r="B45" s="17">
        <f>IFERROR(__xludf.DUMMYFUNCTION("""COMPUTED_VALUE"""),5631.22)</f>
        <v>5631.22</v>
      </c>
      <c r="C45" s="17">
        <f>IFERROR(__xludf.DUMMYFUNCTION("""COMPUTED_VALUE"""),18472.57)</f>
        <v>18472.57</v>
      </c>
      <c r="D45" s="17">
        <f>IFERROR(__xludf.DUMMYFUNCTION("""COMPUTED_VALUE"""),40211.72)</f>
        <v>40211.72</v>
      </c>
      <c r="E45" s="17">
        <f>IFERROR(__xludf.DUMMYFUNCTION("""COMPUTED_VALUE"""),2187.02)</f>
        <v>2187.02</v>
      </c>
      <c r="F45" s="26">
        <f>IFERROR(__xludf.DUMMYFUNCTION("""COMPUTED_VALUE"""),565.71)</f>
        <v>565.71</v>
      </c>
      <c r="G45" s="26">
        <f>IFERROR(__xludf.DUMMYFUNCTION("""COMPUTED_VALUE"""),192.72)</f>
        <v>192.72</v>
      </c>
      <c r="H45" s="26">
        <f>IFERROR(__xludf.DUMMYFUNCTION("""COMPUTED_VALUE"""),136.33)</f>
        <v>136.33</v>
      </c>
      <c r="I45" s="26">
        <f>IFERROR(__xludf.DUMMYFUNCTION("""COMPUTED_VALUE"""),234.4)</f>
        <v>234.4</v>
      </c>
      <c r="J45" s="26">
        <f>IFERROR(__xludf.DUMMYFUNCTION("""COMPUTED_VALUE"""),245.55)</f>
        <v>245.55</v>
      </c>
      <c r="K45" s="26">
        <f>IFERROR(__xludf.DUMMYFUNCTION("""COMPUTED_VALUE"""),65.71)</f>
        <v>65.71</v>
      </c>
      <c r="L45" s="26">
        <f>IFERROR(__xludf.DUMMYFUNCTION("""COMPUTED_VALUE"""),11.74)</f>
        <v>11.74</v>
      </c>
      <c r="M45" s="26">
        <f>IFERROR(__xludf.DUMMYFUNCTION("""COMPUTED_VALUE"""),434.42)</f>
        <v>434.42</v>
      </c>
      <c r="N45" s="26">
        <f>IFERROR(__xludf.DUMMYFUNCTION("""COMPUTED_VALUE"""),58.31)</f>
        <v>58.31</v>
      </c>
      <c r="O45" s="26">
        <f>IFERROR(__xludf.DUMMYFUNCTION("""COMPUTED_VALUE"""),221.58)</f>
        <v>221.58</v>
      </c>
      <c r="P45" s="26">
        <f>IFERROR(__xludf.DUMMYFUNCTION("""COMPUTED_VALUE"""),67.36)</f>
        <v>67.36</v>
      </c>
      <c r="Q45" s="26">
        <f>IFERROR(__xludf.DUMMYFUNCTION("""COMPUTED_VALUE"""),345.77)</f>
        <v>345.77</v>
      </c>
      <c r="R45" s="26">
        <f>IFERROR(__xludf.DUMMYFUNCTION("""COMPUTED_VALUE"""),52.22)</f>
        <v>52.22</v>
      </c>
      <c r="S45" s="26">
        <f>IFERROR(__xludf.DUMMYFUNCTION("""COMPUTED_VALUE"""),172.05)</f>
        <v>172.05</v>
      </c>
      <c r="T45" s="26">
        <f>IFERROR(__xludf.DUMMYFUNCTION("""COMPUTED_VALUE"""),158.04)</f>
        <v>158.04</v>
      </c>
      <c r="U45" s="26">
        <f>IFERROR(__xludf.DUMMYFUNCTION("""COMPUTED_VALUE"""),331.42)</f>
        <v>331.42</v>
      </c>
      <c r="V45" s="26">
        <f>IFERROR(__xludf.DUMMYFUNCTION("""COMPUTED_VALUE"""),38.66)</f>
        <v>38.66</v>
      </c>
      <c r="W45" s="26">
        <f>IFERROR(__xludf.DUMMYFUNCTION("""COMPUTED_VALUE"""),63.41)</f>
        <v>63.41</v>
      </c>
      <c r="X45" s="26">
        <f>IFERROR(__xludf.DUMMYFUNCTION("""COMPUTED_VALUE"""),90.26)</f>
        <v>90.26</v>
      </c>
      <c r="Y45" s="26">
        <f>IFERROR(__xludf.DUMMYFUNCTION("""COMPUTED_VALUE"""),159.5)</f>
        <v>159.5</v>
      </c>
      <c r="Z45" s="26">
        <f>IFERROR(__xludf.DUMMYFUNCTION("""COMPUTED_VALUE"""),103.83)</f>
        <v>103.83</v>
      </c>
      <c r="AA45" s="26">
        <f>IFERROR(__xludf.DUMMYFUNCTION("""COMPUTED_VALUE"""),483.03)</f>
        <v>483.03</v>
      </c>
      <c r="AB45" s="26">
        <f>IFERROR(__xludf.DUMMYFUNCTION("""COMPUTED_VALUE"""),53.72)</f>
        <v>53.72</v>
      </c>
      <c r="AC45" s="26">
        <f>IFERROR(__xludf.DUMMYFUNCTION("""COMPUTED_VALUE"""),115.21)</f>
        <v>115.21</v>
      </c>
      <c r="AD45" s="26">
        <f>IFERROR(__xludf.DUMMYFUNCTION("""COMPUTED_VALUE"""),305.02)</f>
        <v>305.02</v>
      </c>
      <c r="AE45" s="26">
        <f>IFERROR(__xludf.DUMMYFUNCTION("""COMPUTED_VALUE"""),428.56)</f>
        <v>428.56</v>
      </c>
      <c r="AF45" s="26">
        <f>IFERROR(__xludf.DUMMYFUNCTION("""COMPUTED_VALUE"""),285.42)</f>
        <v>285.42</v>
      </c>
      <c r="AG45" s="26">
        <f>IFERROR(__xludf.DUMMYFUNCTION("""COMPUTED_VALUE"""),49.3)</f>
        <v>49.3</v>
      </c>
      <c r="AH45" s="26">
        <f>IFERROR(__xludf.DUMMYFUNCTION("""COMPUTED_VALUE"""),70.81)</f>
        <v>70.81</v>
      </c>
      <c r="AI45" s="26">
        <f>IFERROR(__xludf.DUMMYFUNCTION("""COMPUTED_VALUE"""),492.23)</f>
        <v>492.23</v>
      </c>
      <c r="AJ45" s="26">
        <f>IFERROR(__xludf.DUMMYFUNCTION("""COMPUTED_VALUE"""),358.46)</f>
        <v>358.46</v>
      </c>
      <c r="AK45" s="26">
        <f>IFERROR(__xludf.DUMMYFUNCTION("""COMPUTED_VALUE"""),104.22)</f>
        <v>104.22</v>
      </c>
      <c r="AL45" s="26">
        <f>IFERROR(__xludf.DUMMYFUNCTION("""COMPUTED_VALUE"""),147.82)</f>
        <v>147.82</v>
      </c>
      <c r="AM45" s="26">
        <f>IFERROR(__xludf.DUMMYFUNCTION("""COMPUTED_VALUE"""),437.25)</f>
        <v>437.25</v>
      </c>
      <c r="AN45" s="26">
        <f>IFERROR(__xludf.DUMMYFUNCTION("""COMPUTED_VALUE"""),210.05)</f>
        <v>210.05</v>
      </c>
      <c r="AO45" s="26">
        <f>IFERROR(__xludf.DUMMYFUNCTION("""COMPUTED_VALUE"""),463.88)</f>
        <v>463.88</v>
      </c>
      <c r="AP45" s="26">
        <f>IFERROR(__xludf.DUMMYFUNCTION("""COMPUTED_VALUE"""),283.72)</f>
        <v>283.72</v>
      </c>
      <c r="AQ45" s="26">
        <f>IFERROR(__xludf.DUMMYFUNCTION("""COMPUTED_VALUE"""),27.08)</f>
        <v>27.08</v>
      </c>
      <c r="AR45" s="26">
        <f>IFERROR(__xludf.DUMMYFUNCTION("""COMPUTED_VALUE"""),77.08)</f>
        <v>77.08</v>
      </c>
      <c r="AS45" s="26">
        <f>IFERROR(__xludf.DUMMYFUNCTION("""COMPUTED_VALUE"""),74.43)</f>
        <v>74.43</v>
      </c>
      <c r="AT45" s="26">
        <f>IFERROR(__xludf.DUMMYFUNCTION("""COMPUTED_VALUE"""),453.96)</f>
        <v>453.96</v>
      </c>
      <c r="AU45" s="26">
        <f>IFERROR(__xludf.DUMMYFUNCTION("""COMPUTED_VALUE"""),70.97)</f>
        <v>70.97</v>
      </c>
      <c r="AV45" s="26">
        <f>IFERROR(__xludf.DUMMYFUNCTION("""COMPUTED_VALUE"""),128.44)</f>
        <v>128.44</v>
      </c>
      <c r="AW45" s="26">
        <f>IFERROR(__xludf.DUMMYFUNCTION("""COMPUTED_VALUE"""),99.44)</f>
        <v>99.44</v>
      </c>
      <c r="AX45" s="26">
        <f>IFERROR(__xludf.DUMMYFUNCTION("""COMPUTED_VALUE"""),37.59)</f>
        <v>37.59</v>
      </c>
      <c r="AY45" s="26">
        <f>IFERROR(__xludf.DUMMYFUNCTION("""COMPUTED_VALUE"""),28.67)</f>
        <v>28.67</v>
      </c>
      <c r="AZ45" s="26">
        <f>IFERROR(__xludf.DUMMYFUNCTION("""COMPUTED_VALUE"""),60.47)</f>
        <v>60.47</v>
      </c>
      <c r="BA45" s="26">
        <f>IFERROR(__xludf.DUMMYFUNCTION("""COMPUTED_VALUE"""),29.1)</f>
        <v>29.1</v>
      </c>
      <c r="BB45" s="26">
        <f>IFERROR(__xludf.DUMMYFUNCTION("""COMPUTED_VALUE"""),101.62)</f>
        <v>101.62</v>
      </c>
      <c r="BC45" s="26">
        <f>IFERROR(__xludf.DUMMYFUNCTION("""COMPUTED_VALUE"""),181.75)</f>
        <v>181.75</v>
      </c>
      <c r="BD45" s="26">
        <f>IFERROR(__xludf.DUMMYFUNCTION("""COMPUTED_VALUE"""),544.68)</f>
        <v>544.68</v>
      </c>
      <c r="BE45" s="26">
        <f>IFERROR(__xludf.DUMMYFUNCTION("""COMPUTED_VALUE"""),206.91)</f>
        <v>206.91</v>
      </c>
      <c r="BF45" s="26">
        <f>IFERROR(__xludf.DUMMYFUNCTION("""COMPUTED_VALUE"""),144.35)</f>
        <v>144.35</v>
      </c>
      <c r="BG45" s="26">
        <f>IFERROR(__xludf.DUMMYFUNCTION("""COMPUTED_VALUE"""),6.51)</f>
        <v>6.51</v>
      </c>
      <c r="BH45" s="26">
        <f>IFERROR(__xludf.DUMMYFUNCTION("""COMPUTED_VALUE"""),235.99)</f>
        <v>235.99</v>
      </c>
      <c r="BI45" s="26">
        <f>IFERROR(__xludf.DUMMYFUNCTION("""COMPUTED_VALUE"""),515.37)</f>
        <v>515.37</v>
      </c>
      <c r="BJ45" s="26">
        <f>IFERROR(__xludf.DUMMYFUNCTION("""COMPUTED_VALUE"""),48.35)</f>
        <v>48.35</v>
      </c>
      <c r="BK45" s="26">
        <f>IFERROR(__xludf.DUMMYFUNCTION("""COMPUTED_VALUE"""),11.0)</f>
        <v>11</v>
      </c>
      <c r="BL45" s="26">
        <f>IFERROR(__xludf.DUMMYFUNCTION("""COMPUTED_VALUE"""),216.0)</f>
        <v>216</v>
      </c>
      <c r="BM45" s="26">
        <f>IFERROR(__xludf.DUMMYFUNCTION("""COMPUTED_VALUE"""),96.87)</f>
        <v>96.87</v>
      </c>
    </row>
    <row r="46">
      <c r="A46" s="25">
        <v>45489.66666666667</v>
      </c>
      <c r="B46" s="17">
        <f>IFERROR(__xludf.DUMMYFUNCTION("""COMPUTED_VALUE"""),5667.2)</f>
        <v>5667.2</v>
      </c>
      <c r="C46" s="17">
        <f>IFERROR(__xludf.DUMMYFUNCTION("""COMPUTED_VALUE"""),18509.34)</f>
        <v>18509.34</v>
      </c>
      <c r="D46" s="17">
        <f>IFERROR(__xludf.DUMMYFUNCTION("""COMPUTED_VALUE"""),40954.48)</f>
        <v>40954.48</v>
      </c>
      <c r="E46" s="17">
        <f>IFERROR(__xludf.DUMMYFUNCTION("""COMPUTED_VALUE"""),2263.67)</f>
        <v>2263.67</v>
      </c>
      <c r="F46" s="26">
        <f>IFERROR(__xludf.DUMMYFUNCTION("""COMPUTED_VALUE"""),566.54)</f>
        <v>566.54</v>
      </c>
      <c r="G46" s="26">
        <f>IFERROR(__xludf.DUMMYFUNCTION("""COMPUTED_VALUE"""),193.02)</f>
        <v>193.02</v>
      </c>
      <c r="H46" s="26">
        <f>IFERROR(__xludf.DUMMYFUNCTION("""COMPUTED_VALUE"""),139.08)</f>
        <v>139.08</v>
      </c>
      <c r="I46" s="26">
        <f>IFERROR(__xludf.DUMMYFUNCTION("""COMPUTED_VALUE"""),234.82)</f>
        <v>234.82</v>
      </c>
      <c r="J46" s="26">
        <f>IFERROR(__xludf.DUMMYFUNCTION("""COMPUTED_VALUE"""),245.84)</f>
        <v>245.84</v>
      </c>
      <c r="K46" s="26">
        <f>IFERROR(__xludf.DUMMYFUNCTION("""COMPUTED_VALUE"""),65.02)</f>
        <v>65.02</v>
      </c>
      <c r="L46" s="26">
        <f>IFERROR(__xludf.DUMMYFUNCTION("""COMPUTED_VALUE"""),11.9)</f>
        <v>11.9</v>
      </c>
      <c r="M46" s="26">
        <f>IFERROR(__xludf.DUMMYFUNCTION("""COMPUTED_VALUE"""),438.9)</f>
        <v>438.9</v>
      </c>
      <c r="N46" s="26">
        <f>IFERROR(__xludf.DUMMYFUNCTION("""COMPUTED_VALUE"""),57.2)</f>
        <v>57.2</v>
      </c>
      <c r="O46" s="26">
        <f>IFERROR(__xludf.DUMMYFUNCTION("""COMPUTED_VALUE"""),225.02)</f>
        <v>225.02</v>
      </c>
      <c r="P46" s="26">
        <f>IFERROR(__xludf.DUMMYFUNCTION("""COMPUTED_VALUE"""),69.88)</f>
        <v>69.88</v>
      </c>
      <c r="Q46" s="26">
        <f>IFERROR(__xludf.DUMMYFUNCTION("""COMPUTED_VALUE"""),360.58)</f>
        <v>360.58</v>
      </c>
      <c r="R46" s="26">
        <f>IFERROR(__xludf.DUMMYFUNCTION("""COMPUTED_VALUE"""),51.37)</f>
        <v>51.37</v>
      </c>
      <c r="S46" s="26">
        <f>IFERROR(__xludf.DUMMYFUNCTION("""COMPUTED_VALUE"""),174.7)</f>
        <v>174.7</v>
      </c>
      <c r="T46" s="26">
        <f>IFERROR(__xludf.DUMMYFUNCTION("""COMPUTED_VALUE"""),157.77)</f>
        <v>157.77</v>
      </c>
      <c r="U46" s="26">
        <f>IFERROR(__xludf.DUMMYFUNCTION("""COMPUTED_VALUE"""),339.71)</f>
        <v>339.71</v>
      </c>
      <c r="V46" s="26">
        <f>IFERROR(__xludf.DUMMYFUNCTION("""COMPUTED_VALUE"""),39.6)</f>
        <v>39.6</v>
      </c>
      <c r="W46" s="26">
        <f>IFERROR(__xludf.DUMMYFUNCTION("""COMPUTED_VALUE"""),64.27)</f>
        <v>64.27</v>
      </c>
      <c r="X46" s="26">
        <f>IFERROR(__xludf.DUMMYFUNCTION("""COMPUTED_VALUE"""),91.55)</f>
        <v>91.55</v>
      </c>
      <c r="Y46" s="26">
        <f>IFERROR(__xludf.DUMMYFUNCTION("""COMPUTED_VALUE"""),162.33)</f>
        <v>162.33</v>
      </c>
      <c r="Z46" s="26">
        <f>IFERROR(__xludf.DUMMYFUNCTION("""COMPUTED_VALUE"""),104.82)</f>
        <v>104.82</v>
      </c>
      <c r="AA46" s="26">
        <f>IFERROR(__xludf.DUMMYFUNCTION("""COMPUTED_VALUE"""),489.85)</f>
        <v>489.85</v>
      </c>
      <c r="AB46" s="26">
        <f>IFERROR(__xludf.DUMMYFUNCTION("""COMPUTED_VALUE"""),55.42)</f>
        <v>55.42</v>
      </c>
      <c r="AC46" s="26">
        <f>IFERROR(__xludf.DUMMYFUNCTION("""COMPUTED_VALUE"""),116.04)</f>
        <v>116.04</v>
      </c>
      <c r="AD46" s="26">
        <f>IFERROR(__xludf.DUMMYFUNCTION("""COMPUTED_VALUE"""),313.52)</f>
        <v>313.52</v>
      </c>
      <c r="AE46" s="26">
        <f>IFERROR(__xludf.DUMMYFUNCTION("""COMPUTED_VALUE"""),429.22)</f>
        <v>429.22</v>
      </c>
      <c r="AF46" s="26">
        <f>IFERROR(__xludf.DUMMYFUNCTION("""COMPUTED_VALUE"""),291.59)</f>
        <v>291.59</v>
      </c>
      <c r="AG46" s="26">
        <f>IFERROR(__xludf.DUMMYFUNCTION("""COMPUTED_VALUE"""),49.77)</f>
        <v>49.77</v>
      </c>
      <c r="AH46" s="26">
        <f>IFERROR(__xludf.DUMMYFUNCTION("""COMPUTED_VALUE"""),71.64)</f>
        <v>71.64</v>
      </c>
      <c r="AI46" s="26">
        <f>IFERROR(__xludf.DUMMYFUNCTION("""COMPUTED_VALUE"""),503.02)</f>
        <v>503.02</v>
      </c>
      <c r="AJ46" s="26">
        <f>IFERROR(__xludf.DUMMYFUNCTION("""COMPUTED_VALUE"""),369.12)</f>
        <v>369.12</v>
      </c>
      <c r="AK46" s="26">
        <f>IFERROR(__xludf.DUMMYFUNCTION("""COMPUTED_VALUE"""),108.75)</f>
        <v>108.75</v>
      </c>
      <c r="AL46" s="26">
        <f>IFERROR(__xludf.DUMMYFUNCTION("""COMPUTED_VALUE"""),148.92)</f>
        <v>148.92</v>
      </c>
      <c r="AM46" s="26">
        <f>IFERROR(__xludf.DUMMYFUNCTION("""COMPUTED_VALUE"""),438.01)</f>
        <v>438.01</v>
      </c>
      <c r="AN46" s="26">
        <f>IFERROR(__xludf.DUMMYFUNCTION("""COMPUTED_VALUE"""),213.62)</f>
        <v>213.62</v>
      </c>
      <c r="AO46" s="26">
        <f>IFERROR(__xludf.DUMMYFUNCTION("""COMPUTED_VALUE"""),468.58)</f>
        <v>468.58</v>
      </c>
      <c r="AP46" s="26">
        <f>IFERROR(__xludf.DUMMYFUNCTION("""COMPUTED_VALUE"""),291.76)</f>
        <v>291.76</v>
      </c>
      <c r="AQ46" s="26">
        <f>IFERROR(__xludf.DUMMYFUNCTION("""COMPUTED_VALUE"""),26.75)</f>
        <v>26.75</v>
      </c>
      <c r="AR46" s="26">
        <f>IFERROR(__xludf.DUMMYFUNCTION("""COMPUTED_VALUE"""),78.1)</f>
        <v>78.1</v>
      </c>
      <c r="AS46" s="26">
        <f>IFERROR(__xludf.DUMMYFUNCTION("""COMPUTED_VALUE"""),75.66)</f>
        <v>75.66</v>
      </c>
      <c r="AT46" s="26">
        <f>IFERROR(__xludf.DUMMYFUNCTION("""COMPUTED_VALUE"""),449.52)</f>
        <v>449.52</v>
      </c>
      <c r="AU46" s="26">
        <f>IFERROR(__xludf.DUMMYFUNCTION("""COMPUTED_VALUE"""),71.9)</f>
        <v>71.9</v>
      </c>
      <c r="AV46" s="26">
        <f>IFERROR(__xludf.DUMMYFUNCTION("""COMPUTED_VALUE"""),126.36)</f>
        <v>126.36</v>
      </c>
      <c r="AW46" s="26">
        <f>IFERROR(__xludf.DUMMYFUNCTION("""COMPUTED_VALUE"""),99.62)</f>
        <v>99.62</v>
      </c>
      <c r="AX46" s="26">
        <f>IFERROR(__xludf.DUMMYFUNCTION("""COMPUTED_VALUE"""),39.2)</f>
        <v>39.2</v>
      </c>
      <c r="AY46" s="26">
        <f>IFERROR(__xludf.DUMMYFUNCTION("""COMPUTED_VALUE"""),28.67)</f>
        <v>28.67</v>
      </c>
      <c r="AZ46" s="26">
        <f>IFERROR(__xludf.DUMMYFUNCTION("""COMPUTED_VALUE"""),61.81)</f>
        <v>61.81</v>
      </c>
      <c r="BA46" s="26">
        <f>IFERROR(__xludf.DUMMYFUNCTION("""COMPUTED_VALUE"""),29.5)</f>
        <v>29.5</v>
      </c>
      <c r="BB46" s="26">
        <f>IFERROR(__xludf.DUMMYFUNCTION("""COMPUTED_VALUE"""),103.68)</f>
        <v>103.68</v>
      </c>
      <c r="BC46" s="26">
        <f>IFERROR(__xludf.DUMMYFUNCTION("""COMPUTED_VALUE"""),182.98)</f>
        <v>182.98</v>
      </c>
      <c r="BD46" s="26">
        <f>IFERROR(__xludf.DUMMYFUNCTION("""COMPUTED_VALUE"""),555.42)</f>
        <v>555.42</v>
      </c>
      <c r="BE46" s="26">
        <f>IFERROR(__xludf.DUMMYFUNCTION("""COMPUTED_VALUE"""),206.6)</f>
        <v>206.6</v>
      </c>
      <c r="BF46" s="26">
        <f>IFERROR(__xludf.DUMMYFUNCTION("""COMPUTED_VALUE"""),151.81)</f>
        <v>151.81</v>
      </c>
      <c r="BG46" s="26">
        <f>IFERROR(__xludf.DUMMYFUNCTION("""COMPUTED_VALUE"""),6.67)</f>
        <v>6.67</v>
      </c>
      <c r="BH46" s="26">
        <f>IFERROR(__xludf.DUMMYFUNCTION("""COMPUTED_VALUE"""),243.06)</f>
        <v>243.06</v>
      </c>
      <c r="BI46" s="26">
        <f>IFERROR(__xludf.DUMMYFUNCTION("""COMPUTED_VALUE"""),548.87)</f>
        <v>548.87</v>
      </c>
      <c r="BJ46" s="26">
        <f>IFERROR(__xludf.DUMMYFUNCTION("""COMPUTED_VALUE"""),48.35)</f>
        <v>48.35</v>
      </c>
      <c r="BK46" s="26">
        <f>IFERROR(__xludf.DUMMYFUNCTION("""COMPUTED_VALUE"""),11.38)</f>
        <v>11.38</v>
      </c>
      <c r="BL46" s="26">
        <f>IFERROR(__xludf.DUMMYFUNCTION("""COMPUTED_VALUE"""),220.89)</f>
        <v>220.89</v>
      </c>
      <c r="BM46" s="26">
        <f>IFERROR(__xludf.DUMMYFUNCTION("""COMPUTED_VALUE"""),98.47)</f>
        <v>98.47</v>
      </c>
    </row>
    <row r="47">
      <c r="A47" s="25">
        <v>45490.66666666667</v>
      </c>
      <c r="B47" s="17">
        <f>IFERROR(__xludf.DUMMYFUNCTION("""COMPUTED_VALUE"""),5588.27)</f>
        <v>5588.27</v>
      </c>
      <c r="C47" s="17">
        <f>IFERROR(__xludf.DUMMYFUNCTION("""COMPUTED_VALUE"""),17996.93)</f>
        <v>17996.93</v>
      </c>
      <c r="D47" s="17">
        <f>IFERROR(__xludf.DUMMYFUNCTION("""COMPUTED_VALUE"""),41198.08)</f>
        <v>41198.08</v>
      </c>
      <c r="E47" s="17">
        <f>IFERROR(__xludf.DUMMYFUNCTION("""COMPUTED_VALUE"""),2239.67)</f>
        <v>2239.67</v>
      </c>
      <c r="F47" s="26">
        <f>IFERROR(__xludf.DUMMYFUNCTION("""COMPUTED_VALUE"""),563.09)</f>
        <v>563.09</v>
      </c>
      <c r="G47" s="26">
        <f>IFERROR(__xludf.DUMMYFUNCTION("""COMPUTED_VALUE"""),187.93)</f>
        <v>187.93</v>
      </c>
      <c r="H47" s="26">
        <f>IFERROR(__xludf.DUMMYFUNCTION("""COMPUTED_VALUE"""),142.53)</f>
        <v>142.53</v>
      </c>
      <c r="I47" s="26">
        <f>IFERROR(__xludf.DUMMYFUNCTION("""COMPUTED_VALUE"""),228.88)</f>
        <v>228.88</v>
      </c>
      <c r="J47" s="26">
        <f>IFERROR(__xludf.DUMMYFUNCTION("""COMPUTED_VALUE"""),220.07)</f>
        <v>220.07</v>
      </c>
      <c r="K47" s="26">
        <f>IFERROR(__xludf.DUMMYFUNCTION("""COMPUTED_VALUE"""),64.09)</f>
        <v>64.09</v>
      </c>
      <c r="L47" s="26">
        <f>IFERROR(__xludf.DUMMYFUNCTION("""COMPUTED_VALUE"""),12.02)</f>
        <v>12.02</v>
      </c>
      <c r="M47" s="26">
        <f>IFERROR(__xludf.DUMMYFUNCTION("""COMPUTED_VALUE"""),445.61)</f>
        <v>445.61</v>
      </c>
      <c r="N47" s="26">
        <f>IFERROR(__xludf.DUMMYFUNCTION("""COMPUTED_VALUE"""),56.99)</f>
        <v>56.99</v>
      </c>
      <c r="O47" s="26">
        <f>IFERROR(__xludf.DUMMYFUNCTION("""COMPUTED_VALUE"""),228.33)</f>
        <v>228.33</v>
      </c>
      <c r="P47" s="26">
        <f>IFERROR(__xludf.DUMMYFUNCTION("""COMPUTED_VALUE"""),67.58)</f>
        <v>67.58</v>
      </c>
      <c r="Q47" s="26">
        <f>IFERROR(__xludf.DUMMYFUNCTION("""COMPUTED_VALUE"""),357.8)</f>
        <v>357.8</v>
      </c>
      <c r="R47" s="26">
        <f>IFERROR(__xludf.DUMMYFUNCTION("""COMPUTED_VALUE"""),47.47)</f>
        <v>47.47</v>
      </c>
      <c r="S47" s="26">
        <f>IFERROR(__xludf.DUMMYFUNCTION("""COMPUTED_VALUE"""),171.58)</f>
        <v>171.58</v>
      </c>
      <c r="T47" s="26">
        <f>IFERROR(__xludf.DUMMYFUNCTION("""COMPUTED_VALUE"""),161.23)</f>
        <v>161.23</v>
      </c>
      <c r="U47" s="26">
        <f>IFERROR(__xludf.DUMMYFUNCTION("""COMPUTED_VALUE"""),344.76)</f>
        <v>344.76</v>
      </c>
      <c r="V47" s="26">
        <f>IFERROR(__xludf.DUMMYFUNCTION("""COMPUTED_VALUE"""),40.92)</f>
        <v>40.92</v>
      </c>
      <c r="W47" s="26">
        <f>IFERROR(__xludf.DUMMYFUNCTION("""COMPUTED_VALUE"""),65.21)</f>
        <v>65.21</v>
      </c>
      <c r="X47" s="26">
        <f>IFERROR(__xludf.DUMMYFUNCTION("""COMPUTED_VALUE"""),93.76)</f>
        <v>93.76</v>
      </c>
      <c r="Y47" s="26">
        <f>IFERROR(__xludf.DUMMYFUNCTION("""COMPUTED_VALUE"""),156.83)</f>
        <v>156.83</v>
      </c>
      <c r="Z47" s="26">
        <f>IFERROR(__xludf.DUMMYFUNCTION("""COMPUTED_VALUE"""),105.34)</f>
        <v>105.34</v>
      </c>
      <c r="AA47" s="26">
        <f>IFERROR(__xludf.DUMMYFUNCTION("""COMPUTED_VALUE"""),473.27)</f>
        <v>473.27</v>
      </c>
      <c r="AB47" s="26">
        <f>IFERROR(__xludf.DUMMYFUNCTION("""COMPUTED_VALUE"""),54.58)</f>
        <v>54.58</v>
      </c>
      <c r="AC47" s="26">
        <f>IFERROR(__xludf.DUMMYFUNCTION("""COMPUTED_VALUE"""),117.64)</f>
        <v>117.64</v>
      </c>
      <c r="AD47" s="26">
        <f>IFERROR(__xludf.DUMMYFUNCTION("""COMPUTED_VALUE"""),310.43)</f>
        <v>310.43</v>
      </c>
      <c r="AE47" s="26">
        <f>IFERROR(__xludf.DUMMYFUNCTION("""COMPUTED_VALUE"""),420.71)</f>
        <v>420.71</v>
      </c>
      <c r="AF47" s="26">
        <f>IFERROR(__xludf.DUMMYFUNCTION("""COMPUTED_VALUE"""),291.99)</f>
        <v>291.99</v>
      </c>
      <c r="AG47" s="26">
        <f>IFERROR(__xludf.DUMMYFUNCTION("""COMPUTED_VALUE"""),49.9)</f>
        <v>49.9</v>
      </c>
      <c r="AH47" s="26">
        <f>IFERROR(__xludf.DUMMYFUNCTION("""COMPUTED_VALUE"""),73.3)</f>
        <v>73.3</v>
      </c>
      <c r="AI47" s="26">
        <f>IFERROR(__xludf.DUMMYFUNCTION("""COMPUTED_VALUE"""),502.18)</f>
        <v>502.18</v>
      </c>
      <c r="AJ47" s="26">
        <f>IFERROR(__xludf.DUMMYFUNCTION("""COMPUTED_VALUE"""),371.89)</f>
        <v>371.89</v>
      </c>
      <c r="AK47" s="26">
        <f>IFERROR(__xludf.DUMMYFUNCTION("""COMPUTED_VALUE"""),107.21)</f>
        <v>107.21</v>
      </c>
      <c r="AL47" s="26">
        <f>IFERROR(__xludf.DUMMYFUNCTION("""COMPUTED_VALUE"""),149.41)</f>
        <v>149.41</v>
      </c>
      <c r="AM47" s="26">
        <f>IFERROR(__xludf.DUMMYFUNCTION("""COMPUTED_VALUE"""),426.23)</f>
        <v>426.23</v>
      </c>
      <c r="AN47" s="26">
        <f>IFERROR(__xludf.DUMMYFUNCTION("""COMPUTED_VALUE"""),216.87)</f>
        <v>216.87</v>
      </c>
      <c r="AO47" s="26">
        <f>IFERROR(__xludf.DUMMYFUNCTION("""COMPUTED_VALUE"""),476.07)</f>
        <v>476.07</v>
      </c>
      <c r="AP47" s="26">
        <f>IFERROR(__xludf.DUMMYFUNCTION("""COMPUTED_VALUE"""),292.68)</f>
        <v>292.68</v>
      </c>
      <c r="AQ47" s="26">
        <f>IFERROR(__xludf.DUMMYFUNCTION("""COMPUTED_VALUE"""),26.46)</f>
        <v>26.46</v>
      </c>
      <c r="AR47" s="26">
        <f>IFERROR(__xludf.DUMMYFUNCTION("""COMPUTED_VALUE"""),81.26)</f>
        <v>81.26</v>
      </c>
      <c r="AS47" s="26">
        <f>IFERROR(__xludf.DUMMYFUNCTION("""COMPUTED_VALUE"""),76.18)</f>
        <v>76.18</v>
      </c>
      <c r="AT47" s="26">
        <f>IFERROR(__xludf.DUMMYFUNCTION("""COMPUTED_VALUE"""),443.52)</f>
        <v>443.52</v>
      </c>
      <c r="AU47" s="26">
        <f>IFERROR(__xludf.DUMMYFUNCTION("""COMPUTED_VALUE"""),70.9)</f>
        <v>70.9</v>
      </c>
      <c r="AV47" s="26">
        <f>IFERROR(__xludf.DUMMYFUNCTION("""COMPUTED_VALUE"""),117.99)</f>
        <v>117.99</v>
      </c>
      <c r="AW47" s="26">
        <f>IFERROR(__xludf.DUMMYFUNCTION("""COMPUTED_VALUE"""),98.93)</f>
        <v>98.93</v>
      </c>
      <c r="AX47" s="26">
        <f>IFERROR(__xludf.DUMMYFUNCTION("""COMPUTED_VALUE"""),40.36)</f>
        <v>40.36</v>
      </c>
      <c r="AY47" s="26">
        <f>IFERROR(__xludf.DUMMYFUNCTION("""COMPUTED_VALUE"""),28.22)</f>
        <v>28.22</v>
      </c>
      <c r="AZ47" s="26">
        <f>IFERROR(__xludf.DUMMYFUNCTION("""COMPUTED_VALUE"""),61.24)</f>
        <v>61.24</v>
      </c>
      <c r="BA47" s="26">
        <f>IFERROR(__xludf.DUMMYFUNCTION("""COMPUTED_VALUE"""),30.03)</f>
        <v>30.03</v>
      </c>
      <c r="BB47" s="26">
        <f>IFERROR(__xludf.DUMMYFUNCTION("""COMPUTED_VALUE"""),104.99)</f>
        <v>104.99</v>
      </c>
      <c r="BC47" s="26">
        <f>IFERROR(__xludf.DUMMYFUNCTION("""COMPUTED_VALUE"""),183.56)</f>
        <v>183.56</v>
      </c>
      <c r="BD47" s="26">
        <f>IFERROR(__xludf.DUMMYFUNCTION("""COMPUTED_VALUE"""),555.06)</f>
        <v>555.06</v>
      </c>
      <c r="BE47" s="26">
        <f>IFERROR(__xludf.DUMMYFUNCTION("""COMPUTED_VALUE"""),204.39)</f>
        <v>204.39</v>
      </c>
      <c r="BF47" s="26">
        <f>IFERROR(__xludf.DUMMYFUNCTION("""COMPUTED_VALUE"""),149.23)</f>
        <v>149.23</v>
      </c>
      <c r="BG47" s="26">
        <f>IFERROR(__xludf.DUMMYFUNCTION("""COMPUTED_VALUE"""),6.89)</f>
        <v>6.89</v>
      </c>
      <c r="BH47" s="26">
        <f>IFERROR(__xludf.DUMMYFUNCTION("""COMPUTED_VALUE"""),243.89)</f>
        <v>243.89</v>
      </c>
      <c r="BI47" s="26">
        <f>IFERROR(__xludf.DUMMYFUNCTION("""COMPUTED_VALUE"""),573.28)</f>
        <v>573.28</v>
      </c>
      <c r="BJ47" s="26">
        <f>IFERROR(__xludf.DUMMYFUNCTION("""COMPUTED_VALUE"""),48.38)</f>
        <v>48.38</v>
      </c>
      <c r="BK47" s="26">
        <f>IFERROR(__xludf.DUMMYFUNCTION("""COMPUTED_VALUE"""),11.84)</f>
        <v>11.84</v>
      </c>
      <c r="BL47" s="26">
        <f>IFERROR(__xludf.DUMMYFUNCTION("""COMPUTED_VALUE"""),223.32)</f>
        <v>223.32</v>
      </c>
      <c r="BM47" s="26">
        <f>IFERROR(__xludf.DUMMYFUNCTION("""COMPUTED_VALUE"""),97.31)</f>
        <v>97.31</v>
      </c>
    </row>
    <row r="48">
      <c r="A48" s="25">
        <v>45491.66666666667</v>
      </c>
      <c r="B48" s="17">
        <f>IFERROR(__xludf.DUMMYFUNCTION("""COMPUTED_VALUE"""),5544.59)</f>
        <v>5544.59</v>
      </c>
      <c r="C48" s="17">
        <f>IFERROR(__xludf.DUMMYFUNCTION("""COMPUTED_VALUE"""),17871.22)</f>
        <v>17871.22</v>
      </c>
      <c r="D48" s="17">
        <f>IFERROR(__xludf.DUMMYFUNCTION("""COMPUTED_VALUE"""),40665.02)</f>
        <v>40665.02</v>
      </c>
      <c r="E48" s="17">
        <f>IFERROR(__xludf.DUMMYFUNCTION("""COMPUTED_VALUE"""),2198.29)</f>
        <v>2198.29</v>
      </c>
      <c r="F48" s="26">
        <f>IFERROR(__xludf.DUMMYFUNCTION("""COMPUTED_VALUE"""),556.85)</f>
        <v>556.85</v>
      </c>
      <c r="G48" s="26">
        <f>IFERROR(__xludf.DUMMYFUNCTION("""COMPUTED_VALUE"""),183.75)</f>
        <v>183.75</v>
      </c>
      <c r="H48" s="26">
        <f>IFERROR(__xludf.DUMMYFUNCTION("""COMPUTED_VALUE"""),141.35)</f>
        <v>141.35</v>
      </c>
      <c r="I48" s="26">
        <f>IFERROR(__xludf.DUMMYFUNCTION("""COMPUTED_VALUE"""),224.18)</f>
        <v>224.18</v>
      </c>
      <c r="J48" s="26">
        <f>IFERROR(__xludf.DUMMYFUNCTION("""COMPUTED_VALUE"""),217.65)</f>
        <v>217.65</v>
      </c>
      <c r="K48" s="26">
        <f>IFERROR(__xludf.DUMMYFUNCTION("""COMPUTED_VALUE"""),63.48)</f>
        <v>63.48</v>
      </c>
      <c r="L48" s="26">
        <f>IFERROR(__xludf.DUMMYFUNCTION("""COMPUTED_VALUE"""),11.74)</f>
        <v>11.74</v>
      </c>
      <c r="M48" s="26">
        <f>IFERROR(__xludf.DUMMYFUNCTION("""COMPUTED_VALUE"""),441.82)</f>
        <v>441.82</v>
      </c>
      <c r="N48" s="26">
        <f>IFERROR(__xludf.DUMMYFUNCTION("""COMPUTED_VALUE"""),56.12)</f>
        <v>56.12</v>
      </c>
      <c r="O48" s="26">
        <f>IFERROR(__xludf.DUMMYFUNCTION("""COMPUTED_VALUE"""),225.25)</f>
        <v>225.25</v>
      </c>
      <c r="P48" s="26">
        <f>IFERROR(__xludf.DUMMYFUNCTION("""COMPUTED_VALUE"""),67.05)</f>
        <v>67.05</v>
      </c>
      <c r="Q48" s="26">
        <f>IFERROR(__xludf.DUMMYFUNCTION("""COMPUTED_VALUE"""),356.03)</f>
        <v>356.03</v>
      </c>
      <c r="R48" s="26">
        <f>IFERROR(__xludf.DUMMYFUNCTION("""COMPUTED_VALUE"""),46.45)</f>
        <v>46.45</v>
      </c>
      <c r="S48" s="26">
        <f>IFERROR(__xludf.DUMMYFUNCTION("""COMPUTED_VALUE"""),172.1)</f>
        <v>172.1</v>
      </c>
      <c r="T48" s="26">
        <f>IFERROR(__xludf.DUMMYFUNCTION("""COMPUTED_VALUE"""),161.97)</f>
        <v>161.97</v>
      </c>
      <c r="U48" s="26">
        <f>IFERROR(__xludf.DUMMYFUNCTION("""COMPUTED_VALUE"""),340.52)</f>
        <v>340.52</v>
      </c>
      <c r="V48" s="26">
        <f>IFERROR(__xludf.DUMMYFUNCTION("""COMPUTED_VALUE"""),40.75)</f>
        <v>40.75</v>
      </c>
      <c r="W48" s="26">
        <f>IFERROR(__xludf.DUMMYFUNCTION("""COMPUTED_VALUE"""),65.19)</f>
        <v>65.19</v>
      </c>
      <c r="X48" s="26">
        <f>IFERROR(__xludf.DUMMYFUNCTION("""COMPUTED_VALUE"""),94.11)</f>
        <v>94.11</v>
      </c>
      <c r="Y48" s="26">
        <f>IFERROR(__xludf.DUMMYFUNCTION("""COMPUTED_VALUE"""),154.6)</f>
        <v>154.6</v>
      </c>
      <c r="Z48" s="26">
        <f>IFERROR(__xludf.DUMMYFUNCTION("""COMPUTED_VALUE"""),106.67)</f>
        <v>106.67</v>
      </c>
      <c r="AA48" s="26">
        <f>IFERROR(__xludf.DUMMYFUNCTION("""COMPUTED_VALUE"""),409.04)</f>
        <v>409.04</v>
      </c>
      <c r="AB48" s="26">
        <f>IFERROR(__xludf.DUMMYFUNCTION("""COMPUTED_VALUE"""),54.39)</f>
        <v>54.39</v>
      </c>
      <c r="AC48" s="26">
        <f>IFERROR(__xludf.DUMMYFUNCTION("""COMPUTED_VALUE"""),118.8)</f>
        <v>118.8</v>
      </c>
      <c r="AD48" s="26">
        <f>IFERROR(__xludf.DUMMYFUNCTION("""COMPUTED_VALUE"""),306.62)</f>
        <v>306.62</v>
      </c>
      <c r="AE48" s="26">
        <f>IFERROR(__xludf.DUMMYFUNCTION("""COMPUTED_VALUE"""),422.43)</f>
        <v>422.43</v>
      </c>
      <c r="AF48" s="26">
        <f>IFERROR(__xludf.DUMMYFUNCTION("""COMPUTED_VALUE"""),293.27)</f>
        <v>293.27</v>
      </c>
      <c r="AG48" s="26">
        <f>IFERROR(__xludf.DUMMYFUNCTION("""COMPUTED_VALUE"""),49.65)</f>
        <v>49.65</v>
      </c>
      <c r="AH48" s="26">
        <f>IFERROR(__xludf.DUMMYFUNCTION("""COMPUTED_VALUE"""),73.51)</f>
        <v>73.51</v>
      </c>
      <c r="AI48" s="26">
        <f>IFERROR(__xludf.DUMMYFUNCTION("""COMPUTED_VALUE"""),486.21)</f>
        <v>486.21</v>
      </c>
      <c r="AJ48" s="26">
        <f>IFERROR(__xludf.DUMMYFUNCTION("""COMPUTED_VALUE"""),366.08)</f>
        <v>366.08</v>
      </c>
      <c r="AK48" s="26">
        <f>IFERROR(__xludf.DUMMYFUNCTION("""COMPUTED_VALUE"""),107.61)</f>
        <v>107.61</v>
      </c>
      <c r="AL48" s="26">
        <f>IFERROR(__xludf.DUMMYFUNCTION("""COMPUTED_VALUE"""),147.76)</f>
        <v>147.76</v>
      </c>
      <c r="AM48" s="26">
        <f>IFERROR(__xludf.DUMMYFUNCTION("""COMPUTED_VALUE"""),416.14)</f>
        <v>416.14</v>
      </c>
      <c r="AN48" s="26">
        <f>IFERROR(__xludf.DUMMYFUNCTION("""COMPUTED_VALUE"""),209.98)</f>
        <v>209.98</v>
      </c>
      <c r="AO48" s="26">
        <f>IFERROR(__xludf.DUMMYFUNCTION("""COMPUTED_VALUE"""),476.0)</f>
        <v>476</v>
      </c>
      <c r="AP48" s="26">
        <f>IFERROR(__xludf.DUMMYFUNCTION("""COMPUTED_VALUE"""),285.13)</f>
        <v>285.13</v>
      </c>
      <c r="AQ48" s="26">
        <f>IFERROR(__xludf.DUMMYFUNCTION("""COMPUTED_VALUE"""),26.14)</f>
        <v>26.14</v>
      </c>
      <c r="AR48" s="26">
        <f>IFERROR(__xludf.DUMMYFUNCTION("""COMPUTED_VALUE"""),81.21)</f>
        <v>81.21</v>
      </c>
      <c r="AS48" s="26">
        <f>IFERROR(__xludf.DUMMYFUNCTION("""COMPUTED_VALUE"""),75.39)</f>
        <v>75.39</v>
      </c>
      <c r="AT48" s="26">
        <f>IFERROR(__xludf.DUMMYFUNCTION("""COMPUTED_VALUE"""),440.37)</f>
        <v>440.37</v>
      </c>
      <c r="AU48" s="26">
        <f>IFERROR(__xludf.DUMMYFUNCTION("""COMPUTED_VALUE"""),71.67)</f>
        <v>71.67</v>
      </c>
      <c r="AV48" s="26">
        <f>IFERROR(__xludf.DUMMYFUNCTION("""COMPUTED_VALUE"""),121.09)</f>
        <v>121.09</v>
      </c>
      <c r="AW48" s="26">
        <f>IFERROR(__xludf.DUMMYFUNCTION("""COMPUTED_VALUE"""),98.71)</f>
        <v>98.71</v>
      </c>
      <c r="AX48" s="26">
        <f>IFERROR(__xludf.DUMMYFUNCTION("""COMPUTED_VALUE"""),40.12)</f>
        <v>40.12</v>
      </c>
      <c r="AY48" s="26">
        <f>IFERROR(__xludf.DUMMYFUNCTION("""COMPUTED_VALUE"""),28.64)</f>
        <v>28.64</v>
      </c>
      <c r="AZ48" s="26">
        <f>IFERROR(__xludf.DUMMYFUNCTION("""COMPUTED_VALUE"""),60.0)</f>
        <v>60</v>
      </c>
      <c r="BA48" s="26">
        <f>IFERROR(__xludf.DUMMYFUNCTION("""COMPUTED_VALUE"""),29.71)</f>
        <v>29.71</v>
      </c>
      <c r="BB48" s="26">
        <f>IFERROR(__xludf.DUMMYFUNCTION("""COMPUTED_VALUE"""),103.84)</f>
        <v>103.84</v>
      </c>
      <c r="BC48" s="26">
        <f>IFERROR(__xludf.DUMMYFUNCTION("""COMPUTED_VALUE"""),182.29)</f>
        <v>182.29</v>
      </c>
      <c r="BD48" s="26">
        <f>IFERROR(__xludf.DUMMYFUNCTION("""COMPUTED_VALUE"""),540.62)</f>
        <v>540.62</v>
      </c>
      <c r="BE48" s="26">
        <f>IFERROR(__xludf.DUMMYFUNCTION("""COMPUTED_VALUE"""),199.85)</f>
        <v>199.85</v>
      </c>
      <c r="BF48" s="26">
        <f>IFERROR(__xludf.DUMMYFUNCTION("""COMPUTED_VALUE"""),144.4)</f>
        <v>144.4</v>
      </c>
      <c r="BG48" s="26">
        <f>IFERROR(__xludf.DUMMYFUNCTION("""COMPUTED_VALUE"""),6.65)</f>
        <v>6.65</v>
      </c>
      <c r="BH48" s="26">
        <f>IFERROR(__xludf.DUMMYFUNCTION("""COMPUTED_VALUE"""),243.01)</f>
        <v>243.01</v>
      </c>
      <c r="BI48" s="26">
        <f>IFERROR(__xludf.DUMMYFUNCTION("""COMPUTED_VALUE"""),564.34)</f>
        <v>564.34</v>
      </c>
      <c r="BJ48" s="26">
        <f>IFERROR(__xludf.DUMMYFUNCTION("""COMPUTED_VALUE"""),48.33)</f>
        <v>48.33</v>
      </c>
      <c r="BK48" s="26">
        <f>IFERROR(__xludf.DUMMYFUNCTION("""COMPUTED_VALUE"""),11.77)</f>
        <v>11.77</v>
      </c>
      <c r="BL48" s="26">
        <f>IFERROR(__xludf.DUMMYFUNCTION("""COMPUTED_VALUE"""),223.1)</f>
        <v>223.1</v>
      </c>
      <c r="BM48" s="26">
        <f>IFERROR(__xludf.DUMMYFUNCTION("""COMPUTED_VALUE"""),96.79)</f>
        <v>96.79</v>
      </c>
    </row>
    <row r="49">
      <c r="A49" s="25">
        <v>45492.66666666667</v>
      </c>
      <c r="B49" s="17">
        <f>IFERROR(__xludf.DUMMYFUNCTION("""COMPUTED_VALUE"""),5505.0)</f>
        <v>5505</v>
      </c>
      <c r="C49" s="17">
        <f>IFERROR(__xludf.DUMMYFUNCTION("""COMPUTED_VALUE"""),17726.94)</f>
        <v>17726.94</v>
      </c>
      <c r="D49" s="17">
        <f>IFERROR(__xludf.DUMMYFUNCTION("""COMPUTED_VALUE"""),40287.53)</f>
        <v>40287.53</v>
      </c>
      <c r="E49" s="17">
        <f>IFERROR(__xludf.DUMMYFUNCTION("""COMPUTED_VALUE"""),2184.35)</f>
        <v>2184.35</v>
      </c>
      <c r="F49" s="26">
        <f>IFERROR(__xludf.DUMMYFUNCTION("""COMPUTED_VALUE"""),551.0)</f>
        <v>551</v>
      </c>
      <c r="G49" s="26">
        <f>IFERROR(__xludf.DUMMYFUNCTION("""COMPUTED_VALUE"""),183.13)</f>
        <v>183.13</v>
      </c>
      <c r="H49" s="26">
        <f>IFERROR(__xludf.DUMMYFUNCTION("""COMPUTED_VALUE"""),141.16)</f>
        <v>141.16</v>
      </c>
      <c r="I49" s="26">
        <f>IFERROR(__xludf.DUMMYFUNCTION("""COMPUTED_VALUE"""),224.31)</f>
        <v>224.31</v>
      </c>
      <c r="J49" s="26">
        <f>IFERROR(__xludf.DUMMYFUNCTION("""COMPUTED_VALUE"""),210.26)</f>
        <v>210.26</v>
      </c>
      <c r="K49" s="26">
        <f>IFERROR(__xludf.DUMMYFUNCTION("""COMPUTED_VALUE"""),62.69)</f>
        <v>62.69</v>
      </c>
      <c r="L49" s="26">
        <f>IFERROR(__xludf.DUMMYFUNCTION("""COMPUTED_VALUE"""),11.85)</f>
        <v>11.85</v>
      </c>
      <c r="M49" s="26">
        <f>IFERROR(__xludf.DUMMYFUNCTION("""COMPUTED_VALUE"""),434.47)</f>
        <v>434.47</v>
      </c>
      <c r="N49" s="26">
        <f>IFERROR(__xludf.DUMMYFUNCTION("""COMPUTED_VALUE"""),55.65)</f>
        <v>55.65</v>
      </c>
      <c r="O49" s="26">
        <f>IFERROR(__xludf.DUMMYFUNCTION("""COMPUTED_VALUE"""),226.4)</f>
        <v>226.4</v>
      </c>
      <c r="P49" s="26">
        <f>IFERROR(__xludf.DUMMYFUNCTION("""COMPUTED_VALUE"""),66.24)</f>
        <v>66.24</v>
      </c>
      <c r="Q49" s="26">
        <f>IFERROR(__xludf.DUMMYFUNCTION("""COMPUTED_VALUE"""),347.63)</f>
        <v>347.63</v>
      </c>
      <c r="R49" s="26">
        <f>IFERROR(__xludf.DUMMYFUNCTION("""COMPUTED_VALUE"""),46.63)</f>
        <v>46.63</v>
      </c>
      <c r="S49" s="26">
        <f>IFERROR(__xludf.DUMMYFUNCTION("""COMPUTED_VALUE"""),170.49)</f>
        <v>170.49</v>
      </c>
      <c r="T49" s="26">
        <f>IFERROR(__xludf.DUMMYFUNCTION("""COMPUTED_VALUE"""),159.15)</f>
        <v>159.15</v>
      </c>
      <c r="U49" s="26">
        <f>IFERROR(__xludf.DUMMYFUNCTION("""COMPUTED_VALUE"""),335.84)</f>
        <v>335.84</v>
      </c>
      <c r="V49" s="26">
        <f>IFERROR(__xludf.DUMMYFUNCTION("""COMPUTED_VALUE"""),41.0)</f>
        <v>41</v>
      </c>
      <c r="W49" s="26">
        <f>IFERROR(__xludf.DUMMYFUNCTION("""COMPUTED_VALUE"""),65.29)</f>
        <v>65.29</v>
      </c>
      <c r="X49" s="26">
        <f>IFERROR(__xludf.DUMMYFUNCTION("""COMPUTED_VALUE"""),94.04)</f>
        <v>94.04</v>
      </c>
      <c r="Y49" s="26">
        <f>IFERROR(__xludf.DUMMYFUNCTION("""COMPUTED_VALUE"""),155.17)</f>
        <v>155.17</v>
      </c>
      <c r="Z49" s="26">
        <f>IFERROR(__xludf.DUMMYFUNCTION("""COMPUTED_VALUE"""),106.56)</f>
        <v>106.56</v>
      </c>
      <c r="AA49" s="26">
        <f>IFERROR(__xludf.DUMMYFUNCTION("""COMPUTED_VALUE"""),404.17)</f>
        <v>404.17</v>
      </c>
      <c r="AB49" s="26">
        <f>IFERROR(__xludf.DUMMYFUNCTION("""COMPUTED_VALUE"""),53.6)</f>
        <v>53.6</v>
      </c>
      <c r="AC49" s="26">
        <f>IFERROR(__xludf.DUMMYFUNCTION("""COMPUTED_VALUE"""),116.07)</f>
        <v>116.07</v>
      </c>
      <c r="AD49" s="26">
        <f>IFERROR(__xludf.DUMMYFUNCTION("""COMPUTED_VALUE"""),306.31)</f>
        <v>306.31</v>
      </c>
      <c r="AE49" s="26">
        <f>IFERROR(__xludf.DUMMYFUNCTION("""COMPUTED_VALUE"""),416.31)</f>
        <v>416.31</v>
      </c>
      <c r="AF49" s="26">
        <f>IFERROR(__xludf.DUMMYFUNCTION("""COMPUTED_VALUE"""),288.22)</f>
        <v>288.22</v>
      </c>
      <c r="AG49" s="26">
        <f>IFERROR(__xludf.DUMMYFUNCTION("""COMPUTED_VALUE"""),48.3)</f>
        <v>48.3</v>
      </c>
      <c r="AH49" s="26">
        <f>IFERROR(__xludf.DUMMYFUNCTION("""COMPUTED_VALUE"""),72.56)</f>
        <v>72.56</v>
      </c>
      <c r="AI49" s="26">
        <f>IFERROR(__xludf.DUMMYFUNCTION("""COMPUTED_VALUE"""),484.93)</f>
        <v>484.93</v>
      </c>
      <c r="AJ49" s="26">
        <f>IFERROR(__xludf.DUMMYFUNCTION("""COMPUTED_VALUE"""),363.36)</f>
        <v>363.36</v>
      </c>
      <c r="AK49" s="26">
        <f>IFERROR(__xludf.DUMMYFUNCTION("""COMPUTED_VALUE"""),107.21)</f>
        <v>107.21</v>
      </c>
      <c r="AL49" s="26">
        <f>IFERROR(__xludf.DUMMYFUNCTION("""COMPUTED_VALUE"""),147.68)</f>
        <v>147.68</v>
      </c>
      <c r="AM49" s="26">
        <f>IFERROR(__xludf.DUMMYFUNCTION("""COMPUTED_VALUE"""),455.01)</f>
        <v>455.01</v>
      </c>
      <c r="AN49" s="26">
        <f>IFERROR(__xludf.DUMMYFUNCTION("""COMPUTED_VALUE"""),209.78)</f>
        <v>209.78</v>
      </c>
      <c r="AO49" s="26">
        <f>IFERROR(__xludf.DUMMYFUNCTION("""COMPUTED_VALUE"""),474.92)</f>
        <v>474.92</v>
      </c>
      <c r="AP49" s="26">
        <f>IFERROR(__xludf.DUMMYFUNCTION("""COMPUTED_VALUE"""),280.24)</f>
        <v>280.24</v>
      </c>
      <c r="AQ49" s="26">
        <f>IFERROR(__xludf.DUMMYFUNCTION("""COMPUTED_VALUE"""),25.95)</f>
        <v>25.95</v>
      </c>
      <c r="AR49" s="26">
        <f>IFERROR(__xludf.DUMMYFUNCTION("""COMPUTED_VALUE"""),79.48)</f>
        <v>79.48</v>
      </c>
      <c r="AS49" s="26">
        <f>IFERROR(__xludf.DUMMYFUNCTION("""COMPUTED_VALUE"""),74.78)</f>
        <v>74.78</v>
      </c>
      <c r="AT49" s="26">
        <f>IFERROR(__xludf.DUMMYFUNCTION("""COMPUTED_VALUE"""),437.11)</f>
        <v>437.11</v>
      </c>
      <c r="AU49" s="26">
        <f>IFERROR(__xludf.DUMMYFUNCTION("""COMPUTED_VALUE"""),72.0)</f>
        <v>72</v>
      </c>
      <c r="AV49" s="26">
        <f>IFERROR(__xludf.DUMMYFUNCTION("""COMPUTED_VALUE"""),117.93)</f>
        <v>117.93</v>
      </c>
      <c r="AW49" s="26">
        <f>IFERROR(__xludf.DUMMYFUNCTION("""COMPUTED_VALUE"""),97.73)</f>
        <v>97.73</v>
      </c>
      <c r="AX49" s="26">
        <f>IFERROR(__xludf.DUMMYFUNCTION("""COMPUTED_VALUE"""),40.06)</f>
        <v>40.06</v>
      </c>
      <c r="AY49" s="26">
        <f>IFERROR(__xludf.DUMMYFUNCTION("""COMPUTED_VALUE"""),28.58)</f>
        <v>28.58</v>
      </c>
      <c r="AZ49" s="26">
        <f>IFERROR(__xludf.DUMMYFUNCTION("""COMPUTED_VALUE"""),59.33)</f>
        <v>59.33</v>
      </c>
      <c r="BA49" s="26">
        <f>IFERROR(__xludf.DUMMYFUNCTION("""COMPUTED_VALUE"""),29.97)</f>
        <v>29.97</v>
      </c>
      <c r="BB49" s="26">
        <f>IFERROR(__xludf.DUMMYFUNCTION("""COMPUTED_VALUE"""),102.81)</f>
        <v>102.81</v>
      </c>
      <c r="BC49" s="26">
        <f>IFERROR(__xludf.DUMMYFUNCTION("""COMPUTED_VALUE"""),182.05)</f>
        <v>182.05</v>
      </c>
      <c r="BD49" s="26">
        <f>IFERROR(__xludf.DUMMYFUNCTION("""COMPUTED_VALUE"""),534.35)</f>
        <v>534.35</v>
      </c>
      <c r="BE49" s="26">
        <f>IFERROR(__xludf.DUMMYFUNCTION("""COMPUTED_VALUE"""),197.15)</f>
        <v>197.15</v>
      </c>
      <c r="BF49" s="26">
        <f>IFERROR(__xludf.DUMMYFUNCTION("""COMPUTED_VALUE"""),147.2)</f>
        <v>147.2</v>
      </c>
      <c r="BG49" s="26">
        <f>IFERROR(__xludf.DUMMYFUNCTION("""COMPUTED_VALUE"""),6.7)</f>
        <v>6.7</v>
      </c>
      <c r="BH49" s="26">
        <f>IFERROR(__xludf.DUMMYFUNCTION("""COMPUTED_VALUE"""),242.32)</f>
        <v>242.32</v>
      </c>
      <c r="BI49" s="26">
        <f>IFERROR(__xludf.DUMMYFUNCTION("""COMPUTED_VALUE"""),565.33)</f>
        <v>565.33</v>
      </c>
      <c r="BJ49" s="26">
        <f>IFERROR(__xludf.DUMMYFUNCTION("""COMPUTED_VALUE"""),48.28)</f>
        <v>48.28</v>
      </c>
      <c r="BK49" s="26">
        <f>IFERROR(__xludf.DUMMYFUNCTION("""COMPUTED_VALUE"""),11.84)</f>
        <v>11.84</v>
      </c>
      <c r="BL49" s="26">
        <f>IFERROR(__xludf.DUMMYFUNCTION("""COMPUTED_VALUE"""),222.8)</f>
        <v>222.8</v>
      </c>
      <c r="BM49" s="26">
        <f>IFERROR(__xludf.DUMMYFUNCTION("""COMPUTED_VALUE"""),95.74)</f>
        <v>95.74</v>
      </c>
    </row>
    <row r="50">
      <c r="A50" s="25">
        <v>45495.66666666667</v>
      </c>
      <c r="B50" s="17">
        <f>IFERROR(__xludf.DUMMYFUNCTION("""COMPUTED_VALUE"""),5564.41)</f>
        <v>5564.41</v>
      </c>
      <c r="C50" s="17">
        <f>IFERROR(__xludf.DUMMYFUNCTION("""COMPUTED_VALUE"""),18007.57)</f>
        <v>18007.57</v>
      </c>
      <c r="D50" s="17">
        <f>IFERROR(__xludf.DUMMYFUNCTION("""COMPUTED_VALUE"""),40415.44)</f>
        <v>40415.44</v>
      </c>
      <c r="E50" s="17">
        <f>IFERROR(__xludf.DUMMYFUNCTION("""COMPUTED_VALUE"""),2220.65)</f>
        <v>2220.65</v>
      </c>
      <c r="F50" s="26">
        <f>IFERROR(__xludf.DUMMYFUNCTION("""COMPUTED_VALUE"""),554.82)</f>
        <v>554.82</v>
      </c>
      <c r="G50" s="26">
        <f>IFERROR(__xludf.DUMMYFUNCTION("""COMPUTED_VALUE"""),182.55)</f>
        <v>182.55</v>
      </c>
      <c r="H50" s="26">
        <f>IFERROR(__xludf.DUMMYFUNCTION("""COMPUTED_VALUE"""),141.8)</f>
        <v>141.8</v>
      </c>
      <c r="I50" s="26">
        <f>IFERROR(__xludf.DUMMYFUNCTION("""COMPUTED_VALUE"""),223.96)</f>
        <v>223.96</v>
      </c>
      <c r="J50" s="26">
        <f>IFERROR(__xludf.DUMMYFUNCTION("""COMPUTED_VALUE"""),223.47)</f>
        <v>223.47</v>
      </c>
      <c r="K50" s="26">
        <f>IFERROR(__xludf.DUMMYFUNCTION("""COMPUTED_VALUE"""),63.26)</f>
        <v>63.26</v>
      </c>
      <c r="L50" s="26">
        <f>IFERROR(__xludf.DUMMYFUNCTION("""COMPUTED_VALUE"""),11.99)</f>
        <v>11.99</v>
      </c>
      <c r="M50" s="26">
        <f>IFERROR(__xludf.DUMMYFUNCTION("""COMPUTED_VALUE"""),435.98)</f>
        <v>435.98</v>
      </c>
      <c r="N50" s="26">
        <f>IFERROR(__xludf.DUMMYFUNCTION("""COMPUTED_VALUE"""),55.75)</f>
        <v>55.75</v>
      </c>
      <c r="O50" s="26">
        <f>IFERROR(__xludf.DUMMYFUNCTION("""COMPUTED_VALUE"""),226.63)</f>
        <v>226.63</v>
      </c>
      <c r="P50" s="26">
        <f>IFERROR(__xludf.DUMMYFUNCTION("""COMPUTED_VALUE"""),68.0)</f>
        <v>68</v>
      </c>
      <c r="Q50" s="26">
        <f>IFERROR(__xludf.DUMMYFUNCTION("""COMPUTED_VALUE"""),347.87)</f>
        <v>347.87</v>
      </c>
      <c r="R50" s="26">
        <f>IFERROR(__xludf.DUMMYFUNCTION("""COMPUTED_VALUE"""),47.61)</f>
        <v>47.61</v>
      </c>
      <c r="S50" s="26">
        <f>IFERROR(__xludf.DUMMYFUNCTION("""COMPUTED_VALUE"""),170.47)</f>
        <v>170.47</v>
      </c>
      <c r="T50" s="26">
        <f>IFERROR(__xludf.DUMMYFUNCTION("""COMPUTED_VALUE"""),156.99)</f>
        <v>156.99</v>
      </c>
      <c r="U50" s="26">
        <f>IFERROR(__xludf.DUMMYFUNCTION("""COMPUTED_VALUE"""),335.79)</f>
        <v>335.79</v>
      </c>
      <c r="V50" s="26">
        <f>IFERROR(__xludf.DUMMYFUNCTION("""COMPUTED_VALUE"""),41.4)</f>
        <v>41.4</v>
      </c>
      <c r="W50" s="26">
        <f>IFERROR(__xludf.DUMMYFUNCTION("""COMPUTED_VALUE"""),64.77)</f>
        <v>64.77</v>
      </c>
      <c r="X50" s="26">
        <f>IFERROR(__xludf.DUMMYFUNCTION("""COMPUTED_VALUE"""),94.64)</f>
        <v>94.64</v>
      </c>
      <c r="Y50" s="26">
        <f>IFERROR(__xludf.DUMMYFUNCTION("""COMPUTED_VALUE"""),155.56)</f>
        <v>155.56</v>
      </c>
      <c r="Z50" s="26">
        <f>IFERROR(__xludf.DUMMYFUNCTION("""COMPUTED_VALUE"""),107.21)</f>
        <v>107.21</v>
      </c>
      <c r="AA50" s="26">
        <f>IFERROR(__xludf.DUMMYFUNCTION("""COMPUTED_VALUE"""),415.55)</f>
        <v>415.55</v>
      </c>
      <c r="AB50" s="26">
        <f>IFERROR(__xludf.DUMMYFUNCTION("""COMPUTED_VALUE"""),53.91)</f>
        <v>53.91</v>
      </c>
      <c r="AC50" s="26">
        <f>IFERROR(__xludf.DUMMYFUNCTION("""COMPUTED_VALUE"""),115.27)</f>
        <v>115.27</v>
      </c>
      <c r="AD50" s="26">
        <f>IFERROR(__xludf.DUMMYFUNCTION("""COMPUTED_VALUE"""),307.43)</f>
        <v>307.43</v>
      </c>
      <c r="AE50" s="26">
        <f>IFERROR(__xludf.DUMMYFUNCTION("""COMPUTED_VALUE"""),427.19)</f>
        <v>427.19</v>
      </c>
      <c r="AF50" s="26">
        <f>IFERROR(__xludf.DUMMYFUNCTION("""COMPUTED_VALUE"""),291.21)</f>
        <v>291.21</v>
      </c>
      <c r="AG50" s="26">
        <f>IFERROR(__xludf.DUMMYFUNCTION("""COMPUTED_VALUE"""),49.56)</f>
        <v>49.56</v>
      </c>
      <c r="AH50" s="26">
        <f>IFERROR(__xludf.DUMMYFUNCTION("""COMPUTED_VALUE"""),72.41)</f>
        <v>72.41</v>
      </c>
      <c r="AI50" s="26">
        <f>IFERROR(__xludf.DUMMYFUNCTION("""COMPUTED_VALUE"""),487.04)</f>
        <v>487.04</v>
      </c>
      <c r="AJ50" s="26">
        <f>IFERROR(__xludf.DUMMYFUNCTION("""COMPUTED_VALUE"""),363.25)</f>
        <v>363.25</v>
      </c>
      <c r="AK50" s="26">
        <f>IFERROR(__xludf.DUMMYFUNCTION("""COMPUTED_VALUE"""),109.61)</f>
        <v>109.61</v>
      </c>
      <c r="AL50" s="26">
        <f>IFERROR(__xludf.DUMMYFUNCTION("""COMPUTED_VALUE"""),149.24)</f>
        <v>149.24</v>
      </c>
      <c r="AM50" s="26">
        <f>IFERROR(__xludf.DUMMYFUNCTION("""COMPUTED_VALUE"""),461.12)</f>
        <v>461.12</v>
      </c>
      <c r="AN50" s="26">
        <f>IFERROR(__xludf.DUMMYFUNCTION("""COMPUTED_VALUE"""),210.28)</f>
        <v>210.28</v>
      </c>
      <c r="AO50" s="26">
        <f>IFERROR(__xludf.DUMMYFUNCTION("""COMPUTED_VALUE"""),474.59)</f>
        <v>474.59</v>
      </c>
      <c r="AP50" s="26">
        <f>IFERROR(__xludf.DUMMYFUNCTION("""COMPUTED_VALUE"""),285.0)</f>
        <v>285</v>
      </c>
      <c r="AQ50" s="26">
        <f>IFERROR(__xludf.DUMMYFUNCTION("""COMPUTED_VALUE"""),26.23)</f>
        <v>26.23</v>
      </c>
      <c r="AR50" s="26">
        <f>IFERROR(__xludf.DUMMYFUNCTION("""COMPUTED_VALUE"""),79.3)</f>
        <v>79.3</v>
      </c>
      <c r="AS50" s="26">
        <f>IFERROR(__xludf.DUMMYFUNCTION("""COMPUTED_VALUE"""),75.24)</f>
        <v>75.24</v>
      </c>
      <c r="AT50" s="26">
        <f>IFERROR(__xludf.DUMMYFUNCTION("""COMPUTED_VALUE"""),442.94)</f>
        <v>442.94</v>
      </c>
      <c r="AU50" s="26">
        <f>IFERROR(__xludf.DUMMYFUNCTION("""COMPUTED_VALUE"""),72.9)</f>
        <v>72.9</v>
      </c>
      <c r="AV50" s="26">
        <f>IFERROR(__xludf.DUMMYFUNCTION("""COMPUTED_VALUE"""),123.54)</f>
        <v>123.54</v>
      </c>
      <c r="AW50" s="26">
        <f>IFERROR(__xludf.DUMMYFUNCTION("""COMPUTED_VALUE"""),99.47)</f>
        <v>99.47</v>
      </c>
      <c r="AX50" s="26">
        <f>IFERROR(__xludf.DUMMYFUNCTION("""COMPUTED_VALUE"""),40.58)</f>
        <v>40.58</v>
      </c>
      <c r="AY50" s="26">
        <f>IFERROR(__xludf.DUMMYFUNCTION("""COMPUTED_VALUE"""),28.46)</f>
        <v>28.46</v>
      </c>
      <c r="AZ50" s="26">
        <f>IFERROR(__xludf.DUMMYFUNCTION("""COMPUTED_VALUE"""),60.77)</f>
        <v>60.77</v>
      </c>
      <c r="BA50" s="26">
        <f>IFERROR(__xludf.DUMMYFUNCTION("""COMPUTED_VALUE"""),29.6)</f>
        <v>29.6</v>
      </c>
      <c r="BB50" s="26">
        <f>IFERROR(__xludf.DUMMYFUNCTION("""COMPUTED_VALUE"""),103.77)</f>
        <v>103.77</v>
      </c>
      <c r="BC50" s="26">
        <f>IFERROR(__xludf.DUMMYFUNCTION("""COMPUTED_VALUE"""),177.44)</f>
        <v>177.44</v>
      </c>
      <c r="BD50" s="26">
        <f>IFERROR(__xludf.DUMMYFUNCTION("""COMPUTED_VALUE"""),546.42)</f>
        <v>546.42</v>
      </c>
      <c r="BE50" s="26">
        <f>IFERROR(__xludf.DUMMYFUNCTION("""COMPUTED_VALUE"""),200.14)</f>
        <v>200.14</v>
      </c>
      <c r="BF50" s="26">
        <f>IFERROR(__xludf.DUMMYFUNCTION("""COMPUTED_VALUE"""),149.17)</f>
        <v>149.17</v>
      </c>
      <c r="BG50" s="26">
        <f>IFERROR(__xludf.DUMMYFUNCTION("""COMPUTED_VALUE"""),6.69)</f>
        <v>6.69</v>
      </c>
      <c r="BH50" s="26">
        <f>IFERROR(__xludf.DUMMYFUNCTION("""COMPUTED_VALUE"""),243.27)</f>
        <v>243.27</v>
      </c>
      <c r="BI50" s="26">
        <f>IFERROR(__xludf.DUMMYFUNCTION("""COMPUTED_VALUE"""),558.53)</f>
        <v>558.53</v>
      </c>
      <c r="BJ50" s="26">
        <f>IFERROR(__xludf.DUMMYFUNCTION("""COMPUTED_VALUE"""),48.27)</f>
        <v>48.27</v>
      </c>
      <c r="BK50" s="26">
        <f>IFERROR(__xludf.DUMMYFUNCTION("""COMPUTED_VALUE"""),11.67)</f>
        <v>11.67</v>
      </c>
      <c r="BL50" s="26">
        <f>IFERROR(__xludf.DUMMYFUNCTION("""COMPUTED_VALUE"""),223.45)</f>
        <v>223.45</v>
      </c>
      <c r="BM50" s="26">
        <f>IFERROR(__xludf.DUMMYFUNCTION("""COMPUTED_VALUE"""),94.13)</f>
        <v>94.13</v>
      </c>
    </row>
    <row r="51">
      <c r="A51" s="25">
        <v>45496.66666666667</v>
      </c>
      <c r="B51" s="17">
        <f>IFERROR(__xludf.DUMMYFUNCTION("""COMPUTED_VALUE"""),5555.74)</f>
        <v>5555.74</v>
      </c>
      <c r="C51" s="17">
        <f>IFERROR(__xludf.DUMMYFUNCTION("""COMPUTED_VALUE"""),17997.35)</f>
        <v>17997.35</v>
      </c>
      <c r="D51" s="17">
        <f>IFERROR(__xludf.DUMMYFUNCTION("""COMPUTED_VALUE"""),40358.09)</f>
        <v>40358.09</v>
      </c>
      <c r="E51" s="17">
        <f>IFERROR(__xludf.DUMMYFUNCTION("""COMPUTED_VALUE"""),2243.27)</f>
        <v>2243.27</v>
      </c>
      <c r="F51" s="26">
        <f>IFERROR(__xludf.DUMMYFUNCTION("""COMPUTED_VALUE"""),546.01)</f>
        <v>546.01</v>
      </c>
      <c r="G51" s="26">
        <f>IFERROR(__xludf.DUMMYFUNCTION("""COMPUTED_VALUE"""),186.41)</f>
        <v>186.41</v>
      </c>
      <c r="H51" s="26">
        <f>IFERROR(__xludf.DUMMYFUNCTION("""COMPUTED_VALUE"""),140.49)</f>
        <v>140.49</v>
      </c>
      <c r="I51" s="26">
        <f>IFERROR(__xludf.DUMMYFUNCTION("""COMPUTED_VALUE"""),225.01)</f>
        <v>225.01</v>
      </c>
      <c r="J51" s="26">
        <f>IFERROR(__xludf.DUMMYFUNCTION("""COMPUTED_VALUE"""),219.65)</f>
        <v>219.65</v>
      </c>
      <c r="K51" s="26">
        <f>IFERROR(__xludf.DUMMYFUNCTION("""COMPUTED_VALUE"""),63.63)</f>
        <v>63.63</v>
      </c>
      <c r="L51" s="26">
        <f>IFERROR(__xludf.DUMMYFUNCTION("""COMPUTED_VALUE"""),11.95)</f>
        <v>11.95</v>
      </c>
      <c r="M51" s="26">
        <f>IFERROR(__xludf.DUMMYFUNCTION("""COMPUTED_VALUE"""),434.01)</f>
        <v>434.01</v>
      </c>
      <c r="N51" s="26">
        <f>IFERROR(__xludf.DUMMYFUNCTION("""COMPUTED_VALUE"""),55.07)</f>
        <v>55.07</v>
      </c>
      <c r="O51" s="26">
        <f>IFERROR(__xludf.DUMMYFUNCTION("""COMPUTED_VALUE"""),224.29)</f>
        <v>224.29</v>
      </c>
      <c r="P51" s="26">
        <f>IFERROR(__xludf.DUMMYFUNCTION("""COMPUTED_VALUE"""),68.27)</f>
        <v>68.27</v>
      </c>
      <c r="Q51" s="26">
        <f>IFERROR(__xludf.DUMMYFUNCTION("""COMPUTED_VALUE"""),344.17)</f>
        <v>344.17</v>
      </c>
      <c r="R51" s="26">
        <f>IFERROR(__xludf.DUMMYFUNCTION("""COMPUTED_VALUE"""),47.36)</f>
        <v>47.36</v>
      </c>
      <c r="S51" s="26">
        <f>IFERROR(__xludf.DUMMYFUNCTION("""COMPUTED_VALUE"""),170.0)</f>
        <v>170</v>
      </c>
      <c r="T51" s="26">
        <f>IFERROR(__xludf.DUMMYFUNCTION("""COMPUTED_VALUE"""),154.09)</f>
        <v>154.09</v>
      </c>
      <c r="U51" s="26">
        <f>IFERROR(__xludf.DUMMYFUNCTION("""COMPUTED_VALUE"""),336.17)</f>
        <v>336.17</v>
      </c>
      <c r="V51" s="26">
        <f>IFERROR(__xludf.DUMMYFUNCTION("""COMPUTED_VALUE"""),42.3)</f>
        <v>42.3</v>
      </c>
      <c r="W51" s="26">
        <f>IFERROR(__xludf.DUMMYFUNCTION("""COMPUTED_VALUE"""),64.96)</f>
        <v>64.96</v>
      </c>
      <c r="X51" s="26">
        <f>IFERROR(__xludf.DUMMYFUNCTION("""COMPUTED_VALUE"""),93.25)</f>
        <v>93.25</v>
      </c>
      <c r="Y51" s="26">
        <f>IFERROR(__xludf.DUMMYFUNCTION("""COMPUTED_VALUE"""),155.09)</f>
        <v>155.09</v>
      </c>
      <c r="Z51" s="26">
        <f>IFERROR(__xludf.DUMMYFUNCTION("""COMPUTED_VALUE"""),107.01)</f>
        <v>107.01</v>
      </c>
      <c r="AA51" s="26">
        <f>IFERROR(__xludf.DUMMYFUNCTION("""COMPUTED_VALUE"""),422.94)</f>
        <v>422.94</v>
      </c>
      <c r="AB51" s="26">
        <f>IFERROR(__xludf.DUMMYFUNCTION("""COMPUTED_VALUE"""),53.24)</f>
        <v>53.24</v>
      </c>
      <c r="AC51" s="26">
        <f>IFERROR(__xludf.DUMMYFUNCTION("""COMPUTED_VALUE"""),113.41)</f>
        <v>113.41</v>
      </c>
      <c r="AD51" s="26">
        <f>IFERROR(__xludf.DUMMYFUNCTION("""COMPUTED_VALUE"""),300.8)</f>
        <v>300.8</v>
      </c>
      <c r="AE51" s="26">
        <f>IFERROR(__xludf.DUMMYFUNCTION("""COMPUTED_VALUE"""),423.17)</f>
        <v>423.17</v>
      </c>
      <c r="AF51" s="26">
        <f>IFERROR(__xludf.DUMMYFUNCTION("""COMPUTED_VALUE"""),294.46)</f>
        <v>294.46</v>
      </c>
      <c r="AG51" s="26">
        <f>IFERROR(__xludf.DUMMYFUNCTION("""COMPUTED_VALUE"""),46.38)</f>
        <v>46.38</v>
      </c>
      <c r="AH51" s="26">
        <f>IFERROR(__xludf.DUMMYFUNCTION("""COMPUTED_VALUE"""),71.17)</f>
        <v>71.17</v>
      </c>
      <c r="AI51" s="26">
        <f>IFERROR(__xludf.DUMMYFUNCTION("""COMPUTED_VALUE"""),492.15)</f>
        <v>492.15</v>
      </c>
      <c r="AJ51" s="26">
        <f>IFERROR(__xludf.DUMMYFUNCTION("""COMPUTED_VALUE"""),359.62)</f>
        <v>359.62</v>
      </c>
      <c r="AK51" s="26">
        <f>IFERROR(__xludf.DUMMYFUNCTION("""COMPUTED_VALUE"""),110.45)</f>
        <v>110.45</v>
      </c>
      <c r="AL51" s="26">
        <f>IFERROR(__xludf.DUMMYFUNCTION("""COMPUTED_VALUE"""),148.57)</f>
        <v>148.57</v>
      </c>
      <c r="AM51" s="26">
        <f>IFERROR(__xludf.DUMMYFUNCTION("""COMPUTED_VALUE"""),455.06)</f>
        <v>455.06</v>
      </c>
      <c r="AN51" s="26">
        <f>IFERROR(__xludf.DUMMYFUNCTION("""COMPUTED_VALUE"""),210.33)</f>
        <v>210.33</v>
      </c>
      <c r="AO51" s="26">
        <f>IFERROR(__xludf.DUMMYFUNCTION("""COMPUTED_VALUE"""),501.29)</f>
        <v>501.29</v>
      </c>
      <c r="AP51" s="26">
        <f>IFERROR(__xludf.DUMMYFUNCTION("""COMPUTED_VALUE"""),281.37)</f>
        <v>281.37</v>
      </c>
      <c r="AQ51" s="26">
        <f>IFERROR(__xludf.DUMMYFUNCTION("""COMPUTED_VALUE"""),26.14)</f>
        <v>26.14</v>
      </c>
      <c r="AR51" s="26">
        <f>IFERROR(__xludf.DUMMYFUNCTION("""COMPUTED_VALUE"""),79.4)</f>
        <v>79.4</v>
      </c>
      <c r="AS51" s="26">
        <f>IFERROR(__xludf.DUMMYFUNCTION("""COMPUTED_VALUE"""),75.19)</f>
        <v>75.19</v>
      </c>
      <c r="AT51" s="26">
        <f>IFERROR(__xludf.DUMMYFUNCTION("""COMPUTED_VALUE"""),444.85)</f>
        <v>444.85</v>
      </c>
      <c r="AU51" s="26">
        <f>IFERROR(__xludf.DUMMYFUNCTION("""COMPUTED_VALUE"""),72.11)</f>
        <v>72.11</v>
      </c>
      <c r="AV51" s="26">
        <f>IFERROR(__xludf.DUMMYFUNCTION("""COMPUTED_VALUE"""),122.59)</f>
        <v>122.59</v>
      </c>
      <c r="AW51" s="26">
        <f>IFERROR(__xludf.DUMMYFUNCTION("""COMPUTED_VALUE"""),98.38)</f>
        <v>98.38</v>
      </c>
      <c r="AX51" s="26">
        <f>IFERROR(__xludf.DUMMYFUNCTION("""COMPUTED_VALUE"""),40.52)</f>
        <v>40.52</v>
      </c>
      <c r="AY51" s="26">
        <f>IFERROR(__xludf.DUMMYFUNCTION("""COMPUTED_VALUE"""),28.81)</f>
        <v>28.81</v>
      </c>
      <c r="AZ51" s="26">
        <f>IFERROR(__xludf.DUMMYFUNCTION("""COMPUTED_VALUE"""),59.71)</f>
        <v>59.71</v>
      </c>
      <c r="BA51" s="26">
        <f>IFERROR(__xludf.DUMMYFUNCTION("""COMPUTED_VALUE"""),29.5)</f>
        <v>29.5</v>
      </c>
      <c r="BB51" s="26">
        <f>IFERROR(__xludf.DUMMYFUNCTION("""COMPUTED_VALUE"""),104.97)</f>
        <v>104.97</v>
      </c>
      <c r="BC51" s="26">
        <f>IFERROR(__xludf.DUMMYFUNCTION("""COMPUTED_VALUE"""),176.56)</f>
        <v>176.56</v>
      </c>
      <c r="BD51" s="26">
        <f>IFERROR(__xludf.DUMMYFUNCTION("""COMPUTED_VALUE"""),552.24)</f>
        <v>552.24</v>
      </c>
      <c r="BE51" s="26">
        <f>IFERROR(__xludf.DUMMYFUNCTION("""COMPUTED_VALUE"""),200.79)</f>
        <v>200.79</v>
      </c>
      <c r="BF51" s="26">
        <f>IFERROR(__xludf.DUMMYFUNCTION("""COMPUTED_VALUE"""),155.38)</f>
        <v>155.38</v>
      </c>
      <c r="BG51" s="26">
        <f>IFERROR(__xludf.DUMMYFUNCTION("""COMPUTED_VALUE"""),6.56)</f>
        <v>6.56</v>
      </c>
      <c r="BH51" s="26">
        <f>IFERROR(__xludf.DUMMYFUNCTION("""COMPUTED_VALUE"""),239.5)</f>
        <v>239.5</v>
      </c>
      <c r="BI51" s="26">
        <f>IFERROR(__xludf.DUMMYFUNCTION("""COMPUTED_VALUE"""),554.7)</f>
        <v>554.7</v>
      </c>
      <c r="BJ51" s="26">
        <f>IFERROR(__xludf.DUMMYFUNCTION("""COMPUTED_VALUE"""),48.28)</f>
        <v>48.28</v>
      </c>
      <c r="BK51" s="26">
        <f>IFERROR(__xludf.DUMMYFUNCTION("""COMPUTED_VALUE"""),11.5)</f>
        <v>11.5</v>
      </c>
      <c r="BL51" s="26">
        <f>IFERROR(__xludf.DUMMYFUNCTION("""COMPUTED_VALUE"""),218.73)</f>
        <v>218.73</v>
      </c>
      <c r="BM51" s="26">
        <f>IFERROR(__xludf.DUMMYFUNCTION("""COMPUTED_VALUE"""),90.94)</f>
        <v>90.94</v>
      </c>
    </row>
    <row r="52">
      <c r="A52" s="25">
        <v>45497.66666666667</v>
      </c>
      <c r="B52" s="17">
        <f>IFERROR(__xludf.DUMMYFUNCTION("""COMPUTED_VALUE"""),5427.13)</f>
        <v>5427.13</v>
      </c>
      <c r="C52" s="17">
        <f>IFERROR(__xludf.DUMMYFUNCTION("""COMPUTED_VALUE"""),17342.41)</f>
        <v>17342.41</v>
      </c>
      <c r="D52" s="17">
        <f>IFERROR(__xludf.DUMMYFUNCTION("""COMPUTED_VALUE"""),39853.87)</f>
        <v>39853.87</v>
      </c>
      <c r="E52" s="17">
        <f>IFERROR(__xludf.DUMMYFUNCTION("""COMPUTED_VALUE"""),2195.37)</f>
        <v>2195.37</v>
      </c>
      <c r="F52" s="26">
        <f>IFERROR(__xludf.DUMMYFUNCTION("""COMPUTED_VALUE"""),531.04)</f>
        <v>531.04</v>
      </c>
      <c r="G52" s="26">
        <f>IFERROR(__xludf.DUMMYFUNCTION("""COMPUTED_VALUE"""),180.83)</f>
        <v>180.83</v>
      </c>
      <c r="H52" s="26">
        <f>IFERROR(__xludf.DUMMYFUNCTION("""COMPUTED_VALUE"""),142.4)</f>
        <v>142.4</v>
      </c>
      <c r="I52" s="26">
        <f>IFERROR(__xludf.DUMMYFUNCTION("""COMPUTED_VALUE"""),218.54)</f>
        <v>218.54</v>
      </c>
      <c r="J52" s="26">
        <f>IFERROR(__xludf.DUMMYFUNCTION("""COMPUTED_VALUE"""),206.53)</f>
        <v>206.53</v>
      </c>
      <c r="K52" s="26">
        <f>IFERROR(__xludf.DUMMYFUNCTION("""COMPUTED_VALUE"""),63.9)</f>
        <v>63.9</v>
      </c>
      <c r="L52" s="26">
        <f>IFERROR(__xludf.DUMMYFUNCTION("""COMPUTED_VALUE"""),11.7)</f>
        <v>11.7</v>
      </c>
      <c r="M52" s="26">
        <f>IFERROR(__xludf.DUMMYFUNCTION("""COMPUTED_VALUE"""),432.8)</f>
        <v>432.8</v>
      </c>
      <c r="N52" s="26">
        <f>IFERROR(__xludf.DUMMYFUNCTION("""COMPUTED_VALUE"""),54.43)</f>
        <v>54.43</v>
      </c>
      <c r="O52" s="26">
        <f>IFERROR(__xludf.DUMMYFUNCTION("""COMPUTED_VALUE"""),226.03)</f>
        <v>226.03</v>
      </c>
      <c r="P52" s="26">
        <f>IFERROR(__xludf.DUMMYFUNCTION("""COMPUTED_VALUE"""),65.99)</f>
        <v>65.99</v>
      </c>
      <c r="Q52" s="26">
        <f>IFERROR(__xludf.DUMMYFUNCTION("""COMPUTED_VALUE"""),336.04)</f>
        <v>336.04</v>
      </c>
      <c r="R52" s="26">
        <f>IFERROR(__xludf.DUMMYFUNCTION("""COMPUTED_VALUE"""),46.49)</f>
        <v>46.49</v>
      </c>
      <c r="S52" s="26">
        <f>IFERROR(__xludf.DUMMYFUNCTION("""COMPUTED_VALUE"""),180.07)</f>
        <v>180.07</v>
      </c>
      <c r="T52" s="26">
        <f>IFERROR(__xludf.DUMMYFUNCTION("""COMPUTED_VALUE"""),155.07)</f>
        <v>155.07</v>
      </c>
      <c r="U52" s="26">
        <f>IFERROR(__xludf.DUMMYFUNCTION("""COMPUTED_VALUE"""),342.21)</f>
        <v>342.21</v>
      </c>
      <c r="V52" s="26">
        <f>IFERROR(__xludf.DUMMYFUNCTION("""COMPUTED_VALUE"""),42.22)</f>
        <v>42.22</v>
      </c>
      <c r="W52" s="26">
        <f>IFERROR(__xludf.DUMMYFUNCTION("""COMPUTED_VALUE"""),65.81)</f>
        <v>65.81</v>
      </c>
      <c r="X52" s="26">
        <f>IFERROR(__xludf.DUMMYFUNCTION("""COMPUTED_VALUE"""),95.88)</f>
        <v>95.88</v>
      </c>
      <c r="Y52" s="26">
        <f>IFERROR(__xludf.DUMMYFUNCTION("""COMPUTED_VALUE"""),151.66)</f>
        <v>151.66</v>
      </c>
      <c r="Z52" s="26">
        <f>IFERROR(__xludf.DUMMYFUNCTION("""COMPUTED_VALUE"""),103.69)</f>
        <v>103.69</v>
      </c>
      <c r="AA52" s="26">
        <f>IFERROR(__xludf.DUMMYFUNCTION("""COMPUTED_VALUE"""),424.73)</f>
        <v>424.73</v>
      </c>
      <c r="AB52" s="26">
        <f>IFERROR(__xludf.DUMMYFUNCTION("""COMPUTED_VALUE"""),53.66)</f>
        <v>53.66</v>
      </c>
      <c r="AC52" s="26">
        <f>IFERROR(__xludf.DUMMYFUNCTION("""COMPUTED_VALUE"""),115.01)</f>
        <v>115.01</v>
      </c>
      <c r="AD52" s="26">
        <f>IFERROR(__xludf.DUMMYFUNCTION("""COMPUTED_VALUE"""),298.28)</f>
        <v>298.28</v>
      </c>
      <c r="AE52" s="26">
        <f>IFERROR(__xludf.DUMMYFUNCTION("""COMPUTED_VALUE"""),413.67)</f>
        <v>413.67</v>
      </c>
      <c r="AF52" s="26">
        <f>IFERROR(__xludf.DUMMYFUNCTION("""COMPUTED_VALUE"""),284.67)</f>
        <v>284.67</v>
      </c>
      <c r="AG52" s="26">
        <f>IFERROR(__xludf.DUMMYFUNCTION("""COMPUTED_VALUE"""),46.49)</f>
        <v>46.49</v>
      </c>
      <c r="AH52" s="26">
        <f>IFERROR(__xludf.DUMMYFUNCTION("""COMPUTED_VALUE"""),73.5)</f>
        <v>73.5</v>
      </c>
      <c r="AI52" s="26">
        <f>IFERROR(__xludf.DUMMYFUNCTION("""COMPUTED_VALUE"""),486.7)</f>
        <v>486.7</v>
      </c>
      <c r="AJ52" s="26">
        <f>IFERROR(__xludf.DUMMYFUNCTION("""COMPUTED_VALUE"""),350.31)</f>
        <v>350.31</v>
      </c>
      <c r="AK52" s="26">
        <f>IFERROR(__xludf.DUMMYFUNCTION("""COMPUTED_VALUE"""),108.98)</f>
        <v>108.98</v>
      </c>
      <c r="AL52" s="26">
        <f>IFERROR(__xludf.DUMMYFUNCTION("""COMPUTED_VALUE"""),147.51)</f>
        <v>147.51</v>
      </c>
      <c r="AM52" s="26">
        <f>IFERROR(__xludf.DUMMYFUNCTION("""COMPUTED_VALUE"""),454.02)</f>
        <v>454.02</v>
      </c>
      <c r="AN52" s="26">
        <f>IFERROR(__xludf.DUMMYFUNCTION("""COMPUTED_VALUE"""),208.59)</f>
        <v>208.59</v>
      </c>
      <c r="AO52" s="26">
        <f>IFERROR(__xludf.DUMMYFUNCTION("""COMPUTED_VALUE"""),515.2)</f>
        <v>515.2</v>
      </c>
      <c r="AP52" s="26">
        <f>IFERROR(__xludf.DUMMYFUNCTION("""COMPUTED_VALUE"""),272.06)</f>
        <v>272.06</v>
      </c>
      <c r="AQ52" s="26">
        <f>IFERROR(__xludf.DUMMYFUNCTION("""COMPUTED_VALUE"""),25.67)</f>
        <v>25.67</v>
      </c>
      <c r="AR52" s="26">
        <f>IFERROR(__xludf.DUMMYFUNCTION("""COMPUTED_VALUE"""),79.97)</f>
        <v>79.97</v>
      </c>
      <c r="AS52" s="26">
        <f>IFERROR(__xludf.DUMMYFUNCTION("""COMPUTED_VALUE"""),74.52)</f>
        <v>74.52</v>
      </c>
      <c r="AT52" s="26">
        <f>IFERROR(__xludf.DUMMYFUNCTION("""COMPUTED_VALUE"""),428.9)</f>
        <v>428.9</v>
      </c>
      <c r="AU52" s="26">
        <f>IFERROR(__xludf.DUMMYFUNCTION("""COMPUTED_VALUE"""),75.41)</f>
        <v>75.41</v>
      </c>
      <c r="AV52" s="26">
        <f>IFERROR(__xludf.DUMMYFUNCTION("""COMPUTED_VALUE"""),114.25)</f>
        <v>114.25</v>
      </c>
      <c r="AW52" s="26">
        <f>IFERROR(__xludf.DUMMYFUNCTION("""COMPUTED_VALUE"""),91.43)</f>
        <v>91.43</v>
      </c>
      <c r="AX52" s="26">
        <f>IFERROR(__xludf.DUMMYFUNCTION("""COMPUTED_VALUE"""),38.5)</f>
        <v>38.5</v>
      </c>
      <c r="AY52" s="26">
        <f>IFERROR(__xludf.DUMMYFUNCTION("""COMPUTED_VALUE"""),26.6)</f>
        <v>26.6</v>
      </c>
      <c r="AZ52" s="26">
        <f>IFERROR(__xludf.DUMMYFUNCTION("""COMPUTED_VALUE"""),58.07)</f>
        <v>58.07</v>
      </c>
      <c r="BA52" s="26">
        <f>IFERROR(__xludf.DUMMYFUNCTION("""COMPUTED_VALUE"""),29.98)</f>
        <v>29.98</v>
      </c>
      <c r="BB52" s="26">
        <f>IFERROR(__xludf.DUMMYFUNCTION("""COMPUTED_VALUE"""),104.83)</f>
        <v>104.83</v>
      </c>
      <c r="BC52" s="26">
        <f>IFERROR(__xludf.DUMMYFUNCTION("""COMPUTED_VALUE"""),176.89)</f>
        <v>176.89</v>
      </c>
      <c r="BD52" s="26">
        <f>IFERROR(__xludf.DUMMYFUNCTION("""COMPUTED_VALUE"""),574.73)</f>
        <v>574.73</v>
      </c>
      <c r="BE52" s="26">
        <f>IFERROR(__xludf.DUMMYFUNCTION("""COMPUTED_VALUE"""),197.2)</f>
        <v>197.2</v>
      </c>
      <c r="BF52" s="26">
        <f>IFERROR(__xludf.DUMMYFUNCTION("""COMPUTED_VALUE"""),149.19)</f>
        <v>149.19</v>
      </c>
      <c r="BG52" s="26">
        <f>IFERROR(__xludf.DUMMYFUNCTION("""COMPUTED_VALUE"""),6.52)</f>
        <v>6.52</v>
      </c>
      <c r="BH52" s="26">
        <f>IFERROR(__xludf.DUMMYFUNCTION("""COMPUTED_VALUE"""),237.38)</f>
        <v>237.38</v>
      </c>
      <c r="BI52" s="26">
        <f>IFERROR(__xludf.DUMMYFUNCTION("""COMPUTED_VALUE"""),559.75)</f>
        <v>559.75</v>
      </c>
      <c r="BJ52" s="26">
        <f>IFERROR(__xludf.DUMMYFUNCTION("""COMPUTED_VALUE"""),48.28)</f>
        <v>48.28</v>
      </c>
      <c r="BK52" s="26">
        <f>IFERROR(__xludf.DUMMYFUNCTION("""COMPUTED_VALUE"""),11.7)</f>
        <v>11.7</v>
      </c>
      <c r="BL52" s="26">
        <f>IFERROR(__xludf.DUMMYFUNCTION("""COMPUTED_VALUE"""),217.38)</f>
        <v>217.38</v>
      </c>
      <c r="BM52" s="26">
        <f>IFERROR(__xludf.DUMMYFUNCTION("""COMPUTED_VALUE"""),89.8)</f>
        <v>89.8</v>
      </c>
    </row>
    <row r="53">
      <c r="A53" s="25">
        <v>45498.66666666667</v>
      </c>
      <c r="B53" s="17">
        <f>IFERROR(__xludf.DUMMYFUNCTION("""COMPUTED_VALUE"""),5399.22)</f>
        <v>5399.22</v>
      </c>
      <c r="C53" s="17">
        <f>IFERROR(__xludf.DUMMYFUNCTION("""COMPUTED_VALUE"""),17181.72)</f>
        <v>17181.72</v>
      </c>
      <c r="D53" s="17">
        <f>IFERROR(__xludf.DUMMYFUNCTION("""COMPUTED_VALUE"""),39935.07)</f>
        <v>39935.07</v>
      </c>
      <c r="E53" s="17">
        <f>IFERROR(__xludf.DUMMYFUNCTION("""COMPUTED_VALUE"""),2222.98)</f>
        <v>2222.98</v>
      </c>
      <c r="F53" s="26">
        <f>IFERROR(__xludf.DUMMYFUNCTION("""COMPUTED_VALUE"""),532.15)</f>
        <v>532.15</v>
      </c>
      <c r="G53" s="26">
        <f>IFERROR(__xludf.DUMMYFUNCTION("""COMPUTED_VALUE"""),179.85)</f>
        <v>179.85</v>
      </c>
      <c r="H53" s="26">
        <f>IFERROR(__xludf.DUMMYFUNCTION("""COMPUTED_VALUE"""),140.1)</f>
        <v>140.1</v>
      </c>
      <c r="I53" s="26">
        <f>IFERROR(__xludf.DUMMYFUNCTION("""COMPUTED_VALUE"""),217.49)</f>
        <v>217.49</v>
      </c>
      <c r="J53" s="26">
        <f>IFERROR(__xludf.DUMMYFUNCTION("""COMPUTED_VALUE"""),202.32)</f>
        <v>202.32</v>
      </c>
      <c r="K53" s="26">
        <f>IFERROR(__xludf.DUMMYFUNCTION("""COMPUTED_VALUE"""),64.81)</f>
        <v>64.81</v>
      </c>
      <c r="L53" s="26">
        <f>IFERROR(__xludf.DUMMYFUNCTION("""COMPUTED_VALUE"""),11.75)</f>
        <v>11.75</v>
      </c>
      <c r="M53" s="26">
        <f>IFERROR(__xludf.DUMMYFUNCTION("""COMPUTED_VALUE"""),433.29)</f>
        <v>433.29</v>
      </c>
      <c r="N53" s="26">
        <f>IFERROR(__xludf.DUMMYFUNCTION("""COMPUTED_VALUE"""),54.79)</f>
        <v>54.79</v>
      </c>
      <c r="O53" s="26">
        <f>IFERROR(__xludf.DUMMYFUNCTION("""COMPUTED_VALUE"""),227.44)</f>
        <v>227.44</v>
      </c>
      <c r="P53" s="26">
        <f>IFERROR(__xludf.DUMMYFUNCTION("""COMPUTED_VALUE"""),64.83)</f>
        <v>64.83</v>
      </c>
      <c r="Q53" s="26">
        <f>IFERROR(__xludf.DUMMYFUNCTION("""COMPUTED_VALUE"""),344.3)</f>
        <v>344.3</v>
      </c>
      <c r="R53" s="26">
        <f>IFERROR(__xludf.DUMMYFUNCTION("""COMPUTED_VALUE"""),44.58)</f>
        <v>44.58</v>
      </c>
      <c r="S53" s="26">
        <f>IFERROR(__xludf.DUMMYFUNCTION("""COMPUTED_VALUE"""),181.17)</f>
        <v>181.17</v>
      </c>
      <c r="T53" s="26">
        <f>IFERROR(__xludf.DUMMYFUNCTION("""COMPUTED_VALUE"""),157.54)</f>
        <v>157.54</v>
      </c>
      <c r="U53" s="26">
        <f>IFERROR(__xludf.DUMMYFUNCTION("""COMPUTED_VALUE"""),341.15)</f>
        <v>341.15</v>
      </c>
      <c r="V53" s="26">
        <f>IFERROR(__xludf.DUMMYFUNCTION("""COMPUTED_VALUE"""),43.24)</f>
        <v>43.24</v>
      </c>
      <c r="W53" s="26">
        <f>IFERROR(__xludf.DUMMYFUNCTION("""COMPUTED_VALUE"""),66.07)</f>
        <v>66.07</v>
      </c>
      <c r="X53" s="26">
        <f>IFERROR(__xludf.DUMMYFUNCTION("""COMPUTED_VALUE"""),95.92)</f>
        <v>95.92</v>
      </c>
      <c r="Y53" s="26">
        <f>IFERROR(__xludf.DUMMYFUNCTION("""COMPUTED_VALUE"""),147.37)</f>
        <v>147.37</v>
      </c>
      <c r="Z53" s="26">
        <f>IFERROR(__xludf.DUMMYFUNCTION("""COMPUTED_VALUE"""),102.63)</f>
        <v>102.63</v>
      </c>
      <c r="AA53" s="26">
        <f>IFERROR(__xludf.DUMMYFUNCTION("""COMPUTED_VALUE"""),425.17)</f>
        <v>425.17</v>
      </c>
      <c r="AB53" s="26">
        <f>IFERROR(__xludf.DUMMYFUNCTION("""COMPUTED_VALUE"""),53.12)</f>
        <v>53.12</v>
      </c>
      <c r="AC53" s="26">
        <f>IFERROR(__xludf.DUMMYFUNCTION("""COMPUTED_VALUE"""),117.43)</f>
        <v>117.43</v>
      </c>
      <c r="AD53" s="26">
        <f>IFERROR(__xludf.DUMMYFUNCTION("""COMPUTED_VALUE"""),298.59)</f>
        <v>298.59</v>
      </c>
      <c r="AE53" s="26">
        <f>IFERROR(__xludf.DUMMYFUNCTION("""COMPUTED_VALUE"""),405.92)</f>
        <v>405.92</v>
      </c>
      <c r="AF53" s="26">
        <f>IFERROR(__xludf.DUMMYFUNCTION("""COMPUTED_VALUE"""),290.98)</f>
        <v>290.98</v>
      </c>
      <c r="AG53" s="26">
        <f>IFERROR(__xludf.DUMMYFUNCTION("""COMPUTED_VALUE"""),44.13)</f>
        <v>44.13</v>
      </c>
      <c r="AH53" s="26">
        <f>IFERROR(__xludf.DUMMYFUNCTION("""COMPUTED_VALUE"""),76.51)</f>
        <v>76.51</v>
      </c>
      <c r="AI53" s="26">
        <f>IFERROR(__xludf.DUMMYFUNCTION("""COMPUTED_VALUE"""),491.71)</f>
        <v>491.71</v>
      </c>
      <c r="AJ53" s="26">
        <f>IFERROR(__xludf.DUMMYFUNCTION("""COMPUTED_VALUE"""),353.29)</f>
        <v>353.29</v>
      </c>
      <c r="AK53" s="26">
        <f>IFERROR(__xludf.DUMMYFUNCTION("""COMPUTED_VALUE"""),109.3)</f>
        <v>109.3</v>
      </c>
      <c r="AL53" s="26">
        <f>IFERROR(__xludf.DUMMYFUNCTION("""COMPUTED_VALUE"""),149.03)</f>
        <v>149.03</v>
      </c>
      <c r="AM53" s="26">
        <f>IFERROR(__xludf.DUMMYFUNCTION("""COMPUTED_VALUE"""),436.74)</f>
        <v>436.74</v>
      </c>
      <c r="AN53" s="26">
        <f>IFERROR(__xludf.DUMMYFUNCTION("""COMPUTED_VALUE"""),208.67)</f>
        <v>208.67</v>
      </c>
      <c r="AO53" s="26">
        <f>IFERROR(__xludf.DUMMYFUNCTION("""COMPUTED_VALUE"""),521.4)</f>
        <v>521.4</v>
      </c>
      <c r="AP53" s="26">
        <f>IFERROR(__xludf.DUMMYFUNCTION("""COMPUTED_VALUE"""),247.32)</f>
        <v>247.32</v>
      </c>
      <c r="AQ53" s="26">
        <f>IFERROR(__xludf.DUMMYFUNCTION("""COMPUTED_VALUE"""),25.81)</f>
        <v>25.81</v>
      </c>
      <c r="AR53" s="26">
        <f>IFERROR(__xludf.DUMMYFUNCTION("""COMPUTED_VALUE"""),78.46)</f>
        <v>78.46</v>
      </c>
      <c r="AS53" s="26">
        <f>IFERROR(__xludf.DUMMYFUNCTION("""COMPUTED_VALUE"""),75.32)</f>
        <v>75.32</v>
      </c>
      <c r="AT53" s="26">
        <f>IFERROR(__xludf.DUMMYFUNCTION("""COMPUTED_VALUE"""),418.4)</f>
        <v>418.4</v>
      </c>
      <c r="AU53" s="26">
        <f>IFERROR(__xludf.DUMMYFUNCTION("""COMPUTED_VALUE"""),73.44)</f>
        <v>73.44</v>
      </c>
      <c r="AV53" s="26">
        <f>IFERROR(__xludf.DUMMYFUNCTION("""COMPUTED_VALUE"""),112.28)</f>
        <v>112.28</v>
      </c>
      <c r="AW53" s="26">
        <f>IFERROR(__xludf.DUMMYFUNCTION("""COMPUTED_VALUE"""),93.03)</f>
        <v>93.03</v>
      </c>
      <c r="AX53" s="26">
        <f>IFERROR(__xludf.DUMMYFUNCTION("""COMPUTED_VALUE"""),38.2)</f>
        <v>38.2</v>
      </c>
      <c r="AY53" s="26">
        <f>IFERROR(__xludf.DUMMYFUNCTION("""COMPUTED_VALUE"""),26.63)</f>
        <v>26.63</v>
      </c>
      <c r="AZ53" s="26">
        <f>IFERROR(__xludf.DUMMYFUNCTION("""COMPUTED_VALUE"""),57.22)</f>
        <v>57.22</v>
      </c>
      <c r="BA53" s="26">
        <f>IFERROR(__xludf.DUMMYFUNCTION("""COMPUTED_VALUE"""),30.18)</f>
        <v>30.18</v>
      </c>
      <c r="BB53" s="26">
        <f>IFERROR(__xludf.DUMMYFUNCTION("""COMPUTED_VALUE"""),113.47)</f>
        <v>113.47</v>
      </c>
      <c r="BC53" s="26">
        <f>IFERROR(__xludf.DUMMYFUNCTION("""COMPUTED_VALUE"""),175.14)</f>
        <v>175.14</v>
      </c>
      <c r="BD53" s="26">
        <f>IFERROR(__xludf.DUMMYFUNCTION("""COMPUTED_VALUE"""),594.5)</f>
        <v>594.5</v>
      </c>
      <c r="BE53" s="26">
        <f>IFERROR(__xludf.DUMMYFUNCTION("""COMPUTED_VALUE"""),195.25)</f>
        <v>195.25</v>
      </c>
      <c r="BF53" s="26">
        <f>IFERROR(__xludf.DUMMYFUNCTION("""COMPUTED_VALUE"""),145.99)</f>
        <v>145.99</v>
      </c>
      <c r="BG53" s="26">
        <f>IFERROR(__xludf.DUMMYFUNCTION("""COMPUTED_VALUE"""),6.77)</f>
        <v>6.77</v>
      </c>
      <c r="BH53" s="26">
        <f>IFERROR(__xludf.DUMMYFUNCTION("""COMPUTED_VALUE"""),235.35)</f>
        <v>235.35</v>
      </c>
      <c r="BI53" s="26">
        <f>IFERROR(__xludf.DUMMYFUNCTION("""COMPUTED_VALUE"""),559.68)</f>
        <v>559.68</v>
      </c>
      <c r="BJ53" s="26">
        <f>IFERROR(__xludf.DUMMYFUNCTION("""COMPUTED_VALUE"""),48.32)</f>
        <v>48.32</v>
      </c>
      <c r="BK53" s="26">
        <f>IFERROR(__xludf.DUMMYFUNCTION("""COMPUTED_VALUE"""),11.76)</f>
        <v>11.76</v>
      </c>
      <c r="BL53" s="26">
        <f>IFERROR(__xludf.DUMMYFUNCTION("""COMPUTED_VALUE"""),199.92)</f>
        <v>199.92</v>
      </c>
      <c r="BM53" s="26">
        <f>IFERROR(__xludf.DUMMYFUNCTION("""COMPUTED_VALUE"""),89.21)</f>
        <v>89.21</v>
      </c>
    </row>
    <row r="54">
      <c r="A54" s="25">
        <v>45499.66666666667</v>
      </c>
      <c r="B54" s="17">
        <f>IFERROR(__xludf.DUMMYFUNCTION("""COMPUTED_VALUE"""),5459.1)</f>
        <v>5459.1</v>
      </c>
      <c r="C54" s="17">
        <f>IFERROR(__xludf.DUMMYFUNCTION("""COMPUTED_VALUE"""),17357.88)</f>
        <v>17357.88</v>
      </c>
      <c r="D54" s="17">
        <f>IFERROR(__xludf.DUMMYFUNCTION("""COMPUTED_VALUE"""),40589.34)</f>
        <v>40589.34</v>
      </c>
      <c r="E54" s="17">
        <f>IFERROR(__xludf.DUMMYFUNCTION("""COMPUTED_VALUE"""),2260.07)</f>
        <v>2260.07</v>
      </c>
      <c r="F54" s="26">
        <f>IFERROR(__xludf.DUMMYFUNCTION("""COMPUTED_VALUE"""),542.44)</f>
        <v>542.44</v>
      </c>
      <c r="G54" s="26">
        <f>IFERROR(__xludf.DUMMYFUNCTION("""COMPUTED_VALUE"""),182.5)</f>
        <v>182.5</v>
      </c>
      <c r="H54" s="26">
        <f>IFERROR(__xludf.DUMMYFUNCTION("""COMPUTED_VALUE"""),141.71)</f>
        <v>141.71</v>
      </c>
      <c r="I54" s="26">
        <f>IFERROR(__xludf.DUMMYFUNCTION("""COMPUTED_VALUE"""),217.96)</f>
        <v>217.96</v>
      </c>
      <c r="J54" s="26">
        <f>IFERROR(__xludf.DUMMYFUNCTION("""COMPUTED_VALUE"""),206.47)</f>
        <v>206.47</v>
      </c>
      <c r="K54" s="26">
        <f>IFERROR(__xludf.DUMMYFUNCTION("""COMPUTED_VALUE"""),65.35)</f>
        <v>65.35</v>
      </c>
      <c r="L54" s="26">
        <f>IFERROR(__xludf.DUMMYFUNCTION("""COMPUTED_VALUE"""),11.98)</f>
        <v>11.98</v>
      </c>
      <c r="M54" s="26">
        <f>IFERROR(__xludf.DUMMYFUNCTION("""COMPUTED_VALUE"""),437.66)</f>
        <v>437.66</v>
      </c>
      <c r="N54" s="26">
        <f>IFERROR(__xludf.DUMMYFUNCTION("""COMPUTED_VALUE"""),55.38)</f>
        <v>55.38</v>
      </c>
      <c r="O54" s="26">
        <f>IFERROR(__xludf.DUMMYFUNCTION("""COMPUTED_VALUE"""),211.17)</f>
        <v>211.17</v>
      </c>
      <c r="P54" s="26">
        <f>IFERROR(__xludf.DUMMYFUNCTION("""COMPUTED_VALUE"""),66.77)</f>
        <v>66.77</v>
      </c>
      <c r="Q54" s="26">
        <f>IFERROR(__xludf.DUMMYFUNCTION("""COMPUTED_VALUE"""),350.48)</f>
        <v>350.48</v>
      </c>
      <c r="R54" s="26">
        <f>IFERROR(__xludf.DUMMYFUNCTION("""COMPUTED_VALUE"""),45.19)</f>
        <v>45.19</v>
      </c>
      <c r="S54" s="26">
        <f>IFERROR(__xludf.DUMMYFUNCTION("""COMPUTED_VALUE"""),182.74)</f>
        <v>182.74</v>
      </c>
      <c r="T54" s="26">
        <f>IFERROR(__xludf.DUMMYFUNCTION("""COMPUTED_VALUE"""),157.84)</f>
        <v>157.84</v>
      </c>
      <c r="U54" s="26">
        <f>IFERROR(__xludf.DUMMYFUNCTION("""COMPUTED_VALUE"""),343.64)</f>
        <v>343.64</v>
      </c>
      <c r="V54" s="26">
        <f>IFERROR(__xludf.DUMMYFUNCTION("""COMPUTED_VALUE"""),43.23)</f>
        <v>43.23</v>
      </c>
      <c r="W54" s="26">
        <f>IFERROR(__xludf.DUMMYFUNCTION("""COMPUTED_VALUE"""),67.05)</f>
        <v>67.05</v>
      </c>
      <c r="X54" s="26">
        <f>IFERROR(__xludf.DUMMYFUNCTION("""COMPUTED_VALUE"""),96.44)</f>
        <v>96.44</v>
      </c>
      <c r="Y54" s="26">
        <f>IFERROR(__xludf.DUMMYFUNCTION("""COMPUTED_VALUE"""),145.65)</f>
        <v>145.65</v>
      </c>
      <c r="Z54" s="26">
        <f>IFERROR(__xludf.DUMMYFUNCTION("""COMPUTED_VALUE"""),103.93)</f>
        <v>103.93</v>
      </c>
      <c r="AA54" s="26">
        <f>IFERROR(__xludf.DUMMYFUNCTION("""COMPUTED_VALUE"""),417.45)</f>
        <v>417.45</v>
      </c>
      <c r="AB54" s="26">
        <f>IFERROR(__xludf.DUMMYFUNCTION("""COMPUTED_VALUE"""),54.18)</f>
        <v>54.18</v>
      </c>
      <c r="AC54" s="26">
        <f>IFERROR(__xludf.DUMMYFUNCTION("""COMPUTED_VALUE"""),117.33)</f>
        <v>117.33</v>
      </c>
      <c r="AD54" s="26">
        <f>IFERROR(__xludf.DUMMYFUNCTION("""COMPUTED_VALUE"""),300.14)</f>
        <v>300.14</v>
      </c>
      <c r="AE54" s="26">
        <f>IFERROR(__xludf.DUMMYFUNCTION("""COMPUTED_VALUE"""),413.8)</f>
        <v>413.8</v>
      </c>
      <c r="AF54" s="26">
        <f>IFERROR(__xludf.DUMMYFUNCTION("""COMPUTED_VALUE"""),290.4)</f>
        <v>290.4</v>
      </c>
      <c r="AG54" s="26">
        <f>IFERROR(__xludf.DUMMYFUNCTION("""COMPUTED_VALUE"""),44.12)</f>
        <v>44.12</v>
      </c>
      <c r="AH54" s="26">
        <f>IFERROR(__xludf.DUMMYFUNCTION("""COMPUTED_VALUE"""),77.01)</f>
        <v>77.01</v>
      </c>
      <c r="AI54" s="26">
        <f>IFERROR(__xludf.DUMMYFUNCTION("""COMPUTED_VALUE"""),499.03)</f>
        <v>499.03</v>
      </c>
      <c r="AJ54" s="26">
        <f>IFERROR(__xludf.DUMMYFUNCTION("""COMPUTED_VALUE"""),359.51)</f>
        <v>359.51</v>
      </c>
      <c r="AK54" s="26">
        <f>IFERROR(__xludf.DUMMYFUNCTION("""COMPUTED_VALUE"""),110.92)</f>
        <v>110.92</v>
      </c>
      <c r="AL54" s="26">
        <f>IFERROR(__xludf.DUMMYFUNCTION("""COMPUTED_VALUE"""),151.0)</f>
        <v>151</v>
      </c>
      <c r="AM54" s="26">
        <f>IFERROR(__xludf.DUMMYFUNCTION("""COMPUTED_VALUE"""),441.3)</f>
        <v>441.3</v>
      </c>
      <c r="AN54" s="26">
        <f>IFERROR(__xludf.DUMMYFUNCTION("""COMPUTED_VALUE"""),212.24)</f>
        <v>212.24</v>
      </c>
      <c r="AO54" s="26">
        <f>IFERROR(__xludf.DUMMYFUNCTION("""COMPUTED_VALUE"""),524.8)</f>
        <v>524.8</v>
      </c>
      <c r="AP54" s="26">
        <f>IFERROR(__xludf.DUMMYFUNCTION("""COMPUTED_VALUE"""),253.5)</f>
        <v>253.5</v>
      </c>
      <c r="AQ54" s="26">
        <f>IFERROR(__xludf.DUMMYFUNCTION("""COMPUTED_VALUE"""),26.0)</f>
        <v>26</v>
      </c>
      <c r="AR54" s="26">
        <f>IFERROR(__xludf.DUMMYFUNCTION("""COMPUTED_VALUE"""),78.7)</f>
        <v>78.7</v>
      </c>
      <c r="AS54" s="26">
        <f>IFERROR(__xludf.DUMMYFUNCTION("""COMPUTED_VALUE"""),76.0)</f>
        <v>76</v>
      </c>
      <c r="AT54" s="26">
        <f>IFERROR(__xludf.DUMMYFUNCTION("""COMPUTED_VALUE"""),425.27)</f>
        <v>425.27</v>
      </c>
      <c r="AU54" s="26">
        <f>IFERROR(__xludf.DUMMYFUNCTION("""COMPUTED_VALUE"""),74.26)</f>
        <v>74.26</v>
      </c>
      <c r="AV54" s="26">
        <f>IFERROR(__xludf.DUMMYFUNCTION("""COMPUTED_VALUE"""),113.06)</f>
        <v>113.06</v>
      </c>
      <c r="AW54" s="26">
        <f>IFERROR(__xludf.DUMMYFUNCTION("""COMPUTED_VALUE"""),93.48)</f>
        <v>93.48</v>
      </c>
      <c r="AX54" s="26">
        <f>IFERROR(__xludf.DUMMYFUNCTION("""COMPUTED_VALUE"""),40.22)</f>
        <v>40.22</v>
      </c>
      <c r="AY54" s="26">
        <f>IFERROR(__xludf.DUMMYFUNCTION("""COMPUTED_VALUE"""),27.18)</f>
        <v>27.18</v>
      </c>
      <c r="AZ54" s="26">
        <f>IFERROR(__xludf.DUMMYFUNCTION("""COMPUTED_VALUE"""),58.29)</f>
        <v>58.29</v>
      </c>
      <c r="BA54" s="26">
        <f>IFERROR(__xludf.DUMMYFUNCTION("""COMPUTED_VALUE"""),30.77)</f>
        <v>30.77</v>
      </c>
      <c r="BB54" s="26">
        <f>IFERROR(__xludf.DUMMYFUNCTION("""COMPUTED_VALUE"""),113.95)</f>
        <v>113.95</v>
      </c>
      <c r="BC54" s="26">
        <f>IFERROR(__xludf.DUMMYFUNCTION("""COMPUTED_VALUE"""),175.53)</f>
        <v>175.53</v>
      </c>
      <c r="BD54" s="26">
        <f>IFERROR(__xludf.DUMMYFUNCTION("""COMPUTED_VALUE"""),607.14)</f>
        <v>607.14</v>
      </c>
      <c r="BE54" s="26">
        <f>IFERROR(__xludf.DUMMYFUNCTION("""COMPUTED_VALUE"""),192.52)</f>
        <v>192.52</v>
      </c>
      <c r="BF54" s="26">
        <f>IFERROR(__xludf.DUMMYFUNCTION("""COMPUTED_VALUE"""),140.49)</f>
        <v>140.49</v>
      </c>
      <c r="BG54" s="26">
        <f>IFERROR(__xludf.DUMMYFUNCTION("""COMPUTED_VALUE"""),6.89)</f>
        <v>6.89</v>
      </c>
      <c r="BH54" s="26">
        <f>IFERROR(__xludf.DUMMYFUNCTION("""COMPUTED_VALUE"""),240.36)</f>
        <v>240.36</v>
      </c>
      <c r="BI54" s="26">
        <f>IFERROR(__xludf.DUMMYFUNCTION("""COMPUTED_VALUE"""),569.72)</f>
        <v>569.72</v>
      </c>
      <c r="BJ54" s="26">
        <f>IFERROR(__xludf.DUMMYFUNCTION("""COMPUTED_VALUE"""),48.37)</f>
        <v>48.37</v>
      </c>
      <c r="BK54" s="26">
        <f>IFERROR(__xludf.DUMMYFUNCTION("""COMPUTED_VALUE"""),12.08)</f>
        <v>12.08</v>
      </c>
      <c r="BL54" s="26">
        <f>IFERROR(__xludf.DUMMYFUNCTION("""COMPUTED_VALUE"""),196.96)</f>
        <v>196.96</v>
      </c>
      <c r="BM54" s="26">
        <f>IFERROR(__xludf.DUMMYFUNCTION("""COMPUTED_VALUE"""),89.93)</f>
        <v>89.93</v>
      </c>
    </row>
    <row r="55">
      <c r="A55" s="25">
        <v>45502.66666666667</v>
      </c>
      <c r="B55" s="17">
        <f>IFERROR(__xludf.DUMMYFUNCTION("""COMPUTED_VALUE"""),5463.54)</f>
        <v>5463.54</v>
      </c>
      <c r="C55" s="17">
        <f>IFERROR(__xludf.DUMMYFUNCTION("""COMPUTED_VALUE"""),17370.2)</f>
        <v>17370.2</v>
      </c>
      <c r="D55" s="17">
        <f>IFERROR(__xludf.DUMMYFUNCTION("""COMPUTED_VALUE"""),40539.93)</f>
        <v>40539.93</v>
      </c>
      <c r="E55" s="17">
        <f>IFERROR(__xludf.DUMMYFUNCTION("""COMPUTED_VALUE"""),2235.33)</f>
        <v>2235.33</v>
      </c>
      <c r="F55" s="26">
        <f>IFERROR(__xludf.DUMMYFUNCTION("""COMPUTED_VALUE"""),536.61)</f>
        <v>536.61</v>
      </c>
      <c r="G55" s="26">
        <f>IFERROR(__xludf.DUMMYFUNCTION("""COMPUTED_VALUE"""),183.2)</f>
        <v>183.2</v>
      </c>
      <c r="H55" s="26">
        <f>IFERROR(__xludf.DUMMYFUNCTION("""COMPUTED_VALUE"""),141.36)</f>
        <v>141.36</v>
      </c>
      <c r="I55" s="26">
        <f>IFERROR(__xludf.DUMMYFUNCTION("""COMPUTED_VALUE"""),218.24)</f>
        <v>218.24</v>
      </c>
      <c r="J55" s="26">
        <f>IFERROR(__xludf.DUMMYFUNCTION("""COMPUTED_VALUE"""),205.57)</f>
        <v>205.57</v>
      </c>
      <c r="K55" s="26">
        <f>IFERROR(__xludf.DUMMYFUNCTION("""COMPUTED_VALUE"""),64.59)</f>
        <v>64.59</v>
      </c>
      <c r="L55" s="26">
        <f>IFERROR(__xludf.DUMMYFUNCTION("""COMPUTED_VALUE"""),11.94)</f>
        <v>11.94</v>
      </c>
      <c r="M55" s="26">
        <f>IFERROR(__xludf.DUMMYFUNCTION("""COMPUTED_VALUE"""),438.31)</f>
        <v>438.31</v>
      </c>
      <c r="N55" s="26">
        <f>IFERROR(__xludf.DUMMYFUNCTION("""COMPUTED_VALUE"""),55.01)</f>
        <v>55.01</v>
      </c>
      <c r="O55" s="26">
        <f>IFERROR(__xludf.DUMMYFUNCTION("""COMPUTED_VALUE"""),214.43)</f>
        <v>214.43</v>
      </c>
      <c r="P55" s="26">
        <f>IFERROR(__xludf.DUMMYFUNCTION("""COMPUTED_VALUE"""),67.62)</f>
        <v>67.62</v>
      </c>
      <c r="Q55" s="26">
        <f>IFERROR(__xludf.DUMMYFUNCTION("""COMPUTED_VALUE"""),344.53)</f>
        <v>344.53</v>
      </c>
      <c r="R55" s="26">
        <f>IFERROR(__xludf.DUMMYFUNCTION("""COMPUTED_VALUE"""),44.64)</f>
        <v>44.64</v>
      </c>
      <c r="S55" s="26">
        <f>IFERROR(__xludf.DUMMYFUNCTION("""COMPUTED_VALUE"""),183.37)</f>
        <v>183.37</v>
      </c>
      <c r="T55" s="26">
        <f>IFERROR(__xludf.DUMMYFUNCTION("""COMPUTED_VALUE"""),156.6)</f>
        <v>156.6</v>
      </c>
      <c r="U55" s="26">
        <f>IFERROR(__xludf.DUMMYFUNCTION("""COMPUTED_VALUE"""),346.54)</f>
        <v>346.54</v>
      </c>
      <c r="V55" s="26">
        <f>IFERROR(__xludf.DUMMYFUNCTION("""COMPUTED_VALUE"""),43.0)</f>
        <v>43</v>
      </c>
      <c r="W55" s="26">
        <f>IFERROR(__xludf.DUMMYFUNCTION("""COMPUTED_VALUE"""),66.83)</f>
        <v>66.83</v>
      </c>
      <c r="X55" s="26">
        <f>IFERROR(__xludf.DUMMYFUNCTION("""COMPUTED_VALUE"""),96.87)</f>
        <v>96.87</v>
      </c>
      <c r="Y55" s="26">
        <f>IFERROR(__xludf.DUMMYFUNCTION("""COMPUTED_VALUE"""),147.19)</f>
        <v>147.19</v>
      </c>
      <c r="Z55" s="26">
        <f>IFERROR(__xludf.DUMMYFUNCTION("""COMPUTED_VALUE"""),103.74)</f>
        <v>103.74</v>
      </c>
      <c r="AA55" s="26">
        <f>IFERROR(__xludf.DUMMYFUNCTION("""COMPUTED_VALUE"""),428.13)</f>
        <v>428.13</v>
      </c>
      <c r="AB55" s="26">
        <f>IFERROR(__xludf.DUMMYFUNCTION("""COMPUTED_VALUE"""),54.61)</f>
        <v>54.61</v>
      </c>
      <c r="AC55" s="26">
        <f>IFERROR(__xludf.DUMMYFUNCTION("""COMPUTED_VALUE"""),116.1)</f>
        <v>116.1</v>
      </c>
      <c r="AD55" s="26">
        <f>IFERROR(__xludf.DUMMYFUNCTION("""COMPUTED_VALUE"""),299.23)</f>
        <v>299.23</v>
      </c>
      <c r="AE55" s="26">
        <f>IFERROR(__xludf.DUMMYFUNCTION("""COMPUTED_VALUE"""),411.7)</f>
        <v>411.7</v>
      </c>
      <c r="AF55" s="26">
        <f>IFERROR(__xludf.DUMMYFUNCTION("""COMPUTED_VALUE"""),289.49)</f>
        <v>289.49</v>
      </c>
      <c r="AG55" s="26">
        <f>IFERROR(__xludf.DUMMYFUNCTION("""COMPUTED_VALUE"""),44.15)</f>
        <v>44.15</v>
      </c>
      <c r="AH55" s="26">
        <f>IFERROR(__xludf.DUMMYFUNCTION("""COMPUTED_VALUE"""),77.73)</f>
        <v>77.73</v>
      </c>
      <c r="AI55" s="26">
        <f>IFERROR(__xludf.DUMMYFUNCTION("""COMPUTED_VALUE"""),492.72)</f>
        <v>492.72</v>
      </c>
      <c r="AJ55" s="26">
        <f>IFERROR(__xludf.DUMMYFUNCTION("""COMPUTED_VALUE"""),361.67)</f>
        <v>361.67</v>
      </c>
      <c r="AK55" s="26">
        <f>IFERROR(__xludf.DUMMYFUNCTION("""COMPUTED_VALUE"""),113.5)</f>
        <v>113.5</v>
      </c>
      <c r="AL55" s="26">
        <f>IFERROR(__xludf.DUMMYFUNCTION("""COMPUTED_VALUE"""),151.16)</f>
        <v>151.16</v>
      </c>
      <c r="AM55" s="26">
        <f>IFERROR(__xludf.DUMMYFUNCTION("""COMPUTED_VALUE"""),443.66)</f>
        <v>443.66</v>
      </c>
      <c r="AN55" s="26">
        <f>IFERROR(__xludf.DUMMYFUNCTION("""COMPUTED_VALUE"""),210.85)</f>
        <v>210.85</v>
      </c>
      <c r="AO55" s="26">
        <f>IFERROR(__xludf.DUMMYFUNCTION("""COMPUTED_VALUE"""),527.64)</f>
        <v>527.64</v>
      </c>
      <c r="AP55" s="26">
        <f>IFERROR(__xludf.DUMMYFUNCTION("""COMPUTED_VALUE"""),259.03)</f>
        <v>259.03</v>
      </c>
      <c r="AQ55" s="26">
        <f>IFERROR(__xludf.DUMMYFUNCTION("""COMPUTED_VALUE"""),25.9)</f>
        <v>25.9</v>
      </c>
      <c r="AR55" s="26">
        <f>IFERROR(__xludf.DUMMYFUNCTION("""COMPUTED_VALUE"""),80.0)</f>
        <v>80</v>
      </c>
      <c r="AS55" s="26">
        <f>IFERROR(__xludf.DUMMYFUNCTION("""COMPUTED_VALUE"""),75.5)</f>
        <v>75.5</v>
      </c>
      <c r="AT55" s="26">
        <f>IFERROR(__xludf.DUMMYFUNCTION("""COMPUTED_VALUE"""),426.73)</f>
        <v>426.73</v>
      </c>
      <c r="AU55" s="26">
        <f>IFERROR(__xludf.DUMMYFUNCTION("""COMPUTED_VALUE"""),74.34)</f>
        <v>74.34</v>
      </c>
      <c r="AV55" s="26">
        <f>IFERROR(__xludf.DUMMYFUNCTION("""COMPUTED_VALUE"""),111.59)</f>
        <v>111.59</v>
      </c>
      <c r="AW55" s="26">
        <f>IFERROR(__xludf.DUMMYFUNCTION("""COMPUTED_VALUE"""),93.03)</f>
        <v>93.03</v>
      </c>
      <c r="AX55" s="26">
        <f>IFERROR(__xludf.DUMMYFUNCTION("""COMPUTED_VALUE"""),39.83)</f>
        <v>39.83</v>
      </c>
      <c r="AY55" s="26">
        <f>IFERROR(__xludf.DUMMYFUNCTION("""COMPUTED_VALUE"""),27.08)</f>
        <v>27.08</v>
      </c>
      <c r="AZ55" s="26">
        <f>IFERROR(__xludf.DUMMYFUNCTION("""COMPUTED_VALUE"""),58.94)</f>
        <v>58.94</v>
      </c>
      <c r="BA55" s="26">
        <f>IFERROR(__xludf.DUMMYFUNCTION("""COMPUTED_VALUE"""),30.72)</f>
        <v>30.72</v>
      </c>
      <c r="BB55" s="26">
        <f>IFERROR(__xludf.DUMMYFUNCTION("""COMPUTED_VALUE"""),114.44)</f>
        <v>114.44</v>
      </c>
      <c r="BC55" s="26">
        <f>IFERROR(__xludf.DUMMYFUNCTION("""COMPUTED_VALUE"""),176.87)</f>
        <v>176.87</v>
      </c>
      <c r="BD55" s="26">
        <f>IFERROR(__xludf.DUMMYFUNCTION("""COMPUTED_VALUE"""),604.12)</f>
        <v>604.12</v>
      </c>
      <c r="BE55" s="26">
        <f>IFERROR(__xludf.DUMMYFUNCTION("""COMPUTED_VALUE"""),192.48)</f>
        <v>192.48</v>
      </c>
      <c r="BF55" s="26">
        <f>IFERROR(__xludf.DUMMYFUNCTION("""COMPUTED_VALUE"""),139.0)</f>
        <v>139</v>
      </c>
      <c r="BG55" s="26">
        <f>IFERROR(__xludf.DUMMYFUNCTION("""COMPUTED_VALUE"""),6.92)</f>
        <v>6.92</v>
      </c>
      <c r="BH55" s="26">
        <f>IFERROR(__xludf.DUMMYFUNCTION("""COMPUTED_VALUE"""),242.15)</f>
        <v>242.15</v>
      </c>
      <c r="BI55" s="26">
        <f>IFERROR(__xludf.DUMMYFUNCTION("""COMPUTED_VALUE"""),566.75)</f>
        <v>566.75</v>
      </c>
      <c r="BJ55" s="26">
        <f>IFERROR(__xludf.DUMMYFUNCTION("""COMPUTED_VALUE"""),48.37)</f>
        <v>48.37</v>
      </c>
      <c r="BK55" s="26">
        <f>IFERROR(__xludf.DUMMYFUNCTION("""COMPUTED_VALUE"""),11.9)</f>
        <v>11.9</v>
      </c>
      <c r="BL55" s="26">
        <f>IFERROR(__xludf.DUMMYFUNCTION("""COMPUTED_VALUE"""),200.54)</f>
        <v>200.54</v>
      </c>
      <c r="BM55" s="26">
        <f>IFERROR(__xludf.DUMMYFUNCTION("""COMPUTED_VALUE"""),92.14)</f>
        <v>92.14</v>
      </c>
    </row>
    <row r="56">
      <c r="A56" s="25">
        <v>45503.66666666667</v>
      </c>
      <c r="B56" s="17">
        <f>IFERROR(__xludf.DUMMYFUNCTION("""COMPUTED_VALUE"""),5436.44)</f>
        <v>5436.44</v>
      </c>
      <c r="C56" s="17">
        <f>IFERROR(__xludf.DUMMYFUNCTION("""COMPUTED_VALUE"""),17147.42)</f>
        <v>17147.42</v>
      </c>
      <c r="D56" s="17">
        <f>IFERROR(__xludf.DUMMYFUNCTION("""COMPUTED_VALUE"""),40743.33)</f>
        <v>40743.33</v>
      </c>
      <c r="E56" s="17">
        <f>IFERROR(__xludf.DUMMYFUNCTION("""COMPUTED_VALUE"""),2243.14)</f>
        <v>2243.14</v>
      </c>
      <c r="F56" s="26">
        <f>IFERROR(__xludf.DUMMYFUNCTION("""COMPUTED_VALUE"""),538.71)</f>
        <v>538.71</v>
      </c>
      <c r="G56" s="26">
        <f>IFERROR(__xludf.DUMMYFUNCTION("""COMPUTED_VALUE"""),181.71)</f>
        <v>181.71</v>
      </c>
      <c r="H56" s="26">
        <f>IFERROR(__xludf.DUMMYFUNCTION("""COMPUTED_VALUE"""),143.67)</f>
        <v>143.67</v>
      </c>
      <c r="I56" s="26">
        <f>IFERROR(__xludf.DUMMYFUNCTION("""COMPUTED_VALUE"""),218.8)</f>
        <v>218.8</v>
      </c>
      <c r="J56" s="26">
        <f>IFERROR(__xludf.DUMMYFUNCTION("""COMPUTED_VALUE"""),196.74)</f>
        <v>196.74</v>
      </c>
      <c r="K56" s="26">
        <f>IFERROR(__xludf.DUMMYFUNCTION("""COMPUTED_VALUE"""),65.24)</f>
        <v>65.24</v>
      </c>
      <c r="L56" s="26">
        <f>IFERROR(__xludf.DUMMYFUNCTION("""COMPUTED_VALUE"""),11.99)</f>
        <v>11.99</v>
      </c>
      <c r="M56" s="26">
        <f>IFERROR(__xludf.DUMMYFUNCTION("""COMPUTED_VALUE"""),441.26)</f>
        <v>441.26</v>
      </c>
      <c r="N56" s="26">
        <f>IFERROR(__xludf.DUMMYFUNCTION("""COMPUTED_VALUE"""),54.11)</f>
        <v>54.11</v>
      </c>
      <c r="O56" s="26">
        <f>IFERROR(__xludf.DUMMYFUNCTION("""COMPUTED_VALUE"""),211.89)</f>
        <v>211.89</v>
      </c>
      <c r="P56" s="26">
        <f>IFERROR(__xludf.DUMMYFUNCTION("""COMPUTED_VALUE"""),67.43)</f>
        <v>67.43</v>
      </c>
      <c r="Q56" s="26">
        <f>IFERROR(__xludf.DUMMYFUNCTION("""COMPUTED_VALUE"""),341.72)</f>
        <v>341.72</v>
      </c>
      <c r="R56" s="26">
        <f>IFERROR(__xludf.DUMMYFUNCTION("""COMPUTED_VALUE"""),44.28)</f>
        <v>44.28</v>
      </c>
      <c r="S56" s="26">
        <f>IFERROR(__xludf.DUMMYFUNCTION("""COMPUTED_VALUE"""),182.43)</f>
        <v>182.43</v>
      </c>
      <c r="T56" s="26">
        <f>IFERROR(__xludf.DUMMYFUNCTION("""COMPUTED_VALUE"""),159.57)</f>
        <v>159.57</v>
      </c>
      <c r="U56" s="26">
        <f>IFERROR(__xludf.DUMMYFUNCTION("""COMPUTED_VALUE"""),352.77)</f>
        <v>352.77</v>
      </c>
      <c r="V56" s="26">
        <f>IFERROR(__xludf.DUMMYFUNCTION("""COMPUTED_VALUE"""),43.2)</f>
        <v>43.2</v>
      </c>
      <c r="W56" s="26">
        <f>IFERROR(__xludf.DUMMYFUNCTION("""COMPUTED_VALUE"""),67.68)</f>
        <v>67.68</v>
      </c>
      <c r="X56" s="26">
        <f>IFERROR(__xludf.DUMMYFUNCTION("""COMPUTED_VALUE"""),98.16)</f>
        <v>98.16</v>
      </c>
      <c r="Y56" s="26">
        <f>IFERROR(__xludf.DUMMYFUNCTION("""COMPUTED_VALUE"""),145.04)</f>
        <v>145.04</v>
      </c>
      <c r="Z56" s="26">
        <f>IFERROR(__xludf.DUMMYFUNCTION("""COMPUTED_VALUE"""),105.33)</f>
        <v>105.33</v>
      </c>
      <c r="AA56" s="26">
        <f>IFERROR(__xludf.DUMMYFUNCTION("""COMPUTED_VALUE"""),429.15)</f>
        <v>429.15</v>
      </c>
      <c r="AB56" s="26">
        <f>IFERROR(__xludf.DUMMYFUNCTION("""COMPUTED_VALUE"""),55.4)</f>
        <v>55.4</v>
      </c>
      <c r="AC56" s="26">
        <f>IFERROR(__xludf.DUMMYFUNCTION("""COMPUTED_VALUE"""),118.17)</f>
        <v>118.17</v>
      </c>
      <c r="AD56" s="26">
        <f>IFERROR(__xludf.DUMMYFUNCTION("""COMPUTED_VALUE"""),300.88)</f>
        <v>300.88</v>
      </c>
      <c r="AE56" s="26">
        <f>IFERROR(__xludf.DUMMYFUNCTION("""COMPUTED_VALUE"""),410.27)</f>
        <v>410.27</v>
      </c>
      <c r="AF56" s="26">
        <f>IFERROR(__xludf.DUMMYFUNCTION("""COMPUTED_VALUE"""),293.01)</f>
        <v>293.01</v>
      </c>
      <c r="AG56" s="26">
        <f>IFERROR(__xludf.DUMMYFUNCTION("""COMPUTED_VALUE"""),44.23)</f>
        <v>44.23</v>
      </c>
      <c r="AH56" s="26">
        <f>IFERROR(__xludf.DUMMYFUNCTION("""COMPUTED_VALUE"""),78.05)</f>
        <v>78.05</v>
      </c>
      <c r="AI56" s="26">
        <f>IFERROR(__xludf.DUMMYFUNCTION("""COMPUTED_VALUE"""),505.67)</f>
        <v>505.67</v>
      </c>
      <c r="AJ56" s="26">
        <f>IFERROR(__xludf.DUMMYFUNCTION("""COMPUTED_VALUE"""),363.69)</f>
        <v>363.69</v>
      </c>
      <c r="AK56" s="26">
        <f>IFERROR(__xludf.DUMMYFUNCTION("""COMPUTED_VALUE"""),112.93)</f>
        <v>112.93</v>
      </c>
      <c r="AL56" s="26">
        <f>IFERROR(__xludf.DUMMYFUNCTION("""COMPUTED_VALUE"""),151.3)</f>
        <v>151.3</v>
      </c>
      <c r="AM56" s="26">
        <f>IFERROR(__xludf.DUMMYFUNCTION("""COMPUTED_VALUE"""),432.69)</f>
        <v>432.69</v>
      </c>
      <c r="AN56" s="26">
        <f>IFERROR(__xludf.DUMMYFUNCTION("""COMPUTED_VALUE"""),215.19)</f>
        <v>215.19</v>
      </c>
      <c r="AO56" s="26">
        <f>IFERROR(__xludf.DUMMYFUNCTION("""COMPUTED_VALUE"""),537.66)</f>
        <v>537.66</v>
      </c>
      <c r="AP56" s="26">
        <f>IFERROR(__xludf.DUMMYFUNCTION("""COMPUTED_VALUE"""),256.0)</f>
        <v>256</v>
      </c>
      <c r="AQ56" s="26">
        <f>IFERROR(__xludf.DUMMYFUNCTION("""COMPUTED_VALUE"""),26.1)</f>
        <v>26.1</v>
      </c>
      <c r="AR56" s="26">
        <f>IFERROR(__xludf.DUMMYFUNCTION("""COMPUTED_VALUE"""),80.81)</f>
        <v>80.81</v>
      </c>
      <c r="AS56" s="26">
        <f>IFERROR(__xludf.DUMMYFUNCTION("""COMPUTED_VALUE"""),76.75)</f>
        <v>76.75</v>
      </c>
      <c r="AT56" s="26">
        <f>IFERROR(__xludf.DUMMYFUNCTION("""COMPUTED_VALUE"""),422.92)</f>
        <v>422.92</v>
      </c>
      <c r="AU56" s="26">
        <f>IFERROR(__xludf.DUMMYFUNCTION("""COMPUTED_VALUE"""),74.28)</f>
        <v>74.28</v>
      </c>
      <c r="AV56" s="26">
        <f>IFERROR(__xludf.DUMMYFUNCTION("""COMPUTED_VALUE"""),103.73)</f>
        <v>103.73</v>
      </c>
      <c r="AW56" s="26">
        <f>IFERROR(__xludf.DUMMYFUNCTION("""COMPUTED_VALUE"""),93.82)</f>
        <v>93.82</v>
      </c>
      <c r="AX56" s="26">
        <f>IFERROR(__xludf.DUMMYFUNCTION("""COMPUTED_VALUE"""),38.82)</f>
        <v>38.82</v>
      </c>
      <c r="AY56" s="26">
        <f>IFERROR(__xludf.DUMMYFUNCTION("""COMPUTED_VALUE"""),26.37)</f>
        <v>26.37</v>
      </c>
      <c r="AZ56" s="26">
        <f>IFERROR(__xludf.DUMMYFUNCTION("""COMPUTED_VALUE"""),64.0)</f>
        <v>64</v>
      </c>
      <c r="BA56" s="26">
        <f>IFERROR(__xludf.DUMMYFUNCTION("""COMPUTED_VALUE"""),31.39)</f>
        <v>31.39</v>
      </c>
      <c r="BB56" s="26">
        <f>IFERROR(__xludf.DUMMYFUNCTION("""COMPUTED_VALUE"""),116.88)</f>
        <v>116.88</v>
      </c>
      <c r="BC56" s="26">
        <f>IFERROR(__xludf.DUMMYFUNCTION("""COMPUTED_VALUE"""),175.36)</f>
        <v>175.36</v>
      </c>
      <c r="BD56" s="26">
        <f>IFERROR(__xludf.DUMMYFUNCTION("""COMPUTED_VALUE"""),615.06)</f>
        <v>615.06</v>
      </c>
      <c r="BE56" s="26">
        <f>IFERROR(__xludf.DUMMYFUNCTION("""COMPUTED_VALUE"""),193.11)</f>
        <v>193.11</v>
      </c>
      <c r="BF56" s="26">
        <f>IFERROR(__xludf.DUMMYFUNCTION("""COMPUTED_VALUE"""),138.43)</f>
        <v>138.43</v>
      </c>
      <c r="BG56" s="26">
        <f>IFERROR(__xludf.DUMMYFUNCTION("""COMPUTED_VALUE"""),6.98)</f>
        <v>6.98</v>
      </c>
      <c r="BH56" s="26">
        <f>IFERROR(__xludf.DUMMYFUNCTION("""COMPUTED_VALUE"""),245.43)</f>
        <v>245.43</v>
      </c>
      <c r="BI56" s="26">
        <f>IFERROR(__xludf.DUMMYFUNCTION("""COMPUTED_VALUE"""),576.33)</f>
        <v>576.33</v>
      </c>
      <c r="BJ56" s="26">
        <f>IFERROR(__xludf.DUMMYFUNCTION("""COMPUTED_VALUE"""),48.39)</f>
        <v>48.39</v>
      </c>
      <c r="BK56" s="26">
        <f>IFERROR(__xludf.DUMMYFUNCTION("""COMPUTED_VALUE"""),12.13)</f>
        <v>12.13</v>
      </c>
      <c r="BL56" s="26">
        <f>IFERROR(__xludf.DUMMYFUNCTION("""COMPUTED_VALUE"""),201.1)</f>
        <v>201.1</v>
      </c>
      <c r="BM56" s="26">
        <f>IFERROR(__xludf.DUMMYFUNCTION("""COMPUTED_VALUE"""),93.79)</f>
        <v>93.79</v>
      </c>
    </row>
    <row r="57">
      <c r="A57" s="25">
        <v>45504.66666666667</v>
      </c>
      <c r="B57" s="17">
        <f>IFERROR(__xludf.DUMMYFUNCTION("""COMPUTED_VALUE"""),5522.3)</f>
        <v>5522.3</v>
      </c>
      <c r="C57" s="17">
        <f>IFERROR(__xludf.DUMMYFUNCTION("""COMPUTED_VALUE"""),17599.4)</f>
        <v>17599.4</v>
      </c>
      <c r="D57" s="17">
        <f>IFERROR(__xludf.DUMMYFUNCTION("""COMPUTED_VALUE"""),40842.79)</f>
        <v>40842.79</v>
      </c>
      <c r="E57" s="17">
        <f>IFERROR(__xludf.DUMMYFUNCTION("""COMPUTED_VALUE"""),2254.48)</f>
        <v>2254.48</v>
      </c>
      <c r="F57" s="26">
        <f>IFERROR(__xludf.DUMMYFUNCTION("""COMPUTED_VALUE"""),551.65)</f>
        <v>551.65</v>
      </c>
      <c r="G57" s="26">
        <f>IFERROR(__xludf.DUMMYFUNCTION("""COMPUTED_VALUE"""),186.98)</f>
        <v>186.98</v>
      </c>
      <c r="H57" s="26">
        <f>IFERROR(__xludf.DUMMYFUNCTION("""COMPUTED_VALUE"""),142.36)</f>
        <v>142.36</v>
      </c>
      <c r="I57" s="26">
        <f>IFERROR(__xludf.DUMMYFUNCTION("""COMPUTED_VALUE"""),222.08)</f>
        <v>222.08</v>
      </c>
      <c r="J57" s="26">
        <f>IFERROR(__xludf.DUMMYFUNCTION("""COMPUTED_VALUE"""),212.2)</f>
        <v>212.2</v>
      </c>
      <c r="K57" s="26">
        <f>IFERROR(__xludf.DUMMYFUNCTION("""COMPUTED_VALUE"""),65.07)</f>
        <v>65.07</v>
      </c>
      <c r="L57" s="26">
        <f>IFERROR(__xludf.DUMMYFUNCTION("""COMPUTED_VALUE"""),11.92)</f>
        <v>11.92</v>
      </c>
      <c r="M57" s="26">
        <f>IFERROR(__xludf.DUMMYFUNCTION("""COMPUTED_VALUE"""),438.5)</f>
        <v>438.5</v>
      </c>
      <c r="N57" s="26">
        <f>IFERROR(__xludf.DUMMYFUNCTION("""COMPUTED_VALUE"""),55.53)</f>
        <v>55.53</v>
      </c>
      <c r="O57" s="26">
        <f>IFERROR(__xludf.DUMMYFUNCTION("""COMPUTED_VALUE"""),213.2)</f>
        <v>213.2</v>
      </c>
      <c r="P57" s="26">
        <f>IFERROR(__xludf.DUMMYFUNCTION("""COMPUTED_VALUE"""),68.11)</f>
        <v>68.11</v>
      </c>
      <c r="Q57" s="26">
        <f>IFERROR(__xludf.DUMMYFUNCTION("""COMPUTED_VALUE"""),346.2)</f>
        <v>346.2</v>
      </c>
      <c r="R57" s="26">
        <f>IFERROR(__xludf.DUMMYFUNCTION("""COMPUTED_VALUE"""),45.49)</f>
        <v>45.49</v>
      </c>
      <c r="S57" s="26">
        <f>IFERROR(__xludf.DUMMYFUNCTION("""COMPUTED_VALUE"""),183.45)</f>
        <v>183.45</v>
      </c>
      <c r="T57" s="26">
        <f>IFERROR(__xludf.DUMMYFUNCTION("""COMPUTED_VALUE"""),160.47)</f>
        <v>160.47</v>
      </c>
      <c r="U57" s="26">
        <f>IFERROR(__xludf.DUMMYFUNCTION("""COMPUTED_VALUE"""),348.67)</f>
        <v>348.67</v>
      </c>
      <c r="V57" s="26">
        <f>IFERROR(__xludf.DUMMYFUNCTION("""COMPUTED_VALUE"""),42.67)</f>
        <v>42.67</v>
      </c>
      <c r="W57" s="26">
        <f>IFERROR(__xludf.DUMMYFUNCTION("""COMPUTED_VALUE"""),66.74)</f>
        <v>66.74</v>
      </c>
      <c r="X57" s="26">
        <f>IFERROR(__xludf.DUMMYFUNCTION("""COMPUTED_VALUE"""),97.52)</f>
        <v>97.52</v>
      </c>
      <c r="Y57" s="26">
        <f>IFERROR(__xludf.DUMMYFUNCTION("""COMPUTED_VALUE"""),149.49)</f>
        <v>149.49</v>
      </c>
      <c r="Z57" s="26">
        <f>IFERROR(__xludf.DUMMYFUNCTION("""COMPUTED_VALUE"""),104.34)</f>
        <v>104.34</v>
      </c>
      <c r="AA57" s="26">
        <f>IFERROR(__xludf.DUMMYFUNCTION("""COMPUTED_VALUE"""),428.7)</f>
        <v>428.7</v>
      </c>
      <c r="AB57" s="26">
        <f>IFERROR(__xludf.DUMMYFUNCTION("""COMPUTED_VALUE"""),55.61)</f>
        <v>55.61</v>
      </c>
      <c r="AC57" s="26">
        <f>IFERROR(__xludf.DUMMYFUNCTION("""COMPUTED_VALUE"""),118.59)</f>
        <v>118.59</v>
      </c>
      <c r="AD57" s="26">
        <f>IFERROR(__xludf.DUMMYFUNCTION("""COMPUTED_VALUE"""),302.25)</f>
        <v>302.25</v>
      </c>
      <c r="AE57" s="26">
        <f>IFERROR(__xludf.DUMMYFUNCTION("""COMPUTED_VALUE"""),413.01)</f>
        <v>413.01</v>
      </c>
      <c r="AF57" s="26">
        <f>IFERROR(__xludf.DUMMYFUNCTION("""COMPUTED_VALUE"""),298.71)</f>
        <v>298.71</v>
      </c>
      <c r="AG57" s="26">
        <f>IFERROR(__xludf.DUMMYFUNCTION("""COMPUTED_VALUE"""),44.32)</f>
        <v>44.32</v>
      </c>
      <c r="AH57" s="26">
        <f>IFERROR(__xludf.DUMMYFUNCTION("""COMPUTED_VALUE"""),76.06)</f>
        <v>76.06</v>
      </c>
      <c r="AI57" s="26">
        <f>IFERROR(__xludf.DUMMYFUNCTION("""COMPUTED_VALUE"""),509.03)</f>
        <v>509.03</v>
      </c>
      <c r="AJ57" s="26">
        <f>IFERROR(__xludf.DUMMYFUNCTION("""COMPUTED_VALUE"""),368.16)</f>
        <v>368.16</v>
      </c>
      <c r="AK57" s="26">
        <f>IFERROR(__xludf.DUMMYFUNCTION("""COMPUTED_VALUE"""),110.01)</f>
        <v>110.01</v>
      </c>
      <c r="AL57" s="26">
        <f>IFERROR(__xludf.DUMMYFUNCTION("""COMPUTED_VALUE"""),151.56)</f>
        <v>151.56</v>
      </c>
      <c r="AM57" s="26">
        <f>IFERROR(__xludf.DUMMYFUNCTION("""COMPUTED_VALUE"""),444.61)</f>
        <v>444.61</v>
      </c>
      <c r="AN57" s="26">
        <f>IFERROR(__xludf.DUMMYFUNCTION("""COMPUTED_VALUE"""),212.8)</f>
        <v>212.8</v>
      </c>
      <c r="AO57" s="26">
        <f>IFERROR(__xludf.DUMMYFUNCTION("""COMPUTED_VALUE"""),541.92)</f>
        <v>541.92</v>
      </c>
      <c r="AP57" s="26">
        <f>IFERROR(__xludf.DUMMYFUNCTION("""COMPUTED_VALUE"""),258.66)</f>
        <v>258.66</v>
      </c>
      <c r="AQ57" s="26">
        <f>IFERROR(__xludf.DUMMYFUNCTION("""COMPUTED_VALUE"""),26.63)</f>
        <v>26.63</v>
      </c>
      <c r="AR57" s="26">
        <f>IFERROR(__xludf.DUMMYFUNCTION("""COMPUTED_VALUE"""),80.32)</f>
        <v>80.32</v>
      </c>
      <c r="AS57" s="26">
        <f>IFERROR(__xludf.DUMMYFUNCTION("""COMPUTED_VALUE"""),76.85)</f>
        <v>76.85</v>
      </c>
      <c r="AT57" s="26">
        <f>IFERROR(__xludf.DUMMYFUNCTION("""COMPUTED_VALUE"""),418.35)</f>
        <v>418.35</v>
      </c>
      <c r="AU57" s="26">
        <f>IFERROR(__xludf.DUMMYFUNCTION("""COMPUTED_VALUE"""),76.39)</f>
        <v>76.39</v>
      </c>
      <c r="AV57" s="26">
        <f>IFERROR(__xludf.DUMMYFUNCTION("""COMPUTED_VALUE"""),117.02)</f>
        <v>117.02</v>
      </c>
      <c r="AW57" s="26">
        <f>IFERROR(__xludf.DUMMYFUNCTION("""COMPUTED_VALUE"""),94.5)</f>
        <v>94.5</v>
      </c>
      <c r="AX57" s="26">
        <f>IFERROR(__xludf.DUMMYFUNCTION("""COMPUTED_VALUE"""),41.42)</f>
        <v>41.42</v>
      </c>
      <c r="AY57" s="26">
        <f>IFERROR(__xludf.DUMMYFUNCTION("""COMPUTED_VALUE"""),26.89)</f>
        <v>26.89</v>
      </c>
      <c r="AZ57" s="26">
        <f>IFERROR(__xludf.DUMMYFUNCTION("""COMPUTED_VALUE"""),65.78)</f>
        <v>65.78</v>
      </c>
      <c r="BA57" s="26">
        <f>IFERROR(__xludf.DUMMYFUNCTION("""COMPUTED_VALUE"""),30.54)</f>
        <v>30.54</v>
      </c>
      <c r="BB57" s="26">
        <f>IFERROR(__xludf.DUMMYFUNCTION("""COMPUTED_VALUE"""),117.49)</f>
        <v>117.49</v>
      </c>
      <c r="BC57" s="26">
        <f>IFERROR(__xludf.DUMMYFUNCTION("""COMPUTED_VALUE"""),182.28)</f>
        <v>182.28</v>
      </c>
      <c r="BD57" s="26">
        <f>IFERROR(__xludf.DUMMYFUNCTION("""COMPUTED_VALUE"""),613.34)</f>
        <v>613.34</v>
      </c>
      <c r="BE57" s="26">
        <f>IFERROR(__xludf.DUMMYFUNCTION("""COMPUTED_VALUE"""),193.55)</f>
        <v>193.55</v>
      </c>
      <c r="BF57" s="26">
        <f>IFERROR(__xludf.DUMMYFUNCTION("""COMPUTED_VALUE"""),142.26)</f>
        <v>142.26</v>
      </c>
      <c r="BG57" s="26">
        <f>IFERROR(__xludf.DUMMYFUNCTION("""COMPUTED_VALUE"""),6.97)</f>
        <v>6.97</v>
      </c>
      <c r="BH57" s="26">
        <f>IFERROR(__xludf.DUMMYFUNCTION("""COMPUTED_VALUE"""),246.73)</f>
        <v>246.73</v>
      </c>
      <c r="BI57" s="26">
        <f>IFERROR(__xludf.DUMMYFUNCTION("""COMPUTED_VALUE"""),576.16)</f>
        <v>576.16</v>
      </c>
      <c r="BJ57" s="26">
        <f>IFERROR(__xludf.DUMMYFUNCTION("""COMPUTED_VALUE"""),48.54)</f>
        <v>48.54</v>
      </c>
      <c r="BK57" s="26">
        <f>IFERROR(__xludf.DUMMYFUNCTION("""COMPUTED_VALUE"""),12.06)</f>
        <v>12.06</v>
      </c>
      <c r="BL57" s="26">
        <f>IFERROR(__xludf.DUMMYFUNCTION("""COMPUTED_VALUE"""),202.66)</f>
        <v>202.66</v>
      </c>
      <c r="BM57" s="26">
        <f>IFERROR(__xludf.DUMMYFUNCTION("""COMPUTED_VALUE"""),93.69)</f>
        <v>93.69</v>
      </c>
    </row>
    <row r="58">
      <c r="A58" s="25">
        <v>45505.66666666667</v>
      </c>
      <c r="B58" s="17">
        <f>IFERROR(__xludf.DUMMYFUNCTION("""COMPUTED_VALUE"""),5446.68)</f>
        <v>5446.68</v>
      </c>
      <c r="C58" s="17">
        <f>IFERROR(__xludf.DUMMYFUNCTION("""COMPUTED_VALUE"""),17194.15)</f>
        <v>17194.15</v>
      </c>
      <c r="D58" s="17">
        <f>IFERROR(__xludf.DUMMYFUNCTION("""COMPUTED_VALUE"""),40347.97)</f>
        <v>40347.97</v>
      </c>
      <c r="E58" s="17">
        <f>IFERROR(__xludf.DUMMYFUNCTION("""COMPUTED_VALUE"""),2186.16)</f>
        <v>2186.16</v>
      </c>
      <c r="F58" s="26">
        <f>IFERROR(__xludf.DUMMYFUNCTION("""COMPUTED_VALUE"""),546.41)</f>
        <v>546.41</v>
      </c>
      <c r="G58" s="26">
        <f>IFERROR(__xludf.DUMMYFUNCTION("""COMPUTED_VALUE"""),184.07)</f>
        <v>184.07</v>
      </c>
      <c r="H58" s="26">
        <f>IFERROR(__xludf.DUMMYFUNCTION("""COMPUTED_VALUE"""),144.5)</f>
        <v>144.5</v>
      </c>
      <c r="I58" s="26">
        <f>IFERROR(__xludf.DUMMYFUNCTION("""COMPUTED_VALUE"""),218.36)</f>
        <v>218.36</v>
      </c>
      <c r="J58" s="26">
        <f>IFERROR(__xludf.DUMMYFUNCTION("""COMPUTED_VALUE"""),196.3)</f>
        <v>196.3</v>
      </c>
      <c r="K58" s="26">
        <f>IFERROR(__xludf.DUMMYFUNCTION("""COMPUTED_VALUE"""),64.64)</f>
        <v>64.64</v>
      </c>
      <c r="L58" s="26">
        <f>IFERROR(__xludf.DUMMYFUNCTION("""COMPUTED_VALUE"""),11.31)</f>
        <v>11.31</v>
      </c>
      <c r="M58" s="26">
        <f>IFERROR(__xludf.DUMMYFUNCTION("""COMPUTED_VALUE"""),431.81)</f>
        <v>431.81</v>
      </c>
      <c r="N58" s="26">
        <f>IFERROR(__xludf.DUMMYFUNCTION("""COMPUTED_VALUE"""),54.26)</f>
        <v>54.26</v>
      </c>
      <c r="O58" s="26">
        <f>IFERROR(__xludf.DUMMYFUNCTION("""COMPUTED_VALUE"""),210.7)</f>
        <v>210.7</v>
      </c>
      <c r="P58" s="26">
        <f>IFERROR(__xludf.DUMMYFUNCTION("""COMPUTED_VALUE"""),66.06)</f>
        <v>66.06</v>
      </c>
      <c r="Q58" s="26">
        <f>IFERROR(__xludf.DUMMYFUNCTION("""COMPUTED_VALUE"""),331.52)</f>
        <v>331.52</v>
      </c>
      <c r="R58" s="26">
        <f>IFERROR(__xludf.DUMMYFUNCTION("""COMPUTED_VALUE"""),41.02)</f>
        <v>41.02</v>
      </c>
      <c r="S58" s="26">
        <f>IFERROR(__xludf.DUMMYFUNCTION("""COMPUTED_VALUE"""),181.82)</f>
        <v>181.82</v>
      </c>
      <c r="T58" s="26">
        <f>IFERROR(__xludf.DUMMYFUNCTION("""COMPUTED_VALUE"""),152.62)</f>
        <v>152.62</v>
      </c>
      <c r="U58" s="26">
        <f>IFERROR(__xludf.DUMMYFUNCTION("""COMPUTED_VALUE"""),332.6)</f>
        <v>332.6</v>
      </c>
      <c r="V58" s="26">
        <f>IFERROR(__xludf.DUMMYFUNCTION("""COMPUTED_VALUE"""),40.71)</f>
        <v>40.71</v>
      </c>
      <c r="W58" s="26">
        <f>IFERROR(__xludf.DUMMYFUNCTION("""COMPUTED_VALUE"""),67.96)</f>
        <v>67.96</v>
      </c>
      <c r="X58" s="26">
        <f>IFERROR(__xludf.DUMMYFUNCTION("""COMPUTED_VALUE"""),100.21)</f>
        <v>100.21</v>
      </c>
      <c r="Y58" s="26">
        <f>IFERROR(__xludf.DUMMYFUNCTION("""COMPUTED_VALUE"""),152.29)</f>
        <v>152.29</v>
      </c>
      <c r="Z58" s="26">
        <f>IFERROR(__xludf.DUMMYFUNCTION("""COMPUTED_VALUE"""),99.75)</f>
        <v>99.75</v>
      </c>
      <c r="AA58" s="26">
        <f>IFERROR(__xludf.DUMMYFUNCTION("""COMPUTED_VALUE"""),426.64)</f>
        <v>426.64</v>
      </c>
      <c r="AB58" s="26">
        <f>IFERROR(__xludf.DUMMYFUNCTION("""COMPUTED_VALUE"""),56.23)</f>
        <v>56.23</v>
      </c>
      <c r="AC58" s="26">
        <f>IFERROR(__xludf.DUMMYFUNCTION("""COMPUTED_VALUE"""),116.95)</f>
        <v>116.95</v>
      </c>
      <c r="AD58" s="26">
        <f>IFERROR(__xludf.DUMMYFUNCTION("""COMPUTED_VALUE"""),297.83)</f>
        <v>297.83</v>
      </c>
      <c r="AE58" s="26">
        <f>IFERROR(__xludf.DUMMYFUNCTION("""COMPUTED_VALUE"""),421.62)</f>
        <v>421.62</v>
      </c>
      <c r="AF58" s="26">
        <f>IFERROR(__xludf.DUMMYFUNCTION("""COMPUTED_VALUE"""),293.45)</f>
        <v>293.45</v>
      </c>
      <c r="AG58" s="26">
        <f>IFERROR(__xludf.DUMMYFUNCTION("""COMPUTED_VALUE"""),43.37)</f>
        <v>43.37</v>
      </c>
      <c r="AH58" s="26">
        <f>IFERROR(__xludf.DUMMYFUNCTION("""COMPUTED_VALUE"""),76.49)</f>
        <v>76.49</v>
      </c>
      <c r="AI58" s="26">
        <f>IFERROR(__xludf.DUMMYFUNCTION("""COMPUTED_VALUE"""),500.12)</f>
        <v>500.12</v>
      </c>
      <c r="AJ58" s="26">
        <f>IFERROR(__xludf.DUMMYFUNCTION("""COMPUTED_VALUE"""),358.58)</f>
        <v>358.58</v>
      </c>
      <c r="AK58" s="26">
        <f>IFERROR(__xludf.DUMMYFUNCTION("""COMPUTED_VALUE"""),112.35)</f>
        <v>112.35</v>
      </c>
      <c r="AL58" s="26">
        <f>IFERROR(__xludf.DUMMYFUNCTION("""COMPUTED_VALUE"""),151.0)</f>
        <v>151</v>
      </c>
      <c r="AM58" s="26">
        <f>IFERROR(__xludf.DUMMYFUNCTION("""COMPUTED_VALUE"""),450.94)</f>
        <v>450.94</v>
      </c>
      <c r="AN58" s="26">
        <f>IFERROR(__xludf.DUMMYFUNCTION("""COMPUTED_VALUE"""),207.96)</f>
        <v>207.96</v>
      </c>
      <c r="AO58" s="26">
        <f>IFERROR(__xludf.DUMMYFUNCTION("""COMPUTED_VALUE"""),548.86)</f>
        <v>548.86</v>
      </c>
      <c r="AP58" s="26">
        <f>IFERROR(__xludf.DUMMYFUNCTION("""COMPUTED_VALUE"""),249.05)</f>
        <v>249.05</v>
      </c>
      <c r="AQ58" s="26">
        <f>IFERROR(__xludf.DUMMYFUNCTION("""COMPUTED_VALUE"""),25.67)</f>
        <v>25.67</v>
      </c>
      <c r="AR58" s="26">
        <f>IFERROR(__xludf.DUMMYFUNCTION("""COMPUTED_VALUE"""),80.49)</f>
        <v>80.49</v>
      </c>
      <c r="AS58" s="26">
        <f>IFERROR(__xludf.DUMMYFUNCTION("""COMPUTED_VALUE"""),75.78)</f>
        <v>75.78</v>
      </c>
      <c r="AT58" s="26">
        <f>IFERROR(__xludf.DUMMYFUNCTION("""COMPUTED_VALUE"""),417.11)</f>
        <v>417.11</v>
      </c>
      <c r="AU58" s="26">
        <f>IFERROR(__xludf.DUMMYFUNCTION("""COMPUTED_VALUE"""),78.39)</f>
        <v>78.39</v>
      </c>
      <c r="AV58" s="26">
        <f>IFERROR(__xludf.DUMMYFUNCTION("""COMPUTED_VALUE"""),109.21)</f>
        <v>109.21</v>
      </c>
      <c r="AW58" s="26">
        <f>IFERROR(__xludf.DUMMYFUNCTION("""COMPUTED_VALUE"""),94.3)</f>
        <v>94.3</v>
      </c>
      <c r="AX58" s="26">
        <f>IFERROR(__xludf.DUMMYFUNCTION("""COMPUTED_VALUE"""),40.25)</f>
        <v>40.25</v>
      </c>
      <c r="AY58" s="26">
        <f>IFERROR(__xludf.DUMMYFUNCTION("""COMPUTED_VALUE"""),26.08)</f>
        <v>26.08</v>
      </c>
      <c r="AZ58" s="26">
        <f>IFERROR(__xludf.DUMMYFUNCTION("""COMPUTED_VALUE"""),65.31)</f>
        <v>65.31</v>
      </c>
      <c r="BA58" s="26">
        <f>IFERROR(__xludf.DUMMYFUNCTION("""COMPUTED_VALUE"""),30.65)</f>
        <v>30.65</v>
      </c>
      <c r="BB58" s="26">
        <f>IFERROR(__xludf.DUMMYFUNCTION("""COMPUTED_VALUE"""),116.74)</f>
        <v>116.74</v>
      </c>
      <c r="BC58" s="26">
        <f>IFERROR(__xludf.DUMMYFUNCTION("""COMPUTED_VALUE"""),187.07)</f>
        <v>187.07</v>
      </c>
      <c r="BD58" s="26">
        <f>IFERROR(__xludf.DUMMYFUNCTION("""COMPUTED_VALUE"""),621.77)</f>
        <v>621.77</v>
      </c>
      <c r="BE58" s="26">
        <f>IFERROR(__xludf.DUMMYFUNCTION("""COMPUTED_VALUE"""),179.07)</f>
        <v>179.07</v>
      </c>
      <c r="BF58" s="26">
        <f>IFERROR(__xludf.DUMMYFUNCTION("""COMPUTED_VALUE"""),151.51)</f>
        <v>151.51</v>
      </c>
      <c r="BG58" s="26">
        <f>IFERROR(__xludf.DUMMYFUNCTION("""COMPUTED_VALUE"""),6.8)</f>
        <v>6.8</v>
      </c>
      <c r="BH58" s="26">
        <f>IFERROR(__xludf.DUMMYFUNCTION("""COMPUTED_VALUE"""),244.47)</f>
        <v>244.47</v>
      </c>
      <c r="BI58" s="26">
        <f>IFERROR(__xludf.DUMMYFUNCTION("""COMPUTED_VALUE"""),572.77)</f>
        <v>572.77</v>
      </c>
      <c r="BJ58" s="26">
        <f>IFERROR(__xludf.DUMMYFUNCTION("""COMPUTED_VALUE"""),48.57)</f>
        <v>48.57</v>
      </c>
      <c r="BK58" s="26">
        <f>IFERROR(__xludf.DUMMYFUNCTION("""COMPUTED_VALUE"""),11.96)</f>
        <v>11.96</v>
      </c>
      <c r="BL58" s="26">
        <f>IFERROR(__xludf.DUMMYFUNCTION("""COMPUTED_VALUE"""),206.07)</f>
        <v>206.07</v>
      </c>
      <c r="BM58" s="26">
        <f>IFERROR(__xludf.DUMMYFUNCTION("""COMPUTED_VALUE"""),93.05)</f>
        <v>93.05</v>
      </c>
    </row>
    <row r="59">
      <c r="A59" s="25">
        <v>45506.66666666667</v>
      </c>
      <c r="B59" s="17">
        <f>IFERROR(__xludf.DUMMYFUNCTION("""COMPUTED_VALUE"""),5346.56)</f>
        <v>5346.56</v>
      </c>
      <c r="C59" s="17">
        <f>IFERROR(__xludf.DUMMYFUNCTION("""COMPUTED_VALUE"""),16776.16)</f>
        <v>16776.16</v>
      </c>
      <c r="D59" s="17">
        <f>IFERROR(__xludf.DUMMYFUNCTION("""COMPUTED_VALUE"""),39737.26)</f>
        <v>39737.26</v>
      </c>
      <c r="E59" s="17">
        <f>IFERROR(__xludf.DUMMYFUNCTION("""COMPUTED_VALUE"""),2109.31)</f>
        <v>2109.31</v>
      </c>
      <c r="F59" s="26">
        <f>IFERROR(__xludf.DUMMYFUNCTION("""COMPUTED_VALUE"""),526.17)</f>
        <v>526.17</v>
      </c>
      <c r="G59" s="26">
        <f>IFERROR(__xludf.DUMMYFUNCTION("""COMPUTED_VALUE"""),167.9)</f>
        <v>167.9</v>
      </c>
      <c r="H59" s="26">
        <f>IFERROR(__xludf.DUMMYFUNCTION("""COMPUTED_VALUE"""),147.35)</f>
        <v>147.35</v>
      </c>
      <c r="I59" s="26">
        <f>IFERROR(__xludf.DUMMYFUNCTION("""COMPUTED_VALUE"""),219.86)</f>
        <v>219.86</v>
      </c>
      <c r="J59" s="26">
        <f>IFERROR(__xludf.DUMMYFUNCTION("""COMPUTED_VALUE"""),181.81)</f>
        <v>181.81</v>
      </c>
      <c r="K59" s="26">
        <f>IFERROR(__xludf.DUMMYFUNCTION("""COMPUTED_VALUE"""),63.12)</f>
        <v>63.12</v>
      </c>
      <c r="L59" s="26">
        <f>IFERROR(__xludf.DUMMYFUNCTION("""COMPUTED_VALUE"""),10.73)</f>
        <v>10.73</v>
      </c>
      <c r="M59" s="26">
        <f>IFERROR(__xludf.DUMMYFUNCTION("""COMPUTED_VALUE"""),428.36)</f>
        <v>428.36</v>
      </c>
      <c r="N59" s="26">
        <f>IFERROR(__xludf.DUMMYFUNCTION("""COMPUTED_VALUE"""),54.01)</f>
        <v>54.01</v>
      </c>
      <c r="O59" s="26">
        <f>IFERROR(__xludf.DUMMYFUNCTION("""COMPUTED_VALUE"""),205.66)</f>
        <v>205.66</v>
      </c>
      <c r="P59" s="26">
        <f>IFERROR(__xludf.DUMMYFUNCTION("""COMPUTED_VALUE"""),63.99)</f>
        <v>63.99</v>
      </c>
      <c r="Q59" s="26">
        <f>IFERROR(__xludf.DUMMYFUNCTION("""COMPUTED_VALUE"""),320.87)</f>
        <v>320.87</v>
      </c>
      <c r="R59" s="26">
        <f>IFERROR(__xludf.DUMMYFUNCTION("""COMPUTED_VALUE"""),38.03)</f>
        <v>38.03</v>
      </c>
      <c r="S59" s="26">
        <f>IFERROR(__xludf.DUMMYFUNCTION("""COMPUTED_VALUE"""),180.42)</f>
        <v>180.42</v>
      </c>
      <c r="T59" s="26">
        <f>IFERROR(__xludf.DUMMYFUNCTION("""COMPUTED_VALUE"""),148.55)</f>
        <v>148.55</v>
      </c>
      <c r="U59" s="26">
        <f>IFERROR(__xludf.DUMMYFUNCTION("""COMPUTED_VALUE"""),337.33)</f>
        <v>337.33</v>
      </c>
      <c r="V59" s="26">
        <f>IFERROR(__xludf.DUMMYFUNCTION("""COMPUTED_VALUE"""),39.2)</f>
        <v>39.2</v>
      </c>
      <c r="W59" s="26">
        <f>IFERROR(__xludf.DUMMYFUNCTION("""COMPUTED_VALUE"""),69.33)</f>
        <v>69.33</v>
      </c>
      <c r="X59" s="26">
        <f>IFERROR(__xludf.DUMMYFUNCTION("""COMPUTED_VALUE"""),101.83)</f>
        <v>101.83</v>
      </c>
      <c r="Y59" s="26">
        <f>IFERROR(__xludf.DUMMYFUNCTION("""COMPUTED_VALUE"""),150.84)</f>
        <v>150.84</v>
      </c>
      <c r="Z59" s="26">
        <f>IFERROR(__xludf.DUMMYFUNCTION("""COMPUTED_VALUE"""),99.53)</f>
        <v>99.53</v>
      </c>
      <c r="AA59" s="26">
        <f>IFERROR(__xludf.DUMMYFUNCTION("""COMPUTED_VALUE"""),429.0)</f>
        <v>429</v>
      </c>
      <c r="AB59" s="26">
        <f>IFERROR(__xludf.DUMMYFUNCTION("""COMPUTED_VALUE"""),56.2)</f>
        <v>56.2</v>
      </c>
      <c r="AC59" s="26">
        <f>IFERROR(__xludf.DUMMYFUNCTION("""COMPUTED_VALUE"""),116.88)</f>
        <v>116.88</v>
      </c>
      <c r="AD59" s="26">
        <f>IFERROR(__xludf.DUMMYFUNCTION("""COMPUTED_VALUE"""),292.3)</f>
        <v>292.3</v>
      </c>
      <c r="AE59" s="26">
        <f>IFERROR(__xludf.DUMMYFUNCTION("""COMPUTED_VALUE"""),433.59)</f>
        <v>433.59</v>
      </c>
      <c r="AF59" s="26">
        <f>IFERROR(__xludf.DUMMYFUNCTION("""COMPUTED_VALUE"""),292.39)</f>
        <v>292.39</v>
      </c>
      <c r="AG59" s="26">
        <f>IFERROR(__xludf.DUMMYFUNCTION("""COMPUTED_VALUE"""),41.17)</f>
        <v>41.17</v>
      </c>
      <c r="AH59" s="26">
        <f>IFERROR(__xludf.DUMMYFUNCTION("""COMPUTED_VALUE"""),76.77)</f>
        <v>76.77</v>
      </c>
      <c r="AI59" s="26">
        <f>IFERROR(__xludf.DUMMYFUNCTION("""COMPUTED_VALUE"""),470.64)</f>
        <v>470.64</v>
      </c>
      <c r="AJ59" s="26">
        <f>IFERROR(__xludf.DUMMYFUNCTION("""COMPUTED_VALUE"""),355.43)</f>
        <v>355.43</v>
      </c>
      <c r="AK59" s="26">
        <f>IFERROR(__xludf.DUMMYFUNCTION("""COMPUTED_VALUE"""),108.51)</f>
        <v>108.51</v>
      </c>
      <c r="AL59" s="26">
        <f>IFERROR(__xludf.DUMMYFUNCTION("""COMPUTED_VALUE"""),149.85)</f>
        <v>149.85</v>
      </c>
      <c r="AM59" s="26">
        <f>IFERROR(__xludf.DUMMYFUNCTION("""COMPUTED_VALUE"""),449.73)</f>
        <v>449.73</v>
      </c>
      <c r="AN59" s="26">
        <f>IFERROR(__xludf.DUMMYFUNCTION("""COMPUTED_VALUE"""),199.14)</f>
        <v>199.14</v>
      </c>
      <c r="AO59" s="26">
        <f>IFERROR(__xludf.DUMMYFUNCTION("""COMPUTED_VALUE"""),548.77)</f>
        <v>548.77</v>
      </c>
      <c r="AP59" s="26">
        <f>IFERROR(__xludf.DUMMYFUNCTION("""COMPUTED_VALUE"""),236.0)</f>
        <v>236</v>
      </c>
      <c r="AQ59" s="26">
        <f>IFERROR(__xludf.DUMMYFUNCTION("""COMPUTED_VALUE"""),24.74)</f>
        <v>24.74</v>
      </c>
      <c r="AR59" s="26">
        <f>IFERROR(__xludf.DUMMYFUNCTION("""COMPUTED_VALUE"""),81.51)</f>
        <v>81.51</v>
      </c>
      <c r="AS59" s="26">
        <f>IFERROR(__xludf.DUMMYFUNCTION("""COMPUTED_VALUE"""),70.56)</f>
        <v>70.56</v>
      </c>
      <c r="AT59" s="26">
        <f>IFERROR(__xludf.DUMMYFUNCTION("""COMPUTED_VALUE"""),408.49)</f>
        <v>408.49</v>
      </c>
      <c r="AU59" s="26">
        <f>IFERROR(__xludf.DUMMYFUNCTION("""COMPUTED_VALUE"""),79.2)</f>
        <v>79.2</v>
      </c>
      <c r="AV59" s="26">
        <f>IFERROR(__xludf.DUMMYFUNCTION("""COMPUTED_VALUE"""),107.27)</f>
        <v>107.27</v>
      </c>
      <c r="AW59" s="26">
        <f>IFERROR(__xludf.DUMMYFUNCTION("""COMPUTED_VALUE"""),94.29)</f>
        <v>94.29</v>
      </c>
      <c r="AX59" s="26">
        <f>IFERROR(__xludf.DUMMYFUNCTION("""COMPUTED_VALUE"""),38.67)</f>
        <v>38.67</v>
      </c>
      <c r="AY59" s="26">
        <f>IFERROR(__xludf.DUMMYFUNCTION("""COMPUTED_VALUE"""),24.74)</f>
        <v>24.74</v>
      </c>
      <c r="AZ59" s="26">
        <f>IFERROR(__xludf.DUMMYFUNCTION("""COMPUTED_VALUE"""),61.98)</f>
        <v>61.98</v>
      </c>
      <c r="BA59" s="26">
        <f>IFERROR(__xludf.DUMMYFUNCTION("""COMPUTED_VALUE"""),30.43)</f>
        <v>30.43</v>
      </c>
      <c r="BB59" s="26">
        <f>IFERROR(__xludf.DUMMYFUNCTION("""COMPUTED_VALUE"""),116.44)</f>
        <v>116.44</v>
      </c>
      <c r="BC59" s="26">
        <f>IFERROR(__xludf.DUMMYFUNCTION("""COMPUTED_VALUE"""),188.76)</f>
        <v>188.76</v>
      </c>
      <c r="BD59" s="26">
        <f>IFERROR(__xludf.DUMMYFUNCTION("""COMPUTED_VALUE"""),615.69)</f>
        <v>615.69</v>
      </c>
      <c r="BE59" s="26">
        <f>IFERROR(__xludf.DUMMYFUNCTION("""COMPUTED_VALUE"""),173.02)</f>
        <v>173.02</v>
      </c>
      <c r="BF59" s="26">
        <f>IFERROR(__xludf.DUMMYFUNCTION("""COMPUTED_VALUE"""),150.1)</f>
        <v>150.1</v>
      </c>
      <c r="BG59" s="26">
        <f>IFERROR(__xludf.DUMMYFUNCTION("""COMPUTED_VALUE"""),6.5)</f>
        <v>6.5</v>
      </c>
      <c r="BH59" s="26">
        <f>IFERROR(__xludf.DUMMYFUNCTION("""COMPUTED_VALUE"""),239.97)</f>
        <v>239.97</v>
      </c>
      <c r="BI59" s="26">
        <f>IFERROR(__xludf.DUMMYFUNCTION("""COMPUTED_VALUE"""),589.83)</f>
        <v>589.83</v>
      </c>
      <c r="BJ59" s="26">
        <f>IFERROR(__xludf.DUMMYFUNCTION("""COMPUTED_VALUE"""),48.66)</f>
        <v>48.66</v>
      </c>
      <c r="BK59" s="26">
        <f>IFERROR(__xludf.DUMMYFUNCTION("""COMPUTED_VALUE"""),11.87)</f>
        <v>11.87</v>
      </c>
      <c r="BL59" s="26">
        <f>IFERROR(__xludf.DUMMYFUNCTION("""COMPUTED_VALUE"""),207.76)</f>
        <v>207.76</v>
      </c>
      <c r="BM59" s="26">
        <f>IFERROR(__xludf.DUMMYFUNCTION("""COMPUTED_VALUE"""),89.57)</f>
        <v>89.57</v>
      </c>
    </row>
    <row r="60">
      <c r="A60" s="25">
        <v>45509.66666666667</v>
      </c>
      <c r="B60" s="17">
        <f>IFERROR(__xludf.DUMMYFUNCTION("""COMPUTED_VALUE"""),5186.33)</f>
        <v>5186.33</v>
      </c>
      <c r="C60" s="17">
        <f>IFERROR(__xludf.DUMMYFUNCTION("""COMPUTED_VALUE"""),16200.08)</f>
        <v>16200.08</v>
      </c>
      <c r="D60" s="17">
        <f>IFERROR(__xludf.DUMMYFUNCTION("""COMPUTED_VALUE"""),38703.27)</f>
        <v>38703.27</v>
      </c>
      <c r="E60" s="17">
        <f>IFERROR(__xludf.DUMMYFUNCTION("""COMPUTED_VALUE"""),2039.16)</f>
        <v>2039.16</v>
      </c>
      <c r="F60" s="26">
        <f>IFERROR(__xludf.DUMMYFUNCTION("""COMPUTED_VALUE"""),509.32)</f>
        <v>509.32</v>
      </c>
      <c r="G60" s="26">
        <f>IFERROR(__xludf.DUMMYFUNCTION("""COMPUTED_VALUE"""),161.02)</f>
        <v>161.02</v>
      </c>
      <c r="H60" s="26">
        <f>IFERROR(__xludf.DUMMYFUNCTION("""COMPUTED_VALUE"""),142.72)</f>
        <v>142.72</v>
      </c>
      <c r="I60" s="26">
        <f>IFERROR(__xludf.DUMMYFUNCTION("""COMPUTED_VALUE"""),209.27)</f>
        <v>209.27</v>
      </c>
      <c r="J60" s="26">
        <f>IFERROR(__xludf.DUMMYFUNCTION("""COMPUTED_VALUE"""),181.89)</f>
        <v>181.89</v>
      </c>
      <c r="K60" s="26">
        <f>IFERROR(__xludf.DUMMYFUNCTION("""COMPUTED_VALUE"""),61.42)</f>
        <v>61.42</v>
      </c>
      <c r="L60" s="26">
        <f>IFERROR(__xludf.DUMMYFUNCTION("""COMPUTED_VALUE"""),10.59)</f>
        <v>10.59</v>
      </c>
      <c r="M60" s="26">
        <f>IFERROR(__xludf.DUMMYFUNCTION("""COMPUTED_VALUE"""),413.72)</f>
        <v>413.72</v>
      </c>
      <c r="N60" s="26">
        <f>IFERROR(__xludf.DUMMYFUNCTION("""COMPUTED_VALUE"""),53.04)</f>
        <v>53.04</v>
      </c>
      <c r="O60" s="26">
        <f>IFERROR(__xludf.DUMMYFUNCTION("""COMPUTED_VALUE"""),198.39)</f>
        <v>198.39</v>
      </c>
      <c r="P60" s="26">
        <f>IFERROR(__xludf.DUMMYFUNCTION("""COMPUTED_VALUE"""),63.55)</f>
        <v>63.55</v>
      </c>
      <c r="Q60" s="26">
        <f>IFERROR(__xludf.DUMMYFUNCTION("""COMPUTED_VALUE"""),316.8)</f>
        <v>316.8</v>
      </c>
      <c r="R60" s="26">
        <f>IFERROR(__xludf.DUMMYFUNCTION("""COMPUTED_VALUE"""),36.9)</f>
        <v>36.9</v>
      </c>
      <c r="S60" s="26">
        <f>IFERROR(__xludf.DUMMYFUNCTION("""COMPUTED_VALUE"""),173.91)</f>
        <v>173.91</v>
      </c>
      <c r="T60" s="26">
        <f>IFERROR(__xludf.DUMMYFUNCTION("""COMPUTED_VALUE"""),144.66)</f>
        <v>144.66</v>
      </c>
      <c r="U60" s="26">
        <f>IFERROR(__xludf.DUMMYFUNCTION("""COMPUTED_VALUE"""),325.71)</f>
        <v>325.71</v>
      </c>
      <c r="V60" s="26">
        <f>IFERROR(__xludf.DUMMYFUNCTION("""COMPUTED_VALUE"""),38.3)</f>
        <v>38.3</v>
      </c>
      <c r="W60" s="26">
        <f>IFERROR(__xludf.DUMMYFUNCTION("""COMPUTED_VALUE"""),68.1)</f>
        <v>68.1</v>
      </c>
      <c r="X60" s="26">
        <f>IFERROR(__xludf.DUMMYFUNCTION("""COMPUTED_VALUE"""),100.7)</f>
        <v>100.7</v>
      </c>
      <c r="Y60" s="26">
        <f>IFERROR(__xludf.DUMMYFUNCTION("""COMPUTED_VALUE"""),144.47)</f>
        <v>144.47</v>
      </c>
      <c r="Z60" s="26">
        <f>IFERROR(__xludf.DUMMYFUNCTION("""COMPUTED_VALUE"""),96.5)</f>
        <v>96.5</v>
      </c>
      <c r="AA60" s="26">
        <f>IFERROR(__xludf.DUMMYFUNCTION("""COMPUTED_VALUE"""),429.22)</f>
        <v>429.22</v>
      </c>
      <c r="AB60" s="26">
        <f>IFERROR(__xludf.DUMMYFUNCTION("""COMPUTED_VALUE"""),54.66)</f>
        <v>54.66</v>
      </c>
      <c r="AC60" s="26">
        <f>IFERROR(__xludf.DUMMYFUNCTION("""COMPUTED_VALUE"""),114.77)</f>
        <v>114.77</v>
      </c>
      <c r="AD60" s="26">
        <f>IFERROR(__xludf.DUMMYFUNCTION("""COMPUTED_VALUE"""),283.09)</f>
        <v>283.09</v>
      </c>
      <c r="AE60" s="26">
        <f>IFERROR(__xludf.DUMMYFUNCTION("""COMPUTED_VALUE"""),422.78)</f>
        <v>422.78</v>
      </c>
      <c r="AF60" s="26">
        <f>IFERROR(__xludf.DUMMYFUNCTION("""COMPUTED_VALUE"""),285.9)</f>
        <v>285.9</v>
      </c>
      <c r="AG60" s="26">
        <f>IFERROR(__xludf.DUMMYFUNCTION("""COMPUTED_VALUE"""),39.95)</f>
        <v>39.95</v>
      </c>
      <c r="AH60" s="26">
        <f>IFERROR(__xludf.DUMMYFUNCTION("""COMPUTED_VALUE"""),74.83)</f>
        <v>74.83</v>
      </c>
      <c r="AI60" s="26">
        <f>IFERROR(__xludf.DUMMYFUNCTION("""COMPUTED_VALUE"""),459.02)</f>
        <v>459.02</v>
      </c>
      <c r="AJ60" s="26">
        <f>IFERROR(__xludf.DUMMYFUNCTION("""COMPUTED_VALUE"""),350.01)</f>
        <v>350.01</v>
      </c>
      <c r="AK60" s="26">
        <f>IFERROR(__xludf.DUMMYFUNCTION("""COMPUTED_VALUE"""),104.72)</f>
        <v>104.72</v>
      </c>
      <c r="AL60" s="26">
        <f>IFERROR(__xludf.DUMMYFUNCTION("""COMPUTED_VALUE"""),148.78)</f>
        <v>148.78</v>
      </c>
      <c r="AM60" s="26">
        <f>IFERROR(__xludf.DUMMYFUNCTION("""COMPUTED_VALUE"""),438.0)</f>
        <v>438</v>
      </c>
      <c r="AN60" s="26">
        <f>IFERROR(__xludf.DUMMYFUNCTION("""COMPUTED_VALUE"""),194.9)</f>
        <v>194.9</v>
      </c>
      <c r="AO60" s="26">
        <f>IFERROR(__xludf.DUMMYFUNCTION("""COMPUTED_VALUE"""),545.38)</f>
        <v>545.38</v>
      </c>
      <c r="AP60" s="26">
        <f>IFERROR(__xludf.DUMMYFUNCTION("""COMPUTED_VALUE"""),233.4)</f>
        <v>233.4</v>
      </c>
      <c r="AQ60" s="26">
        <f>IFERROR(__xludf.DUMMYFUNCTION("""COMPUTED_VALUE"""),24.19)</f>
        <v>24.19</v>
      </c>
      <c r="AR60" s="26">
        <f>IFERROR(__xludf.DUMMYFUNCTION("""COMPUTED_VALUE"""),80.33)</f>
        <v>80.33</v>
      </c>
      <c r="AS60" s="26">
        <f>IFERROR(__xludf.DUMMYFUNCTION("""COMPUTED_VALUE"""),67.96)</f>
        <v>67.96</v>
      </c>
      <c r="AT60" s="26">
        <f>IFERROR(__xludf.DUMMYFUNCTION("""COMPUTED_VALUE"""),395.15)</f>
        <v>395.15</v>
      </c>
      <c r="AU60" s="26">
        <f>IFERROR(__xludf.DUMMYFUNCTION("""COMPUTED_VALUE"""),76.68)</f>
        <v>76.68</v>
      </c>
      <c r="AV60" s="26">
        <f>IFERROR(__xludf.DUMMYFUNCTION("""COMPUTED_VALUE"""),100.45)</f>
        <v>100.45</v>
      </c>
      <c r="AW60" s="26">
        <f>IFERROR(__xludf.DUMMYFUNCTION("""COMPUTED_VALUE"""),93.42)</f>
        <v>93.42</v>
      </c>
      <c r="AX60" s="26">
        <f>IFERROR(__xludf.DUMMYFUNCTION("""COMPUTED_VALUE"""),37.24)</f>
        <v>37.24</v>
      </c>
      <c r="AY60" s="26">
        <f>IFERROR(__xludf.DUMMYFUNCTION("""COMPUTED_VALUE"""),24.09)</f>
        <v>24.09</v>
      </c>
      <c r="AZ60" s="26">
        <f>IFERROR(__xludf.DUMMYFUNCTION("""COMPUTED_VALUE"""),60.46)</f>
        <v>60.46</v>
      </c>
      <c r="BA60" s="26">
        <f>IFERROR(__xludf.DUMMYFUNCTION("""COMPUTED_VALUE"""),29.74)</f>
        <v>29.74</v>
      </c>
      <c r="BB60" s="26">
        <f>IFERROR(__xludf.DUMMYFUNCTION("""COMPUTED_VALUE"""),115.17)</f>
        <v>115.17</v>
      </c>
      <c r="BC60" s="26">
        <f>IFERROR(__xludf.DUMMYFUNCTION("""COMPUTED_VALUE"""),186.87)</f>
        <v>186.87</v>
      </c>
      <c r="BD60" s="26">
        <f>IFERROR(__xludf.DUMMYFUNCTION("""COMPUTED_VALUE"""),598.03)</f>
        <v>598.03</v>
      </c>
      <c r="BE60" s="26">
        <f>IFERROR(__xludf.DUMMYFUNCTION("""COMPUTED_VALUE"""),168.35)</f>
        <v>168.35</v>
      </c>
      <c r="BF60" s="26">
        <f>IFERROR(__xludf.DUMMYFUNCTION("""COMPUTED_VALUE"""),148.45)</f>
        <v>148.45</v>
      </c>
      <c r="BG60" s="26">
        <f>IFERROR(__xludf.DUMMYFUNCTION("""COMPUTED_VALUE"""),6.37)</f>
        <v>6.37</v>
      </c>
      <c r="BH60" s="26">
        <f>IFERROR(__xludf.DUMMYFUNCTION("""COMPUTED_VALUE"""),234.87)</f>
        <v>234.87</v>
      </c>
      <c r="BI60" s="26">
        <f>IFERROR(__xludf.DUMMYFUNCTION("""COMPUTED_VALUE"""),569.96)</f>
        <v>569.96</v>
      </c>
      <c r="BJ60" s="26">
        <f>IFERROR(__xludf.DUMMYFUNCTION("""COMPUTED_VALUE"""),48.67)</f>
        <v>48.67</v>
      </c>
      <c r="BK60" s="26">
        <f>IFERROR(__xludf.DUMMYFUNCTION("""COMPUTED_VALUE"""),11.56)</f>
        <v>11.56</v>
      </c>
      <c r="BL60" s="26">
        <f>IFERROR(__xludf.DUMMYFUNCTION("""COMPUTED_VALUE"""),201.54)</f>
        <v>201.54</v>
      </c>
      <c r="BM60" s="26">
        <f>IFERROR(__xludf.DUMMYFUNCTION("""COMPUTED_VALUE"""),87.78)</f>
        <v>87.78</v>
      </c>
    </row>
    <row r="61">
      <c r="A61" s="25">
        <v>45510.66666666667</v>
      </c>
      <c r="B61" s="17">
        <f>IFERROR(__xludf.DUMMYFUNCTION("""COMPUTED_VALUE"""),5240.03)</f>
        <v>5240.03</v>
      </c>
      <c r="C61" s="17">
        <f>IFERROR(__xludf.DUMMYFUNCTION("""COMPUTED_VALUE"""),16366.86)</f>
        <v>16366.86</v>
      </c>
      <c r="D61" s="17">
        <f>IFERROR(__xludf.DUMMYFUNCTION("""COMPUTED_VALUE"""),38997.66)</f>
        <v>38997.66</v>
      </c>
      <c r="E61" s="17">
        <f>IFERROR(__xludf.DUMMYFUNCTION("""COMPUTED_VALUE"""),2064.3)</f>
        <v>2064.3</v>
      </c>
      <c r="F61" s="26">
        <f>IFERROR(__xludf.DUMMYFUNCTION("""COMPUTED_VALUE"""),514.2)</f>
        <v>514.2</v>
      </c>
      <c r="G61" s="26">
        <f>IFERROR(__xludf.DUMMYFUNCTION("""COMPUTED_VALUE"""),161.93)</f>
        <v>161.93</v>
      </c>
      <c r="H61" s="26">
        <f>IFERROR(__xludf.DUMMYFUNCTION("""COMPUTED_VALUE"""),143.6)</f>
        <v>143.6</v>
      </c>
      <c r="I61" s="26">
        <f>IFERROR(__xludf.DUMMYFUNCTION("""COMPUTED_VALUE"""),207.23)</f>
        <v>207.23</v>
      </c>
      <c r="J61" s="26">
        <f>IFERROR(__xludf.DUMMYFUNCTION("""COMPUTED_VALUE"""),183.31)</f>
        <v>183.31</v>
      </c>
      <c r="K61" s="26">
        <f>IFERROR(__xludf.DUMMYFUNCTION("""COMPUTED_VALUE"""),62.19)</f>
        <v>62.19</v>
      </c>
      <c r="L61" s="26">
        <f>IFERROR(__xludf.DUMMYFUNCTION("""COMPUTED_VALUE"""),10.72)</f>
        <v>10.72</v>
      </c>
      <c r="M61" s="26">
        <f>IFERROR(__xludf.DUMMYFUNCTION("""COMPUTED_VALUE"""),422.14)</f>
        <v>422.14</v>
      </c>
      <c r="N61" s="26">
        <f>IFERROR(__xludf.DUMMYFUNCTION("""COMPUTED_VALUE"""),53.52)</f>
        <v>53.52</v>
      </c>
      <c r="O61" s="26">
        <f>IFERROR(__xludf.DUMMYFUNCTION("""COMPUTED_VALUE"""),200.13)</f>
        <v>200.13</v>
      </c>
      <c r="P61" s="26">
        <f>IFERROR(__xludf.DUMMYFUNCTION("""COMPUTED_VALUE"""),64.14)</f>
        <v>64.14</v>
      </c>
      <c r="Q61" s="26">
        <f>IFERROR(__xludf.DUMMYFUNCTION("""COMPUTED_VALUE"""),326.44)</f>
        <v>326.44</v>
      </c>
      <c r="R61" s="26">
        <f>IFERROR(__xludf.DUMMYFUNCTION("""COMPUTED_VALUE"""),38.18)</f>
        <v>38.18</v>
      </c>
      <c r="S61" s="26">
        <f>IFERROR(__xludf.DUMMYFUNCTION("""COMPUTED_VALUE"""),173.76)</f>
        <v>173.76</v>
      </c>
      <c r="T61" s="26">
        <f>IFERROR(__xludf.DUMMYFUNCTION("""COMPUTED_VALUE"""),143.23)</f>
        <v>143.23</v>
      </c>
      <c r="U61" s="26">
        <f>IFERROR(__xludf.DUMMYFUNCTION("""COMPUTED_VALUE"""),329.29)</f>
        <v>329.29</v>
      </c>
      <c r="V61" s="26">
        <f>IFERROR(__xludf.DUMMYFUNCTION("""COMPUTED_VALUE"""),38.85)</f>
        <v>38.85</v>
      </c>
      <c r="W61" s="26">
        <f>IFERROR(__xludf.DUMMYFUNCTION("""COMPUTED_VALUE"""),68.05)</f>
        <v>68.05</v>
      </c>
      <c r="X61" s="26">
        <f>IFERROR(__xludf.DUMMYFUNCTION("""COMPUTED_VALUE"""),100.89)</f>
        <v>100.89</v>
      </c>
      <c r="Y61" s="26">
        <f>IFERROR(__xludf.DUMMYFUNCTION("""COMPUTED_VALUE"""),148.63)</f>
        <v>148.63</v>
      </c>
      <c r="Z61" s="26">
        <f>IFERROR(__xludf.DUMMYFUNCTION("""COMPUTED_VALUE"""),96.58)</f>
        <v>96.58</v>
      </c>
      <c r="AA61" s="26">
        <f>IFERROR(__xludf.DUMMYFUNCTION("""COMPUTED_VALUE"""),428.98)</f>
        <v>428.98</v>
      </c>
      <c r="AB61" s="26">
        <f>IFERROR(__xludf.DUMMYFUNCTION("""COMPUTED_VALUE"""),55.92)</f>
        <v>55.92</v>
      </c>
      <c r="AC61" s="26">
        <f>IFERROR(__xludf.DUMMYFUNCTION("""COMPUTED_VALUE"""),114.16)</f>
        <v>114.16</v>
      </c>
      <c r="AD61" s="26">
        <f>IFERROR(__xludf.DUMMYFUNCTION("""COMPUTED_VALUE"""),285.73)</f>
        <v>285.73</v>
      </c>
      <c r="AE61" s="26">
        <f>IFERROR(__xludf.DUMMYFUNCTION("""COMPUTED_VALUE"""),416.82)</f>
        <v>416.82</v>
      </c>
      <c r="AF61" s="26">
        <f>IFERROR(__xludf.DUMMYFUNCTION("""COMPUTED_VALUE"""),285.38)</f>
        <v>285.38</v>
      </c>
      <c r="AG61" s="26">
        <f>IFERROR(__xludf.DUMMYFUNCTION("""COMPUTED_VALUE"""),40.61)</f>
        <v>40.61</v>
      </c>
      <c r="AH61" s="26">
        <f>IFERROR(__xludf.DUMMYFUNCTION("""COMPUTED_VALUE"""),74.19)</f>
        <v>74.19</v>
      </c>
      <c r="AI61" s="26">
        <f>IFERROR(__xludf.DUMMYFUNCTION("""COMPUTED_VALUE"""),470.22)</f>
        <v>470.22</v>
      </c>
      <c r="AJ61" s="26">
        <f>IFERROR(__xludf.DUMMYFUNCTION("""COMPUTED_VALUE"""),353.91)</f>
        <v>353.91</v>
      </c>
      <c r="AK61" s="26">
        <f>IFERROR(__xludf.DUMMYFUNCTION("""COMPUTED_VALUE"""),102.68)</f>
        <v>102.68</v>
      </c>
      <c r="AL61" s="26">
        <f>IFERROR(__xludf.DUMMYFUNCTION("""COMPUTED_VALUE"""),150.51)</f>
        <v>150.51</v>
      </c>
      <c r="AM61" s="26">
        <f>IFERROR(__xludf.DUMMYFUNCTION("""COMPUTED_VALUE"""),447.66)</f>
        <v>447.66</v>
      </c>
      <c r="AN61" s="26">
        <f>IFERROR(__xludf.DUMMYFUNCTION("""COMPUTED_VALUE"""),200.34)</f>
        <v>200.34</v>
      </c>
      <c r="AO61" s="26">
        <f>IFERROR(__xludf.DUMMYFUNCTION("""COMPUTED_VALUE"""),541.56)</f>
        <v>541.56</v>
      </c>
      <c r="AP61" s="26">
        <f>IFERROR(__xludf.DUMMYFUNCTION("""COMPUTED_VALUE"""),236.9)</f>
        <v>236.9</v>
      </c>
      <c r="AQ61" s="26">
        <f>IFERROR(__xludf.DUMMYFUNCTION("""COMPUTED_VALUE"""),24.65)</f>
        <v>24.65</v>
      </c>
      <c r="AR61" s="26">
        <f>IFERROR(__xludf.DUMMYFUNCTION("""COMPUTED_VALUE"""),80.78)</f>
        <v>80.78</v>
      </c>
      <c r="AS61" s="26">
        <f>IFERROR(__xludf.DUMMYFUNCTION("""COMPUTED_VALUE"""),68.6)</f>
        <v>68.6</v>
      </c>
      <c r="AT61" s="26">
        <f>IFERROR(__xludf.DUMMYFUNCTION("""COMPUTED_VALUE"""),399.61)</f>
        <v>399.61</v>
      </c>
      <c r="AU61" s="26">
        <f>IFERROR(__xludf.DUMMYFUNCTION("""COMPUTED_VALUE"""),76.97)</f>
        <v>76.97</v>
      </c>
      <c r="AV61" s="26">
        <f>IFERROR(__xludf.DUMMYFUNCTION("""COMPUTED_VALUE"""),104.25)</f>
        <v>104.25</v>
      </c>
      <c r="AW61" s="26">
        <f>IFERROR(__xludf.DUMMYFUNCTION("""COMPUTED_VALUE"""),93.39)</f>
        <v>93.39</v>
      </c>
      <c r="AX61" s="26">
        <f>IFERROR(__xludf.DUMMYFUNCTION("""COMPUTED_VALUE"""),37.83)</f>
        <v>37.83</v>
      </c>
      <c r="AY61" s="26">
        <f>IFERROR(__xludf.DUMMYFUNCTION("""COMPUTED_VALUE"""),26.59)</f>
        <v>26.59</v>
      </c>
      <c r="AZ61" s="26">
        <f>IFERROR(__xludf.DUMMYFUNCTION("""COMPUTED_VALUE"""),62.75)</f>
        <v>62.75</v>
      </c>
      <c r="BA61" s="26">
        <f>IFERROR(__xludf.DUMMYFUNCTION("""COMPUTED_VALUE"""),29.32)</f>
        <v>29.32</v>
      </c>
      <c r="BB61" s="26">
        <f>IFERROR(__xludf.DUMMYFUNCTION("""COMPUTED_VALUE"""),114.4)</f>
        <v>114.4</v>
      </c>
      <c r="BC61" s="26">
        <f>IFERROR(__xludf.DUMMYFUNCTION("""COMPUTED_VALUE"""),189.86)</f>
        <v>189.86</v>
      </c>
      <c r="BD61" s="26">
        <f>IFERROR(__xludf.DUMMYFUNCTION("""COMPUTED_VALUE"""),602.02)</f>
        <v>602.02</v>
      </c>
      <c r="BE61" s="26">
        <f>IFERROR(__xludf.DUMMYFUNCTION("""COMPUTED_VALUE"""),169.6)</f>
        <v>169.6</v>
      </c>
      <c r="BF61" s="26">
        <f>IFERROR(__xludf.DUMMYFUNCTION("""COMPUTED_VALUE"""),156.1)</f>
        <v>156.1</v>
      </c>
      <c r="BG61" s="26">
        <f>IFERROR(__xludf.DUMMYFUNCTION("""COMPUTED_VALUE"""),6.47)</f>
        <v>6.47</v>
      </c>
      <c r="BH61" s="26">
        <f>IFERROR(__xludf.DUMMYFUNCTION("""COMPUTED_VALUE"""),238.55)</f>
        <v>238.55</v>
      </c>
      <c r="BI61" s="26">
        <f>IFERROR(__xludf.DUMMYFUNCTION("""COMPUTED_VALUE"""),568.35)</f>
        <v>568.35</v>
      </c>
      <c r="BJ61" s="26">
        <f>IFERROR(__xludf.DUMMYFUNCTION("""COMPUTED_VALUE"""),48.59)</f>
        <v>48.59</v>
      </c>
      <c r="BK61" s="26">
        <f>IFERROR(__xludf.DUMMYFUNCTION("""COMPUTED_VALUE"""),11.35)</f>
        <v>11.35</v>
      </c>
      <c r="BL61" s="26">
        <f>IFERROR(__xludf.DUMMYFUNCTION("""COMPUTED_VALUE"""),203.14)</f>
        <v>203.14</v>
      </c>
      <c r="BM61" s="26">
        <f>IFERROR(__xludf.DUMMYFUNCTION("""COMPUTED_VALUE"""),89.97)</f>
        <v>89.97</v>
      </c>
    </row>
    <row r="62">
      <c r="A62" s="25">
        <v>45511.66666666667</v>
      </c>
      <c r="B62" s="17">
        <f>IFERROR(__xludf.DUMMYFUNCTION("""COMPUTED_VALUE"""),5199.5)</f>
        <v>5199.5</v>
      </c>
      <c r="C62" s="17">
        <f>IFERROR(__xludf.DUMMYFUNCTION("""COMPUTED_VALUE"""),16195.81)</f>
        <v>16195.81</v>
      </c>
      <c r="D62" s="17">
        <f>IFERROR(__xludf.DUMMYFUNCTION("""COMPUTED_VALUE"""),38763.45)</f>
        <v>38763.45</v>
      </c>
      <c r="E62" s="17">
        <f>IFERROR(__xludf.DUMMYFUNCTION("""COMPUTED_VALUE"""),2035.11)</f>
        <v>2035.11</v>
      </c>
      <c r="F62" s="26">
        <f>IFERROR(__xludf.DUMMYFUNCTION("""COMPUTED_VALUE"""),513.62)</f>
        <v>513.62</v>
      </c>
      <c r="G62" s="26">
        <f>IFERROR(__xludf.DUMMYFUNCTION("""COMPUTED_VALUE"""),162.77)</f>
        <v>162.77</v>
      </c>
      <c r="H62" s="26">
        <f>IFERROR(__xludf.DUMMYFUNCTION("""COMPUTED_VALUE"""),143.79)</f>
        <v>143.79</v>
      </c>
      <c r="I62" s="26">
        <f>IFERROR(__xludf.DUMMYFUNCTION("""COMPUTED_VALUE"""),209.82)</f>
        <v>209.82</v>
      </c>
      <c r="J62" s="26">
        <f>IFERROR(__xludf.DUMMYFUNCTION("""COMPUTED_VALUE"""),178.51)</f>
        <v>178.51</v>
      </c>
      <c r="K62" s="26">
        <f>IFERROR(__xludf.DUMMYFUNCTION("""COMPUTED_VALUE"""),61.7)</f>
        <v>61.7</v>
      </c>
      <c r="L62" s="26">
        <f>IFERROR(__xludf.DUMMYFUNCTION("""COMPUTED_VALUE"""),10.84)</f>
        <v>10.84</v>
      </c>
      <c r="M62" s="26">
        <f>IFERROR(__xludf.DUMMYFUNCTION("""COMPUTED_VALUE"""),427.02)</f>
        <v>427.02</v>
      </c>
      <c r="N62" s="26">
        <f>IFERROR(__xludf.DUMMYFUNCTION("""COMPUTED_VALUE"""),52.76)</f>
        <v>52.76</v>
      </c>
      <c r="O62" s="26">
        <f>IFERROR(__xludf.DUMMYFUNCTION("""COMPUTED_VALUE"""),199.78)</f>
        <v>199.78</v>
      </c>
      <c r="P62" s="26">
        <f>IFERROR(__xludf.DUMMYFUNCTION("""COMPUTED_VALUE"""),63.11)</f>
        <v>63.11</v>
      </c>
      <c r="Q62" s="26">
        <f>IFERROR(__xludf.DUMMYFUNCTION("""COMPUTED_VALUE"""),325.8)</f>
        <v>325.8</v>
      </c>
      <c r="R62" s="26">
        <f>IFERROR(__xludf.DUMMYFUNCTION("""COMPUTED_VALUE"""),38.11)</f>
        <v>38.11</v>
      </c>
      <c r="S62" s="26">
        <f>IFERROR(__xludf.DUMMYFUNCTION("""COMPUTED_VALUE"""),177.98)</f>
        <v>177.98</v>
      </c>
      <c r="T62" s="26">
        <f>IFERROR(__xludf.DUMMYFUNCTION("""COMPUTED_VALUE"""),142.41)</f>
        <v>142.41</v>
      </c>
      <c r="U62" s="26">
        <f>IFERROR(__xludf.DUMMYFUNCTION("""COMPUTED_VALUE"""),329.01)</f>
        <v>329.01</v>
      </c>
      <c r="V62" s="26">
        <f>IFERROR(__xludf.DUMMYFUNCTION("""COMPUTED_VALUE"""),38.39)</f>
        <v>38.39</v>
      </c>
      <c r="W62" s="26">
        <f>IFERROR(__xludf.DUMMYFUNCTION("""COMPUTED_VALUE"""),68.46)</f>
        <v>68.46</v>
      </c>
      <c r="X62" s="26">
        <f>IFERROR(__xludf.DUMMYFUNCTION("""COMPUTED_VALUE"""),101.19)</f>
        <v>101.19</v>
      </c>
      <c r="Y62" s="26">
        <f>IFERROR(__xludf.DUMMYFUNCTION("""COMPUTED_VALUE"""),147.14)</f>
        <v>147.14</v>
      </c>
      <c r="Z62" s="26">
        <f>IFERROR(__xludf.DUMMYFUNCTION("""COMPUTED_VALUE"""),95.03)</f>
        <v>95.03</v>
      </c>
      <c r="AA62" s="26">
        <f>IFERROR(__xludf.DUMMYFUNCTION("""COMPUTED_VALUE"""),427.57)</f>
        <v>427.57</v>
      </c>
      <c r="AB62" s="26">
        <f>IFERROR(__xludf.DUMMYFUNCTION("""COMPUTED_VALUE"""),55.11)</f>
        <v>55.11</v>
      </c>
      <c r="AC62" s="26">
        <f>IFERROR(__xludf.DUMMYFUNCTION("""COMPUTED_VALUE"""),115.68)</f>
        <v>115.68</v>
      </c>
      <c r="AD62" s="26">
        <f>IFERROR(__xludf.DUMMYFUNCTION("""COMPUTED_VALUE"""),278.13)</f>
        <v>278.13</v>
      </c>
      <c r="AE62" s="26">
        <f>IFERROR(__xludf.DUMMYFUNCTION("""COMPUTED_VALUE"""),417.95)</f>
        <v>417.95</v>
      </c>
      <c r="AF62" s="26">
        <f>IFERROR(__xludf.DUMMYFUNCTION("""COMPUTED_VALUE"""),287.17)</f>
        <v>287.17</v>
      </c>
      <c r="AG62" s="26">
        <f>IFERROR(__xludf.DUMMYFUNCTION("""COMPUTED_VALUE"""),40.65)</f>
        <v>40.65</v>
      </c>
      <c r="AH62" s="26">
        <f>IFERROR(__xludf.DUMMYFUNCTION("""COMPUTED_VALUE"""),74.0)</f>
        <v>74</v>
      </c>
      <c r="AI62" s="26">
        <f>IFERROR(__xludf.DUMMYFUNCTION("""COMPUTED_VALUE"""),473.01)</f>
        <v>473.01</v>
      </c>
      <c r="AJ62" s="26">
        <f>IFERROR(__xludf.DUMMYFUNCTION("""COMPUTED_VALUE"""),342.4)</f>
        <v>342.4</v>
      </c>
      <c r="AK62" s="26">
        <f>IFERROR(__xludf.DUMMYFUNCTION("""COMPUTED_VALUE"""),102.19)</f>
        <v>102.19</v>
      </c>
      <c r="AL62" s="26">
        <f>IFERROR(__xludf.DUMMYFUNCTION("""COMPUTED_VALUE"""),151.12)</f>
        <v>151.12</v>
      </c>
      <c r="AM62" s="26">
        <f>IFERROR(__xludf.DUMMYFUNCTION("""COMPUTED_VALUE"""),449.26)</f>
        <v>449.26</v>
      </c>
      <c r="AN62" s="26">
        <f>IFERROR(__xludf.DUMMYFUNCTION("""COMPUTED_VALUE"""),200.4)</f>
        <v>200.4</v>
      </c>
      <c r="AO62" s="26">
        <f>IFERROR(__xludf.DUMMYFUNCTION("""COMPUTED_VALUE"""),548.51)</f>
        <v>548.51</v>
      </c>
      <c r="AP62" s="26">
        <f>IFERROR(__xludf.DUMMYFUNCTION("""COMPUTED_VALUE"""),233.44)</f>
        <v>233.44</v>
      </c>
      <c r="AQ62" s="26">
        <f>IFERROR(__xludf.DUMMYFUNCTION("""COMPUTED_VALUE"""),24.13)</f>
        <v>24.13</v>
      </c>
      <c r="AR62" s="26">
        <f>IFERROR(__xludf.DUMMYFUNCTION("""COMPUTED_VALUE"""),81.09)</f>
        <v>81.09</v>
      </c>
      <c r="AS62" s="26">
        <f>IFERROR(__xludf.DUMMYFUNCTION("""COMPUTED_VALUE"""),68.73)</f>
        <v>68.73</v>
      </c>
      <c r="AT62" s="26">
        <f>IFERROR(__xludf.DUMMYFUNCTION("""COMPUTED_VALUE"""),398.43)</f>
        <v>398.43</v>
      </c>
      <c r="AU62" s="26">
        <f>IFERROR(__xludf.DUMMYFUNCTION("""COMPUTED_VALUE"""),77.56)</f>
        <v>77.56</v>
      </c>
      <c r="AV62" s="26">
        <f>IFERROR(__xludf.DUMMYFUNCTION("""COMPUTED_VALUE"""),98.91)</f>
        <v>98.91</v>
      </c>
      <c r="AW62" s="26">
        <f>IFERROR(__xludf.DUMMYFUNCTION("""COMPUTED_VALUE"""),92.47)</f>
        <v>92.47</v>
      </c>
      <c r="AX62" s="26">
        <f>IFERROR(__xludf.DUMMYFUNCTION("""COMPUTED_VALUE"""),36.95)</f>
        <v>36.95</v>
      </c>
      <c r="AY62" s="26">
        <f>IFERROR(__xludf.DUMMYFUNCTION("""COMPUTED_VALUE"""),26.32)</f>
        <v>26.32</v>
      </c>
      <c r="AZ62" s="26">
        <f>IFERROR(__xludf.DUMMYFUNCTION("""COMPUTED_VALUE"""),62.74)</f>
        <v>62.74</v>
      </c>
      <c r="BA62" s="26">
        <f>IFERROR(__xludf.DUMMYFUNCTION("""COMPUTED_VALUE"""),28.85)</f>
        <v>28.85</v>
      </c>
      <c r="BB62" s="26">
        <f>IFERROR(__xludf.DUMMYFUNCTION("""COMPUTED_VALUE"""),114.15)</f>
        <v>114.15</v>
      </c>
      <c r="BC62" s="26">
        <f>IFERROR(__xludf.DUMMYFUNCTION("""COMPUTED_VALUE"""),190.59)</f>
        <v>190.59</v>
      </c>
      <c r="BD62" s="26">
        <f>IFERROR(__xludf.DUMMYFUNCTION("""COMPUTED_VALUE"""),587.37)</f>
        <v>587.37</v>
      </c>
      <c r="BE62" s="26">
        <f>IFERROR(__xludf.DUMMYFUNCTION("""COMPUTED_VALUE"""),167.18)</f>
        <v>167.18</v>
      </c>
      <c r="BF62" s="26">
        <f>IFERROR(__xludf.DUMMYFUNCTION("""COMPUTED_VALUE"""),145.85)</f>
        <v>145.85</v>
      </c>
      <c r="BG62" s="26">
        <f>IFERROR(__xludf.DUMMYFUNCTION("""COMPUTED_VALUE"""),6.47)</f>
        <v>6.47</v>
      </c>
      <c r="BH62" s="26">
        <f>IFERROR(__xludf.DUMMYFUNCTION("""COMPUTED_VALUE"""),236.84)</f>
        <v>236.84</v>
      </c>
      <c r="BI62" s="26">
        <f>IFERROR(__xludf.DUMMYFUNCTION("""COMPUTED_VALUE"""),566.08)</f>
        <v>566.08</v>
      </c>
      <c r="BJ62" s="26">
        <f>IFERROR(__xludf.DUMMYFUNCTION("""COMPUTED_VALUE"""),48.57)</f>
        <v>48.57</v>
      </c>
      <c r="BK62" s="26">
        <f>IFERROR(__xludf.DUMMYFUNCTION("""COMPUTED_VALUE"""),11.36)</f>
        <v>11.36</v>
      </c>
      <c r="BL62" s="26">
        <f>IFERROR(__xludf.DUMMYFUNCTION("""COMPUTED_VALUE"""),204.85)</f>
        <v>204.85</v>
      </c>
      <c r="BM62" s="26">
        <f>IFERROR(__xludf.DUMMYFUNCTION("""COMPUTED_VALUE"""),85.96)</f>
        <v>85.96</v>
      </c>
    </row>
    <row r="63">
      <c r="A63" s="25">
        <v>45512.66666666667</v>
      </c>
      <c r="B63" s="17">
        <f>IFERROR(__xludf.DUMMYFUNCTION("""COMPUTED_VALUE"""),5319.31)</f>
        <v>5319.31</v>
      </c>
      <c r="C63" s="17">
        <f>IFERROR(__xludf.DUMMYFUNCTION("""COMPUTED_VALUE"""),16660.02)</f>
        <v>16660.02</v>
      </c>
      <c r="D63" s="17">
        <f>IFERROR(__xludf.DUMMYFUNCTION("""COMPUTED_VALUE"""),39446.49)</f>
        <v>39446.49</v>
      </c>
      <c r="E63" s="17">
        <f>IFERROR(__xludf.DUMMYFUNCTION("""COMPUTED_VALUE"""),2084.42)</f>
        <v>2084.42</v>
      </c>
      <c r="F63" s="26">
        <f>IFERROR(__xludf.DUMMYFUNCTION("""COMPUTED_VALUE"""),530.24)</f>
        <v>530.24</v>
      </c>
      <c r="G63" s="26">
        <f>IFERROR(__xludf.DUMMYFUNCTION("""COMPUTED_VALUE"""),165.8)</f>
        <v>165.8</v>
      </c>
      <c r="H63" s="26">
        <f>IFERROR(__xludf.DUMMYFUNCTION("""COMPUTED_VALUE"""),144.71)</f>
        <v>144.71</v>
      </c>
      <c r="I63" s="26">
        <f>IFERROR(__xludf.DUMMYFUNCTION("""COMPUTED_VALUE"""),213.31)</f>
        <v>213.31</v>
      </c>
      <c r="J63" s="26">
        <f>IFERROR(__xludf.DUMMYFUNCTION("""COMPUTED_VALUE"""),190.55)</f>
        <v>190.55</v>
      </c>
      <c r="K63" s="26">
        <f>IFERROR(__xludf.DUMMYFUNCTION("""COMPUTED_VALUE"""),63.41)</f>
        <v>63.41</v>
      </c>
      <c r="L63" s="26">
        <f>IFERROR(__xludf.DUMMYFUNCTION("""COMPUTED_VALUE"""),11.0)</f>
        <v>11</v>
      </c>
      <c r="M63" s="26">
        <f>IFERROR(__xludf.DUMMYFUNCTION("""COMPUTED_VALUE"""),431.54)</f>
        <v>431.54</v>
      </c>
      <c r="N63" s="26">
        <f>IFERROR(__xludf.DUMMYFUNCTION("""COMPUTED_VALUE"""),53.15)</f>
        <v>53.15</v>
      </c>
      <c r="O63" s="26">
        <f>IFERROR(__xludf.DUMMYFUNCTION("""COMPUTED_VALUE"""),204.07)</f>
        <v>204.07</v>
      </c>
      <c r="P63" s="26">
        <f>IFERROR(__xludf.DUMMYFUNCTION("""COMPUTED_VALUE"""),64.48)</f>
        <v>64.48</v>
      </c>
      <c r="Q63" s="26">
        <f>IFERROR(__xludf.DUMMYFUNCTION("""COMPUTED_VALUE"""),336.16)</f>
        <v>336.16</v>
      </c>
      <c r="R63" s="26">
        <f>IFERROR(__xludf.DUMMYFUNCTION("""COMPUTED_VALUE"""),39.15)</f>
        <v>39.15</v>
      </c>
      <c r="S63" s="26">
        <f>IFERROR(__xludf.DUMMYFUNCTION("""COMPUTED_VALUE"""),179.51)</f>
        <v>179.51</v>
      </c>
      <c r="T63" s="26">
        <f>IFERROR(__xludf.DUMMYFUNCTION("""COMPUTED_VALUE"""),144.49)</f>
        <v>144.49</v>
      </c>
      <c r="U63" s="26">
        <f>IFERROR(__xludf.DUMMYFUNCTION("""COMPUTED_VALUE"""),335.02)</f>
        <v>335.02</v>
      </c>
      <c r="V63" s="26">
        <f>IFERROR(__xludf.DUMMYFUNCTION("""COMPUTED_VALUE"""),39.77)</f>
        <v>39.77</v>
      </c>
      <c r="W63" s="26">
        <f>IFERROR(__xludf.DUMMYFUNCTION("""COMPUTED_VALUE"""),68.73)</f>
        <v>68.73</v>
      </c>
      <c r="X63" s="26">
        <f>IFERROR(__xludf.DUMMYFUNCTION("""COMPUTED_VALUE"""),100.5)</f>
        <v>100.5</v>
      </c>
      <c r="Y63" s="26">
        <f>IFERROR(__xludf.DUMMYFUNCTION("""COMPUTED_VALUE"""),149.66)</f>
        <v>149.66</v>
      </c>
      <c r="Z63" s="26">
        <f>IFERROR(__xludf.DUMMYFUNCTION("""COMPUTED_VALUE"""),94.93)</f>
        <v>94.93</v>
      </c>
      <c r="AA63" s="26">
        <f>IFERROR(__xludf.DUMMYFUNCTION("""COMPUTED_VALUE"""),437.61)</f>
        <v>437.61</v>
      </c>
      <c r="AB63" s="26">
        <f>IFERROR(__xludf.DUMMYFUNCTION("""COMPUTED_VALUE"""),55.94)</f>
        <v>55.94</v>
      </c>
      <c r="AC63" s="26">
        <f>IFERROR(__xludf.DUMMYFUNCTION("""COMPUTED_VALUE"""),117.89)</f>
        <v>117.89</v>
      </c>
      <c r="AD63" s="26">
        <f>IFERROR(__xludf.DUMMYFUNCTION("""COMPUTED_VALUE"""),278.62)</f>
        <v>278.62</v>
      </c>
      <c r="AE63" s="26">
        <f>IFERROR(__xludf.DUMMYFUNCTION("""COMPUTED_VALUE"""),420.55)</f>
        <v>420.55</v>
      </c>
      <c r="AF63" s="26">
        <f>IFERROR(__xludf.DUMMYFUNCTION("""COMPUTED_VALUE"""),290.8)</f>
        <v>290.8</v>
      </c>
      <c r="AG63" s="26">
        <f>IFERROR(__xludf.DUMMYFUNCTION("""COMPUTED_VALUE"""),42.73)</f>
        <v>42.73</v>
      </c>
      <c r="AH63" s="26">
        <f>IFERROR(__xludf.DUMMYFUNCTION("""COMPUTED_VALUE"""),75.59)</f>
        <v>75.59</v>
      </c>
      <c r="AI63" s="26">
        <f>IFERROR(__xludf.DUMMYFUNCTION("""COMPUTED_VALUE"""),485.77)</f>
        <v>485.77</v>
      </c>
      <c r="AJ63" s="26">
        <f>IFERROR(__xludf.DUMMYFUNCTION("""COMPUTED_VALUE"""),348.34)</f>
        <v>348.34</v>
      </c>
      <c r="AK63" s="26">
        <f>IFERROR(__xludf.DUMMYFUNCTION("""COMPUTED_VALUE"""),103.12)</f>
        <v>103.12</v>
      </c>
      <c r="AL63" s="26">
        <f>IFERROR(__xludf.DUMMYFUNCTION("""COMPUTED_VALUE"""),153.76)</f>
        <v>153.76</v>
      </c>
      <c r="AM63" s="26">
        <f>IFERROR(__xludf.DUMMYFUNCTION("""COMPUTED_VALUE"""),463.61)</f>
        <v>463.61</v>
      </c>
      <c r="AN63" s="26">
        <f>IFERROR(__xludf.DUMMYFUNCTION("""COMPUTED_VALUE"""),204.06)</f>
        <v>204.06</v>
      </c>
      <c r="AO63" s="26">
        <f>IFERROR(__xludf.DUMMYFUNCTION("""COMPUTED_VALUE"""),551.62)</f>
        <v>551.62</v>
      </c>
      <c r="AP63" s="26">
        <f>IFERROR(__xludf.DUMMYFUNCTION("""COMPUTED_VALUE"""),241.75)</f>
        <v>241.75</v>
      </c>
      <c r="AQ63" s="26">
        <f>IFERROR(__xludf.DUMMYFUNCTION("""COMPUTED_VALUE"""),24.75)</f>
        <v>24.75</v>
      </c>
      <c r="AR63" s="26">
        <f>IFERROR(__xludf.DUMMYFUNCTION("""COMPUTED_VALUE"""),82.21)</f>
        <v>82.21</v>
      </c>
      <c r="AS63" s="26">
        <f>IFERROR(__xludf.DUMMYFUNCTION("""COMPUTED_VALUE"""),69.65)</f>
        <v>69.65</v>
      </c>
      <c r="AT63" s="26">
        <f>IFERROR(__xludf.DUMMYFUNCTION("""COMPUTED_VALUE"""),402.69)</f>
        <v>402.69</v>
      </c>
      <c r="AU63" s="26">
        <f>IFERROR(__xludf.DUMMYFUNCTION("""COMPUTED_VALUE"""),77.54)</f>
        <v>77.54</v>
      </c>
      <c r="AV63" s="26">
        <f>IFERROR(__xludf.DUMMYFUNCTION("""COMPUTED_VALUE"""),104.97)</f>
        <v>104.97</v>
      </c>
      <c r="AW63" s="26">
        <f>IFERROR(__xludf.DUMMYFUNCTION("""COMPUTED_VALUE"""),92.63)</f>
        <v>92.63</v>
      </c>
      <c r="AX63" s="26">
        <f>IFERROR(__xludf.DUMMYFUNCTION("""COMPUTED_VALUE"""),39.04)</f>
        <v>39.04</v>
      </c>
      <c r="AY63" s="26">
        <f>IFERROR(__xludf.DUMMYFUNCTION("""COMPUTED_VALUE"""),29.28)</f>
        <v>29.28</v>
      </c>
      <c r="AZ63" s="26">
        <f>IFERROR(__xludf.DUMMYFUNCTION("""COMPUTED_VALUE"""),64.28)</f>
        <v>64.28</v>
      </c>
      <c r="BA63" s="26">
        <f>IFERROR(__xludf.DUMMYFUNCTION("""COMPUTED_VALUE"""),28.76)</f>
        <v>28.76</v>
      </c>
      <c r="BB63" s="26">
        <f>IFERROR(__xludf.DUMMYFUNCTION("""COMPUTED_VALUE"""),115.1)</f>
        <v>115.1</v>
      </c>
      <c r="BC63" s="26">
        <f>IFERROR(__xludf.DUMMYFUNCTION("""COMPUTED_VALUE"""),193.61)</f>
        <v>193.61</v>
      </c>
      <c r="BD63" s="26">
        <f>IFERROR(__xludf.DUMMYFUNCTION("""COMPUTED_VALUE"""),600.04)</f>
        <v>600.04</v>
      </c>
      <c r="BE63" s="26">
        <f>IFERROR(__xludf.DUMMYFUNCTION("""COMPUTED_VALUE"""),169.37)</f>
        <v>169.37</v>
      </c>
      <c r="BF63" s="26">
        <f>IFERROR(__xludf.DUMMYFUNCTION("""COMPUTED_VALUE"""),161.85)</f>
        <v>161.85</v>
      </c>
      <c r="BG63" s="26">
        <f>IFERROR(__xludf.DUMMYFUNCTION("""COMPUTED_VALUE"""),7.71)</f>
        <v>7.71</v>
      </c>
      <c r="BH63" s="26">
        <f>IFERROR(__xludf.DUMMYFUNCTION("""COMPUTED_VALUE"""),240.54)</f>
        <v>240.54</v>
      </c>
      <c r="BI63" s="26">
        <f>IFERROR(__xludf.DUMMYFUNCTION("""COMPUTED_VALUE"""),566.24)</f>
        <v>566.24</v>
      </c>
      <c r="BJ63" s="26">
        <f>IFERROR(__xludf.DUMMYFUNCTION("""COMPUTED_VALUE"""),48.55)</f>
        <v>48.55</v>
      </c>
      <c r="BK63" s="26">
        <f>IFERROR(__xludf.DUMMYFUNCTION("""COMPUTED_VALUE"""),12.1)</f>
        <v>12.1</v>
      </c>
      <c r="BL63" s="26">
        <f>IFERROR(__xludf.DUMMYFUNCTION("""COMPUTED_VALUE"""),205.9)</f>
        <v>205.9</v>
      </c>
      <c r="BM63" s="26">
        <f>IFERROR(__xludf.DUMMYFUNCTION("""COMPUTED_VALUE"""),85.96)</f>
        <v>85.96</v>
      </c>
    </row>
    <row r="64">
      <c r="A64" s="25">
        <v>45513.66666666667</v>
      </c>
      <c r="B64" s="17">
        <f>IFERROR(__xludf.DUMMYFUNCTION("""COMPUTED_VALUE"""),5344.16)</f>
        <v>5344.16</v>
      </c>
      <c r="C64" s="17">
        <f>IFERROR(__xludf.DUMMYFUNCTION("""COMPUTED_VALUE"""),16745.3)</f>
        <v>16745.3</v>
      </c>
      <c r="D64" s="17">
        <f>IFERROR(__xludf.DUMMYFUNCTION("""COMPUTED_VALUE"""),39497.54)</f>
        <v>39497.54</v>
      </c>
      <c r="E64" s="17">
        <f>IFERROR(__xludf.DUMMYFUNCTION("""COMPUTED_VALUE"""),2080.92)</f>
        <v>2080.92</v>
      </c>
      <c r="F64" s="26">
        <f>IFERROR(__xludf.DUMMYFUNCTION("""COMPUTED_VALUE"""),536.3)</f>
        <v>536.3</v>
      </c>
      <c r="G64" s="26">
        <f>IFERROR(__xludf.DUMMYFUNCTION("""COMPUTED_VALUE"""),166.94)</f>
        <v>166.94</v>
      </c>
      <c r="H64" s="26">
        <f>IFERROR(__xludf.DUMMYFUNCTION("""COMPUTED_VALUE"""),142.28)</f>
        <v>142.28</v>
      </c>
      <c r="I64" s="26">
        <f>IFERROR(__xludf.DUMMYFUNCTION("""COMPUTED_VALUE"""),216.24)</f>
        <v>216.24</v>
      </c>
      <c r="J64" s="26">
        <f>IFERROR(__xludf.DUMMYFUNCTION("""COMPUTED_VALUE"""),191.18)</f>
        <v>191.18</v>
      </c>
      <c r="K64" s="26">
        <f>IFERROR(__xludf.DUMMYFUNCTION("""COMPUTED_VALUE"""),63.78)</f>
        <v>63.78</v>
      </c>
      <c r="L64" s="26">
        <f>IFERROR(__xludf.DUMMYFUNCTION("""COMPUTED_VALUE"""),11.26)</f>
        <v>11.26</v>
      </c>
      <c r="M64" s="26">
        <f>IFERROR(__xludf.DUMMYFUNCTION("""COMPUTED_VALUE"""),431.67)</f>
        <v>431.67</v>
      </c>
      <c r="N64" s="26">
        <f>IFERROR(__xludf.DUMMYFUNCTION("""COMPUTED_VALUE"""),53.76)</f>
        <v>53.76</v>
      </c>
      <c r="O64" s="26">
        <f>IFERROR(__xludf.DUMMYFUNCTION("""COMPUTED_VALUE"""),202.0)</f>
        <v>202</v>
      </c>
      <c r="P64" s="26">
        <f>IFERROR(__xludf.DUMMYFUNCTION("""COMPUTED_VALUE"""),64.38)</f>
        <v>64.38</v>
      </c>
      <c r="Q64" s="26">
        <f>IFERROR(__xludf.DUMMYFUNCTION("""COMPUTED_VALUE"""),338.26)</f>
        <v>338.26</v>
      </c>
      <c r="R64" s="26">
        <f>IFERROR(__xludf.DUMMYFUNCTION("""COMPUTED_VALUE"""),39.55)</f>
        <v>39.55</v>
      </c>
      <c r="S64" s="26">
        <f>IFERROR(__xludf.DUMMYFUNCTION("""COMPUTED_VALUE"""),184.39)</f>
        <v>184.39</v>
      </c>
      <c r="T64" s="26">
        <f>IFERROR(__xludf.DUMMYFUNCTION("""COMPUTED_VALUE"""),144.99)</f>
        <v>144.99</v>
      </c>
      <c r="U64" s="26">
        <f>IFERROR(__xludf.DUMMYFUNCTION("""COMPUTED_VALUE"""),336.14)</f>
        <v>336.14</v>
      </c>
      <c r="V64" s="26">
        <f>IFERROR(__xludf.DUMMYFUNCTION("""COMPUTED_VALUE"""),39.59)</f>
        <v>39.59</v>
      </c>
      <c r="W64" s="26">
        <f>IFERROR(__xludf.DUMMYFUNCTION("""COMPUTED_VALUE"""),68.68)</f>
        <v>68.68</v>
      </c>
      <c r="X64" s="26">
        <f>IFERROR(__xludf.DUMMYFUNCTION("""COMPUTED_VALUE"""),101.02)</f>
        <v>101.02</v>
      </c>
      <c r="Y64" s="26">
        <f>IFERROR(__xludf.DUMMYFUNCTION("""COMPUTED_VALUE"""),150.12)</f>
        <v>150.12</v>
      </c>
      <c r="Z64" s="26">
        <f>IFERROR(__xludf.DUMMYFUNCTION("""COMPUTED_VALUE"""),95.05)</f>
        <v>95.05</v>
      </c>
      <c r="AA64" s="26">
        <f>IFERROR(__xludf.DUMMYFUNCTION("""COMPUTED_VALUE"""),438.4)</f>
        <v>438.4</v>
      </c>
      <c r="AB64" s="26">
        <f>IFERROR(__xludf.DUMMYFUNCTION("""COMPUTED_VALUE"""),56.52)</f>
        <v>56.52</v>
      </c>
      <c r="AC64" s="26">
        <f>IFERROR(__xludf.DUMMYFUNCTION("""COMPUTED_VALUE"""),118.85)</f>
        <v>118.85</v>
      </c>
      <c r="AD64" s="26">
        <f>IFERROR(__xludf.DUMMYFUNCTION("""COMPUTED_VALUE"""),277.41)</f>
        <v>277.41</v>
      </c>
      <c r="AE64" s="26">
        <f>IFERROR(__xludf.DUMMYFUNCTION("""COMPUTED_VALUE"""),420.11)</f>
        <v>420.11</v>
      </c>
      <c r="AF64" s="26">
        <f>IFERROR(__xludf.DUMMYFUNCTION("""COMPUTED_VALUE"""),292.99)</f>
        <v>292.99</v>
      </c>
      <c r="AG64" s="26">
        <f>IFERROR(__xludf.DUMMYFUNCTION("""COMPUTED_VALUE"""),43.48)</f>
        <v>43.48</v>
      </c>
      <c r="AH64" s="26">
        <f>IFERROR(__xludf.DUMMYFUNCTION("""COMPUTED_VALUE"""),73.66)</f>
        <v>73.66</v>
      </c>
      <c r="AI64" s="26">
        <f>IFERROR(__xludf.DUMMYFUNCTION("""COMPUTED_VALUE"""),490.26)</f>
        <v>490.26</v>
      </c>
      <c r="AJ64" s="26">
        <f>IFERROR(__xludf.DUMMYFUNCTION("""COMPUTED_VALUE"""),348.64)</f>
        <v>348.64</v>
      </c>
      <c r="AK64" s="26">
        <f>IFERROR(__xludf.DUMMYFUNCTION("""COMPUTED_VALUE"""),103.56)</f>
        <v>103.56</v>
      </c>
      <c r="AL64" s="26">
        <f>IFERROR(__xludf.DUMMYFUNCTION("""COMPUTED_VALUE"""),154.08)</f>
        <v>154.08</v>
      </c>
      <c r="AM64" s="26">
        <f>IFERROR(__xludf.DUMMYFUNCTION("""COMPUTED_VALUE"""),463.43)</f>
        <v>463.43</v>
      </c>
      <c r="AN64" s="26">
        <f>IFERROR(__xludf.DUMMYFUNCTION("""COMPUTED_VALUE"""),205.8)</f>
        <v>205.8</v>
      </c>
      <c r="AO64" s="26">
        <f>IFERROR(__xludf.DUMMYFUNCTION("""COMPUTED_VALUE"""),551.58)</f>
        <v>551.58</v>
      </c>
      <c r="AP64" s="26">
        <f>IFERROR(__xludf.DUMMYFUNCTION("""COMPUTED_VALUE"""),238.72)</f>
        <v>238.72</v>
      </c>
      <c r="AQ64" s="26">
        <f>IFERROR(__xludf.DUMMYFUNCTION("""COMPUTED_VALUE"""),25.08)</f>
        <v>25.08</v>
      </c>
      <c r="AR64" s="26">
        <f>IFERROR(__xludf.DUMMYFUNCTION("""COMPUTED_VALUE"""),82.04)</f>
        <v>82.04</v>
      </c>
      <c r="AS64" s="26">
        <f>IFERROR(__xludf.DUMMYFUNCTION("""COMPUTED_VALUE"""),70.13)</f>
        <v>70.13</v>
      </c>
      <c r="AT64" s="26">
        <f>IFERROR(__xludf.DUMMYFUNCTION("""COMPUTED_VALUE"""),406.02)</f>
        <v>406.02</v>
      </c>
      <c r="AU64" s="26">
        <f>IFERROR(__xludf.DUMMYFUNCTION("""COMPUTED_VALUE"""),77.46)</f>
        <v>77.46</v>
      </c>
      <c r="AV64" s="26">
        <f>IFERROR(__xludf.DUMMYFUNCTION("""COMPUTED_VALUE"""),104.75)</f>
        <v>104.75</v>
      </c>
      <c r="AW64" s="26">
        <f>IFERROR(__xludf.DUMMYFUNCTION("""COMPUTED_VALUE"""),93.4)</f>
        <v>93.4</v>
      </c>
      <c r="AX64" s="26">
        <f>IFERROR(__xludf.DUMMYFUNCTION("""COMPUTED_VALUE"""),40.23)</f>
        <v>40.23</v>
      </c>
      <c r="AY64" s="26">
        <f>IFERROR(__xludf.DUMMYFUNCTION("""COMPUTED_VALUE"""),30.01)</f>
        <v>30.01</v>
      </c>
      <c r="AZ64" s="26">
        <f>IFERROR(__xludf.DUMMYFUNCTION("""COMPUTED_VALUE"""),64.72)</f>
        <v>64.72</v>
      </c>
      <c r="BA64" s="26">
        <f>IFERROR(__xludf.DUMMYFUNCTION("""COMPUTED_VALUE"""),28.55)</f>
        <v>28.55</v>
      </c>
      <c r="BB64" s="26">
        <f>IFERROR(__xludf.DUMMYFUNCTION("""COMPUTED_VALUE"""),116.15)</f>
        <v>116.15</v>
      </c>
      <c r="BC64" s="26">
        <f>IFERROR(__xludf.DUMMYFUNCTION("""COMPUTED_VALUE"""),194.2)</f>
        <v>194.2</v>
      </c>
      <c r="BD64" s="26">
        <f>IFERROR(__xludf.DUMMYFUNCTION("""COMPUTED_VALUE"""),596.18)</f>
        <v>596.18</v>
      </c>
      <c r="BE64" s="26">
        <f>IFERROR(__xludf.DUMMYFUNCTION("""COMPUTED_VALUE"""),168.59)</f>
        <v>168.59</v>
      </c>
      <c r="BF64" s="26">
        <f>IFERROR(__xludf.DUMMYFUNCTION("""COMPUTED_VALUE"""),162.89)</f>
        <v>162.89</v>
      </c>
      <c r="BG64" s="26">
        <f>IFERROR(__xludf.DUMMYFUNCTION("""COMPUTED_VALUE"""),7.9)</f>
        <v>7.9</v>
      </c>
      <c r="BH64" s="26">
        <f>IFERROR(__xludf.DUMMYFUNCTION("""COMPUTED_VALUE"""),237.52)</f>
        <v>237.52</v>
      </c>
      <c r="BI64" s="26">
        <f>IFERROR(__xludf.DUMMYFUNCTION("""COMPUTED_VALUE"""),558.76)</f>
        <v>558.76</v>
      </c>
      <c r="BJ64" s="26">
        <f>IFERROR(__xludf.DUMMYFUNCTION("""COMPUTED_VALUE"""),48.58)</f>
        <v>48.58</v>
      </c>
      <c r="BK64" s="26">
        <f>IFERROR(__xludf.DUMMYFUNCTION("""COMPUTED_VALUE"""),11.78)</f>
        <v>11.78</v>
      </c>
      <c r="BL64" s="26">
        <f>IFERROR(__xludf.DUMMYFUNCTION("""COMPUTED_VALUE"""),205.26)</f>
        <v>205.26</v>
      </c>
      <c r="BM64" s="26">
        <f>IFERROR(__xludf.DUMMYFUNCTION("""COMPUTED_VALUE"""),86.21)</f>
        <v>86.21</v>
      </c>
    </row>
    <row r="65">
      <c r="A65" s="25">
        <v>45516.66666666667</v>
      </c>
      <c r="B65" s="17">
        <f>IFERROR(__xludf.DUMMYFUNCTION("""COMPUTED_VALUE"""),5344.39)</f>
        <v>5344.39</v>
      </c>
      <c r="C65" s="17">
        <f>IFERROR(__xludf.DUMMYFUNCTION("""COMPUTED_VALUE"""),16780.61)</f>
        <v>16780.61</v>
      </c>
      <c r="D65" s="17">
        <f>IFERROR(__xludf.DUMMYFUNCTION("""COMPUTED_VALUE"""),39357.01)</f>
        <v>39357.01</v>
      </c>
      <c r="E65" s="17">
        <f>IFERROR(__xludf.DUMMYFUNCTION("""COMPUTED_VALUE"""),2062.08)</f>
        <v>2062.08</v>
      </c>
      <c r="F65" s="26">
        <f>IFERROR(__xludf.DUMMYFUNCTION("""COMPUTED_VALUE"""),530.93)</f>
        <v>530.93</v>
      </c>
      <c r="G65" s="26">
        <f>IFERROR(__xludf.DUMMYFUNCTION("""COMPUTED_VALUE"""),166.8)</f>
        <v>166.8</v>
      </c>
      <c r="H65" s="26">
        <f>IFERROR(__xludf.DUMMYFUNCTION("""COMPUTED_VALUE"""),142.56)</f>
        <v>142.56</v>
      </c>
      <c r="I65" s="26">
        <f>IFERROR(__xludf.DUMMYFUNCTION("""COMPUTED_VALUE"""),217.53)</f>
        <v>217.53</v>
      </c>
      <c r="J65" s="26">
        <f>IFERROR(__xludf.DUMMYFUNCTION("""COMPUTED_VALUE"""),193.09)</f>
        <v>193.09</v>
      </c>
      <c r="K65" s="26">
        <f>IFERROR(__xludf.DUMMYFUNCTION("""COMPUTED_VALUE"""),63.27)</f>
        <v>63.27</v>
      </c>
      <c r="L65" s="26">
        <f>IFERROR(__xludf.DUMMYFUNCTION("""COMPUTED_VALUE"""),11.23)</f>
        <v>11.23</v>
      </c>
      <c r="M65" s="26">
        <f>IFERROR(__xludf.DUMMYFUNCTION("""COMPUTED_VALUE"""),430.39)</f>
        <v>430.39</v>
      </c>
      <c r="N65" s="26">
        <f>IFERROR(__xludf.DUMMYFUNCTION("""COMPUTED_VALUE"""),53.56)</f>
        <v>53.56</v>
      </c>
      <c r="O65" s="26">
        <f>IFERROR(__xludf.DUMMYFUNCTION("""COMPUTED_VALUE"""),201.04)</f>
        <v>201.04</v>
      </c>
      <c r="P65" s="26">
        <f>IFERROR(__xludf.DUMMYFUNCTION("""COMPUTED_VALUE"""),64.29)</f>
        <v>64.29</v>
      </c>
      <c r="Q65" s="26">
        <f>IFERROR(__xludf.DUMMYFUNCTION("""COMPUTED_VALUE"""),336.03)</f>
        <v>336.03</v>
      </c>
      <c r="R65" s="26">
        <f>IFERROR(__xludf.DUMMYFUNCTION("""COMPUTED_VALUE"""),39.09)</f>
        <v>39.09</v>
      </c>
      <c r="S65" s="26">
        <f>IFERROR(__xludf.DUMMYFUNCTION("""COMPUTED_VALUE"""),181.09)</f>
        <v>181.09</v>
      </c>
      <c r="T65" s="26">
        <f>IFERROR(__xludf.DUMMYFUNCTION("""COMPUTED_VALUE"""),145.02)</f>
        <v>145.02</v>
      </c>
      <c r="U65" s="26">
        <f>IFERROR(__xludf.DUMMYFUNCTION("""COMPUTED_VALUE"""),328.1)</f>
        <v>328.1</v>
      </c>
      <c r="V65" s="26">
        <f>IFERROR(__xludf.DUMMYFUNCTION("""COMPUTED_VALUE"""),39.5)</f>
        <v>39.5</v>
      </c>
      <c r="W65" s="26">
        <f>IFERROR(__xludf.DUMMYFUNCTION("""COMPUTED_VALUE"""),68.17)</f>
        <v>68.17</v>
      </c>
      <c r="X65" s="26">
        <f>IFERROR(__xludf.DUMMYFUNCTION("""COMPUTED_VALUE"""),101.94)</f>
        <v>101.94</v>
      </c>
      <c r="Y65" s="26">
        <f>IFERROR(__xludf.DUMMYFUNCTION("""COMPUTED_VALUE"""),148.75)</f>
        <v>148.75</v>
      </c>
      <c r="Z65" s="26">
        <f>IFERROR(__xludf.DUMMYFUNCTION("""COMPUTED_VALUE"""),93.9)</f>
        <v>93.9</v>
      </c>
      <c r="AA65" s="26">
        <f>IFERROR(__xludf.DUMMYFUNCTION("""COMPUTED_VALUE"""),444.9)</f>
        <v>444.9</v>
      </c>
      <c r="AB65" s="26">
        <f>IFERROR(__xludf.DUMMYFUNCTION("""COMPUTED_VALUE"""),55.81)</f>
        <v>55.81</v>
      </c>
      <c r="AC65" s="26">
        <f>IFERROR(__xludf.DUMMYFUNCTION("""COMPUTED_VALUE"""),119.0)</f>
        <v>119</v>
      </c>
      <c r="AD65" s="26">
        <f>IFERROR(__xludf.DUMMYFUNCTION("""COMPUTED_VALUE"""),279.15)</f>
        <v>279.15</v>
      </c>
      <c r="AE65" s="26">
        <f>IFERROR(__xludf.DUMMYFUNCTION("""COMPUTED_VALUE"""),422.33)</f>
        <v>422.33</v>
      </c>
      <c r="AF65" s="26">
        <f>IFERROR(__xludf.DUMMYFUNCTION("""COMPUTED_VALUE"""),291.2)</f>
        <v>291.2</v>
      </c>
      <c r="AG65" s="26">
        <f>IFERROR(__xludf.DUMMYFUNCTION("""COMPUTED_VALUE"""),42.99)</f>
        <v>42.99</v>
      </c>
      <c r="AH65" s="26">
        <f>IFERROR(__xludf.DUMMYFUNCTION("""COMPUTED_VALUE"""),72.99)</f>
        <v>72.99</v>
      </c>
      <c r="AI65" s="26">
        <f>IFERROR(__xludf.DUMMYFUNCTION("""COMPUTED_VALUE"""),485.5)</f>
        <v>485.5</v>
      </c>
      <c r="AJ65" s="26">
        <f>IFERROR(__xludf.DUMMYFUNCTION("""COMPUTED_VALUE"""),345.81)</f>
        <v>345.81</v>
      </c>
      <c r="AK65" s="26">
        <f>IFERROR(__xludf.DUMMYFUNCTION("""COMPUTED_VALUE"""),103.51)</f>
        <v>103.51</v>
      </c>
      <c r="AL65" s="26">
        <f>IFERROR(__xludf.DUMMYFUNCTION("""COMPUTED_VALUE"""),153.89)</f>
        <v>153.89</v>
      </c>
      <c r="AM65" s="26">
        <f>IFERROR(__xludf.DUMMYFUNCTION("""COMPUTED_VALUE"""),465.53)</f>
        <v>465.53</v>
      </c>
      <c r="AN65" s="26">
        <f>IFERROR(__xludf.DUMMYFUNCTION("""COMPUTED_VALUE"""),206.19)</f>
        <v>206.19</v>
      </c>
      <c r="AO65" s="26">
        <f>IFERROR(__xludf.DUMMYFUNCTION("""COMPUTED_VALUE"""),556.91)</f>
        <v>556.91</v>
      </c>
      <c r="AP65" s="26">
        <f>IFERROR(__xludf.DUMMYFUNCTION("""COMPUTED_VALUE"""),239.7)</f>
        <v>239.7</v>
      </c>
      <c r="AQ65" s="26">
        <f>IFERROR(__xludf.DUMMYFUNCTION("""COMPUTED_VALUE"""),24.96)</f>
        <v>24.96</v>
      </c>
      <c r="AR65" s="26">
        <f>IFERROR(__xludf.DUMMYFUNCTION("""COMPUTED_VALUE"""),81.19)</f>
        <v>81.19</v>
      </c>
      <c r="AS65" s="26">
        <f>IFERROR(__xludf.DUMMYFUNCTION("""COMPUTED_VALUE"""),69.85)</f>
        <v>69.85</v>
      </c>
      <c r="AT65" s="26">
        <f>IFERROR(__xludf.DUMMYFUNCTION("""COMPUTED_VALUE"""),406.81)</f>
        <v>406.81</v>
      </c>
      <c r="AU65" s="26">
        <f>IFERROR(__xludf.DUMMYFUNCTION("""COMPUTED_VALUE"""),77.58)</f>
        <v>77.58</v>
      </c>
      <c r="AV65" s="26">
        <f>IFERROR(__xludf.DUMMYFUNCTION("""COMPUTED_VALUE"""),109.02)</f>
        <v>109.02</v>
      </c>
      <c r="AW65" s="26">
        <f>IFERROR(__xludf.DUMMYFUNCTION("""COMPUTED_VALUE"""),92.29)</f>
        <v>92.29</v>
      </c>
      <c r="AX65" s="26">
        <f>IFERROR(__xludf.DUMMYFUNCTION("""COMPUTED_VALUE"""),39.55)</f>
        <v>39.55</v>
      </c>
      <c r="AY65" s="26">
        <f>IFERROR(__xludf.DUMMYFUNCTION("""COMPUTED_VALUE"""),29.38)</f>
        <v>29.38</v>
      </c>
      <c r="AZ65" s="26">
        <f>IFERROR(__xludf.DUMMYFUNCTION("""COMPUTED_VALUE"""),63.46)</f>
        <v>63.46</v>
      </c>
      <c r="BA65" s="26">
        <f>IFERROR(__xludf.DUMMYFUNCTION("""COMPUTED_VALUE"""),28.45)</f>
        <v>28.45</v>
      </c>
      <c r="BB65" s="26">
        <f>IFERROR(__xludf.DUMMYFUNCTION("""COMPUTED_VALUE"""),116.6)</f>
        <v>116.6</v>
      </c>
      <c r="BC65" s="26">
        <f>IFERROR(__xludf.DUMMYFUNCTION("""COMPUTED_VALUE"""),194.95)</f>
        <v>194.95</v>
      </c>
      <c r="BD65" s="26">
        <f>IFERROR(__xludf.DUMMYFUNCTION("""COMPUTED_VALUE"""),599.07)</f>
        <v>599.07</v>
      </c>
      <c r="BE65" s="26">
        <f>IFERROR(__xludf.DUMMYFUNCTION("""COMPUTED_VALUE"""),167.97)</f>
        <v>167.97</v>
      </c>
      <c r="BF65" s="26">
        <f>IFERROR(__xludf.DUMMYFUNCTION("""COMPUTED_VALUE"""),163.03)</f>
        <v>163.03</v>
      </c>
      <c r="BG65" s="26">
        <f>IFERROR(__xludf.DUMMYFUNCTION("""COMPUTED_VALUE"""),7.83)</f>
        <v>7.83</v>
      </c>
      <c r="BH65" s="26">
        <f>IFERROR(__xludf.DUMMYFUNCTION("""COMPUTED_VALUE"""),236.75)</f>
        <v>236.75</v>
      </c>
      <c r="BI65" s="26">
        <f>IFERROR(__xludf.DUMMYFUNCTION("""COMPUTED_VALUE"""),565.29)</f>
        <v>565.29</v>
      </c>
      <c r="BJ65" s="26">
        <f>IFERROR(__xludf.DUMMYFUNCTION("""COMPUTED_VALUE"""),48.66)</f>
        <v>48.66</v>
      </c>
      <c r="BK65" s="26">
        <f>IFERROR(__xludf.DUMMYFUNCTION("""COMPUTED_VALUE"""),11.57)</f>
        <v>11.57</v>
      </c>
      <c r="BL65" s="26">
        <f>IFERROR(__xludf.DUMMYFUNCTION("""COMPUTED_VALUE"""),203.11)</f>
        <v>203.11</v>
      </c>
      <c r="BM65" s="26">
        <f>IFERROR(__xludf.DUMMYFUNCTION("""COMPUTED_VALUE"""),85.95)</f>
        <v>85.95</v>
      </c>
    </row>
    <row r="66">
      <c r="A66" s="25">
        <v>45517.66666666667</v>
      </c>
      <c r="B66" s="17">
        <f>IFERROR(__xludf.DUMMYFUNCTION("""COMPUTED_VALUE"""),5434.43)</f>
        <v>5434.43</v>
      </c>
      <c r="C66" s="17">
        <f>IFERROR(__xludf.DUMMYFUNCTION("""COMPUTED_VALUE"""),17187.61)</f>
        <v>17187.61</v>
      </c>
      <c r="D66" s="17">
        <f>IFERROR(__xludf.DUMMYFUNCTION("""COMPUTED_VALUE"""),39765.64)</f>
        <v>39765.64</v>
      </c>
      <c r="E66" s="17">
        <f>IFERROR(__xludf.DUMMYFUNCTION("""COMPUTED_VALUE"""),2095.19)</f>
        <v>2095.19</v>
      </c>
      <c r="F66" s="26">
        <f>IFERROR(__xludf.DUMMYFUNCTION("""COMPUTED_VALUE"""),535.22)</f>
        <v>535.22</v>
      </c>
      <c r="G66" s="26">
        <f>IFERROR(__xludf.DUMMYFUNCTION("""COMPUTED_VALUE"""),170.23)</f>
        <v>170.23</v>
      </c>
      <c r="H66" s="26">
        <f>IFERROR(__xludf.DUMMYFUNCTION("""COMPUTED_VALUE"""),141.39)</f>
        <v>141.39</v>
      </c>
      <c r="I66" s="26">
        <f>IFERROR(__xludf.DUMMYFUNCTION("""COMPUTED_VALUE"""),221.27)</f>
        <v>221.27</v>
      </c>
      <c r="J66" s="26">
        <f>IFERROR(__xludf.DUMMYFUNCTION("""COMPUTED_VALUE"""),200.8)</f>
        <v>200.8</v>
      </c>
      <c r="K66" s="26">
        <f>IFERROR(__xludf.DUMMYFUNCTION("""COMPUTED_VALUE"""),63.55)</f>
        <v>63.55</v>
      </c>
      <c r="L66" s="26">
        <f>IFERROR(__xludf.DUMMYFUNCTION("""COMPUTED_VALUE"""),11.4)</f>
        <v>11.4</v>
      </c>
      <c r="M66" s="26">
        <f>IFERROR(__xludf.DUMMYFUNCTION("""COMPUTED_VALUE"""),432.41)</f>
        <v>432.41</v>
      </c>
      <c r="N66" s="26">
        <f>IFERROR(__xludf.DUMMYFUNCTION("""COMPUTED_VALUE"""),53.66)</f>
        <v>53.66</v>
      </c>
      <c r="O66" s="26">
        <f>IFERROR(__xludf.DUMMYFUNCTION("""COMPUTED_VALUE"""),204.05)</f>
        <v>204.05</v>
      </c>
      <c r="P66" s="26">
        <f>IFERROR(__xludf.DUMMYFUNCTION("""COMPUTED_VALUE"""),65.47)</f>
        <v>65.47</v>
      </c>
      <c r="Q66" s="26">
        <f>IFERROR(__xludf.DUMMYFUNCTION("""COMPUTED_VALUE"""),338.8)</f>
        <v>338.8</v>
      </c>
      <c r="R66" s="26">
        <f>IFERROR(__xludf.DUMMYFUNCTION("""COMPUTED_VALUE"""),39.22)</f>
        <v>39.22</v>
      </c>
      <c r="S66" s="26">
        <f>IFERROR(__xludf.DUMMYFUNCTION("""COMPUTED_VALUE"""),182.26)</f>
        <v>182.26</v>
      </c>
      <c r="T66" s="26">
        <f>IFERROR(__xludf.DUMMYFUNCTION("""COMPUTED_VALUE"""),144.15)</f>
        <v>144.15</v>
      </c>
      <c r="U66" s="26">
        <f>IFERROR(__xludf.DUMMYFUNCTION("""COMPUTED_VALUE"""),332.72)</f>
        <v>332.72</v>
      </c>
      <c r="V66" s="26">
        <f>IFERROR(__xludf.DUMMYFUNCTION("""COMPUTED_VALUE"""),39.69)</f>
        <v>39.69</v>
      </c>
      <c r="W66" s="26">
        <f>IFERROR(__xludf.DUMMYFUNCTION("""COMPUTED_VALUE"""),68.46)</f>
        <v>68.46</v>
      </c>
      <c r="X66" s="26">
        <f>IFERROR(__xludf.DUMMYFUNCTION("""COMPUTED_VALUE"""),101.6)</f>
        <v>101.6</v>
      </c>
      <c r="Y66" s="26">
        <f>IFERROR(__xludf.DUMMYFUNCTION("""COMPUTED_VALUE"""),149.57)</f>
        <v>149.57</v>
      </c>
      <c r="Z66" s="26">
        <f>IFERROR(__xludf.DUMMYFUNCTION("""COMPUTED_VALUE"""),92.45)</f>
        <v>92.45</v>
      </c>
      <c r="AA66" s="26">
        <f>IFERROR(__xludf.DUMMYFUNCTION("""COMPUTED_VALUE"""),441.3)</f>
        <v>441.3</v>
      </c>
      <c r="AB66" s="26">
        <f>IFERROR(__xludf.DUMMYFUNCTION("""COMPUTED_VALUE"""),55.7)</f>
        <v>55.7</v>
      </c>
      <c r="AC66" s="26">
        <f>IFERROR(__xludf.DUMMYFUNCTION("""COMPUTED_VALUE"""),117.86)</f>
        <v>117.86</v>
      </c>
      <c r="AD66" s="26">
        <f>IFERROR(__xludf.DUMMYFUNCTION("""COMPUTED_VALUE"""),283.1)</f>
        <v>283.1</v>
      </c>
      <c r="AE66" s="26">
        <f>IFERROR(__xludf.DUMMYFUNCTION("""COMPUTED_VALUE"""),431.81)</f>
        <v>431.81</v>
      </c>
      <c r="AF66" s="26">
        <f>IFERROR(__xludf.DUMMYFUNCTION("""COMPUTED_VALUE"""),292.2)</f>
        <v>292.2</v>
      </c>
      <c r="AG66" s="26">
        <f>IFERROR(__xludf.DUMMYFUNCTION("""COMPUTED_VALUE"""),43.32)</f>
        <v>43.32</v>
      </c>
      <c r="AH66" s="26">
        <f>IFERROR(__xludf.DUMMYFUNCTION("""COMPUTED_VALUE"""),73.98)</f>
        <v>73.98</v>
      </c>
      <c r="AI66" s="26">
        <f>IFERROR(__xludf.DUMMYFUNCTION("""COMPUTED_VALUE"""),491.94)</f>
        <v>491.94</v>
      </c>
      <c r="AJ66" s="26">
        <f>IFERROR(__xludf.DUMMYFUNCTION("""COMPUTED_VALUE"""),350.07)</f>
        <v>350.07</v>
      </c>
      <c r="AK66" s="26">
        <f>IFERROR(__xludf.DUMMYFUNCTION("""COMPUTED_VALUE"""),104.73)</f>
        <v>104.73</v>
      </c>
      <c r="AL66" s="26">
        <f>IFERROR(__xludf.DUMMYFUNCTION("""COMPUTED_VALUE"""),154.66)</f>
        <v>154.66</v>
      </c>
      <c r="AM66" s="26">
        <f>IFERROR(__xludf.DUMMYFUNCTION("""COMPUTED_VALUE"""),469.23)</f>
        <v>469.23</v>
      </c>
      <c r="AN66" s="26">
        <f>IFERROR(__xludf.DUMMYFUNCTION("""COMPUTED_VALUE"""),207.94)</f>
        <v>207.94</v>
      </c>
      <c r="AO66" s="26">
        <f>IFERROR(__xludf.DUMMYFUNCTION("""COMPUTED_VALUE"""),559.42)</f>
        <v>559.42</v>
      </c>
      <c r="AP66" s="26">
        <f>IFERROR(__xludf.DUMMYFUNCTION("""COMPUTED_VALUE"""),241.95)</f>
        <v>241.95</v>
      </c>
      <c r="AQ66" s="26">
        <f>IFERROR(__xludf.DUMMYFUNCTION("""COMPUTED_VALUE"""),25.46)</f>
        <v>25.46</v>
      </c>
      <c r="AR66" s="26">
        <f>IFERROR(__xludf.DUMMYFUNCTION("""COMPUTED_VALUE"""),82.27)</f>
        <v>82.27</v>
      </c>
      <c r="AS66" s="26">
        <f>IFERROR(__xludf.DUMMYFUNCTION("""COMPUTED_VALUE"""),70.41)</f>
        <v>70.41</v>
      </c>
      <c r="AT66" s="26">
        <f>IFERROR(__xludf.DUMMYFUNCTION("""COMPUTED_VALUE"""),414.01)</f>
        <v>414.01</v>
      </c>
      <c r="AU66" s="26">
        <f>IFERROR(__xludf.DUMMYFUNCTION("""COMPUTED_VALUE"""),78.12)</f>
        <v>78.12</v>
      </c>
      <c r="AV66" s="26">
        <f>IFERROR(__xludf.DUMMYFUNCTION("""COMPUTED_VALUE"""),116.14)</f>
        <v>116.14</v>
      </c>
      <c r="AW66" s="26">
        <f>IFERROR(__xludf.DUMMYFUNCTION("""COMPUTED_VALUE"""),92.42)</f>
        <v>92.42</v>
      </c>
      <c r="AX66" s="26">
        <f>IFERROR(__xludf.DUMMYFUNCTION("""COMPUTED_VALUE"""),41.27)</f>
        <v>41.27</v>
      </c>
      <c r="AY66" s="26">
        <f>IFERROR(__xludf.DUMMYFUNCTION("""COMPUTED_VALUE"""),30.39)</f>
        <v>30.39</v>
      </c>
      <c r="AZ66" s="26">
        <f>IFERROR(__xludf.DUMMYFUNCTION("""COMPUTED_VALUE"""),65.11)</f>
        <v>65.11</v>
      </c>
      <c r="BA66" s="26">
        <f>IFERROR(__xludf.DUMMYFUNCTION("""COMPUTED_VALUE"""),28.85)</f>
        <v>28.85</v>
      </c>
      <c r="BB66" s="26">
        <f>IFERROR(__xludf.DUMMYFUNCTION("""COMPUTED_VALUE"""),116.86)</f>
        <v>116.86</v>
      </c>
      <c r="BC66" s="26">
        <f>IFERROR(__xludf.DUMMYFUNCTION("""COMPUTED_VALUE"""),195.33)</f>
        <v>195.33</v>
      </c>
      <c r="BD66" s="26">
        <f>IFERROR(__xludf.DUMMYFUNCTION("""COMPUTED_VALUE"""),604.21)</f>
        <v>604.21</v>
      </c>
      <c r="BE66" s="26">
        <f>IFERROR(__xludf.DUMMYFUNCTION("""COMPUTED_VALUE"""),172.39)</f>
        <v>172.39</v>
      </c>
      <c r="BF66" s="26">
        <f>IFERROR(__xludf.DUMMYFUNCTION("""COMPUTED_VALUE"""),161.99)</f>
        <v>161.99</v>
      </c>
      <c r="BG66" s="26">
        <f>IFERROR(__xludf.DUMMYFUNCTION("""COMPUTED_VALUE"""),8.09)</f>
        <v>8.09</v>
      </c>
      <c r="BH66" s="26">
        <f>IFERROR(__xludf.DUMMYFUNCTION("""COMPUTED_VALUE"""),237.27)</f>
        <v>237.27</v>
      </c>
      <c r="BI66" s="26">
        <f>IFERROR(__xludf.DUMMYFUNCTION("""COMPUTED_VALUE"""),574.24)</f>
        <v>574.24</v>
      </c>
      <c r="BJ66" s="26">
        <f>IFERROR(__xludf.DUMMYFUNCTION("""COMPUTED_VALUE"""),48.71)</f>
        <v>48.71</v>
      </c>
      <c r="BK66" s="26">
        <f>IFERROR(__xludf.DUMMYFUNCTION("""COMPUTED_VALUE"""),11.57)</f>
        <v>11.57</v>
      </c>
      <c r="BL66" s="26">
        <f>IFERROR(__xludf.DUMMYFUNCTION("""COMPUTED_VALUE"""),203.92)</f>
        <v>203.92</v>
      </c>
      <c r="BM66" s="26">
        <f>IFERROR(__xludf.DUMMYFUNCTION("""COMPUTED_VALUE"""),85.6)</f>
        <v>85.6</v>
      </c>
    </row>
    <row r="67">
      <c r="A67" s="25">
        <v>45518.66666666667</v>
      </c>
      <c r="B67" s="17">
        <f>IFERROR(__xludf.DUMMYFUNCTION("""COMPUTED_VALUE"""),5455.21)</f>
        <v>5455.21</v>
      </c>
      <c r="C67" s="17">
        <f>IFERROR(__xludf.DUMMYFUNCTION("""COMPUTED_VALUE"""),17192.6)</f>
        <v>17192.6</v>
      </c>
      <c r="D67" s="17">
        <f>IFERROR(__xludf.DUMMYFUNCTION("""COMPUTED_VALUE"""),40008.39)</f>
        <v>40008.39</v>
      </c>
      <c r="E67" s="17">
        <f>IFERROR(__xludf.DUMMYFUNCTION("""COMPUTED_VALUE"""),2084.32)</f>
        <v>2084.32</v>
      </c>
      <c r="F67" s="26">
        <f>IFERROR(__xludf.DUMMYFUNCTION("""COMPUTED_VALUE"""),539.79)</f>
        <v>539.79</v>
      </c>
      <c r="G67" s="26">
        <f>IFERROR(__xludf.DUMMYFUNCTION("""COMPUTED_VALUE"""),170.1)</f>
        <v>170.1</v>
      </c>
      <c r="H67" s="26">
        <f>IFERROR(__xludf.DUMMYFUNCTION("""COMPUTED_VALUE"""),141.67)</f>
        <v>141.67</v>
      </c>
      <c r="I67" s="26">
        <f>IFERROR(__xludf.DUMMYFUNCTION("""COMPUTED_VALUE"""),221.72)</f>
        <v>221.72</v>
      </c>
      <c r="J67" s="26">
        <f>IFERROR(__xludf.DUMMYFUNCTION("""COMPUTED_VALUE"""),201.63)</f>
        <v>201.63</v>
      </c>
      <c r="K67" s="26">
        <f>IFERROR(__xludf.DUMMYFUNCTION("""COMPUTED_VALUE"""),64.11)</f>
        <v>64.11</v>
      </c>
      <c r="L67" s="26">
        <f>IFERROR(__xludf.DUMMYFUNCTION("""COMPUTED_VALUE"""),11.46)</f>
        <v>11.46</v>
      </c>
      <c r="M67" s="26">
        <f>IFERROR(__xludf.DUMMYFUNCTION("""COMPUTED_VALUE"""),438.47)</f>
        <v>438.47</v>
      </c>
      <c r="N67" s="26">
        <f>IFERROR(__xludf.DUMMYFUNCTION("""COMPUTED_VALUE"""),52.25)</f>
        <v>52.25</v>
      </c>
      <c r="O67" s="26">
        <f>IFERROR(__xludf.DUMMYFUNCTION("""COMPUTED_VALUE"""),200.59)</f>
        <v>200.59</v>
      </c>
      <c r="P67" s="26">
        <f>IFERROR(__xludf.DUMMYFUNCTION("""COMPUTED_VALUE"""),65.68)</f>
        <v>65.68</v>
      </c>
      <c r="Q67" s="26">
        <f>IFERROR(__xludf.DUMMYFUNCTION("""COMPUTED_VALUE"""),337.59)</f>
        <v>337.59</v>
      </c>
      <c r="R67" s="26">
        <f>IFERROR(__xludf.DUMMYFUNCTION("""COMPUTED_VALUE"""),39.85)</f>
        <v>39.85</v>
      </c>
      <c r="S67" s="26">
        <f>IFERROR(__xludf.DUMMYFUNCTION("""COMPUTED_VALUE"""),183.93)</f>
        <v>183.93</v>
      </c>
      <c r="T67" s="26">
        <f>IFERROR(__xludf.DUMMYFUNCTION("""COMPUTED_VALUE"""),144.67)</f>
        <v>144.67</v>
      </c>
      <c r="U67" s="26">
        <f>IFERROR(__xludf.DUMMYFUNCTION("""COMPUTED_VALUE"""),334.9)</f>
        <v>334.9</v>
      </c>
      <c r="V67" s="26">
        <f>IFERROR(__xludf.DUMMYFUNCTION("""COMPUTED_VALUE"""),40.11)</f>
        <v>40.11</v>
      </c>
      <c r="W67" s="26">
        <f>IFERROR(__xludf.DUMMYFUNCTION("""COMPUTED_VALUE"""),68.58)</f>
        <v>68.58</v>
      </c>
      <c r="X67" s="26">
        <f>IFERROR(__xludf.DUMMYFUNCTION("""COMPUTED_VALUE"""),100.86)</f>
        <v>100.86</v>
      </c>
      <c r="Y67" s="26">
        <f>IFERROR(__xludf.DUMMYFUNCTION("""COMPUTED_VALUE"""),151.18)</f>
        <v>151.18</v>
      </c>
      <c r="Z67" s="26">
        <f>IFERROR(__xludf.DUMMYFUNCTION("""COMPUTED_VALUE"""),92.37)</f>
        <v>92.37</v>
      </c>
      <c r="AA67" s="26">
        <f>IFERROR(__xludf.DUMMYFUNCTION("""COMPUTED_VALUE"""),442.24)</f>
        <v>442.24</v>
      </c>
      <c r="AB67" s="26">
        <f>IFERROR(__xludf.DUMMYFUNCTION("""COMPUTED_VALUE"""),55.76)</f>
        <v>55.76</v>
      </c>
      <c r="AC67" s="26">
        <f>IFERROR(__xludf.DUMMYFUNCTION("""COMPUTED_VALUE"""),118.95)</f>
        <v>118.95</v>
      </c>
      <c r="AD67" s="26">
        <f>IFERROR(__xludf.DUMMYFUNCTION("""COMPUTED_VALUE"""),283.33)</f>
        <v>283.33</v>
      </c>
      <c r="AE67" s="26">
        <f>IFERROR(__xludf.DUMMYFUNCTION("""COMPUTED_VALUE"""),452.9)</f>
        <v>452.9</v>
      </c>
      <c r="AF67" s="26">
        <f>IFERROR(__xludf.DUMMYFUNCTION("""COMPUTED_VALUE"""),293.73)</f>
        <v>293.73</v>
      </c>
      <c r="AG67" s="26">
        <f>IFERROR(__xludf.DUMMYFUNCTION("""COMPUTED_VALUE"""),43.61)</f>
        <v>43.61</v>
      </c>
      <c r="AH67" s="26">
        <f>IFERROR(__xludf.DUMMYFUNCTION("""COMPUTED_VALUE"""),74.14)</f>
        <v>74.14</v>
      </c>
      <c r="AI67" s="26">
        <f>IFERROR(__xludf.DUMMYFUNCTION("""COMPUTED_VALUE"""),498.7)</f>
        <v>498.7</v>
      </c>
      <c r="AJ67" s="26">
        <f>IFERROR(__xludf.DUMMYFUNCTION("""COMPUTED_VALUE"""),355.66)</f>
        <v>355.66</v>
      </c>
      <c r="AK67" s="26">
        <f>IFERROR(__xludf.DUMMYFUNCTION("""COMPUTED_VALUE"""),103.55)</f>
        <v>103.55</v>
      </c>
      <c r="AL67" s="26">
        <f>IFERROR(__xludf.DUMMYFUNCTION("""COMPUTED_VALUE"""),156.12)</f>
        <v>156.12</v>
      </c>
      <c r="AM67" s="26">
        <f>IFERROR(__xludf.DUMMYFUNCTION("""COMPUTED_VALUE"""),471.21)</f>
        <v>471.21</v>
      </c>
      <c r="AN67" s="26">
        <f>IFERROR(__xludf.DUMMYFUNCTION("""COMPUTED_VALUE"""),210.24)</f>
        <v>210.24</v>
      </c>
      <c r="AO67" s="26">
        <f>IFERROR(__xludf.DUMMYFUNCTION("""COMPUTED_VALUE"""),563.22)</f>
        <v>563.22</v>
      </c>
      <c r="AP67" s="26">
        <f>IFERROR(__xludf.DUMMYFUNCTION("""COMPUTED_VALUE"""),240.49)</f>
        <v>240.49</v>
      </c>
      <c r="AQ67" s="26">
        <f>IFERROR(__xludf.DUMMYFUNCTION("""COMPUTED_VALUE"""),25.87)</f>
        <v>25.87</v>
      </c>
      <c r="AR67" s="26">
        <f>IFERROR(__xludf.DUMMYFUNCTION("""COMPUTED_VALUE"""),81.74)</f>
        <v>81.74</v>
      </c>
      <c r="AS67" s="26">
        <f>IFERROR(__xludf.DUMMYFUNCTION("""COMPUTED_VALUE"""),71.18)</f>
        <v>71.18</v>
      </c>
      <c r="AT67" s="26">
        <f>IFERROR(__xludf.DUMMYFUNCTION("""COMPUTED_VALUE"""),416.86)</f>
        <v>416.86</v>
      </c>
      <c r="AU67" s="26">
        <f>IFERROR(__xludf.DUMMYFUNCTION("""COMPUTED_VALUE"""),78.01)</f>
        <v>78.01</v>
      </c>
      <c r="AV67" s="26">
        <f>IFERROR(__xludf.DUMMYFUNCTION("""COMPUTED_VALUE"""),118.08)</f>
        <v>118.08</v>
      </c>
      <c r="AW67" s="26">
        <f>IFERROR(__xludf.DUMMYFUNCTION("""COMPUTED_VALUE"""),92.11)</f>
        <v>92.11</v>
      </c>
      <c r="AX67" s="26">
        <f>IFERROR(__xludf.DUMMYFUNCTION("""COMPUTED_VALUE"""),40.56)</f>
        <v>40.56</v>
      </c>
      <c r="AY67" s="26">
        <f>IFERROR(__xludf.DUMMYFUNCTION("""COMPUTED_VALUE"""),31.0)</f>
        <v>31</v>
      </c>
      <c r="AZ67" s="26">
        <f>IFERROR(__xludf.DUMMYFUNCTION("""COMPUTED_VALUE"""),66.14)</f>
        <v>66.14</v>
      </c>
      <c r="BA67" s="26">
        <f>IFERROR(__xludf.DUMMYFUNCTION("""COMPUTED_VALUE"""),28.88)</f>
        <v>28.88</v>
      </c>
      <c r="BB67" s="26">
        <f>IFERROR(__xludf.DUMMYFUNCTION("""COMPUTED_VALUE"""),117.65)</f>
        <v>117.65</v>
      </c>
      <c r="BC67" s="26">
        <f>IFERROR(__xludf.DUMMYFUNCTION("""COMPUTED_VALUE"""),196.49)</f>
        <v>196.49</v>
      </c>
      <c r="BD67" s="26">
        <f>IFERROR(__xludf.DUMMYFUNCTION("""COMPUTED_VALUE"""),602.1)</f>
        <v>602.1</v>
      </c>
      <c r="BE67" s="26">
        <f>IFERROR(__xludf.DUMMYFUNCTION("""COMPUTED_VALUE"""),177.01)</f>
        <v>177.01</v>
      </c>
      <c r="BF67" s="26">
        <f>IFERROR(__xludf.DUMMYFUNCTION("""COMPUTED_VALUE"""),163.08)</f>
        <v>163.08</v>
      </c>
      <c r="BG67" s="26">
        <f>IFERROR(__xludf.DUMMYFUNCTION("""COMPUTED_VALUE"""),7.95)</f>
        <v>7.95</v>
      </c>
      <c r="BH67" s="26">
        <f>IFERROR(__xludf.DUMMYFUNCTION("""COMPUTED_VALUE"""),241.22)</f>
        <v>241.22</v>
      </c>
      <c r="BI67" s="26">
        <f>IFERROR(__xludf.DUMMYFUNCTION("""COMPUTED_VALUE"""),579.67)</f>
        <v>579.67</v>
      </c>
      <c r="BJ67" s="26">
        <f>IFERROR(__xludf.DUMMYFUNCTION("""COMPUTED_VALUE"""),48.69)</f>
        <v>48.69</v>
      </c>
      <c r="BK67" s="26">
        <f>IFERROR(__xludf.DUMMYFUNCTION("""COMPUTED_VALUE"""),11.4)</f>
        <v>11.4</v>
      </c>
      <c r="BL67" s="26">
        <f>IFERROR(__xludf.DUMMYFUNCTION("""COMPUTED_VALUE"""),206.35)</f>
        <v>206.35</v>
      </c>
      <c r="BM67" s="26">
        <f>IFERROR(__xludf.DUMMYFUNCTION("""COMPUTED_VALUE"""),86.3)</f>
        <v>86.3</v>
      </c>
    </row>
    <row r="68">
      <c r="A68" s="25">
        <v>45519.66666666667</v>
      </c>
      <c r="B68" s="17">
        <f>IFERROR(__xludf.DUMMYFUNCTION("""COMPUTED_VALUE"""),5543.22)</f>
        <v>5543.22</v>
      </c>
      <c r="C68" s="17">
        <f>IFERROR(__xludf.DUMMYFUNCTION("""COMPUTED_VALUE"""),17594.5)</f>
        <v>17594.5</v>
      </c>
      <c r="D68" s="17">
        <f>IFERROR(__xludf.DUMMYFUNCTION("""COMPUTED_VALUE"""),40563.06)</f>
        <v>40563.06</v>
      </c>
      <c r="E68" s="17">
        <f>IFERROR(__xludf.DUMMYFUNCTION("""COMPUTED_VALUE"""),2135.47)</f>
        <v>2135.47</v>
      </c>
      <c r="F68" s="26">
        <f>IFERROR(__xludf.DUMMYFUNCTION("""COMPUTED_VALUE"""),554.16)</f>
        <v>554.16</v>
      </c>
      <c r="G68" s="26">
        <f>IFERROR(__xludf.DUMMYFUNCTION("""COMPUTED_VALUE"""),177.59)</f>
        <v>177.59</v>
      </c>
      <c r="H68" s="26">
        <f>IFERROR(__xludf.DUMMYFUNCTION("""COMPUTED_VALUE"""),142.03)</f>
        <v>142.03</v>
      </c>
      <c r="I68" s="26">
        <f>IFERROR(__xludf.DUMMYFUNCTION("""COMPUTED_VALUE"""),224.72)</f>
        <v>224.72</v>
      </c>
      <c r="J68" s="26">
        <f>IFERROR(__xludf.DUMMYFUNCTION("""COMPUTED_VALUE"""),211.83)</f>
        <v>211.83</v>
      </c>
      <c r="K68" s="26">
        <f>IFERROR(__xludf.DUMMYFUNCTION("""COMPUTED_VALUE"""),64.98)</f>
        <v>64.98</v>
      </c>
      <c r="L68" s="26">
        <f>IFERROR(__xludf.DUMMYFUNCTION("""COMPUTED_VALUE"""),11.86)</f>
        <v>11.86</v>
      </c>
      <c r="M68" s="26">
        <f>IFERROR(__xludf.DUMMYFUNCTION("""COMPUTED_VALUE"""),440.84)</f>
        <v>440.84</v>
      </c>
      <c r="N68" s="26">
        <f>IFERROR(__xludf.DUMMYFUNCTION("""COMPUTED_VALUE"""),52.65)</f>
        <v>52.65</v>
      </c>
      <c r="O68" s="26">
        <f>IFERROR(__xludf.DUMMYFUNCTION("""COMPUTED_VALUE"""),201.63)</f>
        <v>201.63</v>
      </c>
      <c r="P68" s="26">
        <f>IFERROR(__xludf.DUMMYFUNCTION("""COMPUTED_VALUE"""),68.4)</f>
        <v>68.4</v>
      </c>
      <c r="Q68" s="26">
        <f>IFERROR(__xludf.DUMMYFUNCTION("""COMPUTED_VALUE"""),345.64)</f>
        <v>345.64</v>
      </c>
      <c r="R68" s="26">
        <f>IFERROR(__xludf.DUMMYFUNCTION("""COMPUTED_VALUE"""),40.78)</f>
        <v>40.78</v>
      </c>
      <c r="S68" s="26">
        <f>IFERROR(__xludf.DUMMYFUNCTION("""COMPUTED_VALUE"""),185.68)</f>
        <v>185.68</v>
      </c>
      <c r="T68" s="26">
        <f>IFERROR(__xludf.DUMMYFUNCTION("""COMPUTED_VALUE"""),146.8)</f>
        <v>146.8</v>
      </c>
      <c r="U68" s="26">
        <f>IFERROR(__xludf.DUMMYFUNCTION("""COMPUTED_VALUE"""),336.7)</f>
        <v>336.7</v>
      </c>
      <c r="V68" s="26">
        <f>IFERROR(__xludf.DUMMYFUNCTION("""COMPUTED_VALUE"""),40.59)</f>
        <v>40.59</v>
      </c>
      <c r="W68" s="26">
        <f>IFERROR(__xludf.DUMMYFUNCTION("""COMPUTED_VALUE"""),68.65)</f>
        <v>68.65</v>
      </c>
      <c r="X68" s="26">
        <f>IFERROR(__xludf.DUMMYFUNCTION("""COMPUTED_VALUE"""),99.23)</f>
        <v>99.23</v>
      </c>
      <c r="Y68" s="26">
        <f>IFERROR(__xludf.DUMMYFUNCTION("""COMPUTED_VALUE"""),149.86)</f>
        <v>149.86</v>
      </c>
      <c r="Z68" s="26">
        <f>IFERROR(__xludf.DUMMYFUNCTION("""COMPUTED_VALUE"""),97.19)</f>
        <v>97.19</v>
      </c>
      <c r="AA68" s="26">
        <f>IFERROR(__xludf.DUMMYFUNCTION("""COMPUTED_VALUE"""),444.58)</f>
        <v>444.58</v>
      </c>
      <c r="AB68" s="26">
        <f>IFERROR(__xludf.DUMMYFUNCTION("""COMPUTED_VALUE"""),55.83)</f>
        <v>55.83</v>
      </c>
      <c r="AC68" s="26">
        <f>IFERROR(__xludf.DUMMYFUNCTION("""COMPUTED_VALUE"""),118.73)</f>
        <v>118.73</v>
      </c>
      <c r="AD68" s="26">
        <f>IFERROR(__xludf.DUMMYFUNCTION("""COMPUTED_VALUE"""),284.18)</f>
        <v>284.18</v>
      </c>
      <c r="AE68" s="26">
        <f>IFERROR(__xludf.DUMMYFUNCTION("""COMPUTED_VALUE"""),454.13)</f>
        <v>454.13</v>
      </c>
      <c r="AF68" s="26">
        <f>IFERROR(__xludf.DUMMYFUNCTION("""COMPUTED_VALUE"""),295.95)</f>
        <v>295.95</v>
      </c>
      <c r="AG68" s="26">
        <f>IFERROR(__xludf.DUMMYFUNCTION("""COMPUTED_VALUE"""),44.86)</f>
        <v>44.86</v>
      </c>
      <c r="AH68" s="26">
        <f>IFERROR(__xludf.DUMMYFUNCTION("""COMPUTED_VALUE"""),74.34)</f>
        <v>74.34</v>
      </c>
      <c r="AI68" s="26">
        <f>IFERROR(__xludf.DUMMYFUNCTION("""COMPUTED_VALUE"""),499.02)</f>
        <v>499.02</v>
      </c>
      <c r="AJ68" s="26">
        <f>IFERROR(__xludf.DUMMYFUNCTION("""COMPUTED_VALUE"""),360.07)</f>
        <v>360.07</v>
      </c>
      <c r="AK68" s="26">
        <f>IFERROR(__xludf.DUMMYFUNCTION("""COMPUTED_VALUE"""),105.5)</f>
        <v>105.5</v>
      </c>
      <c r="AL68" s="26">
        <f>IFERROR(__xludf.DUMMYFUNCTION("""COMPUTED_VALUE"""),155.5)</f>
        <v>155.5</v>
      </c>
      <c r="AM68" s="26">
        <f>IFERROR(__xludf.DUMMYFUNCTION("""COMPUTED_VALUE"""),480.17)</f>
        <v>480.17</v>
      </c>
      <c r="AN68" s="26">
        <f>IFERROR(__xludf.DUMMYFUNCTION("""COMPUTED_VALUE"""),211.55)</f>
        <v>211.55</v>
      </c>
      <c r="AO68" s="26">
        <f>IFERROR(__xludf.DUMMYFUNCTION("""COMPUTED_VALUE"""),560.29)</f>
        <v>560.29</v>
      </c>
      <c r="AP68" s="26">
        <f>IFERROR(__xludf.DUMMYFUNCTION("""COMPUTED_VALUE"""),256.55)</f>
        <v>256.55</v>
      </c>
      <c r="AQ68" s="26">
        <f>IFERROR(__xludf.DUMMYFUNCTION("""COMPUTED_VALUE"""),26.0)</f>
        <v>26</v>
      </c>
      <c r="AR68" s="26">
        <f>IFERROR(__xludf.DUMMYFUNCTION("""COMPUTED_VALUE"""),83.65)</f>
        <v>83.65</v>
      </c>
      <c r="AS68" s="26">
        <f>IFERROR(__xludf.DUMMYFUNCTION("""COMPUTED_VALUE"""),71.73)</f>
        <v>71.73</v>
      </c>
      <c r="AT68" s="26">
        <f>IFERROR(__xludf.DUMMYFUNCTION("""COMPUTED_VALUE"""),421.03)</f>
        <v>421.03</v>
      </c>
      <c r="AU68" s="26">
        <f>IFERROR(__xludf.DUMMYFUNCTION("""COMPUTED_VALUE"""),77.41)</f>
        <v>77.41</v>
      </c>
      <c r="AV68" s="26">
        <f>IFERROR(__xludf.DUMMYFUNCTION("""COMPUTED_VALUE"""),122.86)</f>
        <v>122.86</v>
      </c>
      <c r="AW68" s="26">
        <f>IFERROR(__xludf.DUMMYFUNCTION("""COMPUTED_VALUE"""),93.21)</f>
        <v>93.21</v>
      </c>
      <c r="AX68" s="26">
        <f>IFERROR(__xludf.DUMMYFUNCTION("""COMPUTED_VALUE"""),42.73)</f>
        <v>42.73</v>
      </c>
      <c r="AY68" s="26">
        <f>IFERROR(__xludf.DUMMYFUNCTION("""COMPUTED_VALUE"""),31.22)</f>
        <v>31.22</v>
      </c>
      <c r="AZ68" s="26">
        <f>IFERROR(__xludf.DUMMYFUNCTION("""COMPUTED_VALUE"""),67.94)</f>
        <v>67.94</v>
      </c>
      <c r="BA68" s="26">
        <f>IFERROR(__xludf.DUMMYFUNCTION("""COMPUTED_VALUE"""),28.71)</f>
        <v>28.71</v>
      </c>
      <c r="BB68" s="26">
        <f>IFERROR(__xludf.DUMMYFUNCTION("""COMPUTED_VALUE"""),118.36)</f>
        <v>118.36</v>
      </c>
      <c r="BC68" s="26">
        <f>IFERROR(__xludf.DUMMYFUNCTION("""COMPUTED_VALUE"""),194.63)</f>
        <v>194.63</v>
      </c>
      <c r="BD68" s="26">
        <f>IFERROR(__xludf.DUMMYFUNCTION("""COMPUTED_VALUE"""),603.69)</f>
        <v>603.69</v>
      </c>
      <c r="BE68" s="26">
        <f>IFERROR(__xludf.DUMMYFUNCTION("""COMPUTED_VALUE"""),181.79)</f>
        <v>181.79</v>
      </c>
      <c r="BF68" s="26">
        <f>IFERROR(__xludf.DUMMYFUNCTION("""COMPUTED_VALUE"""),169.95)</f>
        <v>169.95</v>
      </c>
      <c r="BG68" s="26">
        <f>IFERROR(__xludf.DUMMYFUNCTION("""COMPUTED_VALUE"""),8.13)</f>
        <v>8.13</v>
      </c>
      <c r="BH68" s="26">
        <f>IFERROR(__xludf.DUMMYFUNCTION("""COMPUTED_VALUE"""),243.71)</f>
        <v>243.71</v>
      </c>
      <c r="BI68" s="26">
        <f>IFERROR(__xludf.DUMMYFUNCTION("""COMPUTED_VALUE"""),579.61)</f>
        <v>579.61</v>
      </c>
      <c r="BJ68" s="26">
        <f>IFERROR(__xludf.DUMMYFUNCTION("""COMPUTED_VALUE"""),48.61)</f>
        <v>48.61</v>
      </c>
      <c r="BK68" s="26">
        <f>IFERROR(__xludf.DUMMYFUNCTION("""COMPUTED_VALUE"""),11.67)</f>
        <v>11.67</v>
      </c>
      <c r="BL68" s="26">
        <f>IFERROR(__xludf.DUMMYFUNCTION("""COMPUTED_VALUE"""),206.91)</f>
        <v>206.91</v>
      </c>
      <c r="BM68" s="26">
        <f>IFERROR(__xludf.DUMMYFUNCTION("""COMPUTED_VALUE"""),88.79)</f>
        <v>88.79</v>
      </c>
    </row>
    <row r="69">
      <c r="A69" s="25">
        <v>45520.66666666667</v>
      </c>
      <c r="B69" s="17">
        <f>IFERROR(__xludf.DUMMYFUNCTION("""COMPUTED_VALUE"""),5554.25)</f>
        <v>5554.25</v>
      </c>
      <c r="C69" s="17">
        <f>IFERROR(__xludf.DUMMYFUNCTION("""COMPUTED_VALUE"""),17631.72)</f>
        <v>17631.72</v>
      </c>
      <c r="D69" s="17">
        <f>IFERROR(__xludf.DUMMYFUNCTION("""COMPUTED_VALUE"""),40659.76)</f>
        <v>40659.76</v>
      </c>
      <c r="E69" s="17">
        <f>IFERROR(__xludf.DUMMYFUNCTION("""COMPUTED_VALUE"""),2141.92)</f>
        <v>2141.92</v>
      </c>
      <c r="F69" s="26">
        <f>IFERROR(__xludf.DUMMYFUNCTION("""COMPUTED_VALUE"""),553.46)</f>
        <v>553.46</v>
      </c>
      <c r="G69" s="26">
        <f>IFERROR(__xludf.DUMMYFUNCTION("""COMPUTED_VALUE"""),177.06)</f>
        <v>177.06</v>
      </c>
      <c r="H69" s="26">
        <f>IFERROR(__xludf.DUMMYFUNCTION("""COMPUTED_VALUE"""),140.98)</f>
        <v>140.98</v>
      </c>
      <c r="I69" s="26">
        <f>IFERROR(__xludf.DUMMYFUNCTION("""COMPUTED_VALUE"""),226.05)</f>
        <v>226.05</v>
      </c>
      <c r="J69" s="26">
        <f>IFERROR(__xludf.DUMMYFUNCTION("""COMPUTED_VALUE"""),207.9)</f>
        <v>207.9</v>
      </c>
      <c r="K69" s="26">
        <f>IFERROR(__xludf.DUMMYFUNCTION("""COMPUTED_VALUE"""),65.61)</f>
        <v>65.61</v>
      </c>
      <c r="L69" s="26">
        <f>IFERROR(__xludf.DUMMYFUNCTION("""COMPUTED_VALUE"""),11.87)</f>
        <v>11.87</v>
      </c>
      <c r="M69" s="26">
        <f>IFERROR(__xludf.DUMMYFUNCTION("""COMPUTED_VALUE"""),444.51)</f>
        <v>444.51</v>
      </c>
      <c r="N69" s="26">
        <f>IFERROR(__xludf.DUMMYFUNCTION("""COMPUTED_VALUE"""),53.24)</f>
        <v>53.24</v>
      </c>
      <c r="O69" s="26">
        <f>IFERROR(__xludf.DUMMYFUNCTION("""COMPUTED_VALUE"""),201.91)</f>
        <v>201.91</v>
      </c>
      <c r="P69" s="26">
        <f>IFERROR(__xludf.DUMMYFUNCTION("""COMPUTED_VALUE"""),67.38)</f>
        <v>67.38</v>
      </c>
      <c r="Q69" s="26">
        <f>IFERROR(__xludf.DUMMYFUNCTION("""COMPUTED_VALUE"""),343.48)</f>
        <v>343.48</v>
      </c>
      <c r="R69" s="26">
        <f>IFERROR(__xludf.DUMMYFUNCTION("""COMPUTED_VALUE"""),40.26)</f>
        <v>40.26</v>
      </c>
      <c r="S69" s="26">
        <f>IFERROR(__xludf.DUMMYFUNCTION("""COMPUTED_VALUE"""),185.41)</f>
        <v>185.41</v>
      </c>
      <c r="T69" s="26">
        <f>IFERROR(__xludf.DUMMYFUNCTION("""COMPUTED_VALUE"""),147.27)</f>
        <v>147.27</v>
      </c>
      <c r="U69" s="26">
        <f>IFERROR(__xludf.DUMMYFUNCTION("""COMPUTED_VALUE"""),342.32)</f>
        <v>342.32</v>
      </c>
      <c r="V69" s="26">
        <f>IFERROR(__xludf.DUMMYFUNCTION("""COMPUTED_VALUE"""),41.23)</f>
        <v>41.23</v>
      </c>
      <c r="W69" s="26">
        <f>IFERROR(__xludf.DUMMYFUNCTION("""COMPUTED_VALUE"""),69.18)</f>
        <v>69.18</v>
      </c>
      <c r="X69" s="26">
        <f>IFERROR(__xludf.DUMMYFUNCTION("""COMPUTED_VALUE"""),100.1)</f>
        <v>100.1</v>
      </c>
      <c r="Y69" s="26">
        <f>IFERROR(__xludf.DUMMYFUNCTION("""COMPUTED_VALUE"""),149.6)</f>
        <v>149.6</v>
      </c>
      <c r="Z69" s="26">
        <f>IFERROR(__xludf.DUMMYFUNCTION("""COMPUTED_VALUE"""),98.78)</f>
        <v>98.78</v>
      </c>
      <c r="AA69" s="26">
        <f>IFERROR(__xludf.DUMMYFUNCTION("""COMPUTED_VALUE"""),442.91)</f>
        <v>442.91</v>
      </c>
      <c r="AB69" s="26">
        <f>IFERROR(__xludf.DUMMYFUNCTION("""COMPUTED_VALUE"""),55.5)</f>
        <v>55.5</v>
      </c>
      <c r="AC69" s="26">
        <f>IFERROR(__xludf.DUMMYFUNCTION("""COMPUTED_VALUE"""),118.17)</f>
        <v>118.17</v>
      </c>
      <c r="AD69" s="26">
        <f>IFERROR(__xludf.DUMMYFUNCTION("""COMPUTED_VALUE"""),285.4)</f>
        <v>285.4</v>
      </c>
      <c r="AE69" s="26">
        <f>IFERROR(__xludf.DUMMYFUNCTION("""COMPUTED_VALUE"""),459.7)</f>
        <v>459.7</v>
      </c>
      <c r="AF69" s="26">
        <f>IFERROR(__xludf.DUMMYFUNCTION("""COMPUTED_VALUE"""),296.59)</f>
        <v>296.59</v>
      </c>
      <c r="AG69" s="26">
        <f>IFERROR(__xludf.DUMMYFUNCTION("""COMPUTED_VALUE"""),45.32)</f>
        <v>45.32</v>
      </c>
      <c r="AH69" s="26">
        <f>IFERROR(__xludf.DUMMYFUNCTION("""COMPUTED_VALUE"""),73.78)</f>
        <v>73.78</v>
      </c>
      <c r="AI69" s="26">
        <f>IFERROR(__xludf.DUMMYFUNCTION("""COMPUTED_VALUE"""),504.26)</f>
        <v>504.26</v>
      </c>
      <c r="AJ69" s="26">
        <f>IFERROR(__xludf.DUMMYFUNCTION("""COMPUTED_VALUE"""),362.06)</f>
        <v>362.06</v>
      </c>
      <c r="AK69" s="26">
        <f>IFERROR(__xludf.DUMMYFUNCTION("""COMPUTED_VALUE"""),104.76)</f>
        <v>104.76</v>
      </c>
      <c r="AL69" s="26">
        <f>IFERROR(__xludf.DUMMYFUNCTION("""COMPUTED_VALUE"""),156.54)</f>
        <v>156.54</v>
      </c>
      <c r="AM69" s="26">
        <f>IFERROR(__xludf.DUMMYFUNCTION("""COMPUTED_VALUE"""),478.98)</f>
        <v>478.98</v>
      </c>
      <c r="AN69" s="26">
        <f>IFERROR(__xludf.DUMMYFUNCTION("""COMPUTED_VALUE"""),213.97)</f>
        <v>213.97</v>
      </c>
      <c r="AO69" s="26">
        <f>IFERROR(__xludf.DUMMYFUNCTION("""COMPUTED_VALUE"""),560.13)</f>
        <v>560.13</v>
      </c>
      <c r="AP69" s="26">
        <f>IFERROR(__xludf.DUMMYFUNCTION("""COMPUTED_VALUE"""),258.1)</f>
        <v>258.1</v>
      </c>
      <c r="AQ69" s="26">
        <f>IFERROR(__xludf.DUMMYFUNCTION("""COMPUTED_VALUE"""),26.14)</f>
        <v>26.14</v>
      </c>
      <c r="AR69" s="26">
        <f>IFERROR(__xludf.DUMMYFUNCTION("""COMPUTED_VALUE"""),84.6)</f>
        <v>84.6</v>
      </c>
      <c r="AS69" s="26">
        <f>IFERROR(__xludf.DUMMYFUNCTION("""COMPUTED_VALUE"""),73.05)</f>
        <v>73.05</v>
      </c>
      <c r="AT69" s="26">
        <f>IFERROR(__xludf.DUMMYFUNCTION("""COMPUTED_VALUE"""),418.47)</f>
        <v>418.47</v>
      </c>
      <c r="AU69" s="26">
        <f>IFERROR(__xludf.DUMMYFUNCTION("""COMPUTED_VALUE"""),78.57)</f>
        <v>78.57</v>
      </c>
      <c r="AV69" s="26">
        <f>IFERROR(__xludf.DUMMYFUNCTION("""COMPUTED_VALUE"""),124.58)</f>
        <v>124.58</v>
      </c>
      <c r="AW69" s="26">
        <f>IFERROR(__xludf.DUMMYFUNCTION("""COMPUTED_VALUE"""),92.12)</f>
        <v>92.12</v>
      </c>
      <c r="AX69" s="26">
        <f>IFERROR(__xludf.DUMMYFUNCTION("""COMPUTED_VALUE"""),42.54)</f>
        <v>42.54</v>
      </c>
      <c r="AY69" s="26">
        <f>IFERROR(__xludf.DUMMYFUNCTION("""COMPUTED_VALUE"""),32.08)</f>
        <v>32.08</v>
      </c>
      <c r="AZ69" s="26">
        <f>IFERROR(__xludf.DUMMYFUNCTION("""COMPUTED_VALUE"""),67.96)</f>
        <v>67.96</v>
      </c>
      <c r="BA69" s="26">
        <f>IFERROR(__xludf.DUMMYFUNCTION("""COMPUTED_VALUE"""),28.3)</f>
        <v>28.3</v>
      </c>
      <c r="BB69" s="26">
        <f>IFERROR(__xludf.DUMMYFUNCTION("""COMPUTED_VALUE"""),117.95)</f>
        <v>117.95</v>
      </c>
      <c r="BC69" s="26">
        <f>IFERROR(__xludf.DUMMYFUNCTION("""COMPUTED_VALUE"""),196.56)</f>
        <v>196.56</v>
      </c>
      <c r="BD69" s="26">
        <f>IFERROR(__xludf.DUMMYFUNCTION("""COMPUTED_VALUE"""),603.98)</f>
        <v>603.98</v>
      </c>
      <c r="BE69" s="26">
        <f>IFERROR(__xludf.DUMMYFUNCTION("""COMPUTED_VALUE"""),182.67)</f>
        <v>182.67</v>
      </c>
      <c r="BF69" s="26">
        <f>IFERROR(__xludf.DUMMYFUNCTION("""COMPUTED_VALUE"""),170.28)</f>
        <v>170.28</v>
      </c>
      <c r="BG69" s="26">
        <f>IFERROR(__xludf.DUMMYFUNCTION("""COMPUTED_VALUE"""),8.0)</f>
        <v>8</v>
      </c>
      <c r="BH69" s="26">
        <f>IFERROR(__xludf.DUMMYFUNCTION("""COMPUTED_VALUE"""),244.53)</f>
        <v>244.53</v>
      </c>
      <c r="BI69" s="26">
        <f>IFERROR(__xludf.DUMMYFUNCTION("""COMPUTED_VALUE"""),577.68)</f>
        <v>577.68</v>
      </c>
      <c r="BJ69" s="26">
        <f>IFERROR(__xludf.DUMMYFUNCTION("""COMPUTED_VALUE"""),48.63)</f>
        <v>48.63</v>
      </c>
      <c r="BK69" s="26">
        <f>IFERROR(__xludf.DUMMYFUNCTION("""COMPUTED_VALUE"""),11.66)</f>
        <v>11.66</v>
      </c>
      <c r="BL69" s="26">
        <f>IFERROR(__xludf.DUMMYFUNCTION("""COMPUTED_VALUE"""),205.4)</f>
        <v>205.4</v>
      </c>
      <c r="BM69" s="26">
        <f>IFERROR(__xludf.DUMMYFUNCTION("""COMPUTED_VALUE"""),89.3)</f>
        <v>89.3</v>
      </c>
    </row>
    <row r="70">
      <c r="A70" s="25">
        <v>45523.66666666667</v>
      </c>
      <c r="B70" s="17">
        <f>IFERROR(__xludf.DUMMYFUNCTION("""COMPUTED_VALUE"""),5608.25)</f>
        <v>5608.25</v>
      </c>
      <c r="C70" s="17">
        <f>IFERROR(__xludf.DUMMYFUNCTION("""COMPUTED_VALUE"""),17876.77)</f>
        <v>17876.77</v>
      </c>
      <c r="D70" s="17">
        <f>IFERROR(__xludf.DUMMYFUNCTION("""COMPUTED_VALUE"""),40896.53)</f>
        <v>40896.53</v>
      </c>
      <c r="E70" s="17">
        <f>IFERROR(__xludf.DUMMYFUNCTION("""COMPUTED_VALUE"""),2167.5)</f>
        <v>2167.5</v>
      </c>
      <c r="F70" s="26">
        <f>IFERROR(__xludf.DUMMYFUNCTION("""COMPUTED_VALUE"""),563.12)</f>
        <v>563.12</v>
      </c>
      <c r="G70" s="26">
        <f>IFERROR(__xludf.DUMMYFUNCTION("""COMPUTED_VALUE"""),178.22)</f>
        <v>178.22</v>
      </c>
      <c r="H70" s="26">
        <f>IFERROR(__xludf.DUMMYFUNCTION("""COMPUTED_VALUE"""),141.57)</f>
        <v>141.57</v>
      </c>
      <c r="I70" s="26">
        <f>IFERROR(__xludf.DUMMYFUNCTION("""COMPUTED_VALUE"""),225.89)</f>
        <v>225.89</v>
      </c>
      <c r="J70" s="26">
        <f>IFERROR(__xludf.DUMMYFUNCTION("""COMPUTED_VALUE"""),210.94)</f>
        <v>210.94</v>
      </c>
      <c r="K70" s="26">
        <f>IFERROR(__xludf.DUMMYFUNCTION("""COMPUTED_VALUE"""),65.74)</f>
        <v>65.74</v>
      </c>
      <c r="L70" s="26">
        <f>IFERROR(__xludf.DUMMYFUNCTION("""COMPUTED_VALUE"""),11.98)</f>
        <v>11.98</v>
      </c>
      <c r="M70" s="26">
        <f>IFERROR(__xludf.DUMMYFUNCTION("""COMPUTED_VALUE"""),448.77)</f>
        <v>448.77</v>
      </c>
      <c r="N70" s="26">
        <f>IFERROR(__xludf.DUMMYFUNCTION("""COMPUTED_VALUE"""),53.96)</f>
        <v>53.96</v>
      </c>
      <c r="O70" s="26">
        <f>IFERROR(__xludf.DUMMYFUNCTION("""COMPUTED_VALUE"""),206.06)</f>
        <v>206.06</v>
      </c>
      <c r="P70" s="26">
        <f>IFERROR(__xludf.DUMMYFUNCTION("""COMPUTED_VALUE"""),68.64)</f>
        <v>68.64</v>
      </c>
      <c r="Q70" s="26">
        <f>IFERROR(__xludf.DUMMYFUNCTION("""COMPUTED_VALUE"""),344.65)</f>
        <v>344.65</v>
      </c>
      <c r="R70" s="26">
        <f>IFERROR(__xludf.DUMMYFUNCTION("""COMPUTED_VALUE"""),41.22)</f>
        <v>41.22</v>
      </c>
      <c r="S70" s="26">
        <f>IFERROR(__xludf.DUMMYFUNCTION("""COMPUTED_VALUE"""),187.25)</f>
        <v>187.25</v>
      </c>
      <c r="T70" s="26">
        <f>IFERROR(__xludf.DUMMYFUNCTION("""COMPUTED_VALUE"""),146.83)</f>
        <v>146.83</v>
      </c>
      <c r="U70" s="26">
        <f>IFERROR(__xludf.DUMMYFUNCTION("""COMPUTED_VALUE"""),342.33)</f>
        <v>342.33</v>
      </c>
      <c r="V70" s="26">
        <f>IFERROR(__xludf.DUMMYFUNCTION("""COMPUTED_VALUE"""),41.6)</f>
        <v>41.6</v>
      </c>
      <c r="W70" s="26">
        <f>IFERROR(__xludf.DUMMYFUNCTION("""COMPUTED_VALUE"""),68.98)</f>
        <v>68.98</v>
      </c>
      <c r="X70" s="26">
        <f>IFERROR(__xludf.DUMMYFUNCTION("""COMPUTED_VALUE"""),100.41)</f>
        <v>100.41</v>
      </c>
      <c r="Y70" s="26">
        <f>IFERROR(__xludf.DUMMYFUNCTION("""COMPUTED_VALUE"""),148.62)</f>
        <v>148.62</v>
      </c>
      <c r="Z70" s="26">
        <f>IFERROR(__xludf.DUMMYFUNCTION("""COMPUTED_VALUE"""),100.51)</f>
        <v>100.51</v>
      </c>
      <c r="AA70" s="26">
        <f>IFERROR(__xludf.DUMMYFUNCTION("""COMPUTED_VALUE"""),432.84)</f>
        <v>432.84</v>
      </c>
      <c r="AB70" s="26">
        <f>IFERROR(__xludf.DUMMYFUNCTION("""COMPUTED_VALUE"""),56.68)</f>
        <v>56.68</v>
      </c>
      <c r="AC70" s="26">
        <f>IFERROR(__xludf.DUMMYFUNCTION("""COMPUTED_VALUE"""),118.53)</f>
        <v>118.53</v>
      </c>
      <c r="AD70" s="26">
        <f>IFERROR(__xludf.DUMMYFUNCTION("""COMPUTED_VALUE"""),288.42)</f>
        <v>288.42</v>
      </c>
      <c r="AE70" s="26">
        <f>IFERROR(__xludf.DUMMYFUNCTION("""COMPUTED_VALUE"""),463.06)</f>
        <v>463.06</v>
      </c>
      <c r="AF70" s="26">
        <f>IFERROR(__xludf.DUMMYFUNCTION("""COMPUTED_VALUE"""),295.6)</f>
        <v>295.6</v>
      </c>
      <c r="AG70" s="26">
        <f>IFERROR(__xludf.DUMMYFUNCTION("""COMPUTED_VALUE"""),45.76)</f>
        <v>45.76</v>
      </c>
      <c r="AH70" s="26">
        <f>IFERROR(__xludf.DUMMYFUNCTION("""COMPUTED_VALUE"""),74.45)</f>
        <v>74.45</v>
      </c>
      <c r="AI70" s="26">
        <f>IFERROR(__xludf.DUMMYFUNCTION("""COMPUTED_VALUE"""),504.68)</f>
        <v>504.68</v>
      </c>
      <c r="AJ70" s="26">
        <f>IFERROR(__xludf.DUMMYFUNCTION("""COMPUTED_VALUE"""),363.07)</f>
        <v>363.07</v>
      </c>
      <c r="AK70" s="26">
        <f>IFERROR(__xludf.DUMMYFUNCTION("""COMPUTED_VALUE"""),105.21)</f>
        <v>105.21</v>
      </c>
      <c r="AL70" s="26">
        <f>IFERROR(__xludf.DUMMYFUNCTION("""COMPUTED_VALUE"""),157.27)</f>
        <v>157.27</v>
      </c>
      <c r="AM70" s="26">
        <f>IFERROR(__xludf.DUMMYFUNCTION("""COMPUTED_VALUE"""),482.16)</f>
        <v>482.16</v>
      </c>
      <c r="AN70" s="26">
        <f>IFERROR(__xludf.DUMMYFUNCTION("""COMPUTED_VALUE"""),215.45)</f>
        <v>215.45</v>
      </c>
      <c r="AO70" s="26">
        <f>IFERROR(__xludf.DUMMYFUNCTION("""COMPUTED_VALUE"""),558.39)</f>
        <v>558.39</v>
      </c>
      <c r="AP70" s="26">
        <f>IFERROR(__xludf.DUMMYFUNCTION("""COMPUTED_VALUE"""),259.12)</f>
        <v>259.12</v>
      </c>
      <c r="AQ70" s="26">
        <f>IFERROR(__xludf.DUMMYFUNCTION("""COMPUTED_VALUE"""),26.31)</f>
        <v>26.31</v>
      </c>
      <c r="AR70" s="26">
        <f>IFERROR(__xludf.DUMMYFUNCTION("""COMPUTED_VALUE"""),84.82)</f>
        <v>84.82</v>
      </c>
      <c r="AS70" s="26">
        <f>IFERROR(__xludf.DUMMYFUNCTION("""COMPUTED_VALUE"""),73.25)</f>
        <v>73.25</v>
      </c>
      <c r="AT70" s="26">
        <f>IFERROR(__xludf.DUMMYFUNCTION("""COMPUTED_VALUE"""),421.53)</f>
        <v>421.53</v>
      </c>
      <c r="AU70" s="26">
        <f>IFERROR(__xludf.DUMMYFUNCTION("""COMPUTED_VALUE"""),79.35)</f>
        <v>79.35</v>
      </c>
      <c r="AV70" s="26">
        <f>IFERROR(__xludf.DUMMYFUNCTION("""COMPUTED_VALUE"""),130.0)</f>
        <v>130</v>
      </c>
      <c r="AW70" s="26">
        <f>IFERROR(__xludf.DUMMYFUNCTION("""COMPUTED_VALUE"""),92.66)</f>
        <v>92.66</v>
      </c>
      <c r="AX70" s="26">
        <f>IFERROR(__xludf.DUMMYFUNCTION("""COMPUTED_VALUE"""),42.45)</f>
        <v>42.45</v>
      </c>
      <c r="AY70" s="26">
        <f>IFERROR(__xludf.DUMMYFUNCTION("""COMPUTED_VALUE"""),32.5)</f>
        <v>32.5</v>
      </c>
      <c r="AZ70" s="26">
        <f>IFERROR(__xludf.DUMMYFUNCTION("""COMPUTED_VALUE"""),69.43)</f>
        <v>69.43</v>
      </c>
      <c r="BA70" s="26">
        <f>IFERROR(__xludf.DUMMYFUNCTION("""COMPUTED_VALUE"""),28.8)</f>
        <v>28.8</v>
      </c>
      <c r="BB70" s="26">
        <f>IFERROR(__xludf.DUMMYFUNCTION("""COMPUTED_VALUE"""),118.35)</f>
        <v>118.35</v>
      </c>
      <c r="BC70" s="26">
        <f>IFERROR(__xludf.DUMMYFUNCTION("""COMPUTED_VALUE"""),197.58)</f>
        <v>197.58</v>
      </c>
      <c r="BD70" s="26">
        <f>IFERROR(__xludf.DUMMYFUNCTION("""COMPUTED_VALUE"""),607.6)</f>
        <v>607.6</v>
      </c>
      <c r="BE70" s="26">
        <f>IFERROR(__xludf.DUMMYFUNCTION("""COMPUTED_VALUE"""),183.7)</f>
        <v>183.7</v>
      </c>
      <c r="BF70" s="26">
        <f>IFERROR(__xludf.DUMMYFUNCTION("""COMPUTED_VALUE"""),167.07)</f>
        <v>167.07</v>
      </c>
      <c r="BG70" s="26">
        <f>IFERROR(__xludf.DUMMYFUNCTION("""COMPUTED_VALUE"""),8.31)</f>
        <v>8.31</v>
      </c>
      <c r="BH70" s="26">
        <f>IFERROR(__xludf.DUMMYFUNCTION("""COMPUTED_VALUE"""),246.07)</f>
        <v>246.07</v>
      </c>
      <c r="BI70" s="26">
        <f>IFERROR(__xludf.DUMMYFUNCTION("""COMPUTED_VALUE"""),578.78)</f>
        <v>578.78</v>
      </c>
      <c r="BJ70" s="26">
        <f>IFERROR(__xludf.DUMMYFUNCTION("""COMPUTED_VALUE"""),48.62)</f>
        <v>48.62</v>
      </c>
      <c r="BK70" s="26">
        <f>IFERROR(__xludf.DUMMYFUNCTION("""COMPUTED_VALUE"""),11.83)</f>
        <v>11.83</v>
      </c>
      <c r="BL70" s="26">
        <f>IFERROR(__xludf.DUMMYFUNCTION("""COMPUTED_VALUE"""),206.59)</f>
        <v>206.59</v>
      </c>
      <c r="BM70" s="26">
        <f>IFERROR(__xludf.DUMMYFUNCTION("""COMPUTED_VALUE"""),90.82)</f>
        <v>90.82</v>
      </c>
    </row>
    <row r="71">
      <c r="A71" s="25">
        <v>45524.66666666667</v>
      </c>
      <c r="B71" s="17">
        <f>IFERROR(__xludf.DUMMYFUNCTION("""COMPUTED_VALUE"""),5597.12)</f>
        <v>5597.12</v>
      </c>
      <c r="C71" s="17">
        <f>IFERROR(__xludf.DUMMYFUNCTION("""COMPUTED_VALUE"""),17816.94)</f>
        <v>17816.94</v>
      </c>
      <c r="D71" s="17">
        <f>IFERROR(__xludf.DUMMYFUNCTION("""COMPUTED_VALUE"""),40834.97)</f>
        <v>40834.97</v>
      </c>
      <c r="E71" s="17">
        <f>IFERROR(__xludf.DUMMYFUNCTION("""COMPUTED_VALUE"""),2142.19)</f>
        <v>2142.19</v>
      </c>
      <c r="F71" s="26">
        <f>IFERROR(__xludf.DUMMYFUNCTION("""COMPUTED_VALUE"""),562.25)</f>
        <v>562.25</v>
      </c>
      <c r="G71" s="26">
        <f>IFERROR(__xludf.DUMMYFUNCTION("""COMPUTED_VALUE"""),178.88)</f>
        <v>178.88</v>
      </c>
      <c r="H71" s="26">
        <f>IFERROR(__xludf.DUMMYFUNCTION("""COMPUTED_VALUE"""),141.27)</f>
        <v>141.27</v>
      </c>
      <c r="I71" s="26">
        <f>IFERROR(__xludf.DUMMYFUNCTION("""COMPUTED_VALUE"""),226.51)</f>
        <v>226.51</v>
      </c>
      <c r="J71" s="26">
        <f>IFERROR(__xludf.DUMMYFUNCTION("""COMPUTED_VALUE"""),206.16)</f>
        <v>206.16</v>
      </c>
      <c r="K71" s="26">
        <f>IFERROR(__xludf.DUMMYFUNCTION("""COMPUTED_VALUE"""),65.34)</f>
        <v>65.34</v>
      </c>
      <c r="L71" s="26">
        <f>IFERROR(__xludf.DUMMYFUNCTION("""COMPUTED_VALUE"""),11.82)</f>
        <v>11.82</v>
      </c>
      <c r="M71" s="26">
        <f>IFERROR(__xludf.DUMMYFUNCTION("""COMPUTED_VALUE"""),448.36)</f>
        <v>448.36</v>
      </c>
      <c r="N71" s="26">
        <f>IFERROR(__xludf.DUMMYFUNCTION("""COMPUTED_VALUE"""),53.64)</f>
        <v>53.64</v>
      </c>
      <c r="O71" s="26">
        <f>IFERROR(__xludf.DUMMYFUNCTION("""COMPUTED_VALUE"""),205.49)</f>
        <v>205.49</v>
      </c>
      <c r="P71" s="26">
        <f>IFERROR(__xludf.DUMMYFUNCTION("""COMPUTED_VALUE"""),68.56)</f>
        <v>68.56</v>
      </c>
      <c r="Q71" s="26">
        <f>IFERROR(__xludf.DUMMYFUNCTION("""COMPUTED_VALUE"""),343.3)</f>
        <v>343.3</v>
      </c>
      <c r="R71" s="26">
        <f>IFERROR(__xludf.DUMMYFUNCTION("""COMPUTED_VALUE"""),41.38)</f>
        <v>41.38</v>
      </c>
      <c r="S71" s="26">
        <f>IFERROR(__xludf.DUMMYFUNCTION("""COMPUTED_VALUE"""),188.6)</f>
        <v>188.6</v>
      </c>
      <c r="T71" s="26">
        <f>IFERROR(__xludf.DUMMYFUNCTION("""COMPUTED_VALUE"""),144.69)</f>
        <v>144.69</v>
      </c>
      <c r="U71" s="26">
        <f>IFERROR(__xludf.DUMMYFUNCTION("""COMPUTED_VALUE"""),342.6)</f>
        <v>342.6</v>
      </c>
      <c r="V71" s="26">
        <f>IFERROR(__xludf.DUMMYFUNCTION("""COMPUTED_VALUE"""),41.21)</f>
        <v>41.21</v>
      </c>
      <c r="W71" s="26">
        <f>IFERROR(__xludf.DUMMYFUNCTION("""COMPUTED_VALUE"""),69.38)</f>
        <v>69.38</v>
      </c>
      <c r="X71" s="26">
        <f>IFERROR(__xludf.DUMMYFUNCTION("""COMPUTED_VALUE"""),100.17)</f>
        <v>100.17</v>
      </c>
      <c r="Y71" s="26">
        <f>IFERROR(__xludf.DUMMYFUNCTION("""COMPUTED_VALUE"""),149.1)</f>
        <v>149.1</v>
      </c>
      <c r="Z71" s="26">
        <f>IFERROR(__xludf.DUMMYFUNCTION("""COMPUTED_VALUE"""),99.19)</f>
        <v>99.19</v>
      </c>
      <c r="AA71" s="26">
        <f>IFERROR(__xludf.DUMMYFUNCTION("""COMPUTED_VALUE"""),427.06)</f>
        <v>427.06</v>
      </c>
      <c r="AB71" s="26">
        <f>IFERROR(__xludf.DUMMYFUNCTION("""COMPUTED_VALUE"""),56.94)</f>
        <v>56.94</v>
      </c>
      <c r="AC71" s="26">
        <f>IFERROR(__xludf.DUMMYFUNCTION("""COMPUTED_VALUE"""),114.58)</f>
        <v>114.58</v>
      </c>
      <c r="AD71" s="26">
        <f>IFERROR(__xludf.DUMMYFUNCTION("""COMPUTED_VALUE"""),288.44)</f>
        <v>288.44</v>
      </c>
      <c r="AE71" s="26">
        <f>IFERROR(__xludf.DUMMYFUNCTION("""COMPUTED_VALUE"""),466.73)</f>
        <v>466.73</v>
      </c>
      <c r="AF71" s="26">
        <f>IFERROR(__xludf.DUMMYFUNCTION("""COMPUTED_VALUE"""),295.8)</f>
        <v>295.8</v>
      </c>
      <c r="AG71" s="26">
        <f>IFERROR(__xludf.DUMMYFUNCTION("""COMPUTED_VALUE"""),45.98)</f>
        <v>45.98</v>
      </c>
      <c r="AH71" s="26">
        <f>IFERROR(__xludf.DUMMYFUNCTION("""COMPUTED_VALUE"""),74.75)</f>
        <v>74.75</v>
      </c>
      <c r="AI71" s="26">
        <f>IFERROR(__xludf.DUMMYFUNCTION("""COMPUTED_VALUE"""),497.34)</f>
        <v>497.34</v>
      </c>
      <c r="AJ71" s="26">
        <f>IFERROR(__xludf.DUMMYFUNCTION("""COMPUTED_VALUE"""),367.27)</f>
        <v>367.27</v>
      </c>
      <c r="AK71" s="26">
        <f>IFERROR(__xludf.DUMMYFUNCTION("""COMPUTED_VALUE"""),105.32)</f>
        <v>105.32</v>
      </c>
      <c r="AL71" s="26">
        <f>IFERROR(__xludf.DUMMYFUNCTION("""COMPUTED_VALUE"""),157.75)</f>
        <v>157.75</v>
      </c>
      <c r="AM71" s="26">
        <f>IFERROR(__xludf.DUMMYFUNCTION("""COMPUTED_VALUE"""),483.21)</f>
        <v>483.21</v>
      </c>
      <c r="AN71" s="26">
        <f>IFERROR(__xludf.DUMMYFUNCTION("""COMPUTED_VALUE"""),214.52)</f>
        <v>214.52</v>
      </c>
      <c r="AO71" s="26">
        <f>IFERROR(__xludf.DUMMYFUNCTION("""COMPUTED_VALUE"""),557.01)</f>
        <v>557.01</v>
      </c>
      <c r="AP71" s="26">
        <f>IFERROR(__xludf.DUMMYFUNCTION("""COMPUTED_VALUE"""),260.6)</f>
        <v>260.6</v>
      </c>
      <c r="AQ71" s="26">
        <f>IFERROR(__xludf.DUMMYFUNCTION("""COMPUTED_VALUE"""),26.07)</f>
        <v>26.07</v>
      </c>
      <c r="AR71" s="26">
        <f>IFERROR(__xludf.DUMMYFUNCTION("""COMPUTED_VALUE"""),85.38)</f>
        <v>85.38</v>
      </c>
      <c r="AS71" s="26">
        <f>IFERROR(__xludf.DUMMYFUNCTION("""COMPUTED_VALUE"""),72.72)</f>
        <v>72.72</v>
      </c>
      <c r="AT71" s="26">
        <f>IFERROR(__xludf.DUMMYFUNCTION("""COMPUTED_VALUE"""),424.8)</f>
        <v>424.8</v>
      </c>
      <c r="AU71" s="26">
        <f>IFERROR(__xludf.DUMMYFUNCTION("""COMPUTED_VALUE"""),78.98)</f>
        <v>78.98</v>
      </c>
      <c r="AV71" s="26">
        <f>IFERROR(__xludf.DUMMYFUNCTION("""COMPUTED_VALUE"""),127.25)</f>
        <v>127.25</v>
      </c>
      <c r="AW71" s="26">
        <f>IFERROR(__xludf.DUMMYFUNCTION("""COMPUTED_VALUE"""),92.75)</f>
        <v>92.75</v>
      </c>
      <c r="AX71" s="26">
        <f>IFERROR(__xludf.DUMMYFUNCTION("""COMPUTED_VALUE"""),41.73)</f>
        <v>41.73</v>
      </c>
      <c r="AY71" s="26">
        <f>IFERROR(__xludf.DUMMYFUNCTION("""COMPUTED_VALUE"""),32.32)</f>
        <v>32.32</v>
      </c>
      <c r="AZ71" s="26">
        <f>IFERROR(__xludf.DUMMYFUNCTION("""COMPUTED_VALUE"""),71.89)</f>
        <v>71.89</v>
      </c>
      <c r="BA71" s="26">
        <f>IFERROR(__xludf.DUMMYFUNCTION("""COMPUTED_VALUE"""),28.9)</f>
        <v>28.9</v>
      </c>
      <c r="BB71" s="26">
        <f>IFERROR(__xludf.DUMMYFUNCTION("""COMPUTED_VALUE"""),117.95)</f>
        <v>117.95</v>
      </c>
      <c r="BC71" s="26">
        <f>IFERROR(__xludf.DUMMYFUNCTION("""COMPUTED_VALUE"""),196.22)</f>
        <v>196.22</v>
      </c>
      <c r="BD71" s="26">
        <f>IFERROR(__xludf.DUMMYFUNCTION("""COMPUTED_VALUE"""),614.54)</f>
        <v>614.54</v>
      </c>
      <c r="BE71" s="26">
        <f>IFERROR(__xludf.DUMMYFUNCTION("""COMPUTED_VALUE"""),181.34)</f>
        <v>181.34</v>
      </c>
      <c r="BF71" s="26">
        <f>IFERROR(__xludf.DUMMYFUNCTION("""COMPUTED_VALUE"""),166.18)</f>
        <v>166.18</v>
      </c>
      <c r="BG71" s="26">
        <f>IFERROR(__xludf.DUMMYFUNCTION("""COMPUTED_VALUE"""),8.39)</f>
        <v>8.39</v>
      </c>
      <c r="BH71" s="26">
        <f>IFERROR(__xludf.DUMMYFUNCTION("""COMPUTED_VALUE"""),246.5)</f>
        <v>246.5</v>
      </c>
      <c r="BI71" s="26">
        <f>IFERROR(__xludf.DUMMYFUNCTION("""COMPUTED_VALUE"""),580.65)</f>
        <v>580.65</v>
      </c>
      <c r="BJ71" s="26">
        <f>IFERROR(__xludf.DUMMYFUNCTION("""COMPUTED_VALUE"""),48.67)</f>
        <v>48.67</v>
      </c>
      <c r="BK71" s="26">
        <f>IFERROR(__xludf.DUMMYFUNCTION("""COMPUTED_VALUE"""),11.66)</f>
        <v>11.66</v>
      </c>
      <c r="BL71" s="26">
        <f>IFERROR(__xludf.DUMMYFUNCTION("""COMPUTED_VALUE"""),208.1)</f>
        <v>208.1</v>
      </c>
      <c r="BM71" s="26">
        <f>IFERROR(__xludf.DUMMYFUNCTION("""COMPUTED_VALUE"""),89.74)</f>
        <v>89.74</v>
      </c>
    </row>
    <row r="72">
      <c r="A72" s="25">
        <v>45525.66666666667</v>
      </c>
      <c r="B72" s="17">
        <f>IFERROR(__xludf.DUMMYFUNCTION("""COMPUTED_VALUE"""),5620.85)</f>
        <v>5620.85</v>
      </c>
      <c r="C72" s="17">
        <f>IFERROR(__xludf.DUMMYFUNCTION("""COMPUTED_VALUE"""),17918.99)</f>
        <v>17918.99</v>
      </c>
      <c r="D72" s="17">
        <f>IFERROR(__xludf.DUMMYFUNCTION("""COMPUTED_VALUE"""),40890.49)</f>
        <v>40890.49</v>
      </c>
      <c r="E72" s="17">
        <f>IFERROR(__xludf.DUMMYFUNCTION("""COMPUTED_VALUE"""),2170.56)</f>
        <v>2170.56</v>
      </c>
      <c r="F72" s="26">
        <f>IFERROR(__xludf.DUMMYFUNCTION("""COMPUTED_VALUE"""),565.79)</f>
        <v>565.79</v>
      </c>
      <c r="G72" s="26">
        <f>IFERROR(__xludf.DUMMYFUNCTION("""COMPUTED_VALUE"""),180.11)</f>
        <v>180.11</v>
      </c>
      <c r="H72" s="26">
        <f>IFERROR(__xludf.DUMMYFUNCTION("""COMPUTED_VALUE"""),140.77)</f>
        <v>140.77</v>
      </c>
      <c r="I72" s="26">
        <f>IFERROR(__xludf.DUMMYFUNCTION("""COMPUTED_VALUE"""),226.4)</f>
        <v>226.4</v>
      </c>
      <c r="J72" s="26">
        <f>IFERROR(__xludf.DUMMYFUNCTION("""COMPUTED_VALUE"""),209.12)</f>
        <v>209.12</v>
      </c>
      <c r="K72" s="26">
        <f>IFERROR(__xludf.DUMMYFUNCTION("""COMPUTED_VALUE"""),65.24)</f>
        <v>65.24</v>
      </c>
      <c r="L72" s="26">
        <f>IFERROR(__xludf.DUMMYFUNCTION("""COMPUTED_VALUE"""),11.87)</f>
        <v>11.87</v>
      </c>
      <c r="M72" s="26">
        <f>IFERROR(__xludf.DUMMYFUNCTION("""COMPUTED_VALUE"""),446.6)</f>
        <v>446.6</v>
      </c>
      <c r="N72" s="26">
        <f>IFERROR(__xludf.DUMMYFUNCTION("""COMPUTED_VALUE"""),55.35)</f>
        <v>55.35</v>
      </c>
      <c r="O72" s="26">
        <f>IFERROR(__xludf.DUMMYFUNCTION("""COMPUTED_VALUE"""),206.18)</f>
        <v>206.18</v>
      </c>
      <c r="P72" s="26">
        <f>IFERROR(__xludf.DUMMYFUNCTION("""COMPUTED_VALUE"""),69.66)</f>
        <v>69.66</v>
      </c>
      <c r="Q72" s="26">
        <f>IFERROR(__xludf.DUMMYFUNCTION("""COMPUTED_VALUE"""),342.97)</f>
        <v>342.97</v>
      </c>
      <c r="R72" s="26">
        <f>IFERROR(__xludf.DUMMYFUNCTION("""COMPUTED_VALUE"""),41.41)</f>
        <v>41.41</v>
      </c>
      <c r="S72" s="26">
        <f>IFERROR(__xludf.DUMMYFUNCTION("""COMPUTED_VALUE"""),189.07)</f>
        <v>189.07</v>
      </c>
      <c r="T72" s="26">
        <f>IFERROR(__xludf.DUMMYFUNCTION("""COMPUTED_VALUE"""),145.32)</f>
        <v>145.32</v>
      </c>
      <c r="U72" s="26">
        <f>IFERROR(__xludf.DUMMYFUNCTION("""COMPUTED_VALUE"""),342.4)</f>
        <v>342.4</v>
      </c>
      <c r="V72" s="26">
        <f>IFERROR(__xludf.DUMMYFUNCTION("""COMPUTED_VALUE"""),41.13)</f>
        <v>41.13</v>
      </c>
      <c r="W72" s="26">
        <f>IFERROR(__xludf.DUMMYFUNCTION("""COMPUTED_VALUE"""),69.57)</f>
        <v>69.57</v>
      </c>
      <c r="X72" s="26">
        <f>IFERROR(__xludf.DUMMYFUNCTION("""COMPUTED_VALUE"""),100.42)</f>
        <v>100.42</v>
      </c>
      <c r="Y72" s="26">
        <f>IFERROR(__xludf.DUMMYFUNCTION("""COMPUTED_VALUE"""),149.76)</f>
        <v>149.76</v>
      </c>
      <c r="Z72" s="26">
        <f>IFERROR(__xludf.DUMMYFUNCTION("""COMPUTED_VALUE"""),99.98)</f>
        <v>99.98</v>
      </c>
      <c r="AA72" s="26">
        <f>IFERROR(__xludf.DUMMYFUNCTION("""COMPUTED_VALUE"""),427.7)</f>
        <v>427.7</v>
      </c>
      <c r="AB72" s="26">
        <f>IFERROR(__xludf.DUMMYFUNCTION("""COMPUTED_VALUE"""),58.68)</f>
        <v>58.68</v>
      </c>
      <c r="AC72" s="26">
        <f>IFERROR(__xludf.DUMMYFUNCTION("""COMPUTED_VALUE"""),113.85)</f>
        <v>113.85</v>
      </c>
      <c r="AD72" s="26">
        <f>IFERROR(__xludf.DUMMYFUNCTION("""COMPUTED_VALUE"""),291.52)</f>
        <v>291.52</v>
      </c>
      <c r="AE72" s="26">
        <f>IFERROR(__xludf.DUMMYFUNCTION("""COMPUTED_VALUE"""),478.79)</f>
        <v>478.79</v>
      </c>
      <c r="AF72" s="26">
        <f>IFERROR(__xludf.DUMMYFUNCTION("""COMPUTED_VALUE"""),294.07)</f>
        <v>294.07</v>
      </c>
      <c r="AG72" s="26">
        <f>IFERROR(__xludf.DUMMYFUNCTION("""COMPUTED_VALUE"""),46.56)</f>
        <v>46.56</v>
      </c>
      <c r="AH72" s="26">
        <f>IFERROR(__xludf.DUMMYFUNCTION("""COMPUTED_VALUE"""),75.13)</f>
        <v>75.13</v>
      </c>
      <c r="AI72" s="26">
        <f>IFERROR(__xludf.DUMMYFUNCTION("""COMPUTED_VALUE"""),496.46)</f>
        <v>496.46</v>
      </c>
      <c r="AJ72" s="26">
        <f>IFERROR(__xludf.DUMMYFUNCTION("""COMPUTED_VALUE"""),370.46)</f>
        <v>370.46</v>
      </c>
      <c r="AK72" s="26">
        <f>IFERROR(__xludf.DUMMYFUNCTION("""COMPUTED_VALUE"""),105.93)</f>
        <v>105.93</v>
      </c>
      <c r="AL72" s="26">
        <f>IFERROR(__xludf.DUMMYFUNCTION("""COMPUTED_VALUE"""),158.11)</f>
        <v>158.11</v>
      </c>
      <c r="AM72" s="26">
        <f>IFERROR(__xludf.DUMMYFUNCTION("""COMPUTED_VALUE"""),487.42)</f>
        <v>487.42</v>
      </c>
      <c r="AN72" s="26">
        <f>IFERROR(__xludf.DUMMYFUNCTION("""COMPUTED_VALUE"""),214.6)</f>
        <v>214.6</v>
      </c>
      <c r="AO72" s="26">
        <f>IFERROR(__xludf.DUMMYFUNCTION("""COMPUTED_VALUE"""),553.76)</f>
        <v>553.76</v>
      </c>
      <c r="AP72" s="26">
        <f>IFERROR(__xludf.DUMMYFUNCTION("""COMPUTED_VALUE"""),265.63)</f>
        <v>265.63</v>
      </c>
      <c r="AQ72" s="26">
        <f>IFERROR(__xludf.DUMMYFUNCTION("""COMPUTED_VALUE"""),26.09)</f>
        <v>26.09</v>
      </c>
      <c r="AR72" s="26">
        <f>IFERROR(__xludf.DUMMYFUNCTION("""COMPUTED_VALUE"""),87.54)</f>
        <v>87.54</v>
      </c>
      <c r="AS72" s="26">
        <f>IFERROR(__xludf.DUMMYFUNCTION("""COMPUTED_VALUE"""),72.81)</f>
        <v>72.81</v>
      </c>
      <c r="AT72" s="26">
        <f>IFERROR(__xludf.DUMMYFUNCTION("""COMPUTED_VALUE"""),424.14)</f>
        <v>424.14</v>
      </c>
      <c r="AU72" s="26">
        <f>IFERROR(__xludf.DUMMYFUNCTION("""COMPUTED_VALUE"""),79.64)</f>
        <v>79.64</v>
      </c>
      <c r="AV72" s="26">
        <f>IFERROR(__xludf.DUMMYFUNCTION("""COMPUTED_VALUE"""),128.5)</f>
        <v>128.5</v>
      </c>
      <c r="AW72" s="26">
        <f>IFERROR(__xludf.DUMMYFUNCTION("""COMPUTED_VALUE"""),93.96)</f>
        <v>93.96</v>
      </c>
      <c r="AX72" s="26">
        <f>IFERROR(__xludf.DUMMYFUNCTION("""COMPUTED_VALUE"""),43.46)</f>
        <v>43.46</v>
      </c>
      <c r="AY72" s="26">
        <f>IFERROR(__xludf.DUMMYFUNCTION("""COMPUTED_VALUE"""),32.54)</f>
        <v>32.54</v>
      </c>
      <c r="AZ72" s="26">
        <f>IFERROR(__xludf.DUMMYFUNCTION("""COMPUTED_VALUE"""),71.46)</f>
        <v>71.46</v>
      </c>
      <c r="BA72" s="26">
        <f>IFERROR(__xludf.DUMMYFUNCTION("""COMPUTED_VALUE"""),29.03)</f>
        <v>29.03</v>
      </c>
      <c r="BB72" s="26">
        <f>IFERROR(__xludf.DUMMYFUNCTION("""COMPUTED_VALUE"""),117.26)</f>
        <v>117.26</v>
      </c>
      <c r="BC72" s="26">
        <f>IFERROR(__xludf.DUMMYFUNCTION("""COMPUTED_VALUE"""),195.46)</f>
        <v>195.46</v>
      </c>
      <c r="BD72" s="26">
        <f>IFERROR(__xludf.DUMMYFUNCTION("""COMPUTED_VALUE"""),610.17)</f>
        <v>610.17</v>
      </c>
      <c r="BE72" s="26">
        <f>IFERROR(__xludf.DUMMYFUNCTION("""COMPUTED_VALUE"""),183.62)</f>
        <v>183.62</v>
      </c>
      <c r="BF72" s="26">
        <f>IFERROR(__xludf.DUMMYFUNCTION("""COMPUTED_VALUE"""),172.95)</f>
        <v>172.95</v>
      </c>
      <c r="BG72" s="26">
        <f>IFERROR(__xludf.DUMMYFUNCTION("""COMPUTED_VALUE"""),8.4)</f>
        <v>8.4</v>
      </c>
      <c r="BH72" s="26">
        <f>IFERROR(__xludf.DUMMYFUNCTION("""COMPUTED_VALUE"""),245.73)</f>
        <v>245.73</v>
      </c>
      <c r="BI72" s="26">
        <f>IFERROR(__xludf.DUMMYFUNCTION("""COMPUTED_VALUE"""),578.07)</f>
        <v>578.07</v>
      </c>
      <c r="BJ72" s="26">
        <f>IFERROR(__xludf.DUMMYFUNCTION("""COMPUTED_VALUE"""),48.75)</f>
        <v>48.75</v>
      </c>
      <c r="BK72" s="26">
        <f>IFERROR(__xludf.DUMMYFUNCTION("""COMPUTED_VALUE"""),11.72)</f>
        <v>11.72</v>
      </c>
      <c r="BL72" s="26">
        <f>IFERROR(__xludf.DUMMYFUNCTION("""COMPUTED_VALUE"""),209.38)</f>
        <v>209.38</v>
      </c>
      <c r="BM72" s="26">
        <f>IFERROR(__xludf.DUMMYFUNCTION("""COMPUTED_VALUE"""),90.72)</f>
        <v>90.72</v>
      </c>
    </row>
    <row r="73">
      <c r="A73" s="25">
        <v>45526.66666666667</v>
      </c>
      <c r="B73" s="17">
        <f>IFERROR(__xludf.DUMMYFUNCTION("""COMPUTED_VALUE"""),5570.64)</f>
        <v>5570.64</v>
      </c>
      <c r="C73" s="17">
        <f>IFERROR(__xludf.DUMMYFUNCTION("""COMPUTED_VALUE"""),17619.35)</f>
        <v>17619.35</v>
      </c>
      <c r="D73" s="17">
        <f>IFERROR(__xludf.DUMMYFUNCTION("""COMPUTED_VALUE"""),40712.78)</f>
        <v>40712.78</v>
      </c>
      <c r="E73" s="17">
        <f>IFERROR(__xludf.DUMMYFUNCTION("""COMPUTED_VALUE"""),2150.03)</f>
        <v>2150.03</v>
      </c>
      <c r="F73" s="26">
        <f>IFERROR(__xludf.DUMMYFUNCTION("""COMPUTED_VALUE"""),557.44)</f>
        <v>557.44</v>
      </c>
      <c r="G73" s="26">
        <f>IFERROR(__xludf.DUMMYFUNCTION("""COMPUTED_VALUE"""),176.13)</f>
        <v>176.13</v>
      </c>
      <c r="H73" s="26">
        <f>IFERROR(__xludf.DUMMYFUNCTION("""COMPUTED_VALUE"""),140.02)</f>
        <v>140.02</v>
      </c>
      <c r="I73" s="26">
        <f>IFERROR(__xludf.DUMMYFUNCTION("""COMPUTED_VALUE"""),224.53)</f>
        <v>224.53</v>
      </c>
      <c r="J73" s="26">
        <f>IFERROR(__xludf.DUMMYFUNCTION("""COMPUTED_VALUE"""),200.2)</f>
        <v>200.2</v>
      </c>
      <c r="K73" s="26">
        <f>IFERROR(__xludf.DUMMYFUNCTION("""COMPUTED_VALUE"""),65.49)</f>
        <v>65.49</v>
      </c>
      <c r="L73" s="26">
        <f>IFERROR(__xludf.DUMMYFUNCTION("""COMPUTED_VALUE"""),11.9)</f>
        <v>11.9</v>
      </c>
      <c r="M73" s="26">
        <f>IFERROR(__xludf.DUMMYFUNCTION("""COMPUTED_VALUE"""),449.03)</f>
        <v>449.03</v>
      </c>
      <c r="N73" s="26">
        <f>IFERROR(__xludf.DUMMYFUNCTION("""COMPUTED_VALUE"""),54.29)</f>
        <v>54.29</v>
      </c>
      <c r="O73" s="26">
        <f>IFERROR(__xludf.DUMMYFUNCTION("""COMPUTED_VALUE"""),203.32)</f>
        <v>203.32</v>
      </c>
      <c r="P73" s="26">
        <f>IFERROR(__xludf.DUMMYFUNCTION("""COMPUTED_VALUE"""),69.58)</f>
        <v>69.58</v>
      </c>
      <c r="Q73" s="26">
        <f>IFERROR(__xludf.DUMMYFUNCTION("""COMPUTED_VALUE"""),342.36)</f>
        <v>342.36</v>
      </c>
      <c r="R73" s="26">
        <f>IFERROR(__xludf.DUMMYFUNCTION("""COMPUTED_VALUE"""),40.36)</f>
        <v>40.36</v>
      </c>
      <c r="S73" s="26">
        <f>IFERROR(__xludf.DUMMYFUNCTION("""COMPUTED_VALUE"""),190.35)</f>
        <v>190.35</v>
      </c>
      <c r="T73" s="26">
        <f>IFERROR(__xludf.DUMMYFUNCTION("""COMPUTED_VALUE"""),145.73)</f>
        <v>145.73</v>
      </c>
      <c r="U73" s="26">
        <f>IFERROR(__xludf.DUMMYFUNCTION("""COMPUTED_VALUE"""),346.47)</f>
        <v>346.47</v>
      </c>
      <c r="V73" s="26">
        <f>IFERROR(__xludf.DUMMYFUNCTION("""COMPUTED_VALUE"""),41.38)</f>
        <v>41.38</v>
      </c>
      <c r="W73" s="26">
        <f>IFERROR(__xludf.DUMMYFUNCTION("""COMPUTED_VALUE"""),69.33)</f>
        <v>69.33</v>
      </c>
      <c r="X73" s="26">
        <f>IFERROR(__xludf.DUMMYFUNCTION("""COMPUTED_VALUE"""),100.67)</f>
        <v>100.67</v>
      </c>
      <c r="Y73" s="26">
        <f>IFERROR(__xludf.DUMMYFUNCTION("""COMPUTED_VALUE"""),150.69)</f>
        <v>150.69</v>
      </c>
      <c r="Z73" s="26">
        <f>IFERROR(__xludf.DUMMYFUNCTION("""COMPUTED_VALUE"""),97.96)</f>
        <v>97.96</v>
      </c>
      <c r="AA73" s="26">
        <f>IFERROR(__xludf.DUMMYFUNCTION("""COMPUTED_VALUE"""),416.23)</f>
        <v>416.23</v>
      </c>
      <c r="AB73" s="26">
        <f>IFERROR(__xludf.DUMMYFUNCTION("""COMPUTED_VALUE"""),59.02)</f>
        <v>59.02</v>
      </c>
      <c r="AC73" s="26">
        <f>IFERROR(__xludf.DUMMYFUNCTION("""COMPUTED_VALUE"""),114.73)</f>
        <v>114.73</v>
      </c>
      <c r="AD73" s="26">
        <f>IFERROR(__xludf.DUMMYFUNCTION("""COMPUTED_VALUE"""),294.28)</f>
        <v>294.28</v>
      </c>
      <c r="AE73" s="26">
        <f>IFERROR(__xludf.DUMMYFUNCTION("""COMPUTED_VALUE"""),477.04)</f>
        <v>477.04</v>
      </c>
      <c r="AF73" s="26">
        <f>IFERROR(__xludf.DUMMYFUNCTION("""COMPUTED_VALUE"""),293.45)</f>
        <v>293.45</v>
      </c>
      <c r="AG73" s="26">
        <f>IFERROR(__xludf.DUMMYFUNCTION("""COMPUTED_VALUE"""),46.46)</f>
        <v>46.46</v>
      </c>
      <c r="AH73" s="26">
        <f>IFERROR(__xludf.DUMMYFUNCTION("""COMPUTED_VALUE"""),75.9)</f>
        <v>75.9</v>
      </c>
      <c r="AI73" s="26">
        <f>IFERROR(__xludf.DUMMYFUNCTION("""COMPUTED_VALUE"""),497.75)</f>
        <v>497.75</v>
      </c>
      <c r="AJ73" s="26">
        <f>IFERROR(__xludf.DUMMYFUNCTION("""COMPUTED_VALUE"""),365.36)</f>
        <v>365.36</v>
      </c>
      <c r="AK73" s="26">
        <f>IFERROR(__xludf.DUMMYFUNCTION("""COMPUTED_VALUE"""),105.29)</f>
        <v>105.29</v>
      </c>
      <c r="AL73" s="26">
        <f>IFERROR(__xludf.DUMMYFUNCTION("""COMPUTED_VALUE"""),158.6)</f>
        <v>158.6</v>
      </c>
      <c r="AM73" s="26">
        <f>IFERROR(__xludf.DUMMYFUNCTION("""COMPUTED_VALUE"""),490.43)</f>
        <v>490.43</v>
      </c>
      <c r="AN73" s="26">
        <f>IFERROR(__xludf.DUMMYFUNCTION("""COMPUTED_VALUE"""),216.63)</f>
        <v>216.63</v>
      </c>
      <c r="AO73" s="26">
        <f>IFERROR(__xludf.DUMMYFUNCTION("""COMPUTED_VALUE"""),557.03)</f>
        <v>557.03</v>
      </c>
      <c r="AP73" s="26">
        <f>IFERROR(__xludf.DUMMYFUNCTION("""COMPUTED_VALUE"""),263.45)</f>
        <v>263.45</v>
      </c>
      <c r="AQ73" s="26">
        <f>IFERROR(__xludf.DUMMYFUNCTION("""COMPUTED_VALUE"""),26.18)</f>
        <v>26.18</v>
      </c>
      <c r="AR73" s="26">
        <f>IFERROR(__xludf.DUMMYFUNCTION("""COMPUTED_VALUE"""),87.83)</f>
        <v>87.83</v>
      </c>
      <c r="AS73" s="26">
        <f>IFERROR(__xludf.DUMMYFUNCTION("""COMPUTED_VALUE"""),73.85)</f>
        <v>73.85</v>
      </c>
      <c r="AT73" s="26">
        <f>IFERROR(__xludf.DUMMYFUNCTION("""COMPUTED_VALUE"""),415.55)</f>
        <v>415.55</v>
      </c>
      <c r="AU73" s="26">
        <f>IFERROR(__xludf.DUMMYFUNCTION("""COMPUTED_VALUE"""),78.92)</f>
        <v>78.92</v>
      </c>
      <c r="AV73" s="26">
        <f>IFERROR(__xludf.DUMMYFUNCTION("""COMPUTED_VALUE"""),123.74)</f>
        <v>123.74</v>
      </c>
      <c r="AW73" s="26">
        <f>IFERROR(__xludf.DUMMYFUNCTION("""COMPUTED_VALUE"""),93.72)</f>
        <v>93.72</v>
      </c>
      <c r="AX73" s="26">
        <f>IFERROR(__xludf.DUMMYFUNCTION("""COMPUTED_VALUE"""),43.19)</f>
        <v>43.19</v>
      </c>
      <c r="AY73" s="26">
        <f>IFERROR(__xludf.DUMMYFUNCTION("""COMPUTED_VALUE"""),31.92)</f>
        <v>31.92</v>
      </c>
      <c r="AZ73" s="26">
        <f>IFERROR(__xludf.DUMMYFUNCTION("""COMPUTED_VALUE"""),71.52)</f>
        <v>71.52</v>
      </c>
      <c r="BA73" s="26">
        <f>IFERROR(__xludf.DUMMYFUNCTION("""COMPUTED_VALUE"""),28.78)</f>
        <v>28.78</v>
      </c>
      <c r="BB73" s="26">
        <f>IFERROR(__xludf.DUMMYFUNCTION("""COMPUTED_VALUE"""),118.02)</f>
        <v>118.02</v>
      </c>
      <c r="BC73" s="26">
        <f>IFERROR(__xludf.DUMMYFUNCTION("""COMPUTED_VALUE"""),196.44)</f>
        <v>196.44</v>
      </c>
      <c r="BD73" s="26">
        <f>IFERROR(__xludf.DUMMYFUNCTION("""COMPUTED_VALUE"""),603.86)</f>
        <v>603.86</v>
      </c>
      <c r="BE73" s="26">
        <f>IFERROR(__xludf.DUMMYFUNCTION("""COMPUTED_VALUE"""),181.5)</f>
        <v>181.5</v>
      </c>
      <c r="BF73" s="26">
        <f>IFERROR(__xludf.DUMMYFUNCTION("""COMPUTED_VALUE"""),173.34)</f>
        <v>173.34</v>
      </c>
      <c r="BG73" s="26">
        <f>IFERROR(__xludf.DUMMYFUNCTION("""COMPUTED_VALUE"""),8.3)</f>
        <v>8.3</v>
      </c>
      <c r="BH73" s="26">
        <f>IFERROR(__xludf.DUMMYFUNCTION("""COMPUTED_VALUE"""),244.32)</f>
        <v>244.32</v>
      </c>
      <c r="BI73" s="26">
        <f>IFERROR(__xludf.DUMMYFUNCTION("""COMPUTED_VALUE"""),578.72)</f>
        <v>578.72</v>
      </c>
      <c r="BJ73" s="26">
        <f>IFERROR(__xludf.DUMMYFUNCTION("""COMPUTED_VALUE"""),48.69)</f>
        <v>48.69</v>
      </c>
      <c r="BK73" s="26">
        <f>IFERROR(__xludf.DUMMYFUNCTION("""COMPUTED_VALUE"""),11.7)</f>
        <v>11.7</v>
      </c>
      <c r="BL73" s="26">
        <f>IFERROR(__xludf.DUMMYFUNCTION("""COMPUTED_VALUE"""),210.12)</f>
        <v>210.12</v>
      </c>
      <c r="BM73" s="26">
        <f>IFERROR(__xludf.DUMMYFUNCTION("""COMPUTED_VALUE"""),89.92)</f>
        <v>89.92</v>
      </c>
    </row>
    <row r="74">
      <c r="A74" s="25">
        <v>45527.66666666667</v>
      </c>
      <c r="B74" s="17">
        <f>IFERROR(__xludf.DUMMYFUNCTION("""COMPUTED_VALUE"""),5634.61)</f>
        <v>5634.61</v>
      </c>
      <c r="C74" s="17">
        <f>IFERROR(__xludf.DUMMYFUNCTION("""COMPUTED_VALUE"""),17877.79)</f>
        <v>17877.79</v>
      </c>
      <c r="D74" s="17">
        <f>IFERROR(__xludf.DUMMYFUNCTION("""COMPUTED_VALUE"""),41175.08)</f>
        <v>41175.08</v>
      </c>
      <c r="E74" s="17">
        <f>IFERROR(__xludf.DUMMYFUNCTION("""COMPUTED_VALUE"""),2218.7)</f>
        <v>2218.7</v>
      </c>
      <c r="F74" s="26">
        <f>IFERROR(__xludf.DUMMYFUNCTION("""COMPUTED_VALUE"""),558.3)</f>
        <v>558.3</v>
      </c>
      <c r="G74" s="26">
        <f>IFERROR(__xludf.DUMMYFUNCTION("""COMPUTED_VALUE"""),177.04)</f>
        <v>177.04</v>
      </c>
      <c r="H74" s="26">
        <f>IFERROR(__xludf.DUMMYFUNCTION("""COMPUTED_VALUE"""),140.42)</f>
        <v>140.42</v>
      </c>
      <c r="I74" s="26">
        <f>IFERROR(__xludf.DUMMYFUNCTION("""COMPUTED_VALUE"""),226.84)</f>
        <v>226.84</v>
      </c>
      <c r="J74" s="26">
        <f>IFERROR(__xludf.DUMMYFUNCTION("""COMPUTED_VALUE"""),202.67)</f>
        <v>202.67</v>
      </c>
      <c r="K74" s="26">
        <f>IFERROR(__xludf.DUMMYFUNCTION("""COMPUTED_VALUE"""),66.4)</f>
        <v>66.4</v>
      </c>
      <c r="L74" s="26">
        <f>IFERROR(__xludf.DUMMYFUNCTION("""COMPUTED_VALUE"""),12.22)</f>
        <v>12.22</v>
      </c>
      <c r="M74" s="26">
        <f>IFERROR(__xludf.DUMMYFUNCTION("""COMPUTED_VALUE"""),453.38)</f>
        <v>453.38</v>
      </c>
      <c r="N74" s="26">
        <f>IFERROR(__xludf.DUMMYFUNCTION("""COMPUTED_VALUE"""),55.19)</f>
        <v>55.19</v>
      </c>
      <c r="O74" s="26">
        <f>IFERROR(__xludf.DUMMYFUNCTION("""COMPUTED_VALUE"""),205.0)</f>
        <v>205</v>
      </c>
      <c r="P74" s="26">
        <f>IFERROR(__xludf.DUMMYFUNCTION("""COMPUTED_VALUE"""),71.25)</f>
        <v>71.25</v>
      </c>
      <c r="Q74" s="26">
        <f>IFERROR(__xludf.DUMMYFUNCTION("""COMPUTED_VALUE"""),348.41)</f>
        <v>348.41</v>
      </c>
      <c r="R74" s="26">
        <f>IFERROR(__xludf.DUMMYFUNCTION("""COMPUTED_VALUE"""),42.61)</f>
        <v>42.61</v>
      </c>
      <c r="S74" s="26">
        <f>IFERROR(__xludf.DUMMYFUNCTION("""COMPUTED_VALUE"""),190.31)</f>
        <v>190.31</v>
      </c>
      <c r="T74" s="26">
        <f>IFERROR(__xludf.DUMMYFUNCTION("""COMPUTED_VALUE"""),147.62)</f>
        <v>147.62</v>
      </c>
      <c r="U74" s="26">
        <f>IFERROR(__xludf.DUMMYFUNCTION("""COMPUTED_VALUE"""),353.99)</f>
        <v>353.99</v>
      </c>
      <c r="V74" s="26">
        <f>IFERROR(__xludf.DUMMYFUNCTION("""COMPUTED_VALUE"""),42.89)</f>
        <v>42.89</v>
      </c>
      <c r="W74" s="26">
        <f>IFERROR(__xludf.DUMMYFUNCTION("""COMPUTED_VALUE"""),69.79)</f>
        <v>69.79</v>
      </c>
      <c r="X74" s="26">
        <f>IFERROR(__xludf.DUMMYFUNCTION("""COMPUTED_VALUE"""),100.6)</f>
        <v>100.6</v>
      </c>
      <c r="Y74" s="26">
        <f>IFERROR(__xludf.DUMMYFUNCTION("""COMPUTED_VALUE"""),152.18)</f>
        <v>152.18</v>
      </c>
      <c r="Z74" s="26">
        <f>IFERROR(__xludf.DUMMYFUNCTION("""COMPUTED_VALUE"""),97.0)</f>
        <v>97</v>
      </c>
      <c r="AA74" s="26">
        <f>IFERROR(__xludf.DUMMYFUNCTION("""COMPUTED_VALUE"""),425.28)</f>
        <v>425.28</v>
      </c>
      <c r="AB74" s="26">
        <f>IFERROR(__xludf.DUMMYFUNCTION("""COMPUTED_VALUE"""),58.88)</f>
        <v>58.88</v>
      </c>
      <c r="AC74" s="26">
        <f>IFERROR(__xludf.DUMMYFUNCTION("""COMPUTED_VALUE"""),116.32)</f>
        <v>116.32</v>
      </c>
      <c r="AD74" s="26">
        <f>IFERROR(__xludf.DUMMYFUNCTION("""COMPUTED_VALUE"""),297.18)</f>
        <v>297.18</v>
      </c>
      <c r="AE74" s="26">
        <f>IFERROR(__xludf.DUMMYFUNCTION("""COMPUTED_VALUE"""),483.94)</f>
        <v>483.94</v>
      </c>
      <c r="AF74" s="26">
        <f>IFERROR(__xludf.DUMMYFUNCTION("""COMPUTED_VALUE"""),291.45)</f>
        <v>291.45</v>
      </c>
      <c r="AG74" s="26">
        <f>IFERROR(__xludf.DUMMYFUNCTION("""COMPUTED_VALUE"""),48.57)</f>
        <v>48.57</v>
      </c>
      <c r="AH74" s="26">
        <f>IFERROR(__xludf.DUMMYFUNCTION("""COMPUTED_VALUE"""),76.72)</f>
        <v>76.72</v>
      </c>
      <c r="AI74" s="26">
        <f>IFERROR(__xludf.DUMMYFUNCTION("""COMPUTED_VALUE"""),509.42)</f>
        <v>509.42</v>
      </c>
      <c r="AJ74" s="26">
        <f>IFERROR(__xludf.DUMMYFUNCTION("""COMPUTED_VALUE"""),375.59)</f>
        <v>375.59</v>
      </c>
      <c r="AK74" s="26">
        <f>IFERROR(__xludf.DUMMYFUNCTION("""COMPUTED_VALUE"""),107.64)</f>
        <v>107.64</v>
      </c>
      <c r="AL74" s="26">
        <f>IFERROR(__xludf.DUMMYFUNCTION("""COMPUTED_VALUE"""),160.01)</f>
        <v>160.01</v>
      </c>
      <c r="AM74" s="26">
        <f>IFERROR(__xludf.DUMMYFUNCTION("""COMPUTED_VALUE"""),486.55)</f>
        <v>486.55</v>
      </c>
      <c r="AN74" s="26">
        <f>IFERROR(__xludf.DUMMYFUNCTION("""COMPUTED_VALUE"""),218.31)</f>
        <v>218.31</v>
      </c>
      <c r="AO74" s="26">
        <f>IFERROR(__xludf.DUMMYFUNCTION("""COMPUTED_VALUE"""),555.01)</f>
        <v>555.01</v>
      </c>
      <c r="AP74" s="26">
        <f>IFERROR(__xludf.DUMMYFUNCTION("""COMPUTED_VALUE"""),268.55)</f>
        <v>268.55</v>
      </c>
      <c r="AQ74" s="26">
        <f>IFERROR(__xludf.DUMMYFUNCTION("""COMPUTED_VALUE"""),27.15)</f>
        <v>27.15</v>
      </c>
      <c r="AR74" s="26">
        <f>IFERROR(__xludf.DUMMYFUNCTION("""COMPUTED_VALUE"""),88.35)</f>
        <v>88.35</v>
      </c>
      <c r="AS74" s="26">
        <f>IFERROR(__xludf.DUMMYFUNCTION("""COMPUTED_VALUE"""),74.34)</f>
        <v>74.34</v>
      </c>
      <c r="AT74" s="26">
        <f>IFERROR(__xludf.DUMMYFUNCTION("""COMPUTED_VALUE"""),416.79)</f>
        <v>416.79</v>
      </c>
      <c r="AU74" s="26">
        <f>IFERROR(__xludf.DUMMYFUNCTION("""COMPUTED_VALUE"""),79.66)</f>
        <v>79.66</v>
      </c>
      <c r="AV74" s="26">
        <f>IFERROR(__xludf.DUMMYFUNCTION("""COMPUTED_VALUE"""),129.37)</f>
        <v>129.37</v>
      </c>
      <c r="AW74" s="26">
        <f>IFERROR(__xludf.DUMMYFUNCTION("""COMPUTED_VALUE"""),94.2)</f>
        <v>94.2</v>
      </c>
      <c r="AX74" s="26">
        <f>IFERROR(__xludf.DUMMYFUNCTION("""COMPUTED_VALUE"""),44.57)</f>
        <v>44.57</v>
      </c>
      <c r="AY74" s="26">
        <f>IFERROR(__xludf.DUMMYFUNCTION("""COMPUTED_VALUE"""),31.78)</f>
        <v>31.78</v>
      </c>
      <c r="AZ74" s="26">
        <f>IFERROR(__xludf.DUMMYFUNCTION("""COMPUTED_VALUE"""),71.7)</f>
        <v>71.7</v>
      </c>
      <c r="BA74" s="26">
        <f>IFERROR(__xludf.DUMMYFUNCTION("""COMPUTED_VALUE"""),28.9)</f>
        <v>28.9</v>
      </c>
      <c r="BB74" s="26">
        <f>IFERROR(__xludf.DUMMYFUNCTION("""COMPUTED_VALUE"""),118.52)</f>
        <v>118.52</v>
      </c>
      <c r="BC74" s="26">
        <f>IFERROR(__xludf.DUMMYFUNCTION("""COMPUTED_VALUE"""),198.58)</f>
        <v>198.58</v>
      </c>
      <c r="BD74" s="26">
        <f>IFERROR(__xludf.DUMMYFUNCTION("""COMPUTED_VALUE"""),606.12)</f>
        <v>606.12</v>
      </c>
      <c r="BE74" s="26">
        <f>IFERROR(__xludf.DUMMYFUNCTION("""COMPUTED_VALUE"""),185.09)</f>
        <v>185.09</v>
      </c>
      <c r="BF74" s="26">
        <f>IFERROR(__xludf.DUMMYFUNCTION("""COMPUTED_VALUE"""),175.66)</f>
        <v>175.66</v>
      </c>
      <c r="BG74" s="26">
        <f>IFERROR(__xludf.DUMMYFUNCTION("""COMPUTED_VALUE"""),8.58)</f>
        <v>8.58</v>
      </c>
      <c r="BH74" s="26">
        <f>IFERROR(__xludf.DUMMYFUNCTION("""COMPUTED_VALUE"""),246.85)</f>
        <v>246.85</v>
      </c>
      <c r="BI74" s="26">
        <f>IFERROR(__xludf.DUMMYFUNCTION("""COMPUTED_VALUE"""),584.51)</f>
        <v>584.51</v>
      </c>
      <c r="BJ74" s="26">
        <f>IFERROR(__xludf.DUMMYFUNCTION("""COMPUTED_VALUE"""),48.83)</f>
        <v>48.83</v>
      </c>
      <c r="BK74" s="26">
        <f>IFERROR(__xludf.DUMMYFUNCTION("""COMPUTED_VALUE"""),11.76)</f>
        <v>11.76</v>
      </c>
      <c r="BL74" s="26">
        <f>IFERROR(__xludf.DUMMYFUNCTION("""COMPUTED_VALUE"""),209.98)</f>
        <v>209.98</v>
      </c>
      <c r="BM74" s="26">
        <f>IFERROR(__xludf.DUMMYFUNCTION("""COMPUTED_VALUE"""),90.56)</f>
        <v>90.56</v>
      </c>
    </row>
    <row r="75">
      <c r="A75" s="25">
        <v>45530.66666666667</v>
      </c>
      <c r="B75" s="17">
        <f>IFERROR(__xludf.DUMMYFUNCTION("""COMPUTED_VALUE"""),5616.84)</f>
        <v>5616.84</v>
      </c>
      <c r="C75" s="17">
        <f>IFERROR(__xludf.DUMMYFUNCTION("""COMPUTED_VALUE"""),17725.77)</f>
        <v>17725.77</v>
      </c>
      <c r="D75" s="17">
        <f>IFERROR(__xludf.DUMMYFUNCTION("""COMPUTED_VALUE"""),41240.52)</f>
        <v>41240.52</v>
      </c>
      <c r="E75" s="17">
        <f>IFERROR(__xludf.DUMMYFUNCTION("""COMPUTED_VALUE"""),2217.92)</f>
        <v>2217.92</v>
      </c>
      <c r="F75" s="26">
        <f>IFERROR(__xludf.DUMMYFUNCTION("""COMPUTED_VALUE"""),559.44)</f>
        <v>559.44</v>
      </c>
      <c r="G75" s="26">
        <f>IFERROR(__xludf.DUMMYFUNCTION("""COMPUTED_VALUE"""),175.5)</f>
        <v>175.5</v>
      </c>
      <c r="H75" s="26">
        <f>IFERROR(__xludf.DUMMYFUNCTION("""COMPUTED_VALUE"""),141.06)</f>
        <v>141.06</v>
      </c>
      <c r="I75" s="26">
        <f>IFERROR(__xludf.DUMMYFUNCTION("""COMPUTED_VALUE"""),227.18)</f>
        <v>227.18</v>
      </c>
      <c r="J75" s="26">
        <f>IFERROR(__xludf.DUMMYFUNCTION("""COMPUTED_VALUE"""),196.23)</f>
        <v>196.23</v>
      </c>
      <c r="K75" s="26">
        <f>IFERROR(__xludf.DUMMYFUNCTION("""COMPUTED_VALUE"""),67.0)</f>
        <v>67</v>
      </c>
      <c r="L75" s="26">
        <f>IFERROR(__xludf.DUMMYFUNCTION("""COMPUTED_VALUE"""),12.21)</f>
        <v>12.21</v>
      </c>
      <c r="M75" s="26">
        <f>IFERROR(__xludf.DUMMYFUNCTION("""COMPUTED_VALUE"""),454.49)</f>
        <v>454.49</v>
      </c>
      <c r="N75" s="26">
        <f>IFERROR(__xludf.DUMMYFUNCTION("""COMPUTED_VALUE"""),55.51)</f>
        <v>55.51</v>
      </c>
      <c r="O75" s="26">
        <f>IFERROR(__xludf.DUMMYFUNCTION("""COMPUTED_VALUE"""),204.86)</f>
        <v>204.86</v>
      </c>
      <c r="P75" s="26">
        <f>IFERROR(__xludf.DUMMYFUNCTION("""COMPUTED_VALUE"""),71.7)</f>
        <v>71.7</v>
      </c>
      <c r="Q75" s="26">
        <f>IFERROR(__xludf.DUMMYFUNCTION("""COMPUTED_VALUE"""),351.16)</f>
        <v>351.16</v>
      </c>
      <c r="R75" s="26">
        <f>IFERROR(__xludf.DUMMYFUNCTION("""COMPUTED_VALUE"""),42.33)</f>
        <v>42.33</v>
      </c>
      <c r="S75" s="26">
        <f>IFERROR(__xludf.DUMMYFUNCTION("""COMPUTED_VALUE"""),189.51)</f>
        <v>189.51</v>
      </c>
      <c r="T75" s="26">
        <f>IFERROR(__xludf.DUMMYFUNCTION("""COMPUTED_VALUE"""),148.5)</f>
        <v>148.5</v>
      </c>
      <c r="U75" s="26">
        <f>IFERROR(__xludf.DUMMYFUNCTION("""COMPUTED_VALUE"""),353.94)</f>
        <v>353.94</v>
      </c>
      <c r="V75" s="26">
        <f>IFERROR(__xludf.DUMMYFUNCTION("""COMPUTED_VALUE"""),42.71)</f>
        <v>42.71</v>
      </c>
      <c r="W75" s="26">
        <f>IFERROR(__xludf.DUMMYFUNCTION("""COMPUTED_VALUE"""),70.84)</f>
        <v>70.84</v>
      </c>
      <c r="X75" s="26">
        <f>IFERROR(__xludf.DUMMYFUNCTION("""COMPUTED_VALUE"""),100.9)</f>
        <v>100.9</v>
      </c>
      <c r="Y75" s="26">
        <f>IFERROR(__xludf.DUMMYFUNCTION("""COMPUTED_VALUE"""),150.59)</f>
        <v>150.59</v>
      </c>
      <c r="Z75" s="26">
        <f>IFERROR(__xludf.DUMMYFUNCTION("""COMPUTED_VALUE"""),96.55)</f>
        <v>96.55</v>
      </c>
      <c r="AA75" s="26">
        <f>IFERROR(__xludf.DUMMYFUNCTION("""COMPUTED_VALUE"""),424.48)</f>
        <v>424.48</v>
      </c>
      <c r="AB75" s="26">
        <f>IFERROR(__xludf.DUMMYFUNCTION("""COMPUTED_VALUE"""),59.0)</f>
        <v>59</v>
      </c>
      <c r="AC75" s="26">
        <f>IFERROR(__xludf.DUMMYFUNCTION("""COMPUTED_VALUE"""),118.81)</f>
        <v>118.81</v>
      </c>
      <c r="AD75" s="26">
        <f>IFERROR(__xludf.DUMMYFUNCTION("""COMPUTED_VALUE"""),297.24)</f>
        <v>297.24</v>
      </c>
      <c r="AE75" s="26">
        <f>IFERROR(__xludf.DUMMYFUNCTION("""COMPUTED_VALUE"""),479.85)</f>
        <v>479.85</v>
      </c>
      <c r="AF75" s="26">
        <f>IFERROR(__xludf.DUMMYFUNCTION("""COMPUTED_VALUE"""),291.0)</f>
        <v>291</v>
      </c>
      <c r="AG75" s="26">
        <f>IFERROR(__xludf.DUMMYFUNCTION("""COMPUTED_VALUE"""),48.75)</f>
        <v>48.75</v>
      </c>
      <c r="AH75" s="26">
        <f>IFERROR(__xludf.DUMMYFUNCTION("""COMPUTED_VALUE"""),76.96)</f>
        <v>76.96</v>
      </c>
      <c r="AI75" s="26">
        <f>IFERROR(__xludf.DUMMYFUNCTION("""COMPUTED_VALUE"""),507.87)</f>
        <v>507.87</v>
      </c>
      <c r="AJ75" s="26">
        <f>IFERROR(__xludf.DUMMYFUNCTION("""COMPUTED_VALUE"""),374.11)</f>
        <v>374.11</v>
      </c>
      <c r="AK75" s="26">
        <f>IFERROR(__xludf.DUMMYFUNCTION("""COMPUTED_VALUE"""),107.57)</f>
        <v>107.57</v>
      </c>
      <c r="AL75" s="26">
        <f>IFERROR(__xludf.DUMMYFUNCTION("""COMPUTED_VALUE"""),160.31)</f>
        <v>160.31</v>
      </c>
      <c r="AM75" s="26">
        <f>IFERROR(__xludf.DUMMYFUNCTION("""COMPUTED_VALUE"""),479.19)</f>
        <v>479.19</v>
      </c>
      <c r="AN75" s="26">
        <f>IFERROR(__xludf.DUMMYFUNCTION("""COMPUTED_VALUE"""),219.17)</f>
        <v>219.17</v>
      </c>
      <c r="AO75" s="26">
        <f>IFERROR(__xludf.DUMMYFUNCTION("""COMPUTED_VALUE"""),558.1)</f>
        <v>558.1</v>
      </c>
      <c r="AP75" s="26">
        <f>IFERROR(__xludf.DUMMYFUNCTION("""COMPUTED_VALUE"""),271.66)</f>
        <v>271.66</v>
      </c>
      <c r="AQ75" s="26">
        <f>IFERROR(__xludf.DUMMYFUNCTION("""COMPUTED_VALUE"""),27.18)</f>
        <v>27.18</v>
      </c>
      <c r="AR75" s="26">
        <f>IFERROR(__xludf.DUMMYFUNCTION("""COMPUTED_VALUE"""),89.34)</f>
        <v>89.34</v>
      </c>
      <c r="AS75" s="26">
        <f>IFERROR(__xludf.DUMMYFUNCTION("""COMPUTED_VALUE"""),74.74)</f>
        <v>74.74</v>
      </c>
      <c r="AT75" s="26">
        <f>IFERROR(__xludf.DUMMYFUNCTION("""COMPUTED_VALUE"""),413.49)</f>
        <v>413.49</v>
      </c>
      <c r="AU75" s="26">
        <f>IFERROR(__xludf.DUMMYFUNCTION("""COMPUTED_VALUE"""),80.64)</f>
        <v>80.64</v>
      </c>
      <c r="AV75" s="26">
        <f>IFERROR(__xludf.DUMMYFUNCTION("""COMPUTED_VALUE"""),126.46)</f>
        <v>126.46</v>
      </c>
      <c r="AW75" s="26">
        <f>IFERROR(__xludf.DUMMYFUNCTION("""COMPUTED_VALUE"""),93.65)</f>
        <v>93.65</v>
      </c>
      <c r="AX75" s="26">
        <f>IFERROR(__xludf.DUMMYFUNCTION("""COMPUTED_VALUE"""),45.9)</f>
        <v>45.9</v>
      </c>
      <c r="AY75" s="26">
        <f>IFERROR(__xludf.DUMMYFUNCTION("""COMPUTED_VALUE"""),30.85)</f>
        <v>30.85</v>
      </c>
      <c r="AZ75" s="26">
        <f>IFERROR(__xludf.DUMMYFUNCTION("""COMPUTED_VALUE"""),72.04)</f>
        <v>72.04</v>
      </c>
      <c r="BA75" s="26">
        <f>IFERROR(__xludf.DUMMYFUNCTION("""COMPUTED_VALUE"""),28.92)</f>
        <v>28.92</v>
      </c>
      <c r="BB75" s="26">
        <f>IFERROR(__xludf.DUMMYFUNCTION("""COMPUTED_VALUE"""),118.7)</f>
        <v>118.7</v>
      </c>
      <c r="BC75" s="26">
        <f>IFERROR(__xludf.DUMMYFUNCTION("""COMPUTED_VALUE"""),200.43)</f>
        <v>200.43</v>
      </c>
      <c r="BD75" s="26">
        <f>IFERROR(__xludf.DUMMYFUNCTION("""COMPUTED_VALUE"""),605.59)</f>
        <v>605.59</v>
      </c>
      <c r="BE75" s="26">
        <f>IFERROR(__xludf.DUMMYFUNCTION("""COMPUTED_VALUE"""),180.57)</f>
        <v>180.57</v>
      </c>
      <c r="BF75" s="26">
        <f>IFERROR(__xludf.DUMMYFUNCTION("""COMPUTED_VALUE"""),170.17)</f>
        <v>170.17</v>
      </c>
      <c r="BG75" s="26">
        <f>IFERROR(__xludf.DUMMYFUNCTION("""COMPUTED_VALUE"""),8.42)</f>
        <v>8.42</v>
      </c>
      <c r="BH75" s="26">
        <f>IFERROR(__xludf.DUMMYFUNCTION("""COMPUTED_VALUE"""),247.84)</f>
        <v>247.84</v>
      </c>
      <c r="BI75" s="26">
        <f>IFERROR(__xludf.DUMMYFUNCTION("""COMPUTED_VALUE"""),587.13)</f>
        <v>587.13</v>
      </c>
      <c r="BJ75" s="26">
        <f>IFERROR(__xludf.DUMMYFUNCTION("""COMPUTED_VALUE"""),48.85)</f>
        <v>48.85</v>
      </c>
      <c r="BK75" s="26">
        <f>IFERROR(__xludf.DUMMYFUNCTION("""COMPUTED_VALUE"""),11.75)</f>
        <v>11.75</v>
      </c>
      <c r="BL75" s="26">
        <f>IFERROR(__xludf.DUMMYFUNCTION("""COMPUTED_VALUE"""),208.82)</f>
        <v>208.82</v>
      </c>
      <c r="BM75" s="26">
        <f>IFERROR(__xludf.DUMMYFUNCTION("""COMPUTED_VALUE"""),91.78)</f>
        <v>91.78</v>
      </c>
    </row>
    <row r="76">
      <c r="A76" s="25">
        <v>45531.66666666667</v>
      </c>
      <c r="B76" s="17">
        <f>IFERROR(__xludf.DUMMYFUNCTION("""COMPUTED_VALUE"""),5625.8)</f>
        <v>5625.8</v>
      </c>
      <c r="C76" s="17">
        <f>IFERROR(__xludf.DUMMYFUNCTION("""COMPUTED_VALUE"""),17754.82)</f>
        <v>17754.82</v>
      </c>
      <c r="D76" s="17">
        <f>IFERROR(__xludf.DUMMYFUNCTION("""COMPUTED_VALUE"""),41250.5)</f>
        <v>41250.5</v>
      </c>
      <c r="E76" s="17">
        <f>IFERROR(__xludf.DUMMYFUNCTION("""COMPUTED_VALUE"""),2203.0)</f>
        <v>2203</v>
      </c>
      <c r="F76" s="26">
        <f>IFERROR(__xludf.DUMMYFUNCTION("""COMPUTED_VALUE"""),567.82)</f>
        <v>567.82</v>
      </c>
      <c r="G76" s="26">
        <f>IFERROR(__xludf.DUMMYFUNCTION("""COMPUTED_VALUE"""),173.12)</f>
        <v>173.12</v>
      </c>
      <c r="H76" s="26">
        <f>IFERROR(__xludf.DUMMYFUNCTION("""COMPUTED_VALUE"""),140.17)</f>
        <v>140.17</v>
      </c>
      <c r="I76" s="26">
        <f>IFERROR(__xludf.DUMMYFUNCTION("""COMPUTED_VALUE"""),228.03)</f>
        <v>228.03</v>
      </c>
      <c r="J76" s="26">
        <f>IFERROR(__xludf.DUMMYFUNCTION("""COMPUTED_VALUE"""),195.77)</f>
        <v>195.77</v>
      </c>
      <c r="K76" s="26">
        <f>IFERROR(__xludf.DUMMYFUNCTION("""COMPUTED_VALUE"""),67.21)</f>
        <v>67.21</v>
      </c>
      <c r="L76" s="26">
        <f>IFERROR(__xludf.DUMMYFUNCTION("""COMPUTED_VALUE"""),12.45)</f>
        <v>12.45</v>
      </c>
      <c r="M76" s="26">
        <f>IFERROR(__xludf.DUMMYFUNCTION("""COMPUTED_VALUE"""),460.63)</f>
        <v>460.63</v>
      </c>
      <c r="N76" s="26">
        <f>IFERROR(__xludf.DUMMYFUNCTION("""COMPUTED_VALUE"""),55.67)</f>
        <v>55.67</v>
      </c>
      <c r="O76" s="26">
        <f>IFERROR(__xludf.DUMMYFUNCTION("""COMPUTED_VALUE"""),203.3)</f>
        <v>203.3</v>
      </c>
      <c r="P76" s="26">
        <f>IFERROR(__xludf.DUMMYFUNCTION("""COMPUTED_VALUE"""),71.76)</f>
        <v>71.76</v>
      </c>
      <c r="Q76" s="26">
        <f>IFERROR(__xludf.DUMMYFUNCTION("""COMPUTED_VALUE"""),351.12)</f>
        <v>351.12</v>
      </c>
      <c r="R76" s="26">
        <f>IFERROR(__xludf.DUMMYFUNCTION("""COMPUTED_VALUE"""),41.9)</f>
        <v>41.9</v>
      </c>
      <c r="S76" s="26">
        <f>IFERROR(__xludf.DUMMYFUNCTION("""COMPUTED_VALUE"""),188.2)</f>
        <v>188.2</v>
      </c>
      <c r="T76" s="26">
        <f>IFERROR(__xludf.DUMMYFUNCTION("""COMPUTED_VALUE"""),146.95)</f>
        <v>146.95</v>
      </c>
      <c r="U76" s="26">
        <f>IFERROR(__xludf.DUMMYFUNCTION("""COMPUTED_VALUE"""),353.89)</f>
        <v>353.89</v>
      </c>
      <c r="V76" s="26">
        <f>IFERROR(__xludf.DUMMYFUNCTION("""COMPUTED_VALUE"""),42.27)</f>
        <v>42.27</v>
      </c>
      <c r="W76" s="26">
        <f>IFERROR(__xludf.DUMMYFUNCTION("""COMPUTED_VALUE"""),71.5)</f>
        <v>71.5</v>
      </c>
      <c r="X76" s="26">
        <f>IFERROR(__xludf.DUMMYFUNCTION("""COMPUTED_VALUE"""),99.59)</f>
        <v>99.59</v>
      </c>
      <c r="Y76" s="26">
        <f>IFERROR(__xludf.DUMMYFUNCTION("""COMPUTED_VALUE"""),150.61)</f>
        <v>150.61</v>
      </c>
      <c r="Z76" s="26">
        <f>IFERROR(__xludf.DUMMYFUNCTION("""COMPUTED_VALUE"""),95.4)</f>
        <v>95.4</v>
      </c>
      <c r="AA76" s="26">
        <f>IFERROR(__xludf.DUMMYFUNCTION("""COMPUTED_VALUE"""),418.41)</f>
        <v>418.41</v>
      </c>
      <c r="AB76" s="26">
        <f>IFERROR(__xludf.DUMMYFUNCTION("""COMPUTED_VALUE"""),59.37)</f>
        <v>59.37</v>
      </c>
      <c r="AC76" s="26">
        <f>IFERROR(__xludf.DUMMYFUNCTION("""COMPUTED_VALUE"""),117.68)</f>
        <v>117.68</v>
      </c>
      <c r="AD76" s="26">
        <f>IFERROR(__xludf.DUMMYFUNCTION("""COMPUTED_VALUE"""),294.9)</f>
        <v>294.9</v>
      </c>
      <c r="AE76" s="26">
        <f>IFERROR(__xludf.DUMMYFUNCTION("""COMPUTED_VALUE"""),489.26)</f>
        <v>489.26</v>
      </c>
      <c r="AF76" s="26">
        <f>IFERROR(__xludf.DUMMYFUNCTION("""COMPUTED_VALUE"""),290.2)</f>
        <v>290.2</v>
      </c>
      <c r="AG76" s="26">
        <f>IFERROR(__xludf.DUMMYFUNCTION("""COMPUTED_VALUE"""),49.25)</f>
        <v>49.25</v>
      </c>
      <c r="AH76" s="26">
        <f>IFERROR(__xludf.DUMMYFUNCTION("""COMPUTED_VALUE"""),77.0)</f>
        <v>77</v>
      </c>
      <c r="AI76" s="26">
        <f>IFERROR(__xludf.DUMMYFUNCTION("""COMPUTED_VALUE"""),507.26)</f>
        <v>507.26</v>
      </c>
      <c r="AJ76" s="26">
        <f>IFERROR(__xludf.DUMMYFUNCTION("""COMPUTED_VALUE"""),373.18)</f>
        <v>373.18</v>
      </c>
      <c r="AK76" s="26">
        <f>IFERROR(__xludf.DUMMYFUNCTION("""COMPUTED_VALUE"""),107.79)</f>
        <v>107.79</v>
      </c>
      <c r="AL76" s="26">
        <f>IFERROR(__xludf.DUMMYFUNCTION("""COMPUTED_VALUE"""),160.6)</f>
        <v>160.6</v>
      </c>
      <c r="AM76" s="26">
        <f>IFERROR(__xludf.DUMMYFUNCTION("""COMPUTED_VALUE"""),482.35)</f>
        <v>482.35</v>
      </c>
      <c r="AN76" s="26">
        <f>IFERROR(__xludf.DUMMYFUNCTION("""COMPUTED_VALUE"""),220.18)</f>
        <v>220.18</v>
      </c>
      <c r="AO76" s="26">
        <f>IFERROR(__xludf.DUMMYFUNCTION("""COMPUTED_VALUE"""),560.41)</f>
        <v>560.41</v>
      </c>
      <c r="AP76" s="26">
        <f>IFERROR(__xludf.DUMMYFUNCTION("""COMPUTED_VALUE"""),271.18)</f>
        <v>271.18</v>
      </c>
      <c r="AQ76" s="26">
        <f>IFERROR(__xludf.DUMMYFUNCTION("""COMPUTED_VALUE"""),27.4)</f>
        <v>27.4</v>
      </c>
      <c r="AR76" s="26">
        <f>IFERROR(__xludf.DUMMYFUNCTION("""COMPUTED_VALUE"""),88.8)</f>
        <v>88.8</v>
      </c>
      <c r="AS76" s="26">
        <f>IFERROR(__xludf.DUMMYFUNCTION("""COMPUTED_VALUE"""),75.02)</f>
        <v>75.02</v>
      </c>
      <c r="AT76" s="26">
        <f>IFERROR(__xludf.DUMMYFUNCTION("""COMPUTED_VALUE"""),413.84)</f>
        <v>413.84</v>
      </c>
      <c r="AU76" s="26">
        <f>IFERROR(__xludf.DUMMYFUNCTION("""COMPUTED_VALUE"""),79.61)</f>
        <v>79.61</v>
      </c>
      <c r="AV76" s="26">
        <f>IFERROR(__xludf.DUMMYFUNCTION("""COMPUTED_VALUE"""),128.3)</f>
        <v>128.3</v>
      </c>
      <c r="AW76" s="26">
        <f>IFERROR(__xludf.DUMMYFUNCTION("""COMPUTED_VALUE"""),93.13)</f>
        <v>93.13</v>
      </c>
      <c r="AX76" s="26">
        <f>IFERROR(__xludf.DUMMYFUNCTION("""COMPUTED_VALUE"""),47.92)</f>
        <v>47.92</v>
      </c>
      <c r="AY76" s="26">
        <f>IFERROR(__xludf.DUMMYFUNCTION("""COMPUTED_VALUE"""),30.84)</f>
        <v>30.84</v>
      </c>
      <c r="AZ76" s="26">
        <f>IFERROR(__xludf.DUMMYFUNCTION("""COMPUTED_VALUE"""),71.59)</f>
        <v>71.59</v>
      </c>
      <c r="BA76" s="26">
        <f>IFERROR(__xludf.DUMMYFUNCTION("""COMPUTED_VALUE"""),28.82)</f>
        <v>28.82</v>
      </c>
      <c r="BB76" s="26">
        <f>IFERROR(__xludf.DUMMYFUNCTION("""COMPUTED_VALUE"""),119.49)</f>
        <v>119.49</v>
      </c>
      <c r="BC76" s="26">
        <f>IFERROR(__xludf.DUMMYFUNCTION("""COMPUTED_VALUE"""),204.03)</f>
        <v>204.03</v>
      </c>
      <c r="BD76" s="26">
        <f>IFERROR(__xludf.DUMMYFUNCTION("""COMPUTED_VALUE"""),610.4)</f>
        <v>610.4</v>
      </c>
      <c r="BE76" s="26">
        <f>IFERROR(__xludf.DUMMYFUNCTION("""COMPUTED_VALUE"""),185.75)</f>
        <v>185.75</v>
      </c>
      <c r="BF76" s="26">
        <f>IFERROR(__xludf.DUMMYFUNCTION("""COMPUTED_VALUE"""),176.11)</f>
        <v>176.11</v>
      </c>
      <c r="BG76" s="26">
        <f>IFERROR(__xludf.DUMMYFUNCTION("""COMPUTED_VALUE"""),8.37)</f>
        <v>8.37</v>
      </c>
      <c r="BH76" s="26">
        <f>IFERROR(__xludf.DUMMYFUNCTION("""COMPUTED_VALUE"""),250.35)</f>
        <v>250.35</v>
      </c>
      <c r="BI76" s="26">
        <f>IFERROR(__xludf.DUMMYFUNCTION("""COMPUTED_VALUE"""),587.35)</f>
        <v>587.35</v>
      </c>
      <c r="BJ76" s="26">
        <f>IFERROR(__xludf.DUMMYFUNCTION("""COMPUTED_VALUE"""),48.87)</f>
        <v>48.87</v>
      </c>
      <c r="BK76" s="26">
        <f>IFERROR(__xludf.DUMMYFUNCTION("""COMPUTED_VALUE"""),11.69)</f>
        <v>11.69</v>
      </c>
      <c r="BL76" s="26">
        <f>IFERROR(__xludf.DUMMYFUNCTION("""COMPUTED_VALUE"""),209.2)</f>
        <v>209.2</v>
      </c>
      <c r="BM76" s="26">
        <f>IFERROR(__xludf.DUMMYFUNCTION("""COMPUTED_VALUE"""),90.9)</f>
        <v>90.9</v>
      </c>
    </row>
    <row r="77">
      <c r="A77" s="25">
        <v>45532.66666666667</v>
      </c>
      <c r="B77" s="17">
        <f>IFERROR(__xludf.DUMMYFUNCTION("""COMPUTED_VALUE"""),5592.18)</f>
        <v>5592.18</v>
      </c>
      <c r="C77" s="17">
        <f>IFERROR(__xludf.DUMMYFUNCTION("""COMPUTED_VALUE"""),17556.03)</f>
        <v>17556.03</v>
      </c>
      <c r="D77" s="17">
        <f>IFERROR(__xludf.DUMMYFUNCTION("""COMPUTED_VALUE"""),41091.42)</f>
        <v>41091.42</v>
      </c>
      <c r="E77" s="17">
        <f>IFERROR(__xludf.DUMMYFUNCTION("""COMPUTED_VALUE"""),2188.64)</f>
        <v>2188.64</v>
      </c>
      <c r="F77" s="26">
        <f>IFERROR(__xludf.DUMMYFUNCTION("""COMPUTED_VALUE"""),560.54)</f>
        <v>560.54</v>
      </c>
      <c r="G77" s="26">
        <f>IFERROR(__xludf.DUMMYFUNCTION("""COMPUTED_VALUE"""),170.8)</f>
        <v>170.8</v>
      </c>
      <c r="H77" s="26">
        <f>IFERROR(__xludf.DUMMYFUNCTION("""COMPUTED_VALUE"""),141.77)</f>
        <v>141.77</v>
      </c>
      <c r="I77" s="26">
        <f>IFERROR(__xludf.DUMMYFUNCTION("""COMPUTED_VALUE"""),226.49)</f>
        <v>226.49</v>
      </c>
      <c r="J77" s="26">
        <f>IFERROR(__xludf.DUMMYFUNCTION("""COMPUTED_VALUE"""),192.89)</f>
        <v>192.89</v>
      </c>
      <c r="K77" s="26">
        <f>IFERROR(__xludf.DUMMYFUNCTION("""COMPUTED_VALUE"""),67.0)</f>
        <v>67</v>
      </c>
      <c r="L77" s="26">
        <f>IFERROR(__xludf.DUMMYFUNCTION("""COMPUTED_VALUE"""),11.87)</f>
        <v>11.87</v>
      </c>
      <c r="M77" s="26">
        <f>IFERROR(__xludf.DUMMYFUNCTION("""COMPUTED_VALUE"""),464.59)</f>
        <v>464.59</v>
      </c>
      <c r="N77" s="26">
        <f>IFERROR(__xludf.DUMMYFUNCTION("""COMPUTED_VALUE"""),54.42)</f>
        <v>54.42</v>
      </c>
      <c r="O77" s="26">
        <f>IFERROR(__xludf.DUMMYFUNCTION("""COMPUTED_VALUE"""),204.2)</f>
        <v>204.2</v>
      </c>
      <c r="P77" s="26">
        <f>IFERROR(__xludf.DUMMYFUNCTION("""COMPUTED_VALUE"""),71.11)</f>
        <v>71.11</v>
      </c>
      <c r="Q77" s="26">
        <f>IFERROR(__xludf.DUMMYFUNCTION("""COMPUTED_VALUE"""),348.2)</f>
        <v>348.2</v>
      </c>
      <c r="R77" s="26">
        <f>IFERROR(__xludf.DUMMYFUNCTION("""COMPUTED_VALUE"""),40.71)</f>
        <v>40.71</v>
      </c>
      <c r="S77" s="26">
        <f>IFERROR(__xludf.DUMMYFUNCTION("""COMPUTED_VALUE"""),189.57)</f>
        <v>189.57</v>
      </c>
      <c r="T77" s="26">
        <f>IFERROR(__xludf.DUMMYFUNCTION("""COMPUTED_VALUE"""),146.0)</f>
        <v>146</v>
      </c>
      <c r="U77" s="26">
        <f>IFERROR(__xludf.DUMMYFUNCTION("""COMPUTED_VALUE"""),357.93)</f>
        <v>357.93</v>
      </c>
      <c r="V77" s="26">
        <f>IFERROR(__xludf.DUMMYFUNCTION("""COMPUTED_VALUE"""),42.71)</f>
        <v>42.71</v>
      </c>
      <c r="W77" s="26">
        <f>IFERROR(__xludf.DUMMYFUNCTION("""COMPUTED_VALUE"""),71.75)</f>
        <v>71.75</v>
      </c>
      <c r="X77" s="26">
        <f>IFERROR(__xludf.DUMMYFUNCTION("""COMPUTED_VALUE"""),100.39)</f>
        <v>100.39</v>
      </c>
      <c r="Y77" s="26">
        <f>IFERROR(__xludf.DUMMYFUNCTION("""COMPUTED_VALUE"""),150.11)</f>
        <v>150.11</v>
      </c>
      <c r="Z77" s="26">
        <f>IFERROR(__xludf.DUMMYFUNCTION("""COMPUTED_VALUE"""),94.46)</f>
        <v>94.46</v>
      </c>
      <c r="AA77" s="26">
        <f>IFERROR(__xludf.DUMMYFUNCTION("""COMPUTED_VALUE"""),416.09)</f>
        <v>416.09</v>
      </c>
      <c r="AB77" s="26">
        <f>IFERROR(__xludf.DUMMYFUNCTION("""COMPUTED_VALUE"""),57.78)</f>
        <v>57.78</v>
      </c>
      <c r="AC77" s="26">
        <f>IFERROR(__xludf.DUMMYFUNCTION("""COMPUTED_VALUE"""),116.52)</f>
        <v>116.52</v>
      </c>
      <c r="AD77" s="26">
        <f>IFERROR(__xludf.DUMMYFUNCTION("""COMPUTED_VALUE"""),296.13)</f>
        <v>296.13</v>
      </c>
      <c r="AE77" s="26">
        <f>IFERROR(__xludf.DUMMYFUNCTION("""COMPUTED_VALUE"""),486.74)</f>
        <v>486.74</v>
      </c>
      <c r="AF77" s="26">
        <f>IFERROR(__xludf.DUMMYFUNCTION("""COMPUTED_VALUE"""),296.64)</f>
        <v>296.64</v>
      </c>
      <c r="AG77" s="26">
        <f>IFERROR(__xludf.DUMMYFUNCTION("""COMPUTED_VALUE"""),49.05)</f>
        <v>49.05</v>
      </c>
      <c r="AH77" s="26">
        <f>IFERROR(__xludf.DUMMYFUNCTION("""COMPUTED_VALUE"""),78.56)</f>
        <v>78.56</v>
      </c>
      <c r="AI77" s="26">
        <f>IFERROR(__xludf.DUMMYFUNCTION("""COMPUTED_VALUE"""),503.33)</f>
        <v>503.33</v>
      </c>
      <c r="AJ77" s="26">
        <f>IFERROR(__xludf.DUMMYFUNCTION("""COMPUTED_VALUE"""),372.69)</f>
        <v>372.69</v>
      </c>
      <c r="AK77" s="26">
        <f>IFERROR(__xludf.DUMMYFUNCTION("""COMPUTED_VALUE"""),106.7)</f>
        <v>106.7</v>
      </c>
      <c r="AL77" s="26">
        <f>IFERROR(__xludf.DUMMYFUNCTION("""COMPUTED_VALUE"""),160.77)</f>
        <v>160.77</v>
      </c>
      <c r="AM77" s="26">
        <f>IFERROR(__xludf.DUMMYFUNCTION("""COMPUTED_VALUE"""),482.21)</f>
        <v>482.21</v>
      </c>
      <c r="AN77" s="26">
        <f>IFERROR(__xludf.DUMMYFUNCTION("""COMPUTED_VALUE"""),221.29)</f>
        <v>221.29</v>
      </c>
      <c r="AO77" s="26">
        <f>IFERROR(__xludf.DUMMYFUNCTION("""COMPUTED_VALUE"""),563.98)</f>
        <v>563.98</v>
      </c>
      <c r="AP77" s="26">
        <f>IFERROR(__xludf.DUMMYFUNCTION("""COMPUTED_VALUE"""),258.83)</f>
        <v>258.83</v>
      </c>
      <c r="AQ77" s="26">
        <f>IFERROR(__xludf.DUMMYFUNCTION("""COMPUTED_VALUE"""),27.3)</f>
        <v>27.3</v>
      </c>
      <c r="AR77" s="26">
        <f>IFERROR(__xludf.DUMMYFUNCTION("""COMPUTED_VALUE"""),88.33)</f>
        <v>88.33</v>
      </c>
      <c r="AS77" s="26">
        <f>IFERROR(__xludf.DUMMYFUNCTION("""COMPUTED_VALUE"""),75.75)</f>
        <v>75.75</v>
      </c>
      <c r="AT77" s="26">
        <f>IFERROR(__xludf.DUMMYFUNCTION("""COMPUTED_VALUE"""),410.6)</f>
        <v>410.6</v>
      </c>
      <c r="AU77" s="26">
        <f>IFERROR(__xludf.DUMMYFUNCTION("""COMPUTED_VALUE"""),79.41)</f>
        <v>79.41</v>
      </c>
      <c r="AV77" s="26">
        <f>IFERROR(__xludf.DUMMYFUNCTION("""COMPUTED_VALUE"""),125.61)</f>
        <v>125.61</v>
      </c>
      <c r="AW77" s="26">
        <f>IFERROR(__xludf.DUMMYFUNCTION("""COMPUTED_VALUE"""),93.41)</f>
        <v>93.41</v>
      </c>
      <c r="AX77" s="26">
        <f>IFERROR(__xludf.DUMMYFUNCTION("""COMPUTED_VALUE"""),46.37)</f>
        <v>46.37</v>
      </c>
      <c r="AY77" s="26">
        <f>IFERROR(__xludf.DUMMYFUNCTION("""COMPUTED_VALUE"""),30.36)</f>
        <v>30.36</v>
      </c>
      <c r="AZ77" s="26">
        <f>IFERROR(__xludf.DUMMYFUNCTION("""COMPUTED_VALUE"""),70.43)</f>
        <v>70.43</v>
      </c>
      <c r="BA77" s="26">
        <f>IFERROR(__xludf.DUMMYFUNCTION("""COMPUTED_VALUE"""),28.75)</f>
        <v>28.75</v>
      </c>
      <c r="BB77" s="26">
        <f>IFERROR(__xludf.DUMMYFUNCTION("""COMPUTED_VALUE"""),120.84)</f>
        <v>120.84</v>
      </c>
      <c r="BC77" s="26">
        <f>IFERROR(__xludf.DUMMYFUNCTION("""COMPUTED_VALUE"""),201.41)</f>
        <v>201.41</v>
      </c>
      <c r="BD77" s="26">
        <f>IFERROR(__xludf.DUMMYFUNCTION("""COMPUTED_VALUE"""),613.14)</f>
        <v>613.14</v>
      </c>
      <c r="BE77" s="26">
        <f>IFERROR(__xludf.DUMMYFUNCTION("""COMPUTED_VALUE"""),187.67)</f>
        <v>187.67</v>
      </c>
      <c r="BF77" s="26">
        <f>IFERROR(__xludf.DUMMYFUNCTION("""COMPUTED_VALUE"""),169.0)</f>
        <v>169</v>
      </c>
      <c r="BG77" s="26">
        <f>IFERROR(__xludf.DUMMYFUNCTION("""COMPUTED_VALUE"""),7.78)</f>
        <v>7.78</v>
      </c>
      <c r="BH77" s="26">
        <f>IFERROR(__xludf.DUMMYFUNCTION("""COMPUTED_VALUE"""),252.67)</f>
        <v>252.67</v>
      </c>
      <c r="BI77" s="26">
        <f>IFERROR(__xludf.DUMMYFUNCTION("""COMPUTED_VALUE"""),588.54)</f>
        <v>588.54</v>
      </c>
      <c r="BJ77" s="26">
        <f>IFERROR(__xludf.DUMMYFUNCTION("""COMPUTED_VALUE"""),48.86)</f>
        <v>48.86</v>
      </c>
      <c r="BK77" s="26">
        <f>IFERROR(__xludf.DUMMYFUNCTION("""COMPUTED_VALUE"""),11.9)</f>
        <v>11.9</v>
      </c>
      <c r="BL77" s="26">
        <f>IFERROR(__xludf.DUMMYFUNCTION("""COMPUTED_VALUE"""),209.31)</f>
        <v>209.31</v>
      </c>
      <c r="BM77" s="26">
        <f>IFERROR(__xludf.DUMMYFUNCTION("""COMPUTED_VALUE"""),89.49)</f>
        <v>89.49</v>
      </c>
    </row>
    <row r="78">
      <c r="A78" s="25">
        <v>45533.66666666667</v>
      </c>
      <c r="B78" s="17">
        <f>IFERROR(__xludf.DUMMYFUNCTION("""COMPUTED_VALUE"""),5591.96)</f>
        <v>5591.96</v>
      </c>
      <c r="C78" s="17">
        <f>IFERROR(__xludf.DUMMYFUNCTION("""COMPUTED_VALUE"""),17516.43)</f>
        <v>17516.43</v>
      </c>
      <c r="D78" s="17">
        <f>IFERROR(__xludf.DUMMYFUNCTION("""COMPUTED_VALUE"""),41335.05)</f>
        <v>41335.05</v>
      </c>
      <c r="E78" s="17">
        <f>IFERROR(__xludf.DUMMYFUNCTION("""COMPUTED_VALUE"""),2202.98)</f>
        <v>2202.98</v>
      </c>
      <c r="F78" s="26">
        <f>IFERROR(__xludf.DUMMYFUNCTION("""COMPUTED_VALUE"""),569.63)</f>
        <v>569.63</v>
      </c>
      <c r="G78" s="26">
        <f>IFERROR(__xludf.DUMMYFUNCTION("""COMPUTED_VALUE"""),172.12)</f>
        <v>172.12</v>
      </c>
      <c r="H78" s="26">
        <f>IFERROR(__xludf.DUMMYFUNCTION("""COMPUTED_VALUE"""),141.82)</f>
        <v>141.82</v>
      </c>
      <c r="I78" s="26">
        <f>IFERROR(__xludf.DUMMYFUNCTION("""COMPUTED_VALUE"""),229.79)</f>
        <v>229.79</v>
      </c>
      <c r="J78" s="26">
        <f>IFERROR(__xludf.DUMMYFUNCTION("""COMPUTED_VALUE"""),192.98)</f>
        <v>192.98</v>
      </c>
      <c r="K78" s="26">
        <f>IFERROR(__xludf.DUMMYFUNCTION("""COMPUTED_VALUE"""),67.25)</f>
        <v>67.25</v>
      </c>
      <c r="L78" s="26">
        <f>IFERROR(__xludf.DUMMYFUNCTION("""COMPUTED_VALUE"""),12.06)</f>
        <v>12.06</v>
      </c>
      <c r="M78" s="26">
        <f>IFERROR(__xludf.DUMMYFUNCTION("""COMPUTED_VALUE"""),468.37)</f>
        <v>468.37</v>
      </c>
      <c r="N78" s="26">
        <f>IFERROR(__xludf.DUMMYFUNCTION("""COMPUTED_VALUE"""),55.13)</f>
        <v>55.13</v>
      </c>
      <c r="O78" s="26">
        <f>IFERROR(__xludf.DUMMYFUNCTION("""COMPUTED_VALUE"""),204.82)</f>
        <v>204.82</v>
      </c>
      <c r="P78" s="26">
        <f>IFERROR(__xludf.DUMMYFUNCTION("""COMPUTED_VALUE"""),71.09)</f>
        <v>71.09</v>
      </c>
      <c r="Q78" s="26">
        <f>IFERROR(__xludf.DUMMYFUNCTION("""COMPUTED_VALUE"""),351.64)</f>
        <v>351.64</v>
      </c>
      <c r="R78" s="26">
        <f>IFERROR(__xludf.DUMMYFUNCTION("""COMPUTED_VALUE"""),40.25)</f>
        <v>40.25</v>
      </c>
      <c r="S78" s="26">
        <f>IFERROR(__xludf.DUMMYFUNCTION("""COMPUTED_VALUE"""),191.61)</f>
        <v>191.61</v>
      </c>
      <c r="T78" s="26">
        <f>IFERROR(__xludf.DUMMYFUNCTION("""COMPUTED_VALUE"""),147.42)</f>
        <v>147.42</v>
      </c>
      <c r="U78" s="26">
        <f>IFERROR(__xludf.DUMMYFUNCTION("""COMPUTED_VALUE"""),361.06)</f>
        <v>361.06</v>
      </c>
      <c r="V78" s="26">
        <f>IFERROR(__xludf.DUMMYFUNCTION("""COMPUTED_VALUE"""),42.68)</f>
        <v>42.68</v>
      </c>
      <c r="W78" s="26">
        <f>IFERROR(__xludf.DUMMYFUNCTION("""COMPUTED_VALUE"""),72.05)</f>
        <v>72.05</v>
      </c>
      <c r="X78" s="26">
        <f>IFERROR(__xludf.DUMMYFUNCTION("""COMPUTED_VALUE"""),100.81)</f>
        <v>100.81</v>
      </c>
      <c r="Y78" s="26">
        <f>IFERROR(__xludf.DUMMYFUNCTION("""COMPUTED_VALUE"""),149.5)</f>
        <v>149.5</v>
      </c>
      <c r="Z78" s="26">
        <f>IFERROR(__xludf.DUMMYFUNCTION("""COMPUTED_VALUE"""),84.79)</f>
        <v>84.79</v>
      </c>
      <c r="AA78" s="26">
        <f>IFERROR(__xludf.DUMMYFUNCTION("""COMPUTED_VALUE"""),412.96)</f>
        <v>412.96</v>
      </c>
      <c r="AB78" s="26">
        <f>IFERROR(__xludf.DUMMYFUNCTION("""COMPUTED_VALUE"""),58.6)</f>
        <v>58.6</v>
      </c>
      <c r="AC78" s="26">
        <f>IFERROR(__xludf.DUMMYFUNCTION("""COMPUTED_VALUE"""),118.13)</f>
        <v>118.13</v>
      </c>
      <c r="AD78" s="26">
        <f>IFERROR(__xludf.DUMMYFUNCTION("""COMPUTED_VALUE"""),296.25)</f>
        <v>296.25</v>
      </c>
      <c r="AE78" s="26">
        <f>IFERROR(__xludf.DUMMYFUNCTION("""COMPUTED_VALUE"""),490.59)</f>
        <v>490.59</v>
      </c>
      <c r="AF78" s="26">
        <f>IFERROR(__xludf.DUMMYFUNCTION("""COMPUTED_VALUE"""),297.83)</f>
        <v>297.83</v>
      </c>
      <c r="AG78" s="26">
        <f>IFERROR(__xludf.DUMMYFUNCTION("""COMPUTED_VALUE"""),49.47)</f>
        <v>49.47</v>
      </c>
      <c r="AH78" s="26">
        <f>IFERROR(__xludf.DUMMYFUNCTION("""COMPUTED_VALUE"""),79.45)</f>
        <v>79.45</v>
      </c>
      <c r="AI78" s="26">
        <f>IFERROR(__xludf.DUMMYFUNCTION("""COMPUTED_VALUE"""),510.1)</f>
        <v>510.1</v>
      </c>
      <c r="AJ78" s="26">
        <f>IFERROR(__xludf.DUMMYFUNCTION("""COMPUTED_VALUE"""),367.06)</f>
        <v>367.06</v>
      </c>
      <c r="AK78" s="26">
        <f>IFERROR(__xludf.DUMMYFUNCTION("""COMPUTED_VALUE"""),107.94)</f>
        <v>107.94</v>
      </c>
      <c r="AL78" s="26">
        <f>IFERROR(__xludf.DUMMYFUNCTION("""COMPUTED_VALUE"""),160.22)</f>
        <v>160.22</v>
      </c>
      <c r="AM78" s="26">
        <f>IFERROR(__xludf.DUMMYFUNCTION("""COMPUTED_VALUE"""),487.17)</f>
        <v>487.17</v>
      </c>
      <c r="AN78" s="26">
        <f>IFERROR(__xludf.DUMMYFUNCTION("""COMPUTED_VALUE"""),222.21)</f>
        <v>222.21</v>
      </c>
      <c r="AO78" s="26">
        <f>IFERROR(__xludf.DUMMYFUNCTION("""COMPUTED_VALUE"""),566.85)</f>
        <v>566.85</v>
      </c>
      <c r="AP78" s="26">
        <f>IFERROR(__xludf.DUMMYFUNCTION("""COMPUTED_VALUE"""),259.01)</f>
        <v>259.01</v>
      </c>
      <c r="AQ78" s="26">
        <f>IFERROR(__xludf.DUMMYFUNCTION("""COMPUTED_VALUE"""),27.38)</f>
        <v>27.38</v>
      </c>
      <c r="AR78" s="26">
        <f>IFERROR(__xludf.DUMMYFUNCTION("""COMPUTED_VALUE"""),88.19)</f>
        <v>88.19</v>
      </c>
      <c r="AS78" s="26">
        <f>IFERROR(__xludf.DUMMYFUNCTION("""COMPUTED_VALUE"""),76.73)</f>
        <v>76.73</v>
      </c>
      <c r="AT78" s="26">
        <f>IFERROR(__xludf.DUMMYFUNCTION("""COMPUTED_VALUE"""),413.12)</f>
        <v>413.12</v>
      </c>
      <c r="AU78" s="26">
        <f>IFERROR(__xludf.DUMMYFUNCTION("""COMPUTED_VALUE"""),80.03)</f>
        <v>80.03</v>
      </c>
      <c r="AV78" s="26">
        <f>IFERROR(__xludf.DUMMYFUNCTION("""COMPUTED_VALUE"""),117.59)</f>
        <v>117.59</v>
      </c>
      <c r="AW78" s="26">
        <f>IFERROR(__xludf.DUMMYFUNCTION("""COMPUTED_VALUE"""),93.83)</f>
        <v>93.83</v>
      </c>
      <c r="AX78" s="26">
        <f>IFERROR(__xludf.DUMMYFUNCTION("""COMPUTED_VALUE"""),46.92)</f>
        <v>46.92</v>
      </c>
      <c r="AY78" s="26">
        <f>IFERROR(__xludf.DUMMYFUNCTION("""COMPUTED_VALUE"""),31.0)</f>
        <v>31</v>
      </c>
      <c r="AZ78" s="26">
        <f>IFERROR(__xludf.DUMMYFUNCTION("""COMPUTED_VALUE"""),73.16)</f>
        <v>73.16</v>
      </c>
      <c r="BA78" s="26">
        <f>IFERROR(__xludf.DUMMYFUNCTION("""COMPUTED_VALUE"""),28.72)</f>
        <v>28.72</v>
      </c>
      <c r="BB78" s="26">
        <f>IFERROR(__xludf.DUMMYFUNCTION("""COMPUTED_VALUE"""),122.29)</f>
        <v>122.29</v>
      </c>
      <c r="BC78" s="26">
        <f>IFERROR(__xludf.DUMMYFUNCTION("""COMPUTED_VALUE"""),200.08)</f>
        <v>200.08</v>
      </c>
      <c r="BD78" s="26">
        <f>IFERROR(__xludf.DUMMYFUNCTION("""COMPUTED_VALUE"""),611.68)</f>
        <v>611.68</v>
      </c>
      <c r="BE78" s="26">
        <f>IFERROR(__xludf.DUMMYFUNCTION("""COMPUTED_VALUE"""),187.77)</f>
        <v>187.77</v>
      </c>
      <c r="BF78" s="26">
        <f>IFERROR(__xludf.DUMMYFUNCTION("""COMPUTED_VALUE"""),166.65)</f>
        <v>166.65</v>
      </c>
      <c r="BG78" s="26">
        <f>IFERROR(__xludf.DUMMYFUNCTION("""COMPUTED_VALUE"""),7.74)</f>
        <v>7.74</v>
      </c>
      <c r="BH78" s="26">
        <f>IFERROR(__xludf.DUMMYFUNCTION("""COMPUTED_VALUE"""),253.2)</f>
        <v>253.2</v>
      </c>
      <c r="BI78" s="26">
        <f>IFERROR(__xludf.DUMMYFUNCTION("""COMPUTED_VALUE"""),591.57)</f>
        <v>591.57</v>
      </c>
      <c r="BJ78" s="26">
        <f>IFERROR(__xludf.DUMMYFUNCTION("""COMPUTED_VALUE"""),48.85)</f>
        <v>48.85</v>
      </c>
      <c r="BK78" s="26">
        <f>IFERROR(__xludf.DUMMYFUNCTION("""COMPUTED_VALUE"""),11.89)</f>
        <v>11.89</v>
      </c>
      <c r="BL78" s="26">
        <f>IFERROR(__xludf.DUMMYFUNCTION("""COMPUTED_VALUE"""),209.88)</f>
        <v>209.88</v>
      </c>
      <c r="BM78" s="26">
        <f>IFERROR(__xludf.DUMMYFUNCTION("""COMPUTED_VALUE"""),89.81)</f>
        <v>89.81</v>
      </c>
    </row>
    <row r="79">
      <c r="A79" s="25">
        <v>45534.66666666667</v>
      </c>
      <c r="B79" s="17">
        <f>IFERROR(__xludf.DUMMYFUNCTION("""COMPUTED_VALUE"""),5648.4)</f>
        <v>5648.4</v>
      </c>
      <c r="C79" s="17">
        <f>IFERROR(__xludf.DUMMYFUNCTION("""COMPUTED_VALUE"""),17713.62)</f>
        <v>17713.62</v>
      </c>
      <c r="D79" s="17">
        <f>IFERROR(__xludf.DUMMYFUNCTION("""COMPUTED_VALUE"""),41563.08)</f>
        <v>41563.08</v>
      </c>
      <c r="E79" s="17">
        <f>IFERROR(__xludf.DUMMYFUNCTION("""COMPUTED_VALUE"""),2217.63)</f>
        <v>2217.63</v>
      </c>
      <c r="F79" s="26">
        <f>IFERROR(__xludf.DUMMYFUNCTION("""COMPUTED_VALUE"""),574.41)</f>
        <v>574.41</v>
      </c>
      <c r="G79" s="26">
        <f>IFERROR(__xludf.DUMMYFUNCTION("""COMPUTED_VALUE"""),178.5)</f>
        <v>178.5</v>
      </c>
      <c r="H79" s="26">
        <f>IFERROR(__xludf.DUMMYFUNCTION("""COMPUTED_VALUE"""),143.12)</f>
        <v>143.12</v>
      </c>
      <c r="I79" s="26">
        <f>IFERROR(__xludf.DUMMYFUNCTION("""COMPUTED_VALUE"""),229.0)</f>
        <v>229</v>
      </c>
      <c r="J79" s="26">
        <f>IFERROR(__xludf.DUMMYFUNCTION("""COMPUTED_VALUE"""),197.26)</f>
        <v>197.26</v>
      </c>
      <c r="K79" s="26">
        <f>IFERROR(__xludf.DUMMYFUNCTION("""COMPUTED_VALUE"""),68.22)</f>
        <v>68.22</v>
      </c>
      <c r="L79" s="26">
        <f>IFERROR(__xludf.DUMMYFUNCTION("""COMPUTED_VALUE"""),12.17)</f>
        <v>12.17</v>
      </c>
      <c r="M79" s="26">
        <f>IFERROR(__xludf.DUMMYFUNCTION("""COMPUTED_VALUE"""),475.92)</f>
        <v>475.92</v>
      </c>
      <c r="N79" s="26">
        <f>IFERROR(__xludf.DUMMYFUNCTION("""COMPUTED_VALUE"""),55.13)</f>
        <v>55.13</v>
      </c>
      <c r="O79" s="26">
        <f>IFERROR(__xludf.DUMMYFUNCTION("""COMPUTED_VALUE"""),204.76)</f>
        <v>204.76</v>
      </c>
      <c r="P79" s="26">
        <f>IFERROR(__xludf.DUMMYFUNCTION("""COMPUTED_VALUE"""),72.78)</f>
        <v>72.78</v>
      </c>
      <c r="Q79" s="26">
        <f>IFERROR(__xludf.DUMMYFUNCTION("""COMPUTED_VALUE"""),356.1)</f>
        <v>356.1</v>
      </c>
      <c r="R79" s="26">
        <f>IFERROR(__xludf.DUMMYFUNCTION("""COMPUTED_VALUE"""),40.84)</f>
        <v>40.84</v>
      </c>
      <c r="S79" s="26">
        <f>IFERROR(__xludf.DUMMYFUNCTION("""COMPUTED_VALUE"""),192.5)</f>
        <v>192.5</v>
      </c>
      <c r="T79" s="26">
        <f>IFERROR(__xludf.DUMMYFUNCTION("""COMPUTED_VALUE"""),147.95)</f>
        <v>147.95</v>
      </c>
      <c r="U79" s="26">
        <f>IFERROR(__xludf.DUMMYFUNCTION("""COMPUTED_VALUE"""),361.81)</f>
        <v>361.81</v>
      </c>
      <c r="V79" s="26">
        <f>IFERROR(__xludf.DUMMYFUNCTION("""COMPUTED_VALUE"""),43.05)</f>
        <v>43.05</v>
      </c>
      <c r="W79" s="26">
        <f>IFERROR(__xludf.DUMMYFUNCTION("""COMPUTED_VALUE"""),72.47)</f>
        <v>72.47</v>
      </c>
      <c r="X79" s="26">
        <f>IFERROR(__xludf.DUMMYFUNCTION("""COMPUTED_VALUE"""),101.56)</f>
        <v>101.56</v>
      </c>
      <c r="Y79" s="26">
        <f>IFERROR(__xludf.DUMMYFUNCTION("""COMPUTED_VALUE"""),151.61)</f>
        <v>151.61</v>
      </c>
      <c r="Z79" s="26">
        <f>IFERROR(__xludf.DUMMYFUNCTION("""COMPUTED_VALUE"""),84.49)</f>
        <v>84.49</v>
      </c>
      <c r="AA79" s="26">
        <f>IFERROR(__xludf.DUMMYFUNCTION("""COMPUTED_VALUE"""),414.21)</f>
        <v>414.21</v>
      </c>
      <c r="AB79" s="26">
        <f>IFERROR(__xludf.DUMMYFUNCTION("""COMPUTED_VALUE"""),59.1)</f>
        <v>59.1</v>
      </c>
      <c r="AC79" s="26">
        <f>IFERROR(__xludf.DUMMYFUNCTION("""COMPUTED_VALUE"""),117.94)</f>
        <v>117.94</v>
      </c>
      <c r="AD79" s="26">
        <f>IFERROR(__xludf.DUMMYFUNCTION("""COMPUTED_VALUE"""),298.77)</f>
        <v>298.77</v>
      </c>
      <c r="AE79" s="26">
        <f>IFERROR(__xludf.DUMMYFUNCTION("""COMPUTED_VALUE"""),496.79)</f>
        <v>496.79</v>
      </c>
      <c r="AF79" s="26">
        <f>IFERROR(__xludf.DUMMYFUNCTION("""COMPUTED_VALUE"""),299.36)</f>
        <v>299.36</v>
      </c>
      <c r="AG79" s="26">
        <f>IFERROR(__xludf.DUMMYFUNCTION("""COMPUTED_VALUE"""),49.78)</f>
        <v>49.78</v>
      </c>
      <c r="AH79" s="26">
        <f>IFERROR(__xludf.DUMMYFUNCTION("""COMPUTED_VALUE"""),79.0)</f>
        <v>79</v>
      </c>
      <c r="AI79" s="26">
        <f>IFERROR(__xludf.DUMMYFUNCTION("""COMPUTED_VALUE"""),510.25)</f>
        <v>510.25</v>
      </c>
      <c r="AJ79" s="26">
        <f>IFERROR(__xludf.DUMMYFUNCTION("""COMPUTED_VALUE"""),368.5)</f>
        <v>368.5</v>
      </c>
      <c r="AK79" s="26">
        <f>IFERROR(__xludf.DUMMYFUNCTION("""COMPUTED_VALUE"""),110.44)</f>
        <v>110.44</v>
      </c>
      <c r="AL79" s="26">
        <f>IFERROR(__xludf.DUMMYFUNCTION("""COMPUTED_VALUE"""),161.55)</f>
        <v>161.55</v>
      </c>
      <c r="AM79" s="26">
        <f>IFERROR(__xludf.DUMMYFUNCTION("""COMPUTED_VALUE"""),492.63)</f>
        <v>492.63</v>
      </c>
      <c r="AN79" s="26">
        <f>IFERROR(__xludf.DUMMYFUNCTION("""COMPUTED_VALUE"""),224.8)</f>
        <v>224.8</v>
      </c>
      <c r="AO79" s="26">
        <f>IFERROR(__xludf.DUMMYFUNCTION("""COMPUTED_VALUE"""),568.1)</f>
        <v>568.1</v>
      </c>
      <c r="AP79" s="26">
        <f>IFERROR(__xludf.DUMMYFUNCTION("""COMPUTED_VALUE"""),259.47)</f>
        <v>259.47</v>
      </c>
      <c r="AQ79" s="26">
        <f>IFERROR(__xludf.DUMMYFUNCTION("""COMPUTED_VALUE"""),27.61)</f>
        <v>27.61</v>
      </c>
      <c r="AR79" s="26">
        <f>IFERROR(__xludf.DUMMYFUNCTION("""COMPUTED_VALUE"""),88.58)</f>
        <v>88.58</v>
      </c>
      <c r="AS79" s="26">
        <f>IFERROR(__xludf.DUMMYFUNCTION("""COMPUTED_VALUE"""),77.48)</f>
        <v>77.48</v>
      </c>
      <c r="AT79" s="26">
        <f>IFERROR(__xludf.DUMMYFUNCTION("""COMPUTED_VALUE"""),417.14)</f>
        <v>417.14</v>
      </c>
      <c r="AU79" s="26">
        <f>IFERROR(__xludf.DUMMYFUNCTION("""COMPUTED_VALUE"""),80.51)</f>
        <v>80.51</v>
      </c>
      <c r="AV79" s="26">
        <f>IFERROR(__xludf.DUMMYFUNCTION("""COMPUTED_VALUE"""),119.37)</f>
        <v>119.37</v>
      </c>
      <c r="AW79" s="26">
        <f>IFERROR(__xludf.DUMMYFUNCTION("""COMPUTED_VALUE"""),94.69)</f>
        <v>94.69</v>
      </c>
      <c r="AX79" s="26">
        <f>IFERROR(__xludf.DUMMYFUNCTION("""COMPUTED_VALUE"""),46.98)</f>
        <v>46.98</v>
      </c>
      <c r="AY79" s="26">
        <f>IFERROR(__xludf.DUMMYFUNCTION("""COMPUTED_VALUE"""),31.48)</f>
        <v>31.48</v>
      </c>
      <c r="AZ79" s="26">
        <f>IFERROR(__xludf.DUMMYFUNCTION("""COMPUTED_VALUE"""),72.43)</f>
        <v>72.43</v>
      </c>
      <c r="BA79" s="26">
        <f>IFERROR(__xludf.DUMMYFUNCTION("""COMPUTED_VALUE"""),29.01)</f>
        <v>29.01</v>
      </c>
      <c r="BB79" s="26">
        <f>IFERROR(__xludf.DUMMYFUNCTION("""COMPUTED_VALUE"""),123.34)</f>
        <v>123.34</v>
      </c>
      <c r="BC79" s="26">
        <f>IFERROR(__xludf.DUMMYFUNCTION("""COMPUTED_VALUE"""),198.72)</f>
        <v>198.72</v>
      </c>
      <c r="BD79" s="26">
        <f>IFERROR(__xludf.DUMMYFUNCTION("""COMPUTED_VALUE"""),615.07)</f>
        <v>615.07</v>
      </c>
      <c r="BE79" s="26">
        <f>IFERROR(__xludf.DUMMYFUNCTION("""COMPUTED_VALUE"""),189.8)</f>
        <v>189.8</v>
      </c>
      <c r="BF79" s="26">
        <f>IFERROR(__xludf.DUMMYFUNCTION("""COMPUTED_VALUE"""),168.06)</f>
        <v>168.06</v>
      </c>
      <c r="BG79" s="26">
        <f>IFERROR(__xludf.DUMMYFUNCTION("""COMPUTED_VALUE"""),7.69)</f>
        <v>7.69</v>
      </c>
      <c r="BH79" s="26">
        <f>IFERROR(__xludf.DUMMYFUNCTION("""COMPUTED_VALUE"""),256.09)</f>
        <v>256.09</v>
      </c>
      <c r="BI79" s="26">
        <f>IFERROR(__xludf.DUMMYFUNCTION("""COMPUTED_VALUE"""),590.2)</f>
        <v>590.2</v>
      </c>
      <c r="BJ79" s="26">
        <f>IFERROR(__xludf.DUMMYFUNCTION("""COMPUTED_VALUE"""),48.81)</f>
        <v>48.81</v>
      </c>
      <c r="BK79" s="26">
        <f>IFERROR(__xludf.DUMMYFUNCTION("""COMPUTED_VALUE"""),12.08)</f>
        <v>12.08</v>
      </c>
      <c r="BL79" s="26">
        <f>IFERROR(__xludf.DUMMYFUNCTION("""COMPUTED_VALUE"""),212.04)</f>
        <v>212.04</v>
      </c>
      <c r="BM79" s="26">
        <f>IFERROR(__xludf.DUMMYFUNCTION("""COMPUTED_VALUE"""),90.38)</f>
        <v>90.38</v>
      </c>
      <c r="BN79" s="27">
        <v>34640.0</v>
      </c>
    </row>
    <row r="80">
      <c r="A80" s="25">
        <v>45538.66666666667</v>
      </c>
      <c r="B80" s="17">
        <f>IFERROR(__xludf.DUMMYFUNCTION("""COMPUTED_VALUE"""),5528.93)</f>
        <v>5528.93</v>
      </c>
      <c r="C80" s="17">
        <f>IFERROR(__xludf.DUMMYFUNCTION("""COMPUTED_VALUE"""),17136.3)</f>
        <v>17136.3</v>
      </c>
      <c r="D80" s="17">
        <f>IFERROR(__xludf.DUMMYFUNCTION("""COMPUTED_VALUE"""),40936.93)</f>
        <v>40936.93</v>
      </c>
      <c r="E80" s="17">
        <f>IFERROR(__xludf.DUMMYFUNCTION("""COMPUTED_VALUE"""),2149.21)</f>
        <v>2149.21</v>
      </c>
      <c r="F80" s="26">
        <f>IFERROR(__xludf.DUMMYFUNCTION("""COMPUTED_VALUE"""),571.04)</f>
        <v>571.04</v>
      </c>
      <c r="G80" s="26">
        <f>IFERROR(__xludf.DUMMYFUNCTION("""COMPUTED_VALUE"""),176.25)</f>
        <v>176.25</v>
      </c>
      <c r="H80" s="26">
        <f>IFERROR(__xludf.DUMMYFUNCTION("""COMPUTED_VALUE"""),143.48)</f>
        <v>143.48</v>
      </c>
      <c r="I80" s="26">
        <f>IFERROR(__xludf.DUMMYFUNCTION("""COMPUTED_VALUE"""),222.77)</f>
        <v>222.77</v>
      </c>
      <c r="J80" s="26">
        <f>IFERROR(__xludf.DUMMYFUNCTION("""COMPUTED_VALUE"""),183.37)</f>
        <v>183.37</v>
      </c>
      <c r="K80" s="26">
        <f>IFERROR(__xludf.DUMMYFUNCTION("""COMPUTED_VALUE"""),67.89)</f>
        <v>67.89</v>
      </c>
      <c r="L80" s="26">
        <f>IFERROR(__xludf.DUMMYFUNCTION("""COMPUTED_VALUE"""),11.73)</f>
        <v>11.73</v>
      </c>
      <c r="M80" s="26">
        <f>IFERROR(__xludf.DUMMYFUNCTION("""COMPUTED_VALUE"""),476.83)</f>
        <v>476.83</v>
      </c>
      <c r="N80" s="26">
        <f>IFERROR(__xludf.DUMMYFUNCTION("""COMPUTED_VALUE"""),52.34)</f>
        <v>52.34</v>
      </c>
      <c r="O80" s="26">
        <f>IFERROR(__xludf.DUMMYFUNCTION("""COMPUTED_VALUE"""),204.84)</f>
        <v>204.84</v>
      </c>
      <c r="P80" s="26">
        <f>IFERROR(__xludf.DUMMYFUNCTION("""COMPUTED_VALUE"""),70.06)</f>
        <v>70.06</v>
      </c>
      <c r="Q80" s="26">
        <f>IFERROR(__xludf.DUMMYFUNCTION("""COMPUTED_VALUE"""),340.24)</f>
        <v>340.24</v>
      </c>
      <c r="R80" s="26">
        <f>IFERROR(__xludf.DUMMYFUNCTION("""COMPUTED_VALUE"""),37.95)</f>
        <v>37.95</v>
      </c>
      <c r="S80" s="26">
        <f>IFERROR(__xludf.DUMMYFUNCTION("""COMPUTED_VALUE"""),189.99)</f>
        <v>189.99</v>
      </c>
      <c r="T80" s="26">
        <f>IFERROR(__xludf.DUMMYFUNCTION("""COMPUTED_VALUE"""),144.66)</f>
        <v>144.66</v>
      </c>
      <c r="U80" s="26">
        <f>IFERROR(__xludf.DUMMYFUNCTION("""COMPUTED_VALUE"""),365.48)</f>
        <v>365.48</v>
      </c>
      <c r="V80" s="26">
        <f>IFERROR(__xludf.DUMMYFUNCTION("""COMPUTED_VALUE"""),42.67)</f>
        <v>42.67</v>
      </c>
      <c r="W80" s="26">
        <f>IFERROR(__xludf.DUMMYFUNCTION("""COMPUTED_VALUE"""),73.01)</f>
        <v>73.01</v>
      </c>
      <c r="X80" s="26">
        <f>IFERROR(__xludf.DUMMYFUNCTION("""COMPUTED_VALUE"""),103.28)</f>
        <v>103.28</v>
      </c>
      <c r="Y80" s="26">
        <f>IFERROR(__xludf.DUMMYFUNCTION("""COMPUTED_VALUE"""),149.79)</f>
        <v>149.79</v>
      </c>
      <c r="Z80" s="26">
        <f>IFERROR(__xludf.DUMMYFUNCTION("""COMPUTED_VALUE"""),81.65)</f>
        <v>81.65</v>
      </c>
      <c r="AA80" s="26">
        <f>IFERROR(__xludf.DUMMYFUNCTION("""COMPUTED_VALUE"""),403.55)</f>
        <v>403.55</v>
      </c>
      <c r="AB80" s="26">
        <f>IFERROR(__xludf.DUMMYFUNCTION("""COMPUTED_VALUE"""),58.8)</f>
        <v>58.8</v>
      </c>
      <c r="AC80" s="26">
        <f>IFERROR(__xludf.DUMMYFUNCTION("""COMPUTED_VALUE"""),115.47)</f>
        <v>115.47</v>
      </c>
      <c r="AD80" s="26">
        <f>IFERROR(__xludf.DUMMYFUNCTION("""COMPUTED_VALUE"""),293.48)</f>
        <v>293.48</v>
      </c>
      <c r="AE80" s="26">
        <f>IFERROR(__xludf.DUMMYFUNCTION("""COMPUTED_VALUE"""),486.68)</f>
        <v>486.68</v>
      </c>
      <c r="AF80" s="26">
        <f>IFERROR(__xludf.DUMMYFUNCTION("""COMPUTED_VALUE"""),294.92)</f>
        <v>294.92</v>
      </c>
      <c r="AG80" s="26">
        <f>IFERROR(__xludf.DUMMYFUNCTION("""COMPUTED_VALUE"""),48.41)</f>
        <v>48.41</v>
      </c>
      <c r="AH80" s="26">
        <f>IFERROR(__xludf.DUMMYFUNCTION("""COMPUTED_VALUE"""),79.7)</f>
        <v>79.7</v>
      </c>
      <c r="AI80" s="26">
        <f>IFERROR(__xludf.DUMMYFUNCTION("""COMPUTED_VALUE"""),487.46)</f>
        <v>487.46</v>
      </c>
      <c r="AJ80" s="26">
        <f>IFERROR(__xludf.DUMMYFUNCTION("""COMPUTED_VALUE"""),364.74)</f>
        <v>364.74</v>
      </c>
      <c r="AK80" s="26">
        <f>IFERROR(__xludf.DUMMYFUNCTION("""COMPUTED_VALUE"""),108.86)</f>
        <v>108.86</v>
      </c>
      <c r="AL80" s="26">
        <f>IFERROR(__xludf.DUMMYFUNCTION("""COMPUTED_VALUE"""),161.44)</f>
        <v>161.44</v>
      </c>
      <c r="AM80" s="26">
        <f>IFERROR(__xludf.DUMMYFUNCTION("""COMPUTED_VALUE"""),483.44)</f>
        <v>483.44</v>
      </c>
      <c r="AN80" s="26">
        <f>IFERROR(__xludf.DUMMYFUNCTION("""COMPUTED_VALUE"""),220.3)</f>
        <v>220.3</v>
      </c>
      <c r="AO80" s="26">
        <f>IFERROR(__xludf.DUMMYFUNCTION("""COMPUTED_VALUE"""),567.22)</f>
        <v>567.22</v>
      </c>
      <c r="AP80" s="26">
        <f>IFERROR(__xludf.DUMMYFUNCTION("""COMPUTED_VALUE"""),258.08)</f>
        <v>258.08</v>
      </c>
      <c r="AQ80" s="26">
        <f>IFERROR(__xludf.DUMMYFUNCTION("""COMPUTED_VALUE"""),27.43)</f>
        <v>27.43</v>
      </c>
      <c r="AR80" s="26">
        <f>IFERROR(__xludf.DUMMYFUNCTION("""COMPUTED_VALUE"""),88.96)</f>
        <v>88.96</v>
      </c>
      <c r="AS80" s="26">
        <f>IFERROR(__xludf.DUMMYFUNCTION("""COMPUTED_VALUE"""),77.76)</f>
        <v>77.76</v>
      </c>
      <c r="AT80" s="26">
        <f>IFERROR(__xludf.DUMMYFUNCTION("""COMPUTED_VALUE"""),409.44)</f>
        <v>409.44</v>
      </c>
      <c r="AU80" s="26">
        <f>IFERROR(__xludf.DUMMYFUNCTION("""COMPUTED_VALUE"""),79.93)</f>
        <v>79.93</v>
      </c>
      <c r="AV80" s="26">
        <f>IFERROR(__xludf.DUMMYFUNCTION("""COMPUTED_VALUE"""),108.0)</f>
        <v>108</v>
      </c>
      <c r="AW80" s="26">
        <f>IFERROR(__xludf.DUMMYFUNCTION("""COMPUTED_VALUE"""),95.03)</f>
        <v>95.03</v>
      </c>
      <c r="AX80" s="26">
        <f>IFERROR(__xludf.DUMMYFUNCTION("""COMPUTED_VALUE"""),46.07)</f>
        <v>46.07</v>
      </c>
      <c r="AY80" s="26">
        <f>IFERROR(__xludf.DUMMYFUNCTION("""COMPUTED_VALUE"""),30.51)</f>
        <v>30.51</v>
      </c>
      <c r="AZ80" s="26">
        <f>IFERROR(__xludf.DUMMYFUNCTION("""COMPUTED_VALUE"""),72.0)</f>
        <v>72</v>
      </c>
      <c r="BA80" s="26">
        <f>IFERROR(__xludf.DUMMYFUNCTION("""COMPUTED_VALUE"""),28.3)</f>
        <v>28.3</v>
      </c>
      <c r="BB80" s="26">
        <f>IFERROR(__xludf.DUMMYFUNCTION("""COMPUTED_VALUE"""),120.99)</f>
        <v>120.99</v>
      </c>
      <c r="BC80" s="26">
        <f>IFERROR(__xludf.DUMMYFUNCTION("""COMPUTED_VALUE"""),200.53)</f>
        <v>200.53</v>
      </c>
      <c r="BD80" s="26">
        <f>IFERROR(__xludf.DUMMYFUNCTION("""COMPUTED_VALUE"""),606.43)</f>
        <v>606.43</v>
      </c>
      <c r="BE80" s="26">
        <f>IFERROR(__xludf.DUMMYFUNCTION("""COMPUTED_VALUE"""),186.15)</f>
        <v>186.15</v>
      </c>
      <c r="BF80" s="26">
        <f>IFERROR(__xludf.DUMMYFUNCTION("""COMPUTED_VALUE"""),159.38)</f>
        <v>159.38</v>
      </c>
      <c r="BG80" s="26">
        <f>IFERROR(__xludf.DUMMYFUNCTION("""COMPUTED_VALUE"""),8.2)</f>
        <v>8.2</v>
      </c>
      <c r="BH80" s="26">
        <f>IFERROR(__xludf.DUMMYFUNCTION("""COMPUTED_VALUE"""),255.21)</f>
        <v>255.21</v>
      </c>
      <c r="BI80" s="26">
        <f>IFERROR(__xludf.DUMMYFUNCTION("""COMPUTED_VALUE"""),598.68)</f>
        <v>598.68</v>
      </c>
      <c r="BJ80" s="26">
        <f>IFERROR(__xludf.DUMMYFUNCTION("""COMPUTED_VALUE"""),48.82)</f>
        <v>48.82</v>
      </c>
      <c r="BK80" s="26">
        <f>IFERROR(__xludf.DUMMYFUNCTION("""COMPUTED_VALUE"""),11.89)</f>
        <v>11.89</v>
      </c>
      <c r="BL80" s="26">
        <f>IFERROR(__xludf.DUMMYFUNCTION("""COMPUTED_VALUE"""),209.4)</f>
        <v>209.4</v>
      </c>
      <c r="BM80" s="26">
        <f>IFERROR(__xludf.DUMMYFUNCTION("""COMPUTED_VALUE"""),89.13)</f>
        <v>89.13</v>
      </c>
    </row>
    <row r="81">
      <c r="A81" s="25">
        <v>45539.66666666667</v>
      </c>
      <c r="B81" s="17">
        <f>IFERROR(__xludf.DUMMYFUNCTION("""COMPUTED_VALUE"""),5520.07)</f>
        <v>5520.07</v>
      </c>
      <c r="C81" s="17">
        <f>IFERROR(__xludf.DUMMYFUNCTION("""COMPUTED_VALUE"""),17084.3)</f>
        <v>17084.3</v>
      </c>
      <c r="D81" s="17">
        <f>IFERROR(__xludf.DUMMYFUNCTION("""COMPUTED_VALUE"""),40974.97)</f>
        <v>40974.97</v>
      </c>
      <c r="E81" s="17">
        <f>IFERROR(__xludf.DUMMYFUNCTION("""COMPUTED_VALUE"""),2145.22)</f>
        <v>2145.22</v>
      </c>
      <c r="F81" s="26">
        <f>IFERROR(__xludf.DUMMYFUNCTION("""COMPUTED_VALUE"""),575.25)</f>
        <v>575.25</v>
      </c>
      <c r="G81" s="26">
        <f>IFERROR(__xludf.DUMMYFUNCTION("""COMPUTED_VALUE"""),173.33)</f>
        <v>173.33</v>
      </c>
      <c r="H81" s="26">
        <f>IFERROR(__xludf.DUMMYFUNCTION("""COMPUTED_VALUE"""),144.15)</f>
        <v>144.15</v>
      </c>
      <c r="I81" s="26">
        <f>IFERROR(__xludf.DUMMYFUNCTION("""COMPUTED_VALUE"""),220.85)</f>
        <v>220.85</v>
      </c>
      <c r="J81" s="26">
        <f>IFERROR(__xludf.DUMMYFUNCTION("""COMPUTED_VALUE"""),182.38)</f>
        <v>182.38</v>
      </c>
      <c r="K81" s="26">
        <f>IFERROR(__xludf.DUMMYFUNCTION("""COMPUTED_VALUE"""),67.74)</f>
        <v>67.74</v>
      </c>
      <c r="L81" s="26">
        <f>IFERROR(__xludf.DUMMYFUNCTION("""COMPUTED_VALUE"""),11.74)</f>
        <v>11.74</v>
      </c>
      <c r="M81" s="26">
        <f>IFERROR(__xludf.DUMMYFUNCTION("""COMPUTED_VALUE"""),478.57)</f>
        <v>478.57</v>
      </c>
      <c r="N81" s="26">
        <f>IFERROR(__xludf.DUMMYFUNCTION("""COMPUTED_VALUE"""),52.25)</f>
        <v>52.25</v>
      </c>
      <c r="O81" s="26">
        <f>IFERROR(__xludf.DUMMYFUNCTION("""COMPUTED_VALUE"""),204.95)</f>
        <v>204.95</v>
      </c>
      <c r="P81" s="26">
        <f>IFERROR(__xludf.DUMMYFUNCTION("""COMPUTED_VALUE"""),69.11)</f>
        <v>69.11</v>
      </c>
      <c r="Q81" s="26">
        <f>IFERROR(__xludf.DUMMYFUNCTION("""COMPUTED_VALUE"""),336.75)</f>
        <v>336.75</v>
      </c>
      <c r="R81" s="26">
        <f>IFERROR(__xludf.DUMMYFUNCTION("""COMPUTED_VALUE"""),39.0)</f>
        <v>39</v>
      </c>
      <c r="S81" s="26">
        <f>IFERROR(__xludf.DUMMYFUNCTION("""COMPUTED_VALUE"""),190.29)</f>
        <v>190.29</v>
      </c>
      <c r="T81" s="26">
        <f>IFERROR(__xludf.DUMMYFUNCTION("""COMPUTED_VALUE"""),142.07)</f>
        <v>142.07</v>
      </c>
      <c r="U81" s="26">
        <f>IFERROR(__xludf.DUMMYFUNCTION("""COMPUTED_VALUE"""),366.64)</f>
        <v>366.64</v>
      </c>
      <c r="V81" s="26">
        <f>IFERROR(__xludf.DUMMYFUNCTION("""COMPUTED_VALUE"""),41.97)</f>
        <v>41.97</v>
      </c>
      <c r="W81" s="26">
        <f>IFERROR(__xludf.DUMMYFUNCTION("""COMPUTED_VALUE"""),72.56)</f>
        <v>72.56</v>
      </c>
      <c r="X81" s="26">
        <f>IFERROR(__xludf.DUMMYFUNCTION("""COMPUTED_VALUE"""),104.4)</f>
        <v>104.4</v>
      </c>
      <c r="Y81" s="26">
        <f>IFERROR(__xludf.DUMMYFUNCTION("""COMPUTED_VALUE"""),149.09)</f>
        <v>149.09</v>
      </c>
      <c r="Z81" s="26">
        <f>IFERROR(__xludf.DUMMYFUNCTION("""COMPUTED_VALUE"""),63.56)</f>
        <v>63.56</v>
      </c>
      <c r="AA81" s="26">
        <f>IFERROR(__xludf.DUMMYFUNCTION("""COMPUTED_VALUE"""),405.53)</f>
        <v>405.53</v>
      </c>
      <c r="AB81" s="26">
        <f>IFERROR(__xludf.DUMMYFUNCTION("""COMPUTED_VALUE"""),58.95)</f>
        <v>58.95</v>
      </c>
      <c r="AC81" s="26">
        <f>IFERROR(__xludf.DUMMYFUNCTION("""COMPUTED_VALUE"""),114.06)</f>
        <v>114.06</v>
      </c>
      <c r="AD81" s="26">
        <f>IFERROR(__xludf.DUMMYFUNCTION("""COMPUTED_VALUE"""),292.84)</f>
        <v>292.84</v>
      </c>
      <c r="AE81" s="26">
        <f>IFERROR(__xludf.DUMMYFUNCTION("""COMPUTED_VALUE"""),486.92)</f>
        <v>486.92</v>
      </c>
      <c r="AF81" s="26">
        <f>IFERROR(__xludf.DUMMYFUNCTION("""COMPUTED_VALUE"""),294.35)</f>
        <v>294.35</v>
      </c>
      <c r="AG81" s="26">
        <f>IFERROR(__xludf.DUMMYFUNCTION("""COMPUTED_VALUE"""),48.45)</f>
        <v>48.45</v>
      </c>
      <c r="AH81" s="26">
        <f>IFERROR(__xludf.DUMMYFUNCTION("""COMPUTED_VALUE"""),79.13)</f>
        <v>79.13</v>
      </c>
      <c r="AI81" s="26">
        <f>IFERROR(__xludf.DUMMYFUNCTION("""COMPUTED_VALUE"""),490.64)</f>
        <v>490.64</v>
      </c>
      <c r="AJ81" s="26">
        <f>IFERROR(__xludf.DUMMYFUNCTION("""COMPUTED_VALUE"""),364.67)</f>
        <v>364.67</v>
      </c>
      <c r="AK81" s="26">
        <f>IFERROR(__xludf.DUMMYFUNCTION("""COMPUTED_VALUE"""),108.08)</f>
        <v>108.08</v>
      </c>
      <c r="AL81" s="26">
        <f>IFERROR(__xludf.DUMMYFUNCTION("""COMPUTED_VALUE"""),162.43)</f>
        <v>162.43</v>
      </c>
      <c r="AM81" s="26">
        <f>IFERROR(__xludf.DUMMYFUNCTION("""COMPUTED_VALUE"""),481.73)</f>
        <v>481.73</v>
      </c>
      <c r="AN81" s="26">
        <f>IFERROR(__xludf.DUMMYFUNCTION("""COMPUTED_VALUE"""),219.33)</f>
        <v>219.33</v>
      </c>
      <c r="AO81" s="26">
        <f>IFERROR(__xludf.DUMMYFUNCTION("""COMPUTED_VALUE"""),574.78)</f>
        <v>574.78</v>
      </c>
      <c r="AP81" s="26">
        <f>IFERROR(__xludf.DUMMYFUNCTION("""COMPUTED_VALUE"""),255.51)</f>
        <v>255.51</v>
      </c>
      <c r="AQ81" s="26">
        <f>IFERROR(__xludf.DUMMYFUNCTION("""COMPUTED_VALUE"""),27.6)</f>
        <v>27.6</v>
      </c>
      <c r="AR81" s="26">
        <f>IFERROR(__xludf.DUMMYFUNCTION("""COMPUTED_VALUE"""),91.03)</f>
        <v>91.03</v>
      </c>
      <c r="AS81" s="26">
        <f>IFERROR(__xludf.DUMMYFUNCTION("""COMPUTED_VALUE"""),77.52)</f>
        <v>77.52</v>
      </c>
      <c r="AT81" s="26">
        <f>IFERROR(__xludf.DUMMYFUNCTION("""COMPUTED_VALUE"""),408.9)</f>
        <v>408.9</v>
      </c>
      <c r="AU81" s="26">
        <f>IFERROR(__xludf.DUMMYFUNCTION("""COMPUTED_VALUE"""),81.08)</f>
        <v>81.08</v>
      </c>
      <c r="AV81" s="26">
        <f>IFERROR(__xludf.DUMMYFUNCTION("""COMPUTED_VALUE"""),106.21)</f>
        <v>106.21</v>
      </c>
      <c r="AW81" s="26">
        <f>IFERROR(__xludf.DUMMYFUNCTION("""COMPUTED_VALUE"""),94.26)</f>
        <v>94.26</v>
      </c>
      <c r="AX81" s="26">
        <f>IFERROR(__xludf.DUMMYFUNCTION("""COMPUTED_VALUE"""),45.7)</f>
        <v>45.7</v>
      </c>
      <c r="AY81" s="26">
        <f>IFERROR(__xludf.DUMMYFUNCTION("""COMPUTED_VALUE"""),30.59)</f>
        <v>30.59</v>
      </c>
      <c r="AZ81" s="26">
        <f>IFERROR(__xludf.DUMMYFUNCTION("""COMPUTED_VALUE"""),72.61)</f>
        <v>72.61</v>
      </c>
      <c r="BA81" s="26">
        <f>IFERROR(__xludf.DUMMYFUNCTION("""COMPUTED_VALUE"""),28.39)</f>
        <v>28.39</v>
      </c>
      <c r="BB81" s="26">
        <f>IFERROR(__xludf.DUMMYFUNCTION("""COMPUTED_VALUE"""),121.11)</f>
        <v>121.11</v>
      </c>
      <c r="BC81" s="26">
        <f>IFERROR(__xludf.DUMMYFUNCTION("""COMPUTED_VALUE"""),198.8)</f>
        <v>198.8</v>
      </c>
      <c r="BD81" s="26">
        <f>IFERROR(__xludf.DUMMYFUNCTION("""COMPUTED_VALUE"""),611.9)</f>
        <v>611.9</v>
      </c>
      <c r="BE81" s="26">
        <f>IFERROR(__xludf.DUMMYFUNCTION("""COMPUTED_VALUE"""),184.71)</f>
        <v>184.71</v>
      </c>
      <c r="BF81" s="26">
        <f>IFERROR(__xludf.DUMMYFUNCTION("""COMPUTED_VALUE"""),150.98)</f>
        <v>150.98</v>
      </c>
      <c r="BG81" s="26">
        <f>IFERROR(__xludf.DUMMYFUNCTION("""COMPUTED_VALUE"""),8.23)</f>
        <v>8.23</v>
      </c>
      <c r="BH81" s="26">
        <f>IFERROR(__xludf.DUMMYFUNCTION("""COMPUTED_VALUE"""),255.7)</f>
        <v>255.7</v>
      </c>
      <c r="BI81" s="26">
        <f>IFERROR(__xludf.DUMMYFUNCTION("""COMPUTED_VALUE"""),604.18)</f>
        <v>604.18</v>
      </c>
      <c r="BJ81" s="26">
        <f>IFERROR(__xludf.DUMMYFUNCTION("""COMPUTED_VALUE"""),48.87)</f>
        <v>48.87</v>
      </c>
      <c r="BK81" s="26">
        <f>IFERROR(__xludf.DUMMYFUNCTION("""COMPUTED_VALUE"""),11.78)</f>
        <v>11.78</v>
      </c>
      <c r="BL81" s="26">
        <f>IFERROR(__xludf.DUMMYFUNCTION("""COMPUTED_VALUE"""),209.32)</f>
        <v>209.32</v>
      </c>
      <c r="BM81" s="26">
        <f>IFERROR(__xludf.DUMMYFUNCTION("""COMPUTED_VALUE"""),89.25)</f>
        <v>89.25</v>
      </c>
    </row>
    <row r="82">
      <c r="A82" s="25">
        <v>45540.66666666667</v>
      </c>
      <c r="B82" s="17">
        <f>IFERROR(__xludf.DUMMYFUNCTION("""COMPUTED_VALUE"""),5503.41)</f>
        <v>5503.41</v>
      </c>
      <c r="C82" s="17">
        <f>IFERROR(__xludf.DUMMYFUNCTION("""COMPUTED_VALUE"""),17127.66)</f>
        <v>17127.66</v>
      </c>
      <c r="D82" s="17">
        <f>IFERROR(__xludf.DUMMYFUNCTION("""COMPUTED_VALUE"""),40755.75)</f>
        <v>40755.75</v>
      </c>
      <c r="E82" s="17">
        <f>IFERROR(__xludf.DUMMYFUNCTION("""COMPUTED_VALUE"""),2132.05)</f>
        <v>2132.05</v>
      </c>
      <c r="F82" s="26">
        <f>IFERROR(__xludf.DUMMYFUNCTION("""COMPUTED_VALUE"""),567.93)</f>
        <v>567.93</v>
      </c>
      <c r="G82" s="26">
        <f>IFERROR(__xludf.DUMMYFUNCTION("""COMPUTED_VALUE"""),177.89)</f>
        <v>177.89</v>
      </c>
      <c r="H82" s="26">
        <f>IFERROR(__xludf.DUMMYFUNCTION("""COMPUTED_VALUE"""),144.51)</f>
        <v>144.51</v>
      </c>
      <c r="I82" s="26">
        <f>IFERROR(__xludf.DUMMYFUNCTION("""COMPUTED_VALUE"""),222.38)</f>
        <v>222.38</v>
      </c>
      <c r="J82" s="26">
        <f>IFERROR(__xludf.DUMMYFUNCTION("""COMPUTED_VALUE"""),180.24)</f>
        <v>180.24</v>
      </c>
      <c r="K82" s="26">
        <f>IFERROR(__xludf.DUMMYFUNCTION("""COMPUTED_VALUE"""),68.0)</f>
        <v>68</v>
      </c>
      <c r="L82" s="26">
        <f>IFERROR(__xludf.DUMMYFUNCTION("""COMPUTED_VALUE"""),12.12)</f>
        <v>12.12</v>
      </c>
      <c r="M82" s="26">
        <f>IFERROR(__xludf.DUMMYFUNCTION("""COMPUTED_VALUE"""),464.92)</f>
        <v>464.92</v>
      </c>
      <c r="N82" s="26">
        <f>IFERROR(__xludf.DUMMYFUNCTION("""COMPUTED_VALUE"""),52.51)</f>
        <v>52.51</v>
      </c>
      <c r="O82" s="26">
        <f>IFERROR(__xludf.DUMMYFUNCTION("""COMPUTED_VALUE"""),201.8)</f>
        <v>201.8</v>
      </c>
      <c r="P82" s="26">
        <f>IFERROR(__xludf.DUMMYFUNCTION("""COMPUTED_VALUE"""),69.04)</f>
        <v>69.04</v>
      </c>
      <c r="Q82" s="26">
        <f>IFERROR(__xludf.DUMMYFUNCTION("""COMPUTED_VALUE"""),333.56)</f>
        <v>333.56</v>
      </c>
      <c r="R82" s="26">
        <f>IFERROR(__xludf.DUMMYFUNCTION("""COMPUTED_VALUE"""),38.1)</f>
        <v>38.1</v>
      </c>
      <c r="S82" s="26">
        <f>IFERROR(__xludf.DUMMYFUNCTION("""COMPUTED_VALUE"""),188.14)</f>
        <v>188.14</v>
      </c>
      <c r="T82" s="26">
        <f>IFERROR(__xludf.DUMMYFUNCTION("""COMPUTED_VALUE"""),140.93)</f>
        <v>140.93</v>
      </c>
      <c r="U82" s="26">
        <f>IFERROR(__xludf.DUMMYFUNCTION("""COMPUTED_VALUE"""),355.12)</f>
        <v>355.12</v>
      </c>
      <c r="V82" s="26">
        <f>IFERROR(__xludf.DUMMYFUNCTION("""COMPUTED_VALUE"""),41.6)</f>
        <v>41.6</v>
      </c>
      <c r="W82" s="26">
        <f>IFERROR(__xludf.DUMMYFUNCTION("""COMPUTED_VALUE"""),71.17)</f>
        <v>71.17</v>
      </c>
      <c r="X82" s="26">
        <f>IFERROR(__xludf.DUMMYFUNCTION("""COMPUTED_VALUE"""),103.79)</f>
        <v>103.79</v>
      </c>
      <c r="Y82" s="26">
        <f>IFERROR(__xludf.DUMMYFUNCTION("""COMPUTED_VALUE"""),149.91)</f>
        <v>149.91</v>
      </c>
      <c r="Z82" s="26">
        <f>IFERROR(__xludf.DUMMYFUNCTION("""COMPUTED_VALUE"""),68.47)</f>
        <v>68.47</v>
      </c>
      <c r="AA82" s="26">
        <f>IFERROR(__xludf.DUMMYFUNCTION("""COMPUTED_VALUE"""),410.26)</f>
        <v>410.26</v>
      </c>
      <c r="AB82" s="26">
        <f>IFERROR(__xludf.DUMMYFUNCTION("""COMPUTED_VALUE"""),59.12)</f>
        <v>59.12</v>
      </c>
      <c r="AC82" s="26">
        <f>IFERROR(__xludf.DUMMYFUNCTION("""COMPUTED_VALUE"""),113.17)</f>
        <v>113.17</v>
      </c>
      <c r="AD82" s="26">
        <f>IFERROR(__xludf.DUMMYFUNCTION("""COMPUTED_VALUE"""),285.31)</f>
        <v>285.31</v>
      </c>
      <c r="AE82" s="26">
        <f>IFERROR(__xludf.DUMMYFUNCTION("""COMPUTED_VALUE"""),477.15)</f>
        <v>477.15</v>
      </c>
      <c r="AF82" s="26">
        <f>IFERROR(__xludf.DUMMYFUNCTION("""COMPUTED_VALUE"""),297.29)</f>
        <v>297.29</v>
      </c>
      <c r="AG82" s="26">
        <f>IFERROR(__xludf.DUMMYFUNCTION("""COMPUTED_VALUE"""),48.15)</f>
        <v>48.15</v>
      </c>
      <c r="AH82" s="26">
        <f>IFERROR(__xludf.DUMMYFUNCTION("""COMPUTED_VALUE"""),78.77)</f>
        <v>78.77</v>
      </c>
      <c r="AI82" s="26">
        <f>IFERROR(__xludf.DUMMYFUNCTION("""COMPUTED_VALUE"""),487.88)</f>
        <v>487.88</v>
      </c>
      <c r="AJ82" s="26">
        <f>IFERROR(__xludf.DUMMYFUNCTION("""COMPUTED_VALUE"""),361.85)</f>
        <v>361.85</v>
      </c>
      <c r="AK82" s="26">
        <f>IFERROR(__xludf.DUMMYFUNCTION("""COMPUTED_VALUE"""),107.22)</f>
        <v>107.22</v>
      </c>
      <c r="AL82" s="26">
        <f>IFERROR(__xludf.DUMMYFUNCTION("""COMPUTED_VALUE"""),162.6)</f>
        <v>162.6</v>
      </c>
      <c r="AM82" s="26">
        <f>IFERROR(__xludf.DUMMYFUNCTION("""COMPUTED_VALUE"""),476.69)</f>
        <v>476.69</v>
      </c>
      <c r="AN82" s="26">
        <f>IFERROR(__xludf.DUMMYFUNCTION("""COMPUTED_VALUE"""),217.63)</f>
        <v>217.63</v>
      </c>
      <c r="AO82" s="26">
        <f>IFERROR(__xludf.DUMMYFUNCTION("""COMPUTED_VALUE"""),568.59)</f>
        <v>568.59</v>
      </c>
      <c r="AP82" s="26">
        <f>IFERROR(__xludf.DUMMYFUNCTION("""COMPUTED_VALUE"""),253.7)</f>
        <v>253.7</v>
      </c>
      <c r="AQ82" s="26">
        <f>IFERROR(__xludf.DUMMYFUNCTION("""COMPUTED_VALUE"""),27.57)</f>
        <v>27.57</v>
      </c>
      <c r="AR82" s="26">
        <f>IFERROR(__xludf.DUMMYFUNCTION("""COMPUTED_VALUE"""),89.39)</f>
        <v>89.39</v>
      </c>
      <c r="AS82" s="26">
        <f>IFERROR(__xludf.DUMMYFUNCTION("""COMPUTED_VALUE"""),76.58)</f>
        <v>76.58</v>
      </c>
      <c r="AT82" s="26">
        <f>IFERROR(__xludf.DUMMYFUNCTION("""COMPUTED_VALUE"""),408.39)</f>
        <v>408.39</v>
      </c>
      <c r="AU82" s="26">
        <f>IFERROR(__xludf.DUMMYFUNCTION("""COMPUTED_VALUE"""),80.33)</f>
        <v>80.33</v>
      </c>
      <c r="AV82" s="26">
        <f>IFERROR(__xludf.DUMMYFUNCTION("""COMPUTED_VALUE"""),107.21)</f>
        <v>107.21</v>
      </c>
      <c r="AW82" s="26">
        <f>IFERROR(__xludf.DUMMYFUNCTION("""COMPUTED_VALUE"""),92.43)</f>
        <v>92.43</v>
      </c>
      <c r="AX82" s="26">
        <f>IFERROR(__xludf.DUMMYFUNCTION("""COMPUTED_VALUE"""),44.78)</f>
        <v>44.78</v>
      </c>
      <c r="AY82" s="26">
        <f>IFERROR(__xludf.DUMMYFUNCTION("""COMPUTED_VALUE"""),30.16)</f>
        <v>30.16</v>
      </c>
      <c r="AZ82" s="26">
        <f>IFERROR(__xludf.DUMMYFUNCTION("""COMPUTED_VALUE"""),72.03)</f>
        <v>72.03</v>
      </c>
      <c r="BA82" s="26">
        <f>IFERROR(__xludf.DUMMYFUNCTION("""COMPUTED_VALUE"""),28.51)</f>
        <v>28.51</v>
      </c>
      <c r="BB82" s="26">
        <f>IFERROR(__xludf.DUMMYFUNCTION("""COMPUTED_VALUE"""),119.64)</f>
        <v>119.64</v>
      </c>
      <c r="BC82" s="26">
        <f>IFERROR(__xludf.DUMMYFUNCTION("""COMPUTED_VALUE"""),197.18)</f>
        <v>197.18</v>
      </c>
      <c r="BD82" s="26">
        <f>IFERROR(__xludf.DUMMYFUNCTION("""COMPUTED_VALUE"""),606.88)</f>
        <v>606.88</v>
      </c>
      <c r="BE82" s="26">
        <f>IFERROR(__xludf.DUMMYFUNCTION("""COMPUTED_VALUE"""),182.8)</f>
        <v>182.8</v>
      </c>
      <c r="BF82" s="26">
        <f>IFERROR(__xludf.DUMMYFUNCTION("""COMPUTED_VALUE"""),143.39)</f>
        <v>143.39</v>
      </c>
      <c r="BG82" s="26">
        <f>IFERROR(__xludf.DUMMYFUNCTION("""COMPUTED_VALUE"""),7.86)</f>
        <v>7.86</v>
      </c>
      <c r="BH82" s="26">
        <f>IFERROR(__xludf.DUMMYFUNCTION("""COMPUTED_VALUE"""),251.53)</f>
        <v>251.53</v>
      </c>
      <c r="BI82" s="26">
        <f>IFERROR(__xludf.DUMMYFUNCTION("""COMPUTED_VALUE"""),595.49)</f>
        <v>595.49</v>
      </c>
      <c r="BJ82" s="26">
        <f>IFERROR(__xludf.DUMMYFUNCTION("""COMPUTED_VALUE"""),48.87)</f>
        <v>48.87</v>
      </c>
      <c r="BK82" s="26">
        <f>IFERROR(__xludf.DUMMYFUNCTION("""COMPUTED_VALUE"""),11.67)</f>
        <v>11.67</v>
      </c>
      <c r="BL82" s="26">
        <f>IFERROR(__xludf.DUMMYFUNCTION("""COMPUTED_VALUE"""),208.4)</f>
        <v>208.4</v>
      </c>
      <c r="BM82" s="26">
        <f>IFERROR(__xludf.DUMMYFUNCTION("""COMPUTED_VALUE"""),88.65)</f>
        <v>88.65</v>
      </c>
    </row>
    <row r="83">
      <c r="A83" s="25">
        <v>45541.66666666667</v>
      </c>
      <c r="B83" s="17">
        <f>IFERROR(__xludf.DUMMYFUNCTION("""COMPUTED_VALUE"""),5408.42)</f>
        <v>5408.42</v>
      </c>
      <c r="C83" s="17">
        <f>IFERROR(__xludf.DUMMYFUNCTION("""COMPUTED_VALUE"""),16690.83)</f>
        <v>16690.83</v>
      </c>
      <c r="D83" s="17">
        <f>IFERROR(__xludf.DUMMYFUNCTION("""COMPUTED_VALUE"""),40345.41)</f>
        <v>40345.41</v>
      </c>
      <c r="E83" s="17">
        <f>IFERROR(__xludf.DUMMYFUNCTION("""COMPUTED_VALUE"""),2091.41)</f>
        <v>2091.41</v>
      </c>
      <c r="F83" s="26">
        <f>IFERROR(__xludf.DUMMYFUNCTION("""COMPUTED_VALUE"""),563.41)</f>
        <v>563.41</v>
      </c>
      <c r="G83" s="26">
        <f>IFERROR(__xludf.DUMMYFUNCTION("""COMPUTED_VALUE"""),171.39)</f>
        <v>171.39</v>
      </c>
      <c r="H83" s="26">
        <f>IFERROR(__xludf.DUMMYFUNCTION("""COMPUTED_VALUE"""),143.94)</f>
        <v>143.94</v>
      </c>
      <c r="I83" s="26">
        <f>IFERROR(__xludf.DUMMYFUNCTION("""COMPUTED_VALUE"""),220.82)</f>
        <v>220.82</v>
      </c>
      <c r="J83" s="26">
        <f>IFERROR(__xludf.DUMMYFUNCTION("""COMPUTED_VALUE"""),174.75)</f>
        <v>174.75</v>
      </c>
      <c r="K83" s="26">
        <f>IFERROR(__xludf.DUMMYFUNCTION("""COMPUTED_VALUE"""),66.41)</f>
        <v>66.41</v>
      </c>
      <c r="L83" s="26">
        <f>IFERROR(__xludf.DUMMYFUNCTION("""COMPUTED_VALUE"""),11.55)</f>
        <v>11.55</v>
      </c>
      <c r="M83" s="26">
        <f>IFERROR(__xludf.DUMMYFUNCTION("""COMPUTED_VALUE"""),459.42)</f>
        <v>459.42</v>
      </c>
      <c r="N83" s="26">
        <f>IFERROR(__xludf.DUMMYFUNCTION("""COMPUTED_VALUE"""),51.39)</f>
        <v>51.39</v>
      </c>
      <c r="O83" s="26">
        <f>IFERROR(__xludf.DUMMYFUNCTION("""COMPUTED_VALUE"""),200.81)</f>
        <v>200.81</v>
      </c>
      <c r="P83" s="26">
        <f>IFERROR(__xludf.DUMMYFUNCTION("""COMPUTED_VALUE"""),69.48)</f>
        <v>69.48</v>
      </c>
      <c r="Q83" s="26">
        <f>IFERROR(__xludf.DUMMYFUNCTION("""COMPUTED_VALUE"""),329.36)</f>
        <v>329.36</v>
      </c>
      <c r="R83" s="26">
        <f>IFERROR(__xludf.DUMMYFUNCTION("""COMPUTED_VALUE"""),36.96)</f>
        <v>36.96</v>
      </c>
      <c r="S83" s="26">
        <f>IFERROR(__xludf.DUMMYFUNCTION("""COMPUTED_VALUE"""),188.42)</f>
        <v>188.42</v>
      </c>
      <c r="T83" s="26">
        <f>IFERROR(__xludf.DUMMYFUNCTION("""COMPUTED_VALUE"""),138.56)</f>
        <v>138.56</v>
      </c>
      <c r="U83" s="26">
        <f>IFERROR(__xludf.DUMMYFUNCTION("""COMPUTED_VALUE"""),353.49)</f>
        <v>353.49</v>
      </c>
      <c r="V83" s="26">
        <f>IFERROR(__xludf.DUMMYFUNCTION("""COMPUTED_VALUE"""),40.69)</f>
        <v>40.69</v>
      </c>
      <c r="W83" s="26">
        <f>IFERROR(__xludf.DUMMYFUNCTION("""COMPUTED_VALUE"""),71.14)</f>
        <v>71.14</v>
      </c>
      <c r="X83" s="26">
        <f>IFERROR(__xludf.DUMMYFUNCTION("""COMPUTED_VALUE"""),103.28)</f>
        <v>103.28</v>
      </c>
      <c r="Y83" s="26">
        <f>IFERROR(__xludf.DUMMYFUNCTION("""COMPUTED_VALUE"""),148.22)</f>
        <v>148.22</v>
      </c>
      <c r="Z83" s="26">
        <f>IFERROR(__xludf.DUMMYFUNCTION("""COMPUTED_VALUE"""),66.5)</f>
        <v>66.5</v>
      </c>
      <c r="AA83" s="26">
        <f>IFERROR(__xludf.DUMMYFUNCTION("""COMPUTED_VALUE"""),408.49)</f>
        <v>408.49</v>
      </c>
      <c r="AB83" s="26">
        <f>IFERROR(__xludf.DUMMYFUNCTION("""COMPUTED_VALUE"""),59.2)</f>
        <v>59.2</v>
      </c>
      <c r="AC83" s="26">
        <f>IFERROR(__xludf.DUMMYFUNCTION("""COMPUTED_VALUE"""),112.64)</f>
        <v>112.64</v>
      </c>
      <c r="AD83" s="26">
        <f>IFERROR(__xludf.DUMMYFUNCTION("""COMPUTED_VALUE"""),283.04)</f>
        <v>283.04</v>
      </c>
      <c r="AE83" s="26">
        <f>IFERROR(__xludf.DUMMYFUNCTION("""COMPUTED_VALUE"""),470.7)</f>
        <v>470.7</v>
      </c>
      <c r="AF83" s="26">
        <f>IFERROR(__xludf.DUMMYFUNCTION("""COMPUTED_VALUE"""),292.78)</f>
        <v>292.78</v>
      </c>
      <c r="AG83" s="26">
        <f>IFERROR(__xludf.DUMMYFUNCTION("""COMPUTED_VALUE"""),47.14)</f>
        <v>47.14</v>
      </c>
      <c r="AH83" s="26">
        <f>IFERROR(__xludf.DUMMYFUNCTION("""COMPUTED_VALUE"""),78.72)</f>
        <v>78.72</v>
      </c>
      <c r="AI83" s="26">
        <f>IFERROR(__xludf.DUMMYFUNCTION("""COMPUTED_VALUE"""),479.61)</f>
        <v>479.61</v>
      </c>
      <c r="AJ83" s="26">
        <f>IFERROR(__xludf.DUMMYFUNCTION("""COMPUTED_VALUE"""),360.05)</f>
        <v>360.05</v>
      </c>
      <c r="AK83" s="26">
        <f>IFERROR(__xludf.DUMMYFUNCTION("""COMPUTED_VALUE"""),104.45)</f>
        <v>104.45</v>
      </c>
      <c r="AL83" s="26">
        <f>IFERROR(__xludf.DUMMYFUNCTION("""COMPUTED_VALUE"""),160.49)</f>
        <v>160.49</v>
      </c>
      <c r="AM83" s="26">
        <f>IFERROR(__xludf.DUMMYFUNCTION("""COMPUTED_VALUE"""),471.82)</f>
        <v>471.82</v>
      </c>
      <c r="AN83" s="26">
        <f>IFERROR(__xludf.DUMMYFUNCTION("""COMPUTED_VALUE"""),212.46)</f>
        <v>212.46</v>
      </c>
      <c r="AO83" s="26">
        <f>IFERROR(__xludf.DUMMYFUNCTION("""COMPUTED_VALUE"""),566.63)</f>
        <v>566.63</v>
      </c>
      <c r="AP83" s="26">
        <f>IFERROR(__xludf.DUMMYFUNCTION("""COMPUTED_VALUE"""),253.84)</f>
        <v>253.84</v>
      </c>
      <c r="AQ83" s="26">
        <f>IFERROR(__xludf.DUMMYFUNCTION("""COMPUTED_VALUE"""),27.06)</f>
        <v>27.06</v>
      </c>
      <c r="AR83" s="26">
        <f>IFERROR(__xludf.DUMMYFUNCTION("""COMPUTED_VALUE"""),89.89)</f>
        <v>89.89</v>
      </c>
      <c r="AS83" s="26">
        <f>IFERROR(__xludf.DUMMYFUNCTION("""COMPUTED_VALUE"""),74.08)</f>
        <v>74.08</v>
      </c>
      <c r="AT83" s="26">
        <f>IFERROR(__xludf.DUMMYFUNCTION("""COMPUTED_VALUE"""),401.7)</f>
        <v>401.7</v>
      </c>
      <c r="AU83" s="26">
        <f>IFERROR(__xludf.DUMMYFUNCTION("""COMPUTED_VALUE"""),79.98)</f>
        <v>79.98</v>
      </c>
      <c r="AV83" s="26">
        <f>IFERROR(__xludf.DUMMYFUNCTION("""COMPUTED_VALUE"""),102.83)</f>
        <v>102.83</v>
      </c>
      <c r="AW83" s="26">
        <f>IFERROR(__xludf.DUMMYFUNCTION("""COMPUTED_VALUE"""),91.43)</f>
        <v>91.43</v>
      </c>
      <c r="AX83" s="26">
        <f>IFERROR(__xludf.DUMMYFUNCTION("""COMPUTED_VALUE"""),44.44)</f>
        <v>44.44</v>
      </c>
      <c r="AY83" s="26">
        <f>IFERROR(__xludf.DUMMYFUNCTION("""COMPUTED_VALUE"""),30.33)</f>
        <v>30.33</v>
      </c>
      <c r="AZ83" s="26">
        <f>IFERROR(__xludf.DUMMYFUNCTION("""COMPUTED_VALUE"""),68.89)</f>
        <v>68.89</v>
      </c>
      <c r="BA83" s="26">
        <f>IFERROR(__xludf.DUMMYFUNCTION("""COMPUTED_VALUE"""),28.56)</f>
        <v>28.56</v>
      </c>
      <c r="BB83" s="26">
        <f>IFERROR(__xludf.DUMMYFUNCTION("""COMPUTED_VALUE"""),118.44)</f>
        <v>118.44</v>
      </c>
      <c r="BC83" s="26">
        <f>IFERROR(__xludf.DUMMYFUNCTION("""COMPUTED_VALUE"""),193.0)</f>
        <v>193</v>
      </c>
      <c r="BD83" s="26">
        <f>IFERROR(__xludf.DUMMYFUNCTION("""COMPUTED_VALUE"""),611.33)</f>
        <v>611.33</v>
      </c>
      <c r="BE83" s="26">
        <f>IFERROR(__xludf.DUMMYFUNCTION("""COMPUTED_VALUE"""),177.18)</f>
        <v>177.18</v>
      </c>
      <c r="BF83" s="26">
        <f>IFERROR(__xludf.DUMMYFUNCTION("""COMPUTED_VALUE"""),139.88)</f>
        <v>139.88</v>
      </c>
      <c r="BG83" s="26">
        <f>IFERROR(__xludf.DUMMYFUNCTION("""COMPUTED_VALUE"""),7.79)</f>
        <v>7.79</v>
      </c>
      <c r="BH83" s="26">
        <f>IFERROR(__xludf.DUMMYFUNCTION("""COMPUTED_VALUE"""),249.63)</f>
        <v>249.63</v>
      </c>
      <c r="BI83" s="26">
        <f>IFERROR(__xludf.DUMMYFUNCTION("""COMPUTED_VALUE"""),596.88)</f>
        <v>596.88</v>
      </c>
      <c r="BJ83" s="26">
        <f>IFERROR(__xludf.DUMMYFUNCTION("""COMPUTED_VALUE"""),48.94)</f>
        <v>48.94</v>
      </c>
      <c r="BK83" s="26">
        <f>IFERROR(__xludf.DUMMYFUNCTION("""COMPUTED_VALUE"""),11.27)</f>
        <v>11.27</v>
      </c>
      <c r="BL83" s="26">
        <f>IFERROR(__xludf.DUMMYFUNCTION("""COMPUTED_VALUE"""),204.73)</f>
        <v>204.73</v>
      </c>
      <c r="BM83" s="26">
        <f>IFERROR(__xludf.DUMMYFUNCTION("""COMPUTED_VALUE"""),87.94)</f>
        <v>87.94</v>
      </c>
    </row>
    <row r="84">
      <c r="A84" s="25">
        <v>45544.66666666667</v>
      </c>
      <c r="B84" s="17">
        <f>IFERROR(__xludf.DUMMYFUNCTION("""COMPUTED_VALUE"""),5471.05)</f>
        <v>5471.05</v>
      </c>
      <c r="C84" s="17">
        <f>IFERROR(__xludf.DUMMYFUNCTION("""COMPUTED_VALUE"""),16884.6)</f>
        <v>16884.6</v>
      </c>
      <c r="D84" s="17">
        <f>IFERROR(__xludf.DUMMYFUNCTION("""COMPUTED_VALUE"""),40829.59)</f>
        <v>40829.59</v>
      </c>
      <c r="E84" s="17">
        <f>IFERROR(__xludf.DUMMYFUNCTION("""COMPUTED_VALUE"""),2097.78)</f>
        <v>2097.78</v>
      </c>
      <c r="F84" s="26">
        <f>IFERROR(__xludf.DUMMYFUNCTION("""COMPUTED_VALUE"""),569.88)</f>
        <v>569.88</v>
      </c>
      <c r="G84" s="26">
        <f>IFERROR(__xludf.DUMMYFUNCTION("""COMPUTED_VALUE"""),175.4)</f>
        <v>175.4</v>
      </c>
      <c r="H84" s="26">
        <f>IFERROR(__xludf.DUMMYFUNCTION("""COMPUTED_VALUE"""),146.01)</f>
        <v>146.01</v>
      </c>
      <c r="I84" s="26">
        <f>IFERROR(__xludf.DUMMYFUNCTION("""COMPUTED_VALUE"""),220.91)</f>
        <v>220.91</v>
      </c>
      <c r="J84" s="26">
        <f>IFERROR(__xludf.DUMMYFUNCTION("""COMPUTED_VALUE"""),177.55)</f>
        <v>177.55</v>
      </c>
      <c r="K84" s="26">
        <f>IFERROR(__xludf.DUMMYFUNCTION("""COMPUTED_VALUE"""),67.72)</f>
        <v>67.72</v>
      </c>
      <c r="L84" s="26">
        <f>IFERROR(__xludf.DUMMYFUNCTION("""COMPUTED_VALUE"""),11.79)</f>
        <v>11.79</v>
      </c>
      <c r="M84" s="26">
        <f>IFERROR(__xludf.DUMMYFUNCTION("""COMPUTED_VALUE"""),459.61)</f>
        <v>459.61</v>
      </c>
      <c r="N84" s="26">
        <f>IFERROR(__xludf.DUMMYFUNCTION("""COMPUTED_VALUE"""),51.78)</f>
        <v>51.78</v>
      </c>
      <c r="O84" s="26">
        <f>IFERROR(__xludf.DUMMYFUNCTION("""COMPUTED_VALUE"""),199.27)</f>
        <v>199.27</v>
      </c>
      <c r="P84" s="26">
        <f>IFERROR(__xludf.DUMMYFUNCTION("""COMPUTED_VALUE"""),70.73)</f>
        <v>70.73</v>
      </c>
      <c r="Q84" s="26">
        <f>IFERROR(__xludf.DUMMYFUNCTION("""COMPUTED_VALUE"""),334.04)</f>
        <v>334.04</v>
      </c>
      <c r="R84" s="26">
        <f>IFERROR(__xludf.DUMMYFUNCTION("""COMPUTED_VALUE"""),37.04)</f>
        <v>37.04</v>
      </c>
      <c r="S84" s="26">
        <f>IFERROR(__xludf.DUMMYFUNCTION("""COMPUTED_VALUE"""),188.65)</f>
        <v>188.65</v>
      </c>
      <c r="T84" s="26">
        <f>IFERROR(__xludf.DUMMYFUNCTION("""COMPUTED_VALUE"""),140.3)</f>
        <v>140.3</v>
      </c>
      <c r="U84" s="26">
        <f>IFERROR(__xludf.DUMMYFUNCTION("""COMPUTED_VALUE"""),357.61)</f>
        <v>357.61</v>
      </c>
      <c r="V84" s="26">
        <f>IFERROR(__xludf.DUMMYFUNCTION("""COMPUTED_VALUE"""),41.45)</f>
        <v>41.45</v>
      </c>
      <c r="W84" s="26">
        <f>IFERROR(__xludf.DUMMYFUNCTION("""COMPUTED_VALUE"""),71.85)</f>
        <v>71.85</v>
      </c>
      <c r="X84" s="26">
        <f>IFERROR(__xludf.DUMMYFUNCTION("""COMPUTED_VALUE"""),104.75)</f>
        <v>104.75</v>
      </c>
      <c r="Y84" s="26">
        <f>IFERROR(__xludf.DUMMYFUNCTION("""COMPUTED_VALUE"""),149.34)</f>
        <v>149.34</v>
      </c>
      <c r="Z84" s="26">
        <f>IFERROR(__xludf.DUMMYFUNCTION("""COMPUTED_VALUE"""),67.42)</f>
        <v>67.42</v>
      </c>
      <c r="AA84" s="26">
        <f>IFERROR(__xludf.DUMMYFUNCTION("""COMPUTED_VALUE"""),420.16)</f>
        <v>420.16</v>
      </c>
      <c r="AB84" s="26">
        <f>IFERROR(__xludf.DUMMYFUNCTION("""COMPUTED_VALUE"""),59.43)</f>
        <v>59.43</v>
      </c>
      <c r="AC84" s="26">
        <f>IFERROR(__xludf.DUMMYFUNCTION("""COMPUTED_VALUE"""),115.01)</f>
        <v>115.01</v>
      </c>
      <c r="AD84" s="26">
        <f>IFERROR(__xludf.DUMMYFUNCTION("""COMPUTED_VALUE"""),283.3)</f>
        <v>283.3</v>
      </c>
      <c r="AE84" s="26">
        <f>IFERROR(__xludf.DUMMYFUNCTION("""COMPUTED_VALUE"""),471.98)</f>
        <v>471.98</v>
      </c>
      <c r="AF84" s="26">
        <f>IFERROR(__xludf.DUMMYFUNCTION("""COMPUTED_VALUE"""),301.56)</f>
        <v>301.56</v>
      </c>
      <c r="AG84" s="26">
        <f>IFERROR(__xludf.DUMMYFUNCTION("""COMPUTED_VALUE"""),47.4)</f>
        <v>47.4</v>
      </c>
      <c r="AH84" s="26">
        <f>IFERROR(__xludf.DUMMYFUNCTION("""COMPUTED_VALUE"""),79.17)</f>
        <v>79.17</v>
      </c>
      <c r="AI84" s="26">
        <f>IFERROR(__xludf.DUMMYFUNCTION("""COMPUTED_VALUE"""),488.57)</f>
        <v>488.57</v>
      </c>
      <c r="AJ84" s="26">
        <f>IFERROR(__xludf.DUMMYFUNCTION("""COMPUTED_VALUE"""),365.52)</f>
        <v>365.52</v>
      </c>
      <c r="AK84" s="26">
        <f>IFERROR(__xludf.DUMMYFUNCTION("""COMPUTED_VALUE"""),105.57)</f>
        <v>105.57</v>
      </c>
      <c r="AL84" s="26">
        <f>IFERROR(__xludf.DUMMYFUNCTION("""COMPUTED_VALUE"""),161.7)</f>
        <v>161.7</v>
      </c>
      <c r="AM84" s="26">
        <f>IFERROR(__xludf.DUMMYFUNCTION("""COMPUTED_VALUE"""),479.39)</f>
        <v>479.39</v>
      </c>
      <c r="AN84" s="26">
        <f>IFERROR(__xludf.DUMMYFUNCTION("""COMPUTED_VALUE"""),216.81)</f>
        <v>216.81</v>
      </c>
      <c r="AO84" s="26">
        <f>IFERROR(__xludf.DUMMYFUNCTION("""COMPUTED_VALUE"""),576.57)</f>
        <v>576.57</v>
      </c>
      <c r="AP84" s="26">
        <f>IFERROR(__xludf.DUMMYFUNCTION("""COMPUTED_VALUE"""),248.59)</f>
        <v>248.59</v>
      </c>
      <c r="AQ84" s="26">
        <f>IFERROR(__xludf.DUMMYFUNCTION("""COMPUTED_VALUE"""),27.36)</f>
        <v>27.36</v>
      </c>
      <c r="AR84" s="26">
        <f>IFERROR(__xludf.DUMMYFUNCTION("""COMPUTED_VALUE"""),90.62)</f>
        <v>90.62</v>
      </c>
      <c r="AS84" s="26">
        <f>IFERROR(__xludf.DUMMYFUNCTION("""COMPUTED_VALUE"""),75.48)</f>
        <v>75.48</v>
      </c>
      <c r="AT84" s="26">
        <f>IFERROR(__xludf.DUMMYFUNCTION("""COMPUTED_VALUE"""),405.72)</f>
        <v>405.72</v>
      </c>
      <c r="AU84" s="26">
        <f>IFERROR(__xludf.DUMMYFUNCTION("""COMPUTED_VALUE"""),81.19)</f>
        <v>81.19</v>
      </c>
      <c r="AV84" s="26">
        <f>IFERROR(__xludf.DUMMYFUNCTION("""COMPUTED_VALUE"""),106.47)</f>
        <v>106.47</v>
      </c>
      <c r="AW84" s="26">
        <f>IFERROR(__xludf.DUMMYFUNCTION("""COMPUTED_VALUE"""),91.68)</f>
        <v>91.68</v>
      </c>
      <c r="AX84" s="26">
        <f>IFERROR(__xludf.DUMMYFUNCTION("""COMPUTED_VALUE"""),44.36)</f>
        <v>44.36</v>
      </c>
      <c r="AY84" s="26">
        <f>IFERROR(__xludf.DUMMYFUNCTION("""COMPUTED_VALUE"""),34.6)</f>
        <v>34.6</v>
      </c>
      <c r="AZ84" s="26">
        <f>IFERROR(__xludf.DUMMYFUNCTION("""COMPUTED_VALUE"""),69.35)</f>
        <v>69.35</v>
      </c>
      <c r="BA84" s="26">
        <f>IFERROR(__xludf.DUMMYFUNCTION("""COMPUTED_VALUE"""),29.41)</f>
        <v>29.41</v>
      </c>
      <c r="BB84" s="26">
        <f>IFERROR(__xludf.DUMMYFUNCTION("""COMPUTED_VALUE"""),121.16)</f>
        <v>121.16</v>
      </c>
      <c r="BC84" s="26">
        <f>IFERROR(__xludf.DUMMYFUNCTION("""COMPUTED_VALUE"""),195.3)</f>
        <v>195.3</v>
      </c>
      <c r="BD84" s="26">
        <f>IFERROR(__xludf.DUMMYFUNCTION("""COMPUTED_VALUE"""),620.42)</f>
        <v>620.42</v>
      </c>
      <c r="BE84" s="26">
        <f>IFERROR(__xludf.DUMMYFUNCTION("""COMPUTED_VALUE"""),176.08)</f>
        <v>176.08</v>
      </c>
      <c r="BF84" s="26">
        <f>IFERROR(__xludf.DUMMYFUNCTION("""COMPUTED_VALUE"""),139.31)</f>
        <v>139.31</v>
      </c>
      <c r="BG84" s="26">
        <f>IFERROR(__xludf.DUMMYFUNCTION("""COMPUTED_VALUE"""),7.46)</f>
        <v>7.46</v>
      </c>
      <c r="BH84" s="26">
        <f>IFERROR(__xludf.DUMMYFUNCTION("""COMPUTED_VALUE"""),251.11)</f>
        <v>251.11</v>
      </c>
      <c r="BI84" s="26">
        <f>IFERROR(__xludf.DUMMYFUNCTION("""COMPUTED_VALUE"""),594.1)</f>
        <v>594.1</v>
      </c>
      <c r="BJ84" s="26">
        <f>IFERROR(__xludf.DUMMYFUNCTION("""COMPUTED_VALUE"""),48.96)</f>
        <v>48.96</v>
      </c>
      <c r="BK84" s="26">
        <f>IFERROR(__xludf.DUMMYFUNCTION("""COMPUTED_VALUE"""),11.13)</f>
        <v>11.13</v>
      </c>
      <c r="BL84" s="26">
        <f>IFERROR(__xludf.DUMMYFUNCTION("""COMPUTED_VALUE"""),208.46)</f>
        <v>208.46</v>
      </c>
      <c r="BM84" s="26">
        <f>IFERROR(__xludf.DUMMYFUNCTION("""COMPUTED_VALUE"""),88.34)</f>
        <v>88.34</v>
      </c>
    </row>
    <row r="85">
      <c r="A85" s="25">
        <v>45545.66666666667</v>
      </c>
      <c r="B85" s="17">
        <f>IFERROR(__xludf.DUMMYFUNCTION("""COMPUTED_VALUE"""),5495.52)</f>
        <v>5495.52</v>
      </c>
      <c r="C85" s="17">
        <f>IFERROR(__xludf.DUMMYFUNCTION("""COMPUTED_VALUE"""),17025.88)</f>
        <v>17025.88</v>
      </c>
      <c r="D85" s="17">
        <f>IFERROR(__xludf.DUMMYFUNCTION("""COMPUTED_VALUE"""),40736.96)</f>
        <v>40736.96</v>
      </c>
      <c r="E85" s="17">
        <f>IFERROR(__xludf.DUMMYFUNCTION("""COMPUTED_VALUE"""),2097.44)</f>
        <v>2097.44</v>
      </c>
      <c r="F85" s="26">
        <f>IFERROR(__xludf.DUMMYFUNCTION("""COMPUTED_VALUE"""),574.48)</f>
        <v>574.48</v>
      </c>
      <c r="G85" s="26">
        <f>IFERROR(__xludf.DUMMYFUNCTION("""COMPUTED_VALUE"""),179.55)</f>
        <v>179.55</v>
      </c>
      <c r="H85" s="26">
        <f>IFERROR(__xludf.DUMMYFUNCTION("""COMPUTED_VALUE"""),148.2)</f>
        <v>148.2</v>
      </c>
      <c r="I85" s="26">
        <f>IFERROR(__xludf.DUMMYFUNCTION("""COMPUTED_VALUE"""),220.11)</f>
        <v>220.11</v>
      </c>
      <c r="J85" s="26">
        <f>IFERROR(__xludf.DUMMYFUNCTION("""COMPUTED_VALUE"""),178.05)</f>
        <v>178.05</v>
      </c>
      <c r="K85" s="26">
        <f>IFERROR(__xludf.DUMMYFUNCTION("""COMPUTED_VALUE"""),67.51)</f>
        <v>67.51</v>
      </c>
      <c r="L85" s="26">
        <f>IFERROR(__xludf.DUMMYFUNCTION("""COMPUTED_VALUE"""),11.51)</f>
        <v>11.51</v>
      </c>
      <c r="M85" s="26">
        <f>IFERROR(__xludf.DUMMYFUNCTION("""COMPUTED_VALUE"""),458.92)</f>
        <v>458.92</v>
      </c>
      <c r="N85" s="26">
        <f>IFERROR(__xludf.DUMMYFUNCTION("""COMPUTED_VALUE"""),51.32)</f>
        <v>51.32</v>
      </c>
      <c r="O85" s="26">
        <f>IFERROR(__xludf.DUMMYFUNCTION("""COMPUTED_VALUE"""),200.64)</f>
        <v>200.64</v>
      </c>
      <c r="P85" s="26">
        <f>IFERROR(__xludf.DUMMYFUNCTION("""COMPUTED_VALUE"""),71.83)</f>
        <v>71.83</v>
      </c>
      <c r="Q85" s="26">
        <f>IFERROR(__xludf.DUMMYFUNCTION("""COMPUTED_VALUE"""),334.16)</f>
        <v>334.16</v>
      </c>
      <c r="R85" s="26">
        <f>IFERROR(__xludf.DUMMYFUNCTION("""COMPUTED_VALUE"""),37.7)</f>
        <v>37.7</v>
      </c>
      <c r="S85" s="26">
        <f>IFERROR(__xludf.DUMMYFUNCTION("""COMPUTED_VALUE"""),189.85)</f>
        <v>189.85</v>
      </c>
      <c r="T85" s="26">
        <f>IFERROR(__xludf.DUMMYFUNCTION("""COMPUTED_VALUE"""),138.23)</f>
        <v>138.23</v>
      </c>
      <c r="U85" s="26">
        <f>IFERROR(__xludf.DUMMYFUNCTION("""COMPUTED_VALUE"""),358.1)</f>
        <v>358.1</v>
      </c>
      <c r="V85" s="26">
        <f>IFERROR(__xludf.DUMMYFUNCTION("""COMPUTED_VALUE"""),40.0)</f>
        <v>40</v>
      </c>
      <c r="W85" s="26">
        <f>IFERROR(__xludf.DUMMYFUNCTION("""COMPUTED_VALUE"""),71.55)</f>
        <v>71.55</v>
      </c>
      <c r="X85" s="26">
        <f>IFERROR(__xludf.DUMMYFUNCTION("""COMPUTED_VALUE"""),104.97)</f>
        <v>104.97</v>
      </c>
      <c r="Y85" s="26">
        <f>IFERROR(__xludf.DUMMYFUNCTION("""COMPUTED_VALUE"""),156.76)</f>
        <v>156.76</v>
      </c>
      <c r="Z85" s="26">
        <f>IFERROR(__xludf.DUMMYFUNCTION("""COMPUTED_VALUE"""),65.39)</f>
        <v>65.39</v>
      </c>
      <c r="AA85" s="26">
        <f>IFERROR(__xludf.DUMMYFUNCTION("""COMPUTED_VALUE"""),416.77)</f>
        <v>416.77</v>
      </c>
      <c r="AB85" s="26">
        <f>IFERROR(__xludf.DUMMYFUNCTION("""COMPUTED_VALUE"""),60.26)</f>
        <v>60.26</v>
      </c>
      <c r="AC85" s="26">
        <f>IFERROR(__xludf.DUMMYFUNCTION("""COMPUTED_VALUE"""),110.82)</f>
        <v>110.82</v>
      </c>
      <c r="AD85" s="26">
        <f>IFERROR(__xludf.DUMMYFUNCTION("""COMPUTED_VALUE"""),283.85)</f>
        <v>283.85</v>
      </c>
      <c r="AE85" s="26">
        <f>IFERROR(__xludf.DUMMYFUNCTION("""COMPUTED_VALUE"""),467.08)</f>
        <v>467.08</v>
      </c>
      <c r="AF85" s="26">
        <f>IFERROR(__xludf.DUMMYFUNCTION("""COMPUTED_VALUE"""),302.4)</f>
        <v>302.4</v>
      </c>
      <c r="AG85" s="26">
        <f>IFERROR(__xludf.DUMMYFUNCTION("""COMPUTED_VALUE"""),44.82)</f>
        <v>44.82</v>
      </c>
      <c r="AH85" s="26">
        <f>IFERROR(__xludf.DUMMYFUNCTION("""COMPUTED_VALUE"""),81.44)</f>
        <v>81.44</v>
      </c>
      <c r="AI85" s="26">
        <f>IFERROR(__xludf.DUMMYFUNCTION("""COMPUTED_VALUE"""),467.13)</f>
        <v>467.13</v>
      </c>
      <c r="AJ85" s="26">
        <f>IFERROR(__xludf.DUMMYFUNCTION("""COMPUTED_VALUE"""),370.87)</f>
        <v>370.87</v>
      </c>
      <c r="AK85" s="26">
        <f>IFERROR(__xludf.DUMMYFUNCTION("""COMPUTED_VALUE"""),105.52)</f>
        <v>105.52</v>
      </c>
      <c r="AL85" s="26">
        <f>IFERROR(__xludf.DUMMYFUNCTION("""COMPUTED_VALUE"""),161.97)</f>
        <v>161.97</v>
      </c>
      <c r="AM85" s="26">
        <f>IFERROR(__xludf.DUMMYFUNCTION("""COMPUTED_VALUE"""),484.24)</f>
        <v>484.24</v>
      </c>
      <c r="AN85" s="26">
        <f>IFERROR(__xludf.DUMMYFUNCTION("""COMPUTED_VALUE"""),205.56)</f>
        <v>205.56</v>
      </c>
      <c r="AO85" s="26">
        <f>IFERROR(__xludf.DUMMYFUNCTION("""COMPUTED_VALUE"""),572.19)</f>
        <v>572.19</v>
      </c>
      <c r="AP85" s="26">
        <f>IFERROR(__xludf.DUMMYFUNCTION("""COMPUTED_VALUE"""),247.18)</f>
        <v>247.18</v>
      </c>
      <c r="AQ85" s="26">
        <f>IFERROR(__xludf.DUMMYFUNCTION("""COMPUTED_VALUE"""),27.46)</f>
        <v>27.46</v>
      </c>
      <c r="AR85" s="26">
        <f>IFERROR(__xludf.DUMMYFUNCTION("""COMPUTED_VALUE"""),90.99)</f>
        <v>90.99</v>
      </c>
      <c r="AS85" s="26">
        <f>IFERROR(__xludf.DUMMYFUNCTION("""COMPUTED_VALUE"""),74.63)</f>
        <v>74.63</v>
      </c>
      <c r="AT85" s="26">
        <f>IFERROR(__xludf.DUMMYFUNCTION("""COMPUTED_VALUE"""),414.2)</f>
        <v>414.2</v>
      </c>
      <c r="AU85" s="26">
        <f>IFERROR(__xludf.DUMMYFUNCTION("""COMPUTED_VALUE"""),82.3)</f>
        <v>82.3</v>
      </c>
      <c r="AV85" s="26">
        <f>IFERROR(__xludf.DUMMYFUNCTION("""COMPUTED_VALUE"""),108.1)</f>
        <v>108.1</v>
      </c>
      <c r="AW85" s="26">
        <f>IFERROR(__xludf.DUMMYFUNCTION("""COMPUTED_VALUE"""),92.15)</f>
        <v>92.15</v>
      </c>
      <c r="AX85" s="26">
        <f>IFERROR(__xludf.DUMMYFUNCTION("""COMPUTED_VALUE"""),45.26)</f>
        <v>45.26</v>
      </c>
      <c r="AY85" s="26">
        <f>IFERROR(__xludf.DUMMYFUNCTION("""COMPUTED_VALUE"""),34.76)</f>
        <v>34.76</v>
      </c>
      <c r="AZ85" s="26">
        <f>IFERROR(__xludf.DUMMYFUNCTION("""COMPUTED_VALUE"""),68.85)</f>
        <v>68.85</v>
      </c>
      <c r="BA85" s="26">
        <f>IFERROR(__xludf.DUMMYFUNCTION("""COMPUTED_VALUE"""),29.74)</f>
        <v>29.74</v>
      </c>
      <c r="BB85" s="26">
        <f>IFERROR(__xludf.DUMMYFUNCTION("""COMPUTED_VALUE"""),120.3)</f>
        <v>120.3</v>
      </c>
      <c r="BC85" s="26">
        <f>IFERROR(__xludf.DUMMYFUNCTION("""COMPUTED_VALUE"""),196.5)</f>
        <v>196.5</v>
      </c>
      <c r="BD85" s="26">
        <f>IFERROR(__xludf.DUMMYFUNCTION("""COMPUTED_VALUE"""),624.21)</f>
        <v>624.21</v>
      </c>
      <c r="BE85" s="26">
        <f>IFERROR(__xludf.DUMMYFUNCTION("""COMPUTED_VALUE"""),174.18)</f>
        <v>174.18</v>
      </c>
      <c r="BF85" s="26">
        <f>IFERROR(__xludf.DUMMYFUNCTION("""COMPUTED_VALUE"""),135.68)</f>
        <v>135.68</v>
      </c>
      <c r="BG85" s="26">
        <f>IFERROR(__xludf.DUMMYFUNCTION("""COMPUTED_VALUE"""),6.81)</f>
        <v>6.81</v>
      </c>
      <c r="BH85" s="26">
        <f>IFERROR(__xludf.DUMMYFUNCTION("""COMPUTED_VALUE"""),252.58)</f>
        <v>252.58</v>
      </c>
      <c r="BI85" s="26">
        <f>IFERROR(__xludf.DUMMYFUNCTION("""COMPUTED_VALUE"""),599.03)</f>
        <v>599.03</v>
      </c>
      <c r="BJ85" s="26">
        <f>IFERROR(__xludf.DUMMYFUNCTION("""COMPUTED_VALUE"""),49.02)</f>
        <v>49.02</v>
      </c>
      <c r="BK85" s="26">
        <f>IFERROR(__xludf.DUMMYFUNCTION("""COMPUTED_VALUE"""),11.17)</f>
        <v>11.17</v>
      </c>
      <c r="BL85" s="26">
        <f>IFERROR(__xludf.DUMMYFUNCTION("""COMPUTED_VALUE"""),208.25)</f>
        <v>208.25</v>
      </c>
      <c r="BM85" s="26">
        <f>IFERROR(__xludf.DUMMYFUNCTION("""COMPUTED_VALUE"""),88.4)</f>
        <v>88.4</v>
      </c>
    </row>
    <row r="86">
      <c r="A86" s="25">
        <v>45546.66666666667</v>
      </c>
      <c r="B86" s="17">
        <f>IFERROR(__xludf.DUMMYFUNCTION("""COMPUTED_VALUE"""),5554.13)</f>
        <v>5554.13</v>
      </c>
      <c r="C86" s="17">
        <f>IFERROR(__xludf.DUMMYFUNCTION("""COMPUTED_VALUE"""),17395.53)</f>
        <v>17395.53</v>
      </c>
      <c r="D86" s="17">
        <f>IFERROR(__xludf.DUMMYFUNCTION("""COMPUTED_VALUE"""),40861.71)</f>
        <v>40861.71</v>
      </c>
      <c r="E86" s="17">
        <f>IFERROR(__xludf.DUMMYFUNCTION("""COMPUTED_VALUE"""),2103.85)</f>
        <v>2103.85</v>
      </c>
      <c r="F86" s="26">
        <f>IFERROR(__xludf.DUMMYFUNCTION("""COMPUTED_VALUE"""),580.38)</f>
        <v>580.38</v>
      </c>
      <c r="G86" s="26">
        <f>IFERROR(__xludf.DUMMYFUNCTION("""COMPUTED_VALUE"""),184.52)</f>
        <v>184.52</v>
      </c>
      <c r="H86" s="26">
        <f>IFERROR(__xludf.DUMMYFUNCTION("""COMPUTED_VALUE"""),147.04)</f>
        <v>147.04</v>
      </c>
      <c r="I86" s="26">
        <f>IFERROR(__xludf.DUMMYFUNCTION("""COMPUTED_VALUE"""),222.66)</f>
        <v>222.66</v>
      </c>
      <c r="J86" s="26">
        <f>IFERROR(__xludf.DUMMYFUNCTION("""COMPUTED_VALUE"""),185.94)</f>
        <v>185.94</v>
      </c>
      <c r="K86" s="26">
        <f>IFERROR(__xludf.DUMMYFUNCTION("""COMPUTED_VALUE"""),68.1)</f>
        <v>68.1</v>
      </c>
      <c r="L86" s="26">
        <f>IFERROR(__xludf.DUMMYFUNCTION("""COMPUTED_VALUE"""),11.49)</f>
        <v>11.49</v>
      </c>
      <c r="M86" s="26">
        <f>IFERROR(__xludf.DUMMYFUNCTION("""COMPUTED_VALUE"""),453.1)</f>
        <v>453.1</v>
      </c>
      <c r="N86" s="26">
        <f>IFERROR(__xludf.DUMMYFUNCTION("""COMPUTED_VALUE"""),52.81)</f>
        <v>52.81</v>
      </c>
      <c r="O86" s="26">
        <f>IFERROR(__xludf.DUMMYFUNCTION("""COMPUTED_VALUE"""),199.09)</f>
        <v>199.09</v>
      </c>
      <c r="P86" s="26">
        <f>IFERROR(__xludf.DUMMYFUNCTION("""COMPUTED_VALUE"""),73.67)</f>
        <v>73.67</v>
      </c>
      <c r="Q86" s="26">
        <f>IFERROR(__xludf.DUMMYFUNCTION("""COMPUTED_VALUE"""),335.0)</f>
        <v>335</v>
      </c>
      <c r="R86" s="26">
        <f>IFERROR(__xludf.DUMMYFUNCTION("""COMPUTED_VALUE"""),39.98)</f>
        <v>39.98</v>
      </c>
      <c r="S86" s="26">
        <f>IFERROR(__xludf.DUMMYFUNCTION("""COMPUTED_VALUE"""),189.9)</f>
        <v>189.9</v>
      </c>
      <c r="T86" s="26">
        <f>IFERROR(__xludf.DUMMYFUNCTION("""COMPUTED_VALUE"""),137.88)</f>
        <v>137.88</v>
      </c>
      <c r="U86" s="26">
        <f>IFERROR(__xludf.DUMMYFUNCTION("""COMPUTED_VALUE"""),357.78)</f>
        <v>357.78</v>
      </c>
      <c r="V86" s="26">
        <f>IFERROR(__xludf.DUMMYFUNCTION("""COMPUTED_VALUE"""),39.66)</f>
        <v>39.66</v>
      </c>
      <c r="W86" s="26">
        <f>IFERROR(__xludf.DUMMYFUNCTION("""COMPUTED_VALUE"""),71.08)</f>
        <v>71.08</v>
      </c>
      <c r="X86" s="26">
        <f>IFERROR(__xludf.DUMMYFUNCTION("""COMPUTED_VALUE"""),103.82)</f>
        <v>103.82</v>
      </c>
      <c r="Y86" s="26">
        <f>IFERROR(__xludf.DUMMYFUNCTION("""COMPUTED_VALUE"""),158.42)</f>
        <v>158.42</v>
      </c>
      <c r="Z86" s="26">
        <f>IFERROR(__xludf.DUMMYFUNCTION("""COMPUTED_VALUE"""),66.58)</f>
        <v>66.58</v>
      </c>
      <c r="AA86" s="26">
        <f>IFERROR(__xludf.DUMMYFUNCTION("""COMPUTED_VALUE"""),407.97)</f>
        <v>407.97</v>
      </c>
      <c r="AB86" s="26">
        <f>IFERROR(__xludf.DUMMYFUNCTION("""COMPUTED_VALUE"""),60.73)</f>
        <v>60.73</v>
      </c>
      <c r="AC86" s="26">
        <f>IFERROR(__xludf.DUMMYFUNCTION("""COMPUTED_VALUE"""),109.72)</f>
        <v>109.72</v>
      </c>
      <c r="AD86" s="26">
        <f>IFERROR(__xludf.DUMMYFUNCTION("""COMPUTED_VALUE"""),284.86)</f>
        <v>284.86</v>
      </c>
      <c r="AE86" s="26">
        <f>IFERROR(__xludf.DUMMYFUNCTION("""COMPUTED_VALUE"""),475.05)</f>
        <v>475.05</v>
      </c>
      <c r="AF86" s="26">
        <f>IFERROR(__xludf.DUMMYFUNCTION("""COMPUTED_VALUE"""),299.59)</f>
        <v>299.59</v>
      </c>
      <c r="AG86" s="26">
        <f>IFERROR(__xludf.DUMMYFUNCTION("""COMPUTED_VALUE"""),44.67)</f>
        <v>44.67</v>
      </c>
      <c r="AH86" s="26">
        <f>IFERROR(__xludf.DUMMYFUNCTION("""COMPUTED_VALUE"""),80.94)</f>
        <v>80.94</v>
      </c>
      <c r="AI86" s="26">
        <f>IFERROR(__xludf.DUMMYFUNCTION("""COMPUTED_VALUE"""),471.17)</f>
        <v>471.17</v>
      </c>
      <c r="AJ86" s="26">
        <f>IFERROR(__xludf.DUMMYFUNCTION("""COMPUTED_VALUE"""),370.49)</f>
        <v>370.49</v>
      </c>
      <c r="AK86" s="26">
        <f>IFERROR(__xludf.DUMMYFUNCTION("""COMPUTED_VALUE"""),104.93)</f>
        <v>104.93</v>
      </c>
      <c r="AL86" s="26">
        <f>IFERROR(__xludf.DUMMYFUNCTION("""COMPUTED_VALUE"""),159.99)</f>
        <v>159.99</v>
      </c>
      <c r="AM86" s="26">
        <f>IFERROR(__xludf.DUMMYFUNCTION("""COMPUTED_VALUE"""),490.93)</f>
        <v>490.93</v>
      </c>
      <c r="AN86" s="26">
        <f>IFERROR(__xludf.DUMMYFUNCTION("""COMPUTED_VALUE"""),207.23)</f>
        <v>207.23</v>
      </c>
      <c r="AO86" s="26">
        <f>IFERROR(__xludf.DUMMYFUNCTION("""COMPUTED_VALUE"""),566.96)</f>
        <v>566.96</v>
      </c>
      <c r="AP86" s="26">
        <f>IFERROR(__xludf.DUMMYFUNCTION("""COMPUTED_VALUE"""),255.2)</f>
        <v>255.2</v>
      </c>
      <c r="AQ86" s="26">
        <f>IFERROR(__xludf.DUMMYFUNCTION("""COMPUTED_VALUE"""),27.66)</f>
        <v>27.66</v>
      </c>
      <c r="AR86" s="26">
        <f>IFERROR(__xludf.DUMMYFUNCTION("""COMPUTED_VALUE"""),90.35)</f>
        <v>90.35</v>
      </c>
      <c r="AS86" s="26">
        <f>IFERROR(__xludf.DUMMYFUNCTION("""COMPUTED_VALUE"""),74.74)</f>
        <v>74.74</v>
      </c>
      <c r="AT86" s="26">
        <f>IFERROR(__xludf.DUMMYFUNCTION("""COMPUTED_VALUE"""),423.04)</f>
        <v>423.04</v>
      </c>
      <c r="AU86" s="26">
        <f>IFERROR(__xludf.DUMMYFUNCTION("""COMPUTED_VALUE"""),83.43)</f>
        <v>83.43</v>
      </c>
      <c r="AV86" s="26">
        <f>IFERROR(__xludf.DUMMYFUNCTION("""COMPUTED_VALUE"""),116.91)</f>
        <v>116.91</v>
      </c>
      <c r="AW86" s="26">
        <f>IFERROR(__xludf.DUMMYFUNCTION("""COMPUTED_VALUE"""),92.49)</f>
        <v>92.49</v>
      </c>
      <c r="AX86" s="26">
        <f>IFERROR(__xludf.DUMMYFUNCTION("""COMPUTED_VALUE"""),46.42)</f>
        <v>46.42</v>
      </c>
      <c r="AY86" s="26">
        <f>IFERROR(__xludf.DUMMYFUNCTION("""COMPUTED_VALUE"""),34.85)</f>
        <v>34.85</v>
      </c>
      <c r="AZ86" s="26">
        <f>IFERROR(__xludf.DUMMYFUNCTION("""COMPUTED_VALUE"""),69.35)</f>
        <v>69.35</v>
      </c>
      <c r="BA86" s="26">
        <f>IFERROR(__xludf.DUMMYFUNCTION("""COMPUTED_VALUE"""),29.66)</f>
        <v>29.66</v>
      </c>
      <c r="BB86" s="26">
        <f>IFERROR(__xludf.DUMMYFUNCTION("""COMPUTED_VALUE"""),119.26)</f>
        <v>119.26</v>
      </c>
      <c r="BC86" s="26">
        <f>IFERROR(__xludf.DUMMYFUNCTION("""COMPUTED_VALUE"""),198.54)</f>
        <v>198.54</v>
      </c>
      <c r="BD86" s="26">
        <f>IFERROR(__xludf.DUMMYFUNCTION("""COMPUTED_VALUE"""),618.46)</f>
        <v>618.46</v>
      </c>
      <c r="BE86" s="26">
        <f>IFERROR(__xludf.DUMMYFUNCTION("""COMPUTED_VALUE"""),174.69)</f>
        <v>174.69</v>
      </c>
      <c r="BF86" s="26">
        <f>IFERROR(__xludf.DUMMYFUNCTION("""COMPUTED_VALUE"""),143.81)</f>
        <v>143.81</v>
      </c>
      <c r="BG86" s="26">
        <f>IFERROR(__xludf.DUMMYFUNCTION("""COMPUTED_VALUE"""),6.79)</f>
        <v>6.79</v>
      </c>
      <c r="BH86" s="26">
        <f>IFERROR(__xludf.DUMMYFUNCTION("""COMPUTED_VALUE"""),247.5)</f>
        <v>247.5</v>
      </c>
      <c r="BI86" s="26">
        <f>IFERROR(__xludf.DUMMYFUNCTION("""COMPUTED_VALUE"""),589.75)</f>
        <v>589.75</v>
      </c>
      <c r="BJ86" s="26">
        <f>IFERROR(__xludf.DUMMYFUNCTION("""COMPUTED_VALUE"""),49.05)</f>
        <v>49.05</v>
      </c>
      <c r="BK86" s="26">
        <f>IFERROR(__xludf.DUMMYFUNCTION("""COMPUTED_VALUE"""),11.34)</f>
        <v>11.34</v>
      </c>
      <c r="BL86" s="26">
        <f>IFERROR(__xludf.DUMMYFUNCTION("""COMPUTED_VALUE"""),207.64)</f>
        <v>207.64</v>
      </c>
      <c r="BM86" s="26">
        <f>IFERROR(__xludf.DUMMYFUNCTION("""COMPUTED_VALUE"""),88.32)</f>
        <v>88.32</v>
      </c>
    </row>
    <row r="87">
      <c r="A87" s="25">
        <v>45547.66666666667</v>
      </c>
      <c r="B87" s="17">
        <f>IFERROR(__xludf.DUMMYFUNCTION("""COMPUTED_VALUE"""),5595.76)</f>
        <v>5595.76</v>
      </c>
      <c r="C87" s="17">
        <f>IFERROR(__xludf.DUMMYFUNCTION("""COMPUTED_VALUE"""),17569.68)</f>
        <v>17569.68</v>
      </c>
      <c r="D87" s="17">
        <f>IFERROR(__xludf.DUMMYFUNCTION("""COMPUTED_VALUE"""),41096.77)</f>
        <v>41096.77</v>
      </c>
      <c r="E87" s="17">
        <f>IFERROR(__xludf.DUMMYFUNCTION("""COMPUTED_VALUE"""),2129.43)</f>
        <v>2129.43</v>
      </c>
      <c r="F87" s="26">
        <f>IFERROR(__xludf.DUMMYFUNCTION("""COMPUTED_VALUE"""),586.55)</f>
        <v>586.55</v>
      </c>
      <c r="G87" s="26">
        <f>IFERROR(__xludf.DUMMYFUNCTION("""COMPUTED_VALUE"""),187.0)</f>
        <v>187</v>
      </c>
      <c r="H87" s="26">
        <f>IFERROR(__xludf.DUMMYFUNCTION("""COMPUTED_VALUE"""),147.13)</f>
        <v>147.13</v>
      </c>
      <c r="I87" s="26">
        <f>IFERROR(__xludf.DUMMYFUNCTION("""COMPUTED_VALUE"""),222.77)</f>
        <v>222.77</v>
      </c>
      <c r="J87" s="26">
        <f>IFERROR(__xludf.DUMMYFUNCTION("""COMPUTED_VALUE"""),183.21)</f>
        <v>183.21</v>
      </c>
      <c r="K87" s="26">
        <f>IFERROR(__xludf.DUMMYFUNCTION("""COMPUTED_VALUE"""),69.02)</f>
        <v>69.02</v>
      </c>
      <c r="L87" s="26">
        <f>IFERROR(__xludf.DUMMYFUNCTION("""COMPUTED_VALUE"""),11.56)</f>
        <v>11.56</v>
      </c>
      <c r="M87" s="26">
        <f>IFERROR(__xludf.DUMMYFUNCTION("""COMPUTED_VALUE"""),450.87)</f>
        <v>450.87</v>
      </c>
      <c r="N87" s="26">
        <f>IFERROR(__xludf.DUMMYFUNCTION("""COMPUTED_VALUE"""),53.68)</f>
        <v>53.68</v>
      </c>
      <c r="O87" s="26">
        <f>IFERROR(__xludf.DUMMYFUNCTION("""COMPUTED_VALUE"""),197.89)</f>
        <v>197.89</v>
      </c>
      <c r="P87" s="26">
        <f>IFERROR(__xludf.DUMMYFUNCTION("""COMPUTED_VALUE"""),75.37)</f>
        <v>75.37</v>
      </c>
      <c r="Q87" s="26">
        <f>IFERROR(__xludf.DUMMYFUNCTION("""COMPUTED_VALUE"""),339.58)</f>
        <v>339.58</v>
      </c>
      <c r="R87" s="26">
        <f>IFERROR(__xludf.DUMMYFUNCTION("""COMPUTED_VALUE"""),40.74)</f>
        <v>40.74</v>
      </c>
      <c r="S87" s="26">
        <f>IFERROR(__xludf.DUMMYFUNCTION("""COMPUTED_VALUE"""),190.55)</f>
        <v>190.55</v>
      </c>
      <c r="T87" s="26">
        <f>IFERROR(__xludf.DUMMYFUNCTION("""COMPUTED_VALUE"""),139.21)</f>
        <v>139.21</v>
      </c>
      <c r="U87" s="26">
        <f>IFERROR(__xludf.DUMMYFUNCTION("""COMPUTED_VALUE"""),362.17)</f>
        <v>362.17</v>
      </c>
      <c r="V87" s="26">
        <f>IFERROR(__xludf.DUMMYFUNCTION("""COMPUTED_VALUE"""),39.71)</f>
        <v>39.71</v>
      </c>
      <c r="W87" s="26">
        <f>IFERROR(__xludf.DUMMYFUNCTION("""COMPUTED_VALUE"""),71.23)</f>
        <v>71.23</v>
      </c>
      <c r="X87" s="26">
        <f>IFERROR(__xludf.DUMMYFUNCTION("""COMPUTED_VALUE"""),103.39)</f>
        <v>103.39</v>
      </c>
      <c r="Y87" s="26">
        <f>IFERROR(__xludf.DUMMYFUNCTION("""COMPUTED_VALUE"""),160.49)</f>
        <v>160.49</v>
      </c>
      <c r="Z87" s="26">
        <f>IFERROR(__xludf.DUMMYFUNCTION("""COMPUTED_VALUE"""),67.89)</f>
        <v>67.89</v>
      </c>
      <c r="AA87" s="26">
        <f>IFERROR(__xludf.DUMMYFUNCTION("""COMPUTED_VALUE"""),405.84)</f>
        <v>405.84</v>
      </c>
      <c r="AB87" s="26">
        <f>IFERROR(__xludf.DUMMYFUNCTION("""COMPUTED_VALUE"""),63.18)</f>
        <v>63.18</v>
      </c>
      <c r="AC87" s="26">
        <f>IFERROR(__xludf.DUMMYFUNCTION("""COMPUTED_VALUE"""),111.23)</f>
        <v>111.23</v>
      </c>
      <c r="AD87" s="26">
        <f>IFERROR(__xludf.DUMMYFUNCTION("""COMPUTED_VALUE"""),286.0)</f>
        <v>286</v>
      </c>
      <c r="AE87" s="26">
        <f>IFERROR(__xludf.DUMMYFUNCTION("""COMPUTED_VALUE"""),471.9)</f>
        <v>471.9</v>
      </c>
      <c r="AF87" s="26">
        <f>IFERROR(__xludf.DUMMYFUNCTION("""COMPUTED_VALUE"""),300.67)</f>
        <v>300.67</v>
      </c>
      <c r="AG87" s="26">
        <f>IFERROR(__xludf.DUMMYFUNCTION("""COMPUTED_VALUE"""),46.12)</f>
        <v>46.12</v>
      </c>
      <c r="AH87" s="26">
        <f>IFERROR(__xludf.DUMMYFUNCTION("""COMPUTED_VALUE"""),83.16)</f>
        <v>83.16</v>
      </c>
      <c r="AI87" s="26">
        <f>IFERROR(__xludf.DUMMYFUNCTION("""COMPUTED_VALUE"""),474.06)</f>
        <v>474.06</v>
      </c>
      <c r="AJ87" s="26">
        <f>IFERROR(__xludf.DUMMYFUNCTION("""COMPUTED_VALUE"""),374.43)</f>
        <v>374.43</v>
      </c>
      <c r="AK87" s="26">
        <f>IFERROR(__xludf.DUMMYFUNCTION("""COMPUTED_VALUE"""),105.75)</f>
        <v>105.75</v>
      </c>
      <c r="AL87" s="26">
        <f>IFERROR(__xludf.DUMMYFUNCTION("""COMPUTED_VALUE"""),161.14)</f>
        <v>161.14</v>
      </c>
      <c r="AM87" s="26">
        <f>IFERROR(__xludf.DUMMYFUNCTION("""COMPUTED_VALUE"""),494.01)</f>
        <v>494.01</v>
      </c>
      <c r="AN87" s="26">
        <f>IFERROR(__xludf.DUMMYFUNCTION("""COMPUTED_VALUE"""),206.6)</f>
        <v>206.6</v>
      </c>
      <c r="AO87" s="26">
        <f>IFERROR(__xludf.DUMMYFUNCTION("""COMPUTED_VALUE"""),568.27)</f>
        <v>568.27</v>
      </c>
      <c r="AP87" s="26">
        <f>IFERROR(__xludf.DUMMYFUNCTION("""COMPUTED_VALUE"""),260.14)</f>
        <v>260.14</v>
      </c>
      <c r="AQ87" s="26">
        <f>IFERROR(__xludf.DUMMYFUNCTION("""COMPUTED_VALUE"""),27.95)</f>
        <v>27.95</v>
      </c>
      <c r="AR87" s="26">
        <f>IFERROR(__xludf.DUMMYFUNCTION("""COMPUTED_VALUE"""),90.0)</f>
        <v>90</v>
      </c>
      <c r="AS87" s="26">
        <f>IFERROR(__xludf.DUMMYFUNCTION("""COMPUTED_VALUE"""),75.47)</f>
        <v>75.47</v>
      </c>
      <c r="AT87" s="26">
        <f>IFERROR(__xludf.DUMMYFUNCTION("""COMPUTED_VALUE"""),427.0)</f>
        <v>427</v>
      </c>
      <c r="AU87" s="26">
        <f>IFERROR(__xludf.DUMMYFUNCTION("""COMPUTED_VALUE"""),83.46)</f>
        <v>83.46</v>
      </c>
      <c r="AV87" s="26">
        <f>IFERROR(__xludf.DUMMYFUNCTION("""COMPUTED_VALUE"""),119.14)</f>
        <v>119.14</v>
      </c>
      <c r="AW87" s="26">
        <f>IFERROR(__xludf.DUMMYFUNCTION("""COMPUTED_VALUE"""),92.72)</f>
        <v>92.72</v>
      </c>
      <c r="AX87" s="26">
        <f>IFERROR(__xludf.DUMMYFUNCTION("""COMPUTED_VALUE"""),49.05)</f>
        <v>49.05</v>
      </c>
      <c r="AY87" s="26">
        <f>IFERROR(__xludf.DUMMYFUNCTION("""COMPUTED_VALUE"""),34.91)</f>
        <v>34.91</v>
      </c>
      <c r="AZ87" s="26">
        <f>IFERROR(__xludf.DUMMYFUNCTION("""COMPUTED_VALUE"""),70.36)</f>
        <v>70.36</v>
      </c>
      <c r="BA87" s="26">
        <f>IFERROR(__xludf.DUMMYFUNCTION("""COMPUTED_VALUE"""),29.16)</f>
        <v>29.16</v>
      </c>
      <c r="BB87" s="26">
        <f>IFERROR(__xludf.DUMMYFUNCTION("""COMPUTED_VALUE"""),120.1)</f>
        <v>120.1</v>
      </c>
      <c r="BC87" s="26">
        <f>IFERROR(__xludf.DUMMYFUNCTION("""COMPUTED_VALUE"""),202.41)</f>
        <v>202.41</v>
      </c>
      <c r="BD87" s="26">
        <f>IFERROR(__xludf.DUMMYFUNCTION("""COMPUTED_VALUE"""),614.16)</f>
        <v>614.16</v>
      </c>
      <c r="BE87" s="26">
        <f>IFERROR(__xludf.DUMMYFUNCTION("""COMPUTED_VALUE"""),176.18)</f>
        <v>176.18</v>
      </c>
      <c r="BF87" s="26">
        <f>IFERROR(__xludf.DUMMYFUNCTION("""COMPUTED_VALUE"""),149.14)</f>
        <v>149.14</v>
      </c>
      <c r="BG87" s="26">
        <f>IFERROR(__xludf.DUMMYFUNCTION("""COMPUTED_VALUE"""),7.31)</f>
        <v>7.31</v>
      </c>
      <c r="BH87" s="26">
        <f>IFERROR(__xludf.DUMMYFUNCTION("""COMPUTED_VALUE"""),248.89)</f>
        <v>248.89</v>
      </c>
      <c r="BI87" s="26">
        <f>IFERROR(__xludf.DUMMYFUNCTION("""COMPUTED_VALUE"""),588.42)</f>
        <v>588.42</v>
      </c>
      <c r="BJ87" s="26">
        <f>IFERROR(__xludf.DUMMYFUNCTION("""COMPUTED_VALUE"""),49.09)</f>
        <v>49.09</v>
      </c>
      <c r="BK87" s="26">
        <f>IFERROR(__xludf.DUMMYFUNCTION("""COMPUTED_VALUE"""),11.75)</f>
        <v>11.75</v>
      </c>
      <c r="BL87" s="26">
        <f>IFERROR(__xludf.DUMMYFUNCTION("""COMPUTED_VALUE"""),207.86)</f>
        <v>207.86</v>
      </c>
      <c r="BM87" s="26">
        <f>IFERROR(__xludf.DUMMYFUNCTION("""COMPUTED_VALUE"""),89.3)</f>
        <v>89.3</v>
      </c>
    </row>
    <row r="88">
      <c r="A88" s="25">
        <v>45548.66666666667</v>
      </c>
      <c r="B88" s="17">
        <f>IFERROR(__xludf.DUMMYFUNCTION("""COMPUTED_VALUE"""),5626.02)</f>
        <v>5626.02</v>
      </c>
      <c r="C88" s="17">
        <f>IFERROR(__xludf.DUMMYFUNCTION("""COMPUTED_VALUE"""),17683.98)</f>
        <v>17683.98</v>
      </c>
      <c r="D88" s="17">
        <f>IFERROR(__xludf.DUMMYFUNCTION("""COMPUTED_VALUE"""),41393.78)</f>
        <v>41393.78</v>
      </c>
      <c r="E88" s="17">
        <f>IFERROR(__xludf.DUMMYFUNCTION("""COMPUTED_VALUE"""),2182.49)</f>
        <v>2182.49</v>
      </c>
      <c r="F88" s="26">
        <f>IFERROR(__xludf.DUMMYFUNCTION("""COMPUTED_VALUE"""),536.87)</f>
        <v>536.87</v>
      </c>
      <c r="G88" s="26">
        <f>IFERROR(__xludf.DUMMYFUNCTION("""COMPUTED_VALUE"""),186.49)</f>
        <v>186.49</v>
      </c>
      <c r="H88" s="26">
        <f>IFERROR(__xludf.DUMMYFUNCTION("""COMPUTED_VALUE"""),148.13)</f>
        <v>148.13</v>
      </c>
      <c r="I88" s="26">
        <f>IFERROR(__xludf.DUMMYFUNCTION("""COMPUTED_VALUE"""),222.5)</f>
        <v>222.5</v>
      </c>
      <c r="J88" s="26">
        <f>IFERROR(__xludf.DUMMYFUNCTION("""COMPUTED_VALUE"""),188.47)</f>
        <v>188.47</v>
      </c>
      <c r="K88" s="26">
        <f>IFERROR(__xludf.DUMMYFUNCTION("""COMPUTED_VALUE"""),68.7)</f>
        <v>68.7</v>
      </c>
      <c r="L88" s="26">
        <f>IFERROR(__xludf.DUMMYFUNCTION("""COMPUTED_VALUE"""),11.74)</f>
        <v>11.74</v>
      </c>
      <c r="M88" s="26">
        <f>IFERROR(__xludf.DUMMYFUNCTION("""COMPUTED_VALUE"""),447.61)</f>
        <v>447.61</v>
      </c>
      <c r="N88" s="26">
        <f>IFERROR(__xludf.DUMMYFUNCTION("""COMPUTED_VALUE"""),52.89)</f>
        <v>52.89</v>
      </c>
      <c r="O88" s="26">
        <f>IFERROR(__xludf.DUMMYFUNCTION("""COMPUTED_VALUE"""),195.63)</f>
        <v>195.63</v>
      </c>
      <c r="P88" s="26">
        <f>IFERROR(__xludf.DUMMYFUNCTION("""COMPUTED_VALUE"""),76.51)</f>
        <v>76.51</v>
      </c>
      <c r="Q88" s="26">
        <f>IFERROR(__xludf.DUMMYFUNCTION("""COMPUTED_VALUE"""),345.31)</f>
        <v>345.31</v>
      </c>
      <c r="R88" s="26">
        <f>IFERROR(__xludf.DUMMYFUNCTION("""COMPUTED_VALUE"""),40.33)</f>
        <v>40.33</v>
      </c>
      <c r="S88" s="26">
        <f>IFERROR(__xludf.DUMMYFUNCTION("""COMPUTED_VALUE"""),195.17)</f>
        <v>195.17</v>
      </c>
      <c r="T88" s="26">
        <f>IFERROR(__xludf.DUMMYFUNCTION("""COMPUTED_VALUE"""),140.61)</f>
        <v>140.61</v>
      </c>
      <c r="U88" s="26">
        <f>IFERROR(__xludf.DUMMYFUNCTION("""COMPUTED_VALUE"""),364.72)</f>
        <v>364.72</v>
      </c>
      <c r="V88" s="26">
        <f>IFERROR(__xludf.DUMMYFUNCTION("""COMPUTED_VALUE"""),40.09)</f>
        <v>40.09</v>
      </c>
      <c r="W88" s="26">
        <f>IFERROR(__xludf.DUMMYFUNCTION("""COMPUTED_VALUE"""),71.41)</f>
        <v>71.41</v>
      </c>
      <c r="X88" s="26">
        <f>IFERROR(__xludf.DUMMYFUNCTION("""COMPUTED_VALUE"""),104.56)</f>
        <v>104.56</v>
      </c>
      <c r="Y88" s="26">
        <f>IFERROR(__xludf.DUMMYFUNCTION("""COMPUTED_VALUE"""),158.93)</f>
        <v>158.93</v>
      </c>
      <c r="Z88" s="26">
        <f>IFERROR(__xludf.DUMMYFUNCTION("""COMPUTED_VALUE"""),69.7)</f>
        <v>69.7</v>
      </c>
      <c r="AA88" s="26">
        <f>IFERROR(__xludf.DUMMYFUNCTION("""COMPUTED_VALUE"""),402.52)</f>
        <v>402.52</v>
      </c>
      <c r="AB88" s="26">
        <f>IFERROR(__xludf.DUMMYFUNCTION("""COMPUTED_VALUE"""),63.44)</f>
        <v>63.44</v>
      </c>
      <c r="AC88" s="26">
        <f>IFERROR(__xludf.DUMMYFUNCTION("""COMPUTED_VALUE"""),111.15)</f>
        <v>111.15</v>
      </c>
      <c r="AD88" s="26">
        <f>IFERROR(__xludf.DUMMYFUNCTION("""COMPUTED_VALUE"""),286.38)</f>
        <v>286.38</v>
      </c>
      <c r="AE88" s="26">
        <f>IFERROR(__xludf.DUMMYFUNCTION("""COMPUTED_VALUE"""),469.09)</f>
        <v>469.09</v>
      </c>
      <c r="AF88" s="26">
        <f>IFERROR(__xludf.DUMMYFUNCTION("""COMPUTED_VALUE"""),304.8)</f>
        <v>304.8</v>
      </c>
      <c r="AG88" s="26">
        <f>IFERROR(__xludf.DUMMYFUNCTION("""COMPUTED_VALUE"""),46.3)</f>
        <v>46.3</v>
      </c>
      <c r="AH88" s="26">
        <f>IFERROR(__xludf.DUMMYFUNCTION("""COMPUTED_VALUE"""),82.81)</f>
        <v>82.81</v>
      </c>
      <c r="AI88" s="26">
        <f>IFERROR(__xludf.DUMMYFUNCTION("""COMPUTED_VALUE"""),478.99)</f>
        <v>478.99</v>
      </c>
      <c r="AJ88" s="26">
        <f>IFERROR(__xludf.DUMMYFUNCTION("""COMPUTED_VALUE"""),379.99)</f>
        <v>379.99</v>
      </c>
      <c r="AK88" s="26">
        <f>IFERROR(__xludf.DUMMYFUNCTION("""COMPUTED_VALUE"""),107.42)</f>
        <v>107.42</v>
      </c>
      <c r="AL88" s="26">
        <f>IFERROR(__xludf.DUMMYFUNCTION("""COMPUTED_VALUE"""),161.36)</f>
        <v>161.36</v>
      </c>
      <c r="AM88" s="26">
        <f>IFERROR(__xludf.DUMMYFUNCTION("""COMPUTED_VALUE"""),489.86)</f>
        <v>489.86</v>
      </c>
      <c r="AN88" s="26">
        <f>IFERROR(__xludf.DUMMYFUNCTION("""COMPUTED_VALUE"""),204.32)</f>
        <v>204.32</v>
      </c>
      <c r="AO88" s="26">
        <f>IFERROR(__xludf.DUMMYFUNCTION("""COMPUTED_VALUE"""),569.91)</f>
        <v>569.91</v>
      </c>
      <c r="AP88" s="26">
        <f>IFERROR(__xludf.DUMMYFUNCTION("""COMPUTED_VALUE"""),266.76)</f>
        <v>266.76</v>
      </c>
      <c r="AQ88" s="26">
        <f>IFERROR(__xludf.DUMMYFUNCTION("""COMPUTED_VALUE"""),28.08)</f>
        <v>28.08</v>
      </c>
      <c r="AR88" s="26">
        <f>IFERROR(__xludf.DUMMYFUNCTION("""COMPUTED_VALUE"""),90.0)</f>
        <v>90</v>
      </c>
      <c r="AS88" s="26">
        <f>IFERROR(__xludf.DUMMYFUNCTION("""COMPUTED_VALUE"""),76.19)</f>
        <v>76.19</v>
      </c>
      <c r="AT88" s="26">
        <f>IFERROR(__xludf.DUMMYFUNCTION("""COMPUTED_VALUE"""),430.59)</f>
        <v>430.59</v>
      </c>
      <c r="AU88" s="26">
        <f>IFERROR(__xludf.DUMMYFUNCTION("""COMPUTED_VALUE"""),84.65)</f>
        <v>84.65</v>
      </c>
      <c r="AV88" s="26">
        <f>IFERROR(__xludf.DUMMYFUNCTION("""COMPUTED_VALUE"""),119.1)</f>
        <v>119.1</v>
      </c>
      <c r="AW88" s="26">
        <f>IFERROR(__xludf.DUMMYFUNCTION("""COMPUTED_VALUE"""),94.18)</f>
        <v>94.18</v>
      </c>
      <c r="AX88" s="26">
        <f>IFERROR(__xludf.DUMMYFUNCTION("""COMPUTED_VALUE"""),48.63)</f>
        <v>48.63</v>
      </c>
      <c r="AY88" s="26">
        <f>IFERROR(__xludf.DUMMYFUNCTION("""COMPUTED_VALUE"""),35.59)</f>
        <v>35.59</v>
      </c>
      <c r="AZ88" s="26">
        <f>IFERROR(__xludf.DUMMYFUNCTION("""COMPUTED_VALUE"""),70.1)</f>
        <v>70.1</v>
      </c>
      <c r="BA88" s="26">
        <f>IFERROR(__xludf.DUMMYFUNCTION("""COMPUTED_VALUE"""),29.27)</f>
        <v>29.27</v>
      </c>
      <c r="BB88" s="26">
        <f>IFERROR(__xludf.DUMMYFUNCTION("""COMPUTED_VALUE"""),119.12)</f>
        <v>119.12</v>
      </c>
      <c r="BC88" s="26">
        <f>IFERROR(__xludf.DUMMYFUNCTION("""COMPUTED_VALUE"""),202.83)</f>
        <v>202.83</v>
      </c>
      <c r="BD88" s="26">
        <f>IFERROR(__xludf.DUMMYFUNCTION("""COMPUTED_VALUE"""),611.17)</f>
        <v>611.17</v>
      </c>
      <c r="BE88" s="26">
        <f>IFERROR(__xludf.DUMMYFUNCTION("""COMPUTED_VALUE"""),175.39)</f>
        <v>175.39</v>
      </c>
      <c r="BF88" s="26">
        <f>IFERROR(__xludf.DUMMYFUNCTION("""COMPUTED_VALUE"""),151.42)</f>
        <v>151.42</v>
      </c>
      <c r="BG88" s="26">
        <f>IFERROR(__xludf.DUMMYFUNCTION("""COMPUTED_VALUE"""),7.65)</f>
        <v>7.65</v>
      </c>
      <c r="BH88" s="26">
        <f>IFERROR(__xludf.DUMMYFUNCTION("""COMPUTED_VALUE"""),249.12)</f>
        <v>249.12</v>
      </c>
      <c r="BI88" s="26">
        <f>IFERROR(__xludf.DUMMYFUNCTION("""COMPUTED_VALUE"""),594.32)</f>
        <v>594.32</v>
      </c>
      <c r="BJ88" s="26">
        <f>IFERROR(__xludf.DUMMYFUNCTION("""COMPUTED_VALUE"""),49.18)</f>
        <v>49.18</v>
      </c>
      <c r="BK88" s="26">
        <f>IFERROR(__xludf.DUMMYFUNCTION("""COMPUTED_VALUE"""),11.66)</f>
        <v>11.66</v>
      </c>
      <c r="BL88" s="26">
        <f>IFERROR(__xludf.DUMMYFUNCTION("""COMPUTED_VALUE"""),208.05)</f>
        <v>208.05</v>
      </c>
      <c r="BM88" s="26">
        <f>IFERROR(__xludf.DUMMYFUNCTION("""COMPUTED_VALUE"""),90.55)</f>
        <v>90.55</v>
      </c>
    </row>
    <row r="89">
      <c r="A89" s="25">
        <v>45551.66666666667</v>
      </c>
      <c r="B89" s="17">
        <f>IFERROR(__xludf.DUMMYFUNCTION("""COMPUTED_VALUE"""),5633.09)</f>
        <v>5633.09</v>
      </c>
      <c r="C89" s="17">
        <f>IFERROR(__xludf.DUMMYFUNCTION("""COMPUTED_VALUE"""),17592.13)</f>
        <v>17592.13</v>
      </c>
      <c r="D89" s="17">
        <f>IFERROR(__xludf.DUMMYFUNCTION("""COMPUTED_VALUE"""),41622.08)</f>
        <v>41622.08</v>
      </c>
      <c r="E89" s="17">
        <f>IFERROR(__xludf.DUMMYFUNCTION("""COMPUTED_VALUE"""),2189.17)</f>
        <v>2189.17</v>
      </c>
      <c r="F89" s="26">
        <f>IFERROR(__xludf.DUMMYFUNCTION("""COMPUTED_VALUE"""),521.5)</f>
        <v>521.5</v>
      </c>
      <c r="G89" s="26">
        <f>IFERROR(__xludf.DUMMYFUNCTION("""COMPUTED_VALUE"""),184.89)</f>
        <v>184.89</v>
      </c>
      <c r="H89" s="26">
        <f>IFERROR(__xludf.DUMMYFUNCTION("""COMPUTED_VALUE"""),149.09)</f>
        <v>149.09</v>
      </c>
      <c r="I89" s="26">
        <f>IFERROR(__xludf.DUMMYFUNCTION("""COMPUTED_VALUE"""),216.32)</f>
        <v>216.32</v>
      </c>
      <c r="J89" s="26">
        <f>IFERROR(__xludf.DUMMYFUNCTION("""COMPUTED_VALUE"""),187.58)</f>
        <v>187.58</v>
      </c>
      <c r="K89" s="26">
        <f>IFERROR(__xludf.DUMMYFUNCTION("""COMPUTED_VALUE"""),70.53)</f>
        <v>70.53</v>
      </c>
      <c r="L89" s="26">
        <f>IFERROR(__xludf.DUMMYFUNCTION("""COMPUTED_VALUE"""),11.85)</f>
        <v>11.85</v>
      </c>
      <c r="M89" s="26">
        <f>IFERROR(__xludf.DUMMYFUNCTION("""COMPUTED_VALUE"""),451.78)</f>
        <v>451.78</v>
      </c>
      <c r="N89" s="26">
        <f>IFERROR(__xludf.DUMMYFUNCTION("""COMPUTED_VALUE"""),53.54)</f>
        <v>53.54</v>
      </c>
      <c r="O89" s="26">
        <f>IFERROR(__xludf.DUMMYFUNCTION("""COMPUTED_VALUE"""),199.58)</f>
        <v>199.58</v>
      </c>
      <c r="P89" s="26">
        <f>IFERROR(__xludf.DUMMYFUNCTION("""COMPUTED_VALUE"""),77.11)</f>
        <v>77.11</v>
      </c>
      <c r="Q89" s="26">
        <f>IFERROR(__xludf.DUMMYFUNCTION("""COMPUTED_VALUE"""),347.96)</f>
        <v>347.96</v>
      </c>
      <c r="R89" s="26">
        <f>IFERROR(__xludf.DUMMYFUNCTION("""COMPUTED_VALUE"""),40.59)</f>
        <v>40.59</v>
      </c>
      <c r="S89" s="26">
        <f>IFERROR(__xludf.DUMMYFUNCTION("""COMPUTED_VALUE"""),192.97)</f>
        <v>192.97</v>
      </c>
      <c r="T89" s="26">
        <f>IFERROR(__xludf.DUMMYFUNCTION("""COMPUTED_VALUE"""),142.09)</f>
        <v>142.09</v>
      </c>
      <c r="U89" s="26">
        <f>IFERROR(__xludf.DUMMYFUNCTION("""COMPUTED_VALUE"""),366.85)</f>
        <v>366.85</v>
      </c>
      <c r="V89" s="26">
        <f>IFERROR(__xludf.DUMMYFUNCTION("""COMPUTED_VALUE"""),40.6)</f>
        <v>40.6</v>
      </c>
      <c r="W89" s="26">
        <f>IFERROR(__xludf.DUMMYFUNCTION("""COMPUTED_VALUE"""),72.1)</f>
        <v>72.1</v>
      </c>
      <c r="X89" s="26">
        <f>IFERROR(__xludf.DUMMYFUNCTION("""COMPUTED_VALUE"""),104.85)</f>
        <v>104.85</v>
      </c>
      <c r="Y89" s="26">
        <f>IFERROR(__xludf.DUMMYFUNCTION("""COMPUTED_VALUE"""),160.87)</f>
        <v>160.87</v>
      </c>
      <c r="Z89" s="26">
        <f>IFERROR(__xludf.DUMMYFUNCTION("""COMPUTED_VALUE"""),71.91)</f>
        <v>71.91</v>
      </c>
      <c r="AA89" s="26">
        <f>IFERROR(__xludf.DUMMYFUNCTION("""COMPUTED_VALUE"""),408.97)</f>
        <v>408.97</v>
      </c>
      <c r="AB89" s="26">
        <f>IFERROR(__xludf.DUMMYFUNCTION("""COMPUTED_VALUE"""),64.36)</f>
        <v>64.36</v>
      </c>
      <c r="AC89" s="26">
        <f>IFERROR(__xludf.DUMMYFUNCTION("""COMPUTED_VALUE"""),112.71)</f>
        <v>112.71</v>
      </c>
      <c r="AD89" s="26">
        <f>IFERROR(__xludf.DUMMYFUNCTION("""COMPUTED_VALUE"""),292.63)</f>
        <v>292.63</v>
      </c>
      <c r="AE89" s="26">
        <f>IFERROR(__xludf.DUMMYFUNCTION("""COMPUTED_VALUE"""),463.66)</f>
        <v>463.66</v>
      </c>
      <c r="AF89" s="26">
        <f>IFERROR(__xludf.DUMMYFUNCTION("""COMPUTED_VALUE"""),307.55)</f>
        <v>307.55</v>
      </c>
      <c r="AG89" s="26">
        <f>IFERROR(__xludf.DUMMYFUNCTION("""COMPUTED_VALUE"""),46.87)</f>
        <v>46.87</v>
      </c>
      <c r="AH89" s="26">
        <f>IFERROR(__xludf.DUMMYFUNCTION("""COMPUTED_VALUE"""),83.16)</f>
        <v>83.16</v>
      </c>
      <c r="AI89" s="26">
        <f>IFERROR(__xludf.DUMMYFUNCTION("""COMPUTED_VALUE"""),485.16)</f>
        <v>485.16</v>
      </c>
      <c r="AJ89" s="26">
        <f>IFERROR(__xludf.DUMMYFUNCTION("""COMPUTED_VALUE"""),382.01)</f>
        <v>382.01</v>
      </c>
      <c r="AK89" s="26">
        <f>IFERROR(__xludf.DUMMYFUNCTION("""COMPUTED_VALUE"""),107.15)</f>
        <v>107.15</v>
      </c>
      <c r="AL89" s="26">
        <f>IFERROR(__xludf.DUMMYFUNCTION("""COMPUTED_VALUE"""),161.91)</f>
        <v>161.91</v>
      </c>
      <c r="AM89" s="26">
        <f>IFERROR(__xludf.DUMMYFUNCTION("""COMPUTED_VALUE"""),491.39)</f>
        <v>491.39</v>
      </c>
      <c r="AN89" s="26">
        <f>IFERROR(__xludf.DUMMYFUNCTION("""COMPUTED_VALUE"""),207.86)</f>
        <v>207.86</v>
      </c>
      <c r="AO89" s="26">
        <f>IFERROR(__xludf.DUMMYFUNCTION("""COMPUTED_VALUE"""),572.92)</f>
        <v>572.92</v>
      </c>
      <c r="AP89" s="26">
        <f>IFERROR(__xludf.DUMMYFUNCTION("""COMPUTED_VALUE"""),265.3)</f>
        <v>265.3</v>
      </c>
      <c r="AQ89" s="26">
        <f>IFERROR(__xludf.DUMMYFUNCTION("""COMPUTED_VALUE"""),28.3)</f>
        <v>28.3</v>
      </c>
      <c r="AR89" s="26">
        <f>IFERROR(__xludf.DUMMYFUNCTION("""COMPUTED_VALUE"""),90.11)</f>
        <v>90.11</v>
      </c>
      <c r="AS89" s="26">
        <f>IFERROR(__xludf.DUMMYFUNCTION("""COMPUTED_VALUE"""),77.38)</f>
        <v>77.38</v>
      </c>
      <c r="AT89" s="26">
        <f>IFERROR(__xludf.DUMMYFUNCTION("""COMPUTED_VALUE"""),431.34)</f>
        <v>431.34</v>
      </c>
      <c r="AU89" s="26">
        <f>IFERROR(__xludf.DUMMYFUNCTION("""COMPUTED_VALUE"""),84.64)</f>
        <v>84.64</v>
      </c>
      <c r="AV89" s="26">
        <f>IFERROR(__xludf.DUMMYFUNCTION("""COMPUTED_VALUE"""),116.78)</f>
        <v>116.78</v>
      </c>
      <c r="AW89" s="26">
        <f>IFERROR(__xludf.DUMMYFUNCTION("""COMPUTED_VALUE"""),94.81)</f>
        <v>94.81</v>
      </c>
      <c r="AX89" s="26">
        <f>IFERROR(__xludf.DUMMYFUNCTION("""COMPUTED_VALUE"""),49.88)</f>
        <v>49.88</v>
      </c>
      <c r="AY89" s="26">
        <f>IFERROR(__xludf.DUMMYFUNCTION("""COMPUTED_VALUE"""),36.31)</f>
        <v>36.31</v>
      </c>
      <c r="AZ89" s="26">
        <f>IFERROR(__xludf.DUMMYFUNCTION("""COMPUTED_VALUE"""),71.07)</f>
        <v>71.07</v>
      </c>
      <c r="BA89" s="26">
        <f>IFERROR(__xludf.DUMMYFUNCTION("""COMPUTED_VALUE"""),30.07)</f>
        <v>30.07</v>
      </c>
      <c r="BB89" s="26">
        <f>IFERROR(__xludf.DUMMYFUNCTION("""COMPUTED_VALUE"""),119.2)</f>
        <v>119.2</v>
      </c>
      <c r="BC89" s="26">
        <f>IFERROR(__xludf.DUMMYFUNCTION("""COMPUTED_VALUE"""),205.85)</f>
        <v>205.85</v>
      </c>
      <c r="BD89" s="26">
        <f>IFERROR(__xludf.DUMMYFUNCTION("""COMPUTED_VALUE"""),614.15)</f>
        <v>614.15</v>
      </c>
      <c r="BE89" s="26">
        <f>IFERROR(__xludf.DUMMYFUNCTION("""COMPUTED_VALUE"""),176.23)</f>
        <v>176.23</v>
      </c>
      <c r="BF89" s="26">
        <f>IFERROR(__xludf.DUMMYFUNCTION("""COMPUTED_VALUE"""),151.21)</f>
        <v>151.21</v>
      </c>
      <c r="BG89" s="26">
        <f>IFERROR(__xludf.DUMMYFUNCTION("""COMPUTED_VALUE"""),7.92)</f>
        <v>7.92</v>
      </c>
      <c r="BH89" s="26">
        <f>IFERROR(__xludf.DUMMYFUNCTION("""COMPUTED_VALUE"""),252.43)</f>
        <v>252.43</v>
      </c>
      <c r="BI89" s="26">
        <f>IFERROR(__xludf.DUMMYFUNCTION("""COMPUTED_VALUE"""),589.14)</f>
        <v>589.14</v>
      </c>
      <c r="BJ89" s="26">
        <f>IFERROR(__xludf.DUMMYFUNCTION("""COMPUTED_VALUE"""),49.23)</f>
        <v>49.23</v>
      </c>
      <c r="BK89" s="26">
        <f>IFERROR(__xludf.DUMMYFUNCTION("""COMPUTED_VALUE"""),11.81)</f>
        <v>11.81</v>
      </c>
      <c r="BL89" s="26">
        <f>IFERROR(__xludf.DUMMYFUNCTION("""COMPUTED_VALUE"""),208.32)</f>
        <v>208.32</v>
      </c>
      <c r="BM89" s="26">
        <f>IFERROR(__xludf.DUMMYFUNCTION("""COMPUTED_VALUE"""),91.85)</f>
        <v>91.85</v>
      </c>
    </row>
    <row r="90">
      <c r="A90" s="25">
        <v>45552.66666666667</v>
      </c>
      <c r="B90" s="17">
        <f>IFERROR(__xludf.DUMMYFUNCTION("""COMPUTED_VALUE"""),5634.58)</f>
        <v>5634.58</v>
      </c>
      <c r="C90" s="17">
        <f>IFERROR(__xludf.DUMMYFUNCTION("""COMPUTED_VALUE"""),17628.06)</f>
        <v>17628.06</v>
      </c>
      <c r="D90" s="17">
        <f>IFERROR(__xludf.DUMMYFUNCTION("""COMPUTED_VALUE"""),41606.18)</f>
        <v>41606.18</v>
      </c>
      <c r="E90" s="17">
        <f>IFERROR(__xludf.DUMMYFUNCTION("""COMPUTED_VALUE"""),2205.48)</f>
        <v>2205.48</v>
      </c>
      <c r="F90" s="26">
        <f>IFERROR(__xludf.DUMMYFUNCTION("""COMPUTED_VALUE"""),515.03)</f>
        <v>515.03</v>
      </c>
      <c r="G90" s="26">
        <f>IFERROR(__xludf.DUMMYFUNCTION("""COMPUTED_VALUE"""),186.88)</f>
        <v>186.88</v>
      </c>
      <c r="H90" s="26">
        <f>IFERROR(__xludf.DUMMYFUNCTION("""COMPUTED_VALUE"""),149.9)</f>
        <v>149.9</v>
      </c>
      <c r="I90" s="26">
        <f>IFERROR(__xludf.DUMMYFUNCTION("""COMPUTED_VALUE"""),216.79)</f>
        <v>216.79</v>
      </c>
      <c r="J90" s="26">
        <f>IFERROR(__xludf.DUMMYFUNCTION("""COMPUTED_VALUE"""),188.59)</f>
        <v>188.59</v>
      </c>
      <c r="K90" s="26">
        <f>IFERROR(__xludf.DUMMYFUNCTION("""COMPUTED_VALUE"""),70.81)</f>
        <v>70.81</v>
      </c>
      <c r="L90" s="26">
        <f>IFERROR(__xludf.DUMMYFUNCTION("""COMPUTED_VALUE"""),11.91)</f>
        <v>11.91</v>
      </c>
      <c r="M90" s="26">
        <f>IFERROR(__xludf.DUMMYFUNCTION("""COMPUTED_VALUE"""),456.68)</f>
        <v>456.68</v>
      </c>
      <c r="N90" s="26">
        <f>IFERROR(__xludf.DUMMYFUNCTION("""COMPUTED_VALUE"""),53.45)</f>
        <v>53.45</v>
      </c>
      <c r="O90" s="26">
        <f>IFERROR(__xludf.DUMMYFUNCTION("""COMPUTED_VALUE"""),198.21)</f>
        <v>198.21</v>
      </c>
      <c r="P90" s="26">
        <f>IFERROR(__xludf.DUMMYFUNCTION("""COMPUTED_VALUE"""),77.96)</f>
        <v>77.96</v>
      </c>
      <c r="Q90" s="26">
        <f>IFERROR(__xludf.DUMMYFUNCTION("""COMPUTED_VALUE"""),353.69)</f>
        <v>353.69</v>
      </c>
      <c r="R90" s="26">
        <f>IFERROR(__xludf.DUMMYFUNCTION("""COMPUTED_VALUE"""),40.3)</f>
        <v>40.3</v>
      </c>
      <c r="S90" s="26">
        <f>IFERROR(__xludf.DUMMYFUNCTION("""COMPUTED_VALUE"""),191.7)</f>
        <v>191.7</v>
      </c>
      <c r="T90" s="26">
        <f>IFERROR(__xludf.DUMMYFUNCTION("""COMPUTED_VALUE"""),143.41)</f>
        <v>143.41</v>
      </c>
      <c r="U90" s="26">
        <f>IFERROR(__xludf.DUMMYFUNCTION("""COMPUTED_VALUE"""),356.23)</f>
        <v>356.23</v>
      </c>
      <c r="V90" s="26">
        <f>IFERROR(__xludf.DUMMYFUNCTION("""COMPUTED_VALUE"""),40.54)</f>
        <v>40.54</v>
      </c>
      <c r="W90" s="26">
        <f>IFERROR(__xludf.DUMMYFUNCTION("""COMPUTED_VALUE"""),71.8)</f>
        <v>71.8</v>
      </c>
      <c r="X90" s="26">
        <f>IFERROR(__xludf.DUMMYFUNCTION("""COMPUTED_VALUE"""),104.54)</f>
        <v>104.54</v>
      </c>
      <c r="Y90" s="26">
        <f>IFERROR(__xludf.DUMMYFUNCTION("""COMPUTED_VALUE"""),157.58)</f>
        <v>157.58</v>
      </c>
      <c r="Z90" s="26">
        <f>IFERROR(__xludf.DUMMYFUNCTION("""COMPUTED_VALUE"""),73.5)</f>
        <v>73.5</v>
      </c>
      <c r="AA90" s="26">
        <f>IFERROR(__xludf.DUMMYFUNCTION("""COMPUTED_VALUE"""),412.44)</f>
        <v>412.44</v>
      </c>
      <c r="AB90" s="26">
        <f>IFERROR(__xludf.DUMMYFUNCTION("""COMPUTED_VALUE"""),64.88)</f>
        <v>64.88</v>
      </c>
      <c r="AC90" s="26">
        <f>IFERROR(__xludf.DUMMYFUNCTION("""COMPUTED_VALUE"""),114.18)</f>
        <v>114.18</v>
      </c>
      <c r="AD90" s="26">
        <f>IFERROR(__xludf.DUMMYFUNCTION("""COMPUTED_VALUE"""),297.34)</f>
        <v>297.34</v>
      </c>
      <c r="AE90" s="26">
        <f>IFERROR(__xludf.DUMMYFUNCTION("""COMPUTED_VALUE"""),462.82)</f>
        <v>462.82</v>
      </c>
      <c r="AF90" s="26">
        <f>IFERROR(__xludf.DUMMYFUNCTION("""COMPUTED_VALUE"""),303.85)</f>
        <v>303.85</v>
      </c>
      <c r="AG90" s="26">
        <f>IFERROR(__xludf.DUMMYFUNCTION("""COMPUTED_VALUE"""),47.52)</f>
        <v>47.52</v>
      </c>
      <c r="AH90" s="26">
        <f>IFERROR(__xludf.DUMMYFUNCTION("""COMPUTED_VALUE"""),83.05)</f>
        <v>83.05</v>
      </c>
      <c r="AI90" s="26">
        <f>IFERROR(__xludf.DUMMYFUNCTION("""COMPUTED_VALUE"""),485.39)</f>
        <v>485.39</v>
      </c>
      <c r="AJ90" s="26">
        <f>IFERROR(__xludf.DUMMYFUNCTION("""COMPUTED_VALUE"""),383.24)</f>
        <v>383.24</v>
      </c>
      <c r="AK90" s="26">
        <f>IFERROR(__xludf.DUMMYFUNCTION("""COMPUTED_VALUE"""),107.37)</f>
        <v>107.37</v>
      </c>
      <c r="AL90" s="26">
        <f>IFERROR(__xludf.DUMMYFUNCTION("""COMPUTED_VALUE"""),162.81)</f>
        <v>162.81</v>
      </c>
      <c r="AM90" s="26">
        <f>IFERROR(__xludf.DUMMYFUNCTION("""COMPUTED_VALUE"""),483.32)</f>
        <v>483.32</v>
      </c>
      <c r="AN90" s="26">
        <f>IFERROR(__xludf.DUMMYFUNCTION("""COMPUTED_VALUE"""),209.25)</f>
        <v>209.25</v>
      </c>
      <c r="AO90" s="26">
        <f>IFERROR(__xludf.DUMMYFUNCTION("""COMPUTED_VALUE"""),567.01)</f>
        <v>567.01</v>
      </c>
      <c r="AP90" s="26">
        <f>IFERROR(__xludf.DUMMYFUNCTION("""COMPUTED_VALUE"""),268.41)</f>
        <v>268.41</v>
      </c>
      <c r="AQ90" s="26">
        <f>IFERROR(__xludf.DUMMYFUNCTION("""COMPUTED_VALUE"""),28.26)</f>
        <v>28.26</v>
      </c>
      <c r="AR90" s="26">
        <f>IFERROR(__xludf.DUMMYFUNCTION("""COMPUTED_VALUE"""),88.63)</f>
        <v>88.63</v>
      </c>
      <c r="AS90" s="26">
        <f>IFERROR(__xludf.DUMMYFUNCTION("""COMPUTED_VALUE"""),78.28)</f>
        <v>78.28</v>
      </c>
      <c r="AT90" s="26">
        <f>IFERROR(__xludf.DUMMYFUNCTION("""COMPUTED_VALUE"""),435.15)</f>
        <v>435.15</v>
      </c>
      <c r="AU90" s="26">
        <f>IFERROR(__xludf.DUMMYFUNCTION("""COMPUTED_VALUE"""),84.97)</f>
        <v>84.97</v>
      </c>
      <c r="AV90" s="26">
        <f>IFERROR(__xludf.DUMMYFUNCTION("""COMPUTED_VALUE"""),115.59)</f>
        <v>115.59</v>
      </c>
      <c r="AW90" s="26">
        <f>IFERROR(__xludf.DUMMYFUNCTION("""COMPUTED_VALUE"""),96.09)</f>
        <v>96.09</v>
      </c>
      <c r="AX90" s="26">
        <f>IFERROR(__xludf.DUMMYFUNCTION("""COMPUTED_VALUE"""),49.25)</f>
        <v>49.25</v>
      </c>
      <c r="AY90" s="26">
        <f>IFERROR(__xludf.DUMMYFUNCTION("""COMPUTED_VALUE"""),36.45)</f>
        <v>36.45</v>
      </c>
      <c r="AZ90" s="26">
        <f>IFERROR(__xludf.DUMMYFUNCTION("""COMPUTED_VALUE"""),71.77)</f>
        <v>71.77</v>
      </c>
      <c r="BA90" s="26">
        <f>IFERROR(__xludf.DUMMYFUNCTION("""COMPUTED_VALUE"""),29.83)</f>
        <v>29.83</v>
      </c>
      <c r="BB90" s="26">
        <f>IFERROR(__xludf.DUMMYFUNCTION("""COMPUTED_VALUE"""),118.73)</f>
        <v>118.73</v>
      </c>
      <c r="BC90" s="26">
        <f>IFERROR(__xludf.DUMMYFUNCTION("""COMPUTED_VALUE"""),202.7)</f>
        <v>202.7</v>
      </c>
      <c r="BD90" s="26">
        <f>IFERROR(__xludf.DUMMYFUNCTION("""COMPUTED_VALUE"""),610.49)</f>
        <v>610.49</v>
      </c>
      <c r="BE90" s="26">
        <f>IFERROR(__xludf.DUMMYFUNCTION("""COMPUTED_VALUE"""),173.15)</f>
        <v>173.15</v>
      </c>
      <c r="BF90" s="26">
        <f>IFERROR(__xludf.DUMMYFUNCTION("""COMPUTED_VALUE"""),156.08)</f>
        <v>156.08</v>
      </c>
      <c r="BG90" s="26">
        <f>IFERROR(__xludf.DUMMYFUNCTION("""COMPUTED_VALUE"""),7.79)</f>
        <v>7.79</v>
      </c>
      <c r="BH90" s="26">
        <f>IFERROR(__xludf.DUMMYFUNCTION("""COMPUTED_VALUE"""),253.55)</f>
        <v>253.55</v>
      </c>
      <c r="BI90" s="26">
        <f>IFERROR(__xludf.DUMMYFUNCTION("""COMPUTED_VALUE"""),577.96)</f>
        <v>577.96</v>
      </c>
      <c r="BJ90" s="26">
        <f>IFERROR(__xludf.DUMMYFUNCTION("""COMPUTED_VALUE"""),49.25)</f>
        <v>49.25</v>
      </c>
      <c r="BK90" s="26">
        <f>IFERROR(__xludf.DUMMYFUNCTION("""COMPUTED_VALUE"""),11.82)</f>
        <v>11.82</v>
      </c>
      <c r="BL90" s="26">
        <f>IFERROR(__xludf.DUMMYFUNCTION("""COMPUTED_VALUE"""),203.12)</f>
        <v>203.12</v>
      </c>
      <c r="BM90" s="26">
        <f>IFERROR(__xludf.DUMMYFUNCTION("""COMPUTED_VALUE"""),92.86)</f>
        <v>92.86</v>
      </c>
    </row>
    <row r="91">
      <c r="A91" s="25">
        <v>45553.66666666667</v>
      </c>
      <c r="B91" s="17">
        <f>IFERROR(__xludf.DUMMYFUNCTION("""COMPUTED_VALUE"""),5618.26)</f>
        <v>5618.26</v>
      </c>
      <c r="C91" s="17">
        <f>IFERROR(__xludf.DUMMYFUNCTION("""COMPUTED_VALUE"""),17573.3)</f>
        <v>17573.3</v>
      </c>
      <c r="D91" s="17">
        <f>IFERROR(__xludf.DUMMYFUNCTION("""COMPUTED_VALUE"""),41503.1)</f>
        <v>41503.1</v>
      </c>
      <c r="E91" s="17">
        <f>IFERROR(__xludf.DUMMYFUNCTION("""COMPUTED_VALUE"""),2206.34)</f>
        <v>2206.34</v>
      </c>
      <c r="F91" s="26">
        <f>IFERROR(__xludf.DUMMYFUNCTION("""COMPUTED_VALUE"""),508.13)</f>
        <v>508.13</v>
      </c>
      <c r="G91" s="26">
        <f>IFERROR(__xludf.DUMMYFUNCTION("""COMPUTED_VALUE"""),186.43)</f>
        <v>186.43</v>
      </c>
      <c r="H91" s="26">
        <f>IFERROR(__xludf.DUMMYFUNCTION("""COMPUTED_VALUE"""),148.94)</f>
        <v>148.94</v>
      </c>
      <c r="I91" s="26">
        <f>IFERROR(__xludf.DUMMYFUNCTION("""COMPUTED_VALUE"""),220.69)</f>
        <v>220.69</v>
      </c>
      <c r="J91" s="26">
        <f>IFERROR(__xludf.DUMMYFUNCTION("""COMPUTED_VALUE"""),186.14)</f>
        <v>186.14</v>
      </c>
      <c r="K91" s="26">
        <f>IFERROR(__xludf.DUMMYFUNCTION("""COMPUTED_VALUE"""),71.04)</f>
        <v>71.04</v>
      </c>
      <c r="L91" s="26">
        <f>IFERROR(__xludf.DUMMYFUNCTION("""COMPUTED_VALUE"""),11.95)</f>
        <v>11.95</v>
      </c>
      <c r="M91" s="26">
        <f>IFERROR(__xludf.DUMMYFUNCTION("""COMPUTED_VALUE"""),456.6)</f>
        <v>456.6</v>
      </c>
      <c r="N91" s="26">
        <f>IFERROR(__xludf.DUMMYFUNCTION("""COMPUTED_VALUE"""),53.05)</f>
        <v>53.05</v>
      </c>
      <c r="O91" s="26">
        <f>IFERROR(__xludf.DUMMYFUNCTION("""COMPUTED_VALUE"""),197.59)</f>
        <v>197.59</v>
      </c>
      <c r="P91" s="26">
        <f>IFERROR(__xludf.DUMMYFUNCTION("""COMPUTED_VALUE"""),78.19)</f>
        <v>78.19</v>
      </c>
      <c r="Q91" s="26">
        <f>IFERROR(__xludf.DUMMYFUNCTION("""COMPUTED_VALUE"""),355.12)</f>
        <v>355.12</v>
      </c>
      <c r="R91" s="26">
        <f>IFERROR(__xludf.DUMMYFUNCTION("""COMPUTED_VALUE"""),40.11)</f>
        <v>40.11</v>
      </c>
      <c r="S91" s="26">
        <f>IFERROR(__xludf.DUMMYFUNCTION("""COMPUTED_VALUE"""),188.99)</f>
        <v>188.99</v>
      </c>
      <c r="T91" s="26">
        <f>IFERROR(__xludf.DUMMYFUNCTION("""COMPUTED_VALUE"""),143.96)</f>
        <v>143.96</v>
      </c>
      <c r="U91" s="26">
        <f>IFERROR(__xludf.DUMMYFUNCTION("""COMPUTED_VALUE"""),355.39)</f>
        <v>355.39</v>
      </c>
      <c r="V91" s="26">
        <f>IFERROR(__xludf.DUMMYFUNCTION("""COMPUTED_VALUE"""),40.72)</f>
        <v>40.72</v>
      </c>
      <c r="W91" s="26">
        <f>IFERROR(__xludf.DUMMYFUNCTION("""COMPUTED_VALUE"""),71.75)</f>
        <v>71.75</v>
      </c>
      <c r="X91" s="26">
        <f>IFERROR(__xludf.DUMMYFUNCTION("""COMPUTED_VALUE"""),103.41)</f>
        <v>103.41</v>
      </c>
      <c r="Y91" s="26">
        <f>IFERROR(__xludf.DUMMYFUNCTION("""COMPUTED_VALUE"""),158.25)</f>
        <v>158.25</v>
      </c>
      <c r="Z91" s="26">
        <f>IFERROR(__xludf.DUMMYFUNCTION("""COMPUTED_VALUE"""),75.67)</f>
        <v>75.67</v>
      </c>
      <c r="AA91" s="26">
        <f>IFERROR(__xludf.DUMMYFUNCTION("""COMPUTED_VALUE"""),409.02)</f>
        <v>409.02</v>
      </c>
      <c r="AB91" s="26">
        <f>IFERROR(__xludf.DUMMYFUNCTION("""COMPUTED_VALUE"""),63.17)</f>
        <v>63.17</v>
      </c>
      <c r="AC91" s="26">
        <f>IFERROR(__xludf.DUMMYFUNCTION("""COMPUTED_VALUE"""),114.58)</f>
        <v>114.58</v>
      </c>
      <c r="AD91" s="26">
        <f>IFERROR(__xludf.DUMMYFUNCTION("""COMPUTED_VALUE"""),298.17)</f>
        <v>298.17</v>
      </c>
      <c r="AE91" s="26">
        <f>IFERROR(__xludf.DUMMYFUNCTION("""COMPUTED_VALUE"""),457.53)</f>
        <v>457.53</v>
      </c>
      <c r="AF91" s="26">
        <f>IFERROR(__xludf.DUMMYFUNCTION("""COMPUTED_VALUE"""),302.38)</f>
        <v>302.38</v>
      </c>
      <c r="AG91" s="26">
        <f>IFERROR(__xludf.DUMMYFUNCTION("""COMPUTED_VALUE"""),48.66)</f>
        <v>48.66</v>
      </c>
      <c r="AH91" s="26">
        <f>IFERROR(__xludf.DUMMYFUNCTION("""COMPUTED_VALUE"""),83.89)</f>
        <v>83.89</v>
      </c>
      <c r="AI91" s="26">
        <f>IFERROR(__xludf.DUMMYFUNCTION("""COMPUTED_VALUE"""),484.58)</f>
        <v>484.58</v>
      </c>
      <c r="AJ91" s="26">
        <f>IFERROR(__xludf.DUMMYFUNCTION("""COMPUTED_VALUE"""),384.01)</f>
        <v>384.01</v>
      </c>
      <c r="AK91" s="26">
        <f>IFERROR(__xludf.DUMMYFUNCTION("""COMPUTED_VALUE"""),106.9)</f>
        <v>106.9</v>
      </c>
      <c r="AL91" s="26">
        <f>IFERROR(__xludf.DUMMYFUNCTION("""COMPUTED_VALUE"""),161.22)</f>
        <v>161.22</v>
      </c>
      <c r="AM91" s="26">
        <f>IFERROR(__xludf.DUMMYFUNCTION("""COMPUTED_VALUE"""),482.09)</f>
        <v>482.09</v>
      </c>
      <c r="AN91" s="26">
        <f>IFERROR(__xludf.DUMMYFUNCTION("""COMPUTED_VALUE"""),207.53)</f>
        <v>207.53</v>
      </c>
      <c r="AO91" s="26">
        <f>IFERROR(__xludf.DUMMYFUNCTION("""COMPUTED_VALUE"""),565.49)</f>
        <v>565.49</v>
      </c>
      <c r="AP91" s="26">
        <f>IFERROR(__xludf.DUMMYFUNCTION("""COMPUTED_VALUE"""),270.2)</f>
        <v>270.2</v>
      </c>
      <c r="AQ91" s="26">
        <f>IFERROR(__xludf.DUMMYFUNCTION("""COMPUTED_VALUE"""),28.24)</f>
        <v>28.24</v>
      </c>
      <c r="AR91" s="26">
        <f>IFERROR(__xludf.DUMMYFUNCTION("""COMPUTED_VALUE"""),88.13)</f>
        <v>88.13</v>
      </c>
      <c r="AS91" s="26">
        <f>IFERROR(__xludf.DUMMYFUNCTION("""COMPUTED_VALUE"""),79.25)</f>
        <v>79.25</v>
      </c>
      <c r="AT91" s="26">
        <f>IFERROR(__xludf.DUMMYFUNCTION("""COMPUTED_VALUE"""),430.81)</f>
        <v>430.81</v>
      </c>
      <c r="AU91" s="26">
        <f>IFERROR(__xludf.DUMMYFUNCTION("""COMPUTED_VALUE"""),84.28)</f>
        <v>84.28</v>
      </c>
      <c r="AV91" s="26">
        <f>IFERROR(__xludf.DUMMYFUNCTION("""COMPUTED_VALUE"""),113.37)</f>
        <v>113.37</v>
      </c>
      <c r="AW91" s="26">
        <f>IFERROR(__xludf.DUMMYFUNCTION("""COMPUTED_VALUE"""),93.99)</f>
        <v>93.99</v>
      </c>
      <c r="AX91" s="26">
        <f>IFERROR(__xludf.DUMMYFUNCTION("""COMPUTED_VALUE"""),50.94)</f>
        <v>50.94</v>
      </c>
      <c r="AY91" s="26">
        <f>IFERROR(__xludf.DUMMYFUNCTION("""COMPUTED_VALUE"""),36.38)</f>
        <v>36.38</v>
      </c>
      <c r="AZ91" s="26">
        <f>IFERROR(__xludf.DUMMYFUNCTION("""COMPUTED_VALUE"""),73.12)</f>
        <v>73.12</v>
      </c>
      <c r="BA91" s="26">
        <f>IFERROR(__xludf.DUMMYFUNCTION("""COMPUTED_VALUE"""),29.75)</f>
        <v>29.75</v>
      </c>
      <c r="BB91" s="26">
        <f>IFERROR(__xludf.DUMMYFUNCTION("""COMPUTED_VALUE"""),118.04)</f>
        <v>118.04</v>
      </c>
      <c r="BC91" s="26">
        <f>IFERROR(__xludf.DUMMYFUNCTION("""COMPUTED_VALUE"""),196.68)</f>
        <v>196.68</v>
      </c>
      <c r="BD91" s="26">
        <f>IFERROR(__xludf.DUMMYFUNCTION("""COMPUTED_VALUE"""),610.12)</f>
        <v>610.12</v>
      </c>
      <c r="BE91" s="26">
        <f>IFERROR(__xludf.DUMMYFUNCTION("""COMPUTED_VALUE"""),176.71)</f>
        <v>176.71</v>
      </c>
      <c r="BF91" s="26">
        <f>IFERROR(__xludf.DUMMYFUNCTION("""COMPUTED_VALUE"""),155.96)</f>
        <v>155.96</v>
      </c>
      <c r="BG91" s="26">
        <f>IFERROR(__xludf.DUMMYFUNCTION("""COMPUTED_VALUE"""),7.69)</f>
        <v>7.69</v>
      </c>
      <c r="BH91" s="26">
        <f>IFERROR(__xludf.DUMMYFUNCTION("""COMPUTED_VALUE"""),251.2)</f>
        <v>251.2</v>
      </c>
      <c r="BI91" s="26">
        <f>IFERROR(__xludf.DUMMYFUNCTION("""COMPUTED_VALUE"""),580.65)</f>
        <v>580.65</v>
      </c>
      <c r="BJ91" s="26">
        <f>IFERROR(__xludf.DUMMYFUNCTION("""COMPUTED_VALUE"""),49.21)</f>
        <v>49.21</v>
      </c>
      <c r="BK91" s="26">
        <f>IFERROR(__xludf.DUMMYFUNCTION("""COMPUTED_VALUE"""),11.9)</f>
        <v>11.9</v>
      </c>
      <c r="BL91" s="26">
        <f>IFERROR(__xludf.DUMMYFUNCTION("""COMPUTED_VALUE"""),201.88)</f>
        <v>201.88</v>
      </c>
      <c r="BM91" s="26">
        <f>IFERROR(__xludf.DUMMYFUNCTION("""COMPUTED_VALUE"""),93.58)</f>
        <v>93.58</v>
      </c>
    </row>
    <row r="92">
      <c r="A92" s="25">
        <v>45554.66666666667</v>
      </c>
      <c r="B92" s="17">
        <f>IFERROR(__xludf.DUMMYFUNCTION("""COMPUTED_VALUE"""),5713.64)</f>
        <v>5713.64</v>
      </c>
      <c r="C92" s="17">
        <f>IFERROR(__xludf.DUMMYFUNCTION("""COMPUTED_VALUE"""),18013.98)</f>
        <v>18013.98</v>
      </c>
      <c r="D92" s="17">
        <f>IFERROR(__xludf.DUMMYFUNCTION("""COMPUTED_VALUE"""),42025.19)</f>
        <v>42025.19</v>
      </c>
      <c r="E92" s="17">
        <f>IFERROR(__xludf.DUMMYFUNCTION("""COMPUTED_VALUE"""),2252.71)</f>
        <v>2252.71</v>
      </c>
      <c r="F92" s="26">
        <f>IFERROR(__xludf.DUMMYFUNCTION("""COMPUTED_VALUE"""),526.44)</f>
        <v>526.44</v>
      </c>
      <c r="G92" s="26">
        <f>IFERROR(__xludf.DUMMYFUNCTION("""COMPUTED_VALUE"""),189.87)</f>
        <v>189.87</v>
      </c>
      <c r="H92" s="26">
        <f>IFERROR(__xludf.DUMMYFUNCTION("""COMPUTED_VALUE"""),149.08)</f>
        <v>149.08</v>
      </c>
      <c r="I92" s="26">
        <f>IFERROR(__xludf.DUMMYFUNCTION("""COMPUTED_VALUE"""),228.87)</f>
        <v>228.87</v>
      </c>
      <c r="J92" s="26">
        <f>IFERROR(__xludf.DUMMYFUNCTION("""COMPUTED_VALUE"""),196.71)</f>
        <v>196.71</v>
      </c>
      <c r="K92" s="26">
        <f>IFERROR(__xludf.DUMMYFUNCTION("""COMPUTED_VALUE"""),71.72)</f>
        <v>71.72</v>
      </c>
      <c r="L92" s="26">
        <f>IFERROR(__xludf.DUMMYFUNCTION("""COMPUTED_VALUE"""),12.25)</f>
        <v>12.25</v>
      </c>
      <c r="M92" s="26">
        <f>IFERROR(__xludf.DUMMYFUNCTION("""COMPUTED_VALUE"""),459.71)</f>
        <v>459.71</v>
      </c>
      <c r="N92" s="26">
        <f>IFERROR(__xludf.DUMMYFUNCTION("""COMPUTED_VALUE"""),55.19)</f>
        <v>55.19</v>
      </c>
      <c r="O92" s="26">
        <f>IFERROR(__xludf.DUMMYFUNCTION("""COMPUTED_VALUE"""),201.44)</f>
        <v>201.44</v>
      </c>
      <c r="P92" s="26">
        <f>IFERROR(__xludf.DUMMYFUNCTION("""COMPUTED_VALUE"""),80.57)</f>
        <v>80.57</v>
      </c>
      <c r="Q92" s="26">
        <f>IFERROR(__xludf.DUMMYFUNCTION("""COMPUTED_VALUE"""),373.31)</f>
        <v>373.31</v>
      </c>
      <c r="R92" s="26">
        <f>IFERROR(__xludf.DUMMYFUNCTION("""COMPUTED_VALUE"""),41.08)</f>
        <v>41.08</v>
      </c>
      <c r="S92" s="26">
        <f>IFERROR(__xludf.DUMMYFUNCTION("""COMPUTED_VALUE"""),191.09)</f>
        <v>191.09</v>
      </c>
      <c r="T92" s="26">
        <f>IFERROR(__xludf.DUMMYFUNCTION("""COMPUTED_VALUE"""),144.99)</f>
        <v>144.99</v>
      </c>
      <c r="U92" s="26">
        <f>IFERROR(__xludf.DUMMYFUNCTION("""COMPUTED_VALUE"""),357.26)</f>
        <v>357.26</v>
      </c>
      <c r="V92" s="26">
        <f>IFERROR(__xludf.DUMMYFUNCTION("""COMPUTED_VALUE"""),42.21)</f>
        <v>42.21</v>
      </c>
      <c r="W92" s="26">
        <f>IFERROR(__xludf.DUMMYFUNCTION("""COMPUTED_VALUE"""),70.62)</f>
        <v>70.62</v>
      </c>
      <c r="X92" s="26">
        <f>IFERROR(__xludf.DUMMYFUNCTION("""COMPUTED_VALUE"""),102.12)</f>
        <v>102.12</v>
      </c>
      <c r="Y92" s="26">
        <f>IFERROR(__xludf.DUMMYFUNCTION("""COMPUTED_VALUE"""),158.9)</f>
        <v>158.9</v>
      </c>
      <c r="Z92" s="26">
        <f>IFERROR(__xludf.DUMMYFUNCTION("""COMPUTED_VALUE"""),73.88)</f>
        <v>73.88</v>
      </c>
      <c r="AA92" s="26">
        <f>IFERROR(__xludf.DUMMYFUNCTION("""COMPUTED_VALUE"""),411.71)</f>
        <v>411.71</v>
      </c>
      <c r="AB92" s="26">
        <f>IFERROR(__xludf.DUMMYFUNCTION("""COMPUTED_VALUE"""),63.22)</f>
        <v>63.22</v>
      </c>
      <c r="AC92" s="26">
        <f>IFERROR(__xludf.DUMMYFUNCTION("""COMPUTED_VALUE"""),116.0)</f>
        <v>116</v>
      </c>
      <c r="AD92" s="26">
        <f>IFERROR(__xludf.DUMMYFUNCTION("""COMPUTED_VALUE"""),300.39)</f>
        <v>300.39</v>
      </c>
      <c r="AE92" s="26">
        <f>IFERROR(__xludf.DUMMYFUNCTION("""COMPUTED_VALUE"""),474.06)</f>
        <v>474.06</v>
      </c>
      <c r="AF92" s="26">
        <f>IFERROR(__xludf.DUMMYFUNCTION("""COMPUTED_VALUE"""),304.73)</f>
        <v>304.73</v>
      </c>
      <c r="AG92" s="26">
        <f>IFERROR(__xludf.DUMMYFUNCTION("""COMPUTED_VALUE"""),48.62)</f>
        <v>48.62</v>
      </c>
      <c r="AH92" s="26">
        <f>IFERROR(__xludf.DUMMYFUNCTION("""COMPUTED_VALUE"""),83.9)</f>
        <v>83.9</v>
      </c>
      <c r="AI92" s="26">
        <f>IFERROR(__xludf.DUMMYFUNCTION("""COMPUTED_VALUE"""),503.83)</f>
        <v>503.83</v>
      </c>
      <c r="AJ92" s="26">
        <f>IFERROR(__xludf.DUMMYFUNCTION("""COMPUTED_VALUE"""),390.34)</f>
        <v>390.34</v>
      </c>
      <c r="AK92" s="26">
        <f>IFERROR(__xludf.DUMMYFUNCTION("""COMPUTED_VALUE"""),109.83)</f>
        <v>109.83</v>
      </c>
      <c r="AL92" s="26">
        <f>IFERROR(__xludf.DUMMYFUNCTION("""COMPUTED_VALUE"""),158.87)</f>
        <v>158.87</v>
      </c>
      <c r="AM92" s="26">
        <f>IFERROR(__xludf.DUMMYFUNCTION("""COMPUTED_VALUE"""),490.01)</f>
        <v>490.01</v>
      </c>
      <c r="AN92" s="26">
        <f>IFERROR(__xludf.DUMMYFUNCTION("""COMPUTED_VALUE"""),210.48)</f>
        <v>210.48</v>
      </c>
      <c r="AO92" s="26">
        <f>IFERROR(__xludf.DUMMYFUNCTION("""COMPUTED_VALUE"""),565.18)</f>
        <v>565.18</v>
      </c>
      <c r="AP92" s="26">
        <f>IFERROR(__xludf.DUMMYFUNCTION("""COMPUTED_VALUE"""),270.76)</f>
        <v>270.76</v>
      </c>
      <c r="AQ92" s="26">
        <f>IFERROR(__xludf.DUMMYFUNCTION("""COMPUTED_VALUE"""),28.87)</f>
        <v>28.87</v>
      </c>
      <c r="AR92" s="26">
        <f>IFERROR(__xludf.DUMMYFUNCTION("""COMPUTED_VALUE"""),89.47)</f>
        <v>89.47</v>
      </c>
      <c r="AS92" s="26">
        <f>IFERROR(__xludf.DUMMYFUNCTION("""COMPUTED_VALUE"""),81.09)</f>
        <v>81.09</v>
      </c>
      <c r="AT92" s="26">
        <f>IFERROR(__xludf.DUMMYFUNCTION("""COMPUTED_VALUE"""),438.69)</f>
        <v>438.69</v>
      </c>
      <c r="AU92" s="26">
        <f>IFERROR(__xludf.DUMMYFUNCTION("""COMPUTED_VALUE"""),82.29)</f>
        <v>82.29</v>
      </c>
      <c r="AV92" s="26">
        <f>IFERROR(__xludf.DUMMYFUNCTION("""COMPUTED_VALUE"""),117.87)</f>
        <v>117.87</v>
      </c>
      <c r="AW92" s="26">
        <f>IFERROR(__xludf.DUMMYFUNCTION("""COMPUTED_VALUE"""),96.38)</f>
        <v>96.38</v>
      </c>
      <c r="AX92" s="26">
        <f>IFERROR(__xludf.DUMMYFUNCTION("""COMPUTED_VALUE"""),49.73)</f>
        <v>49.73</v>
      </c>
      <c r="AY92" s="26">
        <f>IFERROR(__xludf.DUMMYFUNCTION("""COMPUTED_VALUE"""),36.83)</f>
        <v>36.83</v>
      </c>
      <c r="AZ92" s="26">
        <f>IFERROR(__xludf.DUMMYFUNCTION("""COMPUTED_VALUE"""),77.57)</f>
        <v>77.57</v>
      </c>
      <c r="BA92" s="26">
        <f>IFERROR(__xludf.DUMMYFUNCTION("""COMPUTED_VALUE"""),29.66)</f>
        <v>29.66</v>
      </c>
      <c r="BB92" s="26">
        <f>IFERROR(__xludf.DUMMYFUNCTION("""COMPUTED_VALUE"""),118.82)</f>
        <v>118.82</v>
      </c>
      <c r="BC92" s="26">
        <f>IFERROR(__xludf.DUMMYFUNCTION("""COMPUTED_VALUE"""),199.64)</f>
        <v>199.64</v>
      </c>
      <c r="BD92" s="26">
        <f>IFERROR(__xludf.DUMMYFUNCTION("""COMPUTED_VALUE"""),620.25)</f>
        <v>620.25</v>
      </c>
      <c r="BE92" s="26">
        <f>IFERROR(__xludf.DUMMYFUNCTION("""COMPUTED_VALUE"""),183.47)</f>
        <v>183.47</v>
      </c>
      <c r="BF92" s="26">
        <f>IFERROR(__xludf.DUMMYFUNCTION("""COMPUTED_VALUE"""),165.98)</f>
        <v>165.98</v>
      </c>
      <c r="BG92" s="26">
        <f>IFERROR(__xludf.DUMMYFUNCTION("""COMPUTED_VALUE"""),7.93)</f>
        <v>7.93</v>
      </c>
      <c r="BH92" s="26">
        <f>IFERROR(__xludf.DUMMYFUNCTION("""COMPUTED_VALUE"""),248.44)</f>
        <v>248.44</v>
      </c>
      <c r="BI92" s="26">
        <f>IFERROR(__xludf.DUMMYFUNCTION("""COMPUTED_VALUE"""),577.07)</f>
        <v>577.07</v>
      </c>
      <c r="BJ92" s="26">
        <f>IFERROR(__xludf.DUMMYFUNCTION("""COMPUTED_VALUE"""),49.3)</f>
        <v>49.3</v>
      </c>
      <c r="BK92" s="26">
        <f>IFERROR(__xludf.DUMMYFUNCTION("""COMPUTED_VALUE"""),11.9)</f>
        <v>11.9</v>
      </c>
      <c r="BL92" s="26">
        <f>IFERROR(__xludf.DUMMYFUNCTION("""COMPUTED_VALUE"""),204.64)</f>
        <v>204.64</v>
      </c>
      <c r="BM92" s="26">
        <f>IFERROR(__xludf.DUMMYFUNCTION("""COMPUTED_VALUE"""),93.45)</f>
        <v>93.45</v>
      </c>
    </row>
    <row r="93">
      <c r="A93" s="25">
        <v>45555.66666666667</v>
      </c>
      <c r="B93" s="17">
        <f>IFERROR(__xludf.DUMMYFUNCTION("""COMPUTED_VALUE"""),5702.55)</f>
        <v>5702.55</v>
      </c>
      <c r="C93" s="17">
        <f>IFERROR(__xludf.DUMMYFUNCTION("""COMPUTED_VALUE"""),17948.32)</f>
        <v>17948.32</v>
      </c>
      <c r="D93" s="17">
        <f>IFERROR(__xludf.DUMMYFUNCTION("""COMPUTED_VALUE"""),42063.36)</f>
        <v>42063.36</v>
      </c>
      <c r="E93" s="17">
        <f>IFERROR(__xludf.DUMMYFUNCTION("""COMPUTED_VALUE"""),2227.89)</f>
        <v>2227.89</v>
      </c>
      <c r="F93" s="26">
        <f>IFERROR(__xludf.DUMMYFUNCTION("""COMPUTED_VALUE"""),522.3)</f>
        <v>522.3</v>
      </c>
      <c r="G93" s="26">
        <f>IFERROR(__xludf.DUMMYFUNCTION("""COMPUTED_VALUE"""),191.6)</f>
        <v>191.6</v>
      </c>
      <c r="H93" s="26">
        <f>IFERROR(__xludf.DUMMYFUNCTION("""COMPUTED_VALUE"""),147.23)</f>
        <v>147.23</v>
      </c>
      <c r="I93" s="26">
        <f>IFERROR(__xludf.DUMMYFUNCTION("""COMPUTED_VALUE"""),228.2)</f>
        <v>228.2</v>
      </c>
      <c r="J93" s="26">
        <f>IFERROR(__xludf.DUMMYFUNCTION("""COMPUTED_VALUE"""),192.16)</f>
        <v>192.16</v>
      </c>
      <c r="K93" s="26">
        <f>IFERROR(__xludf.DUMMYFUNCTION("""COMPUTED_VALUE"""),71.82)</f>
        <v>71.82</v>
      </c>
      <c r="L93" s="26">
        <f>IFERROR(__xludf.DUMMYFUNCTION("""COMPUTED_VALUE"""),12.22)</f>
        <v>12.22</v>
      </c>
      <c r="M93" s="26">
        <f>IFERROR(__xludf.DUMMYFUNCTION("""COMPUTED_VALUE"""),455.31)</f>
        <v>455.31</v>
      </c>
      <c r="N93" s="26">
        <f>IFERROR(__xludf.DUMMYFUNCTION("""COMPUTED_VALUE"""),53.79)</f>
        <v>53.79</v>
      </c>
      <c r="O93" s="26">
        <f>IFERROR(__xludf.DUMMYFUNCTION("""COMPUTED_VALUE"""),199.36)</f>
        <v>199.36</v>
      </c>
      <c r="P93" s="26">
        <f>IFERROR(__xludf.DUMMYFUNCTION("""COMPUTED_VALUE"""),79.92)</f>
        <v>79.92</v>
      </c>
      <c r="Q93" s="26">
        <f>IFERROR(__xludf.DUMMYFUNCTION("""COMPUTED_VALUE"""),368.82)</f>
        <v>368.82</v>
      </c>
      <c r="R93" s="26">
        <f>IFERROR(__xludf.DUMMYFUNCTION("""COMPUTED_VALUE"""),44.4)</f>
        <v>44.4</v>
      </c>
      <c r="S93" s="26">
        <f>IFERROR(__xludf.DUMMYFUNCTION("""COMPUTED_VALUE"""),194.09)</f>
        <v>194.09</v>
      </c>
      <c r="T93" s="26">
        <f>IFERROR(__xludf.DUMMYFUNCTION("""COMPUTED_VALUE"""),145.68)</f>
        <v>145.68</v>
      </c>
      <c r="U93" s="26">
        <f>IFERROR(__xludf.DUMMYFUNCTION("""COMPUTED_VALUE"""),356.14)</f>
        <v>356.14</v>
      </c>
      <c r="V93" s="26">
        <f>IFERROR(__xludf.DUMMYFUNCTION("""COMPUTED_VALUE"""),41.65)</f>
        <v>41.65</v>
      </c>
      <c r="W93" s="26">
        <f>IFERROR(__xludf.DUMMYFUNCTION("""COMPUTED_VALUE"""),71.64)</f>
        <v>71.64</v>
      </c>
      <c r="X93" s="26">
        <f>IFERROR(__xludf.DUMMYFUNCTION("""COMPUTED_VALUE"""),103.35)</f>
        <v>103.35</v>
      </c>
      <c r="Y93" s="26">
        <f>IFERROR(__xludf.DUMMYFUNCTION("""COMPUTED_VALUE"""),158.7)</f>
        <v>158.7</v>
      </c>
      <c r="Z93" s="26">
        <f>IFERROR(__xludf.DUMMYFUNCTION("""COMPUTED_VALUE"""),71.73)</f>
        <v>71.73</v>
      </c>
      <c r="AA93" s="26">
        <f>IFERROR(__xludf.DUMMYFUNCTION("""COMPUTED_VALUE"""),414.42)</f>
        <v>414.42</v>
      </c>
      <c r="AB93" s="26">
        <f>IFERROR(__xludf.DUMMYFUNCTION("""COMPUTED_VALUE"""),62.72)</f>
        <v>62.72</v>
      </c>
      <c r="AC93" s="26">
        <f>IFERROR(__xludf.DUMMYFUNCTION("""COMPUTED_VALUE"""),115.27)</f>
        <v>115.27</v>
      </c>
      <c r="AD93" s="26">
        <f>IFERROR(__xludf.DUMMYFUNCTION("""COMPUTED_VALUE"""),254.64)</f>
        <v>254.64</v>
      </c>
      <c r="AE93" s="26">
        <f>IFERROR(__xludf.DUMMYFUNCTION("""COMPUTED_VALUE"""),470.56)</f>
        <v>470.56</v>
      </c>
      <c r="AF93" s="26">
        <f>IFERROR(__xludf.DUMMYFUNCTION("""COMPUTED_VALUE"""),306.87)</f>
        <v>306.87</v>
      </c>
      <c r="AG93" s="26">
        <f>IFERROR(__xludf.DUMMYFUNCTION("""COMPUTED_VALUE"""),48.88)</f>
        <v>48.88</v>
      </c>
      <c r="AH93" s="26">
        <f>IFERROR(__xludf.DUMMYFUNCTION("""COMPUTED_VALUE"""),83.94)</f>
        <v>83.94</v>
      </c>
      <c r="AI93" s="26">
        <f>IFERROR(__xludf.DUMMYFUNCTION("""COMPUTED_VALUE"""),498.43)</f>
        <v>498.43</v>
      </c>
      <c r="AJ93" s="26">
        <f>IFERROR(__xludf.DUMMYFUNCTION("""COMPUTED_VALUE"""),389.86)</f>
        <v>389.86</v>
      </c>
      <c r="AK93" s="26">
        <f>IFERROR(__xludf.DUMMYFUNCTION("""COMPUTED_VALUE"""),110.55)</f>
        <v>110.55</v>
      </c>
      <c r="AL93" s="26">
        <f>IFERROR(__xludf.DUMMYFUNCTION("""COMPUTED_VALUE"""),159.84)</f>
        <v>159.84</v>
      </c>
      <c r="AM93" s="26">
        <f>IFERROR(__xludf.DUMMYFUNCTION("""COMPUTED_VALUE"""),486.2)</f>
        <v>486.2</v>
      </c>
      <c r="AN93" s="26">
        <f>IFERROR(__xludf.DUMMYFUNCTION("""COMPUTED_VALUE"""),211.09)</f>
        <v>211.09</v>
      </c>
      <c r="AO93" s="26">
        <f>IFERROR(__xludf.DUMMYFUNCTION("""COMPUTED_VALUE"""),571.92)</f>
        <v>571.92</v>
      </c>
      <c r="AP93" s="26">
        <f>IFERROR(__xludf.DUMMYFUNCTION("""COMPUTED_VALUE"""),262.61)</f>
        <v>262.61</v>
      </c>
      <c r="AQ93" s="26">
        <f>IFERROR(__xludf.DUMMYFUNCTION("""COMPUTED_VALUE"""),28.77)</f>
        <v>28.77</v>
      </c>
      <c r="AR93" s="26">
        <f>IFERROR(__xludf.DUMMYFUNCTION("""COMPUTED_VALUE"""),89.34)</f>
        <v>89.34</v>
      </c>
      <c r="AS93" s="26">
        <f>IFERROR(__xludf.DUMMYFUNCTION("""COMPUTED_VALUE"""),80.85)</f>
        <v>80.85</v>
      </c>
      <c r="AT93" s="26">
        <f>IFERROR(__xludf.DUMMYFUNCTION("""COMPUTED_VALUE"""),435.27)</f>
        <v>435.27</v>
      </c>
      <c r="AU93" s="26">
        <f>IFERROR(__xludf.DUMMYFUNCTION("""COMPUTED_VALUE"""),82.76)</f>
        <v>82.76</v>
      </c>
      <c r="AV93" s="26">
        <f>IFERROR(__xludf.DUMMYFUNCTION("""COMPUTED_VALUE"""),116.0)</f>
        <v>116</v>
      </c>
      <c r="AW93" s="26">
        <f>IFERROR(__xludf.DUMMYFUNCTION("""COMPUTED_VALUE"""),95.52)</f>
        <v>95.52</v>
      </c>
      <c r="AX93" s="26">
        <f>IFERROR(__xludf.DUMMYFUNCTION("""COMPUTED_VALUE"""),49.95)</f>
        <v>49.95</v>
      </c>
      <c r="AY93" s="26">
        <f>IFERROR(__xludf.DUMMYFUNCTION("""COMPUTED_VALUE"""),37.2)</f>
        <v>37.2</v>
      </c>
      <c r="AZ93" s="26">
        <f>IFERROR(__xludf.DUMMYFUNCTION("""COMPUTED_VALUE"""),76.76)</f>
        <v>76.76</v>
      </c>
      <c r="BA93" s="26">
        <f>IFERROR(__xludf.DUMMYFUNCTION("""COMPUTED_VALUE"""),29.42)</f>
        <v>29.42</v>
      </c>
      <c r="BB93" s="26">
        <f>IFERROR(__xludf.DUMMYFUNCTION("""COMPUTED_VALUE"""),118.15)</f>
        <v>118.15</v>
      </c>
      <c r="BC93" s="26">
        <f>IFERROR(__xludf.DUMMYFUNCTION("""COMPUTED_VALUE"""),199.44)</f>
        <v>199.44</v>
      </c>
      <c r="BD93" s="26">
        <f>IFERROR(__xludf.DUMMYFUNCTION("""COMPUTED_VALUE"""),613.69)</f>
        <v>613.69</v>
      </c>
      <c r="BE93" s="26">
        <f>IFERROR(__xludf.DUMMYFUNCTION("""COMPUTED_VALUE"""),184.07)</f>
        <v>184.07</v>
      </c>
      <c r="BF93" s="26">
        <f>IFERROR(__xludf.DUMMYFUNCTION("""COMPUTED_VALUE"""),165.0)</f>
        <v>165</v>
      </c>
      <c r="BG93" s="26">
        <f>IFERROR(__xludf.DUMMYFUNCTION("""COMPUTED_VALUE"""),7.99)</f>
        <v>7.99</v>
      </c>
      <c r="BH93" s="26">
        <f>IFERROR(__xludf.DUMMYFUNCTION("""COMPUTED_VALUE"""),245.39)</f>
        <v>245.39</v>
      </c>
      <c r="BI93" s="26">
        <f>IFERROR(__xludf.DUMMYFUNCTION("""COMPUTED_VALUE"""),575.0)</f>
        <v>575</v>
      </c>
      <c r="BJ93" s="26">
        <f>IFERROR(__xludf.DUMMYFUNCTION("""COMPUTED_VALUE"""),49.32)</f>
        <v>49.32</v>
      </c>
      <c r="BK93" s="26">
        <f>IFERROR(__xludf.DUMMYFUNCTION("""COMPUTED_VALUE"""),11.39)</f>
        <v>11.39</v>
      </c>
      <c r="BL93" s="26">
        <f>IFERROR(__xludf.DUMMYFUNCTION("""COMPUTED_VALUE"""),204.1)</f>
        <v>204.1</v>
      </c>
      <c r="BM93" s="26">
        <f>IFERROR(__xludf.DUMMYFUNCTION("""COMPUTED_VALUE"""),93.75)</f>
        <v>93.75</v>
      </c>
    </row>
    <row r="94">
      <c r="A94" s="25">
        <v>45558.66666666667</v>
      </c>
      <c r="B94" s="17">
        <f>IFERROR(__xludf.DUMMYFUNCTION("""COMPUTED_VALUE"""),5718.57)</f>
        <v>5718.57</v>
      </c>
      <c r="C94" s="17">
        <f>IFERROR(__xludf.DUMMYFUNCTION("""COMPUTED_VALUE"""),17974.27)</f>
        <v>17974.27</v>
      </c>
      <c r="D94" s="17">
        <f>IFERROR(__xludf.DUMMYFUNCTION("""COMPUTED_VALUE"""),42124.65)</f>
        <v>42124.65</v>
      </c>
      <c r="E94" s="17">
        <f>IFERROR(__xludf.DUMMYFUNCTION("""COMPUTED_VALUE"""),2220.28)</f>
        <v>2220.28</v>
      </c>
      <c r="F94" s="26">
        <f>IFERROR(__xludf.DUMMYFUNCTION("""COMPUTED_VALUE"""),527.87)</f>
        <v>527.87</v>
      </c>
      <c r="G94" s="26">
        <f>IFERROR(__xludf.DUMMYFUNCTION("""COMPUTED_VALUE"""),193.88)</f>
        <v>193.88</v>
      </c>
      <c r="H94" s="26">
        <f>IFERROR(__xludf.DUMMYFUNCTION("""COMPUTED_VALUE"""),147.54)</f>
        <v>147.54</v>
      </c>
      <c r="I94" s="26">
        <f>IFERROR(__xludf.DUMMYFUNCTION("""COMPUTED_VALUE"""),226.47)</f>
        <v>226.47</v>
      </c>
      <c r="J94" s="26">
        <f>IFERROR(__xludf.DUMMYFUNCTION("""COMPUTED_VALUE"""),194.04)</f>
        <v>194.04</v>
      </c>
      <c r="K94" s="26">
        <f>IFERROR(__xludf.DUMMYFUNCTION("""COMPUTED_VALUE"""),72.14)</f>
        <v>72.14</v>
      </c>
      <c r="L94" s="26">
        <f>IFERROR(__xludf.DUMMYFUNCTION("""COMPUTED_VALUE"""),12.03)</f>
        <v>12.03</v>
      </c>
      <c r="M94" s="26">
        <f>IFERROR(__xludf.DUMMYFUNCTION("""COMPUTED_VALUE"""),454.98)</f>
        <v>454.98</v>
      </c>
      <c r="N94" s="26">
        <f>IFERROR(__xludf.DUMMYFUNCTION("""COMPUTED_VALUE"""),54.59)</f>
        <v>54.59</v>
      </c>
      <c r="O94" s="26">
        <f>IFERROR(__xludf.DUMMYFUNCTION("""COMPUTED_VALUE"""),195.81)</f>
        <v>195.81</v>
      </c>
      <c r="P94" s="26">
        <f>IFERROR(__xludf.DUMMYFUNCTION("""COMPUTED_VALUE"""),80.88)</f>
        <v>80.88</v>
      </c>
      <c r="Q94" s="26">
        <f>IFERROR(__xludf.DUMMYFUNCTION("""COMPUTED_VALUE"""),371.17)</f>
        <v>371.17</v>
      </c>
      <c r="R94" s="26">
        <f>IFERROR(__xludf.DUMMYFUNCTION("""COMPUTED_VALUE"""),46.02)</f>
        <v>46.02</v>
      </c>
      <c r="S94" s="26">
        <f>IFERROR(__xludf.DUMMYFUNCTION("""COMPUTED_VALUE"""),195.47)</f>
        <v>195.47</v>
      </c>
      <c r="T94" s="26">
        <f>IFERROR(__xludf.DUMMYFUNCTION("""COMPUTED_VALUE"""),147.54)</f>
        <v>147.54</v>
      </c>
      <c r="U94" s="26">
        <f>IFERROR(__xludf.DUMMYFUNCTION("""COMPUTED_VALUE"""),354.94)</f>
        <v>354.94</v>
      </c>
      <c r="V94" s="26">
        <f>IFERROR(__xludf.DUMMYFUNCTION("""COMPUTED_VALUE"""),41.06)</f>
        <v>41.06</v>
      </c>
      <c r="W94" s="26">
        <f>IFERROR(__xludf.DUMMYFUNCTION("""COMPUTED_VALUE"""),71.73)</f>
        <v>71.73</v>
      </c>
      <c r="X94" s="26">
        <f>IFERROR(__xludf.DUMMYFUNCTION("""COMPUTED_VALUE"""),104.02)</f>
        <v>104.02</v>
      </c>
      <c r="Y94" s="26">
        <f>IFERROR(__xludf.DUMMYFUNCTION("""COMPUTED_VALUE"""),160.96)</f>
        <v>160.96</v>
      </c>
      <c r="Z94" s="26">
        <f>IFERROR(__xludf.DUMMYFUNCTION("""COMPUTED_VALUE"""),71.76)</f>
        <v>71.76</v>
      </c>
      <c r="AA94" s="26">
        <f>IFERROR(__xludf.DUMMYFUNCTION("""COMPUTED_VALUE"""),420.7)</f>
        <v>420.7</v>
      </c>
      <c r="AB94" s="26">
        <f>IFERROR(__xludf.DUMMYFUNCTION("""COMPUTED_VALUE"""),63.45)</f>
        <v>63.45</v>
      </c>
      <c r="AC94" s="26">
        <f>IFERROR(__xludf.DUMMYFUNCTION("""COMPUTED_VALUE"""),117.36)</f>
        <v>117.36</v>
      </c>
      <c r="AD94" s="26">
        <f>IFERROR(__xludf.DUMMYFUNCTION("""COMPUTED_VALUE"""),258.79)</f>
        <v>258.79</v>
      </c>
      <c r="AE94" s="26">
        <f>IFERROR(__xludf.DUMMYFUNCTION("""COMPUTED_VALUE"""),476.96)</f>
        <v>476.96</v>
      </c>
      <c r="AF94" s="26">
        <f>IFERROR(__xludf.DUMMYFUNCTION("""COMPUTED_VALUE"""),308.09)</f>
        <v>308.09</v>
      </c>
      <c r="AG94" s="26">
        <f>IFERROR(__xludf.DUMMYFUNCTION("""COMPUTED_VALUE"""),48.04)</f>
        <v>48.04</v>
      </c>
      <c r="AH94" s="26">
        <f>IFERROR(__xludf.DUMMYFUNCTION("""COMPUTED_VALUE"""),83.99)</f>
        <v>83.99</v>
      </c>
      <c r="AI94" s="26">
        <f>IFERROR(__xludf.DUMMYFUNCTION("""COMPUTED_VALUE"""),497.41)</f>
        <v>497.41</v>
      </c>
      <c r="AJ94" s="26">
        <f>IFERROR(__xludf.DUMMYFUNCTION("""COMPUTED_VALUE"""),391.96)</f>
        <v>391.96</v>
      </c>
      <c r="AK94" s="26">
        <f>IFERROR(__xludf.DUMMYFUNCTION("""COMPUTED_VALUE"""),109.38)</f>
        <v>109.38</v>
      </c>
      <c r="AL94" s="26">
        <f>IFERROR(__xludf.DUMMYFUNCTION("""COMPUTED_VALUE"""),159.95)</f>
        <v>159.95</v>
      </c>
      <c r="AM94" s="26">
        <f>IFERROR(__xludf.DUMMYFUNCTION("""COMPUTED_VALUE"""),489.07)</f>
        <v>489.07</v>
      </c>
      <c r="AN94" s="26">
        <f>IFERROR(__xludf.DUMMYFUNCTION("""COMPUTED_VALUE"""),211.44)</f>
        <v>211.44</v>
      </c>
      <c r="AO94" s="26">
        <f>IFERROR(__xludf.DUMMYFUNCTION("""COMPUTED_VALUE"""),580.51)</f>
        <v>580.51</v>
      </c>
      <c r="AP94" s="26">
        <f>IFERROR(__xludf.DUMMYFUNCTION("""COMPUTED_VALUE"""),259.8)</f>
        <v>259.8</v>
      </c>
      <c r="AQ94" s="26">
        <f>IFERROR(__xludf.DUMMYFUNCTION("""COMPUTED_VALUE"""),28.84)</f>
        <v>28.84</v>
      </c>
      <c r="AR94" s="26">
        <f>IFERROR(__xludf.DUMMYFUNCTION("""COMPUTED_VALUE"""),89.86)</f>
        <v>89.86</v>
      </c>
      <c r="AS94" s="26">
        <f>IFERROR(__xludf.DUMMYFUNCTION("""COMPUTED_VALUE"""),81.46)</f>
        <v>81.46</v>
      </c>
      <c r="AT94" s="26">
        <f>IFERROR(__xludf.DUMMYFUNCTION("""COMPUTED_VALUE"""),433.51)</f>
        <v>433.51</v>
      </c>
      <c r="AU94" s="26">
        <f>IFERROR(__xludf.DUMMYFUNCTION("""COMPUTED_VALUE"""),84.82)</f>
        <v>84.82</v>
      </c>
      <c r="AV94" s="26">
        <f>IFERROR(__xludf.DUMMYFUNCTION("""COMPUTED_VALUE"""),116.26)</f>
        <v>116.26</v>
      </c>
      <c r="AW94" s="26">
        <f>IFERROR(__xludf.DUMMYFUNCTION("""COMPUTED_VALUE"""),96.25)</f>
        <v>96.25</v>
      </c>
      <c r="AX94" s="26">
        <f>IFERROR(__xludf.DUMMYFUNCTION("""COMPUTED_VALUE"""),50.41)</f>
        <v>50.41</v>
      </c>
      <c r="AY94" s="26">
        <f>IFERROR(__xludf.DUMMYFUNCTION("""COMPUTED_VALUE"""),37.95)</f>
        <v>37.95</v>
      </c>
      <c r="AZ94" s="26">
        <f>IFERROR(__xludf.DUMMYFUNCTION("""COMPUTED_VALUE"""),77.67)</f>
        <v>77.67</v>
      </c>
      <c r="BA94" s="26">
        <f>IFERROR(__xludf.DUMMYFUNCTION("""COMPUTED_VALUE"""),29.31)</f>
        <v>29.31</v>
      </c>
      <c r="BB94" s="26">
        <f>IFERROR(__xludf.DUMMYFUNCTION("""COMPUTED_VALUE"""),120.27)</f>
        <v>120.27</v>
      </c>
      <c r="BC94" s="26">
        <f>IFERROR(__xludf.DUMMYFUNCTION("""COMPUTED_VALUE"""),202.46)</f>
        <v>202.46</v>
      </c>
      <c r="BD94" s="26">
        <f>IFERROR(__xludf.DUMMYFUNCTION("""COMPUTED_VALUE"""),610.35)</f>
        <v>610.35</v>
      </c>
      <c r="BE94" s="26">
        <f>IFERROR(__xludf.DUMMYFUNCTION("""COMPUTED_VALUE"""),185.4)</f>
        <v>185.4</v>
      </c>
      <c r="BF94" s="26">
        <f>IFERROR(__xludf.DUMMYFUNCTION("""COMPUTED_VALUE"""),159.5)</f>
        <v>159.5</v>
      </c>
      <c r="BG94" s="26">
        <f>IFERROR(__xludf.DUMMYFUNCTION("""COMPUTED_VALUE"""),7.76)</f>
        <v>7.76</v>
      </c>
      <c r="BH94" s="26">
        <f>IFERROR(__xludf.DUMMYFUNCTION("""COMPUTED_VALUE"""),244.0)</f>
        <v>244</v>
      </c>
      <c r="BI94" s="26">
        <f>IFERROR(__xludf.DUMMYFUNCTION("""COMPUTED_VALUE"""),573.41)</f>
        <v>573.41</v>
      </c>
      <c r="BJ94" s="26">
        <f>IFERROR(__xludf.DUMMYFUNCTION("""COMPUTED_VALUE"""),49.31)</f>
        <v>49.31</v>
      </c>
      <c r="BK94" s="26">
        <f>IFERROR(__xludf.DUMMYFUNCTION("""COMPUTED_VALUE"""),11.47)</f>
        <v>11.47</v>
      </c>
      <c r="BL94" s="26">
        <f>IFERROR(__xludf.DUMMYFUNCTION("""COMPUTED_VALUE"""),207.1)</f>
        <v>207.1</v>
      </c>
      <c r="BM94" s="26">
        <f>IFERROR(__xludf.DUMMYFUNCTION("""COMPUTED_VALUE"""),92.97)</f>
        <v>92.97</v>
      </c>
    </row>
    <row r="95">
      <c r="A95" s="25">
        <v>45559.66666666667</v>
      </c>
      <c r="B95" s="17">
        <f>IFERROR(__xludf.DUMMYFUNCTION("""COMPUTED_VALUE"""),5732.93)</f>
        <v>5732.93</v>
      </c>
      <c r="C95" s="17">
        <f>IFERROR(__xludf.DUMMYFUNCTION("""COMPUTED_VALUE"""),18074.52)</f>
        <v>18074.52</v>
      </c>
      <c r="D95" s="17">
        <f>IFERROR(__xludf.DUMMYFUNCTION("""COMPUTED_VALUE"""),42208.22)</f>
        <v>42208.22</v>
      </c>
      <c r="E95" s="17">
        <f>IFERROR(__xludf.DUMMYFUNCTION("""COMPUTED_VALUE"""),2223.99)</f>
        <v>2223.99</v>
      </c>
      <c r="F95" s="26">
        <f>IFERROR(__xludf.DUMMYFUNCTION("""COMPUTED_VALUE"""),524.07)</f>
        <v>524.07</v>
      </c>
      <c r="G95" s="26">
        <f>IFERROR(__xludf.DUMMYFUNCTION("""COMPUTED_VALUE"""),193.96)</f>
        <v>193.96</v>
      </c>
      <c r="H95" s="26">
        <f>IFERROR(__xludf.DUMMYFUNCTION("""COMPUTED_VALUE"""),145.04)</f>
        <v>145.04</v>
      </c>
      <c r="I95" s="26">
        <f>IFERROR(__xludf.DUMMYFUNCTION("""COMPUTED_VALUE"""),227.37)</f>
        <v>227.37</v>
      </c>
      <c r="J95" s="26">
        <f>IFERROR(__xludf.DUMMYFUNCTION("""COMPUTED_VALUE"""),196.78)</f>
        <v>196.78</v>
      </c>
      <c r="K95" s="26">
        <f>IFERROR(__xludf.DUMMYFUNCTION("""COMPUTED_VALUE"""),71.82)</f>
        <v>71.82</v>
      </c>
      <c r="L95" s="26">
        <f>IFERROR(__xludf.DUMMYFUNCTION("""COMPUTED_VALUE"""),12.22)</f>
        <v>12.22</v>
      </c>
      <c r="M95" s="26">
        <f>IFERROR(__xludf.DUMMYFUNCTION("""COMPUTED_VALUE"""),454.56)</f>
        <v>454.56</v>
      </c>
      <c r="N95" s="26">
        <f>IFERROR(__xludf.DUMMYFUNCTION("""COMPUTED_VALUE"""),57.35)</f>
        <v>57.35</v>
      </c>
      <c r="O95" s="26">
        <f>IFERROR(__xludf.DUMMYFUNCTION("""COMPUTED_VALUE"""),194.12)</f>
        <v>194.12</v>
      </c>
      <c r="P95" s="26">
        <f>IFERROR(__xludf.DUMMYFUNCTION("""COMPUTED_VALUE"""),80.41)</f>
        <v>80.41</v>
      </c>
      <c r="Q95" s="26">
        <f>IFERROR(__xludf.DUMMYFUNCTION("""COMPUTED_VALUE"""),385.93)</f>
        <v>385.93</v>
      </c>
      <c r="R95" s="26">
        <f>IFERROR(__xludf.DUMMYFUNCTION("""COMPUTED_VALUE"""),46.77)</f>
        <v>46.77</v>
      </c>
      <c r="S95" s="26">
        <f>IFERROR(__xludf.DUMMYFUNCTION("""COMPUTED_VALUE"""),195.29)</f>
        <v>195.29</v>
      </c>
      <c r="T95" s="26">
        <f>IFERROR(__xludf.DUMMYFUNCTION("""COMPUTED_VALUE"""),147.45)</f>
        <v>147.45</v>
      </c>
      <c r="U95" s="26">
        <f>IFERROR(__xludf.DUMMYFUNCTION("""COMPUTED_VALUE"""),353.17)</f>
        <v>353.17</v>
      </c>
      <c r="V95" s="26">
        <f>IFERROR(__xludf.DUMMYFUNCTION("""COMPUTED_VALUE"""),40.76)</f>
        <v>40.76</v>
      </c>
      <c r="W95" s="26">
        <f>IFERROR(__xludf.DUMMYFUNCTION("""COMPUTED_VALUE"""),71.33)</f>
        <v>71.33</v>
      </c>
      <c r="X95" s="26">
        <f>IFERROR(__xludf.DUMMYFUNCTION("""COMPUTED_VALUE"""),102.82)</f>
        <v>102.82</v>
      </c>
      <c r="Y95" s="26">
        <f>IFERROR(__xludf.DUMMYFUNCTION("""COMPUTED_VALUE"""),162.13)</f>
        <v>162.13</v>
      </c>
      <c r="Z95" s="26">
        <f>IFERROR(__xludf.DUMMYFUNCTION("""COMPUTED_VALUE"""),71.29)</f>
        <v>71.29</v>
      </c>
      <c r="AA95" s="26">
        <f>IFERROR(__xludf.DUMMYFUNCTION("""COMPUTED_VALUE"""),426.54)</f>
        <v>426.54</v>
      </c>
      <c r="AB95" s="26">
        <f>IFERROR(__xludf.DUMMYFUNCTION("""COMPUTED_VALUE"""),65.44)</f>
        <v>65.44</v>
      </c>
      <c r="AC95" s="26">
        <f>IFERROR(__xludf.DUMMYFUNCTION("""COMPUTED_VALUE"""),117.05)</f>
        <v>117.05</v>
      </c>
      <c r="AD95" s="26">
        <f>IFERROR(__xludf.DUMMYFUNCTION("""COMPUTED_VALUE"""),267.13)</f>
        <v>267.13</v>
      </c>
      <c r="AE95" s="26">
        <f>IFERROR(__xludf.DUMMYFUNCTION("""COMPUTED_VALUE"""),477.93)</f>
        <v>477.93</v>
      </c>
      <c r="AF95" s="26">
        <f>IFERROR(__xludf.DUMMYFUNCTION("""COMPUTED_VALUE"""),304.67)</f>
        <v>304.67</v>
      </c>
      <c r="AG95" s="26">
        <f>IFERROR(__xludf.DUMMYFUNCTION("""COMPUTED_VALUE"""),48.07)</f>
        <v>48.07</v>
      </c>
      <c r="AH95" s="26">
        <f>IFERROR(__xludf.DUMMYFUNCTION("""COMPUTED_VALUE"""),83.79)</f>
        <v>83.79</v>
      </c>
      <c r="AI95" s="26">
        <f>IFERROR(__xludf.DUMMYFUNCTION("""COMPUTED_VALUE"""),498.02)</f>
        <v>498.02</v>
      </c>
      <c r="AJ95" s="26">
        <f>IFERROR(__xludf.DUMMYFUNCTION("""COMPUTED_VALUE"""),400.66)</f>
        <v>400.66</v>
      </c>
      <c r="AK95" s="26">
        <f>IFERROR(__xludf.DUMMYFUNCTION("""COMPUTED_VALUE"""),109.11)</f>
        <v>109.11</v>
      </c>
      <c r="AL95" s="26">
        <f>IFERROR(__xludf.DUMMYFUNCTION("""COMPUTED_VALUE"""),158.75)</f>
        <v>158.75</v>
      </c>
      <c r="AM95" s="26">
        <f>IFERROR(__xludf.DUMMYFUNCTION("""COMPUTED_VALUE"""),484.4)</f>
        <v>484.4</v>
      </c>
      <c r="AN95" s="26">
        <f>IFERROR(__xludf.DUMMYFUNCTION("""COMPUTED_VALUE"""),211.59)</f>
        <v>211.59</v>
      </c>
      <c r="AO95" s="26">
        <f>IFERROR(__xludf.DUMMYFUNCTION("""COMPUTED_VALUE"""),578.63)</f>
        <v>578.63</v>
      </c>
      <c r="AP95" s="26">
        <f>IFERROR(__xludf.DUMMYFUNCTION("""COMPUTED_VALUE"""),263.55)</f>
        <v>263.55</v>
      </c>
      <c r="AQ95" s="26">
        <f>IFERROR(__xludf.DUMMYFUNCTION("""COMPUTED_VALUE"""),29.21)</f>
        <v>29.21</v>
      </c>
      <c r="AR95" s="26">
        <f>IFERROR(__xludf.DUMMYFUNCTION("""COMPUTED_VALUE"""),89.76)</f>
        <v>89.76</v>
      </c>
      <c r="AS95" s="26">
        <f>IFERROR(__xludf.DUMMYFUNCTION("""COMPUTED_VALUE"""),80.45)</f>
        <v>80.45</v>
      </c>
      <c r="AT95" s="26">
        <f>IFERROR(__xludf.DUMMYFUNCTION("""COMPUTED_VALUE"""),429.17)</f>
        <v>429.17</v>
      </c>
      <c r="AU95" s="26">
        <f>IFERROR(__xludf.DUMMYFUNCTION("""COMPUTED_VALUE"""),84.29)</f>
        <v>84.29</v>
      </c>
      <c r="AV95" s="26">
        <f>IFERROR(__xludf.DUMMYFUNCTION("""COMPUTED_VALUE"""),120.87)</f>
        <v>120.87</v>
      </c>
      <c r="AW95" s="26">
        <f>IFERROR(__xludf.DUMMYFUNCTION("""COMPUTED_VALUE"""),98.93)</f>
        <v>98.93</v>
      </c>
      <c r="AX95" s="26">
        <f>IFERROR(__xludf.DUMMYFUNCTION("""COMPUTED_VALUE"""),50.57)</f>
        <v>50.57</v>
      </c>
      <c r="AY95" s="26">
        <f>IFERROR(__xludf.DUMMYFUNCTION("""COMPUTED_VALUE"""),36.9)</f>
        <v>36.9</v>
      </c>
      <c r="AZ95" s="26">
        <f>IFERROR(__xludf.DUMMYFUNCTION("""COMPUTED_VALUE"""),78.34)</f>
        <v>78.34</v>
      </c>
      <c r="BA95" s="26">
        <f>IFERROR(__xludf.DUMMYFUNCTION("""COMPUTED_VALUE"""),29.5)</f>
        <v>29.5</v>
      </c>
      <c r="BB95" s="26">
        <f>IFERROR(__xludf.DUMMYFUNCTION("""COMPUTED_VALUE"""),120.04)</f>
        <v>120.04</v>
      </c>
      <c r="BC95" s="26">
        <f>IFERROR(__xludf.DUMMYFUNCTION("""COMPUTED_VALUE"""),201.44)</f>
        <v>201.44</v>
      </c>
      <c r="BD95" s="26">
        <f>IFERROR(__xludf.DUMMYFUNCTION("""COMPUTED_VALUE"""),611.88)</f>
        <v>611.88</v>
      </c>
      <c r="BE95" s="26">
        <f>IFERROR(__xludf.DUMMYFUNCTION("""COMPUTED_VALUE"""),183.53)</f>
        <v>183.53</v>
      </c>
      <c r="BF95" s="26">
        <f>IFERROR(__xludf.DUMMYFUNCTION("""COMPUTED_VALUE"""),156.0)</f>
        <v>156</v>
      </c>
      <c r="BG95" s="26">
        <f>IFERROR(__xludf.DUMMYFUNCTION("""COMPUTED_VALUE"""),7.99)</f>
        <v>7.99</v>
      </c>
      <c r="BH95" s="26">
        <f>IFERROR(__xludf.DUMMYFUNCTION("""COMPUTED_VALUE"""),248.96)</f>
        <v>248.96</v>
      </c>
      <c r="BI95" s="26">
        <f>IFERROR(__xludf.DUMMYFUNCTION("""COMPUTED_VALUE"""),575.19)</f>
        <v>575.19</v>
      </c>
      <c r="BJ95" s="26">
        <f>IFERROR(__xludf.DUMMYFUNCTION("""COMPUTED_VALUE"""),49.39)</f>
        <v>49.39</v>
      </c>
      <c r="BK95" s="26">
        <f>IFERROR(__xludf.DUMMYFUNCTION("""COMPUTED_VALUE"""),11.45)</f>
        <v>11.45</v>
      </c>
      <c r="BL95" s="26">
        <f>IFERROR(__xludf.DUMMYFUNCTION("""COMPUTED_VALUE"""),207.52)</f>
        <v>207.52</v>
      </c>
      <c r="BM95" s="26">
        <f>IFERROR(__xludf.DUMMYFUNCTION("""COMPUTED_VALUE"""),93.69)</f>
        <v>93.69</v>
      </c>
    </row>
    <row r="96">
      <c r="A96" s="25">
        <v>45560.66666666667</v>
      </c>
      <c r="B96" s="17">
        <f>IFERROR(__xludf.DUMMYFUNCTION("""COMPUTED_VALUE"""),5722.26)</f>
        <v>5722.26</v>
      </c>
      <c r="C96" s="17">
        <f>IFERROR(__xludf.DUMMYFUNCTION("""COMPUTED_VALUE"""),18082.21)</f>
        <v>18082.21</v>
      </c>
      <c r="D96" s="17">
        <f>IFERROR(__xludf.DUMMYFUNCTION("""COMPUTED_VALUE"""),41914.75)</f>
        <v>41914.75</v>
      </c>
      <c r="E96" s="17">
        <f>IFERROR(__xludf.DUMMYFUNCTION("""COMPUTED_VALUE"""),2197.45)</f>
        <v>2197.45</v>
      </c>
      <c r="F96" s="26">
        <f>IFERROR(__xludf.DUMMYFUNCTION("""COMPUTED_VALUE"""),517.9)</f>
        <v>517.9</v>
      </c>
      <c r="G96" s="26">
        <f>IFERROR(__xludf.DUMMYFUNCTION("""COMPUTED_VALUE"""),192.53)</f>
        <v>192.53</v>
      </c>
      <c r="H96" s="26">
        <f>IFERROR(__xludf.DUMMYFUNCTION("""COMPUTED_VALUE"""),144.12)</f>
        <v>144.12</v>
      </c>
      <c r="I96" s="26">
        <f>IFERROR(__xludf.DUMMYFUNCTION("""COMPUTED_VALUE"""),226.37)</f>
        <v>226.37</v>
      </c>
      <c r="J96" s="26">
        <f>IFERROR(__xludf.DUMMYFUNCTION("""COMPUTED_VALUE"""),197.31)</f>
        <v>197.31</v>
      </c>
      <c r="K96" s="26">
        <f>IFERROR(__xludf.DUMMYFUNCTION("""COMPUTED_VALUE"""),72.17)</f>
        <v>72.17</v>
      </c>
      <c r="L96" s="26">
        <f>IFERROR(__xludf.DUMMYFUNCTION("""COMPUTED_VALUE"""),11.97)</f>
        <v>11.97</v>
      </c>
      <c r="M96" s="26">
        <f>IFERROR(__xludf.DUMMYFUNCTION("""COMPUTED_VALUE"""),452.36)</f>
        <v>452.36</v>
      </c>
      <c r="N96" s="26">
        <f>IFERROR(__xludf.DUMMYFUNCTION("""COMPUTED_VALUE"""),57.73)</f>
        <v>57.73</v>
      </c>
      <c r="O96" s="26">
        <f>IFERROR(__xludf.DUMMYFUNCTION("""COMPUTED_VALUE"""),189.07)</f>
        <v>189.07</v>
      </c>
      <c r="P96" s="26">
        <f>IFERROR(__xludf.DUMMYFUNCTION("""COMPUTED_VALUE"""),79.67)</f>
        <v>79.67</v>
      </c>
      <c r="Q96" s="26">
        <f>IFERROR(__xludf.DUMMYFUNCTION("""COMPUTED_VALUE"""),378.25)</f>
        <v>378.25</v>
      </c>
      <c r="R96" s="26">
        <f>IFERROR(__xludf.DUMMYFUNCTION("""COMPUTED_VALUE"""),47.59)</f>
        <v>47.59</v>
      </c>
      <c r="S96" s="26">
        <f>IFERROR(__xludf.DUMMYFUNCTION("""COMPUTED_VALUE"""),194.04)</f>
        <v>194.04</v>
      </c>
      <c r="T96" s="26">
        <f>IFERROR(__xludf.DUMMYFUNCTION("""COMPUTED_VALUE"""),143.97)</f>
        <v>143.97</v>
      </c>
      <c r="U96" s="26">
        <f>IFERROR(__xludf.DUMMYFUNCTION("""COMPUTED_VALUE"""),348.86)</f>
        <v>348.86</v>
      </c>
      <c r="V96" s="26">
        <f>IFERROR(__xludf.DUMMYFUNCTION("""COMPUTED_VALUE"""),40.24)</f>
        <v>40.24</v>
      </c>
      <c r="W96" s="26">
        <f>IFERROR(__xludf.DUMMYFUNCTION("""COMPUTED_VALUE"""),71.45)</f>
        <v>71.45</v>
      </c>
      <c r="X96" s="26">
        <f>IFERROR(__xludf.DUMMYFUNCTION("""COMPUTED_VALUE"""),103.16)</f>
        <v>103.16</v>
      </c>
      <c r="Y96" s="26">
        <f>IFERROR(__xludf.DUMMYFUNCTION("""COMPUTED_VALUE"""),162.9)</f>
        <v>162.9</v>
      </c>
      <c r="Z96" s="26">
        <f>IFERROR(__xludf.DUMMYFUNCTION("""COMPUTED_VALUE"""),70.55)</f>
        <v>70.55</v>
      </c>
      <c r="AA96" s="26">
        <f>IFERROR(__xludf.DUMMYFUNCTION("""COMPUTED_VALUE"""),425.92)</f>
        <v>425.92</v>
      </c>
      <c r="AB96" s="26">
        <f>IFERROR(__xludf.DUMMYFUNCTION("""COMPUTED_VALUE"""),64.1)</f>
        <v>64.1</v>
      </c>
      <c r="AC96" s="26">
        <f>IFERROR(__xludf.DUMMYFUNCTION("""COMPUTED_VALUE"""),114.77)</f>
        <v>114.77</v>
      </c>
      <c r="AD96" s="26">
        <f>IFERROR(__xludf.DUMMYFUNCTION("""COMPUTED_VALUE"""),263.77)</f>
        <v>263.77</v>
      </c>
      <c r="AE96" s="26">
        <f>IFERROR(__xludf.DUMMYFUNCTION("""COMPUTED_VALUE"""),474.11)</f>
        <v>474.11</v>
      </c>
      <c r="AF96" s="26">
        <f>IFERROR(__xludf.DUMMYFUNCTION("""COMPUTED_VALUE"""),301.69)</f>
        <v>301.69</v>
      </c>
      <c r="AG96" s="26">
        <f>IFERROR(__xludf.DUMMYFUNCTION("""COMPUTED_VALUE"""),45.73)</f>
        <v>45.73</v>
      </c>
      <c r="AH96" s="26">
        <f>IFERROR(__xludf.DUMMYFUNCTION("""COMPUTED_VALUE"""),82.21)</f>
        <v>82.21</v>
      </c>
      <c r="AI96" s="26">
        <f>IFERROR(__xludf.DUMMYFUNCTION("""COMPUTED_VALUE"""),491.14)</f>
        <v>491.14</v>
      </c>
      <c r="AJ96" s="26">
        <f>IFERROR(__xludf.DUMMYFUNCTION("""COMPUTED_VALUE"""),396.93)</f>
        <v>396.93</v>
      </c>
      <c r="AK96" s="26">
        <f>IFERROR(__xludf.DUMMYFUNCTION("""COMPUTED_VALUE"""),108.27)</f>
        <v>108.27</v>
      </c>
      <c r="AL96" s="26">
        <f>IFERROR(__xludf.DUMMYFUNCTION("""COMPUTED_VALUE"""),159.45)</f>
        <v>159.45</v>
      </c>
      <c r="AM96" s="26">
        <f>IFERROR(__xludf.DUMMYFUNCTION("""COMPUTED_VALUE"""),484.39)</f>
        <v>484.39</v>
      </c>
      <c r="AN96" s="26">
        <f>IFERROR(__xludf.DUMMYFUNCTION("""COMPUTED_VALUE"""),210.19)</f>
        <v>210.19</v>
      </c>
      <c r="AO96" s="26">
        <f>IFERROR(__xludf.DUMMYFUNCTION("""COMPUTED_VALUE"""),577.94)</f>
        <v>577.94</v>
      </c>
      <c r="AP96" s="26">
        <f>IFERROR(__xludf.DUMMYFUNCTION("""COMPUTED_VALUE"""),259.74)</f>
        <v>259.74</v>
      </c>
      <c r="AQ96" s="26">
        <f>IFERROR(__xludf.DUMMYFUNCTION("""COMPUTED_VALUE"""),29.13)</f>
        <v>29.13</v>
      </c>
      <c r="AR96" s="26">
        <f>IFERROR(__xludf.DUMMYFUNCTION("""COMPUTED_VALUE"""),89.39)</f>
        <v>89.39</v>
      </c>
      <c r="AS96" s="26">
        <f>IFERROR(__xludf.DUMMYFUNCTION("""COMPUTED_VALUE"""),80.74)</f>
        <v>80.74</v>
      </c>
      <c r="AT96" s="26">
        <f>IFERROR(__xludf.DUMMYFUNCTION("""COMPUTED_VALUE"""),432.11)</f>
        <v>432.11</v>
      </c>
      <c r="AU96" s="26">
        <f>IFERROR(__xludf.DUMMYFUNCTION("""COMPUTED_VALUE"""),84.62)</f>
        <v>84.62</v>
      </c>
      <c r="AV96" s="26">
        <f>IFERROR(__xludf.DUMMYFUNCTION("""COMPUTED_VALUE"""),123.51)</f>
        <v>123.51</v>
      </c>
      <c r="AW96" s="26">
        <f>IFERROR(__xludf.DUMMYFUNCTION("""COMPUTED_VALUE"""),99.54)</f>
        <v>99.54</v>
      </c>
      <c r="AX96" s="26">
        <f>IFERROR(__xludf.DUMMYFUNCTION("""COMPUTED_VALUE"""),50.2)</f>
        <v>50.2</v>
      </c>
      <c r="AY96" s="26">
        <f>IFERROR(__xludf.DUMMYFUNCTION("""COMPUTED_VALUE"""),37.12)</f>
        <v>37.12</v>
      </c>
      <c r="AZ96" s="26">
        <f>IFERROR(__xludf.DUMMYFUNCTION("""COMPUTED_VALUE"""),77.36)</f>
        <v>77.36</v>
      </c>
      <c r="BA96" s="26">
        <f>IFERROR(__xludf.DUMMYFUNCTION("""COMPUTED_VALUE"""),28.93)</f>
        <v>28.93</v>
      </c>
      <c r="BB96" s="26">
        <f>IFERROR(__xludf.DUMMYFUNCTION("""COMPUTED_VALUE"""),120.9)</f>
        <v>120.9</v>
      </c>
      <c r="BC96" s="26">
        <f>IFERROR(__xludf.DUMMYFUNCTION("""COMPUTED_VALUE"""),203.31)</f>
        <v>203.31</v>
      </c>
      <c r="BD96" s="26">
        <f>IFERROR(__xludf.DUMMYFUNCTION("""COMPUTED_VALUE"""),599.78)</f>
        <v>599.78</v>
      </c>
      <c r="BE96" s="26">
        <f>IFERROR(__xludf.DUMMYFUNCTION("""COMPUTED_VALUE"""),184.16)</f>
        <v>184.16</v>
      </c>
      <c r="BF96" s="26">
        <f>IFERROR(__xludf.DUMMYFUNCTION("""COMPUTED_VALUE"""),148.28)</f>
        <v>148.28</v>
      </c>
      <c r="BG96" s="26">
        <f>IFERROR(__xludf.DUMMYFUNCTION("""COMPUTED_VALUE"""),8.29)</f>
        <v>8.29</v>
      </c>
      <c r="BH96" s="26">
        <f>IFERROR(__xludf.DUMMYFUNCTION("""COMPUTED_VALUE"""),245.5)</f>
        <v>245.5</v>
      </c>
      <c r="BI96" s="26">
        <f>IFERROR(__xludf.DUMMYFUNCTION("""COMPUTED_VALUE"""),576.31)</f>
        <v>576.31</v>
      </c>
      <c r="BJ96" s="26">
        <f>IFERROR(__xludf.DUMMYFUNCTION("""COMPUTED_VALUE"""),49.35)</f>
        <v>49.35</v>
      </c>
      <c r="BK96" s="26">
        <f>IFERROR(__xludf.DUMMYFUNCTION("""COMPUTED_VALUE"""),11.27)</f>
        <v>11.27</v>
      </c>
      <c r="BL96" s="26">
        <f>IFERROR(__xludf.DUMMYFUNCTION("""COMPUTED_VALUE"""),207.69)</f>
        <v>207.69</v>
      </c>
      <c r="BM96" s="26">
        <f>IFERROR(__xludf.DUMMYFUNCTION("""COMPUTED_VALUE"""),93.92)</f>
        <v>93.92</v>
      </c>
    </row>
    <row r="97">
      <c r="A97" s="25">
        <v>45561.66666666667</v>
      </c>
      <c r="B97" s="17">
        <f>IFERROR(__xludf.DUMMYFUNCTION("""COMPUTED_VALUE"""),5745.37)</f>
        <v>5745.37</v>
      </c>
      <c r="C97" s="17">
        <f>IFERROR(__xludf.DUMMYFUNCTION("""COMPUTED_VALUE"""),18190.29)</f>
        <v>18190.29</v>
      </c>
      <c r="D97" s="17">
        <f>IFERROR(__xludf.DUMMYFUNCTION("""COMPUTED_VALUE"""),42175.11)</f>
        <v>42175.11</v>
      </c>
      <c r="E97" s="17">
        <f>IFERROR(__xludf.DUMMYFUNCTION("""COMPUTED_VALUE"""),2209.87)</f>
        <v>2209.87</v>
      </c>
      <c r="F97" s="26">
        <f>IFERROR(__xludf.DUMMYFUNCTION("""COMPUTED_VALUE"""),515.38)</f>
        <v>515.38</v>
      </c>
      <c r="G97" s="26">
        <f>IFERROR(__xludf.DUMMYFUNCTION("""COMPUTED_VALUE"""),191.16)</f>
        <v>191.16</v>
      </c>
      <c r="H97" s="26">
        <f>IFERROR(__xludf.DUMMYFUNCTION("""COMPUTED_VALUE"""),143.18)</f>
        <v>143.18</v>
      </c>
      <c r="I97" s="26">
        <f>IFERROR(__xludf.DUMMYFUNCTION("""COMPUTED_VALUE"""),227.52)</f>
        <v>227.52</v>
      </c>
      <c r="J97" s="26">
        <f>IFERROR(__xludf.DUMMYFUNCTION("""COMPUTED_VALUE"""),209.61)</f>
        <v>209.61</v>
      </c>
      <c r="K97" s="26">
        <f>IFERROR(__xludf.DUMMYFUNCTION("""COMPUTED_VALUE"""),71.5)</f>
        <v>71.5</v>
      </c>
      <c r="L97" s="26">
        <f>IFERROR(__xludf.DUMMYFUNCTION("""COMPUTED_VALUE"""),12.35)</f>
        <v>12.35</v>
      </c>
      <c r="M97" s="26">
        <f>IFERROR(__xludf.DUMMYFUNCTION("""COMPUTED_VALUE"""),454.18)</f>
        <v>454.18</v>
      </c>
      <c r="N97" s="26">
        <f>IFERROR(__xludf.DUMMYFUNCTION("""COMPUTED_VALUE"""),60.91)</f>
        <v>60.91</v>
      </c>
      <c r="O97" s="26">
        <f>IFERROR(__xludf.DUMMYFUNCTION("""COMPUTED_VALUE"""),193.6)</f>
        <v>193.6</v>
      </c>
      <c r="P97" s="26">
        <f>IFERROR(__xludf.DUMMYFUNCTION("""COMPUTED_VALUE"""),79.78)</f>
        <v>79.78</v>
      </c>
      <c r="Q97" s="26">
        <f>IFERROR(__xludf.DUMMYFUNCTION("""COMPUTED_VALUE"""),390.96)</f>
        <v>390.96</v>
      </c>
      <c r="R97" s="26">
        <f>IFERROR(__xludf.DUMMYFUNCTION("""COMPUTED_VALUE"""),48.06)</f>
        <v>48.06</v>
      </c>
      <c r="S97" s="26">
        <f>IFERROR(__xludf.DUMMYFUNCTION("""COMPUTED_VALUE"""),195.0)</f>
        <v>195</v>
      </c>
      <c r="T97" s="26">
        <f>IFERROR(__xludf.DUMMYFUNCTION("""COMPUTED_VALUE"""),141.99)</f>
        <v>141.99</v>
      </c>
      <c r="U97" s="26">
        <f>IFERROR(__xludf.DUMMYFUNCTION("""COMPUTED_VALUE"""),344.99)</f>
        <v>344.99</v>
      </c>
      <c r="V97" s="26">
        <f>IFERROR(__xludf.DUMMYFUNCTION("""COMPUTED_VALUE"""),40.52)</f>
        <v>40.52</v>
      </c>
      <c r="W97" s="26">
        <f>IFERROR(__xludf.DUMMYFUNCTION("""COMPUTED_VALUE"""),71.4)</f>
        <v>71.4</v>
      </c>
      <c r="X97" s="26">
        <f>IFERROR(__xludf.DUMMYFUNCTION("""COMPUTED_VALUE"""),103.12)</f>
        <v>103.12</v>
      </c>
      <c r="Y97" s="26">
        <f>IFERROR(__xludf.DUMMYFUNCTION("""COMPUTED_VALUE"""),162.06)</f>
        <v>162.06</v>
      </c>
      <c r="Z97" s="26">
        <f>IFERROR(__xludf.DUMMYFUNCTION("""COMPUTED_VALUE"""),72.88)</f>
        <v>72.88</v>
      </c>
      <c r="AA97" s="26">
        <f>IFERROR(__xludf.DUMMYFUNCTION("""COMPUTED_VALUE"""),432.35)</f>
        <v>432.35</v>
      </c>
      <c r="AB97" s="26">
        <f>IFERROR(__xludf.DUMMYFUNCTION("""COMPUTED_VALUE"""),63.94)</f>
        <v>63.94</v>
      </c>
      <c r="AC97" s="26">
        <f>IFERROR(__xludf.DUMMYFUNCTION("""COMPUTED_VALUE"""),112.8)</f>
        <v>112.8</v>
      </c>
      <c r="AD97" s="26">
        <f>IFERROR(__xludf.DUMMYFUNCTION("""COMPUTED_VALUE"""),266.33)</f>
        <v>266.33</v>
      </c>
      <c r="AE97" s="26">
        <f>IFERROR(__xludf.DUMMYFUNCTION("""COMPUTED_VALUE"""),478.03)</f>
        <v>478.03</v>
      </c>
      <c r="AF97" s="26">
        <f>IFERROR(__xludf.DUMMYFUNCTION("""COMPUTED_VALUE"""),300.49)</f>
        <v>300.49</v>
      </c>
      <c r="AG97" s="26">
        <f>IFERROR(__xludf.DUMMYFUNCTION("""COMPUTED_VALUE"""),45.81)</f>
        <v>45.81</v>
      </c>
      <c r="AH97" s="26">
        <f>IFERROR(__xludf.DUMMYFUNCTION("""COMPUTED_VALUE"""),83.04)</f>
        <v>83.04</v>
      </c>
      <c r="AI97" s="26">
        <f>IFERROR(__xludf.DUMMYFUNCTION("""COMPUTED_VALUE"""),496.92)</f>
        <v>496.92</v>
      </c>
      <c r="AJ97" s="26">
        <f>IFERROR(__xludf.DUMMYFUNCTION("""COMPUTED_VALUE"""),396.7)</f>
        <v>396.7</v>
      </c>
      <c r="AK97" s="26">
        <f>IFERROR(__xludf.DUMMYFUNCTION("""COMPUTED_VALUE"""),108.1)</f>
        <v>108.1</v>
      </c>
      <c r="AL97" s="26">
        <f>IFERROR(__xludf.DUMMYFUNCTION("""COMPUTED_VALUE"""),158.12)</f>
        <v>158.12</v>
      </c>
      <c r="AM97" s="26">
        <f>IFERROR(__xludf.DUMMYFUNCTION("""COMPUTED_VALUE"""),486.33)</f>
        <v>486.33</v>
      </c>
      <c r="AN97" s="26">
        <f>IFERROR(__xludf.DUMMYFUNCTION("""COMPUTED_VALUE"""),209.78)</f>
        <v>209.78</v>
      </c>
      <c r="AO97" s="26">
        <f>IFERROR(__xludf.DUMMYFUNCTION("""COMPUTED_VALUE"""),577.4)</f>
        <v>577.4</v>
      </c>
      <c r="AP97" s="26">
        <f>IFERROR(__xludf.DUMMYFUNCTION("""COMPUTED_VALUE"""),268.82)</f>
        <v>268.82</v>
      </c>
      <c r="AQ97" s="26">
        <f>IFERROR(__xludf.DUMMYFUNCTION("""COMPUTED_VALUE"""),29.63)</f>
        <v>29.63</v>
      </c>
      <c r="AR97" s="26">
        <f>IFERROR(__xludf.DUMMYFUNCTION("""COMPUTED_VALUE"""),89.45)</f>
        <v>89.45</v>
      </c>
      <c r="AS97" s="26">
        <f>IFERROR(__xludf.DUMMYFUNCTION("""COMPUTED_VALUE"""),81.54)</f>
        <v>81.54</v>
      </c>
      <c r="AT97" s="26">
        <f>IFERROR(__xludf.DUMMYFUNCTION("""COMPUTED_VALUE"""),431.31)</f>
        <v>431.31</v>
      </c>
      <c r="AU97" s="26">
        <f>IFERROR(__xludf.DUMMYFUNCTION("""COMPUTED_VALUE"""),83.46)</f>
        <v>83.46</v>
      </c>
      <c r="AV97" s="26">
        <f>IFERROR(__xludf.DUMMYFUNCTION("""COMPUTED_VALUE"""),124.04)</f>
        <v>124.04</v>
      </c>
      <c r="AW97" s="26">
        <f>IFERROR(__xludf.DUMMYFUNCTION("""COMPUTED_VALUE"""),103.38)</f>
        <v>103.38</v>
      </c>
      <c r="AX97" s="26">
        <f>IFERROR(__xludf.DUMMYFUNCTION("""COMPUTED_VALUE"""),51.57)</f>
        <v>51.57</v>
      </c>
      <c r="AY97" s="26">
        <f>IFERROR(__xludf.DUMMYFUNCTION("""COMPUTED_VALUE"""),37.1)</f>
        <v>37.1</v>
      </c>
      <c r="AZ97" s="26">
        <f>IFERROR(__xludf.DUMMYFUNCTION("""COMPUTED_VALUE"""),80.08)</f>
        <v>80.08</v>
      </c>
      <c r="BA97" s="26">
        <f>IFERROR(__xludf.DUMMYFUNCTION("""COMPUTED_VALUE"""),28.97)</f>
        <v>28.97</v>
      </c>
      <c r="BB97" s="26">
        <f>IFERROR(__xludf.DUMMYFUNCTION("""COMPUTED_VALUE"""),120.32)</f>
        <v>120.32</v>
      </c>
      <c r="BC97" s="26">
        <f>IFERROR(__xludf.DUMMYFUNCTION("""COMPUTED_VALUE"""),203.25)</f>
        <v>203.25</v>
      </c>
      <c r="BD97" s="26">
        <f>IFERROR(__xludf.DUMMYFUNCTION("""COMPUTED_VALUE"""),619.33)</f>
        <v>619.33</v>
      </c>
      <c r="BE97" s="26">
        <f>IFERROR(__xludf.DUMMYFUNCTION("""COMPUTED_VALUE"""),189.36)</f>
        <v>189.36</v>
      </c>
      <c r="BF97" s="26">
        <f>IFERROR(__xludf.DUMMYFUNCTION("""COMPUTED_VALUE"""),144.56)</f>
        <v>144.56</v>
      </c>
      <c r="BG97" s="26">
        <f>IFERROR(__xludf.DUMMYFUNCTION("""COMPUTED_VALUE"""),8.74)</f>
        <v>8.74</v>
      </c>
      <c r="BH97" s="26">
        <f>IFERROR(__xludf.DUMMYFUNCTION("""COMPUTED_VALUE"""),243.23)</f>
        <v>243.23</v>
      </c>
      <c r="BI97" s="26">
        <f>IFERROR(__xludf.DUMMYFUNCTION("""COMPUTED_VALUE"""),574.81)</f>
        <v>574.81</v>
      </c>
      <c r="BJ97" s="26">
        <f>IFERROR(__xludf.DUMMYFUNCTION("""COMPUTED_VALUE"""),49.27)</f>
        <v>49.27</v>
      </c>
      <c r="BK97" s="26">
        <f>IFERROR(__xludf.DUMMYFUNCTION("""COMPUTED_VALUE"""),11.62)</f>
        <v>11.62</v>
      </c>
      <c r="BL97" s="26">
        <f>IFERROR(__xludf.DUMMYFUNCTION("""COMPUTED_VALUE"""),205.34)</f>
        <v>205.34</v>
      </c>
      <c r="BM97" s="26">
        <f>IFERROR(__xludf.DUMMYFUNCTION("""COMPUTED_VALUE"""),95.2)</f>
        <v>95.2</v>
      </c>
    </row>
    <row r="98">
      <c r="A98" s="25">
        <v>45562.66666666667</v>
      </c>
      <c r="B98" s="17">
        <f>IFERROR(__xludf.DUMMYFUNCTION("""COMPUTED_VALUE"""),5738.17)</f>
        <v>5738.17</v>
      </c>
      <c r="C98" s="17">
        <f>IFERROR(__xludf.DUMMYFUNCTION("""COMPUTED_VALUE"""),18119.59)</f>
        <v>18119.59</v>
      </c>
      <c r="D98" s="17">
        <f>IFERROR(__xludf.DUMMYFUNCTION("""COMPUTED_VALUE"""),42313.0)</f>
        <v>42313</v>
      </c>
      <c r="E98" s="17">
        <f>IFERROR(__xludf.DUMMYFUNCTION("""COMPUTED_VALUE"""),2224.7)</f>
        <v>2224.7</v>
      </c>
      <c r="F98" s="26">
        <f>IFERROR(__xludf.DUMMYFUNCTION("""COMPUTED_VALUE"""),515.48)</f>
        <v>515.48</v>
      </c>
      <c r="G98" s="26">
        <f>IFERROR(__xludf.DUMMYFUNCTION("""COMPUTED_VALUE"""),187.97)</f>
        <v>187.97</v>
      </c>
      <c r="H98" s="26">
        <f>IFERROR(__xludf.DUMMYFUNCTION("""COMPUTED_VALUE"""),144.93)</f>
        <v>144.93</v>
      </c>
      <c r="I98" s="26">
        <f>IFERROR(__xludf.DUMMYFUNCTION("""COMPUTED_VALUE"""),227.79)</f>
        <v>227.79</v>
      </c>
      <c r="J98" s="26">
        <f>IFERROR(__xludf.DUMMYFUNCTION("""COMPUTED_VALUE"""),204.92)</f>
        <v>204.92</v>
      </c>
      <c r="K98" s="26">
        <f>IFERROR(__xludf.DUMMYFUNCTION("""COMPUTED_VALUE"""),71.7)</f>
        <v>71.7</v>
      </c>
      <c r="L98" s="26">
        <f>IFERROR(__xludf.DUMMYFUNCTION("""COMPUTED_VALUE"""),12.3)</f>
        <v>12.3</v>
      </c>
      <c r="M98" s="26">
        <f>IFERROR(__xludf.DUMMYFUNCTION("""COMPUTED_VALUE"""),457.47)</f>
        <v>457.47</v>
      </c>
      <c r="N98" s="26">
        <f>IFERROR(__xludf.DUMMYFUNCTION("""COMPUTED_VALUE"""),62.01)</f>
        <v>62.01</v>
      </c>
      <c r="O98" s="26">
        <f>IFERROR(__xludf.DUMMYFUNCTION("""COMPUTED_VALUE"""),194.67)</f>
        <v>194.67</v>
      </c>
      <c r="P98" s="26">
        <f>IFERROR(__xludf.DUMMYFUNCTION("""COMPUTED_VALUE"""),80.52)</f>
        <v>80.52</v>
      </c>
      <c r="Q98" s="26">
        <f>IFERROR(__xludf.DUMMYFUNCTION("""COMPUTED_VALUE"""),391.08)</f>
        <v>391.08</v>
      </c>
      <c r="R98" s="26">
        <f>IFERROR(__xludf.DUMMYFUNCTION("""COMPUTED_VALUE"""),47.98)</f>
        <v>47.98</v>
      </c>
      <c r="S98" s="26">
        <f>IFERROR(__xludf.DUMMYFUNCTION("""COMPUTED_VALUE"""),193.04)</f>
        <v>193.04</v>
      </c>
      <c r="T98" s="26">
        <f>IFERROR(__xludf.DUMMYFUNCTION("""COMPUTED_VALUE"""),145.49)</f>
        <v>145.49</v>
      </c>
      <c r="U98" s="26">
        <f>IFERROR(__xludf.DUMMYFUNCTION("""COMPUTED_VALUE"""),347.7)</f>
        <v>347.7</v>
      </c>
      <c r="V98" s="26">
        <f>IFERROR(__xludf.DUMMYFUNCTION("""COMPUTED_VALUE"""),40.8)</f>
        <v>40.8</v>
      </c>
      <c r="W98" s="26">
        <f>IFERROR(__xludf.DUMMYFUNCTION("""COMPUTED_VALUE"""),71.79)</f>
        <v>71.79</v>
      </c>
      <c r="X98" s="26">
        <f>IFERROR(__xludf.DUMMYFUNCTION("""COMPUTED_VALUE"""),104.05)</f>
        <v>104.05</v>
      </c>
      <c r="Y98" s="26">
        <f>IFERROR(__xludf.DUMMYFUNCTION("""COMPUTED_VALUE"""),161.16)</f>
        <v>161.16</v>
      </c>
      <c r="Z98" s="26">
        <f>IFERROR(__xludf.DUMMYFUNCTION("""COMPUTED_VALUE"""),73.12)</f>
        <v>73.12</v>
      </c>
      <c r="AA98" s="26">
        <f>IFERROR(__xludf.DUMMYFUNCTION("""COMPUTED_VALUE"""),429.03)</f>
        <v>429.03</v>
      </c>
      <c r="AB98" s="26">
        <f>IFERROR(__xludf.DUMMYFUNCTION("""COMPUTED_VALUE"""),64.0)</f>
        <v>64</v>
      </c>
      <c r="AC98" s="26">
        <f>IFERROR(__xludf.DUMMYFUNCTION("""COMPUTED_VALUE"""),115.82)</f>
        <v>115.82</v>
      </c>
      <c r="AD98" s="26">
        <f>IFERROR(__xludf.DUMMYFUNCTION("""COMPUTED_VALUE"""),267.55)</f>
        <v>267.55</v>
      </c>
      <c r="AE98" s="26">
        <f>IFERROR(__xludf.DUMMYFUNCTION("""COMPUTED_VALUE"""),471.68)</f>
        <v>471.68</v>
      </c>
      <c r="AF98" s="26">
        <f>IFERROR(__xludf.DUMMYFUNCTION("""COMPUTED_VALUE"""),300.13)</f>
        <v>300.13</v>
      </c>
      <c r="AG98" s="26">
        <f>IFERROR(__xludf.DUMMYFUNCTION("""COMPUTED_VALUE"""),46.48)</f>
        <v>46.48</v>
      </c>
      <c r="AH98" s="26">
        <f>IFERROR(__xludf.DUMMYFUNCTION("""COMPUTED_VALUE"""),83.61)</f>
        <v>83.61</v>
      </c>
      <c r="AI98" s="26">
        <f>IFERROR(__xludf.DUMMYFUNCTION("""COMPUTED_VALUE"""),498.51)</f>
        <v>498.51</v>
      </c>
      <c r="AJ98" s="26">
        <f>IFERROR(__xludf.DUMMYFUNCTION("""COMPUTED_VALUE"""),399.53)</f>
        <v>399.53</v>
      </c>
      <c r="AK98" s="26">
        <f>IFERROR(__xludf.DUMMYFUNCTION("""COMPUTED_VALUE"""),108.01)</f>
        <v>108.01</v>
      </c>
      <c r="AL98" s="26">
        <f>IFERROR(__xludf.DUMMYFUNCTION("""COMPUTED_VALUE"""),158.62)</f>
        <v>158.62</v>
      </c>
      <c r="AM98" s="26">
        <f>IFERROR(__xludf.DUMMYFUNCTION("""COMPUTED_VALUE"""),479.18)</f>
        <v>479.18</v>
      </c>
      <c r="AN98" s="26">
        <f>IFERROR(__xludf.DUMMYFUNCTION("""COMPUTED_VALUE"""),210.5)</f>
        <v>210.5</v>
      </c>
      <c r="AO98" s="26">
        <f>IFERROR(__xludf.DUMMYFUNCTION("""COMPUTED_VALUE"""),582.36)</f>
        <v>582.36</v>
      </c>
      <c r="AP98" s="26">
        <f>IFERROR(__xludf.DUMMYFUNCTION("""COMPUTED_VALUE"""),280.01)</f>
        <v>280.01</v>
      </c>
      <c r="AQ98" s="26">
        <f>IFERROR(__xludf.DUMMYFUNCTION("""COMPUTED_VALUE"""),29.53)</f>
        <v>29.53</v>
      </c>
      <c r="AR98" s="26">
        <f>IFERROR(__xludf.DUMMYFUNCTION("""COMPUTED_VALUE"""),89.32)</f>
        <v>89.32</v>
      </c>
      <c r="AS98" s="26">
        <f>IFERROR(__xludf.DUMMYFUNCTION("""COMPUTED_VALUE"""),82.48)</f>
        <v>82.48</v>
      </c>
      <c r="AT98" s="26">
        <f>IFERROR(__xludf.DUMMYFUNCTION("""COMPUTED_VALUE"""),428.02)</f>
        <v>428.02</v>
      </c>
      <c r="AU98" s="26">
        <f>IFERROR(__xludf.DUMMYFUNCTION("""COMPUTED_VALUE"""),84.54)</f>
        <v>84.54</v>
      </c>
      <c r="AV98" s="26">
        <f>IFERROR(__xludf.DUMMYFUNCTION("""COMPUTED_VALUE"""),121.4)</f>
        <v>121.4</v>
      </c>
      <c r="AW98" s="26">
        <f>IFERROR(__xludf.DUMMYFUNCTION("""COMPUTED_VALUE"""),104.43)</f>
        <v>104.43</v>
      </c>
      <c r="AX98" s="26">
        <f>IFERROR(__xludf.DUMMYFUNCTION("""COMPUTED_VALUE"""),51.13)</f>
        <v>51.13</v>
      </c>
      <c r="AY98" s="26">
        <f>IFERROR(__xludf.DUMMYFUNCTION("""COMPUTED_VALUE"""),36.84)</f>
        <v>36.84</v>
      </c>
      <c r="AZ98" s="26">
        <f>IFERROR(__xludf.DUMMYFUNCTION("""COMPUTED_VALUE"""),77.88)</f>
        <v>77.88</v>
      </c>
      <c r="BA98" s="26">
        <f>IFERROR(__xludf.DUMMYFUNCTION("""COMPUTED_VALUE"""),29.09)</f>
        <v>29.09</v>
      </c>
      <c r="BB98" s="26">
        <f>IFERROR(__xludf.DUMMYFUNCTION("""COMPUTED_VALUE"""),120.39)</f>
        <v>120.39</v>
      </c>
      <c r="BC98" s="26">
        <f>IFERROR(__xludf.DUMMYFUNCTION("""COMPUTED_VALUE"""),205.18)</f>
        <v>205.18</v>
      </c>
      <c r="BD98" s="26">
        <f>IFERROR(__xludf.DUMMYFUNCTION("""COMPUTED_VALUE"""),614.42)</f>
        <v>614.42</v>
      </c>
      <c r="BE98" s="26">
        <f>IFERROR(__xludf.DUMMYFUNCTION("""COMPUTED_VALUE"""),182.82)</f>
        <v>182.82</v>
      </c>
      <c r="BF98" s="26">
        <f>IFERROR(__xludf.DUMMYFUNCTION("""COMPUTED_VALUE"""),159.14)</f>
        <v>159.14</v>
      </c>
      <c r="BG98" s="26">
        <f>IFERROR(__xludf.DUMMYFUNCTION("""COMPUTED_VALUE"""),8.94)</f>
        <v>8.94</v>
      </c>
      <c r="BH98" s="26">
        <f>IFERROR(__xludf.DUMMYFUNCTION("""COMPUTED_VALUE"""),244.22)</f>
        <v>244.22</v>
      </c>
      <c r="BI98" s="26">
        <f>IFERROR(__xludf.DUMMYFUNCTION("""COMPUTED_VALUE"""),581.85)</f>
        <v>581.85</v>
      </c>
      <c r="BJ98" s="26">
        <f>IFERROR(__xludf.DUMMYFUNCTION("""COMPUTED_VALUE"""),49.36)</f>
        <v>49.36</v>
      </c>
      <c r="BK98" s="26">
        <f>IFERROR(__xludf.DUMMYFUNCTION("""COMPUTED_VALUE"""),11.55)</f>
        <v>11.55</v>
      </c>
      <c r="BL98" s="26">
        <f>IFERROR(__xludf.DUMMYFUNCTION("""COMPUTED_VALUE"""),205.51)</f>
        <v>205.51</v>
      </c>
      <c r="BM98" s="26">
        <f>IFERROR(__xludf.DUMMYFUNCTION("""COMPUTED_VALUE"""),96.01)</f>
        <v>96.01</v>
      </c>
    </row>
    <row r="99">
      <c r="A99" s="25">
        <v>45565.66666666667</v>
      </c>
      <c r="B99" s="17">
        <f>IFERROR(__xludf.DUMMYFUNCTION("""COMPUTED_VALUE"""),5762.48)</f>
        <v>5762.48</v>
      </c>
      <c r="C99" s="17">
        <f>IFERROR(__xludf.DUMMYFUNCTION("""COMPUTED_VALUE"""),18189.17)</f>
        <v>18189.17</v>
      </c>
      <c r="D99" s="17">
        <f>IFERROR(__xludf.DUMMYFUNCTION("""COMPUTED_VALUE"""),42330.15)</f>
        <v>42330.15</v>
      </c>
      <c r="E99" s="17">
        <f>IFERROR(__xludf.DUMMYFUNCTION("""COMPUTED_VALUE"""),2229.97)</f>
        <v>2229.97</v>
      </c>
      <c r="F99" s="26">
        <f>IFERROR(__xludf.DUMMYFUNCTION("""COMPUTED_VALUE"""),517.78)</f>
        <v>517.78</v>
      </c>
      <c r="G99" s="26">
        <f>IFERROR(__xludf.DUMMYFUNCTION("""COMPUTED_VALUE"""),186.33)</f>
        <v>186.33</v>
      </c>
      <c r="H99" s="26">
        <f>IFERROR(__xludf.DUMMYFUNCTION("""COMPUTED_VALUE"""),146.24)</f>
        <v>146.24</v>
      </c>
      <c r="I99" s="26">
        <f>IFERROR(__xludf.DUMMYFUNCTION("""COMPUTED_VALUE"""),233.0)</f>
        <v>233</v>
      </c>
      <c r="J99" s="26">
        <f>IFERROR(__xludf.DUMMYFUNCTION("""COMPUTED_VALUE"""),202.05)</f>
        <v>202.05</v>
      </c>
      <c r="K99" s="26">
        <f>IFERROR(__xludf.DUMMYFUNCTION("""COMPUTED_VALUE"""),71.86)</f>
        <v>71.86</v>
      </c>
      <c r="L99" s="26">
        <f>IFERROR(__xludf.DUMMYFUNCTION("""COMPUTED_VALUE"""),12.15)</f>
        <v>12.15</v>
      </c>
      <c r="M99" s="26">
        <f>IFERROR(__xludf.DUMMYFUNCTION("""COMPUTED_VALUE"""),460.26)</f>
        <v>460.26</v>
      </c>
      <c r="N99" s="26">
        <f>IFERROR(__xludf.DUMMYFUNCTION("""COMPUTED_VALUE"""),62.11)</f>
        <v>62.11</v>
      </c>
      <c r="O99" s="26">
        <f>IFERROR(__xludf.DUMMYFUNCTION("""COMPUTED_VALUE"""),193.84)</f>
        <v>193.84</v>
      </c>
      <c r="P99" s="26">
        <f>IFERROR(__xludf.DUMMYFUNCTION("""COMPUTED_VALUE"""),80.49)</f>
        <v>80.49</v>
      </c>
      <c r="Q99" s="26">
        <f>IFERROR(__xludf.DUMMYFUNCTION("""COMPUTED_VALUE"""),391.12)</f>
        <v>391.12</v>
      </c>
      <c r="R99" s="26">
        <f>IFERROR(__xludf.DUMMYFUNCTION("""COMPUTED_VALUE"""),47.76)</f>
        <v>47.76</v>
      </c>
      <c r="S99" s="26">
        <f>IFERROR(__xludf.DUMMYFUNCTION("""COMPUTED_VALUE"""),192.81)</f>
        <v>192.81</v>
      </c>
      <c r="T99" s="26">
        <f>IFERROR(__xludf.DUMMYFUNCTION("""COMPUTED_VALUE"""),147.27)</f>
        <v>147.27</v>
      </c>
      <c r="U99" s="26">
        <f>IFERROR(__xludf.DUMMYFUNCTION("""COMPUTED_VALUE"""),346.44)</f>
        <v>346.44</v>
      </c>
      <c r="V99" s="26">
        <f>IFERROR(__xludf.DUMMYFUNCTION("""COMPUTED_VALUE"""),41.07)</f>
        <v>41.07</v>
      </c>
      <c r="W99" s="26">
        <f>IFERROR(__xludf.DUMMYFUNCTION("""COMPUTED_VALUE"""),71.86)</f>
        <v>71.86</v>
      </c>
      <c r="X99" s="26">
        <f>IFERROR(__xludf.DUMMYFUNCTION("""COMPUTED_VALUE"""),104.13)</f>
        <v>104.13</v>
      </c>
      <c r="Y99" s="26">
        <f>IFERROR(__xludf.DUMMYFUNCTION("""COMPUTED_VALUE"""),161.83)</f>
        <v>161.83</v>
      </c>
      <c r="Z99" s="26">
        <f>IFERROR(__xludf.DUMMYFUNCTION("""COMPUTED_VALUE"""),70.32)</f>
        <v>70.32</v>
      </c>
      <c r="AA99" s="26">
        <f>IFERROR(__xludf.DUMMYFUNCTION("""COMPUTED_VALUE"""),430.14)</f>
        <v>430.14</v>
      </c>
      <c r="AB99" s="26">
        <f>IFERROR(__xludf.DUMMYFUNCTION("""COMPUTED_VALUE"""),65.11)</f>
        <v>65.11</v>
      </c>
      <c r="AC99" s="26">
        <f>IFERROR(__xludf.DUMMYFUNCTION("""COMPUTED_VALUE"""),117.22)</f>
        <v>117.22</v>
      </c>
      <c r="AD99" s="26">
        <f>IFERROR(__xludf.DUMMYFUNCTION("""COMPUTED_VALUE"""),273.68)</f>
        <v>273.68</v>
      </c>
      <c r="AE99" s="26">
        <f>IFERROR(__xludf.DUMMYFUNCTION("""COMPUTED_VALUE"""),470.11)</f>
        <v>470.11</v>
      </c>
      <c r="AF99" s="26">
        <f>IFERROR(__xludf.DUMMYFUNCTION("""COMPUTED_VALUE"""),302.2)</f>
        <v>302.2</v>
      </c>
      <c r="AG99" s="26">
        <f>IFERROR(__xludf.DUMMYFUNCTION("""COMPUTED_VALUE"""),44.84)</f>
        <v>44.84</v>
      </c>
      <c r="AH99" s="26">
        <f>IFERROR(__xludf.DUMMYFUNCTION("""COMPUTED_VALUE"""),83.84)</f>
        <v>83.84</v>
      </c>
      <c r="AI99" s="26">
        <f>IFERROR(__xludf.DUMMYFUNCTION("""COMPUTED_VALUE"""),495.11)</f>
        <v>495.11</v>
      </c>
      <c r="AJ99" s="26">
        <f>IFERROR(__xludf.DUMMYFUNCTION("""COMPUTED_VALUE"""),405.2)</f>
        <v>405.2</v>
      </c>
      <c r="AK99" s="26">
        <f>IFERROR(__xludf.DUMMYFUNCTION("""COMPUTED_VALUE"""),108.7)</f>
        <v>108.7</v>
      </c>
      <c r="AL99" s="26">
        <f>IFERROR(__xludf.DUMMYFUNCTION("""COMPUTED_VALUE"""),160.64)</f>
        <v>160.64</v>
      </c>
      <c r="AM99" s="26">
        <f>IFERROR(__xludf.DUMMYFUNCTION("""COMPUTED_VALUE"""),491.27)</f>
        <v>491.27</v>
      </c>
      <c r="AN99" s="26">
        <f>IFERROR(__xludf.DUMMYFUNCTION("""COMPUTED_VALUE"""),210.86)</f>
        <v>210.86</v>
      </c>
      <c r="AO99" s="26">
        <f>IFERROR(__xludf.DUMMYFUNCTION("""COMPUTED_VALUE"""),584.56)</f>
        <v>584.56</v>
      </c>
      <c r="AP99" s="26">
        <f>IFERROR(__xludf.DUMMYFUNCTION("""COMPUTED_VALUE"""),271.35)</f>
        <v>271.35</v>
      </c>
      <c r="AQ99" s="26">
        <f>IFERROR(__xludf.DUMMYFUNCTION("""COMPUTED_VALUE"""),29.55)</f>
        <v>29.55</v>
      </c>
      <c r="AR99" s="26">
        <f>IFERROR(__xludf.DUMMYFUNCTION("""COMPUTED_VALUE"""),90.03)</f>
        <v>90.03</v>
      </c>
      <c r="AS99" s="26">
        <f>IFERROR(__xludf.DUMMYFUNCTION("""COMPUTED_VALUE"""),82.48)</f>
        <v>82.48</v>
      </c>
      <c r="AT99" s="26">
        <f>IFERROR(__xludf.DUMMYFUNCTION("""COMPUTED_VALUE"""),430.3)</f>
        <v>430.3</v>
      </c>
      <c r="AU99" s="26">
        <f>IFERROR(__xludf.DUMMYFUNCTION("""COMPUTED_VALUE"""),84.53)</f>
        <v>84.53</v>
      </c>
      <c r="AV99" s="26">
        <f>IFERROR(__xludf.DUMMYFUNCTION("""COMPUTED_VALUE"""),121.44)</f>
        <v>121.44</v>
      </c>
      <c r="AW99" s="26">
        <f>IFERROR(__xludf.DUMMYFUNCTION("""COMPUTED_VALUE"""),103.94)</f>
        <v>103.94</v>
      </c>
      <c r="AX99" s="26">
        <f>IFERROR(__xludf.DUMMYFUNCTION("""COMPUTED_VALUE"""),50.15)</f>
        <v>50.15</v>
      </c>
      <c r="AY99" s="26">
        <f>IFERROR(__xludf.DUMMYFUNCTION("""COMPUTED_VALUE"""),37.2)</f>
        <v>37.2</v>
      </c>
      <c r="AZ99" s="26">
        <f>IFERROR(__xludf.DUMMYFUNCTION("""COMPUTED_VALUE"""),78.03)</f>
        <v>78.03</v>
      </c>
      <c r="BA99" s="26">
        <f>IFERROR(__xludf.DUMMYFUNCTION("""COMPUTED_VALUE"""),28.94)</f>
        <v>28.94</v>
      </c>
      <c r="BB99" s="26">
        <f>IFERROR(__xludf.DUMMYFUNCTION("""COMPUTED_VALUE"""),121.16)</f>
        <v>121.16</v>
      </c>
      <c r="BC99" s="26">
        <f>IFERROR(__xludf.DUMMYFUNCTION("""COMPUTED_VALUE"""),206.36)</f>
        <v>206.36</v>
      </c>
      <c r="BD99" s="26">
        <f>IFERROR(__xludf.DUMMYFUNCTION("""COMPUTED_VALUE"""),618.57)</f>
        <v>618.57</v>
      </c>
      <c r="BE99" s="26">
        <f>IFERROR(__xludf.DUMMYFUNCTION("""COMPUTED_VALUE"""),178.57)</f>
        <v>178.57</v>
      </c>
      <c r="BF99" s="26">
        <f>IFERROR(__xludf.DUMMYFUNCTION("""COMPUTED_VALUE"""),157.0)</f>
        <v>157</v>
      </c>
      <c r="BG99" s="26">
        <f>IFERROR(__xludf.DUMMYFUNCTION("""COMPUTED_VALUE"""),8.91)</f>
        <v>8.91</v>
      </c>
      <c r="BH99" s="26">
        <f>IFERROR(__xludf.DUMMYFUNCTION("""COMPUTED_VALUE"""),246.48)</f>
        <v>246.48</v>
      </c>
      <c r="BI99" s="26">
        <f>IFERROR(__xludf.DUMMYFUNCTION("""COMPUTED_VALUE"""),584.68)</f>
        <v>584.68</v>
      </c>
      <c r="BJ99" s="26">
        <f>IFERROR(__xludf.DUMMYFUNCTION("""COMPUTED_VALUE"""),49.31)</f>
        <v>49.31</v>
      </c>
      <c r="BK99" s="26">
        <f>IFERROR(__xludf.DUMMYFUNCTION("""COMPUTED_VALUE"""),11.61)</f>
        <v>11.61</v>
      </c>
      <c r="BL99" s="26">
        <f>IFERROR(__xludf.DUMMYFUNCTION("""COMPUTED_VALUE"""),207.6)</f>
        <v>207.6</v>
      </c>
      <c r="BM99" s="26">
        <f>IFERROR(__xludf.DUMMYFUNCTION("""COMPUTED_VALUE"""),96.19)</f>
        <v>96.19</v>
      </c>
      <c r="BN99" s="27">
        <v>67197.24</v>
      </c>
    </row>
    <row r="100">
      <c r="A100" s="25">
        <v>45566.66666666667</v>
      </c>
      <c r="B100" s="17">
        <f>IFERROR(__xludf.DUMMYFUNCTION("""COMPUTED_VALUE"""),5708.75)</f>
        <v>5708.75</v>
      </c>
      <c r="C100" s="17">
        <f>IFERROR(__xludf.DUMMYFUNCTION("""COMPUTED_VALUE"""),17910.36)</f>
        <v>17910.36</v>
      </c>
      <c r="D100" s="17">
        <f>IFERROR(__xludf.DUMMYFUNCTION("""COMPUTED_VALUE"""),42156.97)</f>
        <v>42156.97</v>
      </c>
      <c r="E100" s="17">
        <f>IFERROR(__xludf.DUMMYFUNCTION("""COMPUTED_VALUE"""),2197.03)</f>
        <v>2197.03</v>
      </c>
      <c r="F100" s="26">
        <f>IFERROR(__xludf.DUMMYFUNCTION("""COMPUTED_VALUE"""),502.8)</f>
        <v>502.8</v>
      </c>
      <c r="G100" s="26">
        <f>IFERROR(__xludf.DUMMYFUNCTION("""COMPUTED_VALUE"""),185.13)</f>
        <v>185.13</v>
      </c>
      <c r="H100" s="26">
        <f>IFERROR(__xludf.DUMMYFUNCTION("""COMPUTED_VALUE"""),145.67)</f>
        <v>145.67</v>
      </c>
      <c r="I100" s="26">
        <f>IFERROR(__xludf.DUMMYFUNCTION("""COMPUTED_VALUE"""),226.21)</f>
        <v>226.21</v>
      </c>
      <c r="J100" s="26">
        <f>IFERROR(__xludf.DUMMYFUNCTION("""COMPUTED_VALUE"""),197.2)</f>
        <v>197.2</v>
      </c>
      <c r="K100" s="26">
        <f>IFERROR(__xludf.DUMMYFUNCTION("""COMPUTED_VALUE"""),71.11)</f>
        <v>71.11</v>
      </c>
      <c r="L100" s="26">
        <f>IFERROR(__xludf.DUMMYFUNCTION("""COMPUTED_VALUE"""),11.77)</f>
        <v>11.77</v>
      </c>
      <c r="M100" s="26">
        <f>IFERROR(__xludf.DUMMYFUNCTION("""COMPUTED_VALUE"""),457.41)</f>
        <v>457.41</v>
      </c>
      <c r="N100" s="26">
        <f>IFERROR(__xludf.DUMMYFUNCTION("""COMPUTED_VALUE"""),62.39)</f>
        <v>62.39</v>
      </c>
      <c r="O100" s="26">
        <f>IFERROR(__xludf.DUMMYFUNCTION("""COMPUTED_VALUE"""),190.8)</f>
        <v>190.8</v>
      </c>
      <c r="P100" s="26">
        <f>IFERROR(__xludf.DUMMYFUNCTION("""COMPUTED_VALUE"""),79.35)</f>
        <v>79.35</v>
      </c>
      <c r="Q100" s="26">
        <f>IFERROR(__xludf.DUMMYFUNCTION("""COMPUTED_VALUE"""),392.39)</f>
        <v>392.39</v>
      </c>
      <c r="R100" s="26">
        <f>IFERROR(__xludf.DUMMYFUNCTION("""COMPUTED_VALUE"""),48.64)</f>
        <v>48.64</v>
      </c>
      <c r="S100" s="26">
        <f>IFERROR(__xludf.DUMMYFUNCTION("""COMPUTED_VALUE"""),188.99)</f>
        <v>188.99</v>
      </c>
      <c r="T100" s="26">
        <f>IFERROR(__xludf.DUMMYFUNCTION("""COMPUTED_VALUE"""),149.7)</f>
        <v>149.7</v>
      </c>
      <c r="U100" s="26">
        <f>IFERROR(__xludf.DUMMYFUNCTION("""COMPUTED_VALUE"""),348.09)</f>
        <v>348.09</v>
      </c>
      <c r="V100" s="26">
        <f>IFERROR(__xludf.DUMMYFUNCTION("""COMPUTED_VALUE"""),39.92)</f>
        <v>39.92</v>
      </c>
      <c r="W100" s="26">
        <f>IFERROR(__xludf.DUMMYFUNCTION("""COMPUTED_VALUE"""),71.71)</f>
        <v>71.71</v>
      </c>
      <c r="X100" s="26">
        <f>IFERROR(__xludf.DUMMYFUNCTION("""COMPUTED_VALUE"""),105.15)</f>
        <v>105.15</v>
      </c>
      <c r="Y100" s="26">
        <f>IFERROR(__xludf.DUMMYFUNCTION("""COMPUTED_VALUE"""),160.27)</f>
        <v>160.27</v>
      </c>
      <c r="Z100" s="26">
        <f>IFERROR(__xludf.DUMMYFUNCTION("""COMPUTED_VALUE"""),70.44)</f>
        <v>70.44</v>
      </c>
      <c r="AA100" s="26">
        <f>IFERROR(__xludf.DUMMYFUNCTION("""COMPUTED_VALUE"""),430.66)</f>
        <v>430.66</v>
      </c>
      <c r="AB100" s="26">
        <f>IFERROR(__xludf.DUMMYFUNCTION("""COMPUTED_VALUE"""),65.83)</f>
        <v>65.83</v>
      </c>
      <c r="AC100" s="26">
        <f>IFERROR(__xludf.DUMMYFUNCTION("""COMPUTED_VALUE"""),119.93)</f>
        <v>119.93</v>
      </c>
      <c r="AD100" s="26">
        <f>IFERROR(__xludf.DUMMYFUNCTION("""COMPUTED_VALUE"""),269.56)</f>
        <v>269.56</v>
      </c>
      <c r="AE100" s="26">
        <f>IFERROR(__xludf.DUMMYFUNCTION("""COMPUTED_VALUE"""),455.86)</f>
        <v>455.86</v>
      </c>
      <c r="AF100" s="26">
        <f>IFERROR(__xludf.DUMMYFUNCTION("""COMPUTED_VALUE"""),305.33)</f>
        <v>305.33</v>
      </c>
      <c r="AG100" s="26">
        <f>IFERROR(__xludf.DUMMYFUNCTION("""COMPUTED_VALUE"""),44.88)</f>
        <v>44.88</v>
      </c>
      <c r="AH100" s="26">
        <f>IFERROR(__xludf.DUMMYFUNCTION("""COMPUTED_VALUE"""),83.94)</f>
        <v>83.94</v>
      </c>
      <c r="AI100" s="26">
        <f>IFERROR(__xludf.DUMMYFUNCTION("""COMPUTED_VALUE"""),490.17)</f>
        <v>490.17</v>
      </c>
      <c r="AJ100" s="26">
        <f>IFERROR(__xludf.DUMMYFUNCTION("""COMPUTED_VALUE"""),409.05)</f>
        <v>409.05</v>
      </c>
      <c r="AK100" s="26">
        <f>IFERROR(__xludf.DUMMYFUNCTION("""COMPUTED_VALUE"""),107.58)</f>
        <v>107.58</v>
      </c>
      <c r="AL100" s="26">
        <f>IFERROR(__xludf.DUMMYFUNCTION("""COMPUTED_VALUE"""),161.14)</f>
        <v>161.14</v>
      </c>
      <c r="AM100" s="26">
        <f>IFERROR(__xludf.DUMMYFUNCTION("""COMPUTED_VALUE"""),484.76)</f>
        <v>484.76</v>
      </c>
      <c r="AN100" s="26">
        <f>IFERROR(__xludf.DUMMYFUNCTION("""COMPUTED_VALUE"""),207.04)</f>
        <v>207.04</v>
      </c>
      <c r="AO100" s="26">
        <f>IFERROR(__xludf.DUMMYFUNCTION("""COMPUTED_VALUE"""),605.86)</f>
        <v>605.86</v>
      </c>
      <c r="AP100" s="26">
        <f>IFERROR(__xludf.DUMMYFUNCTION("""COMPUTED_VALUE"""),266.45)</f>
        <v>266.45</v>
      </c>
      <c r="AQ100" s="26">
        <f>IFERROR(__xludf.DUMMYFUNCTION("""COMPUTED_VALUE"""),29.52)</f>
        <v>29.52</v>
      </c>
      <c r="AR100" s="26">
        <f>IFERROR(__xludf.DUMMYFUNCTION("""COMPUTED_VALUE"""),90.0)</f>
        <v>90</v>
      </c>
      <c r="AS100" s="26">
        <f>IFERROR(__xludf.DUMMYFUNCTION("""COMPUTED_VALUE"""),81.78)</f>
        <v>81.78</v>
      </c>
      <c r="AT100" s="26">
        <f>IFERROR(__xludf.DUMMYFUNCTION("""COMPUTED_VALUE"""),420.69)</f>
        <v>420.69</v>
      </c>
      <c r="AU100" s="26">
        <f>IFERROR(__xludf.DUMMYFUNCTION("""COMPUTED_VALUE"""),85.27)</f>
        <v>85.27</v>
      </c>
      <c r="AV100" s="26">
        <f>IFERROR(__xludf.DUMMYFUNCTION("""COMPUTED_VALUE"""),117.0)</f>
        <v>117</v>
      </c>
      <c r="AW100" s="26">
        <f>IFERROR(__xludf.DUMMYFUNCTION("""COMPUTED_VALUE"""),103.77)</f>
        <v>103.77</v>
      </c>
      <c r="AX100" s="26">
        <f>IFERROR(__xludf.DUMMYFUNCTION("""COMPUTED_VALUE"""),49.35)</f>
        <v>49.35</v>
      </c>
      <c r="AY100" s="26">
        <f>IFERROR(__xludf.DUMMYFUNCTION("""COMPUTED_VALUE"""),36.46)</f>
        <v>36.46</v>
      </c>
      <c r="AZ100" s="26">
        <f>IFERROR(__xludf.DUMMYFUNCTION("""COMPUTED_VALUE"""),77.47)</f>
        <v>77.47</v>
      </c>
      <c r="BA100" s="26">
        <f>IFERROR(__xludf.DUMMYFUNCTION("""COMPUTED_VALUE"""),28.67)</f>
        <v>28.67</v>
      </c>
      <c r="BB100" s="26">
        <f>IFERROR(__xludf.DUMMYFUNCTION("""COMPUTED_VALUE"""),124.39)</f>
        <v>124.39</v>
      </c>
      <c r="BC100" s="26">
        <f>IFERROR(__xludf.DUMMYFUNCTION("""COMPUTED_VALUE"""),206.1)</f>
        <v>206.1</v>
      </c>
      <c r="BD100" s="26">
        <f>IFERROR(__xludf.DUMMYFUNCTION("""COMPUTED_VALUE"""),612.94)</f>
        <v>612.94</v>
      </c>
      <c r="BE100" s="26">
        <f>IFERROR(__xludf.DUMMYFUNCTION("""COMPUTED_VALUE"""),178.06)</f>
        <v>178.06</v>
      </c>
      <c r="BF100" s="26">
        <f>IFERROR(__xludf.DUMMYFUNCTION("""COMPUTED_VALUE"""),144.82)</f>
        <v>144.82</v>
      </c>
      <c r="BG100" s="26">
        <f>IFERROR(__xludf.DUMMYFUNCTION("""COMPUTED_VALUE"""),8.86)</f>
        <v>8.86</v>
      </c>
      <c r="BH100" s="26">
        <f>IFERROR(__xludf.DUMMYFUNCTION("""COMPUTED_VALUE"""),245.55)</f>
        <v>245.55</v>
      </c>
      <c r="BI100" s="26">
        <f>IFERROR(__xludf.DUMMYFUNCTION("""COMPUTED_VALUE"""),583.3)</f>
        <v>583.3</v>
      </c>
      <c r="BJ100" s="26">
        <f>IFERROR(__xludf.DUMMYFUNCTION("""COMPUTED_VALUE"""),49.08)</f>
        <v>49.08</v>
      </c>
      <c r="BK100" s="26">
        <f>IFERROR(__xludf.DUMMYFUNCTION("""COMPUTED_VALUE"""),11.49)</f>
        <v>11.49</v>
      </c>
      <c r="BL100" s="26">
        <f>IFERROR(__xludf.DUMMYFUNCTION("""COMPUTED_VALUE"""),207.93)</f>
        <v>207.93</v>
      </c>
      <c r="BM100" s="26">
        <f>IFERROR(__xludf.DUMMYFUNCTION("""COMPUTED_VALUE"""),94.05)</f>
        <v>94.05</v>
      </c>
    </row>
    <row r="101">
      <c r="A101" s="25">
        <v>45567.66666666667</v>
      </c>
      <c r="B101" s="17">
        <f>IFERROR(__xludf.DUMMYFUNCTION("""COMPUTED_VALUE"""),5709.54)</f>
        <v>5709.54</v>
      </c>
      <c r="C101" s="17">
        <f>IFERROR(__xludf.DUMMYFUNCTION("""COMPUTED_VALUE"""),17925.12)</f>
        <v>17925.12</v>
      </c>
      <c r="D101" s="17">
        <f>IFERROR(__xludf.DUMMYFUNCTION("""COMPUTED_VALUE"""),42196.52)</f>
        <v>42196.52</v>
      </c>
      <c r="E101" s="17">
        <f>IFERROR(__xludf.DUMMYFUNCTION("""COMPUTED_VALUE"""),2195.01)</f>
        <v>2195.01</v>
      </c>
      <c r="F101" s="26">
        <f>IFERROR(__xludf.DUMMYFUNCTION("""COMPUTED_VALUE"""),505.81)</f>
        <v>505.81</v>
      </c>
      <c r="G101" s="26">
        <f>IFERROR(__xludf.DUMMYFUNCTION("""COMPUTED_VALUE"""),184.76)</f>
        <v>184.76</v>
      </c>
      <c r="H101" s="26">
        <f>IFERROR(__xludf.DUMMYFUNCTION("""COMPUTED_VALUE"""),146.1)</f>
        <v>146.1</v>
      </c>
      <c r="I101" s="26">
        <f>IFERROR(__xludf.DUMMYFUNCTION("""COMPUTED_VALUE"""),226.78)</f>
        <v>226.78</v>
      </c>
      <c r="J101" s="26">
        <f>IFERROR(__xludf.DUMMYFUNCTION("""COMPUTED_VALUE"""),201.15)</f>
        <v>201.15</v>
      </c>
      <c r="K101" s="26">
        <f>IFERROR(__xludf.DUMMYFUNCTION("""COMPUTED_VALUE"""),70.95)</f>
        <v>70.95</v>
      </c>
      <c r="L101" s="26">
        <f>IFERROR(__xludf.DUMMYFUNCTION("""COMPUTED_VALUE"""),11.79)</f>
        <v>11.79</v>
      </c>
      <c r="M101" s="26">
        <f>IFERROR(__xludf.DUMMYFUNCTION("""COMPUTED_VALUE"""),456.67)</f>
        <v>456.67</v>
      </c>
      <c r="N101" s="26">
        <f>IFERROR(__xludf.DUMMYFUNCTION("""COMPUTED_VALUE"""),62.43)</f>
        <v>62.43</v>
      </c>
      <c r="O101" s="26">
        <f>IFERROR(__xludf.DUMMYFUNCTION("""COMPUTED_VALUE"""),188.74)</f>
        <v>188.74</v>
      </c>
      <c r="P101" s="26">
        <f>IFERROR(__xludf.DUMMYFUNCTION("""COMPUTED_VALUE"""),80.54)</f>
        <v>80.54</v>
      </c>
      <c r="Q101" s="26">
        <f>IFERROR(__xludf.DUMMYFUNCTION("""COMPUTED_VALUE"""),394.05)</f>
        <v>394.05</v>
      </c>
      <c r="R101" s="26">
        <f>IFERROR(__xludf.DUMMYFUNCTION("""COMPUTED_VALUE"""),49.44)</f>
        <v>49.44</v>
      </c>
      <c r="S101" s="26">
        <f>IFERROR(__xludf.DUMMYFUNCTION("""COMPUTED_VALUE"""),191.19)</f>
        <v>191.19</v>
      </c>
      <c r="T101" s="26">
        <f>IFERROR(__xludf.DUMMYFUNCTION("""COMPUTED_VALUE"""),150.95)</f>
        <v>150.95</v>
      </c>
      <c r="U101" s="26">
        <f>IFERROR(__xludf.DUMMYFUNCTION("""COMPUTED_VALUE"""),340.71)</f>
        <v>340.71</v>
      </c>
      <c r="V101" s="26">
        <f>IFERROR(__xludf.DUMMYFUNCTION("""COMPUTED_VALUE"""),40.05)</f>
        <v>40.05</v>
      </c>
      <c r="W101" s="26">
        <f>IFERROR(__xludf.DUMMYFUNCTION("""COMPUTED_VALUE"""),71.01)</f>
        <v>71.01</v>
      </c>
      <c r="X101" s="26">
        <f>IFERROR(__xludf.DUMMYFUNCTION("""COMPUTED_VALUE"""),104.45)</f>
        <v>104.45</v>
      </c>
      <c r="Y101" s="26">
        <f>IFERROR(__xludf.DUMMYFUNCTION("""COMPUTED_VALUE"""),159.6)</f>
        <v>159.6</v>
      </c>
      <c r="Z101" s="26">
        <f>IFERROR(__xludf.DUMMYFUNCTION("""COMPUTED_VALUE"""),69.49)</f>
        <v>69.49</v>
      </c>
      <c r="AA101" s="26">
        <f>IFERROR(__xludf.DUMMYFUNCTION("""COMPUTED_VALUE"""),423.2)</f>
        <v>423.2</v>
      </c>
      <c r="AB101" s="26">
        <f>IFERROR(__xludf.DUMMYFUNCTION("""COMPUTED_VALUE"""),65.2)</f>
        <v>65.2</v>
      </c>
      <c r="AC101" s="26">
        <f>IFERROR(__xludf.DUMMYFUNCTION("""COMPUTED_VALUE"""),121.52)</f>
        <v>121.52</v>
      </c>
      <c r="AD101" s="26">
        <f>IFERROR(__xludf.DUMMYFUNCTION("""COMPUTED_VALUE"""),266.93)</f>
        <v>266.93</v>
      </c>
      <c r="AE101" s="26">
        <f>IFERROR(__xludf.DUMMYFUNCTION("""COMPUTED_VALUE"""),457.16)</f>
        <v>457.16</v>
      </c>
      <c r="AF101" s="26">
        <f>IFERROR(__xludf.DUMMYFUNCTION("""COMPUTED_VALUE"""),303.92)</f>
        <v>303.92</v>
      </c>
      <c r="AG101" s="26">
        <f>IFERROR(__xludf.DUMMYFUNCTION("""COMPUTED_VALUE"""),44.82)</f>
        <v>44.82</v>
      </c>
      <c r="AH101" s="26">
        <f>IFERROR(__xludf.DUMMYFUNCTION("""COMPUTED_VALUE"""),84.74)</f>
        <v>84.74</v>
      </c>
      <c r="AI101" s="26">
        <f>IFERROR(__xludf.DUMMYFUNCTION("""COMPUTED_VALUE"""),491.99)</f>
        <v>491.99</v>
      </c>
      <c r="AJ101" s="26">
        <f>IFERROR(__xludf.DUMMYFUNCTION("""COMPUTED_VALUE"""),411.26)</f>
        <v>411.26</v>
      </c>
      <c r="AK101" s="26">
        <f>IFERROR(__xludf.DUMMYFUNCTION("""COMPUTED_VALUE"""),106.03)</f>
        <v>106.03</v>
      </c>
      <c r="AL101" s="26">
        <f>IFERROR(__xludf.DUMMYFUNCTION("""COMPUTED_VALUE"""),160.92)</f>
        <v>160.92</v>
      </c>
      <c r="AM101" s="26">
        <f>IFERROR(__xludf.DUMMYFUNCTION("""COMPUTED_VALUE"""),486.62)</f>
        <v>486.62</v>
      </c>
      <c r="AN101" s="26">
        <f>IFERROR(__xludf.DUMMYFUNCTION("""COMPUTED_VALUE"""),207.29)</f>
        <v>207.29</v>
      </c>
      <c r="AO101" s="26">
        <f>IFERROR(__xludf.DUMMYFUNCTION("""COMPUTED_VALUE"""),603.2)</f>
        <v>603.2</v>
      </c>
      <c r="AP101" s="26">
        <f>IFERROR(__xludf.DUMMYFUNCTION("""COMPUTED_VALUE"""),260.53)</f>
        <v>260.53</v>
      </c>
      <c r="AQ101" s="26">
        <f>IFERROR(__xludf.DUMMYFUNCTION("""COMPUTED_VALUE"""),29.68)</f>
        <v>29.68</v>
      </c>
      <c r="AR101" s="26">
        <f>IFERROR(__xludf.DUMMYFUNCTION("""COMPUTED_VALUE"""),89.12)</f>
        <v>89.12</v>
      </c>
      <c r="AS101" s="26">
        <f>IFERROR(__xludf.DUMMYFUNCTION("""COMPUTED_VALUE"""),81.79)</f>
        <v>81.79</v>
      </c>
      <c r="AT101" s="26">
        <f>IFERROR(__xludf.DUMMYFUNCTION("""COMPUTED_VALUE"""),417.13)</f>
        <v>417.13</v>
      </c>
      <c r="AU101" s="26">
        <f>IFERROR(__xludf.DUMMYFUNCTION("""COMPUTED_VALUE"""),85.43)</f>
        <v>85.43</v>
      </c>
      <c r="AV101" s="26">
        <f>IFERROR(__xludf.DUMMYFUNCTION("""COMPUTED_VALUE"""),118.85)</f>
        <v>118.85</v>
      </c>
      <c r="AW101" s="26">
        <f>IFERROR(__xludf.DUMMYFUNCTION("""COMPUTED_VALUE"""),104.81)</f>
        <v>104.81</v>
      </c>
      <c r="AX101" s="26">
        <f>IFERROR(__xludf.DUMMYFUNCTION("""COMPUTED_VALUE"""),49.21)</f>
        <v>49.21</v>
      </c>
      <c r="AY101" s="26">
        <f>IFERROR(__xludf.DUMMYFUNCTION("""COMPUTED_VALUE"""),37.49)</f>
        <v>37.49</v>
      </c>
      <c r="AZ101" s="26">
        <f>IFERROR(__xludf.DUMMYFUNCTION("""COMPUTED_VALUE"""),77.44)</f>
        <v>77.44</v>
      </c>
      <c r="BA101" s="26">
        <f>IFERROR(__xludf.DUMMYFUNCTION("""COMPUTED_VALUE"""),28.61)</f>
        <v>28.61</v>
      </c>
      <c r="BB101" s="26">
        <f>IFERROR(__xludf.DUMMYFUNCTION("""COMPUTED_VALUE"""),124.04)</f>
        <v>124.04</v>
      </c>
      <c r="BC101" s="26">
        <f>IFERROR(__xludf.DUMMYFUNCTION("""COMPUTED_VALUE"""),208.08)</f>
        <v>208.08</v>
      </c>
      <c r="BD101" s="26">
        <f>IFERROR(__xludf.DUMMYFUNCTION("""COMPUTED_VALUE"""),612.72)</f>
        <v>612.72</v>
      </c>
      <c r="BE101" s="26">
        <f>IFERROR(__xludf.DUMMYFUNCTION("""COMPUTED_VALUE"""),180.5)</f>
        <v>180.5</v>
      </c>
      <c r="BF101" s="26">
        <f>IFERROR(__xludf.DUMMYFUNCTION("""COMPUTED_VALUE"""),143.62)</f>
        <v>143.62</v>
      </c>
      <c r="BG101" s="26">
        <f>IFERROR(__xludf.DUMMYFUNCTION("""COMPUTED_VALUE"""),8.64)</f>
        <v>8.64</v>
      </c>
      <c r="BH101" s="26">
        <f>IFERROR(__xludf.DUMMYFUNCTION("""COMPUTED_VALUE"""),243.35)</f>
        <v>243.35</v>
      </c>
      <c r="BI101" s="26">
        <f>IFERROR(__xludf.DUMMYFUNCTION("""COMPUTED_VALUE"""),592.31)</f>
        <v>592.31</v>
      </c>
      <c r="BJ101" s="26">
        <f>IFERROR(__xludf.DUMMYFUNCTION("""COMPUTED_VALUE"""),49.09)</f>
        <v>49.09</v>
      </c>
      <c r="BK101" s="26">
        <f>IFERROR(__xludf.DUMMYFUNCTION("""COMPUTED_VALUE"""),11.47)</f>
        <v>11.47</v>
      </c>
      <c r="BL101" s="26">
        <f>IFERROR(__xludf.DUMMYFUNCTION("""COMPUTED_VALUE"""),207.32)</f>
        <v>207.32</v>
      </c>
      <c r="BM101" s="26">
        <f>IFERROR(__xludf.DUMMYFUNCTION("""COMPUTED_VALUE"""),94.15)</f>
        <v>94.15</v>
      </c>
    </row>
    <row r="102">
      <c r="A102" s="25">
        <v>45568.66666666667</v>
      </c>
      <c r="B102" s="17">
        <f>IFERROR(__xludf.DUMMYFUNCTION("""COMPUTED_VALUE"""),5699.94)</f>
        <v>5699.94</v>
      </c>
      <c r="C102" s="17">
        <f>IFERROR(__xludf.DUMMYFUNCTION("""COMPUTED_VALUE"""),17918.48)</f>
        <v>17918.48</v>
      </c>
      <c r="D102" s="17">
        <f>IFERROR(__xludf.DUMMYFUNCTION("""COMPUTED_VALUE"""),42011.59)</f>
        <v>42011.59</v>
      </c>
      <c r="E102" s="17">
        <f>IFERROR(__xludf.DUMMYFUNCTION("""COMPUTED_VALUE"""),2180.15)</f>
        <v>2180.15</v>
      </c>
      <c r="F102" s="26">
        <f>IFERROR(__xludf.DUMMYFUNCTION("""COMPUTED_VALUE"""),503.8)</f>
        <v>503.8</v>
      </c>
      <c r="G102" s="26">
        <f>IFERROR(__xludf.DUMMYFUNCTION("""COMPUTED_VALUE"""),181.96)</f>
        <v>181.96</v>
      </c>
      <c r="H102" s="26">
        <f>IFERROR(__xludf.DUMMYFUNCTION("""COMPUTED_VALUE"""),144.68)</f>
        <v>144.68</v>
      </c>
      <c r="I102" s="26">
        <f>IFERROR(__xludf.DUMMYFUNCTION("""COMPUTED_VALUE"""),225.67)</f>
        <v>225.67</v>
      </c>
      <c r="J102" s="26">
        <f>IFERROR(__xludf.DUMMYFUNCTION("""COMPUTED_VALUE"""),199.59)</f>
        <v>199.59</v>
      </c>
      <c r="K102" s="26">
        <f>IFERROR(__xludf.DUMMYFUNCTION("""COMPUTED_VALUE"""),70.82)</f>
        <v>70.82</v>
      </c>
      <c r="L102" s="26">
        <f>IFERROR(__xludf.DUMMYFUNCTION("""COMPUTED_VALUE"""),11.64)</f>
        <v>11.64</v>
      </c>
      <c r="M102" s="26">
        <f>IFERROR(__xludf.DUMMYFUNCTION("""COMPUTED_VALUE"""),452.96)</f>
        <v>452.96</v>
      </c>
      <c r="N102" s="26">
        <f>IFERROR(__xludf.DUMMYFUNCTION("""COMPUTED_VALUE"""),60.89)</f>
        <v>60.89</v>
      </c>
      <c r="O102" s="26">
        <f>IFERROR(__xludf.DUMMYFUNCTION("""COMPUTED_VALUE"""),184.78)</f>
        <v>184.78</v>
      </c>
      <c r="P102" s="26">
        <f>IFERROR(__xludf.DUMMYFUNCTION("""COMPUTED_VALUE"""),80.05)</f>
        <v>80.05</v>
      </c>
      <c r="Q102" s="26">
        <f>IFERROR(__xludf.DUMMYFUNCTION("""COMPUTED_VALUE"""),391.09)</f>
        <v>391.09</v>
      </c>
      <c r="R102" s="26">
        <f>IFERROR(__xludf.DUMMYFUNCTION("""COMPUTED_VALUE"""),49.96)</f>
        <v>49.96</v>
      </c>
      <c r="S102" s="26">
        <f>IFERROR(__xludf.DUMMYFUNCTION("""COMPUTED_VALUE"""),190.9)</f>
        <v>190.9</v>
      </c>
      <c r="T102" s="26">
        <f>IFERROR(__xludf.DUMMYFUNCTION("""COMPUTED_VALUE"""),151.25)</f>
        <v>151.25</v>
      </c>
      <c r="U102" s="26">
        <f>IFERROR(__xludf.DUMMYFUNCTION("""COMPUTED_VALUE"""),340.56)</f>
        <v>340.56</v>
      </c>
      <c r="V102" s="26">
        <f>IFERROR(__xludf.DUMMYFUNCTION("""COMPUTED_VALUE"""),40.03)</f>
        <v>40.03</v>
      </c>
      <c r="W102" s="26">
        <f>IFERROR(__xludf.DUMMYFUNCTION("""COMPUTED_VALUE"""),70.52)</f>
        <v>70.52</v>
      </c>
      <c r="X102" s="26">
        <f>IFERROR(__xludf.DUMMYFUNCTION("""COMPUTED_VALUE"""),104.02)</f>
        <v>104.02</v>
      </c>
      <c r="Y102" s="26">
        <f>IFERROR(__xludf.DUMMYFUNCTION("""COMPUTED_VALUE"""),157.3)</f>
        <v>157.3</v>
      </c>
      <c r="Z102" s="26">
        <f>IFERROR(__xludf.DUMMYFUNCTION("""COMPUTED_VALUE"""),69.08)</f>
        <v>69.08</v>
      </c>
      <c r="AA102" s="26">
        <f>IFERROR(__xludf.DUMMYFUNCTION("""COMPUTED_VALUE"""),420.89)</f>
        <v>420.89</v>
      </c>
      <c r="AB102" s="26">
        <f>IFERROR(__xludf.DUMMYFUNCTION("""COMPUTED_VALUE"""),65.38)</f>
        <v>65.38</v>
      </c>
      <c r="AC102" s="26">
        <f>IFERROR(__xludf.DUMMYFUNCTION("""COMPUTED_VALUE"""),122.58)</f>
        <v>122.58</v>
      </c>
      <c r="AD102" s="26">
        <f>IFERROR(__xludf.DUMMYFUNCTION("""COMPUTED_VALUE"""),262.08)</f>
        <v>262.08</v>
      </c>
      <c r="AE102" s="26">
        <f>IFERROR(__xludf.DUMMYFUNCTION("""COMPUTED_VALUE"""),450.09)</f>
        <v>450.09</v>
      </c>
      <c r="AF102" s="26">
        <f>IFERROR(__xludf.DUMMYFUNCTION("""COMPUTED_VALUE"""),299.61)</f>
        <v>299.61</v>
      </c>
      <c r="AG102" s="26">
        <f>IFERROR(__xludf.DUMMYFUNCTION("""COMPUTED_VALUE"""),44.98)</f>
        <v>44.98</v>
      </c>
      <c r="AH102" s="26">
        <f>IFERROR(__xludf.DUMMYFUNCTION("""COMPUTED_VALUE"""),84.17)</f>
        <v>84.17</v>
      </c>
      <c r="AI102" s="26">
        <f>IFERROR(__xludf.DUMMYFUNCTION("""COMPUTED_VALUE"""),486.1)</f>
        <v>486.1</v>
      </c>
      <c r="AJ102" s="26">
        <f>IFERROR(__xludf.DUMMYFUNCTION("""COMPUTED_VALUE"""),411.58)</f>
        <v>411.58</v>
      </c>
      <c r="AK102" s="26">
        <f>IFERROR(__xludf.DUMMYFUNCTION("""COMPUTED_VALUE"""),105.01)</f>
        <v>105.01</v>
      </c>
      <c r="AL102" s="26">
        <f>IFERROR(__xludf.DUMMYFUNCTION("""COMPUTED_VALUE"""),163.26)</f>
        <v>163.26</v>
      </c>
      <c r="AM102" s="26">
        <f>IFERROR(__xludf.DUMMYFUNCTION("""COMPUTED_VALUE"""),479.63)</f>
        <v>479.63</v>
      </c>
      <c r="AN102" s="26">
        <f>IFERROR(__xludf.DUMMYFUNCTION("""COMPUTED_VALUE"""),205.23)</f>
        <v>205.23</v>
      </c>
      <c r="AO102" s="26">
        <f>IFERROR(__xludf.DUMMYFUNCTION("""COMPUTED_VALUE"""),605.82)</f>
        <v>605.82</v>
      </c>
      <c r="AP102" s="26">
        <f>IFERROR(__xludf.DUMMYFUNCTION("""COMPUTED_VALUE"""),262.56)</f>
        <v>262.56</v>
      </c>
      <c r="AQ102" s="26">
        <f>IFERROR(__xludf.DUMMYFUNCTION("""COMPUTED_VALUE"""),29.62)</f>
        <v>29.62</v>
      </c>
      <c r="AR102" s="26">
        <f>IFERROR(__xludf.DUMMYFUNCTION("""COMPUTED_VALUE"""),87.77)</f>
        <v>87.77</v>
      </c>
      <c r="AS102" s="26">
        <f>IFERROR(__xludf.DUMMYFUNCTION("""COMPUTED_VALUE"""),81.26)</f>
        <v>81.26</v>
      </c>
      <c r="AT102" s="26">
        <f>IFERROR(__xludf.DUMMYFUNCTION("""COMPUTED_VALUE"""),416.54)</f>
        <v>416.54</v>
      </c>
      <c r="AU102" s="26">
        <f>IFERROR(__xludf.DUMMYFUNCTION("""COMPUTED_VALUE"""),85.05)</f>
        <v>85.05</v>
      </c>
      <c r="AV102" s="26">
        <f>IFERROR(__xludf.DUMMYFUNCTION("""COMPUTED_VALUE"""),122.85)</f>
        <v>122.85</v>
      </c>
      <c r="AW102" s="26">
        <f>IFERROR(__xludf.DUMMYFUNCTION("""COMPUTED_VALUE"""),104.3)</f>
        <v>104.3</v>
      </c>
      <c r="AX102" s="26">
        <f>IFERROR(__xludf.DUMMYFUNCTION("""COMPUTED_VALUE"""),49.67)</f>
        <v>49.67</v>
      </c>
      <c r="AY102" s="26">
        <f>IFERROR(__xludf.DUMMYFUNCTION("""COMPUTED_VALUE"""),39.24)</f>
        <v>39.24</v>
      </c>
      <c r="AZ102" s="26">
        <f>IFERROR(__xludf.DUMMYFUNCTION("""COMPUTED_VALUE"""),77.31)</f>
        <v>77.31</v>
      </c>
      <c r="BA102" s="26">
        <f>IFERROR(__xludf.DUMMYFUNCTION("""COMPUTED_VALUE"""),28.34)</f>
        <v>28.34</v>
      </c>
      <c r="BB102" s="26">
        <f>IFERROR(__xludf.DUMMYFUNCTION("""COMPUTED_VALUE"""),123.67)</f>
        <v>123.67</v>
      </c>
      <c r="BC102" s="26">
        <f>IFERROR(__xludf.DUMMYFUNCTION("""COMPUTED_VALUE"""),208.03)</f>
        <v>208.03</v>
      </c>
      <c r="BD102" s="26">
        <f>IFERROR(__xludf.DUMMYFUNCTION("""COMPUTED_VALUE"""),600.92)</f>
        <v>600.92</v>
      </c>
      <c r="BE102" s="26">
        <f>IFERROR(__xludf.DUMMYFUNCTION("""COMPUTED_VALUE"""),176.17)</f>
        <v>176.17</v>
      </c>
      <c r="BF102" s="26">
        <f>IFERROR(__xludf.DUMMYFUNCTION("""COMPUTED_VALUE"""),143.8)</f>
        <v>143.8</v>
      </c>
      <c r="BG102" s="26">
        <f>IFERROR(__xludf.DUMMYFUNCTION("""COMPUTED_VALUE"""),8.6)</f>
        <v>8.6</v>
      </c>
      <c r="BH102" s="26">
        <f>IFERROR(__xludf.DUMMYFUNCTION("""COMPUTED_VALUE"""),240.63)</f>
        <v>240.63</v>
      </c>
      <c r="BI102" s="26">
        <f>IFERROR(__xludf.DUMMYFUNCTION("""COMPUTED_VALUE"""),592.75)</f>
        <v>592.75</v>
      </c>
      <c r="BJ102" s="26">
        <f>IFERROR(__xludf.DUMMYFUNCTION("""COMPUTED_VALUE"""),49.04)</f>
        <v>49.04</v>
      </c>
      <c r="BK102" s="26">
        <f>IFERROR(__xludf.DUMMYFUNCTION("""COMPUTED_VALUE"""),11.43)</f>
        <v>11.43</v>
      </c>
      <c r="BL102" s="26">
        <f>IFERROR(__xludf.DUMMYFUNCTION("""COMPUTED_VALUE"""),209.09)</f>
        <v>209.09</v>
      </c>
      <c r="BM102" s="26">
        <f>IFERROR(__xludf.DUMMYFUNCTION("""COMPUTED_VALUE"""),93.63)</f>
        <v>93.63</v>
      </c>
    </row>
    <row r="103">
      <c r="A103" s="25">
        <v>45569.66666666667</v>
      </c>
      <c r="B103" s="17">
        <f>IFERROR(__xludf.DUMMYFUNCTION("""COMPUTED_VALUE"""),5751.07)</f>
        <v>5751.07</v>
      </c>
      <c r="C103" s="17">
        <f>IFERROR(__xludf.DUMMYFUNCTION("""COMPUTED_VALUE"""),18137.85)</f>
        <v>18137.85</v>
      </c>
      <c r="D103" s="17">
        <f>IFERROR(__xludf.DUMMYFUNCTION("""COMPUTED_VALUE"""),42352.75)</f>
        <v>42352.75</v>
      </c>
      <c r="E103" s="17">
        <f>IFERROR(__xludf.DUMMYFUNCTION("""COMPUTED_VALUE"""),2212.8)</f>
        <v>2212.8</v>
      </c>
      <c r="F103" s="26">
        <f>IFERROR(__xludf.DUMMYFUNCTION("""COMPUTED_VALUE"""),507.22)</f>
        <v>507.22</v>
      </c>
      <c r="G103" s="26">
        <f>IFERROR(__xludf.DUMMYFUNCTION("""COMPUTED_VALUE"""),186.51)</f>
        <v>186.51</v>
      </c>
      <c r="H103" s="26">
        <f>IFERROR(__xludf.DUMMYFUNCTION("""COMPUTED_VALUE"""),142.57)</f>
        <v>142.57</v>
      </c>
      <c r="I103" s="26">
        <f>IFERROR(__xludf.DUMMYFUNCTION("""COMPUTED_VALUE"""),226.8)</f>
        <v>226.8</v>
      </c>
      <c r="J103" s="26">
        <f>IFERROR(__xludf.DUMMYFUNCTION("""COMPUTED_VALUE"""),201.97)</f>
        <v>201.97</v>
      </c>
      <c r="K103" s="26">
        <f>IFERROR(__xludf.DUMMYFUNCTION("""COMPUTED_VALUE"""),71.98)</f>
        <v>71.98</v>
      </c>
      <c r="L103" s="26">
        <f>IFERROR(__xludf.DUMMYFUNCTION("""COMPUTED_VALUE"""),12.07)</f>
        <v>12.07</v>
      </c>
      <c r="M103" s="26">
        <f>IFERROR(__xludf.DUMMYFUNCTION("""COMPUTED_VALUE"""),461.97)</f>
        <v>461.97</v>
      </c>
      <c r="N103" s="26">
        <f>IFERROR(__xludf.DUMMYFUNCTION("""COMPUTED_VALUE"""),60.57)</f>
        <v>60.57</v>
      </c>
      <c r="O103" s="26">
        <f>IFERROR(__xludf.DUMMYFUNCTION("""COMPUTED_VALUE"""),185.68)</f>
        <v>185.68</v>
      </c>
      <c r="P103" s="26">
        <f>IFERROR(__xludf.DUMMYFUNCTION("""COMPUTED_VALUE"""),80.8)</f>
        <v>80.8</v>
      </c>
      <c r="Q103" s="26">
        <f>IFERROR(__xludf.DUMMYFUNCTION("""COMPUTED_VALUE"""),397.09)</f>
        <v>397.09</v>
      </c>
      <c r="R103" s="26">
        <f>IFERROR(__xludf.DUMMYFUNCTION("""COMPUTED_VALUE"""),51.84)</f>
        <v>51.84</v>
      </c>
      <c r="S103" s="26">
        <f>IFERROR(__xludf.DUMMYFUNCTION("""COMPUTED_VALUE"""),193.93)</f>
        <v>193.93</v>
      </c>
      <c r="T103" s="26">
        <f>IFERROR(__xludf.DUMMYFUNCTION("""COMPUTED_VALUE"""),150.74)</f>
        <v>150.74</v>
      </c>
      <c r="U103" s="26">
        <f>IFERROR(__xludf.DUMMYFUNCTION("""COMPUTED_VALUE"""),341.7)</f>
        <v>341.7</v>
      </c>
      <c r="V103" s="26">
        <f>IFERROR(__xludf.DUMMYFUNCTION("""COMPUTED_VALUE"""),41.18)</f>
        <v>41.18</v>
      </c>
      <c r="W103" s="26">
        <f>IFERROR(__xludf.DUMMYFUNCTION("""COMPUTED_VALUE"""),70.17)</f>
        <v>70.17</v>
      </c>
      <c r="X103" s="26">
        <f>IFERROR(__xludf.DUMMYFUNCTION("""COMPUTED_VALUE"""),103.15)</f>
        <v>103.15</v>
      </c>
      <c r="Y103" s="26">
        <f>IFERROR(__xludf.DUMMYFUNCTION("""COMPUTED_VALUE"""),157.0)</f>
        <v>157</v>
      </c>
      <c r="Z103" s="26">
        <f>IFERROR(__xludf.DUMMYFUNCTION("""COMPUTED_VALUE"""),70.9)</f>
        <v>70.9</v>
      </c>
      <c r="AA103" s="26">
        <f>IFERROR(__xludf.DUMMYFUNCTION("""COMPUTED_VALUE"""),425.31)</f>
        <v>425.31</v>
      </c>
      <c r="AB103" s="26">
        <f>IFERROR(__xludf.DUMMYFUNCTION("""COMPUTED_VALUE"""),66.29)</f>
        <v>66.29</v>
      </c>
      <c r="AC103" s="26">
        <f>IFERROR(__xludf.DUMMYFUNCTION("""COMPUTED_VALUE"""),124.83)</f>
        <v>124.83</v>
      </c>
      <c r="AD103" s="26">
        <f>IFERROR(__xludf.DUMMYFUNCTION("""COMPUTED_VALUE"""),260.84)</f>
        <v>260.84</v>
      </c>
      <c r="AE103" s="26">
        <f>IFERROR(__xludf.DUMMYFUNCTION("""COMPUTED_VALUE"""),449.81)</f>
        <v>449.81</v>
      </c>
      <c r="AF103" s="26">
        <f>IFERROR(__xludf.DUMMYFUNCTION("""COMPUTED_VALUE"""),300.66)</f>
        <v>300.66</v>
      </c>
      <c r="AG103" s="26">
        <f>IFERROR(__xludf.DUMMYFUNCTION("""COMPUTED_VALUE"""),45.68)</f>
        <v>45.68</v>
      </c>
      <c r="AH103" s="26">
        <f>IFERROR(__xludf.DUMMYFUNCTION("""COMPUTED_VALUE"""),84.59)</f>
        <v>84.59</v>
      </c>
      <c r="AI103" s="26">
        <f>IFERROR(__xludf.DUMMYFUNCTION("""COMPUTED_VALUE"""),495.16)</f>
        <v>495.16</v>
      </c>
      <c r="AJ103" s="26">
        <f>IFERROR(__xludf.DUMMYFUNCTION("""COMPUTED_VALUE"""),408.36)</f>
        <v>408.36</v>
      </c>
      <c r="AK103" s="26">
        <f>IFERROR(__xludf.DUMMYFUNCTION("""COMPUTED_VALUE"""),106.86)</f>
        <v>106.86</v>
      </c>
      <c r="AL103" s="26">
        <f>IFERROR(__xludf.DUMMYFUNCTION("""COMPUTED_VALUE"""),162.76)</f>
        <v>162.76</v>
      </c>
      <c r="AM103" s="26">
        <f>IFERROR(__xludf.DUMMYFUNCTION("""COMPUTED_VALUE"""),481.95)</f>
        <v>481.95</v>
      </c>
      <c r="AN103" s="26">
        <f>IFERROR(__xludf.DUMMYFUNCTION("""COMPUTED_VALUE"""),211.22)</f>
        <v>211.22</v>
      </c>
      <c r="AO103" s="26">
        <f>IFERROR(__xludf.DUMMYFUNCTION("""COMPUTED_VALUE"""),605.13)</f>
        <v>605.13</v>
      </c>
      <c r="AP103" s="26">
        <f>IFERROR(__xludf.DUMMYFUNCTION("""COMPUTED_VALUE"""),270.38)</f>
        <v>270.38</v>
      </c>
      <c r="AQ103" s="26">
        <f>IFERROR(__xludf.DUMMYFUNCTION("""COMPUTED_VALUE"""),30.24)</f>
        <v>30.24</v>
      </c>
      <c r="AR103" s="26">
        <f>IFERROR(__xludf.DUMMYFUNCTION("""COMPUTED_VALUE"""),88.26)</f>
        <v>88.26</v>
      </c>
      <c r="AS103" s="26">
        <f>IFERROR(__xludf.DUMMYFUNCTION("""COMPUTED_VALUE"""),84.04)</f>
        <v>84.04</v>
      </c>
      <c r="AT103" s="26">
        <f>IFERROR(__xludf.DUMMYFUNCTION("""COMPUTED_VALUE"""),416.06)</f>
        <v>416.06</v>
      </c>
      <c r="AU103" s="26">
        <f>IFERROR(__xludf.DUMMYFUNCTION("""COMPUTED_VALUE"""),83.85)</f>
        <v>83.85</v>
      </c>
      <c r="AV103" s="26">
        <f>IFERROR(__xludf.DUMMYFUNCTION("""COMPUTED_VALUE"""),124.92)</f>
        <v>124.92</v>
      </c>
      <c r="AW103" s="26">
        <f>IFERROR(__xludf.DUMMYFUNCTION("""COMPUTED_VALUE"""),104.56)</f>
        <v>104.56</v>
      </c>
      <c r="AX103" s="26">
        <f>IFERROR(__xludf.DUMMYFUNCTION("""COMPUTED_VALUE"""),51.71)</f>
        <v>51.71</v>
      </c>
      <c r="AY103" s="26">
        <f>IFERROR(__xludf.DUMMYFUNCTION("""COMPUTED_VALUE"""),40.01)</f>
        <v>40.01</v>
      </c>
      <c r="AZ103" s="26">
        <f>IFERROR(__xludf.DUMMYFUNCTION("""COMPUTED_VALUE"""),79.36)</f>
        <v>79.36</v>
      </c>
      <c r="BA103" s="26">
        <f>IFERROR(__xludf.DUMMYFUNCTION("""COMPUTED_VALUE"""),28.58)</f>
        <v>28.58</v>
      </c>
      <c r="BB103" s="26">
        <f>IFERROR(__xludf.DUMMYFUNCTION("""COMPUTED_VALUE"""),124.91)</f>
        <v>124.91</v>
      </c>
      <c r="BC103" s="26">
        <f>IFERROR(__xludf.DUMMYFUNCTION("""COMPUTED_VALUE"""),208.28)</f>
        <v>208.28</v>
      </c>
      <c r="BD103" s="26">
        <f>IFERROR(__xludf.DUMMYFUNCTION("""COMPUTED_VALUE"""),598.61)</f>
        <v>598.61</v>
      </c>
      <c r="BE103" s="26">
        <f>IFERROR(__xludf.DUMMYFUNCTION("""COMPUTED_VALUE"""),180.02)</f>
        <v>180.02</v>
      </c>
      <c r="BF103" s="26">
        <f>IFERROR(__xludf.DUMMYFUNCTION("""COMPUTED_VALUE"""),138.97)</f>
        <v>138.97</v>
      </c>
      <c r="BG103" s="26">
        <f>IFERROR(__xludf.DUMMYFUNCTION("""COMPUTED_VALUE"""),8.84)</f>
        <v>8.84</v>
      </c>
      <c r="BH103" s="26">
        <f>IFERROR(__xludf.DUMMYFUNCTION("""COMPUTED_VALUE"""),238.86)</f>
        <v>238.86</v>
      </c>
      <c r="BI103" s="26">
        <f>IFERROR(__xludf.DUMMYFUNCTION("""COMPUTED_VALUE"""),591.2)</f>
        <v>591.2</v>
      </c>
      <c r="BJ103" s="26">
        <f>IFERROR(__xludf.DUMMYFUNCTION("""COMPUTED_VALUE"""),48.86)</f>
        <v>48.86</v>
      </c>
      <c r="BK103" s="26">
        <f>IFERROR(__xludf.DUMMYFUNCTION("""COMPUTED_VALUE"""),11.59)</f>
        <v>11.59</v>
      </c>
      <c r="BL103" s="26">
        <f>IFERROR(__xludf.DUMMYFUNCTION("""COMPUTED_VALUE"""),208.09)</f>
        <v>208.09</v>
      </c>
      <c r="BM103" s="26">
        <f>IFERROR(__xludf.DUMMYFUNCTION("""COMPUTED_VALUE"""),95.15)</f>
        <v>95.15</v>
      </c>
    </row>
    <row r="104">
      <c r="A104" s="25">
        <v>45572.66666666667</v>
      </c>
      <c r="B104" s="17">
        <f>IFERROR(__xludf.DUMMYFUNCTION("""COMPUTED_VALUE"""),5695.94)</f>
        <v>5695.94</v>
      </c>
      <c r="C104" s="17">
        <f>IFERROR(__xludf.DUMMYFUNCTION("""COMPUTED_VALUE"""),17923.9)</f>
        <v>17923.9</v>
      </c>
      <c r="D104" s="17">
        <f>IFERROR(__xludf.DUMMYFUNCTION("""COMPUTED_VALUE"""),41954.24)</f>
        <v>41954.24</v>
      </c>
      <c r="E104" s="17">
        <f>IFERROR(__xludf.DUMMYFUNCTION("""COMPUTED_VALUE"""),2193.09)</f>
        <v>2193.09</v>
      </c>
      <c r="F104" s="26">
        <f>IFERROR(__xludf.DUMMYFUNCTION("""COMPUTED_VALUE"""),487.3)</f>
        <v>487.3</v>
      </c>
      <c r="G104" s="26">
        <f>IFERROR(__xludf.DUMMYFUNCTION("""COMPUTED_VALUE"""),180.8)</f>
        <v>180.8</v>
      </c>
      <c r="H104" s="26">
        <f>IFERROR(__xludf.DUMMYFUNCTION("""COMPUTED_VALUE"""),136.99)</f>
        <v>136.99</v>
      </c>
      <c r="I104" s="26">
        <f>IFERROR(__xludf.DUMMYFUNCTION("""COMPUTED_VALUE"""),221.69)</f>
        <v>221.69</v>
      </c>
      <c r="J104" s="26">
        <f>IFERROR(__xludf.DUMMYFUNCTION("""COMPUTED_VALUE"""),200.13)</f>
        <v>200.13</v>
      </c>
      <c r="K104" s="26">
        <f>IFERROR(__xludf.DUMMYFUNCTION("""COMPUTED_VALUE"""),72.44)</f>
        <v>72.44</v>
      </c>
      <c r="L104" s="26">
        <f>IFERROR(__xludf.DUMMYFUNCTION("""COMPUTED_VALUE"""),12.12)</f>
        <v>12.12</v>
      </c>
      <c r="M104" s="26">
        <f>IFERROR(__xludf.DUMMYFUNCTION("""COMPUTED_VALUE"""),453.5)</f>
        <v>453.5</v>
      </c>
      <c r="N104" s="26">
        <f>IFERROR(__xludf.DUMMYFUNCTION("""COMPUTED_VALUE"""),60.81)</f>
        <v>60.81</v>
      </c>
      <c r="O104" s="26">
        <f>IFERROR(__xludf.DUMMYFUNCTION("""COMPUTED_VALUE"""),183.34)</f>
        <v>183.34</v>
      </c>
      <c r="P104" s="26">
        <f>IFERROR(__xludf.DUMMYFUNCTION("""COMPUTED_VALUE"""),80.42)</f>
        <v>80.42</v>
      </c>
      <c r="Q104" s="26">
        <f>IFERROR(__xludf.DUMMYFUNCTION("""COMPUTED_VALUE"""),398.25)</f>
        <v>398.25</v>
      </c>
      <c r="R104" s="26">
        <f>IFERROR(__xludf.DUMMYFUNCTION("""COMPUTED_VALUE"""),51.42)</f>
        <v>51.42</v>
      </c>
      <c r="S104" s="26">
        <f>IFERROR(__xludf.DUMMYFUNCTION("""COMPUTED_VALUE"""),191.5)</f>
        <v>191.5</v>
      </c>
      <c r="T104" s="26">
        <f>IFERROR(__xludf.DUMMYFUNCTION("""COMPUTED_VALUE"""),151.12)</f>
        <v>151.12</v>
      </c>
      <c r="U104" s="26">
        <f>IFERROR(__xludf.DUMMYFUNCTION("""COMPUTED_VALUE"""),340.27)</f>
        <v>340.27</v>
      </c>
      <c r="V104" s="26">
        <f>IFERROR(__xludf.DUMMYFUNCTION("""COMPUTED_VALUE"""),41.17)</f>
        <v>41.17</v>
      </c>
      <c r="W104" s="26">
        <f>IFERROR(__xludf.DUMMYFUNCTION("""COMPUTED_VALUE"""),69.01)</f>
        <v>69.01</v>
      </c>
      <c r="X104" s="26">
        <f>IFERROR(__xludf.DUMMYFUNCTION("""COMPUTED_VALUE"""),101.14)</f>
        <v>101.14</v>
      </c>
      <c r="Y104" s="26">
        <f>IFERROR(__xludf.DUMMYFUNCTION("""COMPUTED_VALUE"""),156.47)</f>
        <v>156.47</v>
      </c>
      <c r="Z104" s="26">
        <f>IFERROR(__xludf.DUMMYFUNCTION("""COMPUTED_VALUE"""),69.46)</f>
        <v>69.46</v>
      </c>
      <c r="AA104" s="26">
        <f>IFERROR(__xludf.DUMMYFUNCTION("""COMPUTED_VALUE"""),410.0)</f>
        <v>410</v>
      </c>
      <c r="AB104" s="26">
        <f>IFERROR(__xludf.DUMMYFUNCTION("""COMPUTED_VALUE"""),66.77)</f>
        <v>66.77</v>
      </c>
      <c r="AC104" s="26">
        <f>IFERROR(__xludf.DUMMYFUNCTION("""COMPUTED_VALUE"""),125.37)</f>
        <v>125.37</v>
      </c>
      <c r="AD104" s="26">
        <f>IFERROR(__xludf.DUMMYFUNCTION("""COMPUTED_VALUE"""),260.5)</f>
        <v>260.5</v>
      </c>
      <c r="AE104" s="26">
        <f>IFERROR(__xludf.DUMMYFUNCTION("""COMPUTED_VALUE"""),449.53)</f>
        <v>449.53</v>
      </c>
      <c r="AF104" s="26">
        <f>IFERROR(__xludf.DUMMYFUNCTION("""COMPUTED_VALUE"""),297.29)</f>
        <v>297.29</v>
      </c>
      <c r="AG104" s="26">
        <f>IFERROR(__xludf.DUMMYFUNCTION("""COMPUTED_VALUE"""),45.98)</f>
        <v>45.98</v>
      </c>
      <c r="AH104" s="26">
        <f>IFERROR(__xludf.DUMMYFUNCTION("""COMPUTED_VALUE"""),84.43)</f>
        <v>84.43</v>
      </c>
      <c r="AI104" s="26">
        <f>IFERROR(__xludf.DUMMYFUNCTION("""COMPUTED_VALUE"""),494.62)</f>
        <v>494.62</v>
      </c>
      <c r="AJ104" s="26">
        <f>IFERROR(__xludf.DUMMYFUNCTION("""COMPUTED_VALUE"""),408.06)</f>
        <v>408.06</v>
      </c>
      <c r="AK104" s="26">
        <f>IFERROR(__xludf.DUMMYFUNCTION("""COMPUTED_VALUE"""),105.65)</f>
        <v>105.65</v>
      </c>
      <c r="AL104" s="26">
        <f>IFERROR(__xludf.DUMMYFUNCTION("""COMPUTED_VALUE"""),159.54)</f>
        <v>159.54</v>
      </c>
      <c r="AM104" s="26">
        <f>IFERROR(__xludf.DUMMYFUNCTION("""COMPUTED_VALUE"""),471.23)</f>
        <v>471.23</v>
      </c>
      <c r="AN104" s="26">
        <f>IFERROR(__xludf.DUMMYFUNCTION("""COMPUTED_VALUE"""),210.93)</f>
        <v>210.93</v>
      </c>
      <c r="AO104" s="26">
        <f>IFERROR(__xludf.DUMMYFUNCTION("""COMPUTED_VALUE"""),605.54)</f>
        <v>605.54</v>
      </c>
      <c r="AP104" s="26">
        <f>IFERROR(__xludf.DUMMYFUNCTION("""COMPUTED_VALUE"""),272.48)</f>
        <v>272.48</v>
      </c>
      <c r="AQ104" s="26">
        <f>IFERROR(__xludf.DUMMYFUNCTION("""COMPUTED_VALUE"""),29.89)</f>
        <v>29.89</v>
      </c>
      <c r="AR104" s="26">
        <f>IFERROR(__xludf.DUMMYFUNCTION("""COMPUTED_VALUE"""),87.04)</f>
        <v>87.04</v>
      </c>
      <c r="AS104" s="26">
        <f>IFERROR(__xludf.DUMMYFUNCTION("""COMPUTED_VALUE"""),83.0)</f>
        <v>83</v>
      </c>
      <c r="AT104" s="26">
        <f>IFERROR(__xludf.DUMMYFUNCTION("""COMPUTED_VALUE"""),409.54)</f>
        <v>409.54</v>
      </c>
      <c r="AU104" s="26">
        <f>IFERROR(__xludf.DUMMYFUNCTION("""COMPUTED_VALUE"""),80.29)</f>
        <v>80.29</v>
      </c>
      <c r="AV104" s="26">
        <f>IFERROR(__xludf.DUMMYFUNCTION("""COMPUTED_VALUE"""),127.72)</f>
        <v>127.72</v>
      </c>
      <c r="AW104" s="26">
        <f>IFERROR(__xludf.DUMMYFUNCTION("""COMPUTED_VALUE"""),104.02)</f>
        <v>104.02</v>
      </c>
      <c r="AX104" s="26">
        <f>IFERROR(__xludf.DUMMYFUNCTION("""COMPUTED_VALUE"""),50.4)</f>
        <v>50.4</v>
      </c>
      <c r="AY104" s="26">
        <f>IFERROR(__xludf.DUMMYFUNCTION("""COMPUTED_VALUE"""),38.89)</f>
        <v>38.89</v>
      </c>
      <c r="AZ104" s="26">
        <f>IFERROR(__xludf.DUMMYFUNCTION("""COMPUTED_VALUE"""),80.26)</f>
        <v>80.26</v>
      </c>
      <c r="BA104" s="26">
        <f>IFERROR(__xludf.DUMMYFUNCTION("""COMPUTED_VALUE"""),29.2)</f>
        <v>29.2</v>
      </c>
      <c r="BB104" s="26">
        <f>IFERROR(__xludf.DUMMYFUNCTION("""COMPUTED_VALUE"""),125.05)</f>
        <v>125.05</v>
      </c>
      <c r="BC104" s="26">
        <f>IFERROR(__xludf.DUMMYFUNCTION("""COMPUTED_VALUE"""),208.33)</f>
        <v>208.33</v>
      </c>
      <c r="BD104" s="26">
        <f>IFERROR(__xludf.DUMMYFUNCTION("""COMPUTED_VALUE"""),598.85)</f>
        <v>598.85</v>
      </c>
      <c r="BE104" s="26">
        <f>IFERROR(__xludf.DUMMYFUNCTION("""COMPUTED_VALUE"""),177.32)</f>
        <v>177.32</v>
      </c>
      <c r="BF104" s="26">
        <f>IFERROR(__xludf.DUMMYFUNCTION("""COMPUTED_VALUE"""),134.11)</f>
        <v>134.11</v>
      </c>
      <c r="BG104" s="26">
        <f>IFERROR(__xludf.DUMMYFUNCTION("""COMPUTED_VALUE"""),8.5)</f>
        <v>8.5</v>
      </c>
      <c r="BH104" s="26">
        <f>IFERROR(__xludf.DUMMYFUNCTION("""COMPUTED_VALUE"""),236.87)</f>
        <v>236.87</v>
      </c>
      <c r="BI104" s="26">
        <f>IFERROR(__xludf.DUMMYFUNCTION("""COMPUTED_VALUE"""),583.56)</f>
        <v>583.56</v>
      </c>
      <c r="BJ104" s="26">
        <f>IFERROR(__xludf.DUMMYFUNCTION("""COMPUTED_VALUE"""),48.84)</f>
        <v>48.84</v>
      </c>
      <c r="BK104" s="26">
        <f>IFERROR(__xludf.DUMMYFUNCTION("""COMPUTED_VALUE"""),11.33)</f>
        <v>11.33</v>
      </c>
      <c r="BL104" s="26">
        <f>IFERROR(__xludf.DUMMYFUNCTION("""COMPUTED_VALUE"""),205.41)</f>
        <v>205.41</v>
      </c>
      <c r="BM104" s="26">
        <f>IFERROR(__xludf.DUMMYFUNCTION("""COMPUTED_VALUE"""),92.39)</f>
        <v>92.39</v>
      </c>
    </row>
    <row r="105">
      <c r="A105" s="25">
        <v>45573.66666666667</v>
      </c>
      <c r="B105" s="17">
        <f>IFERROR(__xludf.DUMMYFUNCTION("""COMPUTED_VALUE"""),5751.13)</f>
        <v>5751.13</v>
      </c>
      <c r="C105" s="17">
        <f>IFERROR(__xludf.DUMMYFUNCTION("""COMPUTED_VALUE"""),18182.92)</f>
        <v>18182.92</v>
      </c>
      <c r="D105" s="17">
        <f>IFERROR(__xludf.DUMMYFUNCTION("""COMPUTED_VALUE"""),42080.37)</f>
        <v>42080.37</v>
      </c>
      <c r="E105" s="17">
        <f>IFERROR(__xludf.DUMMYFUNCTION("""COMPUTED_VALUE"""),2194.98)</f>
        <v>2194.98</v>
      </c>
      <c r="F105" s="26">
        <f>IFERROR(__xludf.DUMMYFUNCTION("""COMPUTED_VALUE"""),496.24)</f>
        <v>496.24</v>
      </c>
      <c r="G105" s="26">
        <f>IFERROR(__xludf.DUMMYFUNCTION("""COMPUTED_VALUE"""),182.72)</f>
        <v>182.72</v>
      </c>
      <c r="H105" s="26">
        <f>IFERROR(__xludf.DUMMYFUNCTION("""COMPUTED_VALUE"""),137.39)</f>
        <v>137.39</v>
      </c>
      <c r="I105" s="26">
        <f>IFERROR(__xludf.DUMMYFUNCTION("""COMPUTED_VALUE"""),225.77)</f>
        <v>225.77</v>
      </c>
      <c r="J105" s="26">
        <f>IFERROR(__xludf.DUMMYFUNCTION("""COMPUTED_VALUE"""),200.88)</f>
        <v>200.88</v>
      </c>
      <c r="K105" s="26">
        <f>IFERROR(__xludf.DUMMYFUNCTION("""COMPUTED_VALUE"""),73.2)</f>
        <v>73.2</v>
      </c>
      <c r="L105" s="26">
        <f>IFERROR(__xludf.DUMMYFUNCTION("""COMPUTED_VALUE"""),12.12)</f>
        <v>12.12</v>
      </c>
      <c r="M105" s="26">
        <f>IFERROR(__xludf.DUMMYFUNCTION("""COMPUTED_VALUE"""),453.8)</f>
        <v>453.8</v>
      </c>
      <c r="N105" s="26">
        <f>IFERROR(__xludf.DUMMYFUNCTION("""COMPUTED_VALUE"""),58.4)</f>
        <v>58.4</v>
      </c>
      <c r="O105" s="26">
        <f>IFERROR(__xludf.DUMMYFUNCTION("""COMPUTED_VALUE"""),182.3)</f>
        <v>182.3</v>
      </c>
      <c r="P105" s="26">
        <f>IFERROR(__xludf.DUMMYFUNCTION("""COMPUTED_VALUE"""),80.84)</f>
        <v>80.84</v>
      </c>
      <c r="Q105" s="26">
        <f>IFERROR(__xludf.DUMMYFUNCTION("""COMPUTED_VALUE"""),387.96)</f>
        <v>387.96</v>
      </c>
      <c r="R105" s="26">
        <f>IFERROR(__xludf.DUMMYFUNCTION("""COMPUTED_VALUE"""),51.58)</f>
        <v>51.58</v>
      </c>
      <c r="S105" s="26">
        <f>IFERROR(__xludf.DUMMYFUNCTION("""COMPUTED_VALUE"""),197.54)</f>
        <v>197.54</v>
      </c>
      <c r="T105" s="26">
        <f>IFERROR(__xludf.DUMMYFUNCTION("""COMPUTED_VALUE"""),148.75)</f>
        <v>148.75</v>
      </c>
      <c r="U105" s="26">
        <f>IFERROR(__xludf.DUMMYFUNCTION("""COMPUTED_VALUE"""),343.93)</f>
        <v>343.93</v>
      </c>
      <c r="V105" s="26">
        <f>IFERROR(__xludf.DUMMYFUNCTION("""COMPUTED_VALUE"""),41.21)</f>
        <v>41.21</v>
      </c>
      <c r="W105" s="26">
        <f>IFERROR(__xludf.DUMMYFUNCTION("""COMPUTED_VALUE"""),69.18)</f>
        <v>69.18</v>
      </c>
      <c r="X105" s="26">
        <f>IFERROR(__xludf.DUMMYFUNCTION("""COMPUTED_VALUE"""),102.11)</f>
        <v>102.11</v>
      </c>
      <c r="Y105" s="26">
        <f>IFERROR(__xludf.DUMMYFUNCTION("""COMPUTED_VALUE"""),158.28)</f>
        <v>158.28</v>
      </c>
      <c r="Z105" s="26">
        <f>IFERROR(__xludf.DUMMYFUNCTION("""COMPUTED_VALUE"""),69.48)</f>
        <v>69.48</v>
      </c>
      <c r="AA105" s="26">
        <f>IFERROR(__xludf.DUMMYFUNCTION("""COMPUTED_VALUE"""),411.15)</f>
        <v>411.15</v>
      </c>
      <c r="AB105" s="26">
        <f>IFERROR(__xludf.DUMMYFUNCTION("""COMPUTED_VALUE"""),67.17)</f>
        <v>67.17</v>
      </c>
      <c r="AC105" s="26">
        <f>IFERROR(__xludf.DUMMYFUNCTION("""COMPUTED_VALUE"""),122.04)</f>
        <v>122.04</v>
      </c>
      <c r="AD105" s="26">
        <f>IFERROR(__xludf.DUMMYFUNCTION("""COMPUTED_VALUE"""),261.4)</f>
        <v>261.4</v>
      </c>
      <c r="AE105" s="26">
        <f>IFERROR(__xludf.DUMMYFUNCTION("""COMPUTED_VALUE"""),461.06)</f>
        <v>461.06</v>
      </c>
      <c r="AF105" s="26">
        <f>IFERROR(__xludf.DUMMYFUNCTION("""COMPUTED_VALUE"""),296.9)</f>
        <v>296.9</v>
      </c>
      <c r="AG105" s="26">
        <f>IFERROR(__xludf.DUMMYFUNCTION("""COMPUTED_VALUE"""),46.01)</f>
        <v>46.01</v>
      </c>
      <c r="AH105" s="26">
        <f>IFERROR(__xludf.DUMMYFUNCTION("""COMPUTED_VALUE"""),85.21)</f>
        <v>85.21</v>
      </c>
      <c r="AI105" s="26">
        <f>IFERROR(__xludf.DUMMYFUNCTION("""COMPUTED_VALUE"""),496.57)</f>
        <v>496.57</v>
      </c>
      <c r="AJ105" s="26">
        <f>IFERROR(__xludf.DUMMYFUNCTION("""COMPUTED_VALUE"""),414.18)</f>
        <v>414.18</v>
      </c>
      <c r="AK105" s="26">
        <f>IFERROR(__xludf.DUMMYFUNCTION("""COMPUTED_VALUE"""),106.03)</f>
        <v>106.03</v>
      </c>
      <c r="AL105" s="26">
        <f>IFERROR(__xludf.DUMMYFUNCTION("""COMPUTED_VALUE"""),162.09)</f>
        <v>162.09</v>
      </c>
      <c r="AM105" s="26">
        <f>IFERROR(__xludf.DUMMYFUNCTION("""COMPUTED_VALUE"""),480.79)</f>
        <v>480.79</v>
      </c>
      <c r="AN105" s="26">
        <f>IFERROR(__xludf.DUMMYFUNCTION("""COMPUTED_VALUE"""),210.75)</f>
        <v>210.75</v>
      </c>
      <c r="AO105" s="26">
        <f>IFERROR(__xludf.DUMMYFUNCTION("""COMPUTED_VALUE"""),608.05)</f>
        <v>608.05</v>
      </c>
      <c r="AP105" s="26">
        <f>IFERROR(__xludf.DUMMYFUNCTION("""COMPUTED_VALUE"""),276.59)</f>
        <v>276.59</v>
      </c>
      <c r="AQ105" s="26">
        <f>IFERROR(__xludf.DUMMYFUNCTION("""COMPUTED_VALUE"""),29.82)</f>
        <v>29.82</v>
      </c>
      <c r="AR105" s="26">
        <f>IFERROR(__xludf.DUMMYFUNCTION("""COMPUTED_VALUE"""),88.14)</f>
        <v>88.14</v>
      </c>
      <c r="AS105" s="26">
        <f>IFERROR(__xludf.DUMMYFUNCTION("""COMPUTED_VALUE"""),83.28)</f>
        <v>83.28</v>
      </c>
      <c r="AT105" s="26">
        <f>IFERROR(__xludf.DUMMYFUNCTION("""COMPUTED_VALUE"""),414.71)</f>
        <v>414.71</v>
      </c>
      <c r="AU105" s="26">
        <f>IFERROR(__xludf.DUMMYFUNCTION("""COMPUTED_VALUE"""),80.5)</f>
        <v>80.5</v>
      </c>
      <c r="AV105" s="26">
        <f>IFERROR(__xludf.DUMMYFUNCTION("""COMPUTED_VALUE"""),132.89)</f>
        <v>132.89</v>
      </c>
      <c r="AW105" s="26">
        <f>IFERROR(__xludf.DUMMYFUNCTION("""COMPUTED_VALUE"""),101.15)</f>
        <v>101.15</v>
      </c>
      <c r="AX105" s="26">
        <f>IFERROR(__xludf.DUMMYFUNCTION("""COMPUTED_VALUE"""),51.75)</f>
        <v>51.75</v>
      </c>
      <c r="AY105" s="26">
        <f>IFERROR(__xludf.DUMMYFUNCTION("""COMPUTED_VALUE"""),41.45)</f>
        <v>41.45</v>
      </c>
      <c r="AZ105" s="26">
        <f>IFERROR(__xludf.DUMMYFUNCTION("""COMPUTED_VALUE"""),81.16)</f>
        <v>81.16</v>
      </c>
      <c r="BA105" s="26">
        <f>IFERROR(__xludf.DUMMYFUNCTION("""COMPUTED_VALUE"""),29.18)</f>
        <v>29.18</v>
      </c>
      <c r="BB105" s="26">
        <f>IFERROR(__xludf.DUMMYFUNCTION("""COMPUTED_VALUE"""),123.5)</f>
        <v>123.5</v>
      </c>
      <c r="BC105" s="26">
        <f>IFERROR(__xludf.DUMMYFUNCTION("""COMPUTED_VALUE"""),211.17)</f>
        <v>211.17</v>
      </c>
      <c r="BD105" s="26">
        <f>IFERROR(__xludf.DUMMYFUNCTION("""COMPUTED_VALUE"""),595.45)</f>
        <v>595.45</v>
      </c>
      <c r="BE105" s="26">
        <f>IFERROR(__xludf.DUMMYFUNCTION("""COMPUTED_VALUE"""),175.76)</f>
        <v>175.76</v>
      </c>
      <c r="BF105" s="26">
        <f>IFERROR(__xludf.DUMMYFUNCTION("""COMPUTED_VALUE"""),138.12)</f>
        <v>138.12</v>
      </c>
      <c r="BG105" s="26">
        <f>IFERROR(__xludf.DUMMYFUNCTION("""COMPUTED_VALUE"""),8.49)</f>
        <v>8.49</v>
      </c>
      <c r="BH105" s="26">
        <f>IFERROR(__xludf.DUMMYFUNCTION("""COMPUTED_VALUE"""),237.56)</f>
        <v>237.56</v>
      </c>
      <c r="BI105" s="26">
        <f>IFERROR(__xludf.DUMMYFUNCTION("""COMPUTED_VALUE"""),581.58)</f>
        <v>581.58</v>
      </c>
      <c r="BJ105" s="26">
        <f>IFERROR(__xludf.DUMMYFUNCTION("""COMPUTED_VALUE"""),48.86)</f>
        <v>48.86</v>
      </c>
      <c r="BK105" s="26">
        <f>IFERROR(__xludf.DUMMYFUNCTION("""COMPUTED_VALUE"""),11.32)</f>
        <v>11.32</v>
      </c>
      <c r="BL105" s="26">
        <f>IFERROR(__xludf.DUMMYFUNCTION("""COMPUTED_VALUE"""),208.68)</f>
        <v>208.68</v>
      </c>
      <c r="BM105" s="26">
        <f>IFERROR(__xludf.DUMMYFUNCTION("""COMPUTED_VALUE"""),92.51)</f>
        <v>92.51</v>
      </c>
    </row>
    <row r="106">
      <c r="A106" s="25">
        <v>45574.66666666667</v>
      </c>
      <c r="B106" s="17">
        <f>IFERROR(__xludf.DUMMYFUNCTION("""COMPUTED_VALUE"""),5792.04)</f>
        <v>5792.04</v>
      </c>
      <c r="C106" s="17">
        <f>IFERROR(__xludf.DUMMYFUNCTION("""COMPUTED_VALUE"""),18291.62)</f>
        <v>18291.62</v>
      </c>
      <c r="D106" s="17">
        <f>IFERROR(__xludf.DUMMYFUNCTION("""COMPUTED_VALUE"""),42512.0)</f>
        <v>42512</v>
      </c>
      <c r="E106" s="17">
        <f>IFERROR(__xludf.DUMMYFUNCTION("""COMPUTED_VALUE"""),2200.59)</f>
        <v>2200.59</v>
      </c>
      <c r="F106" s="26">
        <f>IFERROR(__xludf.DUMMYFUNCTION("""COMPUTED_VALUE"""),494.08)</f>
        <v>494.08</v>
      </c>
      <c r="G106" s="26">
        <f>IFERROR(__xludf.DUMMYFUNCTION("""COMPUTED_VALUE"""),185.17)</f>
        <v>185.17</v>
      </c>
      <c r="H106" s="26">
        <f>IFERROR(__xludf.DUMMYFUNCTION("""COMPUTED_VALUE"""),136.18)</f>
        <v>136.18</v>
      </c>
      <c r="I106" s="26">
        <f>IFERROR(__xludf.DUMMYFUNCTION("""COMPUTED_VALUE"""),229.54)</f>
        <v>229.54</v>
      </c>
      <c r="J106" s="26">
        <f>IFERROR(__xludf.DUMMYFUNCTION("""COMPUTED_VALUE"""),205.06)</f>
        <v>205.06</v>
      </c>
      <c r="K106" s="26">
        <f>IFERROR(__xludf.DUMMYFUNCTION("""COMPUTED_VALUE"""),74.02)</f>
        <v>74.02</v>
      </c>
      <c r="L106" s="26">
        <f>IFERROR(__xludf.DUMMYFUNCTION("""COMPUTED_VALUE"""),12.19)</f>
        <v>12.19</v>
      </c>
      <c r="M106" s="26">
        <f>IFERROR(__xludf.DUMMYFUNCTION("""COMPUTED_VALUE"""),455.9)</f>
        <v>455.9</v>
      </c>
      <c r="N106" s="26">
        <f>IFERROR(__xludf.DUMMYFUNCTION("""COMPUTED_VALUE"""),58.18)</f>
        <v>58.18</v>
      </c>
      <c r="O106" s="26">
        <f>IFERROR(__xludf.DUMMYFUNCTION("""COMPUTED_VALUE"""),185.76)</f>
        <v>185.76</v>
      </c>
      <c r="P106" s="26">
        <f>IFERROR(__xludf.DUMMYFUNCTION("""COMPUTED_VALUE"""),82.08)</f>
        <v>82.08</v>
      </c>
      <c r="Q106" s="26">
        <f>IFERROR(__xludf.DUMMYFUNCTION("""COMPUTED_VALUE"""),396.19)</f>
        <v>396.19</v>
      </c>
      <c r="R106" s="26">
        <f>IFERROR(__xludf.DUMMYFUNCTION("""COMPUTED_VALUE"""),50.58)</f>
        <v>50.58</v>
      </c>
      <c r="S106" s="26">
        <f>IFERROR(__xludf.DUMMYFUNCTION("""COMPUTED_VALUE"""),203.42)</f>
        <v>203.42</v>
      </c>
      <c r="T106" s="26">
        <f>IFERROR(__xludf.DUMMYFUNCTION("""COMPUTED_VALUE"""),149.65)</f>
        <v>149.65</v>
      </c>
      <c r="U106" s="26">
        <f>IFERROR(__xludf.DUMMYFUNCTION("""COMPUTED_VALUE"""),346.72)</f>
        <v>346.72</v>
      </c>
      <c r="V106" s="26">
        <f>IFERROR(__xludf.DUMMYFUNCTION("""COMPUTED_VALUE"""),41.47)</f>
        <v>41.47</v>
      </c>
      <c r="W106" s="26">
        <f>IFERROR(__xludf.DUMMYFUNCTION("""COMPUTED_VALUE"""),69.57)</f>
        <v>69.57</v>
      </c>
      <c r="X106" s="26">
        <f>IFERROR(__xludf.DUMMYFUNCTION("""COMPUTED_VALUE"""),102.37)</f>
        <v>102.37</v>
      </c>
      <c r="Y106" s="26">
        <f>IFERROR(__xludf.DUMMYFUNCTION("""COMPUTED_VALUE"""),159.13)</f>
        <v>159.13</v>
      </c>
      <c r="Z106" s="26">
        <f>IFERROR(__xludf.DUMMYFUNCTION("""COMPUTED_VALUE"""),69.63)</f>
        <v>69.63</v>
      </c>
      <c r="AA106" s="26">
        <f>IFERROR(__xludf.DUMMYFUNCTION("""COMPUTED_VALUE"""),413.2)</f>
        <v>413.2</v>
      </c>
      <c r="AB106" s="26">
        <f>IFERROR(__xludf.DUMMYFUNCTION("""COMPUTED_VALUE"""),66.95)</f>
        <v>66.95</v>
      </c>
      <c r="AC106" s="26">
        <f>IFERROR(__xludf.DUMMYFUNCTION("""COMPUTED_VALUE"""),122.09)</f>
        <v>122.09</v>
      </c>
      <c r="AD106" s="26">
        <f>IFERROR(__xludf.DUMMYFUNCTION("""COMPUTED_VALUE"""),264.64)</f>
        <v>264.64</v>
      </c>
      <c r="AE106" s="26">
        <f>IFERROR(__xludf.DUMMYFUNCTION("""COMPUTED_VALUE"""),456.5)</f>
        <v>456.5</v>
      </c>
      <c r="AF106" s="26">
        <f>IFERROR(__xludf.DUMMYFUNCTION("""COMPUTED_VALUE"""),298.69)</f>
        <v>298.69</v>
      </c>
      <c r="AG106" s="26">
        <f>IFERROR(__xludf.DUMMYFUNCTION("""COMPUTED_VALUE"""),47.93)</f>
        <v>47.93</v>
      </c>
      <c r="AH106" s="26">
        <f>IFERROR(__xludf.DUMMYFUNCTION("""COMPUTED_VALUE"""),86.14)</f>
        <v>86.14</v>
      </c>
      <c r="AI106" s="26">
        <f>IFERROR(__xludf.DUMMYFUNCTION("""COMPUTED_VALUE"""),505.18)</f>
        <v>505.18</v>
      </c>
      <c r="AJ106" s="26">
        <f>IFERROR(__xludf.DUMMYFUNCTION("""COMPUTED_VALUE"""),416.07)</f>
        <v>416.07</v>
      </c>
      <c r="AK106" s="26">
        <f>IFERROR(__xludf.DUMMYFUNCTION("""COMPUTED_VALUE"""),105.75)</f>
        <v>105.75</v>
      </c>
      <c r="AL106" s="26">
        <f>IFERROR(__xludf.DUMMYFUNCTION("""COMPUTED_VALUE"""),161.74)</f>
        <v>161.74</v>
      </c>
      <c r="AM106" s="26">
        <f>IFERROR(__xludf.DUMMYFUNCTION("""COMPUTED_VALUE"""),490.38)</f>
        <v>490.38</v>
      </c>
      <c r="AN106" s="26">
        <f>IFERROR(__xludf.DUMMYFUNCTION("""COMPUTED_VALUE"""),213.42)</f>
        <v>213.42</v>
      </c>
      <c r="AO106" s="26">
        <f>IFERROR(__xludf.DUMMYFUNCTION("""COMPUTED_VALUE"""),605.11)</f>
        <v>605.11</v>
      </c>
      <c r="AP106" s="26">
        <f>IFERROR(__xludf.DUMMYFUNCTION("""COMPUTED_VALUE"""),274.12)</f>
        <v>274.12</v>
      </c>
      <c r="AQ106" s="26">
        <f>IFERROR(__xludf.DUMMYFUNCTION("""COMPUTED_VALUE"""),29.77)</f>
        <v>29.77</v>
      </c>
      <c r="AR106" s="26">
        <f>IFERROR(__xludf.DUMMYFUNCTION("""COMPUTED_VALUE"""),88.35)</f>
        <v>88.35</v>
      </c>
      <c r="AS106" s="26">
        <f>IFERROR(__xludf.DUMMYFUNCTION("""COMPUTED_VALUE"""),84.54)</f>
        <v>84.54</v>
      </c>
      <c r="AT106" s="26">
        <f>IFERROR(__xludf.DUMMYFUNCTION("""COMPUTED_VALUE"""),417.46)</f>
        <v>417.46</v>
      </c>
      <c r="AU106" s="26">
        <f>IFERROR(__xludf.DUMMYFUNCTION("""COMPUTED_VALUE"""),80.58)</f>
        <v>80.58</v>
      </c>
      <c r="AV106" s="26">
        <f>IFERROR(__xludf.DUMMYFUNCTION("""COMPUTED_VALUE"""),132.65)</f>
        <v>132.65</v>
      </c>
      <c r="AW106" s="26">
        <f>IFERROR(__xludf.DUMMYFUNCTION("""COMPUTED_VALUE"""),102.9)</f>
        <v>102.9</v>
      </c>
      <c r="AX106" s="26">
        <f>IFERROR(__xludf.DUMMYFUNCTION("""COMPUTED_VALUE"""),50.95)</f>
        <v>50.95</v>
      </c>
      <c r="AY106" s="26">
        <f>IFERROR(__xludf.DUMMYFUNCTION("""COMPUTED_VALUE"""),43.13)</f>
        <v>43.13</v>
      </c>
      <c r="AZ106" s="26">
        <f>IFERROR(__xludf.DUMMYFUNCTION("""COMPUTED_VALUE"""),81.65)</f>
        <v>81.65</v>
      </c>
      <c r="BA106" s="26">
        <f>IFERROR(__xludf.DUMMYFUNCTION("""COMPUTED_VALUE"""),30.19)</f>
        <v>30.19</v>
      </c>
      <c r="BB106" s="26">
        <f>IFERROR(__xludf.DUMMYFUNCTION("""COMPUTED_VALUE"""),123.95)</f>
        <v>123.95</v>
      </c>
      <c r="BC106" s="26">
        <f>IFERROR(__xludf.DUMMYFUNCTION("""COMPUTED_VALUE"""),212.09)</f>
        <v>212.09</v>
      </c>
      <c r="BD106" s="26">
        <f>IFERROR(__xludf.DUMMYFUNCTION("""COMPUTED_VALUE"""),599.25)</f>
        <v>599.25</v>
      </c>
      <c r="BE106" s="26">
        <f>IFERROR(__xludf.DUMMYFUNCTION("""COMPUTED_VALUE"""),173.99)</f>
        <v>173.99</v>
      </c>
      <c r="BF106" s="26">
        <f>IFERROR(__xludf.DUMMYFUNCTION("""COMPUTED_VALUE"""),137.18)</f>
        <v>137.18</v>
      </c>
      <c r="BG106" s="26">
        <f>IFERROR(__xludf.DUMMYFUNCTION("""COMPUTED_VALUE"""),8.41)</f>
        <v>8.41</v>
      </c>
      <c r="BH106" s="26">
        <f>IFERROR(__xludf.DUMMYFUNCTION("""COMPUTED_VALUE"""),237.68)</f>
        <v>237.68</v>
      </c>
      <c r="BI106" s="26">
        <f>IFERROR(__xludf.DUMMYFUNCTION("""COMPUTED_VALUE"""),591.22)</f>
        <v>591.22</v>
      </c>
      <c r="BJ106" s="26">
        <f>IFERROR(__xludf.DUMMYFUNCTION("""COMPUTED_VALUE"""),48.82)</f>
        <v>48.82</v>
      </c>
      <c r="BK106" s="26">
        <f>IFERROR(__xludf.DUMMYFUNCTION("""COMPUTED_VALUE"""),11.41)</f>
        <v>11.41</v>
      </c>
      <c r="BL106" s="26">
        <f>IFERROR(__xludf.DUMMYFUNCTION("""COMPUTED_VALUE"""),212.23)</f>
        <v>212.23</v>
      </c>
      <c r="BM106" s="26">
        <f>IFERROR(__xludf.DUMMYFUNCTION("""COMPUTED_VALUE"""),93.6)</f>
        <v>93.6</v>
      </c>
    </row>
    <row r="107">
      <c r="A107" s="25">
        <v>45575.66666666667</v>
      </c>
      <c r="B107" s="17">
        <f>IFERROR(__xludf.DUMMYFUNCTION("""COMPUTED_VALUE"""),5780.05)</f>
        <v>5780.05</v>
      </c>
      <c r="C107" s="17">
        <f>IFERROR(__xludf.DUMMYFUNCTION("""COMPUTED_VALUE"""),18282.05)</f>
        <v>18282.05</v>
      </c>
      <c r="D107" s="17">
        <f>IFERROR(__xludf.DUMMYFUNCTION("""COMPUTED_VALUE"""),42454.12)</f>
        <v>42454.12</v>
      </c>
      <c r="E107" s="17">
        <f>IFERROR(__xludf.DUMMYFUNCTION("""COMPUTED_VALUE"""),2188.42)</f>
        <v>2188.42</v>
      </c>
      <c r="F107" s="26">
        <f>IFERROR(__xludf.DUMMYFUNCTION("""COMPUTED_VALUE"""),503.57)</f>
        <v>503.57</v>
      </c>
      <c r="G107" s="26">
        <f>IFERROR(__xludf.DUMMYFUNCTION("""COMPUTED_VALUE"""),186.65)</f>
        <v>186.65</v>
      </c>
      <c r="H107" s="26">
        <f>IFERROR(__xludf.DUMMYFUNCTION("""COMPUTED_VALUE"""),136.22)</f>
        <v>136.22</v>
      </c>
      <c r="I107" s="26">
        <f>IFERROR(__xludf.DUMMYFUNCTION("""COMPUTED_VALUE"""),229.04)</f>
        <v>229.04</v>
      </c>
      <c r="J107" s="26">
        <f>IFERROR(__xludf.DUMMYFUNCTION("""COMPUTED_VALUE"""),203.96)</f>
        <v>203.96</v>
      </c>
      <c r="K107" s="26">
        <f>IFERROR(__xludf.DUMMYFUNCTION("""COMPUTED_VALUE"""),74.45)</f>
        <v>74.45</v>
      </c>
      <c r="L107" s="26">
        <f>IFERROR(__xludf.DUMMYFUNCTION("""COMPUTED_VALUE"""),12.26)</f>
        <v>12.26</v>
      </c>
      <c r="M107" s="26">
        <f>IFERROR(__xludf.DUMMYFUNCTION("""COMPUTED_VALUE"""),454.93)</f>
        <v>454.93</v>
      </c>
      <c r="N107" s="26">
        <f>IFERROR(__xludf.DUMMYFUNCTION("""COMPUTED_VALUE"""),58.91)</f>
        <v>58.91</v>
      </c>
      <c r="O107" s="26">
        <f>IFERROR(__xludf.DUMMYFUNCTION("""COMPUTED_VALUE"""),188.59)</f>
        <v>188.59</v>
      </c>
      <c r="P107" s="26">
        <f>IFERROR(__xludf.DUMMYFUNCTION("""COMPUTED_VALUE"""),80.43)</f>
        <v>80.43</v>
      </c>
      <c r="Q107" s="26">
        <f>IFERROR(__xludf.DUMMYFUNCTION("""COMPUTED_VALUE"""),396.64)</f>
        <v>396.64</v>
      </c>
      <c r="R107" s="26">
        <f>IFERROR(__xludf.DUMMYFUNCTION("""COMPUTED_VALUE"""),50.49)</f>
        <v>50.49</v>
      </c>
      <c r="S107" s="26">
        <f>IFERROR(__xludf.DUMMYFUNCTION("""COMPUTED_VALUE"""),209.01)</f>
        <v>209.01</v>
      </c>
      <c r="T107" s="26">
        <f>IFERROR(__xludf.DUMMYFUNCTION("""COMPUTED_VALUE"""),150.62)</f>
        <v>150.62</v>
      </c>
      <c r="U107" s="26">
        <f>IFERROR(__xludf.DUMMYFUNCTION("""COMPUTED_VALUE"""),350.5)</f>
        <v>350.5</v>
      </c>
      <c r="V107" s="26">
        <f>IFERROR(__xludf.DUMMYFUNCTION("""COMPUTED_VALUE"""),41.3)</f>
        <v>41.3</v>
      </c>
      <c r="W107" s="26">
        <f>IFERROR(__xludf.DUMMYFUNCTION("""COMPUTED_VALUE"""),69.25)</f>
        <v>69.25</v>
      </c>
      <c r="X107" s="26">
        <f>IFERROR(__xludf.DUMMYFUNCTION("""COMPUTED_VALUE"""),101.58)</f>
        <v>101.58</v>
      </c>
      <c r="Y107" s="26">
        <f>IFERROR(__xludf.DUMMYFUNCTION("""COMPUTED_VALUE"""),158.85)</f>
        <v>158.85</v>
      </c>
      <c r="Z107" s="26">
        <f>IFERROR(__xludf.DUMMYFUNCTION("""COMPUTED_VALUE"""),69.36)</f>
        <v>69.36</v>
      </c>
      <c r="AA107" s="26">
        <f>IFERROR(__xludf.DUMMYFUNCTION("""COMPUTED_VALUE"""),408.75)</f>
        <v>408.75</v>
      </c>
      <c r="AB107" s="26">
        <f>IFERROR(__xludf.DUMMYFUNCTION("""COMPUTED_VALUE"""),66.05)</f>
        <v>66.05</v>
      </c>
      <c r="AC107" s="26">
        <f>IFERROR(__xludf.DUMMYFUNCTION("""COMPUTED_VALUE"""),123.14)</f>
        <v>123.14</v>
      </c>
      <c r="AD107" s="26">
        <f>IFERROR(__xludf.DUMMYFUNCTION("""COMPUTED_VALUE"""),264.27)</f>
        <v>264.27</v>
      </c>
      <c r="AE107" s="26">
        <f>IFERROR(__xludf.DUMMYFUNCTION("""COMPUTED_VALUE"""),453.27)</f>
        <v>453.27</v>
      </c>
      <c r="AF107" s="26">
        <f>IFERROR(__xludf.DUMMYFUNCTION("""COMPUTED_VALUE"""),296.05)</f>
        <v>296.05</v>
      </c>
      <c r="AG107" s="26">
        <f>IFERROR(__xludf.DUMMYFUNCTION("""COMPUTED_VALUE"""),47.69)</f>
        <v>47.69</v>
      </c>
      <c r="AH107" s="26">
        <f>IFERROR(__xludf.DUMMYFUNCTION("""COMPUTED_VALUE"""),84.67)</f>
        <v>84.67</v>
      </c>
      <c r="AI107" s="26">
        <f>IFERROR(__xludf.DUMMYFUNCTION("""COMPUTED_VALUE"""),503.72)</f>
        <v>503.72</v>
      </c>
      <c r="AJ107" s="26">
        <f>IFERROR(__xludf.DUMMYFUNCTION("""COMPUTED_VALUE"""),409.96)</f>
        <v>409.96</v>
      </c>
      <c r="AK107" s="26">
        <f>IFERROR(__xludf.DUMMYFUNCTION("""COMPUTED_VALUE"""),105.39)</f>
        <v>105.39</v>
      </c>
      <c r="AL107" s="26">
        <f>IFERROR(__xludf.DUMMYFUNCTION("""COMPUTED_VALUE"""),160.65)</f>
        <v>160.65</v>
      </c>
      <c r="AM107" s="26">
        <f>IFERROR(__xludf.DUMMYFUNCTION("""COMPUTED_VALUE"""),483.84)</f>
        <v>483.84</v>
      </c>
      <c r="AN107" s="26">
        <f>IFERROR(__xludf.DUMMYFUNCTION("""COMPUTED_VALUE"""),212.84)</f>
        <v>212.84</v>
      </c>
      <c r="AO107" s="26">
        <f>IFERROR(__xludf.DUMMYFUNCTION("""COMPUTED_VALUE"""),597.49)</f>
        <v>597.49</v>
      </c>
      <c r="AP107" s="26">
        <f>IFERROR(__xludf.DUMMYFUNCTION("""COMPUTED_VALUE"""),273.58)</f>
        <v>273.58</v>
      </c>
      <c r="AQ107" s="26">
        <f>IFERROR(__xludf.DUMMYFUNCTION("""COMPUTED_VALUE"""),30.09)</f>
        <v>30.09</v>
      </c>
      <c r="AR107" s="26">
        <f>IFERROR(__xludf.DUMMYFUNCTION("""COMPUTED_VALUE"""),88.85)</f>
        <v>88.85</v>
      </c>
      <c r="AS107" s="26">
        <f>IFERROR(__xludf.DUMMYFUNCTION("""COMPUTED_VALUE"""),84.03)</f>
        <v>84.03</v>
      </c>
      <c r="AT107" s="26">
        <f>IFERROR(__xludf.DUMMYFUNCTION("""COMPUTED_VALUE"""),415.84)</f>
        <v>415.84</v>
      </c>
      <c r="AU107" s="26">
        <f>IFERROR(__xludf.DUMMYFUNCTION("""COMPUTED_VALUE"""),80.94)</f>
        <v>80.94</v>
      </c>
      <c r="AV107" s="26">
        <f>IFERROR(__xludf.DUMMYFUNCTION("""COMPUTED_VALUE"""),134.81)</f>
        <v>134.81</v>
      </c>
      <c r="AW107" s="26">
        <f>IFERROR(__xludf.DUMMYFUNCTION("""COMPUTED_VALUE"""),102.98)</f>
        <v>102.98</v>
      </c>
      <c r="AX107" s="26">
        <f>IFERROR(__xludf.DUMMYFUNCTION("""COMPUTED_VALUE"""),49.95)</f>
        <v>49.95</v>
      </c>
      <c r="AY107" s="26">
        <f>IFERROR(__xludf.DUMMYFUNCTION("""COMPUTED_VALUE"""),43.52)</f>
        <v>43.52</v>
      </c>
      <c r="AZ107" s="26">
        <f>IFERROR(__xludf.DUMMYFUNCTION("""COMPUTED_VALUE"""),78.98)</f>
        <v>78.98</v>
      </c>
      <c r="BA107" s="26">
        <f>IFERROR(__xludf.DUMMYFUNCTION("""COMPUTED_VALUE"""),29.34)</f>
        <v>29.34</v>
      </c>
      <c r="BB107" s="26">
        <f>IFERROR(__xludf.DUMMYFUNCTION("""COMPUTED_VALUE"""),122.94)</f>
        <v>122.94</v>
      </c>
      <c r="BC107" s="26">
        <f>IFERROR(__xludf.DUMMYFUNCTION("""COMPUTED_VALUE"""),211.45)</f>
        <v>211.45</v>
      </c>
      <c r="BD107" s="26">
        <f>IFERROR(__xludf.DUMMYFUNCTION("""COMPUTED_VALUE"""),593.79)</f>
        <v>593.79</v>
      </c>
      <c r="BE107" s="26">
        <f>IFERROR(__xludf.DUMMYFUNCTION("""COMPUTED_VALUE"""),174.35)</f>
        <v>174.35</v>
      </c>
      <c r="BF107" s="26">
        <f>IFERROR(__xludf.DUMMYFUNCTION("""COMPUTED_VALUE"""),135.9)</f>
        <v>135.9</v>
      </c>
      <c r="BG107" s="26">
        <f>IFERROR(__xludf.DUMMYFUNCTION("""COMPUTED_VALUE"""),8.36)</f>
        <v>8.36</v>
      </c>
      <c r="BH107" s="26">
        <f>IFERROR(__xludf.DUMMYFUNCTION("""COMPUTED_VALUE"""),238.82)</f>
        <v>238.82</v>
      </c>
      <c r="BI107" s="26">
        <f>IFERROR(__xludf.DUMMYFUNCTION("""COMPUTED_VALUE"""),597.7)</f>
        <v>597.7</v>
      </c>
      <c r="BJ107" s="26">
        <f>IFERROR(__xludf.DUMMYFUNCTION("""COMPUTED_VALUE"""),48.94)</f>
        <v>48.94</v>
      </c>
      <c r="BK107" s="26">
        <f>IFERROR(__xludf.DUMMYFUNCTION("""COMPUTED_VALUE"""),11.33)</f>
        <v>11.33</v>
      </c>
      <c r="BL107" s="26">
        <f>IFERROR(__xludf.DUMMYFUNCTION("""COMPUTED_VALUE"""),211.24)</f>
        <v>211.24</v>
      </c>
      <c r="BM107" s="26">
        <f>IFERROR(__xludf.DUMMYFUNCTION("""COMPUTED_VALUE"""),92.99)</f>
        <v>92.99</v>
      </c>
    </row>
    <row r="108">
      <c r="A108" s="25">
        <v>45576.66666666667</v>
      </c>
      <c r="B108" s="17">
        <f>IFERROR(__xludf.DUMMYFUNCTION("""COMPUTED_VALUE"""),5815.03)</f>
        <v>5815.03</v>
      </c>
      <c r="C108" s="17">
        <f>IFERROR(__xludf.DUMMYFUNCTION("""COMPUTED_VALUE"""),18342.94)</f>
        <v>18342.94</v>
      </c>
      <c r="D108" s="17">
        <f>IFERROR(__xludf.DUMMYFUNCTION("""COMPUTED_VALUE"""),42863.86)</f>
        <v>42863.86</v>
      </c>
      <c r="E108" s="17">
        <f>IFERROR(__xludf.DUMMYFUNCTION("""COMPUTED_VALUE"""),2234.41)</f>
        <v>2234.41</v>
      </c>
      <c r="F108" s="26">
        <f>IFERROR(__xludf.DUMMYFUNCTION("""COMPUTED_VALUE"""),495.42)</f>
        <v>495.42</v>
      </c>
      <c r="G108" s="26">
        <f>IFERROR(__xludf.DUMMYFUNCTION("""COMPUTED_VALUE"""),188.82)</f>
        <v>188.82</v>
      </c>
      <c r="H108" s="26">
        <f>IFERROR(__xludf.DUMMYFUNCTION("""COMPUTED_VALUE"""),138.87)</f>
        <v>138.87</v>
      </c>
      <c r="I108" s="26">
        <f>IFERROR(__xludf.DUMMYFUNCTION("""COMPUTED_VALUE"""),227.55)</f>
        <v>227.55</v>
      </c>
      <c r="J108" s="26">
        <f>IFERROR(__xludf.DUMMYFUNCTION("""COMPUTED_VALUE"""),205.06)</f>
        <v>205.06</v>
      </c>
      <c r="K108" s="26">
        <f>IFERROR(__xludf.DUMMYFUNCTION("""COMPUTED_VALUE"""),74.15)</f>
        <v>74.15</v>
      </c>
      <c r="L108" s="26">
        <f>IFERROR(__xludf.DUMMYFUNCTION("""COMPUTED_VALUE"""),12.45)</f>
        <v>12.45</v>
      </c>
      <c r="M108" s="26">
        <f>IFERROR(__xludf.DUMMYFUNCTION("""COMPUTED_VALUE"""),460.21)</f>
        <v>460.21</v>
      </c>
      <c r="N108" s="26">
        <f>IFERROR(__xludf.DUMMYFUNCTION("""COMPUTED_VALUE"""),58.95)</f>
        <v>58.95</v>
      </c>
      <c r="O108" s="26">
        <f>IFERROR(__xludf.DUMMYFUNCTION("""COMPUTED_VALUE"""),188.38)</f>
        <v>188.38</v>
      </c>
      <c r="P108" s="26">
        <f>IFERROR(__xludf.DUMMYFUNCTION("""COMPUTED_VALUE"""),81.61)</f>
        <v>81.61</v>
      </c>
      <c r="Q108" s="26">
        <f>IFERROR(__xludf.DUMMYFUNCTION("""COMPUTED_VALUE"""),402.02)</f>
        <v>402.02</v>
      </c>
      <c r="R108" s="26">
        <f>IFERROR(__xludf.DUMMYFUNCTION("""COMPUTED_VALUE"""),51.35)</f>
        <v>51.35</v>
      </c>
      <c r="S108" s="26">
        <f>IFERROR(__xludf.DUMMYFUNCTION("""COMPUTED_VALUE"""),208.54)</f>
        <v>208.54</v>
      </c>
      <c r="T108" s="26">
        <f>IFERROR(__xludf.DUMMYFUNCTION("""COMPUTED_VALUE"""),151.42)</f>
        <v>151.42</v>
      </c>
      <c r="U108" s="26">
        <f>IFERROR(__xludf.DUMMYFUNCTION("""COMPUTED_VALUE"""),350.3)</f>
        <v>350.3</v>
      </c>
      <c r="V108" s="26">
        <f>IFERROR(__xludf.DUMMYFUNCTION("""COMPUTED_VALUE"""),42.61)</f>
        <v>42.61</v>
      </c>
      <c r="W108" s="26">
        <f>IFERROR(__xludf.DUMMYFUNCTION("""COMPUTED_VALUE"""),69.57)</f>
        <v>69.57</v>
      </c>
      <c r="X108" s="26">
        <f>IFERROR(__xludf.DUMMYFUNCTION("""COMPUTED_VALUE"""),102.32)</f>
        <v>102.32</v>
      </c>
      <c r="Y108" s="26">
        <f>IFERROR(__xludf.DUMMYFUNCTION("""COMPUTED_VALUE"""),160.73)</f>
        <v>160.73</v>
      </c>
      <c r="Z108" s="26">
        <f>IFERROR(__xludf.DUMMYFUNCTION("""COMPUTED_VALUE"""),68.94)</f>
        <v>68.94</v>
      </c>
      <c r="AA108" s="26">
        <f>IFERROR(__xludf.DUMMYFUNCTION("""COMPUTED_VALUE"""),429.67)</f>
        <v>429.67</v>
      </c>
      <c r="AB108" s="26">
        <f>IFERROR(__xludf.DUMMYFUNCTION("""COMPUTED_VALUE"""),66.33)</f>
        <v>66.33</v>
      </c>
      <c r="AC108" s="26">
        <f>IFERROR(__xludf.DUMMYFUNCTION("""COMPUTED_VALUE"""),123.61)</f>
        <v>123.61</v>
      </c>
      <c r="AD108" s="26">
        <f>IFERROR(__xludf.DUMMYFUNCTION("""COMPUTED_VALUE"""),264.36)</f>
        <v>264.36</v>
      </c>
      <c r="AE108" s="26">
        <f>IFERROR(__xludf.DUMMYFUNCTION("""COMPUTED_VALUE"""),469.08)</f>
        <v>469.08</v>
      </c>
      <c r="AF108" s="26">
        <f>IFERROR(__xludf.DUMMYFUNCTION("""COMPUTED_VALUE"""),299.44)</f>
        <v>299.44</v>
      </c>
      <c r="AG108" s="26">
        <f>IFERROR(__xludf.DUMMYFUNCTION("""COMPUTED_VALUE"""),47.87)</f>
        <v>47.87</v>
      </c>
      <c r="AH108" s="26">
        <f>IFERROR(__xludf.DUMMYFUNCTION("""COMPUTED_VALUE"""),84.95)</f>
        <v>84.95</v>
      </c>
      <c r="AI108" s="26">
        <f>IFERROR(__xludf.DUMMYFUNCTION("""COMPUTED_VALUE"""),516.3)</f>
        <v>516.3</v>
      </c>
      <c r="AJ108" s="26">
        <f>IFERROR(__xludf.DUMMYFUNCTION("""COMPUTED_VALUE"""),411.9)</f>
        <v>411.9</v>
      </c>
      <c r="AK108" s="26">
        <f>IFERROR(__xludf.DUMMYFUNCTION("""COMPUTED_VALUE"""),106.61)</f>
        <v>106.61</v>
      </c>
      <c r="AL108" s="26">
        <f>IFERROR(__xludf.DUMMYFUNCTION("""COMPUTED_VALUE"""),162.57)</f>
        <v>162.57</v>
      </c>
      <c r="AM108" s="26">
        <f>IFERROR(__xludf.DUMMYFUNCTION("""COMPUTED_VALUE"""),484.78)</f>
        <v>484.78</v>
      </c>
      <c r="AN108" s="26">
        <f>IFERROR(__xludf.DUMMYFUNCTION("""COMPUTED_VALUE"""),222.29)</f>
        <v>222.29</v>
      </c>
      <c r="AO108" s="26">
        <f>IFERROR(__xludf.DUMMYFUNCTION("""COMPUTED_VALUE"""),604.17)</f>
        <v>604.17</v>
      </c>
      <c r="AP108" s="26">
        <f>IFERROR(__xludf.DUMMYFUNCTION("""COMPUTED_VALUE"""),278.25)</f>
        <v>278.25</v>
      </c>
      <c r="AQ108" s="26">
        <f>IFERROR(__xludf.DUMMYFUNCTION("""COMPUTED_VALUE"""),30.39)</f>
        <v>30.39</v>
      </c>
      <c r="AR108" s="26">
        <f>IFERROR(__xludf.DUMMYFUNCTION("""COMPUTED_VALUE"""),89.36)</f>
        <v>89.36</v>
      </c>
      <c r="AS108" s="26">
        <f>IFERROR(__xludf.DUMMYFUNCTION("""COMPUTED_VALUE"""),85.51)</f>
        <v>85.51</v>
      </c>
      <c r="AT108" s="26">
        <f>IFERROR(__xludf.DUMMYFUNCTION("""COMPUTED_VALUE"""),416.32)</f>
        <v>416.32</v>
      </c>
      <c r="AU108" s="26">
        <f>IFERROR(__xludf.DUMMYFUNCTION("""COMPUTED_VALUE"""),81.86)</f>
        <v>81.86</v>
      </c>
      <c r="AV108" s="26">
        <f>IFERROR(__xludf.DUMMYFUNCTION("""COMPUTED_VALUE"""),134.8)</f>
        <v>134.8</v>
      </c>
      <c r="AW108" s="26">
        <f>IFERROR(__xludf.DUMMYFUNCTION("""COMPUTED_VALUE"""),104.03)</f>
        <v>104.03</v>
      </c>
      <c r="AX108" s="26">
        <f>IFERROR(__xludf.DUMMYFUNCTION("""COMPUTED_VALUE"""),50.0)</f>
        <v>50</v>
      </c>
      <c r="AY108" s="26">
        <f>IFERROR(__xludf.DUMMYFUNCTION("""COMPUTED_VALUE"""),43.51)</f>
        <v>43.51</v>
      </c>
      <c r="AZ108" s="26">
        <f>IFERROR(__xludf.DUMMYFUNCTION("""COMPUTED_VALUE"""),80.51)</f>
        <v>80.51</v>
      </c>
      <c r="BA108" s="26">
        <f>IFERROR(__xludf.DUMMYFUNCTION("""COMPUTED_VALUE"""),29.16)</f>
        <v>29.16</v>
      </c>
      <c r="BB108" s="26">
        <f>IFERROR(__xludf.DUMMYFUNCTION("""COMPUTED_VALUE"""),123.93)</f>
        <v>123.93</v>
      </c>
      <c r="BC108" s="26">
        <f>IFERROR(__xludf.DUMMYFUNCTION("""COMPUTED_VALUE"""),213.04)</f>
        <v>213.04</v>
      </c>
      <c r="BD108" s="26">
        <f>IFERROR(__xludf.DUMMYFUNCTION("""COMPUTED_VALUE"""),596.92)</f>
        <v>596.92</v>
      </c>
      <c r="BE108" s="26">
        <f>IFERROR(__xludf.DUMMYFUNCTION("""COMPUTED_VALUE"""),174.06)</f>
        <v>174.06</v>
      </c>
      <c r="BF108" s="26">
        <f>IFERROR(__xludf.DUMMYFUNCTION("""COMPUTED_VALUE"""),135.19)</f>
        <v>135.19</v>
      </c>
      <c r="BG108" s="26">
        <f>IFERROR(__xludf.DUMMYFUNCTION("""COMPUTED_VALUE"""),8.31)</f>
        <v>8.31</v>
      </c>
      <c r="BH108" s="26">
        <f>IFERROR(__xludf.DUMMYFUNCTION("""COMPUTED_VALUE"""),242.31)</f>
        <v>242.31</v>
      </c>
      <c r="BI108" s="26">
        <f>IFERROR(__xludf.DUMMYFUNCTION("""COMPUTED_VALUE"""),598.05)</f>
        <v>598.05</v>
      </c>
      <c r="BJ108" s="26">
        <f>IFERROR(__xludf.DUMMYFUNCTION("""COMPUTED_VALUE"""),48.97)</f>
        <v>48.97</v>
      </c>
      <c r="BK108" s="26">
        <f>IFERROR(__xludf.DUMMYFUNCTION("""COMPUTED_VALUE"""),11.38)</f>
        <v>11.38</v>
      </c>
      <c r="BL108" s="26">
        <f>IFERROR(__xludf.DUMMYFUNCTION("""COMPUTED_VALUE"""),211.81)</f>
        <v>211.81</v>
      </c>
      <c r="BM108" s="26">
        <f>IFERROR(__xludf.DUMMYFUNCTION("""COMPUTED_VALUE"""),94.13)</f>
        <v>94.13</v>
      </c>
    </row>
    <row r="109">
      <c r="A109" s="25">
        <v>45579.66666666667</v>
      </c>
      <c r="B109" s="17">
        <f>IFERROR(__xludf.DUMMYFUNCTION("""COMPUTED_VALUE"""),5859.85)</f>
        <v>5859.85</v>
      </c>
      <c r="C109" s="17">
        <f>IFERROR(__xludf.DUMMYFUNCTION("""COMPUTED_VALUE"""),18502.69)</f>
        <v>18502.69</v>
      </c>
      <c r="D109" s="17">
        <f>IFERROR(__xludf.DUMMYFUNCTION("""COMPUTED_VALUE"""),43065.22)</f>
        <v>43065.22</v>
      </c>
      <c r="E109" s="17">
        <f>IFERROR(__xludf.DUMMYFUNCTION("""COMPUTED_VALUE"""),2248.64)</f>
        <v>2248.64</v>
      </c>
      <c r="F109" s="26">
        <f>IFERROR(__xludf.DUMMYFUNCTION("""COMPUTED_VALUE"""),509.65)</f>
        <v>509.65</v>
      </c>
      <c r="G109" s="26">
        <f>IFERROR(__xludf.DUMMYFUNCTION("""COMPUTED_VALUE"""),187.54)</f>
        <v>187.54</v>
      </c>
      <c r="H109" s="26">
        <f>IFERROR(__xludf.DUMMYFUNCTION("""COMPUTED_VALUE"""),140.37)</f>
        <v>140.37</v>
      </c>
      <c r="I109" s="26">
        <f>IFERROR(__xludf.DUMMYFUNCTION("""COMPUTED_VALUE"""),231.3)</f>
        <v>231.3</v>
      </c>
      <c r="J109" s="26">
        <f>IFERROR(__xludf.DUMMYFUNCTION("""COMPUTED_VALUE"""),213.89)</f>
        <v>213.89</v>
      </c>
      <c r="K109" s="26">
        <f>IFERROR(__xludf.DUMMYFUNCTION("""COMPUTED_VALUE"""),76.51)</f>
        <v>76.51</v>
      </c>
      <c r="L109" s="26">
        <f>IFERROR(__xludf.DUMMYFUNCTION("""COMPUTED_VALUE"""),12.35)</f>
        <v>12.35</v>
      </c>
      <c r="M109" s="26">
        <f>IFERROR(__xludf.DUMMYFUNCTION("""COMPUTED_VALUE"""),459.98)</f>
        <v>459.98</v>
      </c>
      <c r="N109" s="26">
        <f>IFERROR(__xludf.DUMMYFUNCTION("""COMPUTED_VALUE"""),59.43)</f>
        <v>59.43</v>
      </c>
      <c r="O109" s="26">
        <f>IFERROR(__xludf.DUMMYFUNCTION("""COMPUTED_VALUE"""),191.56)</f>
        <v>191.56</v>
      </c>
      <c r="P109" s="26">
        <f>IFERROR(__xludf.DUMMYFUNCTION("""COMPUTED_VALUE"""),82.67)</f>
        <v>82.67</v>
      </c>
      <c r="Q109" s="26">
        <f>IFERROR(__xludf.DUMMYFUNCTION("""COMPUTED_VALUE"""),393.95)</f>
        <v>393.95</v>
      </c>
      <c r="R109" s="26">
        <f>IFERROR(__xludf.DUMMYFUNCTION("""COMPUTED_VALUE"""),51.88)</f>
        <v>51.88</v>
      </c>
      <c r="S109" s="26">
        <f>IFERROR(__xludf.DUMMYFUNCTION("""COMPUTED_VALUE"""),208.02)</f>
        <v>208.02</v>
      </c>
      <c r="T109" s="26">
        <f>IFERROR(__xludf.DUMMYFUNCTION("""COMPUTED_VALUE"""),151.78)</f>
        <v>151.78</v>
      </c>
      <c r="U109" s="26">
        <f>IFERROR(__xludf.DUMMYFUNCTION("""COMPUTED_VALUE"""),351.45)</f>
        <v>351.45</v>
      </c>
      <c r="V109" s="26">
        <f>IFERROR(__xludf.DUMMYFUNCTION("""COMPUTED_VALUE"""),43.27)</f>
        <v>43.27</v>
      </c>
      <c r="W109" s="26">
        <f>IFERROR(__xludf.DUMMYFUNCTION("""COMPUTED_VALUE"""),70.34)</f>
        <v>70.34</v>
      </c>
      <c r="X109" s="26">
        <f>IFERROR(__xludf.DUMMYFUNCTION("""COMPUTED_VALUE"""),103.04)</f>
        <v>103.04</v>
      </c>
      <c r="Y109" s="26">
        <f>IFERROR(__xludf.DUMMYFUNCTION("""COMPUTED_VALUE"""),161.98)</f>
        <v>161.98</v>
      </c>
      <c r="Z109" s="26">
        <f>IFERROR(__xludf.DUMMYFUNCTION("""COMPUTED_VALUE"""),66.8)</f>
        <v>66.8</v>
      </c>
      <c r="AA109" s="26">
        <f>IFERROR(__xludf.DUMMYFUNCTION("""COMPUTED_VALUE"""),428.08)</f>
        <v>428.08</v>
      </c>
      <c r="AB109" s="26">
        <f>IFERROR(__xludf.DUMMYFUNCTION("""COMPUTED_VALUE"""),66.88)</f>
        <v>66.88</v>
      </c>
      <c r="AC109" s="26">
        <f>IFERROR(__xludf.DUMMYFUNCTION("""COMPUTED_VALUE"""),124.08)</f>
        <v>124.08</v>
      </c>
      <c r="AD109" s="26">
        <f>IFERROR(__xludf.DUMMYFUNCTION("""COMPUTED_VALUE"""),267.45)</f>
        <v>267.45</v>
      </c>
      <c r="AE109" s="26">
        <f>IFERROR(__xludf.DUMMYFUNCTION("""COMPUTED_VALUE"""),479.23)</f>
        <v>479.23</v>
      </c>
      <c r="AF109" s="26">
        <f>IFERROR(__xludf.DUMMYFUNCTION("""COMPUTED_VALUE"""),301.86)</f>
        <v>301.86</v>
      </c>
      <c r="AG109" s="26">
        <f>IFERROR(__xludf.DUMMYFUNCTION("""COMPUTED_VALUE"""),48.63)</f>
        <v>48.63</v>
      </c>
      <c r="AH109" s="26">
        <f>IFERROR(__xludf.DUMMYFUNCTION("""COMPUTED_VALUE"""),85.05)</f>
        <v>85.05</v>
      </c>
      <c r="AI109" s="26">
        <f>IFERROR(__xludf.DUMMYFUNCTION("""COMPUTED_VALUE"""),522.75)</f>
        <v>522.75</v>
      </c>
      <c r="AJ109" s="26">
        <f>IFERROR(__xludf.DUMMYFUNCTION("""COMPUTED_VALUE"""),415.42)</f>
        <v>415.42</v>
      </c>
      <c r="AK109" s="26">
        <f>IFERROR(__xludf.DUMMYFUNCTION("""COMPUTED_VALUE"""),106.89)</f>
        <v>106.89</v>
      </c>
      <c r="AL109" s="26">
        <f>IFERROR(__xludf.DUMMYFUNCTION("""COMPUTED_VALUE"""),164.38)</f>
        <v>164.38</v>
      </c>
      <c r="AM109" s="26">
        <f>IFERROR(__xludf.DUMMYFUNCTION("""COMPUTED_VALUE"""),487.61)</f>
        <v>487.61</v>
      </c>
      <c r="AN109" s="26">
        <f>IFERROR(__xludf.DUMMYFUNCTION("""COMPUTED_VALUE"""),221.48)</f>
        <v>221.48</v>
      </c>
      <c r="AO109" s="26">
        <f>IFERROR(__xludf.DUMMYFUNCTION("""COMPUTED_VALUE"""),610.87)</f>
        <v>610.87</v>
      </c>
      <c r="AP109" s="26">
        <f>IFERROR(__xludf.DUMMYFUNCTION("""COMPUTED_VALUE"""),286.76)</f>
        <v>286.76</v>
      </c>
      <c r="AQ109" s="26">
        <f>IFERROR(__xludf.DUMMYFUNCTION("""COMPUTED_VALUE"""),30.48)</f>
        <v>30.48</v>
      </c>
      <c r="AR109" s="26">
        <f>IFERROR(__xludf.DUMMYFUNCTION("""COMPUTED_VALUE"""),90.01)</f>
        <v>90.01</v>
      </c>
      <c r="AS109" s="26">
        <f>IFERROR(__xludf.DUMMYFUNCTION("""COMPUTED_VALUE"""),85.88)</f>
        <v>85.88</v>
      </c>
      <c r="AT109" s="26">
        <f>IFERROR(__xludf.DUMMYFUNCTION("""COMPUTED_VALUE"""),419.14)</f>
        <v>419.14</v>
      </c>
      <c r="AU109" s="26">
        <f>IFERROR(__xludf.DUMMYFUNCTION("""COMPUTED_VALUE"""),82.91)</f>
        <v>82.91</v>
      </c>
      <c r="AV109" s="26">
        <f>IFERROR(__xludf.DUMMYFUNCTION("""COMPUTED_VALUE"""),138.07)</f>
        <v>138.07</v>
      </c>
      <c r="AW109" s="26">
        <f>IFERROR(__xludf.DUMMYFUNCTION("""COMPUTED_VALUE"""),105.32)</f>
        <v>105.32</v>
      </c>
      <c r="AX109" s="26">
        <f>IFERROR(__xludf.DUMMYFUNCTION("""COMPUTED_VALUE"""),49.61)</f>
        <v>49.61</v>
      </c>
      <c r="AY109" s="26">
        <f>IFERROR(__xludf.DUMMYFUNCTION("""COMPUTED_VALUE"""),43.4)</f>
        <v>43.4</v>
      </c>
      <c r="AZ109" s="26">
        <f>IFERROR(__xludf.DUMMYFUNCTION("""COMPUTED_VALUE"""),80.67)</f>
        <v>80.67</v>
      </c>
      <c r="BA109" s="26">
        <f>IFERROR(__xludf.DUMMYFUNCTION("""COMPUTED_VALUE"""),29.08)</f>
        <v>29.08</v>
      </c>
      <c r="BB109" s="26">
        <f>IFERROR(__xludf.DUMMYFUNCTION("""COMPUTED_VALUE"""),124.64)</f>
        <v>124.64</v>
      </c>
      <c r="BC109" s="26">
        <f>IFERROR(__xludf.DUMMYFUNCTION("""COMPUTED_VALUE"""),215.91)</f>
        <v>215.91</v>
      </c>
      <c r="BD109" s="26">
        <f>IFERROR(__xludf.DUMMYFUNCTION("""COMPUTED_VALUE"""),603.79)</f>
        <v>603.79</v>
      </c>
      <c r="BE109" s="26">
        <f>IFERROR(__xludf.DUMMYFUNCTION("""COMPUTED_VALUE"""),175.1)</f>
        <v>175.1</v>
      </c>
      <c r="BF109" s="26">
        <f>IFERROR(__xludf.DUMMYFUNCTION("""COMPUTED_VALUE"""),134.24)</f>
        <v>134.24</v>
      </c>
      <c r="BG109" s="26">
        <f>IFERROR(__xludf.DUMMYFUNCTION("""COMPUTED_VALUE"""),9.06)</f>
        <v>9.06</v>
      </c>
      <c r="BH109" s="26">
        <f>IFERROR(__xludf.DUMMYFUNCTION("""COMPUTED_VALUE"""),245.27)</f>
        <v>245.27</v>
      </c>
      <c r="BI109" s="26">
        <f>IFERROR(__xludf.DUMMYFUNCTION("""COMPUTED_VALUE"""),605.4)</f>
        <v>605.4</v>
      </c>
      <c r="BJ109" s="26">
        <f>IFERROR(__xludf.DUMMYFUNCTION("""COMPUTED_VALUE"""),48.94)</f>
        <v>48.94</v>
      </c>
      <c r="BK109" s="26">
        <f>IFERROR(__xludf.DUMMYFUNCTION("""COMPUTED_VALUE"""),11.39)</f>
        <v>11.39</v>
      </c>
      <c r="BL109" s="26">
        <f>IFERROR(__xludf.DUMMYFUNCTION("""COMPUTED_VALUE"""),213.5)</f>
        <v>213.5</v>
      </c>
      <c r="BM109" s="26">
        <f>IFERROR(__xludf.DUMMYFUNCTION("""COMPUTED_VALUE"""),94.97)</f>
        <v>94.97</v>
      </c>
    </row>
    <row r="110">
      <c r="A110" s="25">
        <v>45580.66666666667</v>
      </c>
      <c r="B110" s="17">
        <f>IFERROR(__xludf.DUMMYFUNCTION("""COMPUTED_VALUE"""),5815.26)</f>
        <v>5815.26</v>
      </c>
      <c r="C110" s="17">
        <f>IFERROR(__xludf.DUMMYFUNCTION("""COMPUTED_VALUE"""),18315.59)</f>
        <v>18315.59</v>
      </c>
      <c r="D110" s="17">
        <f>IFERROR(__xludf.DUMMYFUNCTION("""COMPUTED_VALUE"""),42740.42)</f>
        <v>42740.42</v>
      </c>
      <c r="E110" s="17">
        <f>IFERROR(__xludf.DUMMYFUNCTION("""COMPUTED_VALUE"""),2249.82)</f>
        <v>2249.82</v>
      </c>
      <c r="F110" s="26">
        <f>IFERROR(__xludf.DUMMYFUNCTION("""COMPUTED_VALUE"""),508.03)</f>
        <v>508.03</v>
      </c>
      <c r="G110" s="26">
        <f>IFERROR(__xludf.DUMMYFUNCTION("""COMPUTED_VALUE"""),187.54)</f>
        <v>187.54</v>
      </c>
      <c r="H110" s="26">
        <f>IFERROR(__xludf.DUMMYFUNCTION("""COMPUTED_VALUE"""),141.2)</f>
        <v>141.2</v>
      </c>
      <c r="I110" s="26">
        <f>IFERROR(__xludf.DUMMYFUNCTION("""COMPUTED_VALUE"""),233.85)</f>
        <v>233.85</v>
      </c>
      <c r="J110" s="26">
        <f>IFERROR(__xludf.DUMMYFUNCTION("""COMPUTED_VALUE"""),191.02)</f>
        <v>191.02</v>
      </c>
      <c r="K110" s="26">
        <f>IFERROR(__xludf.DUMMYFUNCTION("""COMPUTED_VALUE"""),76.23)</f>
        <v>76.23</v>
      </c>
      <c r="L110" s="26">
        <f>IFERROR(__xludf.DUMMYFUNCTION("""COMPUTED_VALUE"""),12.29)</f>
        <v>12.29</v>
      </c>
      <c r="M110" s="26">
        <f>IFERROR(__xludf.DUMMYFUNCTION("""COMPUTED_VALUE"""),462.68)</f>
        <v>462.68</v>
      </c>
      <c r="N110" s="26">
        <f>IFERROR(__xludf.DUMMYFUNCTION("""COMPUTED_VALUE"""),58.16)</f>
        <v>58.16</v>
      </c>
      <c r="O110" s="26">
        <f>IFERROR(__xludf.DUMMYFUNCTION("""COMPUTED_VALUE"""),191.55)</f>
        <v>191.55</v>
      </c>
      <c r="P110" s="26">
        <f>IFERROR(__xludf.DUMMYFUNCTION("""COMPUTED_VALUE"""),81.61)</f>
        <v>81.61</v>
      </c>
      <c r="Q110" s="26">
        <f>IFERROR(__xludf.DUMMYFUNCTION("""COMPUTED_VALUE"""),387.99)</f>
        <v>387.99</v>
      </c>
      <c r="R110" s="26">
        <f>IFERROR(__xludf.DUMMYFUNCTION("""COMPUTED_VALUE"""),51.71)</f>
        <v>51.71</v>
      </c>
      <c r="S110" s="26">
        <f>IFERROR(__xludf.DUMMYFUNCTION("""COMPUTED_VALUE"""),207.83)</f>
        <v>207.83</v>
      </c>
      <c r="T110" s="26">
        <f>IFERROR(__xludf.DUMMYFUNCTION("""COMPUTED_VALUE"""),147.73)</f>
        <v>147.73</v>
      </c>
      <c r="U110" s="26">
        <f>IFERROR(__xludf.DUMMYFUNCTION("""COMPUTED_VALUE"""),348.84)</f>
        <v>348.84</v>
      </c>
      <c r="V110" s="26">
        <f>IFERROR(__xludf.DUMMYFUNCTION("""COMPUTED_VALUE"""),43.48)</f>
        <v>43.48</v>
      </c>
      <c r="W110" s="26">
        <f>IFERROR(__xludf.DUMMYFUNCTION("""COMPUTED_VALUE"""),70.34)</f>
        <v>70.34</v>
      </c>
      <c r="X110" s="26">
        <f>IFERROR(__xludf.DUMMYFUNCTION("""COMPUTED_VALUE"""),105.45)</f>
        <v>105.45</v>
      </c>
      <c r="Y110" s="26">
        <f>IFERROR(__xludf.DUMMYFUNCTION("""COMPUTED_VALUE"""),161.98)</f>
        <v>161.98</v>
      </c>
      <c r="Z110" s="26">
        <f>IFERROR(__xludf.DUMMYFUNCTION("""COMPUTED_VALUE"""),67.73)</f>
        <v>67.73</v>
      </c>
      <c r="AA110" s="26">
        <f>IFERROR(__xludf.DUMMYFUNCTION("""COMPUTED_VALUE"""),427.26)</f>
        <v>427.26</v>
      </c>
      <c r="AB110" s="26">
        <f>IFERROR(__xludf.DUMMYFUNCTION("""COMPUTED_VALUE"""),66.99)</f>
        <v>66.99</v>
      </c>
      <c r="AC110" s="26">
        <f>IFERROR(__xludf.DUMMYFUNCTION("""COMPUTED_VALUE"""),124.08)</f>
        <v>124.08</v>
      </c>
      <c r="AD110" s="26">
        <f>IFERROR(__xludf.DUMMYFUNCTION("""COMPUTED_VALUE"""),265.92)</f>
        <v>265.92</v>
      </c>
      <c r="AE110" s="26">
        <f>IFERROR(__xludf.DUMMYFUNCTION("""COMPUTED_VALUE"""),479.23)</f>
        <v>479.23</v>
      </c>
      <c r="AF110" s="26">
        <f>IFERROR(__xludf.DUMMYFUNCTION("""COMPUTED_VALUE"""),300.21)</f>
        <v>300.21</v>
      </c>
      <c r="AG110" s="26">
        <f>IFERROR(__xludf.DUMMYFUNCTION("""COMPUTED_VALUE"""),47.85)</f>
        <v>47.85</v>
      </c>
      <c r="AH110" s="26">
        <f>IFERROR(__xludf.DUMMYFUNCTION("""COMPUTED_VALUE"""),85.82)</f>
        <v>85.82</v>
      </c>
      <c r="AI110" s="26">
        <f>IFERROR(__xludf.DUMMYFUNCTION("""COMPUTED_VALUE"""),522.38)</f>
        <v>522.38</v>
      </c>
      <c r="AJ110" s="26">
        <f>IFERROR(__xludf.DUMMYFUNCTION("""COMPUTED_VALUE"""),415.42)</f>
        <v>415.42</v>
      </c>
      <c r="AK110" s="26">
        <f>IFERROR(__xludf.DUMMYFUNCTION("""COMPUTED_VALUE"""),106.89)</f>
        <v>106.89</v>
      </c>
      <c r="AL110" s="26">
        <f>IFERROR(__xludf.DUMMYFUNCTION("""COMPUTED_VALUE"""),165.18)</f>
        <v>165.18</v>
      </c>
      <c r="AM110" s="26">
        <f>IFERROR(__xludf.DUMMYFUNCTION("""COMPUTED_VALUE"""),478.47)</f>
        <v>478.47</v>
      </c>
      <c r="AN110" s="26">
        <f>IFERROR(__xludf.DUMMYFUNCTION("""COMPUTED_VALUE"""),222.39)</f>
        <v>222.39</v>
      </c>
      <c r="AO110" s="26">
        <f>IFERROR(__xludf.DUMMYFUNCTION("""COMPUTED_VALUE"""),605.0)</f>
        <v>605</v>
      </c>
      <c r="AP110" s="26">
        <f>IFERROR(__xludf.DUMMYFUNCTION("""COMPUTED_VALUE"""),287.48)</f>
        <v>287.48</v>
      </c>
      <c r="AQ110" s="26">
        <f>IFERROR(__xludf.DUMMYFUNCTION("""COMPUTED_VALUE"""),30.32)</f>
        <v>30.32</v>
      </c>
      <c r="AR110" s="26">
        <f>IFERROR(__xludf.DUMMYFUNCTION("""COMPUTED_VALUE"""),89.84)</f>
        <v>89.84</v>
      </c>
      <c r="AS110" s="26">
        <f>IFERROR(__xludf.DUMMYFUNCTION("""COMPUTED_VALUE"""),85.88)</f>
        <v>85.88</v>
      </c>
      <c r="AT110" s="26">
        <f>IFERROR(__xludf.DUMMYFUNCTION("""COMPUTED_VALUE"""),418.74)</f>
        <v>418.74</v>
      </c>
      <c r="AU110" s="26">
        <f>IFERROR(__xludf.DUMMYFUNCTION("""COMPUTED_VALUE"""),82.79)</f>
        <v>82.79</v>
      </c>
      <c r="AV110" s="26">
        <f>IFERROR(__xludf.DUMMYFUNCTION("""COMPUTED_VALUE"""),131.6)</f>
        <v>131.6</v>
      </c>
      <c r="AW110" s="26">
        <f>IFERROR(__xludf.DUMMYFUNCTION("""COMPUTED_VALUE"""),104.48)</f>
        <v>104.48</v>
      </c>
      <c r="AX110" s="26">
        <f>IFERROR(__xludf.DUMMYFUNCTION("""COMPUTED_VALUE"""),49.39)</f>
        <v>49.39</v>
      </c>
      <c r="AY110" s="26">
        <f>IFERROR(__xludf.DUMMYFUNCTION("""COMPUTED_VALUE"""),43.4)</f>
        <v>43.4</v>
      </c>
      <c r="AZ110" s="26">
        <f>IFERROR(__xludf.DUMMYFUNCTION("""COMPUTED_VALUE"""),79.55)</f>
        <v>79.55</v>
      </c>
      <c r="BA110" s="26">
        <f>IFERROR(__xludf.DUMMYFUNCTION("""COMPUTED_VALUE"""),29.44)</f>
        <v>29.44</v>
      </c>
      <c r="BB110" s="26">
        <f>IFERROR(__xludf.DUMMYFUNCTION("""COMPUTED_VALUE"""),125.03)</f>
        <v>125.03</v>
      </c>
      <c r="BC110" s="26">
        <f>IFERROR(__xludf.DUMMYFUNCTION("""COMPUTED_VALUE"""),217.03)</f>
        <v>217.03</v>
      </c>
      <c r="BD110" s="26">
        <f>IFERROR(__xludf.DUMMYFUNCTION("""COMPUTED_VALUE"""),600.52)</f>
        <v>600.52</v>
      </c>
      <c r="BE110" s="26">
        <f>IFERROR(__xludf.DUMMYFUNCTION("""COMPUTED_VALUE"""),169.55)</f>
        <v>169.55</v>
      </c>
      <c r="BF110" s="26">
        <f>IFERROR(__xludf.DUMMYFUNCTION("""COMPUTED_VALUE"""),131.84)</f>
        <v>131.84</v>
      </c>
      <c r="BG110" s="26">
        <f>IFERROR(__xludf.DUMMYFUNCTION("""COMPUTED_VALUE"""),9.39)</f>
        <v>9.39</v>
      </c>
      <c r="BH110" s="26">
        <f>IFERROR(__xludf.DUMMYFUNCTION("""COMPUTED_VALUE"""),245.79)</f>
        <v>245.79</v>
      </c>
      <c r="BI110" s="26">
        <f>IFERROR(__xludf.DUMMYFUNCTION("""COMPUTED_VALUE"""),556.29)</f>
        <v>556.29</v>
      </c>
      <c r="BJ110" s="26">
        <f>IFERROR(__xludf.DUMMYFUNCTION("""COMPUTED_VALUE"""),48.93)</f>
        <v>48.93</v>
      </c>
      <c r="BK110" s="26">
        <f>IFERROR(__xludf.DUMMYFUNCTION("""COMPUTED_VALUE"""),11.84)</f>
        <v>11.84</v>
      </c>
      <c r="BL110" s="26">
        <f>IFERROR(__xludf.DUMMYFUNCTION("""COMPUTED_VALUE"""),213.79)</f>
        <v>213.79</v>
      </c>
      <c r="BM110" s="26">
        <f>IFERROR(__xludf.DUMMYFUNCTION("""COMPUTED_VALUE"""),94.22)</f>
        <v>94.22</v>
      </c>
    </row>
    <row r="111">
      <c r="A111" s="25">
        <v>45581.66666666667</v>
      </c>
      <c r="B111" s="17">
        <f>IFERROR(__xludf.DUMMYFUNCTION("""COMPUTED_VALUE"""),5842.47)</f>
        <v>5842.47</v>
      </c>
      <c r="C111" s="17">
        <f>IFERROR(__xludf.DUMMYFUNCTION("""COMPUTED_VALUE"""),18367.08)</f>
        <v>18367.08</v>
      </c>
      <c r="D111" s="17">
        <f>IFERROR(__xludf.DUMMYFUNCTION("""COMPUTED_VALUE"""),43077.7)</f>
        <v>43077.7</v>
      </c>
      <c r="E111" s="17">
        <f>IFERROR(__xludf.DUMMYFUNCTION("""COMPUTED_VALUE"""),2286.68)</f>
        <v>2286.68</v>
      </c>
      <c r="F111" s="26">
        <f>IFERROR(__xludf.DUMMYFUNCTION("""COMPUTED_VALUE"""),502.54)</f>
        <v>502.54</v>
      </c>
      <c r="G111" s="26">
        <f>IFERROR(__xludf.DUMMYFUNCTION("""COMPUTED_VALUE"""),186.89)</f>
        <v>186.89</v>
      </c>
      <c r="H111" s="26">
        <f>IFERROR(__xludf.DUMMYFUNCTION("""COMPUTED_VALUE"""),142.58)</f>
        <v>142.58</v>
      </c>
      <c r="I111" s="26">
        <f>IFERROR(__xludf.DUMMYFUNCTION("""COMPUTED_VALUE"""),231.78)</f>
        <v>231.78</v>
      </c>
      <c r="J111" s="26">
        <f>IFERROR(__xludf.DUMMYFUNCTION("""COMPUTED_VALUE"""),184.59)</f>
        <v>184.59</v>
      </c>
      <c r="K111" s="26">
        <f>IFERROR(__xludf.DUMMYFUNCTION("""COMPUTED_VALUE"""),77.3)</f>
        <v>77.3</v>
      </c>
      <c r="L111" s="26">
        <f>IFERROR(__xludf.DUMMYFUNCTION("""COMPUTED_VALUE"""),12.52)</f>
        <v>12.52</v>
      </c>
      <c r="M111" s="26">
        <f>IFERROR(__xludf.DUMMYFUNCTION("""COMPUTED_VALUE"""),465.69)</f>
        <v>465.69</v>
      </c>
      <c r="N111" s="26">
        <f>IFERROR(__xludf.DUMMYFUNCTION("""COMPUTED_VALUE"""),56.73)</f>
        <v>56.73</v>
      </c>
      <c r="O111" s="26">
        <f>IFERROR(__xludf.DUMMYFUNCTION("""COMPUTED_VALUE"""),189.0)</f>
        <v>189</v>
      </c>
      <c r="P111" s="26">
        <f>IFERROR(__xludf.DUMMYFUNCTION("""COMPUTED_VALUE"""),81.05)</f>
        <v>81.05</v>
      </c>
      <c r="Q111" s="26">
        <f>IFERROR(__xludf.DUMMYFUNCTION("""COMPUTED_VALUE"""),393.62)</f>
        <v>393.62</v>
      </c>
      <c r="R111" s="26">
        <f>IFERROR(__xludf.DUMMYFUNCTION("""COMPUTED_VALUE"""),55.78)</f>
        <v>55.78</v>
      </c>
      <c r="S111" s="26">
        <f>IFERROR(__xludf.DUMMYFUNCTION("""COMPUTED_VALUE"""),205.88)</f>
        <v>205.88</v>
      </c>
      <c r="T111" s="26">
        <f>IFERROR(__xludf.DUMMYFUNCTION("""COMPUTED_VALUE"""),148.73)</f>
        <v>148.73</v>
      </c>
      <c r="U111" s="26">
        <f>IFERROR(__xludf.DUMMYFUNCTION("""COMPUTED_VALUE"""),358.58)</f>
        <v>358.58</v>
      </c>
      <c r="V111" s="26">
        <f>IFERROR(__xludf.DUMMYFUNCTION("""COMPUTED_VALUE"""),42.41)</f>
        <v>42.41</v>
      </c>
      <c r="W111" s="26">
        <f>IFERROR(__xludf.DUMMYFUNCTION("""COMPUTED_VALUE"""),70.57)</f>
        <v>70.57</v>
      </c>
      <c r="X111" s="26">
        <f>IFERROR(__xludf.DUMMYFUNCTION("""COMPUTED_VALUE"""),106.14)</f>
        <v>106.14</v>
      </c>
      <c r="Y111" s="26">
        <f>IFERROR(__xludf.DUMMYFUNCTION("""COMPUTED_VALUE"""),162.13)</f>
        <v>162.13</v>
      </c>
      <c r="Z111" s="26">
        <f>IFERROR(__xludf.DUMMYFUNCTION("""COMPUTED_VALUE"""),68.02)</f>
        <v>68.02</v>
      </c>
      <c r="AA111" s="26">
        <f>IFERROR(__xludf.DUMMYFUNCTION("""COMPUTED_VALUE"""),428.36)</f>
        <v>428.36</v>
      </c>
      <c r="AB111" s="26">
        <f>IFERROR(__xludf.DUMMYFUNCTION("""COMPUTED_VALUE"""),66.92)</f>
        <v>66.92</v>
      </c>
      <c r="AC111" s="26">
        <f>IFERROR(__xludf.DUMMYFUNCTION("""COMPUTED_VALUE"""),120.66)</f>
        <v>120.66</v>
      </c>
      <c r="AD111" s="26">
        <f>IFERROR(__xludf.DUMMYFUNCTION("""COMPUTED_VALUE"""),271.8)</f>
        <v>271.8</v>
      </c>
      <c r="AE111" s="26">
        <f>IFERROR(__xludf.DUMMYFUNCTION("""COMPUTED_VALUE"""),471.99)</f>
        <v>471.99</v>
      </c>
      <c r="AF111" s="26">
        <f>IFERROR(__xludf.DUMMYFUNCTION("""COMPUTED_VALUE"""),304.87)</f>
        <v>304.87</v>
      </c>
      <c r="AG111" s="26">
        <f>IFERROR(__xludf.DUMMYFUNCTION("""COMPUTED_VALUE"""),49.01)</f>
        <v>49.01</v>
      </c>
      <c r="AH111" s="26">
        <f>IFERROR(__xludf.DUMMYFUNCTION("""COMPUTED_VALUE"""),86.75)</f>
        <v>86.75</v>
      </c>
      <c r="AI111" s="26">
        <f>IFERROR(__xludf.DUMMYFUNCTION("""COMPUTED_VALUE"""),529.86)</f>
        <v>529.86</v>
      </c>
      <c r="AJ111" s="26">
        <f>IFERROR(__xludf.DUMMYFUNCTION("""COMPUTED_VALUE"""),418.61)</f>
        <v>418.61</v>
      </c>
      <c r="AK111" s="26">
        <f>IFERROR(__xludf.DUMMYFUNCTION("""COMPUTED_VALUE"""),107.07)</f>
        <v>107.07</v>
      </c>
      <c r="AL111" s="26">
        <f>IFERROR(__xludf.DUMMYFUNCTION("""COMPUTED_VALUE"""),165.13)</f>
        <v>165.13</v>
      </c>
      <c r="AM111" s="26">
        <f>IFERROR(__xludf.DUMMYFUNCTION("""COMPUTED_VALUE"""),476.59)</f>
        <v>476.59</v>
      </c>
      <c r="AN111" s="26">
        <f>IFERROR(__xludf.DUMMYFUNCTION("""COMPUTED_VALUE"""),223.64)</f>
        <v>223.64</v>
      </c>
      <c r="AO111" s="26">
        <f>IFERROR(__xludf.DUMMYFUNCTION("""COMPUTED_VALUE"""),612.83)</f>
        <v>612.83</v>
      </c>
      <c r="AP111" s="26">
        <f>IFERROR(__xludf.DUMMYFUNCTION("""COMPUTED_VALUE"""),294.21)</f>
        <v>294.21</v>
      </c>
      <c r="AQ111" s="26">
        <f>IFERROR(__xludf.DUMMYFUNCTION("""COMPUTED_VALUE"""),30.67)</f>
        <v>30.67</v>
      </c>
      <c r="AR111" s="26">
        <f>IFERROR(__xludf.DUMMYFUNCTION("""COMPUTED_VALUE"""),89.99)</f>
        <v>89.99</v>
      </c>
      <c r="AS111" s="26">
        <f>IFERROR(__xludf.DUMMYFUNCTION("""COMPUTED_VALUE"""),85.18)</f>
        <v>85.18</v>
      </c>
      <c r="AT111" s="26">
        <f>IFERROR(__xludf.DUMMYFUNCTION("""COMPUTED_VALUE"""),416.12)</f>
        <v>416.12</v>
      </c>
      <c r="AU111" s="26">
        <f>IFERROR(__xludf.DUMMYFUNCTION("""COMPUTED_VALUE"""),84.39)</f>
        <v>84.39</v>
      </c>
      <c r="AV111" s="26">
        <f>IFERROR(__xludf.DUMMYFUNCTION("""COMPUTED_VALUE"""),135.72)</f>
        <v>135.72</v>
      </c>
      <c r="AW111" s="26">
        <f>IFERROR(__xludf.DUMMYFUNCTION("""COMPUTED_VALUE"""),105.13)</f>
        <v>105.13</v>
      </c>
      <c r="AX111" s="26">
        <f>IFERROR(__xludf.DUMMYFUNCTION("""COMPUTED_VALUE"""),49.13)</f>
        <v>49.13</v>
      </c>
      <c r="AY111" s="26">
        <f>IFERROR(__xludf.DUMMYFUNCTION("""COMPUTED_VALUE"""),41.93)</f>
        <v>41.93</v>
      </c>
      <c r="AZ111" s="26">
        <f>IFERROR(__xludf.DUMMYFUNCTION("""COMPUTED_VALUE"""),80.82)</f>
        <v>80.82</v>
      </c>
      <c r="BA111" s="26">
        <f>IFERROR(__xludf.DUMMYFUNCTION("""COMPUTED_VALUE"""),29.67)</f>
        <v>29.67</v>
      </c>
      <c r="BB111" s="26">
        <f>IFERROR(__xludf.DUMMYFUNCTION("""COMPUTED_VALUE"""),126.22)</f>
        <v>126.22</v>
      </c>
      <c r="BC111" s="26">
        <f>IFERROR(__xludf.DUMMYFUNCTION("""COMPUTED_VALUE"""),219.76)</f>
        <v>219.76</v>
      </c>
      <c r="BD111" s="26">
        <f>IFERROR(__xludf.DUMMYFUNCTION("""COMPUTED_VALUE"""),591.55)</f>
        <v>591.55</v>
      </c>
      <c r="BE111" s="26">
        <f>IFERROR(__xludf.DUMMYFUNCTION("""COMPUTED_VALUE"""),171.5)</f>
        <v>171.5</v>
      </c>
      <c r="BF111" s="26">
        <f>IFERROR(__xludf.DUMMYFUNCTION("""COMPUTED_VALUE"""),129.97)</f>
        <v>129.97</v>
      </c>
      <c r="BG111" s="26">
        <f>IFERROR(__xludf.DUMMYFUNCTION("""COMPUTED_VALUE"""),9.5)</f>
        <v>9.5</v>
      </c>
      <c r="BH111" s="26">
        <f>IFERROR(__xludf.DUMMYFUNCTION("""COMPUTED_VALUE"""),248.1)</f>
        <v>248.1</v>
      </c>
      <c r="BI111" s="26">
        <f>IFERROR(__xludf.DUMMYFUNCTION("""COMPUTED_VALUE"""),571.34)</f>
        <v>571.34</v>
      </c>
      <c r="BJ111" s="26">
        <f>IFERROR(__xludf.DUMMYFUNCTION("""COMPUTED_VALUE"""),48.93)</f>
        <v>48.93</v>
      </c>
      <c r="BK111" s="26">
        <f>IFERROR(__xludf.DUMMYFUNCTION("""COMPUTED_VALUE"""),11.82)</f>
        <v>11.82</v>
      </c>
      <c r="BL111" s="26">
        <f>IFERROR(__xludf.DUMMYFUNCTION("""COMPUTED_VALUE"""),213.14)</f>
        <v>213.14</v>
      </c>
      <c r="BM111" s="26">
        <f>IFERROR(__xludf.DUMMYFUNCTION("""COMPUTED_VALUE"""),96.75)</f>
        <v>96.75</v>
      </c>
    </row>
    <row r="112">
      <c r="A112" s="25">
        <v>45582.66666666667</v>
      </c>
      <c r="B112" s="17">
        <f>IFERROR(__xludf.DUMMYFUNCTION("""COMPUTED_VALUE"""),5841.47)</f>
        <v>5841.47</v>
      </c>
      <c r="C112" s="17">
        <f>IFERROR(__xludf.DUMMYFUNCTION("""COMPUTED_VALUE"""),18373.61)</f>
        <v>18373.61</v>
      </c>
      <c r="D112" s="17">
        <f>IFERROR(__xludf.DUMMYFUNCTION("""COMPUTED_VALUE"""),43239.05)</f>
        <v>43239.05</v>
      </c>
      <c r="E112" s="17">
        <f>IFERROR(__xludf.DUMMYFUNCTION("""COMPUTED_VALUE"""),2280.85)</f>
        <v>2280.85</v>
      </c>
      <c r="F112" s="26">
        <f>IFERROR(__xludf.DUMMYFUNCTION("""COMPUTED_VALUE"""),496.83)</f>
        <v>496.83</v>
      </c>
      <c r="G112" s="26">
        <f>IFERROR(__xludf.DUMMYFUNCTION("""COMPUTED_VALUE"""),187.53)</f>
        <v>187.53</v>
      </c>
      <c r="H112" s="26">
        <f>IFERROR(__xludf.DUMMYFUNCTION("""COMPUTED_VALUE"""),140.79)</f>
        <v>140.79</v>
      </c>
      <c r="I112" s="26">
        <f>IFERROR(__xludf.DUMMYFUNCTION("""COMPUTED_VALUE"""),232.15)</f>
        <v>232.15</v>
      </c>
      <c r="J112" s="26">
        <f>IFERROR(__xludf.DUMMYFUNCTION("""COMPUTED_VALUE"""),183.24)</f>
        <v>183.24</v>
      </c>
      <c r="K112" s="26">
        <f>IFERROR(__xludf.DUMMYFUNCTION("""COMPUTED_VALUE"""),77.75)</f>
        <v>77.75</v>
      </c>
      <c r="L112" s="26">
        <f>IFERROR(__xludf.DUMMYFUNCTION("""COMPUTED_VALUE"""),12.94)</f>
        <v>12.94</v>
      </c>
      <c r="M112" s="26">
        <f>IFERROR(__xludf.DUMMYFUNCTION("""COMPUTED_VALUE"""),465.85)</f>
        <v>465.85</v>
      </c>
      <c r="N112" s="26">
        <f>IFERROR(__xludf.DUMMYFUNCTION("""COMPUTED_VALUE"""),56.89)</f>
        <v>56.89</v>
      </c>
      <c r="O112" s="26">
        <f>IFERROR(__xludf.DUMMYFUNCTION("""COMPUTED_VALUE"""),189.55)</f>
        <v>189.55</v>
      </c>
      <c r="P112" s="26">
        <f>IFERROR(__xludf.DUMMYFUNCTION("""COMPUTED_VALUE"""),81.44)</f>
        <v>81.44</v>
      </c>
      <c r="Q112" s="26">
        <f>IFERROR(__xludf.DUMMYFUNCTION("""COMPUTED_VALUE"""),394.49)</f>
        <v>394.49</v>
      </c>
      <c r="R112" s="26">
        <f>IFERROR(__xludf.DUMMYFUNCTION("""COMPUTED_VALUE"""),56.67)</f>
        <v>56.67</v>
      </c>
      <c r="S112" s="26">
        <f>IFERROR(__xludf.DUMMYFUNCTION("""COMPUTED_VALUE"""),207.44)</f>
        <v>207.44</v>
      </c>
      <c r="T112" s="26">
        <f>IFERROR(__xludf.DUMMYFUNCTION("""COMPUTED_VALUE"""),151.2)</f>
        <v>151.2</v>
      </c>
      <c r="U112" s="26">
        <f>IFERROR(__xludf.DUMMYFUNCTION("""COMPUTED_VALUE"""),353.12)</f>
        <v>353.12</v>
      </c>
      <c r="V112" s="26">
        <f>IFERROR(__xludf.DUMMYFUNCTION("""COMPUTED_VALUE"""),42.13)</f>
        <v>42.13</v>
      </c>
      <c r="W112" s="26">
        <f>IFERROR(__xludf.DUMMYFUNCTION("""COMPUTED_VALUE"""),69.9)</f>
        <v>69.9</v>
      </c>
      <c r="X112" s="26">
        <f>IFERROR(__xludf.DUMMYFUNCTION("""COMPUTED_VALUE"""),105.66)</f>
        <v>105.66</v>
      </c>
      <c r="Y112" s="26">
        <f>IFERROR(__xludf.DUMMYFUNCTION("""COMPUTED_VALUE"""),163.69)</f>
        <v>163.69</v>
      </c>
      <c r="Z112" s="26">
        <f>IFERROR(__xludf.DUMMYFUNCTION("""COMPUTED_VALUE"""),67.86)</f>
        <v>67.86</v>
      </c>
      <c r="AA112" s="26">
        <f>IFERROR(__xludf.DUMMYFUNCTION("""COMPUTED_VALUE"""),429.38)</f>
        <v>429.38</v>
      </c>
      <c r="AB112" s="26">
        <f>IFERROR(__xludf.DUMMYFUNCTION("""COMPUTED_VALUE"""),65.36)</f>
        <v>65.36</v>
      </c>
      <c r="AC112" s="26">
        <f>IFERROR(__xludf.DUMMYFUNCTION("""COMPUTED_VALUE"""),120.35)</f>
        <v>120.35</v>
      </c>
      <c r="AD112" s="26">
        <f>IFERROR(__xludf.DUMMYFUNCTION("""COMPUTED_VALUE"""),274.26)</f>
        <v>274.26</v>
      </c>
      <c r="AE112" s="26">
        <f>IFERROR(__xludf.DUMMYFUNCTION("""COMPUTED_VALUE"""),482.32)</f>
        <v>482.32</v>
      </c>
      <c r="AF112" s="26">
        <f>IFERROR(__xludf.DUMMYFUNCTION("""COMPUTED_VALUE"""),308.23)</f>
        <v>308.23</v>
      </c>
      <c r="AG112" s="26">
        <f>IFERROR(__xludf.DUMMYFUNCTION("""COMPUTED_VALUE"""),49.38)</f>
        <v>49.38</v>
      </c>
      <c r="AH112" s="26">
        <f>IFERROR(__xludf.DUMMYFUNCTION("""COMPUTED_VALUE"""),87.36)</f>
        <v>87.36</v>
      </c>
      <c r="AI112" s="26">
        <f>IFERROR(__xludf.DUMMYFUNCTION("""COMPUTED_VALUE"""),529.0)</f>
        <v>529</v>
      </c>
      <c r="AJ112" s="26">
        <f>IFERROR(__xludf.DUMMYFUNCTION("""COMPUTED_VALUE"""),415.6)</f>
        <v>415.6</v>
      </c>
      <c r="AK112" s="26">
        <f>IFERROR(__xludf.DUMMYFUNCTION("""COMPUTED_VALUE"""),107.7)</f>
        <v>107.7</v>
      </c>
      <c r="AL112" s="26">
        <f>IFERROR(__xludf.DUMMYFUNCTION("""COMPUTED_VALUE"""),164.81)</f>
        <v>164.81</v>
      </c>
      <c r="AM112" s="26">
        <f>IFERROR(__xludf.DUMMYFUNCTION("""COMPUTED_VALUE"""),473.73)</f>
        <v>473.73</v>
      </c>
      <c r="AN112" s="26">
        <f>IFERROR(__xludf.DUMMYFUNCTION("""COMPUTED_VALUE"""),224.42)</f>
        <v>224.42</v>
      </c>
      <c r="AO112" s="26">
        <f>IFERROR(__xludf.DUMMYFUNCTION("""COMPUTED_VALUE"""),609.62)</f>
        <v>609.62</v>
      </c>
      <c r="AP112" s="26">
        <f>IFERROR(__xludf.DUMMYFUNCTION("""COMPUTED_VALUE"""),283.71)</f>
        <v>283.71</v>
      </c>
      <c r="AQ112" s="26">
        <f>IFERROR(__xludf.DUMMYFUNCTION("""COMPUTED_VALUE"""),30.56)</f>
        <v>30.56</v>
      </c>
      <c r="AR112" s="26">
        <f>IFERROR(__xludf.DUMMYFUNCTION("""COMPUTED_VALUE"""),89.79)</f>
        <v>89.79</v>
      </c>
      <c r="AS112" s="26">
        <f>IFERROR(__xludf.DUMMYFUNCTION("""COMPUTED_VALUE"""),85.69)</f>
        <v>85.69</v>
      </c>
      <c r="AT112" s="26">
        <f>IFERROR(__xludf.DUMMYFUNCTION("""COMPUTED_VALUE"""),416.72)</f>
        <v>416.72</v>
      </c>
      <c r="AU112" s="26">
        <f>IFERROR(__xludf.DUMMYFUNCTION("""COMPUTED_VALUE"""),83.78)</f>
        <v>83.78</v>
      </c>
      <c r="AV112" s="26">
        <f>IFERROR(__xludf.DUMMYFUNCTION("""COMPUTED_VALUE"""),136.93)</f>
        <v>136.93</v>
      </c>
      <c r="AW112" s="26">
        <f>IFERROR(__xludf.DUMMYFUNCTION("""COMPUTED_VALUE"""),105.21)</f>
        <v>105.21</v>
      </c>
      <c r="AX112" s="26">
        <f>IFERROR(__xludf.DUMMYFUNCTION("""COMPUTED_VALUE"""),48.16)</f>
        <v>48.16</v>
      </c>
      <c r="AY112" s="26">
        <f>IFERROR(__xludf.DUMMYFUNCTION("""COMPUTED_VALUE"""),42.0)</f>
        <v>42</v>
      </c>
      <c r="AZ112" s="26">
        <f>IFERROR(__xludf.DUMMYFUNCTION("""COMPUTED_VALUE"""),79.82)</f>
        <v>79.82</v>
      </c>
      <c r="BA112" s="26">
        <f>IFERROR(__xludf.DUMMYFUNCTION("""COMPUTED_VALUE"""),29.27)</f>
        <v>29.27</v>
      </c>
      <c r="BB112" s="26">
        <f>IFERROR(__xludf.DUMMYFUNCTION("""COMPUTED_VALUE"""),125.75)</f>
        <v>125.75</v>
      </c>
      <c r="BC112" s="26">
        <f>IFERROR(__xludf.DUMMYFUNCTION("""COMPUTED_VALUE"""),221.95)</f>
        <v>221.95</v>
      </c>
      <c r="BD112" s="26">
        <f>IFERROR(__xludf.DUMMYFUNCTION("""COMPUTED_VALUE"""),599.25)</f>
        <v>599.25</v>
      </c>
      <c r="BE112" s="26">
        <f>IFERROR(__xludf.DUMMYFUNCTION("""COMPUTED_VALUE"""),171.2)</f>
        <v>171.2</v>
      </c>
      <c r="BF112" s="26">
        <f>IFERROR(__xludf.DUMMYFUNCTION("""COMPUTED_VALUE"""),127.15)</f>
        <v>127.15</v>
      </c>
      <c r="BG112" s="26">
        <f>IFERROR(__xludf.DUMMYFUNCTION("""COMPUTED_VALUE"""),9.48)</f>
        <v>9.48</v>
      </c>
      <c r="BH112" s="26">
        <f>IFERROR(__xludf.DUMMYFUNCTION("""COMPUTED_VALUE"""),241.72)</f>
        <v>241.72</v>
      </c>
      <c r="BI112" s="26">
        <f>IFERROR(__xludf.DUMMYFUNCTION("""COMPUTED_VALUE"""),566.03)</f>
        <v>566.03</v>
      </c>
      <c r="BJ112" s="26">
        <f>IFERROR(__xludf.DUMMYFUNCTION("""COMPUTED_VALUE"""),48.9)</f>
        <v>48.9</v>
      </c>
      <c r="BK112" s="26">
        <f>IFERROR(__xludf.DUMMYFUNCTION("""COMPUTED_VALUE"""),11.71)</f>
        <v>11.71</v>
      </c>
      <c r="BL112" s="26">
        <f>IFERROR(__xludf.DUMMYFUNCTION("""COMPUTED_VALUE"""),213.08)</f>
        <v>213.08</v>
      </c>
      <c r="BM112" s="26">
        <f>IFERROR(__xludf.DUMMYFUNCTION("""COMPUTED_VALUE"""),96.54)</f>
        <v>96.54</v>
      </c>
    </row>
    <row r="113">
      <c r="A113" s="25">
        <v>45583.66666666667</v>
      </c>
      <c r="B113" s="17">
        <f>IFERROR(__xludf.DUMMYFUNCTION("""COMPUTED_VALUE"""),5864.67)</f>
        <v>5864.67</v>
      </c>
      <c r="C113" s="17">
        <f>IFERROR(__xludf.DUMMYFUNCTION("""COMPUTED_VALUE"""),18489.55)</f>
        <v>18489.55</v>
      </c>
      <c r="D113" s="17">
        <f>IFERROR(__xludf.DUMMYFUNCTION("""COMPUTED_VALUE"""),43275.91)</f>
        <v>43275.91</v>
      </c>
      <c r="E113" s="17">
        <f>IFERROR(__xludf.DUMMYFUNCTION("""COMPUTED_VALUE"""),2276.09)</f>
        <v>2276.09</v>
      </c>
      <c r="F113" s="26">
        <f>IFERROR(__xludf.DUMMYFUNCTION("""COMPUTED_VALUE"""),494.9)</f>
        <v>494.9</v>
      </c>
      <c r="G113" s="26">
        <f>IFERROR(__xludf.DUMMYFUNCTION("""COMPUTED_VALUE"""),188.99)</f>
        <v>188.99</v>
      </c>
      <c r="H113" s="26">
        <f>IFERROR(__xludf.DUMMYFUNCTION("""COMPUTED_VALUE"""),141.96)</f>
        <v>141.96</v>
      </c>
      <c r="I113" s="26">
        <f>IFERROR(__xludf.DUMMYFUNCTION("""COMPUTED_VALUE"""),235.0)</f>
        <v>235</v>
      </c>
      <c r="J113" s="26">
        <f>IFERROR(__xludf.DUMMYFUNCTION("""COMPUTED_VALUE"""),186.36)</f>
        <v>186.36</v>
      </c>
      <c r="K113" s="26">
        <f>IFERROR(__xludf.DUMMYFUNCTION("""COMPUTED_VALUE"""),76.67)</f>
        <v>76.67</v>
      </c>
      <c r="L113" s="26">
        <f>IFERROR(__xludf.DUMMYFUNCTION("""COMPUTED_VALUE"""),12.84)</f>
        <v>12.84</v>
      </c>
      <c r="M113" s="26">
        <f>IFERROR(__xludf.DUMMYFUNCTION("""COMPUTED_VALUE"""),464.8)</f>
        <v>464.8</v>
      </c>
      <c r="N113" s="26">
        <f>IFERROR(__xludf.DUMMYFUNCTION("""COMPUTED_VALUE"""),57.12)</f>
        <v>57.12</v>
      </c>
      <c r="O113" s="26">
        <f>IFERROR(__xludf.DUMMYFUNCTION("""COMPUTED_VALUE"""),190.16)</f>
        <v>190.16</v>
      </c>
      <c r="P113" s="26">
        <f>IFERROR(__xludf.DUMMYFUNCTION("""COMPUTED_VALUE"""),81.55)</f>
        <v>81.55</v>
      </c>
      <c r="Q113" s="26">
        <f>IFERROR(__xludf.DUMMYFUNCTION("""COMPUTED_VALUE"""),393.86)</f>
        <v>393.86</v>
      </c>
      <c r="R113" s="26">
        <f>IFERROR(__xludf.DUMMYFUNCTION("""COMPUTED_VALUE"""),58.02)</f>
        <v>58.02</v>
      </c>
      <c r="S113" s="26">
        <f>IFERROR(__xludf.DUMMYFUNCTION("""COMPUTED_VALUE"""),206.23)</f>
        <v>206.23</v>
      </c>
      <c r="T113" s="26">
        <f>IFERROR(__xludf.DUMMYFUNCTION("""COMPUTED_VALUE"""),150.75)</f>
        <v>150.75</v>
      </c>
      <c r="U113" s="26">
        <f>IFERROR(__xludf.DUMMYFUNCTION("""COMPUTED_VALUE"""),336.0)</f>
        <v>336</v>
      </c>
      <c r="V113" s="26">
        <f>IFERROR(__xludf.DUMMYFUNCTION("""COMPUTED_VALUE"""),42.47)</f>
        <v>42.47</v>
      </c>
      <c r="W113" s="26">
        <f>IFERROR(__xludf.DUMMYFUNCTION("""COMPUTED_VALUE"""),70.44)</f>
        <v>70.44</v>
      </c>
      <c r="X113" s="26">
        <f>IFERROR(__xludf.DUMMYFUNCTION("""COMPUTED_VALUE"""),106.76)</f>
        <v>106.76</v>
      </c>
      <c r="Y113" s="26">
        <f>IFERROR(__xludf.DUMMYFUNCTION("""COMPUTED_VALUE"""),165.38)</f>
        <v>165.38</v>
      </c>
      <c r="Z113" s="26">
        <f>IFERROR(__xludf.DUMMYFUNCTION("""COMPUTED_VALUE"""),68.2)</f>
        <v>68.2</v>
      </c>
      <c r="AA113" s="26">
        <f>IFERROR(__xludf.DUMMYFUNCTION("""COMPUTED_VALUE"""),428.85)</f>
        <v>428.85</v>
      </c>
      <c r="AB113" s="26">
        <f>IFERROR(__xludf.DUMMYFUNCTION("""COMPUTED_VALUE"""),64.95)</f>
        <v>64.95</v>
      </c>
      <c r="AC113" s="26">
        <f>IFERROR(__xludf.DUMMYFUNCTION("""COMPUTED_VALUE"""),120.01)</f>
        <v>120.01</v>
      </c>
      <c r="AD113" s="26">
        <f>IFERROR(__xludf.DUMMYFUNCTION("""COMPUTED_VALUE"""),274.4)</f>
        <v>274.4</v>
      </c>
      <c r="AE113" s="26">
        <f>IFERROR(__xludf.DUMMYFUNCTION("""COMPUTED_VALUE"""),482.35)</f>
        <v>482.35</v>
      </c>
      <c r="AF113" s="26">
        <f>IFERROR(__xludf.DUMMYFUNCTION("""COMPUTED_VALUE"""),308.48)</f>
        <v>308.48</v>
      </c>
      <c r="AG113" s="26">
        <f>IFERROR(__xludf.DUMMYFUNCTION("""COMPUTED_VALUE"""),49.18)</f>
        <v>49.18</v>
      </c>
      <c r="AH113" s="26">
        <f>IFERROR(__xludf.DUMMYFUNCTION("""COMPUTED_VALUE"""),86.72)</f>
        <v>86.72</v>
      </c>
      <c r="AI113" s="26">
        <f>IFERROR(__xludf.DUMMYFUNCTION("""COMPUTED_VALUE"""),528.5)</f>
        <v>528.5</v>
      </c>
      <c r="AJ113" s="26">
        <f>IFERROR(__xludf.DUMMYFUNCTION("""COMPUTED_VALUE"""),415.0)</f>
        <v>415</v>
      </c>
      <c r="AK113" s="26">
        <f>IFERROR(__xludf.DUMMYFUNCTION("""COMPUTED_VALUE"""),108.03)</f>
        <v>108.03</v>
      </c>
      <c r="AL113" s="26">
        <f>IFERROR(__xludf.DUMMYFUNCTION("""COMPUTED_VALUE"""),166.83)</f>
        <v>166.83</v>
      </c>
      <c r="AM113" s="26">
        <f>IFERROR(__xludf.DUMMYFUNCTION("""COMPUTED_VALUE"""),521.15)</f>
        <v>521.15</v>
      </c>
      <c r="AN113" s="26">
        <f>IFERROR(__xludf.DUMMYFUNCTION("""COMPUTED_VALUE"""),225.37)</f>
        <v>225.37</v>
      </c>
      <c r="AO113" s="26">
        <f>IFERROR(__xludf.DUMMYFUNCTION("""COMPUTED_VALUE"""),611.81)</f>
        <v>611.81</v>
      </c>
      <c r="AP113" s="26">
        <f>IFERROR(__xludf.DUMMYFUNCTION("""COMPUTED_VALUE"""),291.63)</f>
        <v>291.63</v>
      </c>
      <c r="AQ113" s="26">
        <f>IFERROR(__xludf.DUMMYFUNCTION("""COMPUTED_VALUE"""),30.49)</f>
        <v>30.49</v>
      </c>
      <c r="AR113" s="26">
        <f>IFERROR(__xludf.DUMMYFUNCTION("""COMPUTED_VALUE"""),92.24)</f>
        <v>92.24</v>
      </c>
      <c r="AS113" s="26">
        <f>IFERROR(__xludf.DUMMYFUNCTION("""COMPUTED_VALUE"""),85.32)</f>
        <v>85.32</v>
      </c>
      <c r="AT113" s="26">
        <f>IFERROR(__xludf.DUMMYFUNCTION("""COMPUTED_VALUE"""),418.16)</f>
        <v>418.16</v>
      </c>
      <c r="AU113" s="26">
        <f>IFERROR(__xludf.DUMMYFUNCTION("""COMPUTED_VALUE"""),84.38)</f>
        <v>84.38</v>
      </c>
      <c r="AV113" s="26">
        <f>IFERROR(__xludf.DUMMYFUNCTION("""COMPUTED_VALUE"""),138.0)</f>
        <v>138</v>
      </c>
      <c r="AW113" s="26">
        <f>IFERROR(__xludf.DUMMYFUNCTION("""COMPUTED_VALUE"""),106.01)</f>
        <v>106.01</v>
      </c>
      <c r="AX113" s="26">
        <f>IFERROR(__xludf.DUMMYFUNCTION("""COMPUTED_VALUE"""),48.33)</f>
        <v>48.33</v>
      </c>
      <c r="AY113" s="26">
        <f>IFERROR(__xludf.DUMMYFUNCTION("""COMPUTED_VALUE"""),42.97)</f>
        <v>42.97</v>
      </c>
      <c r="AZ113" s="26">
        <f>IFERROR(__xludf.DUMMYFUNCTION("""COMPUTED_VALUE"""),80.94)</f>
        <v>80.94</v>
      </c>
      <c r="BA113" s="26">
        <f>IFERROR(__xludf.DUMMYFUNCTION("""COMPUTED_VALUE"""),29.22)</f>
        <v>29.22</v>
      </c>
      <c r="BB113" s="26">
        <f>IFERROR(__xludf.DUMMYFUNCTION("""COMPUTED_VALUE"""),125.92)</f>
        <v>125.92</v>
      </c>
      <c r="BC113" s="26">
        <f>IFERROR(__xludf.DUMMYFUNCTION("""COMPUTED_VALUE"""),223.21)</f>
        <v>223.21</v>
      </c>
      <c r="BD113" s="26">
        <f>IFERROR(__xludf.DUMMYFUNCTION("""COMPUTED_VALUE"""),601.71)</f>
        <v>601.71</v>
      </c>
      <c r="BE113" s="26">
        <f>IFERROR(__xludf.DUMMYFUNCTION("""COMPUTED_VALUE"""),171.53)</f>
        <v>171.53</v>
      </c>
      <c r="BF113" s="26">
        <f>IFERROR(__xludf.DUMMYFUNCTION("""COMPUTED_VALUE"""),126.6)</f>
        <v>126.6</v>
      </c>
      <c r="BG113" s="26">
        <f>IFERROR(__xludf.DUMMYFUNCTION("""COMPUTED_VALUE"""),9.36)</f>
        <v>9.36</v>
      </c>
      <c r="BH113" s="26">
        <f>IFERROR(__xludf.DUMMYFUNCTION("""COMPUTED_VALUE"""),244.1)</f>
        <v>244.1</v>
      </c>
      <c r="BI113" s="26">
        <f>IFERROR(__xludf.DUMMYFUNCTION("""COMPUTED_VALUE"""),569.61)</f>
        <v>569.61</v>
      </c>
      <c r="BJ113" s="26">
        <f>IFERROR(__xludf.DUMMYFUNCTION("""COMPUTED_VALUE"""),48.93)</f>
        <v>48.93</v>
      </c>
      <c r="BK113" s="26">
        <f>IFERROR(__xludf.DUMMYFUNCTION("""COMPUTED_VALUE"""),11.76)</f>
        <v>11.76</v>
      </c>
      <c r="BL113" s="26">
        <f>IFERROR(__xludf.DUMMYFUNCTION("""COMPUTED_VALUE"""),212.75)</f>
        <v>212.75</v>
      </c>
      <c r="BM113" s="26">
        <f>IFERROR(__xludf.DUMMYFUNCTION("""COMPUTED_VALUE"""),97.28)</f>
        <v>97.28</v>
      </c>
    </row>
    <row r="114">
      <c r="A114" s="25">
        <v>45586.66666666667</v>
      </c>
      <c r="B114" s="17">
        <f>IFERROR(__xludf.DUMMYFUNCTION("""COMPUTED_VALUE"""),5853.98)</f>
        <v>5853.98</v>
      </c>
      <c r="C114" s="17">
        <f>IFERROR(__xludf.DUMMYFUNCTION("""COMPUTED_VALUE"""),18540.01)</f>
        <v>18540.01</v>
      </c>
      <c r="D114" s="17">
        <f>IFERROR(__xludf.DUMMYFUNCTION("""COMPUTED_VALUE"""),42931.6)</f>
        <v>42931.6</v>
      </c>
      <c r="E114" s="17">
        <f>IFERROR(__xludf.DUMMYFUNCTION("""COMPUTED_VALUE"""),2239.71)</f>
        <v>2239.71</v>
      </c>
      <c r="F114" s="26">
        <f>IFERROR(__xludf.DUMMYFUNCTION("""COMPUTED_VALUE"""),497.71)</f>
        <v>497.71</v>
      </c>
      <c r="G114" s="26">
        <f>IFERROR(__xludf.DUMMYFUNCTION("""COMPUTED_VALUE"""),189.07)</f>
        <v>189.07</v>
      </c>
      <c r="H114" s="26">
        <f>IFERROR(__xludf.DUMMYFUNCTION("""COMPUTED_VALUE"""),141.05)</f>
        <v>141.05</v>
      </c>
      <c r="I114" s="26">
        <f>IFERROR(__xludf.DUMMYFUNCTION("""COMPUTED_VALUE"""),236.48)</f>
        <v>236.48</v>
      </c>
      <c r="J114" s="26">
        <f>IFERROR(__xludf.DUMMYFUNCTION("""COMPUTED_VALUE"""),184.46)</f>
        <v>184.46</v>
      </c>
      <c r="K114" s="26">
        <f>IFERROR(__xludf.DUMMYFUNCTION("""COMPUTED_VALUE"""),75.88)</f>
        <v>75.88</v>
      </c>
      <c r="L114" s="26">
        <f>IFERROR(__xludf.DUMMYFUNCTION("""COMPUTED_VALUE"""),12.61)</f>
        <v>12.61</v>
      </c>
      <c r="M114" s="26">
        <f>IFERROR(__xludf.DUMMYFUNCTION("""COMPUTED_VALUE"""),464.16)</f>
        <v>464.16</v>
      </c>
      <c r="N114" s="26">
        <f>IFERROR(__xludf.DUMMYFUNCTION("""COMPUTED_VALUE"""),56.32)</f>
        <v>56.32</v>
      </c>
      <c r="O114" s="26">
        <f>IFERROR(__xludf.DUMMYFUNCTION("""COMPUTED_VALUE"""),184.65)</f>
        <v>184.65</v>
      </c>
      <c r="P114" s="26">
        <f>IFERROR(__xludf.DUMMYFUNCTION("""COMPUTED_VALUE"""),81.38)</f>
        <v>81.38</v>
      </c>
      <c r="Q114" s="26">
        <f>IFERROR(__xludf.DUMMYFUNCTION("""COMPUTED_VALUE"""),390.48)</f>
        <v>390.48</v>
      </c>
      <c r="R114" s="26">
        <f>IFERROR(__xludf.DUMMYFUNCTION("""COMPUTED_VALUE"""),57.92)</f>
        <v>57.92</v>
      </c>
      <c r="S114" s="26">
        <f>IFERROR(__xludf.DUMMYFUNCTION("""COMPUTED_VALUE"""),205.28)</f>
        <v>205.28</v>
      </c>
      <c r="T114" s="26">
        <f>IFERROR(__xludf.DUMMYFUNCTION("""COMPUTED_VALUE"""),150.88)</f>
        <v>150.88</v>
      </c>
      <c r="U114" s="26">
        <f>IFERROR(__xludf.DUMMYFUNCTION("""COMPUTED_VALUE"""),320.23)</f>
        <v>320.23</v>
      </c>
      <c r="V114" s="26">
        <f>IFERROR(__xludf.DUMMYFUNCTION("""COMPUTED_VALUE"""),41.06)</f>
        <v>41.06</v>
      </c>
      <c r="W114" s="26">
        <f>IFERROR(__xludf.DUMMYFUNCTION("""COMPUTED_VALUE"""),69.45)</f>
        <v>69.45</v>
      </c>
      <c r="X114" s="26">
        <f>IFERROR(__xludf.DUMMYFUNCTION("""COMPUTED_VALUE"""),106.26)</f>
        <v>106.26</v>
      </c>
      <c r="Y114" s="26">
        <f>IFERROR(__xludf.DUMMYFUNCTION("""COMPUTED_VALUE"""),165.2)</f>
        <v>165.2</v>
      </c>
      <c r="Z114" s="26">
        <f>IFERROR(__xludf.DUMMYFUNCTION("""COMPUTED_VALUE"""),67.31)</f>
        <v>67.31</v>
      </c>
      <c r="AA114" s="26">
        <f>IFERROR(__xludf.DUMMYFUNCTION("""COMPUTED_VALUE"""),431.29)</f>
        <v>431.29</v>
      </c>
      <c r="AB114" s="26">
        <f>IFERROR(__xludf.DUMMYFUNCTION("""COMPUTED_VALUE"""),64.16)</f>
        <v>64.16</v>
      </c>
      <c r="AC114" s="26">
        <f>IFERROR(__xludf.DUMMYFUNCTION("""COMPUTED_VALUE"""),120.08)</f>
        <v>120.08</v>
      </c>
      <c r="AD114" s="26">
        <f>IFERROR(__xludf.DUMMYFUNCTION("""COMPUTED_VALUE"""),268.81)</f>
        <v>268.81</v>
      </c>
      <c r="AE114" s="26">
        <f>IFERROR(__xludf.DUMMYFUNCTION("""COMPUTED_VALUE"""),480.18)</f>
        <v>480.18</v>
      </c>
      <c r="AF114" s="26">
        <f>IFERROR(__xludf.DUMMYFUNCTION("""COMPUTED_VALUE"""),308.08)</f>
        <v>308.08</v>
      </c>
      <c r="AG114" s="26">
        <f>IFERROR(__xludf.DUMMYFUNCTION("""COMPUTED_VALUE"""),48.93)</f>
        <v>48.93</v>
      </c>
      <c r="AH114" s="26">
        <f>IFERROR(__xludf.DUMMYFUNCTION("""COMPUTED_VALUE"""),86.29)</f>
        <v>86.29</v>
      </c>
      <c r="AI114" s="26">
        <f>IFERROR(__xludf.DUMMYFUNCTION("""COMPUTED_VALUE"""),517.8)</f>
        <v>517.8</v>
      </c>
      <c r="AJ114" s="26">
        <f>IFERROR(__xludf.DUMMYFUNCTION("""COMPUTED_VALUE"""),406.4)</f>
        <v>406.4</v>
      </c>
      <c r="AK114" s="26">
        <f>IFERROR(__xludf.DUMMYFUNCTION("""COMPUTED_VALUE"""),108.16)</f>
        <v>108.16</v>
      </c>
      <c r="AL114" s="26">
        <f>IFERROR(__xludf.DUMMYFUNCTION("""COMPUTED_VALUE"""),166.34)</f>
        <v>166.34</v>
      </c>
      <c r="AM114" s="26">
        <f>IFERROR(__xludf.DUMMYFUNCTION("""COMPUTED_VALUE"""),518.86)</f>
        <v>518.86</v>
      </c>
      <c r="AN114" s="26">
        <f>IFERROR(__xludf.DUMMYFUNCTION("""COMPUTED_VALUE"""),223.0)</f>
        <v>223</v>
      </c>
      <c r="AO114" s="26">
        <f>IFERROR(__xludf.DUMMYFUNCTION("""COMPUTED_VALUE"""),614.61)</f>
        <v>614.61</v>
      </c>
      <c r="AP114" s="26">
        <f>IFERROR(__xludf.DUMMYFUNCTION("""COMPUTED_VALUE"""),297.74)</f>
        <v>297.74</v>
      </c>
      <c r="AQ114" s="26">
        <f>IFERROR(__xludf.DUMMYFUNCTION("""COMPUTED_VALUE"""),30.04)</f>
        <v>30.04</v>
      </c>
      <c r="AR114" s="26">
        <f>IFERROR(__xludf.DUMMYFUNCTION("""COMPUTED_VALUE"""),91.03)</f>
        <v>91.03</v>
      </c>
      <c r="AS114" s="26">
        <f>IFERROR(__xludf.DUMMYFUNCTION("""COMPUTED_VALUE"""),84.84)</f>
        <v>84.84</v>
      </c>
      <c r="AT114" s="26">
        <f>IFERROR(__xludf.DUMMYFUNCTION("""COMPUTED_VALUE"""),418.78)</f>
        <v>418.78</v>
      </c>
      <c r="AU114" s="26">
        <f>IFERROR(__xludf.DUMMYFUNCTION("""COMPUTED_VALUE"""),84.03)</f>
        <v>84.03</v>
      </c>
      <c r="AV114" s="26">
        <f>IFERROR(__xludf.DUMMYFUNCTION("""COMPUTED_VALUE"""),143.71)</f>
        <v>143.71</v>
      </c>
      <c r="AW114" s="26">
        <f>IFERROR(__xludf.DUMMYFUNCTION("""COMPUTED_VALUE"""),105.52)</f>
        <v>105.52</v>
      </c>
      <c r="AX114" s="26">
        <f>IFERROR(__xludf.DUMMYFUNCTION("""COMPUTED_VALUE"""),48.31)</f>
        <v>48.31</v>
      </c>
      <c r="AY114" s="26">
        <f>IFERROR(__xludf.DUMMYFUNCTION("""COMPUTED_VALUE"""),42.7)</f>
        <v>42.7</v>
      </c>
      <c r="AZ114" s="26">
        <f>IFERROR(__xludf.DUMMYFUNCTION("""COMPUTED_VALUE"""),80.56)</f>
        <v>80.56</v>
      </c>
      <c r="BA114" s="26">
        <f>IFERROR(__xludf.DUMMYFUNCTION("""COMPUTED_VALUE"""),28.93)</f>
        <v>28.93</v>
      </c>
      <c r="BB114" s="26">
        <f>IFERROR(__xludf.DUMMYFUNCTION("""COMPUTED_VALUE"""),125.9)</f>
        <v>125.9</v>
      </c>
      <c r="BC114" s="26">
        <f>IFERROR(__xludf.DUMMYFUNCTION("""COMPUTED_VALUE"""),222.77)</f>
        <v>222.77</v>
      </c>
      <c r="BD114" s="26">
        <f>IFERROR(__xludf.DUMMYFUNCTION("""COMPUTED_VALUE"""),595.37)</f>
        <v>595.37</v>
      </c>
      <c r="BE114" s="26">
        <f>IFERROR(__xludf.DUMMYFUNCTION("""COMPUTED_VALUE"""),169.17)</f>
        <v>169.17</v>
      </c>
      <c r="BF114" s="26">
        <f>IFERROR(__xludf.DUMMYFUNCTION("""COMPUTED_VALUE"""),124.48)</f>
        <v>124.48</v>
      </c>
      <c r="BG114" s="26">
        <f>IFERROR(__xludf.DUMMYFUNCTION("""COMPUTED_VALUE"""),9.14)</f>
        <v>9.14</v>
      </c>
      <c r="BH114" s="26">
        <f>IFERROR(__xludf.DUMMYFUNCTION("""COMPUTED_VALUE"""),240.35)</f>
        <v>240.35</v>
      </c>
      <c r="BI114" s="26">
        <f>IFERROR(__xludf.DUMMYFUNCTION("""COMPUTED_VALUE"""),571.47)</f>
        <v>571.47</v>
      </c>
      <c r="BJ114" s="26">
        <f>IFERROR(__xludf.DUMMYFUNCTION("""COMPUTED_VALUE"""),48.85)</f>
        <v>48.85</v>
      </c>
      <c r="BK114" s="26">
        <f>IFERROR(__xludf.DUMMYFUNCTION("""COMPUTED_VALUE"""),11.57)</f>
        <v>11.57</v>
      </c>
      <c r="BL114" s="26">
        <f>IFERROR(__xludf.DUMMYFUNCTION("""COMPUTED_VALUE"""),211.82)</f>
        <v>211.82</v>
      </c>
      <c r="BM114" s="26">
        <f>IFERROR(__xludf.DUMMYFUNCTION("""COMPUTED_VALUE"""),96.62)</f>
        <v>96.62</v>
      </c>
    </row>
    <row r="115">
      <c r="A115" s="25">
        <v>45587.66666666667</v>
      </c>
      <c r="B115" s="17">
        <f>IFERROR(__xludf.DUMMYFUNCTION("""COMPUTED_VALUE"""),5851.2)</f>
        <v>5851.2</v>
      </c>
      <c r="C115" s="17">
        <f>IFERROR(__xludf.DUMMYFUNCTION("""COMPUTED_VALUE"""),18573.13)</f>
        <v>18573.13</v>
      </c>
      <c r="D115" s="17">
        <f>IFERROR(__xludf.DUMMYFUNCTION("""COMPUTED_VALUE"""),42924.89)</f>
        <v>42924.89</v>
      </c>
      <c r="E115" s="17">
        <f>IFERROR(__xludf.DUMMYFUNCTION("""COMPUTED_VALUE"""),2231.53)</f>
        <v>2231.53</v>
      </c>
      <c r="F115" s="26">
        <f>IFERROR(__xludf.DUMMYFUNCTION("""COMPUTED_VALUE"""),493.11)</f>
        <v>493.11</v>
      </c>
      <c r="G115" s="26">
        <f>IFERROR(__xludf.DUMMYFUNCTION("""COMPUTED_VALUE"""),189.7)</f>
        <v>189.7</v>
      </c>
      <c r="H115" s="26">
        <f>IFERROR(__xludf.DUMMYFUNCTION("""COMPUTED_VALUE"""),140.75)</f>
        <v>140.75</v>
      </c>
      <c r="I115" s="26">
        <f>IFERROR(__xludf.DUMMYFUNCTION("""COMPUTED_VALUE"""),235.86)</f>
        <v>235.86</v>
      </c>
      <c r="J115" s="26">
        <f>IFERROR(__xludf.DUMMYFUNCTION("""COMPUTED_VALUE"""),183.0)</f>
        <v>183</v>
      </c>
      <c r="K115" s="26">
        <f>IFERROR(__xludf.DUMMYFUNCTION("""COMPUTED_VALUE"""),75.91)</f>
        <v>75.91</v>
      </c>
      <c r="L115" s="26">
        <f>IFERROR(__xludf.DUMMYFUNCTION("""COMPUTED_VALUE"""),12.75)</f>
        <v>12.75</v>
      </c>
      <c r="M115" s="26">
        <f>IFERROR(__xludf.DUMMYFUNCTION("""COMPUTED_VALUE"""),461.45)</f>
        <v>461.45</v>
      </c>
      <c r="N115" s="26">
        <f>IFERROR(__xludf.DUMMYFUNCTION("""COMPUTED_VALUE"""),56.64)</f>
        <v>56.64</v>
      </c>
      <c r="O115" s="26">
        <f>IFERROR(__xludf.DUMMYFUNCTION("""COMPUTED_VALUE"""),185.9)</f>
        <v>185.9</v>
      </c>
      <c r="P115" s="26">
        <f>IFERROR(__xludf.DUMMYFUNCTION("""COMPUTED_VALUE"""),80.15)</f>
        <v>80.15</v>
      </c>
      <c r="Q115" s="26">
        <f>IFERROR(__xludf.DUMMYFUNCTION("""COMPUTED_VALUE"""),388.46)</f>
        <v>388.46</v>
      </c>
      <c r="R115" s="26">
        <f>IFERROR(__xludf.DUMMYFUNCTION("""COMPUTED_VALUE"""),56.68)</f>
        <v>56.68</v>
      </c>
      <c r="S115" s="26">
        <f>IFERROR(__xludf.DUMMYFUNCTION("""COMPUTED_VALUE"""),207.32)</f>
        <v>207.32</v>
      </c>
      <c r="T115" s="26">
        <f>IFERROR(__xludf.DUMMYFUNCTION("""COMPUTED_VALUE"""),150.92)</f>
        <v>150.92</v>
      </c>
      <c r="U115" s="26">
        <f>IFERROR(__xludf.DUMMYFUNCTION("""COMPUTED_VALUE"""),317.46)</f>
        <v>317.46</v>
      </c>
      <c r="V115" s="26">
        <f>IFERROR(__xludf.DUMMYFUNCTION("""COMPUTED_VALUE"""),41.61)</f>
        <v>41.61</v>
      </c>
      <c r="W115" s="26">
        <f>IFERROR(__xludf.DUMMYFUNCTION("""COMPUTED_VALUE"""),69.45)</f>
        <v>69.45</v>
      </c>
      <c r="X115" s="26">
        <f>IFERROR(__xludf.DUMMYFUNCTION("""COMPUTED_VALUE"""),105.7)</f>
        <v>105.7</v>
      </c>
      <c r="Y115" s="26">
        <f>IFERROR(__xludf.DUMMYFUNCTION("""COMPUTED_VALUE"""),165.25)</f>
        <v>165.25</v>
      </c>
      <c r="Z115" s="26">
        <f>IFERROR(__xludf.DUMMYFUNCTION("""COMPUTED_VALUE"""),66.94)</f>
        <v>66.94</v>
      </c>
      <c r="AA115" s="26">
        <f>IFERROR(__xludf.DUMMYFUNCTION("""COMPUTED_VALUE"""),426.78)</f>
        <v>426.78</v>
      </c>
      <c r="AB115" s="26">
        <f>IFERROR(__xludf.DUMMYFUNCTION("""COMPUTED_VALUE"""),63.32)</f>
        <v>63.32</v>
      </c>
      <c r="AC115" s="26">
        <f>IFERROR(__xludf.DUMMYFUNCTION("""COMPUTED_VALUE"""),120.7)</f>
        <v>120.7</v>
      </c>
      <c r="AD115" s="26">
        <f>IFERROR(__xludf.DUMMYFUNCTION("""COMPUTED_VALUE"""),269.79)</f>
        <v>269.79</v>
      </c>
      <c r="AE115" s="26">
        <f>IFERROR(__xludf.DUMMYFUNCTION("""COMPUTED_VALUE"""),478.51)</f>
        <v>478.51</v>
      </c>
      <c r="AF115" s="26">
        <f>IFERROR(__xludf.DUMMYFUNCTION("""COMPUTED_VALUE"""),305.99)</f>
        <v>305.99</v>
      </c>
      <c r="AG115" s="26">
        <f>IFERROR(__xludf.DUMMYFUNCTION("""COMPUTED_VALUE"""),53.73)</f>
        <v>53.73</v>
      </c>
      <c r="AH115" s="26">
        <f>IFERROR(__xludf.DUMMYFUNCTION("""COMPUTED_VALUE"""),88.16)</f>
        <v>88.16</v>
      </c>
      <c r="AI115" s="26">
        <f>IFERROR(__xludf.DUMMYFUNCTION("""COMPUTED_VALUE"""),518.3)</f>
        <v>518.3</v>
      </c>
      <c r="AJ115" s="26">
        <f>IFERROR(__xludf.DUMMYFUNCTION("""COMPUTED_VALUE"""),401.85)</f>
        <v>401.85</v>
      </c>
      <c r="AK115" s="26">
        <f>IFERROR(__xludf.DUMMYFUNCTION("""COMPUTED_VALUE"""),108.27)</f>
        <v>108.27</v>
      </c>
      <c r="AL115" s="26">
        <f>IFERROR(__xludf.DUMMYFUNCTION("""COMPUTED_VALUE"""),165.94)</f>
        <v>165.94</v>
      </c>
      <c r="AM115" s="26">
        <f>IFERROR(__xludf.DUMMYFUNCTION("""COMPUTED_VALUE"""),517.5)</f>
        <v>517.5</v>
      </c>
      <c r="AN115" s="26">
        <f>IFERROR(__xludf.DUMMYFUNCTION("""COMPUTED_VALUE"""),224.12)</f>
        <v>224.12</v>
      </c>
      <c r="AO115" s="26">
        <f>IFERROR(__xludf.DUMMYFUNCTION("""COMPUTED_VALUE"""),576.98)</f>
        <v>576.98</v>
      </c>
      <c r="AP115" s="26">
        <f>IFERROR(__xludf.DUMMYFUNCTION("""COMPUTED_VALUE"""),298.88)</f>
        <v>298.88</v>
      </c>
      <c r="AQ115" s="26">
        <f>IFERROR(__xludf.DUMMYFUNCTION("""COMPUTED_VALUE"""),30.08)</f>
        <v>30.08</v>
      </c>
      <c r="AR115" s="26">
        <f>IFERROR(__xludf.DUMMYFUNCTION("""COMPUTED_VALUE"""),91.12)</f>
        <v>91.12</v>
      </c>
      <c r="AS115" s="26">
        <f>IFERROR(__xludf.DUMMYFUNCTION("""COMPUTED_VALUE"""),84.75)</f>
        <v>84.75</v>
      </c>
      <c r="AT115" s="26">
        <f>IFERROR(__xludf.DUMMYFUNCTION("""COMPUTED_VALUE"""),427.51)</f>
        <v>427.51</v>
      </c>
      <c r="AU115" s="26">
        <f>IFERROR(__xludf.DUMMYFUNCTION("""COMPUTED_VALUE"""),83.7)</f>
        <v>83.7</v>
      </c>
      <c r="AV115" s="26">
        <f>IFERROR(__xludf.DUMMYFUNCTION("""COMPUTED_VALUE"""),143.59)</f>
        <v>143.59</v>
      </c>
      <c r="AW115" s="26">
        <f>IFERROR(__xludf.DUMMYFUNCTION("""COMPUTED_VALUE"""),102.96)</f>
        <v>102.96</v>
      </c>
      <c r="AX115" s="26">
        <f>IFERROR(__xludf.DUMMYFUNCTION("""COMPUTED_VALUE"""),48.66)</f>
        <v>48.66</v>
      </c>
      <c r="AY115" s="26">
        <f>IFERROR(__xludf.DUMMYFUNCTION("""COMPUTED_VALUE"""),42.94)</f>
        <v>42.94</v>
      </c>
      <c r="AZ115" s="26">
        <f>IFERROR(__xludf.DUMMYFUNCTION("""COMPUTED_VALUE"""),80.91)</f>
        <v>80.91</v>
      </c>
      <c r="BA115" s="26">
        <f>IFERROR(__xludf.DUMMYFUNCTION("""COMPUTED_VALUE"""),28.84)</f>
        <v>28.84</v>
      </c>
      <c r="BB115" s="26">
        <f>IFERROR(__xludf.DUMMYFUNCTION("""COMPUTED_VALUE"""),125.53)</f>
        <v>125.53</v>
      </c>
      <c r="BC115" s="26">
        <f>IFERROR(__xludf.DUMMYFUNCTION("""COMPUTED_VALUE"""),219.01)</f>
        <v>219.01</v>
      </c>
      <c r="BD115" s="26">
        <f>IFERROR(__xludf.DUMMYFUNCTION("""COMPUTED_VALUE"""),586.38)</f>
        <v>586.38</v>
      </c>
      <c r="BE115" s="26">
        <f>IFERROR(__xludf.DUMMYFUNCTION("""COMPUTED_VALUE"""),169.93)</f>
        <v>169.93</v>
      </c>
      <c r="BF115" s="26">
        <f>IFERROR(__xludf.DUMMYFUNCTION("""COMPUTED_VALUE"""),122.94)</f>
        <v>122.94</v>
      </c>
      <c r="BG115" s="26">
        <f>IFERROR(__xludf.DUMMYFUNCTION("""COMPUTED_VALUE"""),8.97)</f>
        <v>8.97</v>
      </c>
      <c r="BH115" s="26">
        <f>IFERROR(__xludf.DUMMYFUNCTION("""COMPUTED_VALUE"""),241.45)</f>
        <v>241.45</v>
      </c>
      <c r="BI115" s="26">
        <f>IFERROR(__xludf.DUMMYFUNCTION("""COMPUTED_VALUE"""),569.86)</f>
        <v>569.86</v>
      </c>
      <c r="BJ115" s="26">
        <f>IFERROR(__xludf.DUMMYFUNCTION("""COMPUTED_VALUE"""),48.87)</f>
        <v>48.87</v>
      </c>
      <c r="BK115" s="26">
        <f>IFERROR(__xludf.DUMMYFUNCTION("""COMPUTED_VALUE"""),11.67)</f>
        <v>11.67</v>
      </c>
      <c r="BL115" s="26">
        <f>IFERROR(__xludf.DUMMYFUNCTION("""COMPUTED_VALUE"""),211.05)</f>
        <v>211.05</v>
      </c>
      <c r="BM115" s="26">
        <f>IFERROR(__xludf.DUMMYFUNCTION("""COMPUTED_VALUE"""),96.74)</f>
        <v>96.74</v>
      </c>
    </row>
    <row r="116">
      <c r="A116" s="25">
        <v>45588.66666666667</v>
      </c>
      <c r="B116" s="17">
        <f>IFERROR(__xludf.DUMMYFUNCTION("""COMPUTED_VALUE"""),5797.42)</f>
        <v>5797.42</v>
      </c>
      <c r="C116" s="17">
        <f>IFERROR(__xludf.DUMMYFUNCTION("""COMPUTED_VALUE"""),18276.65)</f>
        <v>18276.65</v>
      </c>
      <c r="D116" s="17">
        <f>IFERROR(__xludf.DUMMYFUNCTION("""COMPUTED_VALUE"""),42514.95)</f>
        <v>42514.95</v>
      </c>
      <c r="E116" s="17">
        <f>IFERROR(__xludf.DUMMYFUNCTION("""COMPUTED_VALUE"""),2213.84)</f>
        <v>2213.84</v>
      </c>
      <c r="F116" s="26">
        <f>IFERROR(__xludf.DUMMYFUNCTION("""COMPUTED_VALUE"""),485.03)</f>
        <v>485.03</v>
      </c>
      <c r="G116" s="26">
        <f>IFERROR(__xludf.DUMMYFUNCTION("""COMPUTED_VALUE"""),184.71)</f>
        <v>184.71</v>
      </c>
      <c r="H116" s="26">
        <f>IFERROR(__xludf.DUMMYFUNCTION("""COMPUTED_VALUE"""),142.12)</f>
        <v>142.12</v>
      </c>
      <c r="I116" s="26">
        <f>IFERROR(__xludf.DUMMYFUNCTION("""COMPUTED_VALUE"""),230.76)</f>
        <v>230.76</v>
      </c>
      <c r="J116" s="26">
        <f>IFERROR(__xludf.DUMMYFUNCTION("""COMPUTED_VALUE"""),182.7)</f>
        <v>182.7</v>
      </c>
      <c r="K116" s="26">
        <f>IFERROR(__xludf.DUMMYFUNCTION("""COMPUTED_VALUE"""),76.37)</f>
        <v>76.37</v>
      </c>
      <c r="L116" s="26">
        <f>IFERROR(__xludf.DUMMYFUNCTION("""COMPUTED_VALUE"""),12.47)</f>
        <v>12.47</v>
      </c>
      <c r="M116" s="26">
        <f>IFERROR(__xludf.DUMMYFUNCTION("""COMPUTED_VALUE"""),460.61)</f>
        <v>460.61</v>
      </c>
      <c r="N116" s="26">
        <f>IFERROR(__xludf.DUMMYFUNCTION("""COMPUTED_VALUE"""),55.73)</f>
        <v>55.73</v>
      </c>
      <c r="O116" s="26">
        <f>IFERROR(__xludf.DUMMYFUNCTION("""COMPUTED_VALUE"""),182.98)</f>
        <v>182.98</v>
      </c>
      <c r="P116" s="26">
        <f>IFERROR(__xludf.DUMMYFUNCTION("""COMPUTED_VALUE"""),79.95)</f>
        <v>79.95</v>
      </c>
      <c r="Q116" s="26">
        <f>IFERROR(__xludf.DUMMYFUNCTION("""COMPUTED_VALUE"""),385.73)</f>
        <v>385.73</v>
      </c>
      <c r="R116" s="26">
        <f>IFERROR(__xludf.DUMMYFUNCTION("""COMPUTED_VALUE"""),54.08)</f>
        <v>54.08</v>
      </c>
      <c r="S116" s="26">
        <f>IFERROR(__xludf.DUMMYFUNCTION("""COMPUTED_VALUE"""),205.38)</f>
        <v>205.38</v>
      </c>
      <c r="T116" s="26">
        <f>IFERROR(__xludf.DUMMYFUNCTION("""COMPUTED_VALUE"""),150.48)</f>
        <v>150.48</v>
      </c>
      <c r="U116" s="26">
        <f>IFERROR(__xludf.DUMMYFUNCTION("""COMPUTED_VALUE"""),317.57)</f>
        <v>317.57</v>
      </c>
      <c r="V116" s="26">
        <f>IFERROR(__xludf.DUMMYFUNCTION("""COMPUTED_VALUE"""),41.44)</f>
        <v>41.44</v>
      </c>
      <c r="W116" s="26">
        <f>IFERROR(__xludf.DUMMYFUNCTION("""COMPUTED_VALUE"""),68.01)</f>
        <v>68.01</v>
      </c>
      <c r="X116" s="26">
        <f>IFERROR(__xludf.DUMMYFUNCTION("""COMPUTED_VALUE"""),107.4)</f>
        <v>107.4</v>
      </c>
      <c r="Y116" s="26">
        <f>IFERROR(__xludf.DUMMYFUNCTION("""COMPUTED_VALUE"""),165.8)</f>
        <v>165.8</v>
      </c>
      <c r="Z116" s="26">
        <f>IFERROR(__xludf.DUMMYFUNCTION("""COMPUTED_VALUE"""),66.13)</f>
        <v>66.13</v>
      </c>
      <c r="AA116" s="26">
        <f>IFERROR(__xludf.DUMMYFUNCTION("""COMPUTED_VALUE"""),422.7)</f>
        <v>422.7</v>
      </c>
      <c r="AB116" s="26">
        <f>IFERROR(__xludf.DUMMYFUNCTION("""COMPUTED_VALUE"""),63.67)</f>
        <v>63.67</v>
      </c>
      <c r="AC116" s="26">
        <f>IFERROR(__xludf.DUMMYFUNCTION("""COMPUTED_VALUE"""),120.27)</f>
        <v>120.27</v>
      </c>
      <c r="AD116" s="26">
        <f>IFERROR(__xludf.DUMMYFUNCTION("""COMPUTED_VALUE"""),268.05)</f>
        <v>268.05</v>
      </c>
      <c r="AE116" s="26">
        <f>IFERROR(__xludf.DUMMYFUNCTION("""COMPUTED_VALUE"""),482.44)</f>
        <v>482.44</v>
      </c>
      <c r="AF116" s="26">
        <f>IFERROR(__xludf.DUMMYFUNCTION("""COMPUTED_VALUE"""),304.4)</f>
        <v>304.4</v>
      </c>
      <c r="AG116" s="26">
        <f>IFERROR(__xludf.DUMMYFUNCTION("""COMPUTED_VALUE"""),52.92)</f>
        <v>52.92</v>
      </c>
      <c r="AH116" s="26">
        <f>IFERROR(__xludf.DUMMYFUNCTION("""COMPUTED_VALUE"""),87.23)</f>
        <v>87.23</v>
      </c>
      <c r="AI116" s="26">
        <f>IFERROR(__xludf.DUMMYFUNCTION("""COMPUTED_VALUE"""),517.2)</f>
        <v>517.2</v>
      </c>
      <c r="AJ116" s="26">
        <f>IFERROR(__xludf.DUMMYFUNCTION("""COMPUTED_VALUE"""),399.64)</f>
        <v>399.64</v>
      </c>
      <c r="AK116" s="26">
        <f>IFERROR(__xludf.DUMMYFUNCTION("""COMPUTED_VALUE"""),106.54)</f>
        <v>106.54</v>
      </c>
      <c r="AL116" s="26">
        <f>IFERROR(__xludf.DUMMYFUNCTION("""COMPUTED_VALUE"""),165.0)</f>
        <v>165</v>
      </c>
      <c r="AM116" s="26">
        <f>IFERROR(__xludf.DUMMYFUNCTION("""COMPUTED_VALUE"""),512.58)</f>
        <v>512.58</v>
      </c>
      <c r="AN116" s="26">
        <f>IFERROR(__xludf.DUMMYFUNCTION("""COMPUTED_VALUE"""),223.41)</f>
        <v>223.41</v>
      </c>
      <c r="AO116" s="26">
        <f>IFERROR(__xludf.DUMMYFUNCTION("""COMPUTED_VALUE"""),571.1)</f>
        <v>571.1</v>
      </c>
      <c r="AP116" s="26">
        <f>IFERROR(__xludf.DUMMYFUNCTION("""COMPUTED_VALUE"""),293.14)</f>
        <v>293.14</v>
      </c>
      <c r="AQ116" s="26">
        <f>IFERROR(__xludf.DUMMYFUNCTION("""COMPUTED_VALUE"""),30.02)</f>
        <v>30.02</v>
      </c>
      <c r="AR116" s="26">
        <f>IFERROR(__xludf.DUMMYFUNCTION("""COMPUTED_VALUE"""),92.27)</f>
        <v>92.27</v>
      </c>
      <c r="AS116" s="26">
        <f>IFERROR(__xludf.DUMMYFUNCTION("""COMPUTED_VALUE"""),84.13)</f>
        <v>84.13</v>
      </c>
      <c r="AT116" s="26">
        <f>IFERROR(__xludf.DUMMYFUNCTION("""COMPUTED_VALUE"""),424.6)</f>
        <v>424.6</v>
      </c>
      <c r="AU116" s="26">
        <f>IFERROR(__xludf.DUMMYFUNCTION("""COMPUTED_VALUE"""),84.96)</f>
        <v>84.96</v>
      </c>
      <c r="AV116" s="26">
        <f>IFERROR(__xludf.DUMMYFUNCTION("""COMPUTED_VALUE"""),139.56)</f>
        <v>139.56</v>
      </c>
      <c r="AW116" s="26">
        <f>IFERROR(__xludf.DUMMYFUNCTION("""COMPUTED_VALUE"""),102.86)</f>
        <v>102.86</v>
      </c>
      <c r="AX116" s="26">
        <f>IFERROR(__xludf.DUMMYFUNCTION("""COMPUTED_VALUE"""),47.38)</f>
        <v>47.38</v>
      </c>
      <c r="AY116" s="26">
        <f>IFERROR(__xludf.DUMMYFUNCTION("""COMPUTED_VALUE"""),42.59)</f>
        <v>42.59</v>
      </c>
      <c r="AZ116" s="26">
        <f>IFERROR(__xludf.DUMMYFUNCTION("""COMPUTED_VALUE"""),80.83)</f>
        <v>80.83</v>
      </c>
      <c r="BA116" s="26">
        <f>IFERROR(__xludf.DUMMYFUNCTION("""COMPUTED_VALUE"""),28.86)</f>
        <v>28.86</v>
      </c>
      <c r="BB116" s="26">
        <f>IFERROR(__xludf.DUMMYFUNCTION("""COMPUTED_VALUE"""),127.21)</f>
        <v>127.21</v>
      </c>
      <c r="BC116" s="26">
        <f>IFERROR(__xludf.DUMMYFUNCTION("""COMPUTED_VALUE"""),220.95)</f>
        <v>220.95</v>
      </c>
      <c r="BD116" s="26">
        <f>IFERROR(__xludf.DUMMYFUNCTION("""COMPUTED_VALUE"""),576.49)</f>
        <v>576.49</v>
      </c>
      <c r="BE116" s="26">
        <f>IFERROR(__xludf.DUMMYFUNCTION("""COMPUTED_VALUE"""),171.33)</f>
        <v>171.33</v>
      </c>
      <c r="BF116" s="26">
        <f>IFERROR(__xludf.DUMMYFUNCTION("""COMPUTED_VALUE"""),118.66)</f>
        <v>118.66</v>
      </c>
      <c r="BG116" s="26">
        <f>IFERROR(__xludf.DUMMYFUNCTION("""COMPUTED_VALUE"""),8.56)</f>
        <v>8.56</v>
      </c>
      <c r="BH116" s="26">
        <f>IFERROR(__xludf.DUMMYFUNCTION("""COMPUTED_VALUE"""),241.35)</f>
        <v>241.35</v>
      </c>
      <c r="BI116" s="26">
        <f>IFERROR(__xludf.DUMMYFUNCTION("""COMPUTED_VALUE"""),564.64)</f>
        <v>564.64</v>
      </c>
      <c r="BJ116" s="26">
        <f>IFERROR(__xludf.DUMMYFUNCTION("""COMPUTED_VALUE"""),48.79)</f>
        <v>48.79</v>
      </c>
      <c r="BK116" s="26">
        <f>IFERROR(__xludf.DUMMYFUNCTION("""COMPUTED_VALUE"""),11.55)</f>
        <v>11.55</v>
      </c>
      <c r="BL116" s="26">
        <f>IFERROR(__xludf.DUMMYFUNCTION("""COMPUTED_VALUE"""),211.8)</f>
        <v>211.8</v>
      </c>
      <c r="BM116" s="26">
        <f>IFERROR(__xludf.DUMMYFUNCTION("""COMPUTED_VALUE"""),96.24)</f>
        <v>96.24</v>
      </c>
    </row>
    <row r="117">
      <c r="A117" s="25">
        <v>45589.66666666667</v>
      </c>
      <c r="B117" s="17">
        <f>IFERROR(__xludf.DUMMYFUNCTION("""COMPUTED_VALUE"""),5809.86)</f>
        <v>5809.86</v>
      </c>
      <c r="C117" s="17">
        <f>IFERROR(__xludf.DUMMYFUNCTION("""COMPUTED_VALUE"""),18415.49)</f>
        <v>18415.49</v>
      </c>
      <c r="D117" s="17">
        <f>IFERROR(__xludf.DUMMYFUNCTION("""COMPUTED_VALUE"""),42374.36)</f>
        <v>42374.36</v>
      </c>
      <c r="E117" s="17">
        <f>IFERROR(__xludf.DUMMYFUNCTION("""COMPUTED_VALUE"""),2218.92)</f>
        <v>2218.92</v>
      </c>
      <c r="F117" s="26">
        <f>IFERROR(__xludf.DUMMYFUNCTION("""COMPUTED_VALUE"""),482.87)</f>
        <v>482.87</v>
      </c>
      <c r="G117" s="26">
        <f>IFERROR(__xludf.DUMMYFUNCTION("""COMPUTED_VALUE"""),186.38)</f>
        <v>186.38</v>
      </c>
      <c r="H117" s="26">
        <f>IFERROR(__xludf.DUMMYFUNCTION("""COMPUTED_VALUE"""),139.8)</f>
        <v>139.8</v>
      </c>
      <c r="I117" s="26">
        <f>IFERROR(__xludf.DUMMYFUNCTION("""COMPUTED_VALUE"""),230.57)</f>
        <v>230.57</v>
      </c>
      <c r="J117" s="26">
        <f>IFERROR(__xludf.DUMMYFUNCTION("""COMPUTED_VALUE"""),183.75)</f>
        <v>183.75</v>
      </c>
      <c r="K117" s="26">
        <f>IFERROR(__xludf.DUMMYFUNCTION("""COMPUTED_VALUE"""),76.5)</f>
        <v>76.5</v>
      </c>
      <c r="L117" s="26">
        <f>IFERROR(__xludf.DUMMYFUNCTION("""COMPUTED_VALUE"""),13.18)</f>
        <v>13.18</v>
      </c>
      <c r="M117" s="26">
        <f>IFERROR(__xludf.DUMMYFUNCTION("""COMPUTED_VALUE"""),457.77)</f>
        <v>457.77</v>
      </c>
      <c r="N117" s="26">
        <f>IFERROR(__xludf.DUMMYFUNCTION("""COMPUTED_VALUE"""),56.16)</f>
        <v>56.16</v>
      </c>
      <c r="O117" s="26">
        <f>IFERROR(__xludf.DUMMYFUNCTION("""COMPUTED_VALUE"""),183.86)</f>
        <v>183.86</v>
      </c>
      <c r="P117" s="26">
        <f>IFERROR(__xludf.DUMMYFUNCTION("""COMPUTED_VALUE"""),72.9)</f>
        <v>72.9</v>
      </c>
      <c r="Q117" s="26">
        <f>IFERROR(__xludf.DUMMYFUNCTION("""COMPUTED_VALUE"""),387.06)</f>
        <v>387.06</v>
      </c>
      <c r="R117" s="26">
        <f>IFERROR(__xludf.DUMMYFUNCTION("""COMPUTED_VALUE"""),53.85)</f>
        <v>53.85</v>
      </c>
      <c r="S117" s="26">
        <f>IFERROR(__xludf.DUMMYFUNCTION("""COMPUTED_VALUE"""),205.4)</f>
        <v>205.4</v>
      </c>
      <c r="T117" s="26">
        <f>IFERROR(__xludf.DUMMYFUNCTION("""COMPUTED_VALUE"""),150.45)</f>
        <v>150.45</v>
      </c>
      <c r="U117" s="26">
        <f>IFERROR(__xludf.DUMMYFUNCTION("""COMPUTED_VALUE"""),318.24)</f>
        <v>318.24</v>
      </c>
      <c r="V117" s="26">
        <f>IFERROR(__xludf.DUMMYFUNCTION("""COMPUTED_VALUE"""),41.74)</f>
        <v>41.74</v>
      </c>
      <c r="W117" s="26">
        <f>IFERROR(__xludf.DUMMYFUNCTION("""COMPUTED_VALUE"""),67.3)</f>
        <v>67.3</v>
      </c>
      <c r="X117" s="26">
        <f>IFERROR(__xludf.DUMMYFUNCTION("""COMPUTED_VALUE"""),107.0)</f>
        <v>107</v>
      </c>
      <c r="Y117" s="26">
        <f>IFERROR(__xludf.DUMMYFUNCTION("""COMPUTED_VALUE"""),165.13)</f>
        <v>165.13</v>
      </c>
      <c r="Z117" s="26">
        <f>IFERROR(__xludf.DUMMYFUNCTION("""COMPUTED_VALUE"""),66.95)</f>
        <v>66.95</v>
      </c>
      <c r="AA117" s="26">
        <f>IFERROR(__xludf.DUMMYFUNCTION("""COMPUTED_VALUE"""),415.11)</f>
        <v>415.11</v>
      </c>
      <c r="AB117" s="26">
        <f>IFERROR(__xludf.DUMMYFUNCTION("""COMPUTED_VALUE"""),63.59)</f>
        <v>63.59</v>
      </c>
      <c r="AC117" s="26">
        <f>IFERROR(__xludf.DUMMYFUNCTION("""COMPUTED_VALUE"""),119.59)</f>
        <v>119.59</v>
      </c>
      <c r="AD117" s="26">
        <f>IFERROR(__xludf.DUMMYFUNCTION("""COMPUTED_VALUE"""),272.87)</f>
        <v>272.87</v>
      </c>
      <c r="AE117" s="26">
        <f>IFERROR(__xludf.DUMMYFUNCTION("""COMPUTED_VALUE"""),486.48)</f>
        <v>486.48</v>
      </c>
      <c r="AF117" s="26">
        <f>IFERROR(__xludf.DUMMYFUNCTION("""COMPUTED_VALUE"""),301.27)</f>
        <v>301.27</v>
      </c>
      <c r="AG117" s="26">
        <f>IFERROR(__xludf.DUMMYFUNCTION("""COMPUTED_VALUE"""),52.72)</f>
        <v>52.72</v>
      </c>
      <c r="AH117" s="26">
        <f>IFERROR(__xludf.DUMMYFUNCTION("""COMPUTED_VALUE"""),88.78)</f>
        <v>88.78</v>
      </c>
      <c r="AI117" s="26">
        <f>IFERROR(__xludf.DUMMYFUNCTION("""COMPUTED_VALUE"""),524.5)</f>
        <v>524.5</v>
      </c>
      <c r="AJ117" s="26">
        <f>IFERROR(__xludf.DUMMYFUNCTION("""COMPUTED_VALUE"""),402.68)</f>
        <v>402.68</v>
      </c>
      <c r="AK117" s="26">
        <f>IFERROR(__xludf.DUMMYFUNCTION("""COMPUTED_VALUE"""),104.11)</f>
        <v>104.11</v>
      </c>
      <c r="AL117" s="26">
        <f>IFERROR(__xludf.DUMMYFUNCTION("""COMPUTED_VALUE"""),166.9)</f>
        <v>166.9</v>
      </c>
      <c r="AM117" s="26">
        <f>IFERROR(__xludf.DUMMYFUNCTION("""COMPUTED_VALUE"""),511.63)</f>
        <v>511.63</v>
      </c>
      <c r="AN117" s="26">
        <f>IFERROR(__xludf.DUMMYFUNCTION("""COMPUTED_VALUE"""),224.98)</f>
        <v>224.98</v>
      </c>
      <c r="AO117" s="26">
        <f>IFERROR(__xludf.DUMMYFUNCTION("""COMPUTED_VALUE"""),564.21)</f>
        <v>564.21</v>
      </c>
      <c r="AP117" s="26">
        <f>IFERROR(__xludf.DUMMYFUNCTION("""COMPUTED_VALUE"""),298.99)</f>
        <v>298.99</v>
      </c>
      <c r="AQ117" s="26">
        <f>IFERROR(__xludf.DUMMYFUNCTION("""COMPUTED_VALUE"""),29.98)</f>
        <v>29.98</v>
      </c>
      <c r="AR117" s="26">
        <f>IFERROR(__xludf.DUMMYFUNCTION("""COMPUTED_VALUE"""),90.99)</f>
        <v>90.99</v>
      </c>
      <c r="AS117" s="26">
        <f>IFERROR(__xludf.DUMMYFUNCTION("""COMPUTED_VALUE"""),84.36)</f>
        <v>84.36</v>
      </c>
      <c r="AT117" s="26">
        <f>IFERROR(__xludf.DUMMYFUNCTION("""COMPUTED_VALUE"""),424.73)</f>
        <v>424.73</v>
      </c>
      <c r="AU117" s="26">
        <f>IFERROR(__xludf.DUMMYFUNCTION("""COMPUTED_VALUE"""),82.81)</f>
        <v>82.81</v>
      </c>
      <c r="AV117" s="26">
        <f>IFERROR(__xludf.DUMMYFUNCTION("""COMPUTED_VALUE"""),140.41)</f>
        <v>140.41</v>
      </c>
      <c r="AW117" s="26">
        <f>IFERROR(__xludf.DUMMYFUNCTION("""COMPUTED_VALUE"""),102.49)</f>
        <v>102.49</v>
      </c>
      <c r="AX117" s="26">
        <f>IFERROR(__xludf.DUMMYFUNCTION("""COMPUTED_VALUE"""),47.59)</f>
        <v>47.59</v>
      </c>
      <c r="AY117" s="26">
        <f>IFERROR(__xludf.DUMMYFUNCTION("""COMPUTED_VALUE"""),43.56)</f>
        <v>43.56</v>
      </c>
      <c r="AZ117" s="26">
        <f>IFERROR(__xludf.DUMMYFUNCTION("""COMPUTED_VALUE"""),81.39)</f>
        <v>81.39</v>
      </c>
      <c r="BA117" s="26">
        <f>IFERROR(__xludf.DUMMYFUNCTION("""COMPUTED_VALUE"""),28.64)</f>
        <v>28.64</v>
      </c>
      <c r="BB117" s="26">
        <f>IFERROR(__xludf.DUMMYFUNCTION("""COMPUTED_VALUE"""),125.17)</f>
        <v>125.17</v>
      </c>
      <c r="BC117" s="26">
        <f>IFERROR(__xludf.DUMMYFUNCTION("""COMPUTED_VALUE"""),233.56)</f>
        <v>233.56</v>
      </c>
      <c r="BD117" s="26">
        <f>IFERROR(__xludf.DUMMYFUNCTION("""COMPUTED_VALUE"""),557.38)</f>
        <v>557.38</v>
      </c>
      <c r="BE117" s="26">
        <f>IFERROR(__xludf.DUMMYFUNCTION("""COMPUTED_VALUE"""),170.43)</f>
        <v>170.43</v>
      </c>
      <c r="BF117" s="26">
        <f>IFERROR(__xludf.DUMMYFUNCTION("""COMPUTED_VALUE"""),122.0)</f>
        <v>122</v>
      </c>
      <c r="BG117" s="26">
        <f>IFERROR(__xludf.DUMMYFUNCTION("""COMPUTED_VALUE"""),8.58)</f>
        <v>8.58</v>
      </c>
      <c r="BH117" s="26">
        <f>IFERROR(__xludf.DUMMYFUNCTION("""COMPUTED_VALUE"""),230.75)</f>
        <v>230.75</v>
      </c>
      <c r="BI117" s="26">
        <f>IFERROR(__xludf.DUMMYFUNCTION("""COMPUTED_VALUE"""),560.81)</f>
        <v>560.81</v>
      </c>
      <c r="BJ117" s="26">
        <f>IFERROR(__xludf.DUMMYFUNCTION("""COMPUTED_VALUE"""),48.81)</f>
        <v>48.81</v>
      </c>
      <c r="BK117" s="26">
        <f>IFERROR(__xludf.DUMMYFUNCTION("""COMPUTED_VALUE"""),11.48)</f>
        <v>11.48</v>
      </c>
      <c r="BL117" s="26">
        <f>IFERROR(__xludf.DUMMYFUNCTION("""COMPUTED_VALUE"""),208.91)</f>
        <v>208.91</v>
      </c>
      <c r="BM117" s="26">
        <f>IFERROR(__xludf.DUMMYFUNCTION("""COMPUTED_VALUE"""),95.4)</f>
        <v>95.4</v>
      </c>
    </row>
    <row r="118">
      <c r="A118" s="25">
        <v>45590.66666666667</v>
      </c>
      <c r="B118" s="17">
        <f>IFERROR(__xludf.DUMMYFUNCTION("""COMPUTED_VALUE"""),5808.12)</f>
        <v>5808.12</v>
      </c>
      <c r="C118" s="17">
        <f>IFERROR(__xludf.DUMMYFUNCTION("""COMPUTED_VALUE"""),18518.61)</f>
        <v>18518.61</v>
      </c>
      <c r="D118" s="17">
        <f>IFERROR(__xludf.DUMMYFUNCTION("""COMPUTED_VALUE"""),42114.4)</f>
        <v>42114.4</v>
      </c>
      <c r="E118" s="17">
        <f>IFERROR(__xludf.DUMMYFUNCTION("""COMPUTED_VALUE"""),2207.99)</f>
        <v>2207.99</v>
      </c>
      <c r="F118" s="26">
        <f>IFERROR(__xludf.DUMMYFUNCTION("""COMPUTED_VALUE"""),483.72)</f>
        <v>483.72</v>
      </c>
      <c r="G118" s="26">
        <f>IFERROR(__xludf.DUMMYFUNCTION("""COMPUTED_VALUE"""),187.83)</f>
        <v>187.83</v>
      </c>
      <c r="H118" s="26">
        <f>IFERROR(__xludf.DUMMYFUNCTION("""COMPUTED_VALUE"""),137.66)</f>
        <v>137.66</v>
      </c>
      <c r="I118" s="26">
        <f>IFERROR(__xludf.DUMMYFUNCTION("""COMPUTED_VALUE"""),231.41)</f>
        <v>231.41</v>
      </c>
      <c r="J118" s="26">
        <f>IFERROR(__xludf.DUMMYFUNCTION("""COMPUTED_VALUE"""),186.52)</f>
        <v>186.52</v>
      </c>
      <c r="K118" s="26">
        <f>IFERROR(__xludf.DUMMYFUNCTION("""COMPUTED_VALUE"""),75.2)</f>
        <v>75.2</v>
      </c>
      <c r="L118" s="26">
        <f>IFERROR(__xludf.DUMMYFUNCTION("""COMPUTED_VALUE"""),12.59)</f>
        <v>12.59</v>
      </c>
      <c r="M118" s="26">
        <f>IFERROR(__xludf.DUMMYFUNCTION("""COMPUTED_VALUE"""),454.01)</f>
        <v>454.01</v>
      </c>
      <c r="N118" s="26">
        <f>IFERROR(__xludf.DUMMYFUNCTION("""COMPUTED_VALUE"""),56.44)</f>
        <v>56.44</v>
      </c>
      <c r="O118" s="26">
        <f>IFERROR(__xludf.DUMMYFUNCTION("""COMPUTED_VALUE"""),181.69)</f>
        <v>181.69</v>
      </c>
      <c r="P118" s="26">
        <f>IFERROR(__xludf.DUMMYFUNCTION("""COMPUTED_VALUE"""),73.72)</f>
        <v>73.72</v>
      </c>
      <c r="Q118" s="26">
        <f>IFERROR(__xludf.DUMMYFUNCTION("""COMPUTED_VALUE"""),385.97)</f>
        <v>385.97</v>
      </c>
      <c r="R118" s="26">
        <f>IFERROR(__xludf.DUMMYFUNCTION("""COMPUTED_VALUE"""),53.79)</f>
        <v>53.79</v>
      </c>
      <c r="S118" s="26">
        <f>IFERROR(__xludf.DUMMYFUNCTION("""COMPUTED_VALUE"""),207.16)</f>
        <v>207.16</v>
      </c>
      <c r="T118" s="26">
        <f>IFERROR(__xludf.DUMMYFUNCTION("""COMPUTED_VALUE"""),150.81)</f>
        <v>150.81</v>
      </c>
      <c r="U118" s="26">
        <f>IFERROR(__xludf.DUMMYFUNCTION("""COMPUTED_VALUE"""),316.85)</f>
        <v>316.85</v>
      </c>
      <c r="V118" s="26">
        <f>IFERROR(__xludf.DUMMYFUNCTION("""COMPUTED_VALUE"""),41.51)</f>
        <v>41.51</v>
      </c>
      <c r="W118" s="26">
        <f>IFERROR(__xludf.DUMMYFUNCTION("""COMPUTED_VALUE"""),66.92)</f>
        <v>66.92</v>
      </c>
      <c r="X118" s="26">
        <f>IFERROR(__xludf.DUMMYFUNCTION("""COMPUTED_VALUE"""),104.6)</f>
        <v>104.6</v>
      </c>
      <c r="Y118" s="26">
        <f>IFERROR(__xludf.DUMMYFUNCTION("""COMPUTED_VALUE"""),181.01)</f>
        <v>181.01</v>
      </c>
      <c r="Z118" s="26">
        <f>IFERROR(__xludf.DUMMYFUNCTION("""COMPUTED_VALUE"""),66.45)</f>
        <v>66.45</v>
      </c>
      <c r="AA118" s="26">
        <f>IFERROR(__xludf.DUMMYFUNCTION("""COMPUTED_VALUE"""),413.81)</f>
        <v>413.81</v>
      </c>
      <c r="AB118" s="26">
        <f>IFERROR(__xludf.DUMMYFUNCTION("""COMPUTED_VALUE"""),63.1)</f>
        <v>63.1</v>
      </c>
      <c r="AC118" s="26">
        <f>IFERROR(__xludf.DUMMYFUNCTION("""COMPUTED_VALUE"""),119.49)</f>
        <v>119.49</v>
      </c>
      <c r="AD118" s="26">
        <f>IFERROR(__xludf.DUMMYFUNCTION("""COMPUTED_VALUE"""),272.12)</f>
        <v>272.12</v>
      </c>
      <c r="AE118" s="26">
        <f>IFERROR(__xludf.DUMMYFUNCTION("""COMPUTED_VALUE"""),484.73)</f>
        <v>484.73</v>
      </c>
      <c r="AF118" s="26">
        <f>IFERROR(__xludf.DUMMYFUNCTION("""COMPUTED_VALUE"""),302.52)</f>
        <v>302.52</v>
      </c>
      <c r="AG118" s="26">
        <f>IFERROR(__xludf.DUMMYFUNCTION("""COMPUTED_VALUE"""),52.07)</f>
        <v>52.07</v>
      </c>
      <c r="AH118" s="26">
        <f>IFERROR(__xludf.DUMMYFUNCTION("""COMPUTED_VALUE"""),89.0)</f>
        <v>89</v>
      </c>
      <c r="AI118" s="26">
        <f>IFERROR(__xludf.DUMMYFUNCTION("""COMPUTED_VALUE"""),512.6)</f>
        <v>512.6</v>
      </c>
      <c r="AJ118" s="26">
        <f>IFERROR(__xludf.DUMMYFUNCTION("""COMPUTED_VALUE"""),398.91)</f>
        <v>398.91</v>
      </c>
      <c r="AK118" s="26">
        <f>IFERROR(__xludf.DUMMYFUNCTION("""COMPUTED_VALUE"""),103.48)</f>
        <v>103.48</v>
      </c>
      <c r="AL118" s="26">
        <f>IFERROR(__xludf.DUMMYFUNCTION("""COMPUTED_VALUE"""),165.31)</f>
        <v>165.31</v>
      </c>
      <c r="AM118" s="26">
        <f>IFERROR(__xludf.DUMMYFUNCTION("""COMPUTED_VALUE"""),511.27)</f>
        <v>511.27</v>
      </c>
      <c r="AN118" s="26">
        <f>IFERROR(__xludf.DUMMYFUNCTION("""COMPUTED_VALUE"""),222.31)</f>
        <v>222.31</v>
      </c>
      <c r="AO118" s="26">
        <f>IFERROR(__xludf.DUMMYFUNCTION("""COMPUTED_VALUE"""),562.29)</f>
        <v>562.29</v>
      </c>
      <c r="AP118" s="26">
        <f>IFERROR(__xludf.DUMMYFUNCTION("""COMPUTED_VALUE"""),304.15)</f>
        <v>304.15</v>
      </c>
      <c r="AQ118" s="26">
        <f>IFERROR(__xludf.DUMMYFUNCTION("""COMPUTED_VALUE"""),29.79)</f>
        <v>29.79</v>
      </c>
      <c r="AR118" s="26">
        <f>IFERROR(__xludf.DUMMYFUNCTION("""COMPUTED_VALUE"""),90.59)</f>
        <v>90.59</v>
      </c>
      <c r="AS118" s="26">
        <f>IFERROR(__xludf.DUMMYFUNCTION("""COMPUTED_VALUE"""),82.39)</f>
        <v>82.39</v>
      </c>
      <c r="AT118" s="26">
        <f>IFERROR(__xludf.DUMMYFUNCTION("""COMPUTED_VALUE"""),428.15)</f>
        <v>428.15</v>
      </c>
      <c r="AU118" s="26">
        <f>IFERROR(__xludf.DUMMYFUNCTION("""COMPUTED_VALUE"""),81.43)</f>
        <v>81.43</v>
      </c>
      <c r="AV118" s="26">
        <f>IFERROR(__xludf.DUMMYFUNCTION("""COMPUTED_VALUE"""),141.54)</f>
        <v>141.54</v>
      </c>
      <c r="AW118" s="26">
        <f>IFERROR(__xludf.DUMMYFUNCTION("""COMPUTED_VALUE"""),101.26)</f>
        <v>101.26</v>
      </c>
      <c r="AX118" s="26">
        <f>IFERROR(__xludf.DUMMYFUNCTION("""COMPUTED_VALUE"""),50.65)</f>
        <v>50.65</v>
      </c>
      <c r="AY118" s="26">
        <f>IFERROR(__xludf.DUMMYFUNCTION("""COMPUTED_VALUE"""),44.86)</f>
        <v>44.86</v>
      </c>
      <c r="AZ118" s="26">
        <f>IFERROR(__xludf.DUMMYFUNCTION("""COMPUTED_VALUE"""),81.7)</f>
        <v>81.7</v>
      </c>
      <c r="BA118" s="26">
        <f>IFERROR(__xludf.DUMMYFUNCTION("""COMPUTED_VALUE"""),28.45)</f>
        <v>28.45</v>
      </c>
      <c r="BB118" s="26">
        <f>IFERROR(__xludf.DUMMYFUNCTION("""COMPUTED_VALUE"""),125.16)</f>
        <v>125.16</v>
      </c>
      <c r="BC118" s="26">
        <f>IFERROR(__xludf.DUMMYFUNCTION("""COMPUTED_VALUE"""),226.36)</f>
        <v>226.36</v>
      </c>
      <c r="BD118" s="26">
        <f>IFERROR(__xludf.DUMMYFUNCTION("""COMPUTED_VALUE"""),554.38)</f>
        <v>554.38</v>
      </c>
      <c r="BE118" s="26">
        <f>IFERROR(__xludf.DUMMYFUNCTION("""COMPUTED_VALUE"""),172.0)</f>
        <v>172</v>
      </c>
      <c r="BF118" s="26">
        <f>IFERROR(__xludf.DUMMYFUNCTION("""COMPUTED_VALUE"""),125.17)</f>
        <v>125.17</v>
      </c>
      <c r="BG118" s="26">
        <f>IFERROR(__xludf.DUMMYFUNCTION("""COMPUTED_VALUE"""),8.63)</f>
        <v>8.63</v>
      </c>
      <c r="BH118" s="26">
        <f>IFERROR(__xludf.DUMMYFUNCTION("""COMPUTED_VALUE"""),230.3)</f>
        <v>230.3</v>
      </c>
      <c r="BI118" s="26">
        <f>IFERROR(__xludf.DUMMYFUNCTION("""COMPUTED_VALUE"""),564.56)</f>
        <v>564.56</v>
      </c>
      <c r="BJ118" s="26">
        <f>IFERROR(__xludf.DUMMYFUNCTION("""COMPUTED_VALUE"""),48.79)</f>
        <v>48.79</v>
      </c>
      <c r="BK118" s="26">
        <f>IFERROR(__xludf.DUMMYFUNCTION("""COMPUTED_VALUE"""),11.44)</f>
        <v>11.44</v>
      </c>
      <c r="BL118" s="26">
        <f>IFERROR(__xludf.DUMMYFUNCTION("""COMPUTED_VALUE"""),206.8)</f>
        <v>206.8</v>
      </c>
      <c r="BM118" s="26">
        <f>IFERROR(__xludf.DUMMYFUNCTION("""COMPUTED_VALUE"""),95.03)</f>
        <v>95.03</v>
      </c>
      <c r="BN118" s="27">
        <v>38908.0</v>
      </c>
    </row>
    <row r="119">
      <c r="A119" s="25">
        <v>45593.66666666667</v>
      </c>
      <c r="B119" s="17">
        <f>IFERROR(__xludf.DUMMYFUNCTION("""COMPUTED_VALUE"""),5823.52)</f>
        <v>5823.52</v>
      </c>
      <c r="C119" s="17">
        <f>IFERROR(__xludf.DUMMYFUNCTION("""COMPUTED_VALUE"""),18567.19)</f>
        <v>18567.19</v>
      </c>
      <c r="D119" s="17">
        <f>IFERROR(__xludf.DUMMYFUNCTION("""COMPUTED_VALUE"""),42387.57)</f>
        <v>42387.57</v>
      </c>
      <c r="E119" s="17">
        <f>IFERROR(__xludf.DUMMYFUNCTION("""COMPUTED_VALUE"""),2244.07)</f>
        <v>2244.07</v>
      </c>
      <c r="F119" s="26">
        <f>IFERROR(__xludf.DUMMYFUNCTION("""COMPUTED_VALUE"""),481.04)</f>
        <v>481.04</v>
      </c>
      <c r="G119" s="26">
        <f>IFERROR(__xludf.DUMMYFUNCTION("""COMPUTED_VALUE"""),188.39)</f>
        <v>188.39</v>
      </c>
      <c r="H119" s="26">
        <f>IFERROR(__xludf.DUMMYFUNCTION("""COMPUTED_VALUE"""),138.79)</f>
        <v>138.79</v>
      </c>
      <c r="I119" s="26">
        <f>IFERROR(__xludf.DUMMYFUNCTION("""COMPUTED_VALUE"""),233.4)</f>
        <v>233.4</v>
      </c>
      <c r="J119" s="26">
        <f>IFERROR(__xludf.DUMMYFUNCTION("""COMPUTED_VALUE"""),185.34)</f>
        <v>185.34</v>
      </c>
      <c r="K119" s="26">
        <f>IFERROR(__xludf.DUMMYFUNCTION("""COMPUTED_VALUE"""),76.51)</f>
        <v>76.51</v>
      </c>
      <c r="L119" s="26">
        <f>IFERROR(__xludf.DUMMYFUNCTION("""COMPUTED_VALUE"""),12.68)</f>
        <v>12.68</v>
      </c>
      <c r="M119" s="26">
        <f>IFERROR(__xludf.DUMMYFUNCTION("""COMPUTED_VALUE"""),458.49)</f>
        <v>458.49</v>
      </c>
      <c r="N119" s="26">
        <f>IFERROR(__xludf.DUMMYFUNCTION("""COMPUTED_VALUE"""),57.12)</f>
        <v>57.12</v>
      </c>
      <c r="O119" s="26">
        <f>IFERROR(__xludf.DUMMYFUNCTION("""COMPUTED_VALUE"""),185.01)</f>
        <v>185.01</v>
      </c>
      <c r="P119" s="26">
        <f>IFERROR(__xludf.DUMMYFUNCTION("""COMPUTED_VALUE"""),75.66)</f>
        <v>75.66</v>
      </c>
      <c r="Q119" s="26">
        <f>IFERROR(__xludf.DUMMYFUNCTION("""COMPUTED_VALUE"""),390.61)</f>
        <v>390.61</v>
      </c>
      <c r="R119" s="26">
        <f>IFERROR(__xludf.DUMMYFUNCTION("""COMPUTED_VALUE"""),55.17)</f>
        <v>55.17</v>
      </c>
      <c r="S119" s="26">
        <f>IFERROR(__xludf.DUMMYFUNCTION("""COMPUTED_VALUE"""),207.96)</f>
        <v>207.96</v>
      </c>
      <c r="T119" s="26">
        <f>IFERROR(__xludf.DUMMYFUNCTION("""COMPUTED_VALUE"""),150.54)</f>
        <v>150.54</v>
      </c>
      <c r="U119" s="26">
        <f>IFERROR(__xludf.DUMMYFUNCTION("""COMPUTED_VALUE"""),314.92)</f>
        <v>314.92</v>
      </c>
      <c r="V119" s="26">
        <f>IFERROR(__xludf.DUMMYFUNCTION("""COMPUTED_VALUE"""),42.74)</f>
        <v>42.74</v>
      </c>
      <c r="W119" s="26">
        <f>IFERROR(__xludf.DUMMYFUNCTION("""COMPUTED_VALUE"""),66.67)</f>
        <v>66.67</v>
      </c>
      <c r="X119" s="26">
        <f>IFERROR(__xludf.DUMMYFUNCTION("""COMPUTED_VALUE"""),104.81)</f>
        <v>104.81</v>
      </c>
      <c r="Y119" s="26">
        <f>IFERROR(__xludf.DUMMYFUNCTION("""COMPUTED_VALUE"""),183.31)</f>
        <v>183.31</v>
      </c>
      <c r="Z119" s="26">
        <f>IFERROR(__xludf.DUMMYFUNCTION("""COMPUTED_VALUE"""),66.26)</f>
        <v>66.26</v>
      </c>
      <c r="AA119" s="26">
        <f>IFERROR(__xludf.DUMMYFUNCTION("""COMPUTED_VALUE"""),417.24)</f>
        <v>417.24</v>
      </c>
      <c r="AB119" s="26">
        <f>IFERROR(__xludf.DUMMYFUNCTION("""COMPUTED_VALUE"""),62.99)</f>
        <v>62.99</v>
      </c>
      <c r="AC119" s="26">
        <f>IFERROR(__xludf.DUMMYFUNCTION("""COMPUTED_VALUE"""),118.9)</f>
        <v>118.9</v>
      </c>
      <c r="AD119" s="26">
        <f>IFERROR(__xludf.DUMMYFUNCTION("""COMPUTED_VALUE"""),275.45)</f>
        <v>275.45</v>
      </c>
      <c r="AE119" s="26">
        <f>IFERROR(__xludf.DUMMYFUNCTION("""COMPUTED_VALUE"""),490.48)</f>
        <v>490.48</v>
      </c>
      <c r="AF119" s="26">
        <f>IFERROR(__xludf.DUMMYFUNCTION("""COMPUTED_VALUE"""),303.92)</f>
        <v>303.92</v>
      </c>
      <c r="AG119" s="26">
        <f>IFERROR(__xludf.DUMMYFUNCTION("""COMPUTED_VALUE"""),52.73)</f>
        <v>52.73</v>
      </c>
      <c r="AH119" s="26">
        <f>IFERROR(__xludf.DUMMYFUNCTION("""COMPUTED_VALUE"""),88.76)</f>
        <v>88.76</v>
      </c>
      <c r="AI119" s="26">
        <f>IFERROR(__xludf.DUMMYFUNCTION("""COMPUTED_VALUE"""),523.58)</f>
        <v>523.58</v>
      </c>
      <c r="AJ119" s="26">
        <f>IFERROR(__xludf.DUMMYFUNCTION("""COMPUTED_VALUE"""),402.89)</f>
        <v>402.89</v>
      </c>
      <c r="AK119" s="26">
        <f>IFERROR(__xludf.DUMMYFUNCTION("""COMPUTED_VALUE"""),104.14)</f>
        <v>104.14</v>
      </c>
      <c r="AL119" s="26">
        <f>IFERROR(__xludf.DUMMYFUNCTION("""COMPUTED_VALUE"""),166.44)</f>
        <v>166.44</v>
      </c>
      <c r="AM119" s="26">
        <f>IFERROR(__xludf.DUMMYFUNCTION("""COMPUTED_VALUE"""),510.88)</f>
        <v>510.88</v>
      </c>
      <c r="AN119" s="26">
        <f>IFERROR(__xludf.DUMMYFUNCTION("""COMPUTED_VALUE"""),225.5)</f>
        <v>225.5</v>
      </c>
      <c r="AO119" s="26">
        <f>IFERROR(__xludf.DUMMYFUNCTION("""COMPUTED_VALUE"""),555.17)</f>
        <v>555.17</v>
      </c>
      <c r="AP119" s="26">
        <f>IFERROR(__xludf.DUMMYFUNCTION("""COMPUTED_VALUE"""),307.54)</f>
        <v>307.54</v>
      </c>
      <c r="AQ119" s="26">
        <f>IFERROR(__xludf.DUMMYFUNCTION("""COMPUTED_VALUE"""),30.23)</f>
        <v>30.23</v>
      </c>
      <c r="AR119" s="26">
        <f>IFERROR(__xludf.DUMMYFUNCTION("""COMPUTED_VALUE"""),90.6)</f>
        <v>90.6</v>
      </c>
      <c r="AS119" s="26">
        <f>IFERROR(__xludf.DUMMYFUNCTION("""COMPUTED_VALUE"""),83.09)</f>
        <v>83.09</v>
      </c>
      <c r="AT119" s="26">
        <f>IFERROR(__xludf.DUMMYFUNCTION("""COMPUTED_VALUE"""),426.59)</f>
        <v>426.59</v>
      </c>
      <c r="AU119" s="26">
        <f>IFERROR(__xludf.DUMMYFUNCTION("""COMPUTED_VALUE"""),82.87)</f>
        <v>82.87</v>
      </c>
      <c r="AV119" s="26">
        <f>IFERROR(__xludf.DUMMYFUNCTION("""COMPUTED_VALUE"""),140.52)</f>
        <v>140.52</v>
      </c>
      <c r="AW119" s="26">
        <f>IFERROR(__xludf.DUMMYFUNCTION("""COMPUTED_VALUE"""),101.45)</f>
        <v>101.45</v>
      </c>
      <c r="AX119" s="26">
        <f>IFERROR(__xludf.DUMMYFUNCTION("""COMPUTED_VALUE"""),50.61)</f>
        <v>50.61</v>
      </c>
      <c r="AY119" s="26">
        <f>IFERROR(__xludf.DUMMYFUNCTION("""COMPUTED_VALUE"""),44.97)</f>
        <v>44.97</v>
      </c>
      <c r="AZ119" s="26">
        <f>IFERROR(__xludf.DUMMYFUNCTION("""COMPUTED_VALUE"""),83.59)</f>
        <v>83.59</v>
      </c>
      <c r="BA119" s="26">
        <f>IFERROR(__xludf.DUMMYFUNCTION("""COMPUTED_VALUE"""),28.86)</f>
        <v>28.86</v>
      </c>
      <c r="BB119" s="26">
        <f>IFERROR(__xludf.DUMMYFUNCTION("""COMPUTED_VALUE"""),125.43)</f>
        <v>125.43</v>
      </c>
      <c r="BC119" s="26">
        <f>IFERROR(__xludf.DUMMYFUNCTION("""COMPUTED_VALUE"""),227.81)</f>
        <v>227.81</v>
      </c>
      <c r="BD119" s="26">
        <f>IFERROR(__xludf.DUMMYFUNCTION("""COMPUTED_VALUE"""),552.54)</f>
        <v>552.54</v>
      </c>
      <c r="BE119" s="26">
        <f>IFERROR(__xludf.DUMMYFUNCTION("""COMPUTED_VALUE"""),176.63)</f>
        <v>176.63</v>
      </c>
      <c r="BF119" s="26">
        <f>IFERROR(__xludf.DUMMYFUNCTION("""COMPUTED_VALUE"""),126.24)</f>
        <v>126.24</v>
      </c>
      <c r="BG119" s="26">
        <f>IFERROR(__xludf.DUMMYFUNCTION("""COMPUTED_VALUE"""),8.73)</f>
        <v>8.73</v>
      </c>
      <c r="BH119" s="26">
        <f>IFERROR(__xludf.DUMMYFUNCTION("""COMPUTED_VALUE"""),231.98)</f>
        <v>231.98</v>
      </c>
      <c r="BI119" s="26">
        <f>IFERROR(__xludf.DUMMYFUNCTION("""COMPUTED_VALUE"""),565.24)</f>
        <v>565.24</v>
      </c>
      <c r="BJ119" s="26">
        <f>IFERROR(__xludf.DUMMYFUNCTION("""COMPUTED_VALUE"""),48.73)</f>
        <v>48.73</v>
      </c>
      <c r="BK119" s="26">
        <f>IFERROR(__xludf.DUMMYFUNCTION("""COMPUTED_VALUE"""),11.76)</f>
        <v>11.76</v>
      </c>
      <c r="BL119" s="26">
        <f>IFERROR(__xludf.DUMMYFUNCTION("""COMPUTED_VALUE"""),208.26)</f>
        <v>208.26</v>
      </c>
      <c r="BM119" s="26">
        <f>IFERROR(__xludf.DUMMYFUNCTION("""COMPUTED_VALUE"""),96.2)</f>
        <v>96.2</v>
      </c>
    </row>
    <row r="120">
      <c r="A120" s="25">
        <v>45595.66666666667</v>
      </c>
      <c r="B120" s="17">
        <f>IFERROR(__xludf.DUMMYFUNCTION("""COMPUTED_VALUE"""),5832.92)</f>
        <v>5832.92</v>
      </c>
      <c r="C120" s="17">
        <f>IFERROR(__xludf.DUMMYFUNCTION("""COMPUTED_VALUE"""),18712.75)</f>
        <v>18712.75</v>
      </c>
      <c r="D120" s="17">
        <f>IFERROR(__xludf.DUMMYFUNCTION("""COMPUTED_VALUE"""),42233.05)</f>
        <v>42233.05</v>
      </c>
      <c r="E120" s="17">
        <f>IFERROR(__xludf.DUMMYFUNCTION("""COMPUTED_VALUE"""),2238.09)</f>
        <v>2238.09</v>
      </c>
      <c r="F120" s="26">
        <f>IFERROR(__xludf.DUMMYFUNCTION("""COMPUTED_VALUE"""),485.39)</f>
        <v>485.39</v>
      </c>
      <c r="G120" s="26">
        <f>IFERROR(__xludf.DUMMYFUNCTION("""COMPUTED_VALUE"""),190.83)</f>
        <v>190.83</v>
      </c>
      <c r="H120" s="26">
        <f>IFERROR(__xludf.DUMMYFUNCTION("""COMPUTED_VALUE"""),135.8)</f>
        <v>135.8</v>
      </c>
      <c r="I120" s="26">
        <f>IFERROR(__xludf.DUMMYFUNCTION("""COMPUTED_VALUE"""),233.67)</f>
        <v>233.67</v>
      </c>
      <c r="J120" s="26">
        <f>IFERROR(__xludf.DUMMYFUNCTION("""COMPUTED_VALUE"""),190.12)</f>
        <v>190.12</v>
      </c>
      <c r="K120" s="26">
        <f>IFERROR(__xludf.DUMMYFUNCTION("""COMPUTED_VALUE"""),76.56)</f>
        <v>76.56</v>
      </c>
      <c r="L120" s="26">
        <f>IFERROR(__xludf.DUMMYFUNCTION("""COMPUTED_VALUE"""),12.55)</f>
        <v>12.55</v>
      </c>
      <c r="M120" s="26">
        <f>IFERROR(__xludf.DUMMYFUNCTION("""COMPUTED_VALUE"""),454.62)</f>
        <v>454.62</v>
      </c>
      <c r="N120" s="26">
        <f>IFERROR(__xludf.DUMMYFUNCTION("""COMPUTED_VALUE"""),57.14)</f>
        <v>57.14</v>
      </c>
      <c r="O120" s="26">
        <f>IFERROR(__xludf.DUMMYFUNCTION("""COMPUTED_VALUE"""),183.47)</f>
        <v>183.47</v>
      </c>
      <c r="P120" s="26">
        <f>IFERROR(__xludf.DUMMYFUNCTION("""COMPUTED_VALUE"""),74.6)</f>
        <v>74.6</v>
      </c>
      <c r="Q120" s="26">
        <f>IFERROR(__xludf.DUMMYFUNCTION("""COMPUTED_VALUE"""),387.51)</f>
        <v>387.51</v>
      </c>
      <c r="R120" s="26">
        <f>IFERROR(__xludf.DUMMYFUNCTION("""COMPUTED_VALUE"""),54.77)</f>
        <v>54.77</v>
      </c>
      <c r="S120" s="26">
        <f>IFERROR(__xludf.DUMMYFUNCTION("""COMPUTED_VALUE"""),177.87)</f>
        <v>177.87</v>
      </c>
      <c r="T120" s="26">
        <f>IFERROR(__xludf.DUMMYFUNCTION("""COMPUTED_VALUE"""),148.52)</f>
        <v>148.52</v>
      </c>
      <c r="U120" s="26">
        <f>IFERROR(__xludf.DUMMYFUNCTION("""COMPUTED_VALUE"""),308.23)</f>
        <v>308.23</v>
      </c>
      <c r="V120" s="26">
        <f>IFERROR(__xludf.DUMMYFUNCTION("""COMPUTED_VALUE"""),42.24)</f>
        <v>42.24</v>
      </c>
      <c r="W120" s="26">
        <f>IFERROR(__xludf.DUMMYFUNCTION("""COMPUTED_VALUE"""),65.56)</f>
        <v>65.56</v>
      </c>
      <c r="X120" s="26">
        <f>IFERROR(__xludf.DUMMYFUNCTION("""COMPUTED_VALUE"""),102.91)</f>
        <v>102.91</v>
      </c>
      <c r="Y120" s="26">
        <f>IFERROR(__xludf.DUMMYFUNCTION("""COMPUTED_VALUE"""),182.8)</f>
        <v>182.8</v>
      </c>
      <c r="Z120" s="26">
        <f>IFERROR(__xludf.DUMMYFUNCTION("""COMPUTED_VALUE"""),64.5)</f>
        <v>64.5</v>
      </c>
      <c r="AA120" s="26">
        <f>IFERROR(__xludf.DUMMYFUNCTION("""COMPUTED_VALUE"""),413.14)</f>
        <v>413.14</v>
      </c>
      <c r="AB120" s="26">
        <f>IFERROR(__xludf.DUMMYFUNCTION("""COMPUTED_VALUE"""),62.77)</f>
        <v>62.77</v>
      </c>
      <c r="AC120" s="26">
        <f>IFERROR(__xludf.DUMMYFUNCTION("""COMPUTED_VALUE"""),117.28)</f>
        <v>117.28</v>
      </c>
      <c r="AD120" s="26">
        <f>IFERROR(__xludf.DUMMYFUNCTION("""COMPUTED_VALUE"""),275.04)</f>
        <v>275.04</v>
      </c>
      <c r="AE120" s="26">
        <f>IFERROR(__xludf.DUMMYFUNCTION("""COMPUTED_VALUE"""),487.94)</f>
        <v>487.94</v>
      </c>
      <c r="AF120" s="26">
        <f>IFERROR(__xludf.DUMMYFUNCTION("""COMPUTED_VALUE"""),301.75)</f>
        <v>301.75</v>
      </c>
      <c r="AG120" s="26">
        <f>IFERROR(__xludf.DUMMYFUNCTION("""COMPUTED_VALUE"""),51.54)</f>
        <v>51.54</v>
      </c>
      <c r="AH120" s="26">
        <f>IFERROR(__xludf.DUMMYFUNCTION("""COMPUTED_VALUE"""),88.08)</f>
        <v>88.08</v>
      </c>
      <c r="AI120" s="26">
        <f>IFERROR(__xludf.DUMMYFUNCTION("""COMPUTED_VALUE"""),524.28)</f>
        <v>524.28</v>
      </c>
      <c r="AJ120" s="26">
        <f>IFERROR(__xludf.DUMMYFUNCTION("""COMPUTED_VALUE"""),395.07)</f>
        <v>395.07</v>
      </c>
      <c r="AK120" s="26">
        <f>IFERROR(__xludf.DUMMYFUNCTION("""COMPUTED_VALUE"""),104.99)</f>
        <v>104.99</v>
      </c>
      <c r="AL120" s="26">
        <f>IFERROR(__xludf.DUMMYFUNCTION("""COMPUTED_VALUE"""),166.72)</f>
        <v>166.72</v>
      </c>
      <c r="AM120" s="26">
        <f>IFERROR(__xludf.DUMMYFUNCTION("""COMPUTED_VALUE"""),516.31)</f>
        <v>516.31</v>
      </c>
      <c r="AN120" s="26">
        <f>IFERROR(__xludf.DUMMYFUNCTION("""COMPUTED_VALUE"""),222.9)</f>
        <v>222.9</v>
      </c>
      <c r="AO120" s="26">
        <f>IFERROR(__xludf.DUMMYFUNCTION("""COMPUTED_VALUE"""),546.8)</f>
        <v>546.8</v>
      </c>
      <c r="AP120" s="26">
        <f>IFERROR(__xludf.DUMMYFUNCTION("""COMPUTED_VALUE"""),304.82)</f>
        <v>304.82</v>
      </c>
      <c r="AQ120" s="26">
        <f>IFERROR(__xludf.DUMMYFUNCTION("""COMPUTED_VALUE"""),30.07)</f>
        <v>30.07</v>
      </c>
      <c r="AR120" s="26">
        <f>IFERROR(__xludf.DUMMYFUNCTION("""COMPUTED_VALUE"""),90.32)</f>
        <v>90.32</v>
      </c>
      <c r="AS120" s="26">
        <f>IFERROR(__xludf.DUMMYFUNCTION("""COMPUTED_VALUE"""),82.83)</f>
        <v>82.83</v>
      </c>
      <c r="AT120" s="26">
        <f>IFERROR(__xludf.DUMMYFUNCTION("""COMPUTED_VALUE"""),431.95)</f>
        <v>431.95</v>
      </c>
      <c r="AU120" s="26">
        <f>IFERROR(__xludf.DUMMYFUNCTION("""COMPUTED_VALUE"""),79.56)</f>
        <v>79.56</v>
      </c>
      <c r="AV120" s="26">
        <f>IFERROR(__xludf.DUMMYFUNCTION("""COMPUTED_VALUE"""),141.25)</f>
        <v>141.25</v>
      </c>
      <c r="AW120" s="26">
        <f>IFERROR(__xludf.DUMMYFUNCTION("""COMPUTED_VALUE"""),101.37)</f>
        <v>101.37</v>
      </c>
      <c r="AX120" s="26">
        <f>IFERROR(__xludf.DUMMYFUNCTION("""COMPUTED_VALUE"""),49.91)</f>
        <v>49.91</v>
      </c>
      <c r="AY120" s="26">
        <f>IFERROR(__xludf.DUMMYFUNCTION("""COMPUTED_VALUE"""),44.93)</f>
        <v>44.93</v>
      </c>
      <c r="AZ120" s="26">
        <f>IFERROR(__xludf.DUMMYFUNCTION("""COMPUTED_VALUE"""),80.28)</f>
        <v>80.28</v>
      </c>
      <c r="BA120" s="26">
        <f>IFERROR(__xludf.DUMMYFUNCTION("""COMPUTED_VALUE"""),28.46)</f>
        <v>28.46</v>
      </c>
      <c r="BB120" s="26">
        <f>IFERROR(__xludf.DUMMYFUNCTION("""COMPUTED_VALUE"""),122.79)</f>
        <v>122.79</v>
      </c>
      <c r="BC120" s="26">
        <f>IFERROR(__xludf.DUMMYFUNCTION("""COMPUTED_VALUE"""),226.05)</f>
        <v>226.05</v>
      </c>
      <c r="BD120" s="26">
        <f>IFERROR(__xludf.DUMMYFUNCTION("""COMPUTED_VALUE"""),547.77)</f>
        <v>547.77</v>
      </c>
      <c r="BE120" s="26">
        <f>IFERROR(__xludf.DUMMYFUNCTION("""COMPUTED_VALUE"""),176.03)</f>
        <v>176.03</v>
      </c>
      <c r="BF120" s="26">
        <f>IFERROR(__xludf.DUMMYFUNCTION("""COMPUTED_VALUE"""),88.5)</f>
        <v>88.5</v>
      </c>
      <c r="BG120" s="26">
        <f>IFERROR(__xludf.DUMMYFUNCTION("""COMPUTED_VALUE"""),8.72)</f>
        <v>8.72</v>
      </c>
      <c r="BH120" s="26">
        <f>IFERROR(__xludf.DUMMYFUNCTION("""COMPUTED_VALUE"""),231.99)</f>
        <v>231.99</v>
      </c>
      <c r="BI120" s="26">
        <f>IFERROR(__xludf.DUMMYFUNCTION("""COMPUTED_VALUE"""),562.13)</f>
        <v>562.13</v>
      </c>
      <c r="BJ120" s="26">
        <f>IFERROR(__xludf.DUMMYFUNCTION("""COMPUTED_VALUE"""),48.78)</f>
        <v>48.78</v>
      </c>
      <c r="BK120" s="26">
        <f>IFERROR(__xludf.DUMMYFUNCTION("""COMPUTED_VALUE"""),11.74)</f>
        <v>11.74</v>
      </c>
      <c r="BL120" s="26">
        <f>IFERROR(__xludf.DUMMYFUNCTION("""COMPUTED_VALUE"""),219.11)</f>
        <v>219.11</v>
      </c>
      <c r="BM120" s="26">
        <f>IFERROR(__xludf.DUMMYFUNCTION("""COMPUTED_VALUE"""),96.13)</f>
        <v>96.13</v>
      </c>
    </row>
    <row r="121">
      <c r="A121" s="25">
        <v>45596.66666666667</v>
      </c>
      <c r="B121" s="17">
        <f>IFERROR(__xludf.DUMMYFUNCTION("""COMPUTED_VALUE"""),5813.67)</f>
        <v>5813.67</v>
      </c>
      <c r="C121" s="17">
        <f>IFERROR(__xludf.DUMMYFUNCTION("""COMPUTED_VALUE"""),18607.93)</f>
        <v>18607.93</v>
      </c>
      <c r="D121" s="17">
        <f>IFERROR(__xludf.DUMMYFUNCTION("""COMPUTED_VALUE"""),42141.54)</f>
        <v>42141.54</v>
      </c>
      <c r="E121" s="17">
        <f>IFERROR(__xludf.DUMMYFUNCTION("""COMPUTED_VALUE"""),2233.04)</f>
        <v>2233.04</v>
      </c>
      <c r="F121" s="26">
        <f>IFERROR(__xludf.DUMMYFUNCTION("""COMPUTED_VALUE"""),486.68)</f>
        <v>486.68</v>
      </c>
      <c r="G121" s="26">
        <f>IFERROR(__xludf.DUMMYFUNCTION("""COMPUTED_VALUE"""),192.73)</f>
        <v>192.73</v>
      </c>
      <c r="H121" s="26">
        <f>IFERROR(__xludf.DUMMYFUNCTION("""COMPUTED_VALUE"""),135.69)</f>
        <v>135.69</v>
      </c>
      <c r="I121" s="26">
        <f>IFERROR(__xludf.DUMMYFUNCTION("""COMPUTED_VALUE"""),230.1)</f>
        <v>230.1</v>
      </c>
      <c r="J121" s="26">
        <f>IFERROR(__xludf.DUMMYFUNCTION("""COMPUTED_VALUE"""),185.3)</f>
        <v>185.3</v>
      </c>
      <c r="K121" s="26">
        <f>IFERROR(__xludf.DUMMYFUNCTION("""COMPUTED_VALUE"""),75.93)</f>
        <v>75.93</v>
      </c>
      <c r="L121" s="26">
        <f>IFERROR(__xludf.DUMMYFUNCTION("""COMPUTED_VALUE"""),12.7)</f>
        <v>12.7</v>
      </c>
      <c r="M121" s="26">
        <f>IFERROR(__xludf.DUMMYFUNCTION("""COMPUTED_VALUE"""),454.96)</f>
        <v>454.96</v>
      </c>
      <c r="N121" s="26">
        <f>IFERROR(__xludf.DUMMYFUNCTION("""COMPUTED_VALUE"""),56.42)</f>
        <v>56.42</v>
      </c>
      <c r="O121" s="26">
        <f>IFERROR(__xludf.DUMMYFUNCTION("""COMPUTED_VALUE"""),181.18)</f>
        <v>181.18</v>
      </c>
      <c r="P121" s="26">
        <f>IFERROR(__xludf.DUMMYFUNCTION("""COMPUTED_VALUE"""),73.6)</f>
        <v>73.6</v>
      </c>
      <c r="Q121" s="26">
        <f>IFERROR(__xludf.DUMMYFUNCTION("""COMPUTED_VALUE"""),379.24)</f>
        <v>379.24</v>
      </c>
      <c r="R121" s="26">
        <f>IFERROR(__xludf.DUMMYFUNCTION("""COMPUTED_VALUE"""),53.98)</f>
        <v>53.98</v>
      </c>
      <c r="S121" s="26">
        <f>IFERROR(__xludf.DUMMYFUNCTION("""COMPUTED_VALUE"""),173.89)</f>
        <v>173.89</v>
      </c>
      <c r="T121" s="26">
        <f>IFERROR(__xludf.DUMMYFUNCTION("""COMPUTED_VALUE"""),148.05)</f>
        <v>148.05</v>
      </c>
      <c r="U121" s="26">
        <f>IFERROR(__xludf.DUMMYFUNCTION("""COMPUTED_VALUE"""),312.89)</f>
        <v>312.89</v>
      </c>
      <c r="V121" s="26">
        <f>IFERROR(__xludf.DUMMYFUNCTION("""COMPUTED_VALUE"""),42.7)</f>
        <v>42.7</v>
      </c>
      <c r="W121" s="26">
        <f>IFERROR(__xludf.DUMMYFUNCTION("""COMPUTED_VALUE"""),65.92)</f>
        <v>65.92</v>
      </c>
      <c r="X121" s="26">
        <f>IFERROR(__xludf.DUMMYFUNCTION("""COMPUTED_VALUE"""),102.72)</f>
        <v>102.72</v>
      </c>
      <c r="Y121" s="26">
        <f>IFERROR(__xludf.DUMMYFUNCTION("""COMPUTED_VALUE"""),182.17)</f>
        <v>182.17</v>
      </c>
      <c r="Z121" s="26">
        <f>IFERROR(__xludf.DUMMYFUNCTION("""COMPUTED_VALUE"""),63.31)</f>
        <v>63.31</v>
      </c>
      <c r="AA121" s="26">
        <f>IFERROR(__xludf.DUMMYFUNCTION("""COMPUTED_VALUE"""),410.02)</f>
        <v>410.02</v>
      </c>
      <c r="AB121" s="26">
        <f>IFERROR(__xludf.DUMMYFUNCTION("""COMPUTED_VALUE"""),62.63)</f>
        <v>62.63</v>
      </c>
      <c r="AC121" s="26">
        <f>IFERROR(__xludf.DUMMYFUNCTION("""COMPUTED_VALUE"""),116.69)</f>
        <v>116.69</v>
      </c>
      <c r="AD121" s="26">
        <f>IFERROR(__xludf.DUMMYFUNCTION("""COMPUTED_VALUE"""),274.08)</f>
        <v>274.08</v>
      </c>
      <c r="AE121" s="26">
        <f>IFERROR(__xludf.DUMMYFUNCTION("""COMPUTED_VALUE"""),478.84)</f>
        <v>478.84</v>
      </c>
      <c r="AF121" s="26">
        <f>IFERROR(__xludf.DUMMYFUNCTION("""COMPUTED_VALUE"""),301.37)</f>
        <v>301.37</v>
      </c>
      <c r="AG121" s="26">
        <f>IFERROR(__xludf.DUMMYFUNCTION("""COMPUTED_VALUE"""),51.97)</f>
        <v>51.97</v>
      </c>
      <c r="AH121" s="26">
        <f>IFERROR(__xludf.DUMMYFUNCTION("""COMPUTED_VALUE"""),88.29)</f>
        <v>88.29</v>
      </c>
      <c r="AI121" s="26">
        <f>IFERROR(__xludf.DUMMYFUNCTION("""COMPUTED_VALUE"""),524.4)</f>
        <v>524.4</v>
      </c>
      <c r="AJ121" s="26">
        <f>IFERROR(__xludf.DUMMYFUNCTION("""COMPUTED_VALUE"""),392.52)</f>
        <v>392.52</v>
      </c>
      <c r="AK121" s="26">
        <f>IFERROR(__xludf.DUMMYFUNCTION("""COMPUTED_VALUE"""),116.15)</f>
        <v>116.15</v>
      </c>
      <c r="AL121" s="26">
        <f>IFERROR(__xludf.DUMMYFUNCTION("""COMPUTED_VALUE"""),166.53)</f>
        <v>166.53</v>
      </c>
      <c r="AM121" s="26">
        <f>IFERROR(__xludf.DUMMYFUNCTION("""COMPUTED_VALUE"""),513.77)</f>
        <v>513.77</v>
      </c>
      <c r="AN121" s="26">
        <f>IFERROR(__xludf.DUMMYFUNCTION("""COMPUTED_VALUE"""),224.41)</f>
        <v>224.41</v>
      </c>
      <c r="AO121" s="26">
        <f>IFERROR(__xludf.DUMMYFUNCTION("""COMPUTED_VALUE"""),545.94)</f>
        <v>545.94</v>
      </c>
      <c r="AP121" s="26">
        <f>IFERROR(__xludf.DUMMYFUNCTION("""COMPUTED_VALUE"""),303.85)</f>
        <v>303.85</v>
      </c>
      <c r="AQ121" s="26">
        <f>IFERROR(__xludf.DUMMYFUNCTION("""COMPUTED_VALUE"""),29.96)</f>
        <v>29.96</v>
      </c>
      <c r="AR121" s="26">
        <f>IFERROR(__xludf.DUMMYFUNCTION("""COMPUTED_VALUE"""),90.5)</f>
        <v>90.5</v>
      </c>
      <c r="AS121" s="26">
        <f>IFERROR(__xludf.DUMMYFUNCTION("""COMPUTED_VALUE"""),83.18)</f>
        <v>83.18</v>
      </c>
      <c r="AT121" s="26">
        <f>IFERROR(__xludf.DUMMYFUNCTION("""COMPUTED_VALUE"""),432.53)</f>
        <v>432.53</v>
      </c>
      <c r="AU121" s="26">
        <f>IFERROR(__xludf.DUMMYFUNCTION("""COMPUTED_VALUE"""),79.09)</f>
        <v>79.09</v>
      </c>
      <c r="AV121" s="26">
        <f>IFERROR(__xludf.DUMMYFUNCTION("""COMPUTED_VALUE"""),139.34)</f>
        <v>139.34</v>
      </c>
      <c r="AW121" s="26">
        <f>IFERROR(__xludf.DUMMYFUNCTION("""COMPUTED_VALUE"""),98.28)</f>
        <v>98.28</v>
      </c>
      <c r="AX121" s="26">
        <f>IFERROR(__xludf.DUMMYFUNCTION("""COMPUTED_VALUE"""),48.81)</f>
        <v>48.81</v>
      </c>
      <c r="AY121" s="26">
        <f>IFERROR(__xludf.DUMMYFUNCTION("""COMPUTED_VALUE"""),43.69)</f>
        <v>43.69</v>
      </c>
      <c r="AZ121" s="26">
        <f>IFERROR(__xludf.DUMMYFUNCTION("""COMPUTED_VALUE"""),78.22)</f>
        <v>78.22</v>
      </c>
      <c r="BA121" s="26">
        <f>IFERROR(__xludf.DUMMYFUNCTION("""COMPUTED_VALUE"""),28.52)</f>
        <v>28.52</v>
      </c>
      <c r="BB121" s="26">
        <f>IFERROR(__xludf.DUMMYFUNCTION("""COMPUTED_VALUE"""),121.86)</f>
        <v>121.86</v>
      </c>
      <c r="BC121" s="26">
        <f>IFERROR(__xludf.DUMMYFUNCTION("""COMPUTED_VALUE"""),222.77)</f>
        <v>222.77</v>
      </c>
      <c r="BD121" s="26">
        <f>IFERROR(__xludf.DUMMYFUNCTION("""COMPUTED_VALUE"""),550.62)</f>
        <v>550.62</v>
      </c>
      <c r="BE121" s="26">
        <f>IFERROR(__xludf.DUMMYFUNCTION("""COMPUTED_VALUE"""),175.21)</f>
        <v>175.21</v>
      </c>
      <c r="BF121" s="26">
        <f>IFERROR(__xludf.DUMMYFUNCTION("""COMPUTED_VALUE"""),81.92)</f>
        <v>81.92</v>
      </c>
      <c r="BG121" s="26">
        <f>IFERROR(__xludf.DUMMYFUNCTION("""COMPUTED_VALUE"""),8.67)</f>
        <v>8.67</v>
      </c>
      <c r="BH121" s="26">
        <f>IFERROR(__xludf.DUMMYFUNCTION("""COMPUTED_VALUE"""),232.17)</f>
        <v>232.17</v>
      </c>
      <c r="BI121" s="26">
        <f>IFERROR(__xludf.DUMMYFUNCTION("""COMPUTED_VALUE"""),562.96)</f>
        <v>562.96</v>
      </c>
      <c r="BJ121" s="26">
        <f>IFERROR(__xludf.DUMMYFUNCTION("""COMPUTED_VALUE"""),48.78)</f>
        <v>48.78</v>
      </c>
      <c r="BK121" s="26">
        <f>IFERROR(__xludf.DUMMYFUNCTION("""COMPUTED_VALUE"""),11.89)</f>
        <v>11.89</v>
      </c>
      <c r="BL121" s="26">
        <f>IFERROR(__xludf.DUMMYFUNCTION("""COMPUTED_VALUE"""),214.82)</f>
        <v>214.82</v>
      </c>
      <c r="BM121" s="26">
        <f>IFERROR(__xludf.DUMMYFUNCTION("""COMPUTED_VALUE"""),95.08)</f>
        <v>95.08</v>
      </c>
    </row>
    <row r="122">
      <c r="A122" s="25">
        <v>45597.66666666667</v>
      </c>
      <c r="B122" s="17">
        <f>IFERROR(__xludf.DUMMYFUNCTION("""COMPUTED_VALUE"""),5705.45)</f>
        <v>5705.45</v>
      </c>
      <c r="C122" s="17">
        <f>IFERROR(__xludf.DUMMYFUNCTION("""COMPUTED_VALUE"""),18095.15)</f>
        <v>18095.15</v>
      </c>
      <c r="D122" s="17">
        <f>IFERROR(__xludf.DUMMYFUNCTION("""COMPUTED_VALUE"""),41763.46)</f>
        <v>41763.46</v>
      </c>
      <c r="E122" s="17">
        <f>IFERROR(__xludf.DUMMYFUNCTION("""COMPUTED_VALUE"""),2196.65)</f>
        <v>2196.65</v>
      </c>
      <c r="F122" s="26">
        <f>IFERROR(__xludf.DUMMYFUNCTION("""COMPUTED_VALUE"""),478.08)</f>
        <v>478.08</v>
      </c>
      <c r="G122" s="26">
        <f>IFERROR(__xludf.DUMMYFUNCTION("""COMPUTED_VALUE"""),186.4)</f>
        <v>186.4</v>
      </c>
      <c r="H122" s="26">
        <f>IFERROR(__xludf.DUMMYFUNCTION("""COMPUTED_VALUE"""),138.11)</f>
        <v>138.11</v>
      </c>
      <c r="I122" s="26">
        <f>IFERROR(__xludf.DUMMYFUNCTION("""COMPUTED_VALUE"""),225.91)</f>
        <v>225.91</v>
      </c>
      <c r="J122" s="26">
        <f>IFERROR(__xludf.DUMMYFUNCTION("""COMPUTED_VALUE"""),181.58)</f>
        <v>181.58</v>
      </c>
      <c r="K122" s="26">
        <f>IFERROR(__xludf.DUMMYFUNCTION("""COMPUTED_VALUE"""),75.36)</f>
        <v>75.36</v>
      </c>
      <c r="L122" s="26">
        <f>IFERROR(__xludf.DUMMYFUNCTION("""COMPUTED_VALUE"""),12.41)</f>
        <v>12.41</v>
      </c>
      <c r="M122" s="26">
        <f>IFERROR(__xludf.DUMMYFUNCTION("""COMPUTED_VALUE"""),450.92)</f>
        <v>450.92</v>
      </c>
      <c r="N122" s="26">
        <f>IFERROR(__xludf.DUMMYFUNCTION("""COMPUTED_VALUE"""),55.46)</f>
        <v>55.46</v>
      </c>
      <c r="O122" s="26">
        <f>IFERROR(__xludf.DUMMYFUNCTION("""COMPUTED_VALUE"""),174.0)</f>
        <v>174</v>
      </c>
      <c r="P122" s="26">
        <f>IFERROR(__xludf.DUMMYFUNCTION("""COMPUTED_VALUE"""),72.72)</f>
        <v>72.72</v>
      </c>
      <c r="Q122" s="26">
        <f>IFERROR(__xludf.DUMMYFUNCTION("""COMPUTED_VALUE"""),376.2)</f>
        <v>376.2</v>
      </c>
      <c r="R122" s="26">
        <f>IFERROR(__xludf.DUMMYFUNCTION("""COMPUTED_VALUE"""),52.22)</f>
        <v>52.22</v>
      </c>
      <c r="S122" s="26">
        <f>IFERROR(__xludf.DUMMYFUNCTION("""COMPUTED_VALUE"""),173.21)</f>
        <v>173.21</v>
      </c>
      <c r="T122" s="26">
        <f>IFERROR(__xludf.DUMMYFUNCTION("""COMPUTED_VALUE"""),148.82)</f>
        <v>148.82</v>
      </c>
      <c r="U122" s="26">
        <f>IFERROR(__xludf.DUMMYFUNCTION("""COMPUTED_VALUE"""),314.81)</f>
        <v>314.81</v>
      </c>
      <c r="V122" s="26">
        <f>IFERROR(__xludf.DUMMYFUNCTION("""COMPUTED_VALUE"""),42.12)</f>
        <v>42.12</v>
      </c>
      <c r="W122" s="26">
        <f>IFERROR(__xludf.DUMMYFUNCTION("""COMPUTED_VALUE"""),65.31)</f>
        <v>65.31</v>
      </c>
      <c r="X122" s="26">
        <f>IFERROR(__xludf.DUMMYFUNCTION("""COMPUTED_VALUE"""),101.68)</f>
        <v>101.68</v>
      </c>
      <c r="Y122" s="26">
        <f>IFERROR(__xludf.DUMMYFUNCTION("""COMPUTED_VALUE"""),178.23)</f>
        <v>178.23</v>
      </c>
      <c r="Z122" s="26">
        <f>IFERROR(__xludf.DUMMYFUNCTION("""COMPUTED_VALUE"""),64.64)</f>
        <v>64.64</v>
      </c>
      <c r="AA122" s="26">
        <f>IFERROR(__xludf.DUMMYFUNCTION("""COMPUTED_VALUE"""),413.73)</f>
        <v>413.73</v>
      </c>
      <c r="AB122" s="26">
        <f>IFERROR(__xludf.DUMMYFUNCTION("""COMPUTED_VALUE"""),57.51)</f>
        <v>57.51</v>
      </c>
      <c r="AC122" s="26">
        <f>IFERROR(__xludf.DUMMYFUNCTION("""COMPUTED_VALUE"""),116.78)</f>
        <v>116.78</v>
      </c>
      <c r="AD122" s="26">
        <f>IFERROR(__xludf.DUMMYFUNCTION("""COMPUTED_VALUE"""),273.85)</f>
        <v>273.85</v>
      </c>
      <c r="AE122" s="26">
        <f>IFERROR(__xludf.DUMMYFUNCTION("""COMPUTED_VALUE"""),475.88)</f>
        <v>475.88</v>
      </c>
      <c r="AF122" s="26">
        <f>IFERROR(__xludf.DUMMYFUNCTION("""COMPUTED_VALUE"""),291.61)</f>
        <v>291.61</v>
      </c>
      <c r="AG122" s="26">
        <f>IFERROR(__xludf.DUMMYFUNCTION("""COMPUTED_VALUE"""),50.76)</f>
        <v>50.76</v>
      </c>
      <c r="AH122" s="26">
        <f>IFERROR(__xludf.DUMMYFUNCTION("""COMPUTED_VALUE"""),88.82)</f>
        <v>88.82</v>
      </c>
      <c r="AI122" s="26">
        <f>IFERROR(__xludf.DUMMYFUNCTION("""COMPUTED_VALUE"""),517.79)</f>
        <v>517.79</v>
      </c>
      <c r="AJ122" s="26">
        <f>IFERROR(__xludf.DUMMYFUNCTION("""COMPUTED_VALUE"""),393.75)</f>
        <v>393.75</v>
      </c>
      <c r="AK122" s="26">
        <f>IFERROR(__xludf.DUMMYFUNCTION("""COMPUTED_VALUE"""),115.73)</f>
        <v>115.73</v>
      </c>
      <c r="AL122" s="26">
        <f>IFERROR(__xludf.DUMMYFUNCTION("""COMPUTED_VALUE"""),155.87)</f>
        <v>155.87</v>
      </c>
      <c r="AM122" s="26">
        <f>IFERROR(__xludf.DUMMYFUNCTION("""COMPUTED_VALUE"""),503.84)</f>
        <v>503.84</v>
      </c>
      <c r="AN122" s="26">
        <f>IFERROR(__xludf.DUMMYFUNCTION("""COMPUTED_VALUE"""),221.92)</f>
        <v>221.92</v>
      </c>
      <c r="AO122" s="26">
        <f>IFERROR(__xludf.DUMMYFUNCTION("""COMPUTED_VALUE"""),546.05)</f>
        <v>546.05</v>
      </c>
      <c r="AP122" s="26">
        <f>IFERROR(__xludf.DUMMYFUNCTION("""COMPUTED_VALUE"""),297.9)</f>
        <v>297.9</v>
      </c>
      <c r="AQ122" s="26">
        <f>IFERROR(__xludf.DUMMYFUNCTION("""COMPUTED_VALUE"""),29.21)</f>
        <v>29.21</v>
      </c>
      <c r="AR122" s="26">
        <f>IFERROR(__xludf.DUMMYFUNCTION("""COMPUTED_VALUE"""),89.25)</f>
        <v>89.25</v>
      </c>
      <c r="AS122" s="26">
        <f>IFERROR(__xludf.DUMMYFUNCTION("""COMPUTED_VALUE"""),78.42)</f>
        <v>78.42</v>
      </c>
      <c r="AT122" s="26">
        <f>IFERROR(__xludf.DUMMYFUNCTION("""COMPUTED_VALUE"""),406.35)</f>
        <v>406.35</v>
      </c>
      <c r="AU122" s="26">
        <f>IFERROR(__xludf.DUMMYFUNCTION("""COMPUTED_VALUE"""),79.25)</f>
        <v>79.25</v>
      </c>
      <c r="AV122" s="26">
        <f>IFERROR(__xludf.DUMMYFUNCTION("""COMPUTED_VALUE"""),132.76)</f>
        <v>132.76</v>
      </c>
      <c r="AW122" s="26">
        <f>IFERROR(__xludf.DUMMYFUNCTION("""COMPUTED_VALUE"""),98.2)</f>
        <v>98.2</v>
      </c>
      <c r="AX122" s="26">
        <f>IFERROR(__xludf.DUMMYFUNCTION("""COMPUTED_VALUE"""),47.42)</f>
        <v>47.42</v>
      </c>
      <c r="AY122" s="26">
        <f>IFERROR(__xludf.DUMMYFUNCTION("""COMPUTED_VALUE"""),41.56)</f>
        <v>41.56</v>
      </c>
      <c r="AZ122" s="26">
        <f>IFERROR(__xludf.DUMMYFUNCTION("""COMPUTED_VALUE"""),79.3)</f>
        <v>79.3</v>
      </c>
      <c r="BA122" s="26">
        <f>IFERROR(__xludf.DUMMYFUNCTION("""COMPUTED_VALUE"""),28.3)</f>
        <v>28.3</v>
      </c>
      <c r="BB122" s="26">
        <f>IFERROR(__xludf.DUMMYFUNCTION("""COMPUTED_VALUE"""),120.99)</f>
        <v>120.99</v>
      </c>
      <c r="BC122" s="26">
        <f>IFERROR(__xludf.DUMMYFUNCTION("""COMPUTED_VALUE"""),223.16)</f>
        <v>223.16</v>
      </c>
      <c r="BD122" s="26">
        <f>IFERROR(__xludf.DUMMYFUNCTION("""COMPUTED_VALUE"""),546.32)</f>
        <v>546.32</v>
      </c>
      <c r="BE122" s="26">
        <f>IFERROR(__xludf.DUMMYFUNCTION("""COMPUTED_VALUE"""),173.02)</f>
        <v>173.02</v>
      </c>
      <c r="BF122" s="26">
        <f>IFERROR(__xludf.DUMMYFUNCTION("""COMPUTED_VALUE"""),81.97)</f>
        <v>81.97</v>
      </c>
      <c r="BG122" s="26">
        <f>IFERROR(__xludf.DUMMYFUNCTION("""COMPUTED_VALUE"""),8.55)</f>
        <v>8.55</v>
      </c>
      <c r="BH122" s="26">
        <f>IFERROR(__xludf.DUMMYFUNCTION("""COMPUTED_VALUE"""),232.07)</f>
        <v>232.07</v>
      </c>
      <c r="BI122" s="26">
        <f>IFERROR(__xludf.DUMMYFUNCTION("""COMPUTED_VALUE"""),564.5)</f>
        <v>564.5</v>
      </c>
      <c r="BJ122" s="26">
        <f>IFERROR(__xludf.DUMMYFUNCTION("""COMPUTED_VALUE"""),48.78)</f>
        <v>48.78</v>
      </c>
      <c r="BK122" s="26">
        <f>IFERROR(__xludf.DUMMYFUNCTION("""COMPUTED_VALUE"""),11.6)</f>
        <v>11.6</v>
      </c>
      <c r="BL122" s="26">
        <f>IFERROR(__xludf.DUMMYFUNCTION("""COMPUTED_VALUE"""),215.85)</f>
        <v>215.85</v>
      </c>
      <c r="BM122" s="26">
        <f>IFERROR(__xludf.DUMMYFUNCTION("""COMPUTED_VALUE"""),96.2)</f>
        <v>96.2</v>
      </c>
    </row>
    <row r="123">
      <c r="A123" s="25">
        <v>45600.66666666667</v>
      </c>
      <c r="B123" s="17">
        <f>IFERROR(__xludf.DUMMYFUNCTION("""COMPUTED_VALUE"""),5728.8)</f>
        <v>5728.8</v>
      </c>
      <c r="C123" s="17">
        <f>IFERROR(__xludf.DUMMYFUNCTION("""COMPUTED_VALUE"""),18239.92)</f>
        <v>18239.92</v>
      </c>
      <c r="D123" s="17">
        <f>IFERROR(__xludf.DUMMYFUNCTION("""COMPUTED_VALUE"""),42052.19)</f>
        <v>42052.19</v>
      </c>
      <c r="E123" s="17">
        <f>IFERROR(__xludf.DUMMYFUNCTION("""COMPUTED_VALUE"""),2210.13)</f>
        <v>2210.13</v>
      </c>
      <c r="F123" s="26">
        <f>IFERROR(__xludf.DUMMYFUNCTION("""COMPUTED_VALUE"""),482.8)</f>
        <v>482.8</v>
      </c>
      <c r="G123" s="26">
        <f>IFERROR(__xludf.DUMMYFUNCTION("""COMPUTED_VALUE"""),197.93)</f>
        <v>197.93</v>
      </c>
      <c r="H123" s="26">
        <f>IFERROR(__xludf.DUMMYFUNCTION("""COMPUTED_VALUE"""),136.0)</f>
        <v>136</v>
      </c>
      <c r="I123" s="26">
        <f>IFERROR(__xludf.DUMMYFUNCTION("""COMPUTED_VALUE"""),222.91)</f>
        <v>222.91</v>
      </c>
      <c r="J123" s="26">
        <f>IFERROR(__xludf.DUMMYFUNCTION("""COMPUTED_VALUE"""),183.38)</f>
        <v>183.38</v>
      </c>
      <c r="K123" s="26">
        <f>IFERROR(__xludf.DUMMYFUNCTION("""COMPUTED_VALUE"""),75.31)</f>
        <v>75.31</v>
      </c>
      <c r="L123" s="26">
        <f>IFERROR(__xludf.DUMMYFUNCTION("""COMPUTED_VALUE"""),12.53)</f>
        <v>12.53</v>
      </c>
      <c r="M123" s="26">
        <f>IFERROR(__xludf.DUMMYFUNCTION("""COMPUTED_VALUE"""),452.14)</f>
        <v>452.14</v>
      </c>
      <c r="N123" s="26">
        <f>IFERROR(__xludf.DUMMYFUNCTION("""COMPUTED_VALUE"""),55.94)</f>
        <v>55.94</v>
      </c>
      <c r="O123" s="26">
        <f>IFERROR(__xludf.DUMMYFUNCTION("""COMPUTED_VALUE"""),173.79)</f>
        <v>173.79</v>
      </c>
      <c r="P123" s="26">
        <f>IFERROR(__xludf.DUMMYFUNCTION("""COMPUTED_VALUE"""),72.59)</f>
        <v>72.59</v>
      </c>
      <c r="Q123" s="26">
        <f>IFERROR(__xludf.DUMMYFUNCTION("""COMPUTED_VALUE"""),379.63)</f>
        <v>379.63</v>
      </c>
      <c r="R123" s="26">
        <f>IFERROR(__xludf.DUMMYFUNCTION("""COMPUTED_VALUE"""),52.5)</f>
        <v>52.5</v>
      </c>
      <c r="S123" s="26">
        <f>IFERROR(__xludf.DUMMYFUNCTION("""COMPUTED_VALUE"""),170.5)</f>
        <v>170.5</v>
      </c>
      <c r="T123" s="26">
        <f>IFERROR(__xludf.DUMMYFUNCTION("""COMPUTED_VALUE"""),153.07)</f>
        <v>153.07</v>
      </c>
      <c r="U123" s="26">
        <f>IFERROR(__xludf.DUMMYFUNCTION("""COMPUTED_VALUE"""),316.49)</f>
        <v>316.49</v>
      </c>
      <c r="V123" s="26">
        <f>IFERROR(__xludf.DUMMYFUNCTION("""COMPUTED_VALUE"""),41.82)</f>
        <v>41.82</v>
      </c>
      <c r="W123" s="26">
        <f>IFERROR(__xludf.DUMMYFUNCTION("""COMPUTED_VALUE"""),65.01)</f>
        <v>65.01</v>
      </c>
      <c r="X123" s="26">
        <f>IFERROR(__xludf.DUMMYFUNCTION("""COMPUTED_VALUE"""),100.0)</f>
        <v>100</v>
      </c>
      <c r="Y123" s="26">
        <f>IFERROR(__xludf.DUMMYFUNCTION("""COMPUTED_VALUE"""),176.0)</f>
        <v>176</v>
      </c>
      <c r="Z123" s="26">
        <f>IFERROR(__xludf.DUMMYFUNCTION("""COMPUTED_VALUE"""),66.6)</f>
        <v>66.6</v>
      </c>
      <c r="AA123" s="26">
        <f>IFERROR(__xludf.DUMMYFUNCTION("""COMPUTED_VALUE"""),425.83)</f>
        <v>425.83</v>
      </c>
      <c r="AB123" s="26">
        <f>IFERROR(__xludf.DUMMYFUNCTION("""COMPUTED_VALUE"""),58.11)</f>
        <v>58.11</v>
      </c>
      <c r="AC123" s="26">
        <f>IFERROR(__xludf.DUMMYFUNCTION("""COMPUTED_VALUE"""),114.95)</f>
        <v>114.95</v>
      </c>
      <c r="AD123" s="26">
        <f>IFERROR(__xludf.DUMMYFUNCTION("""COMPUTED_VALUE"""),274.35)</f>
        <v>274.35</v>
      </c>
      <c r="AE123" s="26">
        <f>IFERROR(__xludf.DUMMYFUNCTION("""COMPUTED_VALUE"""),476.76)</f>
        <v>476.76</v>
      </c>
      <c r="AF123" s="26">
        <f>IFERROR(__xludf.DUMMYFUNCTION("""COMPUTED_VALUE"""),292.99)</f>
        <v>292.99</v>
      </c>
      <c r="AG123" s="26">
        <f>IFERROR(__xludf.DUMMYFUNCTION("""COMPUTED_VALUE"""),50.96)</f>
        <v>50.96</v>
      </c>
      <c r="AH123" s="26">
        <f>IFERROR(__xludf.DUMMYFUNCTION("""COMPUTED_VALUE"""),89.51)</f>
        <v>89.51</v>
      </c>
      <c r="AI123" s="26">
        <f>IFERROR(__xludf.DUMMYFUNCTION("""COMPUTED_VALUE"""),519.35)</f>
        <v>519.35</v>
      </c>
      <c r="AJ123" s="26">
        <f>IFERROR(__xludf.DUMMYFUNCTION("""COMPUTED_VALUE"""),392.59)</f>
        <v>392.59</v>
      </c>
      <c r="AK123" s="26">
        <f>IFERROR(__xludf.DUMMYFUNCTION("""COMPUTED_VALUE"""),115.07)</f>
        <v>115.07</v>
      </c>
      <c r="AL123" s="26">
        <f>IFERROR(__xludf.DUMMYFUNCTION("""COMPUTED_VALUE"""),154.64)</f>
        <v>154.64</v>
      </c>
      <c r="AM123" s="26">
        <f>IFERROR(__xludf.DUMMYFUNCTION("""COMPUTED_VALUE"""),506.34)</f>
        <v>506.34</v>
      </c>
      <c r="AN123" s="26">
        <f>IFERROR(__xludf.DUMMYFUNCTION("""COMPUTED_VALUE"""),222.94)</f>
        <v>222.94</v>
      </c>
      <c r="AO123" s="26">
        <f>IFERROR(__xludf.DUMMYFUNCTION("""COMPUTED_VALUE"""),545.35)</f>
        <v>545.35</v>
      </c>
      <c r="AP123" s="26">
        <f>IFERROR(__xludf.DUMMYFUNCTION("""COMPUTED_VALUE"""),321.17)</f>
        <v>321.17</v>
      </c>
      <c r="AQ123" s="26">
        <f>IFERROR(__xludf.DUMMYFUNCTION("""COMPUTED_VALUE"""),29.47)</f>
        <v>29.47</v>
      </c>
      <c r="AR123" s="26">
        <f>IFERROR(__xludf.DUMMYFUNCTION("""COMPUTED_VALUE"""),90.07)</f>
        <v>90.07</v>
      </c>
      <c r="AS123" s="26">
        <f>IFERROR(__xludf.DUMMYFUNCTION("""COMPUTED_VALUE"""),78.43)</f>
        <v>78.43</v>
      </c>
      <c r="AT123" s="26">
        <f>IFERROR(__xludf.DUMMYFUNCTION("""COMPUTED_VALUE"""),410.37)</f>
        <v>410.37</v>
      </c>
      <c r="AU123" s="26">
        <f>IFERROR(__xludf.DUMMYFUNCTION("""COMPUTED_VALUE"""),77.35)</f>
        <v>77.35</v>
      </c>
      <c r="AV123" s="26">
        <f>IFERROR(__xludf.DUMMYFUNCTION("""COMPUTED_VALUE"""),135.4)</f>
        <v>135.4</v>
      </c>
      <c r="AW123" s="26">
        <f>IFERROR(__xludf.DUMMYFUNCTION("""COMPUTED_VALUE"""),99.44)</f>
        <v>99.44</v>
      </c>
      <c r="AX123" s="26">
        <f>IFERROR(__xludf.DUMMYFUNCTION("""COMPUTED_VALUE"""),46.5)</f>
        <v>46.5</v>
      </c>
      <c r="AY123" s="26">
        <f>IFERROR(__xludf.DUMMYFUNCTION("""COMPUTED_VALUE"""),41.92)</f>
        <v>41.92</v>
      </c>
      <c r="AZ123" s="26">
        <f>IFERROR(__xludf.DUMMYFUNCTION("""COMPUTED_VALUE"""),77.25)</f>
        <v>77.25</v>
      </c>
      <c r="BA123" s="26">
        <f>IFERROR(__xludf.DUMMYFUNCTION("""COMPUTED_VALUE"""),28.09)</f>
        <v>28.09</v>
      </c>
      <c r="BB123" s="26">
        <f>IFERROR(__xludf.DUMMYFUNCTION("""COMPUTED_VALUE"""),118.75)</f>
        <v>118.75</v>
      </c>
      <c r="BC123" s="26">
        <f>IFERROR(__xludf.DUMMYFUNCTION("""COMPUTED_VALUE"""),223.28)</f>
        <v>223.28</v>
      </c>
      <c r="BD123" s="26">
        <f>IFERROR(__xludf.DUMMYFUNCTION("""COMPUTED_VALUE"""),557.92)</f>
        <v>557.92</v>
      </c>
      <c r="BE123" s="26">
        <f>IFERROR(__xludf.DUMMYFUNCTION("""COMPUTED_VALUE"""),172.83)</f>
        <v>172.83</v>
      </c>
      <c r="BF123" s="26">
        <f>IFERROR(__xludf.DUMMYFUNCTION("""COMPUTED_VALUE"""),82.4)</f>
        <v>82.4</v>
      </c>
      <c r="BG123" s="26">
        <f>IFERROR(__xludf.DUMMYFUNCTION("""COMPUTED_VALUE"""),8.52)</f>
        <v>8.52</v>
      </c>
      <c r="BH123" s="26">
        <f>IFERROR(__xludf.DUMMYFUNCTION("""COMPUTED_VALUE"""),232.69)</f>
        <v>232.69</v>
      </c>
      <c r="BI123" s="26">
        <f>IFERROR(__xludf.DUMMYFUNCTION("""COMPUTED_VALUE"""),567.56)</f>
        <v>567.56</v>
      </c>
      <c r="BJ123" s="26">
        <f>IFERROR(__xludf.DUMMYFUNCTION("""COMPUTED_VALUE"""),48.72)</f>
        <v>48.72</v>
      </c>
      <c r="BK123" s="26">
        <f>IFERROR(__xludf.DUMMYFUNCTION("""COMPUTED_VALUE"""),11.62)</f>
        <v>11.62</v>
      </c>
      <c r="BL123" s="26">
        <f>IFERROR(__xludf.DUMMYFUNCTION("""COMPUTED_VALUE"""),213.99)</f>
        <v>213.99</v>
      </c>
      <c r="BM123" s="26">
        <f>IFERROR(__xludf.DUMMYFUNCTION("""COMPUTED_VALUE"""),95.81)</f>
        <v>95.81</v>
      </c>
    </row>
    <row r="124">
      <c r="A124" s="25">
        <v>45601.66666666667</v>
      </c>
      <c r="B124" s="17">
        <f>IFERROR(__xludf.DUMMYFUNCTION("""COMPUTED_VALUE"""),5712.69)</f>
        <v>5712.69</v>
      </c>
      <c r="C124" s="17">
        <f>IFERROR(__xludf.DUMMYFUNCTION("""COMPUTED_VALUE"""),18179.98)</f>
        <v>18179.98</v>
      </c>
      <c r="D124" s="17">
        <f>IFERROR(__xludf.DUMMYFUNCTION("""COMPUTED_VALUE"""),41794.6)</f>
        <v>41794.6</v>
      </c>
      <c r="E124" s="17">
        <f>IFERROR(__xludf.DUMMYFUNCTION("""COMPUTED_VALUE"""),2219.03)</f>
        <v>2219.03</v>
      </c>
      <c r="F124" s="26">
        <f>IFERROR(__xludf.DUMMYFUNCTION("""COMPUTED_VALUE"""),481.35)</f>
        <v>481.35</v>
      </c>
      <c r="G124" s="26">
        <f>IFERROR(__xludf.DUMMYFUNCTION("""COMPUTED_VALUE"""),195.78)</f>
        <v>195.78</v>
      </c>
      <c r="H124" s="26">
        <f>IFERROR(__xludf.DUMMYFUNCTION("""COMPUTED_VALUE"""),135.3)</f>
        <v>135.3</v>
      </c>
      <c r="I124" s="26">
        <f>IFERROR(__xludf.DUMMYFUNCTION("""COMPUTED_VALUE"""),222.01)</f>
        <v>222.01</v>
      </c>
      <c r="J124" s="26">
        <f>IFERROR(__xludf.DUMMYFUNCTION("""COMPUTED_VALUE"""),181.82)</f>
        <v>181.82</v>
      </c>
      <c r="K124" s="26">
        <f>IFERROR(__xludf.DUMMYFUNCTION("""COMPUTED_VALUE"""),75.0)</f>
        <v>75</v>
      </c>
      <c r="L124" s="26">
        <f>IFERROR(__xludf.DUMMYFUNCTION("""COMPUTED_VALUE"""),12.68)</f>
        <v>12.68</v>
      </c>
      <c r="M124" s="26">
        <f>IFERROR(__xludf.DUMMYFUNCTION("""COMPUTED_VALUE"""),442.29)</f>
        <v>442.29</v>
      </c>
      <c r="N124" s="26">
        <f>IFERROR(__xludf.DUMMYFUNCTION("""COMPUTED_VALUE"""),56.12)</f>
        <v>56.12</v>
      </c>
      <c r="O124" s="26">
        <f>IFERROR(__xludf.DUMMYFUNCTION("""COMPUTED_VALUE"""),173.52)</f>
        <v>173.52</v>
      </c>
      <c r="P124" s="26">
        <f>IFERROR(__xludf.DUMMYFUNCTION("""COMPUTED_VALUE"""),72.4)</f>
        <v>72.4</v>
      </c>
      <c r="Q124" s="26">
        <f>IFERROR(__xludf.DUMMYFUNCTION("""COMPUTED_VALUE"""),376.52)</f>
        <v>376.52</v>
      </c>
      <c r="R124" s="26">
        <f>IFERROR(__xludf.DUMMYFUNCTION("""COMPUTED_VALUE"""),51.15)</f>
        <v>51.15</v>
      </c>
      <c r="S124" s="26">
        <f>IFERROR(__xludf.DUMMYFUNCTION("""COMPUTED_VALUE"""),170.18)</f>
        <v>170.18</v>
      </c>
      <c r="T124" s="26">
        <f>IFERROR(__xludf.DUMMYFUNCTION("""COMPUTED_VALUE"""),153.97)</f>
        <v>153.97</v>
      </c>
      <c r="U124" s="26">
        <f>IFERROR(__xludf.DUMMYFUNCTION("""COMPUTED_VALUE"""),312.32)</f>
        <v>312.32</v>
      </c>
      <c r="V124" s="26">
        <f>IFERROR(__xludf.DUMMYFUNCTION("""COMPUTED_VALUE"""),41.59)</f>
        <v>41.59</v>
      </c>
      <c r="W124" s="26">
        <f>IFERROR(__xludf.DUMMYFUNCTION("""COMPUTED_VALUE"""),65.11)</f>
        <v>65.11</v>
      </c>
      <c r="X124" s="26">
        <f>IFERROR(__xludf.DUMMYFUNCTION("""COMPUTED_VALUE"""),99.15)</f>
        <v>99.15</v>
      </c>
      <c r="Y124" s="26">
        <f>IFERROR(__xludf.DUMMYFUNCTION("""COMPUTED_VALUE"""),177.32)</f>
        <v>177.32</v>
      </c>
      <c r="Z124" s="26">
        <f>IFERROR(__xludf.DUMMYFUNCTION("""COMPUTED_VALUE"""),66.81)</f>
        <v>66.81</v>
      </c>
      <c r="AA124" s="26">
        <f>IFERROR(__xludf.DUMMYFUNCTION("""COMPUTED_VALUE"""),429.98)</f>
        <v>429.98</v>
      </c>
      <c r="AB124" s="26">
        <f>IFERROR(__xludf.DUMMYFUNCTION("""COMPUTED_VALUE"""),60.23)</f>
        <v>60.23</v>
      </c>
      <c r="AC124" s="26">
        <f>IFERROR(__xludf.DUMMYFUNCTION("""COMPUTED_VALUE"""),118.61)</f>
        <v>118.61</v>
      </c>
      <c r="AD124" s="26">
        <f>IFERROR(__xludf.DUMMYFUNCTION("""COMPUTED_VALUE"""),271.18)</f>
        <v>271.18</v>
      </c>
      <c r="AE124" s="26">
        <f>IFERROR(__xludf.DUMMYFUNCTION("""COMPUTED_VALUE"""),476.05)</f>
        <v>476.05</v>
      </c>
      <c r="AF124" s="26">
        <f>IFERROR(__xludf.DUMMYFUNCTION("""COMPUTED_VALUE"""),293.6)</f>
        <v>293.6</v>
      </c>
      <c r="AG124" s="26">
        <f>IFERROR(__xludf.DUMMYFUNCTION("""COMPUTED_VALUE"""),51.8)</f>
        <v>51.8</v>
      </c>
      <c r="AH124" s="26">
        <f>IFERROR(__xludf.DUMMYFUNCTION("""COMPUTED_VALUE"""),89.84)</f>
        <v>89.84</v>
      </c>
      <c r="AI124" s="26">
        <f>IFERROR(__xludf.DUMMYFUNCTION("""COMPUTED_VALUE"""),511.47)</f>
        <v>511.47</v>
      </c>
      <c r="AJ124" s="26">
        <f>IFERROR(__xludf.DUMMYFUNCTION("""COMPUTED_VALUE"""),395.57)</f>
        <v>395.57</v>
      </c>
      <c r="AK124" s="26">
        <f>IFERROR(__xludf.DUMMYFUNCTION("""COMPUTED_VALUE"""),118.2)</f>
        <v>118.2</v>
      </c>
      <c r="AL124" s="26">
        <f>IFERROR(__xludf.DUMMYFUNCTION("""COMPUTED_VALUE"""),154.49)</f>
        <v>154.49</v>
      </c>
      <c r="AM124" s="26">
        <f>IFERROR(__xludf.DUMMYFUNCTION("""COMPUTED_VALUE"""),507.42)</f>
        <v>507.42</v>
      </c>
      <c r="AN124" s="26">
        <f>IFERROR(__xludf.DUMMYFUNCTION("""COMPUTED_VALUE"""),219.78)</f>
        <v>219.78</v>
      </c>
      <c r="AO124" s="26">
        <f>IFERROR(__xludf.DUMMYFUNCTION("""COMPUTED_VALUE"""),543.1)</f>
        <v>543.1</v>
      </c>
      <c r="AP124" s="26">
        <f>IFERROR(__xludf.DUMMYFUNCTION("""COMPUTED_VALUE"""),318.13)</f>
        <v>318.13</v>
      </c>
      <c r="AQ124" s="26">
        <f>IFERROR(__xludf.DUMMYFUNCTION("""COMPUTED_VALUE"""),29.7)</f>
        <v>29.7</v>
      </c>
      <c r="AR124" s="26">
        <f>IFERROR(__xludf.DUMMYFUNCTION("""COMPUTED_VALUE"""),89.31)</f>
        <v>89.31</v>
      </c>
      <c r="AS124" s="26">
        <f>IFERROR(__xludf.DUMMYFUNCTION("""COMPUTED_VALUE"""),78.56)</f>
        <v>78.56</v>
      </c>
      <c r="AT124" s="26">
        <f>IFERROR(__xludf.DUMMYFUNCTION("""COMPUTED_VALUE"""),408.46)</f>
        <v>408.46</v>
      </c>
      <c r="AU124" s="26">
        <f>IFERROR(__xludf.DUMMYFUNCTION("""COMPUTED_VALUE"""),78.37)</f>
        <v>78.37</v>
      </c>
      <c r="AV124" s="26">
        <f>IFERROR(__xludf.DUMMYFUNCTION("""COMPUTED_VALUE"""),136.05)</f>
        <v>136.05</v>
      </c>
      <c r="AW124" s="26">
        <f>IFERROR(__xludf.DUMMYFUNCTION("""COMPUTED_VALUE"""),99.44)</f>
        <v>99.44</v>
      </c>
      <c r="AX124" s="26">
        <f>IFERROR(__xludf.DUMMYFUNCTION("""COMPUTED_VALUE"""),46.3)</f>
        <v>46.3</v>
      </c>
      <c r="AY124" s="26">
        <f>IFERROR(__xludf.DUMMYFUNCTION("""COMPUTED_VALUE"""),41.41)</f>
        <v>41.41</v>
      </c>
      <c r="AZ124" s="26">
        <f>IFERROR(__xludf.DUMMYFUNCTION("""COMPUTED_VALUE"""),78.13)</f>
        <v>78.13</v>
      </c>
      <c r="BA124" s="26">
        <f>IFERROR(__xludf.DUMMYFUNCTION("""COMPUTED_VALUE"""),27.76)</f>
        <v>27.76</v>
      </c>
      <c r="BB124" s="26">
        <f>IFERROR(__xludf.DUMMYFUNCTION("""COMPUTED_VALUE"""),118.0)</f>
        <v>118</v>
      </c>
      <c r="BC124" s="26">
        <f>IFERROR(__xludf.DUMMYFUNCTION("""COMPUTED_VALUE"""),224.25)</f>
        <v>224.25</v>
      </c>
      <c r="BD124" s="26">
        <f>IFERROR(__xludf.DUMMYFUNCTION("""COMPUTED_VALUE"""),555.47)</f>
        <v>555.47</v>
      </c>
      <c r="BE124" s="26">
        <f>IFERROR(__xludf.DUMMYFUNCTION("""COMPUTED_VALUE"""),172.7)</f>
        <v>172.7</v>
      </c>
      <c r="BF124" s="26">
        <f>IFERROR(__xludf.DUMMYFUNCTION("""COMPUTED_VALUE"""),84.97)</f>
        <v>84.97</v>
      </c>
      <c r="BG124" s="26">
        <f>IFERROR(__xludf.DUMMYFUNCTION("""COMPUTED_VALUE"""),8.64)</f>
        <v>8.64</v>
      </c>
      <c r="BH124" s="26">
        <f>IFERROR(__xludf.DUMMYFUNCTION("""COMPUTED_VALUE"""),229.91)</f>
        <v>229.91</v>
      </c>
      <c r="BI124" s="26">
        <f>IFERROR(__xludf.DUMMYFUNCTION("""COMPUTED_VALUE"""),557.77)</f>
        <v>557.77</v>
      </c>
      <c r="BJ124" s="26">
        <f>IFERROR(__xludf.DUMMYFUNCTION("""COMPUTED_VALUE"""),48.72)</f>
        <v>48.72</v>
      </c>
      <c r="BK124" s="26">
        <f>IFERROR(__xludf.DUMMYFUNCTION("""COMPUTED_VALUE"""),11.45)</f>
        <v>11.45</v>
      </c>
      <c r="BL124" s="26">
        <f>IFERROR(__xludf.DUMMYFUNCTION("""COMPUTED_VALUE"""),214.24)</f>
        <v>214.24</v>
      </c>
      <c r="BM124" s="26">
        <f>IFERROR(__xludf.DUMMYFUNCTION("""COMPUTED_VALUE"""),95.79)</f>
        <v>95.79</v>
      </c>
      <c r="BN124" s="27">
        <v>36538.0</v>
      </c>
    </row>
    <row r="125">
      <c r="A125" s="25">
        <v>45602.66666666667</v>
      </c>
      <c r="B125" s="17">
        <f>IFERROR(__xludf.DUMMYFUNCTION("""COMPUTED_VALUE"""),5782.76)</f>
        <v>5782.76</v>
      </c>
      <c r="C125" s="17">
        <f>IFERROR(__xludf.DUMMYFUNCTION("""COMPUTED_VALUE"""),18439.17)</f>
        <v>18439.17</v>
      </c>
      <c r="D125" s="17">
        <f>IFERROR(__xludf.DUMMYFUNCTION("""COMPUTED_VALUE"""),42221.88)</f>
        <v>42221.88</v>
      </c>
      <c r="E125" s="17">
        <f>IFERROR(__xludf.DUMMYFUNCTION("""COMPUTED_VALUE"""),2260.84)</f>
        <v>2260.84</v>
      </c>
      <c r="F125" s="26">
        <f>IFERROR(__xludf.DUMMYFUNCTION("""COMPUTED_VALUE"""),486.42)</f>
        <v>486.42</v>
      </c>
      <c r="G125" s="26">
        <f>IFERROR(__xludf.DUMMYFUNCTION("""COMPUTED_VALUE"""),199.5)</f>
        <v>199.5</v>
      </c>
      <c r="H125" s="26">
        <f>IFERROR(__xludf.DUMMYFUNCTION("""COMPUTED_VALUE"""),137.11)</f>
        <v>137.11</v>
      </c>
      <c r="I125" s="26">
        <f>IFERROR(__xludf.DUMMYFUNCTION("""COMPUTED_VALUE"""),223.45)</f>
        <v>223.45</v>
      </c>
      <c r="J125" s="26">
        <f>IFERROR(__xludf.DUMMYFUNCTION("""COMPUTED_VALUE"""),186.48)</f>
        <v>186.48</v>
      </c>
      <c r="K125" s="26">
        <f>IFERROR(__xludf.DUMMYFUNCTION("""COMPUTED_VALUE"""),76.01)</f>
        <v>76.01</v>
      </c>
      <c r="L125" s="26">
        <f>IFERROR(__xludf.DUMMYFUNCTION("""COMPUTED_VALUE"""),12.86)</f>
        <v>12.86</v>
      </c>
      <c r="M125" s="26">
        <f>IFERROR(__xludf.DUMMYFUNCTION("""COMPUTED_VALUE"""),445.06)</f>
        <v>445.06</v>
      </c>
      <c r="N125" s="26">
        <f>IFERROR(__xludf.DUMMYFUNCTION("""COMPUTED_VALUE"""),56.68)</f>
        <v>56.68</v>
      </c>
      <c r="O125" s="26">
        <f>IFERROR(__xludf.DUMMYFUNCTION("""COMPUTED_VALUE"""),176.93)</f>
        <v>176.93</v>
      </c>
      <c r="P125" s="26">
        <f>IFERROR(__xludf.DUMMYFUNCTION("""COMPUTED_VALUE"""),73.9)</f>
        <v>73.9</v>
      </c>
      <c r="Q125" s="26">
        <f>IFERROR(__xludf.DUMMYFUNCTION("""COMPUTED_VALUE"""),383.37)</f>
        <v>383.37</v>
      </c>
      <c r="R125" s="26">
        <f>IFERROR(__xludf.DUMMYFUNCTION("""COMPUTED_VALUE"""),51.26)</f>
        <v>51.26</v>
      </c>
      <c r="S125" s="26">
        <f>IFERROR(__xludf.DUMMYFUNCTION("""COMPUTED_VALUE"""),171.04)</f>
        <v>171.04</v>
      </c>
      <c r="T125" s="26">
        <f>IFERROR(__xludf.DUMMYFUNCTION("""COMPUTED_VALUE"""),153.41)</f>
        <v>153.41</v>
      </c>
      <c r="U125" s="26">
        <f>IFERROR(__xludf.DUMMYFUNCTION("""COMPUTED_VALUE"""),318.39)</f>
        <v>318.39</v>
      </c>
      <c r="V125" s="26">
        <f>IFERROR(__xludf.DUMMYFUNCTION("""COMPUTED_VALUE"""),42.22)</f>
        <v>42.22</v>
      </c>
      <c r="W125" s="26">
        <f>IFERROR(__xludf.DUMMYFUNCTION("""COMPUTED_VALUE"""),65.37)</f>
        <v>65.37</v>
      </c>
      <c r="X125" s="26">
        <f>IFERROR(__xludf.DUMMYFUNCTION("""COMPUTED_VALUE"""),99.82)</f>
        <v>99.82</v>
      </c>
      <c r="Y125" s="26">
        <f>IFERROR(__xludf.DUMMYFUNCTION("""COMPUTED_VALUE"""),181.02)</f>
        <v>181.02</v>
      </c>
      <c r="Z125" s="26">
        <f>IFERROR(__xludf.DUMMYFUNCTION("""COMPUTED_VALUE"""),66.77)</f>
        <v>66.77</v>
      </c>
      <c r="AA125" s="26">
        <f>IFERROR(__xludf.DUMMYFUNCTION("""COMPUTED_VALUE"""),428.0)</f>
        <v>428</v>
      </c>
      <c r="AB125" s="26">
        <f>IFERROR(__xludf.DUMMYFUNCTION("""COMPUTED_VALUE"""),61.51)</f>
        <v>61.51</v>
      </c>
      <c r="AC125" s="26">
        <f>IFERROR(__xludf.DUMMYFUNCTION("""COMPUTED_VALUE"""),118.96)</f>
        <v>118.96</v>
      </c>
      <c r="AD125" s="26">
        <f>IFERROR(__xludf.DUMMYFUNCTION("""COMPUTED_VALUE"""),275.42)</f>
        <v>275.42</v>
      </c>
      <c r="AE125" s="26">
        <f>IFERROR(__xludf.DUMMYFUNCTION("""COMPUTED_VALUE"""),441.0)</f>
        <v>441</v>
      </c>
      <c r="AF125" s="26">
        <f>IFERROR(__xludf.DUMMYFUNCTION("""COMPUTED_VALUE"""),296.65)</f>
        <v>296.65</v>
      </c>
      <c r="AG125" s="26">
        <f>IFERROR(__xludf.DUMMYFUNCTION("""COMPUTED_VALUE"""),53.7)</f>
        <v>53.7</v>
      </c>
      <c r="AH125" s="26">
        <f>IFERROR(__xludf.DUMMYFUNCTION("""COMPUTED_VALUE"""),90.22)</f>
        <v>90.22</v>
      </c>
      <c r="AI125" s="26">
        <f>IFERROR(__xludf.DUMMYFUNCTION("""COMPUTED_VALUE"""),526.96)</f>
        <v>526.96</v>
      </c>
      <c r="AJ125" s="26">
        <f>IFERROR(__xludf.DUMMYFUNCTION("""COMPUTED_VALUE"""),400.09)</f>
        <v>400.09</v>
      </c>
      <c r="AK125" s="26">
        <f>IFERROR(__xludf.DUMMYFUNCTION("""COMPUTED_VALUE"""),120.32)</f>
        <v>120.32</v>
      </c>
      <c r="AL125" s="26">
        <f>IFERROR(__xludf.DUMMYFUNCTION("""COMPUTED_VALUE"""),157.85)</f>
        <v>157.85</v>
      </c>
      <c r="AM125" s="26">
        <f>IFERROR(__xludf.DUMMYFUNCTION("""COMPUTED_VALUE"""),515.17)</f>
        <v>515.17</v>
      </c>
      <c r="AN125" s="26">
        <f>IFERROR(__xludf.DUMMYFUNCTION("""COMPUTED_VALUE"""),221.49)</f>
        <v>221.49</v>
      </c>
      <c r="AO125" s="26">
        <f>IFERROR(__xludf.DUMMYFUNCTION("""COMPUTED_VALUE"""),546.75)</f>
        <v>546.75</v>
      </c>
      <c r="AP125" s="26">
        <f>IFERROR(__xludf.DUMMYFUNCTION("""COMPUTED_VALUE"""),319.23)</f>
        <v>319.23</v>
      </c>
      <c r="AQ125" s="26">
        <f>IFERROR(__xludf.DUMMYFUNCTION("""COMPUTED_VALUE"""),29.99)</f>
        <v>29.99</v>
      </c>
      <c r="AR125" s="26">
        <f>IFERROR(__xludf.DUMMYFUNCTION("""COMPUTED_VALUE"""),89.68)</f>
        <v>89.68</v>
      </c>
      <c r="AS125" s="26">
        <f>IFERROR(__xludf.DUMMYFUNCTION("""COMPUTED_VALUE"""),78.15)</f>
        <v>78.15</v>
      </c>
      <c r="AT125" s="26">
        <f>IFERROR(__xludf.DUMMYFUNCTION("""COMPUTED_VALUE"""),411.46)</f>
        <v>411.46</v>
      </c>
      <c r="AU125" s="26">
        <f>IFERROR(__xludf.DUMMYFUNCTION("""COMPUTED_VALUE"""),78.65)</f>
        <v>78.65</v>
      </c>
      <c r="AV125" s="26">
        <f>IFERROR(__xludf.DUMMYFUNCTION("""COMPUTED_VALUE"""),139.91)</f>
        <v>139.91</v>
      </c>
      <c r="AW125" s="26">
        <f>IFERROR(__xludf.DUMMYFUNCTION("""COMPUTED_VALUE"""),100.16)</f>
        <v>100.16</v>
      </c>
      <c r="AX125" s="26">
        <f>IFERROR(__xludf.DUMMYFUNCTION("""COMPUTED_VALUE"""),47.88)</f>
        <v>47.88</v>
      </c>
      <c r="AY125" s="26">
        <f>IFERROR(__xludf.DUMMYFUNCTION("""COMPUTED_VALUE"""),51.13)</f>
        <v>51.13</v>
      </c>
      <c r="AZ125" s="26">
        <f>IFERROR(__xludf.DUMMYFUNCTION("""COMPUTED_VALUE"""),79.25)</f>
        <v>79.25</v>
      </c>
      <c r="BA125" s="26">
        <f>IFERROR(__xludf.DUMMYFUNCTION("""COMPUTED_VALUE"""),27.99)</f>
        <v>27.99</v>
      </c>
      <c r="BB125" s="26">
        <f>IFERROR(__xludf.DUMMYFUNCTION("""COMPUTED_VALUE"""),118.98)</f>
        <v>118.98</v>
      </c>
      <c r="BC125" s="26">
        <f>IFERROR(__xludf.DUMMYFUNCTION("""COMPUTED_VALUE"""),227.11)</f>
        <v>227.11</v>
      </c>
      <c r="BD125" s="26">
        <f>IFERROR(__xludf.DUMMYFUNCTION("""COMPUTED_VALUE"""),560.79)</f>
        <v>560.79</v>
      </c>
      <c r="BE125" s="26">
        <f>IFERROR(__xludf.DUMMYFUNCTION("""COMPUTED_VALUE"""),174.73)</f>
        <v>174.73</v>
      </c>
      <c r="BF125" s="26">
        <f>IFERROR(__xludf.DUMMYFUNCTION("""COMPUTED_VALUE"""),83.0)</f>
        <v>83</v>
      </c>
      <c r="BG125" s="26">
        <f>IFERROR(__xludf.DUMMYFUNCTION("""COMPUTED_VALUE"""),8.86)</f>
        <v>8.86</v>
      </c>
      <c r="BH125" s="26">
        <f>IFERROR(__xludf.DUMMYFUNCTION("""COMPUTED_VALUE"""),233.87)</f>
        <v>233.87</v>
      </c>
      <c r="BI125" s="26">
        <f>IFERROR(__xludf.DUMMYFUNCTION("""COMPUTED_VALUE"""),567.03)</f>
        <v>567.03</v>
      </c>
      <c r="BJ125" s="26">
        <f>IFERROR(__xludf.DUMMYFUNCTION("""COMPUTED_VALUE"""),48.72)</f>
        <v>48.72</v>
      </c>
      <c r="BK125" s="26">
        <f>IFERROR(__xludf.DUMMYFUNCTION("""COMPUTED_VALUE"""),11.61)</f>
        <v>11.61</v>
      </c>
      <c r="BL125" s="26">
        <f>IFERROR(__xludf.DUMMYFUNCTION("""COMPUTED_VALUE"""),215.88)</f>
        <v>215.88</v>
      </c>
      <c r="BM125" s="26">
        <f>IFERROR(__xludf.DUMMYFUNCTION("""COMPUTED_VALUE"""),96.63)</f>
        <v>96.63</v>
      </c>
    </row>
    <row r="126">
      <c r="A126" s="25">
        <v>45603.66666666667</v>
      </c>
      <c r="B126" s="17">
        <f>IFERROR(__xludf.DUMMYFUNCTION("""COMPUTED_VALUE"""),5929.04)</f>
        <v>5929.04</v>
      </c>
      <c r="C126" s="17">
        <f>IFERROR(__xludf.DUMMYFUNCTION("""COMPUTED_VALUE"""),18983.47)</f>
        <v>18983.47</v>
      </c>
      <c r="D126" s="17">
        <f>IFERROR(__xludf.DUMMYFUNCTION("""COMPUTED_VALUE"""),43729.93)</f>
        <v>43729.93</v>
      </c>
      <c r="E126" s="17">
        <f>IFERROR(__xludf.DUMMYFUNCTION("""COMPUTED_VALUE"""),2392.92)</f>
        <v>2392.92</v>
      </c>
      <c r="F126" s="26">
        <f>IFERROR(__xludf.DUMMYFUNCTION("""COMPUTED_VALUE"""),504.83)</f>
        <v>504.83</v>
      </c>
      <c r="G126" s="26">
        <f>IFERROR(__xludf.DUMMYFUNCTION("""COMPUTED_VALUE"""),207.09)</f>
        <v>207.09</v>
      </c>
      <c r="H126" s="26">
        <f>IFERROR(__xludf.DUMMYFUNCTION("""COMPUTED_VALUE"""),133.58)</f>
        <v>133.58</v>
      </c>
      <c r="I126" s="26">
        <f>IFERROR(__xludf.DUMMYFUNCTION("""COMPUTED_VALUE"""),222.72)</f>
        <v>222.72</v>
      </c>
      <c r="J126" s="26">
        <f>IFERROR(__xludf.DUMMYFUNCTION("""COMPUTED_VALUE"""),187.52)</f>
        <v>187.52</v>
      </c>
      <c r="K126" s="26">
        <f>IFERROR(__xludf.DUMMYFUNCTION("""COMPUTED_VALUE"""),78.2)</f>
        <v>78.2</v>
      </c>
      <c r="L126" s="26">
        <f>IFERROR(__xludf.DUMMYFUNCTION("""COMPUTED_VALUE"""),13.49)</f>
        <v>13.49</v>
      </c>
      <c r="M126" s="26">
        <f>IFERROR(__xludf.DUMMYFUNCTION("""COMPUTED_VALUE"""),468.9)</f>
        <v>468.9</v>
      </c>
      <c r="N126" s="26">
        <f>IFERROR(__xludf.DUMMYFUNCTION("""COMPUTED_VALUE"""),55.94)</f>
        <v>55.94</v>
      </c>
      <c r="O126" s="26">
        <f>IFERROR(__xludf.DUMMYFUNCTION("""COMPUTED_VALUE"""),174.4)</f>
        <v>174.4</v>
      </c>
      <c r="P126" s="26">
        <f>IFERROR(__xludf.DUMMYFUNCTION("""COMPUTED_VALUE"""),75.38)</f>
        <v>75.38</v>
      </c>
      <c r="Q126" s="26">
        <f>IFERROR(__xludf.DUMMYFUNCTION("""COMPUTED_VALUE"""),416.88)</f>
        <v>416.88</v>
      </c>
      <c r="R126" s="26">
        <f>IFERROR(__xludf.DUMMYFUNCTION("""COMPUTED_VALUE"""),51.21)</f>
        <v>51.21</v>
      </c>
      <c r="S126" s="26">
        <f>IFERROR(__xludf.DUMMYFUNCTION("""COMPUTED_VALUE"""),174.01)</f>
        <v>174.01</v>
      </c>
      <c r="T126" s="26">
        <f>IFERROR(__xludf.DUMMYFUNCTION("""COMPUTED_VALUE"""),157.72)</f>
        <v>157.72</v>
      </c>
      <c r="U126" s="26">
        <f>IFERROR(__xludf.DUMMYFUNCTION("""COMPUTED_VALUE"""),315.22)</f>
        <v>315.22</v>
      </c>
      <c r="V126" s="26">
        <f>IFERROR(__xludf.DUMMYFUNCTION("""COMPUTED_VALUE"""),48.31)</f>
        <v>48.31</v>
      </c>
      <c r="W126" s="26">
        <f>IFERROR(__xludf.DUMMYFUNCTION("""COMPUTED_VALUE"""),63.7)</f>
        <v>63.7</v>
      </c>
      <c r="X126" s="26">
        <f>IFERROR(__xludf.DUMMYFUNCTION("""COMPUTED_VALUE"""),98.96)</f>
        <v>98.96</v>
      </c>
      <c r="Y126" s="26">
        <f>IFERROR(__xludf.DUMMYFUNCTION("""COMPUTED_VALUE"""),173.62)</f>
        <v>173.62</v>
      </c>
      <c r="Z126" s="26">
        <f>IFERROR(__xludf.DUMMYFUNCTION("""COMPUTED_VALUE"""),62.41)</f>
        <v>62.41</v>
      </c>
      <c r="AA126" s="26">
        <f>IFERROR(__xludf.DUMMYFUNCTION("""COMPUTED_VALUE"""),441.95)</f>
        <v>441.95</v>
      </c>
      <c r="AB126" s="26">
        <f>IFERROR(__xludf.DUMMYFUNCTION("""COMPUTED_VALUE"""),61.08)</f>
        <v>61.08</v>
      </c>
      <c r="AC126" s="26">
        <f>IFERROR(__xludf.DUMMYFUNCTION("""COMPUTED_VALUE"""),121.0)</f>
        <v>121</v>
      </c>
      <c r="AD126" s="26">
        <f>IFERROR(__xludf.DUMMYFUNCTION("""COMPUTED_VALUE"""),280.06)</f>
        <v>280.06</v>
      </c>
      <c r="AE126" s="26">
        <f>IFERROR(__xludf.DUMMYFUNCTION("""COMPUTED_VALUE"""),443.0)</f>
        <v>443</v>
      </c>
      <c r="AF126" s="26">
        <f>IFERROR(__xludf.DUMMYFUNCTION("""COMPUTED_VALUE"""),308.46)</f>
        <v>308.46</v>
      </c>
      <c r="AG126" s="26">
        <f>IFERROR(__xludf.DUMMYFUNCTION("""COMPUTED_VALUE"""),55.05)</f>
        <v>55.05</v>
      </c>
      <c r="AH126" s="26">
        <f>IFERROR(__xludf.DUMMYFUNCTION("""COMPUTED_VALUE"""),91.69)</f>
        <v>91.69</v>
      </c>
      <c r="AI126" s="26">
        <f>IFERROR(__xludf.DUMMYFUNCTION("""COMPUTED_VALUE"""),595.98)</f>
        <v>595.98</v>
      </c>
      <c r="AJ126" s="26">
        <f>IFERROR(__xludf.DUMMYFUNCTION("""COMPUTED_VALUE"""),388.37)</f>
        <v>388.37</v>
      </c>
      <c r="AK126" s="26">
        <f>IFERROR(__xludf.DUMMYFUNCTION("""COMPUTED_VALUE"""),128.13)</f>
        <v>128.13</v>
      </c>
      <c r="AL126" s="26">
        <f>IFERROR(__xludf.DUMMYFUNCTION("""COMPUTED_VALUE"""),155.79)</f>
        <v>155.79</v>
      </c>
      <c r="AM126" s="26">
        <f>IFERROR(__xludf.DUMMYFUNCTION("""COMPUTED_VALUE"""),515.55)</f>
        <v>515.55</v>
      </c>
      <c r="AN126" s="26">
        <f>IFERROR(__xludf.DUMMYFUNCTION("""COMPUTED_VALUE"""),247.06)</f>
        <v>247.06</v>
      </c>
      <c r="AO126" s="26">
        <f>IFERROR(__xludf.DUMMYFUNCTION("""COMPUTED_VALUE"""),551.82)</f>
        <v>551.82</v>
      </c>
      <c r="AP126" s="26">
        <f>IFERROR(__xludf.DUMMYFUNCTION("""COMPUTED_VALUE"""),313.14)</f>
        <v>313.14</v>
      </c>
      <c r="AQ126" s="26">
        <f>IFERROR(__xludf.DUMMYFUNCTION("""COMPUTED_VALUE"""),31.3)</f>
        <v>31.3</v>
      </c>
      <c r="AR126" s="26">
        <f>IFERROR(__xludf.DUMMYFUNCTION("""COMPUTED_VALUE"""),90.11)</f>
        <v>90.11</v>
      </c>
      <c r="AS126" s="26">
        <f>IFERROR(__xludf.DUMMYFUNCTION("""COMPUTED_VALUE"""),83.25)</f>
        <v>83.25</v>
      </c>
      <c r="AT126" s="26">
        <f>IFERROR(__xludf.DUMMYFUNCTION("""COMPUTED_VALUE"""),420.18)</f>
        <v>420.18</v>
      </c>
      <c r="AU126" s="26">
        <f>IFERROR(__xludf.DUMMYFUNCTION("""COMPUTED_VALUE"""),74.52)</f>
        <v>74.52</v>
      </c>
      <c r="AV126" s="26">
        <f>IFERROR(__xludf.DUMMYFUNCTION("""COMPUTED_VALUE"""),145.61)</f>
        <v>145.61</v>
      </c>
      <c r="AW126" s="26">
        <f>IFERROR(__xludf.DUMMYFUNCTION("""COMPUTED_VALUE"""),100.56)</f>
        <v>100.56</v>
      </c>
      <c r="AX126" s="26">
        <f>IFERROR(__xludf.DUMMYFUNCTION("""COMPUTED_VALUE"""),47.57)</f>
        <v>47.57</v>
      </c>
      <c r="AY126" s="26">
        <f>IFERROR(__xludf.DUMMYFUNCTION("""COMPUTED_VALUE"""),55.53)</f>
        <v>55.53</v>
      </c>
      <c r="AZ126" s="26">
        <f>IFERROR(__xludf.DUMMYFUNCTION("""COMPUTED_VALUE"""),81.41)</f>
        <v>81.41</v>
      </c>
      <c r="BA126" s="26">
        <f>IFERROR(__xludf.DUMMYFUNCTION("""COMPUTED_VALUE"""),27.36)</f>
        <v>27.36</v>
      </c>
      <c r="BB126" s="26">
        <f>IFERROR(__xludf.DUMMYFUNCTION("""COMPUTED_VALUE"""),121.59)</f>
        <v>121.59</v>
      </c>
      <c r="BC126" s="26">
        <f>IFERROR(__xludf.DUMMYFUNCTION("""COMPUTED_VALUE"""),232.19)</f>
        <v>232.19</v>
      </c>
      <c r="BD126" s="26">
        <f>IFERROR(__xludf.DUMMYFUNCTION("""COMPUTED_VALUE"""),559.68)</f>
        <v>559.68</v>
      </c>
      <c r="BE126" s="26">
        <f>IFERROR(__xludf.DUMMYFUNCTION("""COMPUTED_VALUE"""),175.15)</f>
        <v>175.15</v>
      </c>
      <c r="BF126" s="26">
        <f>IFERROR(__xludf.DUMMYFUNCTION("""COMPUTED_VALUE"""),86.35)</f>
        <v>86.35</v>
      </c>
      <c r="BG126" s="26">
        <f>IFERROR(__xludf.DUMMYFUNCTION("""COMPUTED_VALUE"""),8.75)</f>
        <v>8.75</v>
      </c>
      <c r="BH126" s="26">
        <f>IFERROR(__xludf.DUMMYFUNCTION("""COMPUTED_VALUE"""),248.49)</f>
        <v>248.49</v>
      </c>
      <c r="BI126" s="26">
        <f>IFERROR(__xludf.DUMMYFUNCTION("""COMPUTED_VALUE"""),596.69)</f>
        <v>596.69</v>
      </c>
      <c r="BJ126" s="26">
        <f>IFERROR(__xludf.DUMMYFUNCTION("""COMPUTED_VALUE"""),48.82)</f>
        <v>48.82</v>
      </c>
      <c r="BK126" s="26">
        <f>IFERROR(__xludf.DUMMYFUNCTION("""COMPUTED_VALUE"""),11.61)</f>
        <v>11.61</v>
      </c>
      <c r="BL126" s="26">
        <f>IFERROR(__xludf.DUMMYFUNCTION("""COMPUTED_VALUE"""),218.48)</f>
        <v>218.48</v>
      </c>
      <c r="BM126" s="26">
        <f>IFERROR(__xludf.DUMMYFUNCTION("""COMPUTED_VALUE"""),98.89)</f>
        <v>98.89</v>
      </c>
    </row>
    <row r="127">
      <c r="A127" s="25">
        <v>45604.66666666667</v>
      </c>
      <c r="B127" s="17">
        <f>IFERROR(__xludf.DUMMYFUNCTION("""COMPUTED_VALUE"""),5973.1)</f>
        <v>5973.1</v>
      </c>
      <c r="C127" s="17">
        <f>IFERROR(__xludf.DUMMYFUNCTION("""COMPUTED_VALUE"""),19269.46)</f>
        <v>19269.46</v>
      </c>
      <c r="D127" s="17">
        <f>IFERROR(__xludf.DUMMYFUNCTION("""COMPUTED_VALUE"""),43729.34)</f>
        <v>43729.34</v>
      </c>
      <c r="E127" s="17">
        <f>IFERROR(__xludf.DUMMYFUNCTION("""COMPUTED_VALUE"""),2382.69)</f>
        <v>2382.69</v>
      </c>
      <c r="F127" s="26">
        <f>IFERROR(__xludf.DUMMYFUNCTION("""COMPUTED_VALUE"""),500.92)</f>
        <v>500.92</v>
      </c>
      <c r="G127" s="26">
        <f>IFERROR(__xludf.DUMMYFUNCTION("""COMPUTED_VALUE"""),210.05)</f>
        <v>210.05</v>
      </c>
      <c r="H127" s="26">
        <f>IFERROR(__xludf.DUMMYFUNCTION("""COMPUTED_VALUE"""),132.84)</f>
        <v>132.84</v>
      </c>
      <c r="I127" s="26">
        <f>IFERROR(__xludf.DUMMYFUNCTION("""COMPUTED_VALUE"""),227.48)</f>
        <v>227.48</v>
      </c>
      <c r="J127" s="26">
        <f>IFERROR(__xludf.DUMMYFUNCTION("""COMPUTED_VALUE"""),194.09)</f>
        <v>194.09</v>
      </c>
      <c r="K127" s="26">
        <f>IFERROR(__xludf.DUMMYFUNCTION("""COMPUTED_VALUE"""),77.69)</f>
        <v>77.69</v>
      </c>
      <c r="L127" s="26">
        <f>IFERROR(__xludf.DUMMYFUNCTION("""COMPUTED_VALUE"""),13.27)</f>
        <v>13.27</v>
      </c>
      <c r="M127" s="26">
        <f>IFERROR(__xludf.DUMMYFUNCTION("""COMPUTED_VALUE"""),460.13)</f>
        <v>460.13</v>
      </c>
      <c r="N127" s="26">
        <f>IFERROR(__xludf.DUMMYFUNCTION("""COMPUTED_VALUE"""),57.75)</f>
        <v>57.75</v>
      </c>
      <c r="O127" s="26">
        <f>IFERROR(__xludf.DUMMYFUNCTION("""COMPUTED_VALUE"""),173.92)</f>
        <v>173.92</v>
      </c>
      <c r="P127" s="26">
        <f>IFERROR(__xludf.DUMMYFUNCTION("""COMPUTED_VALUE"""),75.13)</f>
        <v>75.13</v>
      </c>
      <c r="Q127" s="26">
        <f>IFERROR(__xludf.DUMMYFUNCTION("""COMPUTED_VALUE"""),408.21)</f>
        <v>408.21</v>
      </c>
      <c r="R127" s="26">
        <f>IFERROR(__xludf.DUMMYFUNCTION("""COMPUTED_VALUE"""),53.58)</f>
        <v>53.58</v>
      </c>
      <c r="S127" s="26">
        <f>IFERROR(__xludf.DUMMYFUNCTION("""COMPUTED_VALUE"""),176.87)</f>
        <v>176.87</v>
      </c>
      <c r="T127" s="26">
        <f>IFERROR(__xludf.DUMMYFUNCTION("""COMPUTED_VALUE"""),156.77)</f>
        <v>156.77</v>
      </c>
      <c r="U127" s="26">
        <f>IFERROR(__xludf.DUMMYFUNCTION("""COMPUTED_VALUE"""),319.49)</f>
        <v>319.49</v>
      </c>
      <c r="V127" s="26">
        <f>IFERROR(__xludf.DUMMYFUNCTION("""COMPUTED_VALUE"""),46.03)</f>
        <v>46.03</v>
      </c>
      <c r="W127" s="26">
        <f>IFERROR(__xludf.DUMMYFUNCTION("""COMPUTED_VALUE"""),63.66)</f>
        <v>63.66</v>
      </c>
      <c r="X127" s="26">
        <f>IFERROR(__xludf.DUMMYFUNCTION("""COMPUTED_VALUE"""),97.58)</f>
        <v>97.58</v>
      </c>
      <c r="Y127" s="26">
        <f>IFERROR(__xludf.DUMMYFUNCTION("""COMPUTED_VALUE"""),178.47)</f>
        <v>178.47</v>
      </c>
      <c r="Z127" s="26">
        <f>IFERROR(__xludf.DUMMYFUNCTION("""COMPUTED_VALUE"""),63.54)</f>
        <v>63.54</v>
      </c>
      <c r="AA127" s="26">
        <f>IFERROR(__xludf.DUMMYFUNCTION("""COMPUTED_VALUE"""),448.44)</f>
        <v>448.44</v>
      </c>
      <c r="AB127" s="26">
        <f>IFERROR(__xludf.DUMMYFUNCTION("""COMPUTED_VALUE"""),62.02)</f>
        <v>62.02</v>
      </c>
      <c r="AC127" s="26">
        <f>IFERROR(__xludf.DUMMYFUNCTION("""COMPUTED_VALUE"""),121.15)</f>
        <v>121.15</v>
      </c>
      <c r="AD127" s="26">
        <f>IFERROR(__xludf.DUMMYFUNCTION("""COMPUTED_VALUE"""),283.21)</f>
        <v>283.21</v>
      </c>
      <c r="AE127" s="26">
        <f>IFERROR(__xludf.DUMMYFUNCTION("""COMPUTED_VALUE"""),452.66)</f>
        <v>452.66</v>
      </c>
      <c r="AF127" s="26">
        <f>IFERROR(__xludf.DUMMYFUNCTION("""COMPUTED_VALUE"""),306.0)</f>
        <v>306</v>
      </c>
      <c r="AG127" s="26">
        <f>IFERROR(__xludf.DUMMYFUNCTION("""COMPUTED_VALUE"""),55.39)</f>
        <v>55.39</v>
      </c>
      <c r="AH127" s="26">
        <f>IFERROR(__xludf.DUMMYFUNCTION("""COMPUTED_VALUE"""),97.9)</f>
        <v>97.9</v>
      </c>
      <c r="AI127" s="26">
        <f>IFERROR(__xludf.DUMMYFUNCTION("""COMPUTED_VALUE"""),582.17)</f>
        <v>582.17</v>
      </c>
      <c r="AJ127" s="26">
        <f>IFERROR(__xludf.DUMMYFUNCTION("""COMPUTED_VALUE"""),399.44)</f>
        <v>399.44</v>
      </c>
      <c r="AK127" s="26">
        <f>IFERROR(__xludf.DUMMYFUNCTION("""COMPUTED_VALUE"""),127.66)</f>
        <v>127.66</v>
      </c>
      <c r="AL127" s="26">
        <f>IFERROR(__xludf.DUMMYFUNCTION("""COMPUTED_VALUE"""),156.11)</f>
        <v>156.11</v>
      </c>
      <c r="AM127" s="26">
        <f>IFERROR(__xludf.DUMMYFUNCTION("""COMPUTED_VALUE"""),524.28)</f>
        <v>524.28</v>
      </c>
      <c r="AN127" s="26">
        <f>IFERROR(__xludf.DUMMYFUNCTION("""COMPUTED_VALUE"""),236.38)</f>
        <v>236.38</v>
      </c>
      <c r="AO127" s="26">
        <f>IFERROR(__xludf.DUMMYFUNCTION("""COMPUTED_VALUE"""),551.84)</f>
        <v>551.84</v>
      </c>
      <c r="AP127" s="26">
        <f>IFERROR(__xludf.DUMMYFUNCTION("""COMPUTED_VALUE"""),315.3)</f>
        <v>315.3</v>
      </c>
      <c r="AQ127" s="26">
        <f>IFERROR(__xludf.DUMMYFUNCTION("""COMPUTED_VALUE"""),32.29)</f>
        <v>32.29</v>
      </c>
      <c r="AR127" s="26">
        <f>IFERROR(__xludf.DUMMYFUNCTION("""COMPUTED_VALUE"""),88.12)</f>
        <v>88.12</v>
      </c>
      <c r="AS127" s="26">
        <f>IFERROR(__xludf.DUMMYFUNCTION("""COMPUTED_VALUE"""),81.02)</f>
        <v>81.02</v>
      </c>
      <c r="AT127" s="26">
        <f>IFERROR(__xludf.DUMMYFUNCTION("""COMPUTED_VALUE"""),425.43)</f>
        <v>425.43</v>
      </c>
      <c r="AU127" s="26">
        <f>IFERROR(__xludf.DUMMYFUNCTION("""COMPUTED_VALUE"""),74.62)</f>
        <v>74.62</v>
      </c>
      <c r="AV127" s="26">
        <f>IFERROR(__xludf.DUMMYFUNCTION("""COMPUTED_VALUE"""),148.88)</f>
        <v>148.88</v>
      </c>
      <c r="AW127" s="26">
        <f>IFERROR(__xludf.DUMMYFUNCTION("""COMPUTED_VALUE"""),100.94)</f>
        <v>100.94</v>
      </c>
      <c r="AX127" s="26">
        <f>IFERROR(__xludf.DUMMYFUNCTION("""COMPUTED_VALUE"""),50.38)</f>
        <v>50.38</v>
      </c>
      <c r="AY127" s="26">
        <f>IFERROR(__xludf.DUMMYFUNCTION("""COMPUTED_VALUE"""),55.88)</f>
        <v>55.88</v>
      </c>
      <c r="AZ127" s="26">
        <f>IFERROR(__xludf.DUMMYFUNCTION("""COMPUTED_VALUE"""),81.35)</f>
        <v>81.35</v>
      </c>
      <c r="BA127" s="26">
        <f>IFERROR(__xludf.DUMMYFUNCTION("""COMPUTED_VALUE"""),27.46)</f>
        <v>27.46</v>
      </c>
      <c r="BB127" s="26">
        <f>IFERROR(__xludf.DUMMYFUNCTION("""COMPUTED_VALUE"""),120.08)</f>
        <v>120.08</v>
      </c>
      <c r="BC127" s="26">
        <f>IFERROR(__xludf.DUMMYFUNCTION("""COMPUTED_VALUE"""),231.49)</f>
        <v>231.49</v>
      </c>
      <c r="BD127" s="26">
        <f>IFERROR(__xludf.DUMMYFUNCTION("""COMPUTED_VALUE"""),555.89)</f>
        <v>555.89</v>
      </c>
      <c r="BE127" s="26">
        <f>IFERROR(__xludf.DUMMYFUNCTION("""COMPUTED_VALUE"""),178.45)</f>
        <v>178.45</v>
      </c>
      <c r="BF127" s="26">
        <f>IFERROR(__xludf.DUMMYFUNCTION("""COMPUTED_VALUE"""),85.5)</f>
        <v>85.5</v>
      </c>
      <c r="BG127" s="26">
        <f>IFERROR(__xludf.DUMMYFUNCTION("""COMPUTED_VALUE"""),11.13)</f>
        <v>11.13</v>
      </c>
      <c r="BH127" s="26">
        <f>IFERROR(__xludf.DUMMYFUNCTION("""COMPUTED_VALUE"""),242.56)</f>
        <v>242.56</v>
      </c>
      <c r="BI127" s="26">
        <f>IFERROR(__xludf.DUMMYFUNCTION("""COMPUTED_VALUE"""),605.45)</f>
        <v>605.45</v>
      </c>
      <c r="BJ127" s="26">
        <f>IFERROR(__xludf.DUMMYFUNCTION("""COMPUTED_VALUE"""),48.89)</f>
        <v>48.89</v>
      </c>
      <c r="BK127" s="26">
        <f>IFERROR(__xludf.DUMMYFUNCTION("""COMPUTED_VALUE"""),13.18)</f>
        <v>13.18</v>
      </c>
      <c r="BL127" s="26">
        <f>IFERROR(__xludf.DUMMYFUNCTION("""COMPUTED_VALUE"""),220.44)</f>
        <v>220.44</v>
      </c>
      <c r="BM127" s="26">
        <f>IFERROR(__xludf.DUMMYFUNCTION("""COMPUTED_VALUE"""),98.93)</f>
        <v>98.93</v>
      </c>
    </row>
    <row r="128">
      <c r="A128" s="25">
        <v>45607.66666666667</v>
      </c>
      <c r="B128" s="17">
        <f>IFERROR(__xludf.DUMMYFUNCTION("""COMPUTED_VALUE"""),5995.54)</f>
        <v>5995.54</v>
      </c>
      <c r="C128" s="17">
        <f>IFERROR(__xludf.DUMMYFUNCTION("""COMPUTED_VALUE"""),19286.78)</f>
        <v>19286.78</v>
      </c>
      <c r="D128" s="17">
        <f>IFERROR(__xludf.DUMMYFUNCTION("""COMPUTED_VALUE"""),43988.99)</f>
        <v>43988.99</v>
      </c>
      <c r="E128" s="17">
        <f>IFERROR(__xludf.DUMMYFUNCTION("""COMPUTED_VALUE"""),2399.64)</f>
        <v>2399.64</v>
      </c>
      <c r="F128" s="26">
        <f>IFERROR(__xludf.DUMMYFUNCTION("""COMPUTED_VALUE"""),494.68)</f>
        <v>494.68</v>
      </c>
      <c r="G128" s="26">
        <f>IFERROR(__xludf.DUMMYFUNCTION("""COMPUTED_VALUE"""),208.18)</f>
        <v>208.18</v>
      </c>
      <c r="H128" s="26">
        <f>IFERROR(__xludf.DUMMYFUNCTION("""COMPUTED_VALUE"""),136.09)</f>
        <v>136.09</v>
      </c>
      <c r="I128" s="26">
        <f>IFERROR(__xludf.DUMMYFUNCTION("""COMPUTED_VALUE"""),226.96)</f>
        <v>226.96</v>
      </c>
      <c r="J128" s="26">
        <f>IFERROR(__xludf.DUMMYFUNCTION("""COMPUTED_VALUE"""),192.03)</f>
        <v>192.03</v>
      </c>
      <c r="K128" s="26">
        <f>IFERROR(__xludf.DUMMYFUNCTION("""COMPUTED_VALUE"""),77.06)</f>
        <v>77.06</v>
      </c>
      <c r="L128" s="26">
        <f>IFERROR(__xludf.DUMMYFUNCTION("""COMPUTED_VALUE"""),13.09)</f>
        <v>13.09</v>
      </c>
      <c r="M128" s="26">
        <f>IFERROR(__xludf.DUMMYFUNCTION("""COMPUTED_VALUE"""),463.41)</f>
        <v>463.41</v>
      </c>
      <c r="N128" s="26">
        <f>IFERROR(__xludf.DUMMYFUNCTION("""COMPUTED_VALUE"""),55.19)</f>
        <v>55.19</v>
      </c>
      <c r="O128" s="26">
        <f>IFERROR(__xludf.DUMMYFUNCTION("""COMPUTED_VALUE"""),173.04)</f>
        <v>173.04</v>
      </c>
      <c r="P128" s="26">
        <f>IFERROR(__xludf.DUMMYFUNCTION("""COMPUTED_VALUE"""),76.68)</f>
        <v>76.68</v>
      </c>
      <c r="Q128" s="26">
        <f>IFERROR(__xludf.DUMMYFUNCTION("""COMPUTED_VALUE"""),393.37)</f>
        <v>393.37</v>
      </c>
      <c r="R128" s="26">
        <f>IFERROR(__xludf.DUMMYFUNCTION("""COMPUTED_VALUE"""),52.54)</f>
        <v>52.54</v>
      </c>
      <c r="S128" s="26">
        <f>IFERROR(__xludf.DUMMYFUNCTION("""COMPUTED_VALUE"""),176.03)</f>
        <v>176.03</v>
      </c>
      <c r="T128" s="26">
        <f>IFERROR(__xludf.DUMMYFUNCTION("""COMPUTED_VALUE"""),156.93)</f>
        <v>156.93</v>
      </c>
      <c r="U128" s="26">
        <f>IFERROR(__xludf.DUMMYFUNCTION("""COMPUTED_VALUE"""),319.77)</f>
        <v>319.77</v>
      </c>
      <c r="V128" s="26">
        <f>IFERROR(__xludf.DUMMYFUNCTION("""COMPUTED_VALUE"""),45.81)</f>
        <v>45.81</v>
      </c>
      <c r="W128" s="26">
        <f>IFERROR(__xludf.DUMMYFUNCTION("""COMPUTED_VALUE"""),63.92)</f>
        <v>63.92</v>
      </c>
      <c r="X128" s="26">
        <f>IFERROR(__xludf.DUMMYFUNCTION("""COMPUTED_VALUE"""),98.13)</f>
        <v>98.13</v>
      </c>
      <c r="Y128" s="26">
        <f>IFERROR(__xludf.DUMMYFUNCTION("""COMPUTED_VALUE"""),181.98)</f>
        <v>181.98</v>
      </c>
      <c r="Z128" s="26">
        <f>IFERROR(__xludf.DUMMYFUNCTION("""COMPUTED_VALUE"""),61.41)</f>
        <v>61.41</v>
      </c>
      <c r="AA128" s="26">
        <f>IFERROR(__xludf.DUMMYFUNCTION("""COMPUTED_VALUE"""),459.73)</f>
        <v>459.73</v>
      </c>
      <c r="AB128" s="26">
        <f>IFERROR(__xludf.DUMMYFUNCTION("""COMPUTED_VALUE"""),61.89)</f>
        <v>61.89</v>
      </c>
      <c r="AC128" s="26">
        <f>IFERROR(__xludf.DUMMYFUNCTION("""COMPUTED_VALUE"""),121.11)</f>
        <v>121.11</v>
      </c>
      <c r="AD128" s="26">
        <f>IFERROR(__xludf.DUMMYFUNCTION("""COMPUTED_VALUE"""),286.28)</f>
        <v>286.28</v>
      </c>
      <c r="AE128" s="26">
        <f>IFERROR(__xludf.DUMMYFUNCTION("""COMPUTED_VALUE"""),454.46)</f>
        <v>454.46</v>
      </c>
      <c r="AF128" s="26">
        <f>IFERROR(__xludf.DUMMYFUNCTION("""COMPUTED_VALUE"""),309.47)</f>
        <v>309.47</v>
      </c>
      <c r="AG128" s="26">
        <f>IFERROR(__xludf.DUMMYFUNCTION("""COMPUTED_VALUE"""),55.58)</f>
        <v>55.58</v>
      </c>
      <c r="AH128" s="26">
        <f>IFERROR(__xludf.DUMMYFUNCTION("""COMPUTED_VALUE"""),96.57)</f>
        <v>96.57</v>
      </c>
      <c r="AI128" s="26">
        <f>IFERROR(__xludf.DUMMYFUNCTION("""COMPUTED_VALUE"""),589.26)</f>
        <v>589.26</v>
      </c>
      <c r="AJ128" s="26">
        <f>IFERROR(__xludf.DUMMYFUNCTION("""COMPUTED_VALUE"""),405.9)</f>
        <v>405.9</v>
      </c>
      <c r="AK128" s="26">
        <f>IFERROR(__xludf.DUMMYFUNCTION("""COMPUTED_VALUE"""),127.43)</f>
        <v>127.43</v>
      </c>
      <c r="AL128" s="26">
        <f>IFERROR(__xludf.DUMMYFUNCTION("""COMPUTED_VALUE"""),156.42)</f>
        <v>156.42</v>
      </c>
      <c r="AM128" s="26">
        <f>IFERROR(__xludf.DUMMYFUNCTION("""COMPUTED_VALUE"""),536.45)</f>
        <v>536.45</v>
      </c>
      <c r="AN128" s="26">
        <f>IFERROR(__xludf.DUMMYFUNCTION("""COMPUTED_VALUE"""),236.98)</f>
        <v>236.98</v>
      </c>
      <c r="AO128" s="26">
        <f>IFERROR(__xludf.DUMMYFUNCTION("""COMPUTED_VALUE"""),564.56)</f>
        <v>564.56</v>
      </c>
      <c r="AP128" s="26">
        <f>IFERROR(__xludf.DUMMYFUNCTION("""COMPUTED_VALUE"""),308.53)</f>
        <v>308.53</v>
      </c>
      <c r="AQ128" s="26">
        <f>IFERROR(__xludf.DUMMYFUNCTION("""COMPUTED_VALUE"""),31.79)</f>
        <v>31.79</v>
      </c>
      <c r="AR128" s="26">
        <f>IFERROR(__xludf.DUMMYFUNCTION("""COMPUTED_VALUE"""),87.72)</f>
        <v>87.72</v>
      </c>
      <c r="AS128" s="26">
        <f>IFERROR(__xludf.DUMMYFUNCTION("""COMPUTED_VALUE"""),81.02)</f>
        <v>81.02</v>
      </c>
      <c r="AT128" s="26">
        <f>IFERROR(__xludf.DUMMYFUNCTION("""COMPUTED_VALUE"""),422.54)</f>
        <v>422.54</v>
      </c>
      <c r="AU128" s="26">
        <f>IFERROR(__xludf.DUMMYFUNCTION("""COMPUTED_VALUE"""),76.97)</f>
        <v>76.97</v>
      </c>
      <c r="AV128" s="26">
        <f>IFERROR(__xludf.DUMMYFUNCTION("""COMPUTED_VALUE"""),147.63)</f>
        <v>147.63</v>
      </c>
      <c r="AW128" s="26">
        <f>IFERROR(__xludf.DUMMYFUNCTION("""COMPUTED_VALUE"""),100.03)</f>
        <v>100.03</v>
      </c>
      <c r="AX128" s="26">
        <f>IFERROR(__xludf.DUMMYFUNCTION("""COMPUTED_VALUE"""),51.49)</f>
        <v>51.49</v>
      </c>
      <c r="AY128" s="26">
        <f>IFERROR(__xludf.DUMMYFUNCTION("""COMPUTED_VALUE"""),58.39)</f>
        <v>58.39</v>
      </c>
      <c r="AZ128" s="26">
        <f>IFERROR(__xludf.DUMMYFUNCTION("""COMPUTED_VALUE"""),83.01)</f>
        <v>83.01</v>
      </c>
      <c r="BA128" s="26">
        <f>IFERROR(__xludf.DUMMYFUNCTION("""COMPUTED_VALUE"""),26.72)</f>
        <v>26.72</v>
      </c>
      <c r="BB128" s="26">
        <f>IFERROR(__xludf.DUMMYFUNCTION("""COMPUTED_VALUE"""),123.55)</f>
        <v>123.55</v>
      </c>
      <c r="BC128" s="26">
        <f>IFERROR(__xludf.DUMMYFUNCTION("""COMPUTED_VALUE"""),235.31)</f>
        <v>235.31</v>
      </c>
      <c r="BD128" s="26">
        <f>IFERROR(__xludf.DUMMYFUNCTION("""COMPUTED_VALUE"""),551.74)</f>
        <v>551.74</v>
      </c>
      <c r="BE128" s="26">
        <f>IFERROR(__xludf.DUMMYFUNCTION("""COMPUTED_VALUE"""),172.03)</f>
        <v>172.03</v>
      </c>
      <c r="BF128" s="26">
        <f>IFERROR(__xludf.DUMMYFUNCTION("""COMPUTED_VALUE"""),85.98)</f>
        <v>85.98</v>
      </c>
      <c r="BG128" s="26">
        <f>IFERROR(__xludf.DUMMYFUNCTION("""COMPUTED_VALUE"""),9.68)</f>
        <v>9.68</v>
      </c>
      <c r="BH128" s="26">
        <f>IFERROR(__xludf.DUMMYFUNCTION("""COMPUTED_VALUE"""),241.49)</f>
        <v>241.49</v>
      </c>
      <c r="BI128" s="26">
        <f>IFERROR(__xludf.DUMMYFUNCTION("""COMPUTED_VALUE"""),615.81)</f>
        <v>615.81</v>
      </c>
      <c r="BJ128" s="26">
        <f>IFERROR(__xludf.DUMMYFUNCTION("""COMPUTED_VALUE"""),48.89)</f>
        <v>48.89</v>
      </c>
      <c r="BK128" s="26">
        <f>IFERROR(__xludf.DUMMYFUNCTION("""COMPUTED_VALUE"""),12.96)</f>
        <v>12.96</v>
      </c>
      <c r="BL128" s="26">
        <f>IFERROR(__xludf.DUMMYFUNCTION("""COMPUTED_VALUE"""),224.12)</f>
        <v>224.12</v>
      </c>
      <c r="BM128" s="26">
        <f>IFERROR(__xludf.DUMMYFUNCTION("""COMPUTED_VALUE"""),99.02)</f>
        <v>99.02</v>
      </c>
    </row>
    <row r="129">
      <c r="A129" s="25">
        <v>45608.66666666667</v>
      </c>
      <c r="B129" s="17">
        <f>IFERROR(__xludf.DUMMYFUNCTION("""COMPUTED_VALUE"""),6001.35)</f>
        <v>6001.35</v>
      </c>
      <c r="C129" s="17">
        <f>IFERROR(__xludf.DUMMYFUNCTION("""COMPUTED_VALUE"""),19298.76)</f>
        <v>19298.76</v>
      </c>
      <c r="D129" s="17">
        <f>IFERROR(__xludf.DUMMYFUNCTION("""COMPUTED_VALUE"""),44293.13)</f>
        <v>44293.13</v>
      </c>
      <c r="E129" s="17">
        <f>IFERROR(__xludf.DUMMYFUNCTION("""COMPUTED_VALUE"""),2434.98)</f>
        <v>2434.98</v>
      </c>
      <c r="F129" s="26">
        <f>IFERROR(__xludf.DUMMYFUNCTION("""COMPUTED_VALUE"""),504.48)</f>
        <v>504.48</v>
      </c>
      <c r="G129" s="26">
        <f>IFERROR(__xludf.DUMMYFUNCTION("""COMPUTED_VALUE"""),206.84)</f>
        <v>206.84</v>
      </c>
      <c r="H129" s="26">
        <f>IFERROR(__xludf.DUMMYFUNCTION("""COMPUTED_VALUE"""),134.77)</f>
        <v>134.77</v>
      </c>
      <c r="I129" s="26">
        <f>IFERROR(__xludf.DUMMYFUNCTION("""COMPUTED_VALUE"""),224.23)</f>
        <v>224.23</v>
      </c>
      <c r="J129" s="26">
        <f>IFERROR(__xludf.DUMMYFUNCTION("""COMPUTED_VALUE"""),188.56)</f>
        <v>188.56</v>
      </c>
      <c r="K129" s="26">
        <f>IFERROR(__xludf.DUMMYFUNCTION("""COMPUTED_VALUE"""),78.68)</f>
        <v>78.68</v>
      </c>
      <c r="L129" s="26">
        <f>IFERROR(__xludf.DUMMYFUNCTION("""COMPUTED_VALUE"""),13.48)</f>
        <v>13.48</v>
      </c>
      <c r="M129" s="26">
        <f>IFERROR(__xludf.DUMMYFUNCTION("""COMPUTED_VALUE"""),467.36)</f>
        <v>467.36</v>
      </c>
      <c r="N129" s="26">
        <f>IFERROR(__xludf.DUMMYFUNCTION("""COMPUTED_VALUE"""),53.53)</f>
        <v>53.53</v>
      </c>
      <c r="O129" s="26">
        <f>IFERROR(__xludf.DUMMYFUNCTION("""COMPUTED_VALUE"""),172.03)</f>
        <v>172.03</v>
      </c>
      <c r="P129" s="26">
        <f>IFERROR(__xludf.DUMMYFUNCTION("""COMPUTED_VALUE"""),76.29)</f>
        <v>76.29</v>
      </c>
      <c r="Q129" s="26">
        <f>IFERROR(__xludf.DUMMYFUNCTION("""COMPUTED_VALUE"""),396.54)</f>
        <v>396.54</v>
      </c>
      <c r="R129" s="26">
        <f>IFERROR(__xludf.DUMMYFUNCTION("""COMPUTED_VALUE"""),52.08)</f>
        <v>52.08</v>
      </c>
      <c r="S129" s="26">
        <f>IFERROR(__xludf.DUMMYFUNCTION("""COMPUTED_VALUE"""),178.26)</f>
        <v>178.26</v>
      </c>
      <c r="T129" s="26">
        <f>IFERROR(__xludf.DUMMYFUNCTION("""COMPUTED_VALUE"""),156.5)</f>
        <v>156.5</v>
      </c>
      <c r="U129" s="26">
        <f>IFERROR(__xludf.DUMMYFUNCTION("""COMPUTED_VALUE"""),343.06)</f>
        <v>343.06</v>
      </c>
      <c r="V129" s="26">
        <f>IFERROR(__xludf.DUMMYFUNCTION("""COMPUTED_VALUE"""),46.48)</f>
        <v>46.48</v>
      </c>
      <c r="W129" s="26">
        <f>IFERROR(__xludf.DUMMYFUNCTION("""COMPUTED_VALUE"""),63.36)</f>
        <v>63.36</v>
      </c>
      <c r="X129" s="26">
        <f>IFERROR(__xludf.DUMMYFUNCTION("""COMPUTED_VALUE"""),98.48)</f>
        <v>98.48</v>
      </c>
      <c r="Y129" s="26">
        <f>IFERROR(__xludf.DUMMYFUNCTION("""COMPUTED_VALUE"""),182.85)</f>
        <v>182.85</v>
      </c>
      <c r="Z129" s="26">
        <f>IFERROR(__xludf.DUMMYFUNCTION("""COMPUTED_VALUE"""),61.21)</f>
        <v>61.21</v>
      </c>
      <c r="AA129" s="26">
        <f>IFERROR(__xludf.DUMMYFUNCTION("""COMPUTED_VALUE"""),446.87)</f>
        <v>446.87</v>
      </c>
      <c r="AB129" s="26">
        <f>IFERROR(__xludf.DUMMYFUNCTION("""COMPUTED_VALUE"""),62.43)</f>
        <v>62.43</v>
      </c>
      <c r="AC129" s="26">
        <f>IFERROR(__xludf.DUMMYFUNCTION("""COMPUTED_VALUE"""),120.47)</f>
        <v>120.47</v>
      </c>
      <c r="AD129" s="26">
        <f>IFERROR(__xludf.DUMMYFUNCTION("""COMPUTED_VALUE"""),289.79)</f>
        <v>289.79</v>
      </c>
      <c r="AE129" s="26">
        <f>IFERROR(__xludf.DUMMYFUNCTION("""COMPUTED_VALUE"""),452.46)</f>
        <v>452.46</v>
      </c>
      <c r="AF129" s="26">
        <f>IFERROR(__xludf.DUMMYFUNCTION("""COMPUTED_VALUE"""),313.91)</f>
        <v>313.91</v>
      </c>
      <c r="AG129" s="26">
        <f>IFERROR(__xludf.DUMMYFUNCTION("""COMPUTED_VALUE"""),57.66)</f>
        <v>57.66</v>
      </c>
      <c r="AH129" s="26">
        <f>IFERROR(__xludf.DUMMYFUNCTION("""COMPUTED_VALUE"""),97.03)</f>
        <v>97.03</v>
      </c>
      <c r="AI129" s="26">
        <f>IFERROR(__xludf.DUMMYFUNCTION("""COMPUTED_VALUE"""),602.34)</f>
        <v>602.34</v>
      </c>
      <c r="AJ129" s="26">
        <f>IFERROR(__xludf.DUMMYFUNCTION("""COMPUTED_VALUE"""),408.29)</f>
        <v>408.29</v>
      </c>
      <c r="AK129" s="26">
        <f>IFERROR(__xludf.DUMMYFUNCTION("""COMPUTED_VALUE"""),129.83)</f>
        <v>129.83</v>
      </c>
      <c r="AL129" s="26">
        <f>IFERROR(__xludf.DUMMYFUNCTION("""COMPUTED_VALUE"""),157.08)</f>
        <v>157.08</v>
      </c>
      <c r="AM129" s="26">
        <f>IFERROR(__xludf.DUMMYFUNCTION("""COMPUTED_VALUE"""),535.75)</f>
        <v>535.75</v>
      </c>
      <c r="AN129" s="26">
        <f>IFERROR(__xludf.DUMMYFUNCTION("""COMPUTED_VALUE"""),239.29)</f>
        <v>239.29</v>
      </c>
      <c r="AO129" s="26">
        <f>IFERROR(__xludf.DUMMYFUNCTION("""COMPUTED_VALUE"""),570.58)</f>
        <v>570.58</v>
      </c>
      <c r="AP129" s="26">
        <f>IFERROR(__xludf.DUMMYFUNCTION("""COMPUTED_VALUE"""),318.46)</f>
        <v>318.46</v>
      </c>
      <c r="AQ129" s="26">
        <f>IFERROR(__xludf.DUMMYFUNCTION("""COMPUTED_VALUE"""),32.4)</f>
        <v>32.4</v>
      </c>
      <c r="AR129" s="26">
        <f>IFERROR(__xludf.DUMMYFUNCTION("""COMPUTED_VALUE"""),88.27)</f>
        <v>88.27</v>
      </c>
      <c r="AS129" s="26">
        <f>IFERROR(__xludf.DUMMYFUNCTION("""COMPUTED_VALUE"""),81.77)</f>
        <v>81.77</v>
      </c>
      <c r="AT129" s="26">
        <f>IFERROR(__xludf.DUMMYFUNCTION("""COMPUTED_VALUE"""),418.01)</f>
        <v>418.01</v>
      </c>
      <c r="AU129" s="26">
        <f>IFERROR(__xludf.DUMMYFUNCTION("""COMPUTED_VALUE"""),75.91)</f>
        <v>75.91</v>
      </c>
      <c r="AV129" s="26">
        <f>IFERROR(__xludf.DUMMYFUNCTION("""COMPUTED_VALUE"""),145.26)</f>
        <v>145.26</v>
      </c>
      <c r="AW129" s="26">
        <f>IFERROR(__xludf.DUMMYFUNCTION("""COMPUTED_VALUE"""),101.52)</f>
        <v>101.52</v>
      </c>
      <c r="AX129" s="26">
        <f>IFERROR(__xludf.DUMMYFUNCTION("""COMPUTED_VALUE"""),52.71)</f>
        <v>52.71</v>
      </c>
      <c r="AY129" s="26">
        <f>IFERROR(__xludf.DUMMYFUNCTION("""COMPUTED_VALUE"""),60.24)</f>
        <v>60.24</v>
      </c>
      <c r="AZ129" s="26">
        <f>IFERROR(__xludf.DUMMYFUNCTION("""COMPUTED_VALUE"""),86.94)</f>
        <v>86.94</v>
      </c>
      <c r="BA129" s="26">
        <f>IFERROR(__xludf.DUMMYFUNCTION("""COMPUTED_VALUE"""),26.24)</f>
        <v>26.24</v>
      </c>
      <c r="BB129" s="26">
        <f>IFERROR(__xludf.DUMMYFUNCTION("""COMPUTED_VALUE"""),124.56)</f>
        <v>124.56</v>
      </c>
      <c r="BC129" s="26">
        <f>IFERROR(__xludf.DUMMYFUNCTION("""COMPUTED_VALUE"""),238.32)</f>
        <v>238.32</v>
      </c>
      <c r="BD129" s="26">
        <f>IFERROR(__xludf.DUMMYFUNCTION("""COMPUTED_VALUE"""),546.92)</f>
        <v>546.92</v>
      </c>
      <c r="BE129" s="26">
        <f>IFERROR(__xludf.DUMMYFUNCTION("""COMPUTED_VALUE"""),174.1)</f>
        <v>174.1</v>
      </c>
      <c r="BF129" s="26">
        <f>IFERROR(__xludf.DUMMYFUNCTION("""COMPUTED_VALUE"""),89.11)</f>
        <v>89.11</v>
      </c>
      <c r="BG129" s="26">
        <f>IFERROR(__xludf.DUMMYFUNCTION("""COMPUTED_VALUE"""),9.58)</f>
        <v>9.58</v>
      </c>
      <c r="BH129" s="26">
        <f>IFERROR(__xludf.DUMMYFUNCTION("""COMPUTED_VALUE"""),241.95)</f>
        <v>241.95</v>
      </c>
      <c r="BI129" s="26">
        <f>IFERROR(__xludf.DUMMYFUNCTION("""COMPUTED_VALUE"""),625.25)</f>
        <v>625.25</v>
      </c>
      <c r="BJ129" s="26">
        <f>IFERROR(__xludf.DUMMYFUNCTION("""COMPUTED_VALUE"""),48.82)</f>
        <v>48.82</v>
      </c>
      <c r="BK129" s="26">
        <f>IFERROR(__xludf.DUMMYFUNCTION("""COMPUTED_VALUE"""),13.09)</f>
        <v>13.09</v>
      </c>
      <c r="BL129" s="26">
        <f>IFERROR(__xludf.DUMMYFUNCTION("""COMPUTED_VALUE"""),223.62)</f>
        <v>223.62</v>
      </c>
      <c r="BM129" s="26">
        <f>IFERROR(__xludf.DUMMYFUNCTION("""COMPUTED_VALUE"""),100.86)</f>
        <v>100.86</v>
      </c>
    </row>
    <row r="130">
      <c r="A130" s="25">
        <v>45609.66666666667</v>
      </c>
      <c r="B130" s="17">
        <f>IFERROR(__xludf.DUMMYFUNCTION("""COMPUTED_VALUE"""),5983.99)</f>
        <v>5983.99</v>
      </c>
      <c r="C130" s="17">
        <f>IFERROR(__xludf.DUMMYFUNCTION("""COMPUTED_VALUE"""),19281.4)</f>
        <v>19281.4</v>
      </c>
      <c r="D130" s="17">
        <f>IFERROR(__xludf.DUMMYFUNCTION("""COMPUTED_VALUE"""),43910.98)</f>
        <v>43910.98</v>
      </c>
      <c r="E130" s="17">
        <f>IFERROR(__xludf.DUMMYFUNCTION("""COMPUTED_VALUE"""),2391.85)</f>
        <v>2391.85</v>
      </c>
      <c r="F130" s="26">
        <f>IFERROR(__xludf.DUMMYFUNCTION("""COMPUTED_VALUE"""),526.42)</f>
        <v>526.42</v>
      </c>
      <c r="G130" s="26">
        <f>IFERROR(__xludf.DUMMYFUNCTION("""COMPUTED_VALUE"""),208.91)</f>
        <v>208.91</v>
      </c>
      <c r="H130" s="26">
        <f>IFERROR(__xludf.DUMMYFUNCTION("""COMPUTED_VALUE"""),132.43)</f>
        <v>132.43</v>
      </c>
      <c r="I130" s="26">
        <f>IFERROR(__xludf.DUMMYFUNCTION("""COMPUTED_VALUE"""),224.23)</f>
        <v>224.23</v>
      </c>
      <c r="J130" s="26">
        <f>IFERROR(__xludf.DUMMYFUNCTION("""COMPUTED_VALUE"""),186.61)</f>
        <v>186.61</v>
      </c>
      <c r="K130" s="26">
        <f>IFERROR(__xludf.DUMMYFUNCTION("""COMPUTED_VALUE"""),77.95)</f>
        <v>77.95</v>
      </c>
      <c r="L130" s="26">
        <f>IFERROR(__xludf.DUMMYFUNCTION("""COMPUTED_VALUE"""),13.22)</f>
        <v>13.22</v>
      </c>
      <c r="M130" s="26">
        <f>IFERROR(__xludf.DUMMYFUNCTION("""COMPUTED_VALUE"""),466.29)</f>
        <v>466.29</v>
      </c>
      <c r="N130" s="26">
        <f>IFERROR(__xludf.DUMMYFUNCTION("""COMPUTED_VALUE"""),52.6)</f>
        <v>52.6</v>
      </c>
      <c r="O130" s="26">
        <f>IFERROR(__xludf.DUMMYFUNCTION("""COMPUTED_VALUE"""),168.28)</f>
        <v>168.28</v>
      </c>
      <c r="P130" s="26">
        <f>IFERROR(__xludf.DUMMYFUNCTION("""COMPUTED_VALUE"""),75.44)</f>
        <v>75.44</v>
      </c>
      <c r="Q130" s="26">
        <f>IFERROR(__xludf.DUMMYFUNCTION("""COMPUTED_VALUE"""),393.01)</f>
        <v>393.01</v>
      </c>
      <c r="R130" s="26">
        <f>IFERROR(__xludf.DUMMYFUNCTION("""COMPUTED_VALUE"""),54.41)</f>
        <v>54.41</v>
      </c>
      <c r="S130" s="26">
        <f>IFERROR(__xludf.DUMMYFUNCTION("""COMPUTED_VALUE"""),177.81)</f>
        <v>177.81</v>
      </c>
      <c r="T130" s="26">
        <f>IFERROR(__xludf.DUMMYFUNCTION("""COMPUTED_VALUE"""),155.29)</f>
        <v>155.29</v>
      </c>
      <c r="U130" s="26">
        <f>IFERROR(__xludf.DUMMYFUNCTION("""COMPUTED_VALUE"""),339.87)</f>
        <v>339.87</v>
      </c>
      <c r="V130" s="26">
        <f>IFERROR(__xludf.DUMMYFUNCTION("""COMPUTED_VALUE"""),46.42)</f>
        <v>46.42</v>
      </c>
      <c r="W130" s="26">
        <f>IFERROR(__xludf.DUMMYFUNCTION("""COMPUTED_VALUE"""),63.2)</f>
        <v>63.2</v>
      </c>
      <c r="X130" s="26">
        <f>IFERROR(__xludf.DUMMYFUNCTION("""COMPUTED_VALUE"""),97.04)</f>
        <v>97.04</v>
      </c>
      <c r="Y130" s="26">
        <f>IFERROR(__xludf.DUMMYFUNCTION("""COMPUTED_VALUE"""),180.79)</f>
        <v>180.79</v>
      </c>
      <c r="Z130" s="26">
        <f>IFERROR(__xludf.DUMMYFUNCTION("""COMPUTED_VALUE"""),62.27)</f>
        <v>62.27</v>
      </c>
      <c r="AA130" s="26">
        <f>IFERROR(__xludf.DUMMYFUNCTION("""COMPUTED_VALUE"""),440.6)</f>
        <v>440.6</v>
      </c>
      <c r="AB130" s="26">
        <f>IFERROR(__xludf.DUMMYFUNCTION("""COMPUTED_VALUE"""),61.5)</f>
        <v>61.5</v>
      </c>
      <c r="AC130" s="26">
        <f>IFERROR(__xludf.DUMMYFUNCTION("""COMPUTED_VALUE"""),120.35)</f>
        <v>120.35</v>
      </c>
      <c r="AD130" s="26">
        <f>IFERROR(__xludf.DUMMYFUNCTION("""COMPUTED_VALUE"""),287.27)</f>
        <v>287.27</v>
      </c>
      <c r="AE130" s="26">
        <f>IFERROR(__xludf.DUMMYFUNCTION("""COMPUTED_VALUE"""),437.12)</f>
        <v>437.12</v>
      </c>
      <c r="AF130" s="26">
        <f>IFERROR(__xludf.DUMMYFUNCTION("""COMPUTED_VALUE"""),312.05)</f>
        <v>312.05</v>
      </c>
      <c r="AG130" s="26">
        <f>IFERROR(__xludf.DUMMYFUNCTION("""COMPUTED_VALUE"""),57.41)</f>
        <v>57.41</v>
      </c>
      <c r="AH130" s="26">
        <f>IFERROR(__xludf.DUMMYFUNCTION("""COMPUTED_VALUE"""),94.35)</f>
        <v>94.35</v>
      </c>
      <c r="AI130" s="26">
        <f>IFERROR(__xludf.DUMMYFUNCTION("""COMPUTED_VALUE"""),592.59)</f>
        <v>592.59</v>
      </c>
      <c r="AJ130" s="26">
        <f>IFERROR(__xludf.DUMMYFUNCTION("""COMPUTED_VALUE"""),403.08)</f>
        <v>403.08</v>
      </c>
      <c r="AK130" s="26">
        <f>IFERROR(__xludf.DUMMYFUNCTION("""COMPUTED_VALUE"""),128.78)</f>
        <v>128.78</v>
      </c>
      <c r="AL130" s="26">
        <f>IFERROR(__xludf.DUMMYFUNCTION("""COMPUTED_VALUE"""),156.06)</f>
        <v>156.06</v>
      </c>
      <c r="AM130" s="26">
        <f>IFERROR(__xludf.DUMMYFUNCTION("""COMPUTED_VALUE"""),537.07)</f>
        <v>537.07</v>
      </c>
      <c r="AN130" s="26">
        <f>IFERROR(__xludf.DUMMYFUNCTION("""COMPUTED_VALUE"""),239.56)</f>
        <v>239.56</v>
      </c>
      <c r="AO130" s="26">
        <f>IFERROR(__xludf.DUMMYFUNCTION("""COMPUTED_VALUE"""),565.96)</f>
        <v>565.96</v>
      </c>
      <c r="AP130" s="26">
        <f>IFERROR(__xludf.DUMMYFUNCTION("""COMPUTED_VALUE"""),320.9)</f>
        <v>320.9</v>
      </c>
      <c r="AQ130" s="26">
        <f>IFERROR(__xludf.DUMMYFUNCTION("""COMPUTED_VALUE"""),32.52)</f>
        <v>32.52</v>
      </c>
      <c r="AR130" s="26">
        <f>IFERROR(__xludf.DUMMYFUNCTION("""COMPUTED_VALUE"""),88.3)</f>
        <v>88.3</v>
      </c>
      <c r="AS130" s="26">
        <f>IFERROR(__xludf.DUMMYFUNCTION("""COMPUTED_VALUE"""),82.2)</f>
        <v>82.2</v>
      </c>
      <c r="AT130" s="26">
        <f>IFERROR(__xludf.DUMMYFUNCTION("""COMPUTED_VALUE"""),423.03)</f>
        <v>423.03</v>
      </c>
      <c r="AU130" s="26">
        <f>IFERROR(__xludf.DUMMYFUNCTION("""COMPUTED_VALUE"""),74.26)</f>
        <v>74.26</v>
      </c>
      <c r="AV130" s="26">
        <f>IFERROR(__xludf.DUMMYFUNCTION("""COMPUTED_VALUE"""),148.29)</f>
        <v>148.29</v>
      </c>
      <c r="AW130" s="26">
        <f>IFERROR(__xludf.DUMMYFUNCTION("""COMPUTED_VALUE"""),99.73)</f>
        <v>99.73</v>
      </c>
      <c r="AX130" s="26">
        <f>IFERROR(__xludf.DUMMYFUNCTION("""COMPUTED_VALUE"""),52.62)</f>
        <v>52.62</v>
      </c>
      <c r="AY130" s="26">
        <f>IFERROR(__xludf.DUMMYFUNCTION("""COMPUTED_VALUE"""),59.85)</f>
        <v>59.85</v>
      </c>
      <c r="AZ130" s="26">
        <f>IFERROR(__xludf.DUMMYFUNCTION("""COMPUTED_VALUE"""),86.4)</f>
        <v>86.4</v>
      </c>
      <c r="BA130" s="26">
        <f>IFERROR(__xludf.DUMMYFUNCTION("""COMPUTED_VALUE"""),26.19)</f>
        <v>26.19</v>
      </c>
      <c r="BB130" s="26">
        <f>IFERROR(__xludf.DUMMYFUNCTION("""COMPUTED_VALUE"""),123.37)</f>
        <v>123.37</v>
      </c>
      <c r="BC130" s="26">
        <f>IFERROR(__xludf.DUMMYFUNCTION("""COMPUTED_VALUE"""),239.0)</f>
        <v>239</v>
      </c>
      <c r="BD130" s="26">
        <f>IFERROR(__xludf.DUMMYFUNCTION("""COMPUTED_VALUE"""),540.75)</f>
        <v>540.75</v>
      </c>
      <c r="BE130" s="26">
        <f>IFERROR(__xludf.DUMMYFUNCTION("""COMPUTED_VALUE"""),174.99)</f>
        <v>174.99</v>
      </c>
      <c r="BF130" s="26">
        <f>IFERROR(__xludf.DUMMYFUNCTION("""COMPUTED_VALUE"""),91.41)</f>
        <v>91.41</v>
      </c>
      <c r="BG130" s="26">
        <f>IFERROR(__xludf.DUMMYFUNCTION("""COMPUTED_VALUE"""),9.57)</f>
        <v>9.57</v>
      </c>
      <c r="BH130" s="26">
        <f>IFERROR(__xludf.DUMMYFUNCTION("""COMPUTED_VALUE"""),238.91)</f>
        <v>238.91</v>
      </c>
      <c r="BI130" s="26">
        <f>IFERROR(__xludf.DUMMYFUNCTION("""COMPUTED_VALUE"""),614.67)</f>
        <v>614.67</v>
      </c>
      <c r="BJ130" s="26">
        <f>IFERROR(__xludf.DUMMYFUNCTION("""COMPUTED_VALUE"""),48.75)</f>
        <v>48.75</v>
      </c>
      <c r="BK130" s="26">
        <f>IFERROR(__xludf.DUMMYFUNCTION("""COMPUTED_VALUE"""),12.93)</f>
        <v>12.93</v>
      </c>
      <c r="BL130" s="26">
        <f>IFERROR(__xludf.DUMMYFUNCTION("""COMPUTED_VALUE"""),224.78)</f>
        <v>224.78</v>
      </c>
      <c r="BM130" s="26">
        <f>IFERROR(__xludf.DUMMYFUNCTION("""COMPUTED_VALUE"""),100.99)</f>
        <v>100.99</v>
      </c>
    </row>
    <row r="131">
      <c r="A131" s="25">
        <v>45610.66666666667</v>
      </c>
      <c r="B131" s="17">
        <f>IFERROR(__xludf.DUMMYFUNCTION("""COMPUTED_VALUE"""),5985.38)</f>
        <v>5985.38</v>
      </c>
      <c r="C131" s="17">
        <f>IFERROR(__xludf.DUMMYFUNCTION("""COMPUTED_VALUE"""),19230.72)</f>
        <v>19230.72</v>
      </c>
      <c r="D131" s="17">
        <f>IFERROR(__xludf.DUMMYFUNCTION("""COMPUTED_VALUE"""),43958.19)</f>
        <v>43958.19</v>
      </c>
      <c r="E131" s="17">
        <f>IFERROR(__xludf.DUMMYFUNCTION("""COMPUTED_VALUE"""),2369.37)</f>
        <v>2369.37</v>
      </c>
      <c r="F131" s="26">
        <f>IFERROR(__xludf.DUMMYFUNCTION("""COMPUTED_VALUE"""),532.5)</f>
        <v>532.5</v>
      </c>
      <c r="G131" s="26">
        <f>IFERROR(__xludf.DUMMYFUNCTION("""COMPUTED_VALUE"""),214.1)</f>
        <v>214.1</v>
      </c>
      <c r="H131" s="26">
        <f>IFERROR(__xludf.DUMMYFUNCTION("""COMPUTED_VALUE"""),132.44)</f>
        <v>132.44</v>
      </c>
      <c r="I131" s="26">
        <f>IFERROR(__xludf.DUMMYFUNCTION("""COMPUTED_VALUE"""),225.12)</f>
        <v>225.12</v>
      </c>
      <c r="J131" s="26">
        <f>IFERROR(__xludf.DUMMYFUNCTION("""COMPUTED_VALUE"""),182.79)</f>
        <v>182.79</v>
      </c>
      <c r="K131" s="26">
        <f>IFERROR(__xludf.DUMMYFUNCTION("""COMPUTED_VALUE"""),77.61)</f>
        <v>77.61</v>
      </c>
      <c r="L131" s="26">
        <f>IFERROR(__xludf.DUMMYFUNCTION("""COMPUTED_VALUE"""),13.21)</f>
        <v>13.21</v>
      </c>
      <c r="M131" s="26">
        <f>IFERROR(__xludf.DUMMYFUNCTION("""COMPUTED_VALUE"""),468.1)</f>
        <v>468.1</v>
      </c>
      <c r="N131" s="26">
        <f>IFERROR(__xludf.DUMMYFUNCTION("""COMPUTED_VALUE"""),52.32)</f>
        <v>52.32</v>
      </c>
      <c r="O131" s="26">
        <f>IFERROR(__xludf.DUMMYFUNCTION("""COMPUTED_VALUE"""),165.79)</f>
        <v>165.79</v>
      </c>
      <c r="P131" s="26">
        <f>IFERROR(__xludf.DUMMYFUNCTION("""COMPUTED_VALUE"""),76.4)</f>
        <v>76.4</v>
      </c>
      <c r="Q131" s="26">
        <f>IFERROR(__xludf.DUMMYFUNCTION("""COMPUTED_VALUE"""),387.07)</f>
        <v>387.07</v>
      </c>
      <c r="R131" s="26">
        <f>IFERROR(__xludf.DUMMYFUNCTION("""COMPUTED_VALUE"""),52.98)</f>
        <v>52.98</v>
      </c>
      <c r="S131" s="26">
        <f>IFERROR(__xludf.DUMMYFUNCTION("""COMPUTED_VALUE"""),177.21)</f>
        <v>177.21</v>
      </c>
      <c r="T131" s="26">
        <f>IFERROR(__xludf.DUMMYFUNCTION("""COMPUTED_VALUE"""),158.72)</f>
        <v>158.72</v>
      </c>
      <c r="U131" s="26">
        <f>IFERROR(__xludf.DUMMYFUNCTION("""COMPUTED_VALUE"""),332.04)</f>
        <v>332.04</v>
      </c>
      <c r="V131" s="26">
        <f>IFERROR(__xludf.DUMMYFUNCTION("""COMPUTED_VALUE"""),46.42)</f>
        <v>46.42</v>
      </c>
      <c r="W131" s="26">
        <f>IFERROR(__xludf.DUMMYFUNCTION("""COMPUTED_VALUE"""),63.0)</f>
        <v>63</v>
      </c>
      <c r="X131" s="26">
        <f>IFERROR(__xludf.DUMMYFUNCTION("""COMPUTED_VALUE"""),95.41)</f>
        <v>95.41</v>
      </c>
      <c r="Y131" s="26">
        <f>IFERROR(__xludf.DUMMYFUNCTION("""COMPUTED_VALUE"""),178.13)</f>
        <v>178.13</v>
      </c>
      <c r="Z131" s="26">
        <f>IFERROR(__xludf.DUMMYFUNCTION("""COMPUTED_VALUE"""),65.15)</f>
        <v>65.15</v>
      </c>
      <c r="AA131" s="26">
        <f>IFERROR(__xludf.DUMMYFUNCTION("""COMPUTED_VALUE"""),439.55)</f>
        <v>439.55</v>
      </c>
      <c r="AB131" s="26">
        <f>IFERROR(__xludf.DUMMYFUNCTION("""COMPUTED_VALUE"""),61.89)</f>
        <v>61.89</v>
      </c>
      <c r="AC131" s="26">
        <f>IFERROR(__xludf.DUMMYFUNCTION("""COMPUTED_VALUE"""),121.47)</f>
        <v>121.47</v>
      </c>
      <c r="AD131" s="26">
        <f>IFERROR(__xludf.DUMMYFUNCTION("""COMPUTED_VALUE"""),291.89)</f>
        <v>291.89</v>
      </c>
      <c r="AE131" s="26">
        <f>IFERROR(__xludf.DUMMYFUNCTION("""COMPUTED_VALUE"""),439.89)</f>
        <v>439.89</v>
      </c>
      <c r="AF131" s="26">
        <f>IFERROR(__xludf.DUMMYFUNCTION("""COMPUTED_VALUE"""),314.03)</f>
        <v>314.03</v>
      </c>
      <c r="AG131" s="26">
        <f>IFERROR(__xludf.DUMMYFUNCTION("""COMPUTED_VALUE"""),57.71)</f>
        <v>57.71</v>
      </c>
      <c r="AH131" s="26">
        <f>IFERROR(__xludf.DUMMYFUNCTION("""COMPUTED_VALUE"""),92.63)</f>
        <v>92.63</v>
      </c>
      <c r="AI131" s="26">
        <f>IFERROR(__xludf.DUMMYFUNCTION("""COMPUTED_VALUE"""),594.22)</f>
        <v>594.22</v>
      </c>
      <c r="AJ131" s="26">
        <f>IFERROR(__xludf.DUMMYFUNCTION("""COMPUTED_VALUE"""),410.19)</f>
        <v>410.19</v>
      </c>
      <c r="AK131" s="26">
        <f>IFERROR(__xludf.DUMMYFUNCTION("""COMPUTED_VALUE"""),126.75)</f>
        <v>126.75</v>
      </c>
      <c r="AL131" s="26">
        <f>IFERROR(__xludf.DUMMYFUNCTION("""COMPUTED_VALUE"""),155.84)</f>
        <v>155.84</v>
      </c>
      <c r="AM131" s="26">
        <f>IFERROR(__xludf.DUMMYFUNCTION("""COMPUTED_VALUE"""),536.69)</f>
        <v>536.69</v>
      </c>
      <c r="AN131" s="26">
        <f>IFERROR(__xludf.DUMMYFUNCTION("""COMPUTED_VALUE"""),241.16)</f>
        <v>241.16</v>
      </c>
      <c r="AO131" s="26">
        <f>IFERROR(__xludf.DUMMYFUNCTION("""COMPUTED_VALUE"""),557.73)</f>
        <v>557.73</v>
      </c>
      <c r="AP131" s="26">
        <f>IFERROR(__xludf.DUMMYFUNCTION("""COMPUTED_VALUE"""),328.3)</f>
        <v>328.3</v>
      </c>
      <c r="AQ131" s="26">
        <f>IFERROR(__xludf.DUMMYFUNCTION("""COMPUTED_VALUE"""),32.44)</f>
        <v>32.44</v>
      </c>
      <c r="AR131" s="26">
        <f>IFERROR(__xludf.DUMMYFUNCTION("""COMPUTED_VALUE"""),87.97)</f>
        <v>87.97</v>
      </c>
      <c r="AS131" s="26">
        <f>IFERROR(__xludf.DUMMYFUNCTION("""COMPUTED_VALUE"""),82.02)</f>
        <v>82.02</v>
      </c>
      <c r="AT131" s="26">
        <f>IFERROR(__xludf.DUMMYFUNCTION("""COMPUTED_VALUE"""),425.2)</f>
        <v>425.2</v>
      </c>
      <c r="AU131" s="26">
        <f>IFERROR(__xludf.DUMMYFUNCTION("""COMPUTED_VALUE"""),74.24)</f>
        <v>74.24</v>
      </c>
      <c r="AV131" s="26">
        <f>IFERROR(__xludf.DUMMYFUNCTION("""COMPUTED_VALUE"""),146.27)</f>
        <v>146.27</v>
      </c>
      <c r="AW131" s="26">
        <f>IFERROR(__xludf.DUMMYFUNCTION("""COMPUTED_VALUE"""),100.39)</f>
        <v>100.39</v>
      </c>
      <c r="AX131" s="26">
        <f>IFERROR(__xludf.DUMMYFUNCTION("""COMPUTED_VALUE"""),52.71)</f>
        <v>52.71</v>
      </c>
      <c r="AY131" s="26">
        <f>IFERROR(__xludf.DUMMYFUNCTION("""COMPUTED_VALUE"""),60.7)</f>
        <v>60.7</v>
      </c>
      <c r="AZ131" s="26">
        <f>IFERROR(__xludf.DUMMYFUNCTION("""COMPUTED_VALUE"""),87.31)</f>
        <v>87.31</v>
      </c>
      <c r="BA131" s="26">
        <f>IFERROR(__xludf.DUMMYFUNCTION("""COMPUTED_VALUE"""),26.72)</f>
        <v>26.72</v>
      </c>
      <c r="BB131" s="26">
        <f>IFERROR(__xludf.DUMMYFUNCTION("""COMPUTED_VALUE"""),123.75)</f>
        <v>123.75</v>
      </c>
      <c r="BC131" s="26">
        <f>IFERROR(__xludf.DUMMYFUNCTION("""COMPUTED_VALUE"""),240.88)</f>
        <v>240.88</v>
      </c>
      <c r="BD131" s="26">
        <f>IFERROR(__xludf.DUMMYFUNCTION("""COMPUTED_VALUE"""),541.9)</f>
        <v>541.9</v>
      </c>
      <c r="BE131" s="26">
        <f>IFERROR(__xludf.DUMMYFUNCTION("""COMPUTED_VALUE"""),172.35)</f>
        <v>172.35</v>
      </c>
      <c r="BF131" s="26">
        <f>IFERROR(__xludf.DUMMYFUNCTION("""COMPUTED_VALUE"""),92.73)</f>
        <v>92.73</v>
      </c>
      <c r="BG131" s="26">
        <f>IFERROR(__xludf.DUMMYFUNCTION("""COMPUTED_VALUE"""),9.8)</f>
        <v>9.8</v>
      </c>
      <c r="BH131" s="26">
        <f>IFERROR(__xludf.DUMMYFUNCTION("""COMPUTED_VALUE"""),240.41)</f>
        <v>240.41</v>
      </c>
      <c r="BI131" s="26">
        <f>IFERROR(__xludf.DUMMYFUNCTION("""COMPUTED_VALUE"""),605.87)</f>
        <v>605.87</v>
      </c>
      <c r="BJ131" s="26">
        <f>IFERROR(__xludf.DUMMYFUNCTION("""COMPUTED_VALUE"""),48.78)</f>
        <v>48.78</v>
      </c>
      <c r="BK131" s="26">
        <f>IFERROR(__xludf.DUMMYFUNCTION("""COMPUTED_VALUE"""),13.0)</f>
        <v>13</v>
      </c>
      <c r="BL131" s="26">
        <f>IFERROR(__xludf.DUMMYFUNCTION("""COMPUTED_VALUE"""),225.68)</f>
        <v>225.68</v>
      </c>
      <c r="BM131" s="26">
        <f>IFERROR(__xludf.DUMMYFUNCTION("""COMPUTED_VALUE"""),102.72)</f>
        <v>102.72</v>
      </c>
    </row>
    <row r="132">
      <c r="A132" s="25">
        <v>45611.66666666667</v>
      </c>
      <c r="B132" s="17">
        <f>IFERROR(__xludf.DUMMYFUNCTION("""COMPUTED_VALUE"""),5949.17)</f>
        <v>5949.17</v>
      </c>
      <c r="C132" s="17">
        <f>IFERROR(__xludf.DUMMYFUNCTION("""COMPUTED_VALUE"""),19107.65)</f>
        <v>19107.65</v>
      </c>
      <c r="D132" s="17">
        <f>IFERROR(__xludf.DUMMYFUNCTION("""COMPUTED_VALUE"""),43750.86)</f>
        <v>43750.86</v>
      </c>
      <c r="E132" s="17">
        <f>IFERROR(__xludf.DUMMYFUNCTION("""COMPUTED_VALUE"""),2336.94)</f>
        <v>2336.94</v>
      </c>
      <c r="F132" s="26">
        <f>IFERROR(__xludf.DUMMYFUNCTION("""COMPUTED_VALUE"""),529.87)</f>
        <v>529.87</v>
      </c>
      <c r="G132" s="26">
        <f>IFERROR(__xludf.DUMMYFUNCTION("""COMPUTED_VALUE"""),211.48)</f>
        <v>211.48</v>
      </c>
      <c r="H132" s="26">
        <f>IFERROR(__xludf.DUMMYFUNCTION("""COMPUTED_VALUE"""),132.02)</f>
        <v>132.02</v>
      </c>
      <c r="I132" s="26">
        <f>IFERROR(__xludf.DUMMYFUNCTION("""COMPUTED_VALUE"""),228.22)</f>
        <v>228.22</v>
      </c>
      <c r="J132" s="26">
        <f>IFERROR(__xludf.DUMMYFUNCTION("""COMPUTED_VALUE"""),186.0)</f>
        <v>186</v>
      </c>
      <c r="K132" s="26">
        <f>IFERROR(__xludf.DUMMYFUNCTION("""COMPUTED_VALUE"""),77.57)</f>
        <v>77.57</v>
      </c>
      <c r="L132" s="26">
        <f>IFERROR(__xludf.DUMMYFUNCTION("""COMPUTED_VALUE"""),12.96)</f>
        <v>12.96</v>
      </c>
      <c r="M132" s="26">
        <f>IFERROR(__xludf.DUMMYFUNCTION("""COMPUTED_VALUE"""),467.7)</f>
        <v>467.7</v>
      </c>
      <c r="N132" s="26">
        <f>IFERROR(__xludf.DUMMYFUNCTION("""COMPUTED_VALUE"""),52.05)</f>
        <v>52.05</v>
      </c>
      <c r="O132" s="26">
        <f>IFERROR(__xludf.DUMMYFUNCTION("""COMPUTED_VALUE"""),164.89)</f>
        <v>164.89</v>
      </c>
      <c r="P132" s="26">
        <f>IFERROR(__xludf.DUMMYFUNCTION("""COMPUTED_VALUE"""),74.97)</f>
        <v>74.97</v>
      </c>
      <c r="Q132" s="26">
        <f>IFERROR(__xludf.DUMMYFUNCTION("""COMPUTED_VALUE"""),387.36)</f>
        <v>387.36</v>
      </c>
      <c r="R132" s="26">
        <f>IFERROR(__xludf.DUMMYFUNCTION("""COMPUTED_VALUE"""),53.11)</f>
        <v>53.11</v>
      </c>
      <c r="S132" s="26">
        <f>IFERROR(__xludf.DUMMYFUNCTION("""COMPUTED_VALUE"""),177.55)</f>
        <v>177.55</v>
      </c>
      <c r="T132" s="26">
        <f>IFERROR(__xludf.DUMMYFUNCTION("""COMPUTED_VALUE"""),161.8)</f>
        <v>161.8</v>
      </c>
      <c r="U132" s="26">
        <f>IFERROR(__xludf.DUMMYFUNCTION("""COMPUTED_VALUE"""),323.88)</f>
        <v>323.88</v>
      </c>
      <c r="V132" s="26">
        <f>IFERROR(__xludf.DUMMYFUNCTION("""COMPUTED_VALUE"""),46.58)</f>
        <v>46.58</v>
      </c>
      <c r="W132" s="26">
        <f>IFERROR(__xludf.DUMMYFUNCTION("""COMPUTED_VALUE"""),62.55)</f>
        <v>62.55</v>
      </c>
      <c r="X132" s="26">
        <f>IFERROR(__xludf.DUMMYFUNCTION("""COMPUTED_VALUE"""),95.24)</f>
        <v>95.24</v>
      </c>
      <c r="Y132" s="26">
        <f>IFERROR(__xludf.DUMMYFUNCTION("""COMPUTED_VALUE"""),178.21)</f>
        <v>178.21</v>
      </c>
      <c r="Z132" s="26">
        <f>IFERROR(__xludf.DUMMYFUNCTION("""COMPUTED_VALUE"""),65.67)</f>
        <v>65.67</v>
      </c>
      <c r="AA132" s="26">
        <f>IFERROR(__xludf.DUMMYFUNCTION("""COMPUTED_VALUE"""),435.97)</f>
        <v>435.97</v>
      </c>
      <c r="AB132" s="26">
        <f>IFERROR(__xludf.DUMMYFUNCTION("""COMPUTED_VALUE"""),62.3)</f>
        <v>62.3</v>
      </c>
      <c r="AC132" s="26">
        <f>IFERROR(__xludf.DUMMYFUNCTION("""COMPUTED_VALUE"""),120.56)</f>
        <v>120.56</v>
      </c>
      <c r="AD132" s="26">
        <f>IFERROR(__xludf.DUMMYFUNCTION("""COMPUTED_VALUE"""),292.29)</f>
        <v>292.29</v>
      </c>
      <c r="AE132" s="26">
        <f>IFERROR(__xludf.DUMMYFUNCTION("""COMPUTED_VALUE"""),440.39)</f>
        <v>440.39</v>
      </c>
      <c r="AF132" s="26">
        <f>IFERROR(__xludf.DUMMYFUNCTION("""COMPUTED_VALUE"""),292.42)</f>
        <v>292.42</v>
      </c>
      <c r="AG132" s="26">
        <f>IFERROR(__xludf.DUMMYFUNCTION("""COMPUTED_VALUE"""),57.62)</f>
        <v>57.62</v>
      </c>
      <c r="AH132" s="26">
        <f>IFERROR(__xludf.DUMMYFUNCTION("""COMPUTED_VALUE"""),92.11)</f>
        <v>92.11</v>
      </c>
      <c r="AI132" s="26">
        <f>IFERROR(__xludf.DUMMYFUNCTION("""COMPUTED_VALUE"""),588.61)</f>
        <v>588.61</v>
      </c>
      <c r="AJ132" s="26">
        <f>IFERROR(__xludf.DUMMYFUNCTION("""COMPUTED_VALUE"""),405.72)</f>
        <v>405.72</v>
      </c>
      <c r="AK132" s="26">
        <f>IFERROR(__xludf.DUMMYFUNCTION("""COMPUTED_VALUE"""),122.28)</f>
        <v>122.28</v>
      </c>
      <c r="AL132" s="26">
        <f>IFERROR(__xludf.DUMMYFUNCTION("""COMPUTED_VALUE"""),156.47)</f>
        <v>156.47</v>
      </c>
      <c r="AM132" s="26">
        <f>IFERROR(__xludf.DUMMYFUNCTION("""COMPUTED_VALUE"""),537.8)</f>
        <v>537.8</v>
      </c>
      <c r="AN132" s="26">
        <f>IFERROR(__xludf.DUMMYFUNCTION("""COMPUTED_VALUE"""),241.87)</f>
        <v>241.87</v>
      </c>
      <c r="AO132" s="26">
        <f>IFERROR(__xludf.DUMMYFUNCTION("""COMPUTED_VALUE"""),538.99)</f>
        <v>538.99</v>
      </c>
      <c r="AP132" s="26">
        <f>IFERROR(__xludf.DUMMYFUNCTION("""COMPUTED_VALUE"""),330.26)</f>
        <v>330.26</v>
      </c>
      <c r="AQ132" s="26">
        <f>IFERROR(__xludf.DUMMYFUNCTION("""COMPUTED_VALUE"""),32.87)</f>
        <v>32.87</v>
      </c>
      <c r="AR132" s="26">
        <f>IFERROR(__xludf.DUMMYFUNCTION("""COMPUTED_VALUE"""),86.0)</f>
        <v>86</v>
      </c>
      <c r="AS132" s="26">
        <f>IFERROR(__xludf.DUMMYFUNCTION("""COMPUTED_VALUE"""),82.6)</f>
        <v>82.6</v>
      </c>
      <c r="AT132" s="26">
        <f>IFERROR(__xludf.DUMMYFUNCTION("""COMPUTED_VALUE"""),426.89)</f>
        <v>426.89</v>
      </c>
      <c r="AU132" s="26">
        <f>IFERROR(__xludf.DUMMYFUNCTION("""COMPUTED_VALUE"""),75.28)</f>
        <v>75.28</v>
      </c>
      <c r="AV132" s="26">
        <f>IFERROR(__xludf.DUMMYFUNCTION("""COMPUTED_VALUE"""),146.76)</f>
        <v>146.76</v>
      </c>
      <c r="AW132" s="26">
        <f>IFERROR(__xludf.DUMMYFUNCTION("""COMPUTED_VALUE"""),99.72)</f>
        <v>99.72</v>
      </c>
      <c r="AX132" s="26">
        <f>IFERROR(__xludf.DUMMYFUNCTION("""COMPUTED_VALUE"""),53.35)</f>
        <v>53.35</v>
      </c>
      <c r="AY132" s="26">
        <f>IFERROR(__xludf.DUMMYFUNCTION("""COMPUTED_VALUE"""),59.18)</f>
        <v>59.18</v>
      </c>
      <c r="AZ132" s="26">
        <f>IFERROR(__xludf.DUMMYFUNCTION("""COMPUTED_VALUE"""),85.79)</f>
        <v>85.79</v>
      </c>
      <c r="BA132" s="26">
        <f>IFERROR(__xludf.DUMMYFUNCTION("""COMPUTED_VALUE"""),26.02)</f>
        <v>26.02</v>
      </c>
      <c r="BB132" s="26">
        <f>IFERROR(__xludf.DUMMYFUNCTION("""COMPUTED_VALUE"""),118.92)</f>
        <v>118.92</v>
      </c>
      <c r="BC132" s="26">
        <f>IFERROR(__xludf.DUMMYFUNCTION("""COMPUTED_VALUE"""),237.75)</f>
        <v>237.75</v>
      </c>
      <c r="BD132" s="26">
        <f>IFERROR(__xludf.DUMMYFUNCTION("""COMPUTED_VALUE"""),533.02)</f>
        <v>533.02</v>
      </c>
      <c r="BE132" s="26">
        <f>IFERROR(__xludf.DUMMYFUNCTION("""COMPUTED_VALUE"""),173.48)</f>
        <v>173.48</v>
      </c>
      <c r="BF132" s="26">
        <f>IFERROR(__xludf.DUMMYFUNCTION("""COMPUTED_VALUE"""),88.36)</f>
        <v>88.36</v>
      </c>
      <c r="BG132" s="26">
        <f>IFERROR(__xludf.DUMMYFUNCTION("""COMPUTED_VALUE"""),9.85)</f>
        <v>9.85</v>
      </c>
      <c r="BH132" s="26">
        <f>IFERROR(__xludf.DUMMYFUNCTION("""COMPUTED_VALUE"""),235.58)</f>
        <v>235.58</v>
      </c>
      <c r="BI132" s="26">
        <f>IFERROR(__xludf.DUMMYFUNCTION("""COMPUTED_VALUE"""),593.15)</f>
        <v>593.15</v>
      </c>
      <c r="BJ132" s="26">
        <f>IFERROR(__xludf.DUMMYFUNCTION("""COMPUTED_VALUE"""),48.74)</f>
        <v>48.74</v>
      </c>
      <c r="BK132" s="26">
        <f>IFERROR(__xludf.DUMMYFUNCTION("""COMPUTED_VALUE"""),12.62)</f>
        <v>12.62</v>
      </c>
      <c r="BL132" s="26">
        <f>IFERROR(__xludf.DUMMYFUNCTION("""COMPUTED_VALUE"""),221.72)</f>
        <v>221.72</v>
      </c>
      <c r="BM132" s="26">
        <f>IFERROR(__xludf.DUMMYFUNCTION("""COMPUTED_VALUE"""),109.12)</f>
        <v>109.12</v>
      </c>
      <c r="BN132" s="28">
        <v>53374.07</v>
      </c>
    </row>
    <row r="133">
      <c r="A133" s="25">
        <v>45614.66666666667</v>
      </c>
      <c r="B133" s="17">
        <f>IFERROR(__xludf.DUMMYFUNCTION("""COMPUTED_VALUE"""),5870.62)</f>
        <v>5870.62</v>
      </c>
      <c r="C133" s="17">
        <f>IFERROR(__xludf.DUMMYFUNCTION("""COMPUTED_VALUE"""),18680.12)</f>
        <v>18680.12</v>
      </c>
      <c r="D133" s="17">
        <f>IFERROR(__xludf.DUMMYFUNCTION("""COMPUTED_VALUE"""),43444.99)</f>
        <v>43444.99</v>
      </c>
      <c r="E133" s="17">
        <f>IFERROR(__xludf.DUMMYFUNCTION("""COMPUTED_VALUE"""),2303.84)</f>
        <v>2303.84</v>
      </c>
      <c r="F133" s="26">
        <f>IFERROR(__xludf.DUMMYFUNCTION("""COMPUTED_VALUE"""),503.37)</f>
        <v>503.37</v>
      </c>
      <c r="G133" s="26">
        <f>IFERROR(__xludf.DUMMYFUNCTION("""COMPUTED_VALUE"""),202.61)</f>
        <v>202.61</v>
      </c>
      <c r="H133" s="26">
        <f>IFERROR(__xludf.DUMMYFUNCTION("""COMPUTED_VALUE"""),134.23)</f>
        <v>134.23</v>
      </c>
      <c r="I133" s="26">
        <f>IFERROR(__xludf.DUMMYFUNCTION("""COMPUTED_VALUE"""),225.0)</f>
        <v>225</v>
      </c>
      <c r="J133" s="26">
        <f>IFERROR(__xludf.DUMMYFUNCTION("""COMPUTED_VALUE"""),168.88)</f>
        <v>168.88</v>
      </c>
      <c r="K133" s="26">
        <f>IFERROR(__xludf.DUMMYFUNCTION("""COMPUTED_VALUE"""),78.29)</f>
        <v>78.29</v>
      </c>
      <c r="L133" s="26">
        <f>IFERROR(__xludf.DUMMYFUNCTION("""COMPUTED_VALUE"""),13.21)</f>
        <v>13.21</v>
      </c>
      <c r="M133" s="26">
        <f>IFERROR(__xludf.DUMMYFUNCTION("""COMPUTED_VALUE"""),470.28)</f>
        <v>470.28</v>
      </c>
      <c r="N133" s="26">
        <f>IFERROR(__xludf.DUMMYFUNCTION("""COMPUTED_VALUE"""),51.84)</f>
        <v>51.84</v>
      </c>
      <c r="O133" s="26">
        <f>IFERROR(__xludf.DUMMYFUNCTION("""COMPUTED_VALUE"""),159.99)</f>
        <v>159.99</v>
      </c>
      <c r="P133" s="26">
        <f>IFERROR(__xludf.DUMMYFUNCTION("""COMPUTED_VALUE"""),74.53)</f>
        <v>74.53</v>
      </c>
      <c r="Q133" s="26">
        <f>IFERROR(__xludf.DUMMYFUNCTION("""COMPUTED_VALUE"""),384.07)</f>
        <v>384.07</v>
      </c>
      <c r="R133" s="26">
        <f>IFERROR(__xludf.DUMMYFUNCTION("""COMPUTED_VALUE"""),53.59)</f>
        <v>53.59</v>
      </c>
      <c r="S133" s="26">
        <f>IFERROR(__xludf.DUMMYFUNCTION("""COMPUTED_VALUE"""),174.25)</f>
        <v>174.25</v>
      </c>
      <c r="T133" s="26">
        <f>IFERROR(__xludf.DUMMYFUNCTION("""COMPUTED_VALUE"""),161.42)</f>
        <v>161.42</v>
      </c>
      <c r="U133" s="26">
        <f>IFERROR(__xludf.DUMMYFUNCTION("""COMPUTED_VALUE"""),321.52)</f>
        <v>321.52</v>
      </c>
      <c r="V133" s="26">
        <f>IFERROR(__xludf.DUMMYFUNCTION("""COMPUTED_VALUE"""),46.78)</f>
        <v>46.78</v>
      </c>
      <c r="W133" s="26">
        <f>IFERROR(__xludf.DUMMYFUNCTION("""COMPUTED_VALUE"""),61.74)</f>
        <v>61.74</v>
      </c>
      <c r="X133" s="26">
        <f>IFERROR(__xludf.DUMMYFUNCTION("""COMPUTED_VALUE"""),96.44)</f>
        <v>96.44</v>
      </c>
      <c r="Y133" s="26">
        <f>IFERROR(__xludf.DUMMYFUNCTION("""COMPUTED_VALUE"""),179.67)</f>
        <v>179.67</v>
      </c>
      <c r="Z133" s="26">
        <f>IFERROR(__xludf.DUMMYFUNCTION("""COMPUTED_VALUE"""),64.2)</f>
        <v>64.2</v>
      </c>
      <c r="AA133" s="26">
        <f>IFERROR(__xludf.DUMMYFUNCTION("""COMPUTED_VALUE"""),430.43)</f>
        <v>430.43</v>
      </c>
      <c r="AB133" s="26">
        <f>IFERROR(__xludf.DUMMYFUNCTION("""COMPUTED_VALUE"""),61.43)</f>
        <v>61.43</v>
      </c>
      <c r="AC133" s="26">
        <f>IFERROR(__xludf.DUMMYFUNCTION("""COMPUTED_VALUE"""),119.31)</f>
        <v>119.31</v>
      </c>
      <c r="AD133" s="26">
        <f>IFERROR(__xludf.DUMMYFUNCTION("""COMPUTED_VALUE"""),294.46)</f>
        <v>294.46</v>
      </c>
      <c r="AE133" s="26">
        <f>IFERROR(__xludf.DUMMYFUNCTION("""COMPUTED_VALUE"""),430.99)</f>
        <v>430.99</v>
      </c>
      <c r="AF133" s="26">
        <f>IFERROR(__xludf.DUMMYFUNCTION("""COMPUTED_VALUE"""),287.99)</f>
        <v>287.99</v>
      </c>
      <c r="AG133" s="26">
        <f>IFERROR(__xludf.DUMMYFUNCTION("""COMPUTED_VALUE"""),57.04)</f>
        <v>57.04</v>
      </c>
      <c r="AH133" s="26">
        <f>IFERROR(__xludf.DUMMYFUNCTION("""COMPUTED_VALUE"""),88.4)</f>
        <v>88.4</v>
      </c>
      <c r="AI133" s="26">
        <f>IFERROR(__xludf.DUMMYFUNCTION("""COMPUTED_VALUE"""),593.54)</f>
        <v>593.54</v>
      </c>
      <c r="AJ133" s="26">
        <f>IFERROR(__xludf.DUMMYFUNCTION("""COMPUTED_VALUE"""),408.18)</f>
        <v>408.18</v>
      </c>
      <c r="AK133" s="26">
        <f>IFERROR(__xludf.DUMMYFUNCTION("""COMPUTED_VALUE"""),120.76)</f>
        <v>120.76</v>
      </c>
      <c r="AL133" s="26">
        <f>IFERROR(__xludf.DUMMYFUNCTION("""COMPUTED_VALUE"""),155.55)</f>
        <v>155.55</v>
      </c>
      <c r="AM133" s="26">
        <f>IFERROR(__xludf.DUMMYFUNCTION("""COMPUTED_VALUE"""),527.61)</f>
        <v>527.61</v>
      </c>
      <c r="AN133" s="26">
        <f>IFERROR(__xludf.DUMMYFUNCTION("""COMPUTED_VALUE"""),245.31)</f>
        <v>245.31</v>
      </c>
      <c r="AO133" s="26">
        <f>IFERROR(__xludf.DUMMYFUNCTION("""COMPUTED_VALUE"""),534.83)</f>
        <v>534.83</v>
      </c>
      <c r="AP133" s="26">
        <f>IFERROR(__xludf.DUMMYFUNCTION("""COMPUTED_VALUE"""),320.01)</f>
        <v>320.01</v>
      </c>
      <c r="AQ133" s="26">
        <f>IFERROR(__xludf.DUMMYFUNCTION("""COMPUTED_VALUE"""),32.66)</f>
        <v>32.66</v>
      </c>
      <c r="AR133" s="26">
        <f>IFERROR(__xludf.DUMMYFUNCTION("""COMPUTED_VALUE"""),87.53)</f>
        <v>87.53</v>
      </c>
      <c r="AS133" s="26">
        <f>IFERROR(__xludf.DUMMYFUNCTION("""COMPUTED_VALUE"""),83.33)</f>
        <v>83.33</v>
      </c>
      <c r="AT133" s="26">
        <f>IFERROR(__xludf.DUMMYFUNCTION("""COMPUTED_VALUE"""),415.0)</f>
        <v>415</v>
      </c>
      <c r="AU133" s="26">
        <f>IFERROR(__xludf.DUMMYFUNCTION("""COMPUTED_VALUE"""),76.35)</f>
        <v>76.35</v>
      </c>
      <c r="AV133" s="26">
        <f>IFERROR(__xludf.DUMMYFUNCTION("""COMPUTED_VALUE"""),141.98)</f>
        <v>141.98</v>
      </c>
      <c r="AW133" s="26">
        <f>IFERROR(__xludf.DUMMYFUNCTION("""COMPUTED_VALUE"""),99.1)</f>
        <v>99.1</v>
      </c>
      <c r="AX133" s="26">
        <f>IFERROR(__xludf.DUMMYFUNCTION("""COMPUTED_VALUE"""),51.92)</f>
        <v>51.92</v>
      </c>
      <c r="AY133" s="26">
        <f>IFERROR(__xludf.DUMMYFUNCTION("""COMPUTED_VALUE"""),65.77)</f>
        <v>65.77</v>
      </c>
      <c r="AZ133" s="26">
        <f>IFERROR(__xludf.DUMMYFUNCTION("""COMPUTED_VALUE"""),85.83)</f>
        <v>85.83</v>
      </c>
      <c r="BA133" s="26">
        <f>IFERROR(__xludf.DUMMYFUNCTION("""COMPUTED_VALUE"""),24.8)</f>
        <v>24.8</v>
      </c>
      <c r="BB133" s="26">
        <f>IFERROR(__xludf.DUMMYFUNCTION("""COMPUTED_VALUE"""),118.53)</f>
        <v>118.53</v>
      </c>
      <c r="BC133" s="26">
        <f>IFERROR(__xludf.DUMMYFUNCTION("""COMPUTED_VALUE"""),235.61)</f>
        <v>235.61</v>
      </c>
      <c r="BD133" s="26">
        <f>IFERROR(__xludf.DUMMYFUNCTION("""COMPUTED_VALUE"""),513.08)</f>
        <v>513.08</v>
      </c>
      <c r="BE133" s="26">
        <f>IFERROR(__xludf.DUMMYFUNCTION("""COMPUTED_VALUE"""),172.84)</f>
        <v>172.84</v>
      </c>
      <c r="BF133" s="26">
        <f>IFERROR(__xludf.DUMMYFUNCTION("""COMPUTED_VALUE"""),80.48)</f>
        <v>80.48</v>
      </c>
      <c r="BG133" s="26">
        <f>IFERROR(__xludf.DUMMYFUNCTION("""COMPUTED_VALUE"""),9.94)</f>
        <v>9.94</v>
      </c>
      <c r="BH133" s="26">
        <f>IFERROR(__xludf.DUMMYFUNCTION("""COMPUTED_VALUE"""),235.57)</f>
        <v>235.57</v>
      </c>
      <c r="BI133" s="26">
        <f>IFERROR(__xludf.DUMMYFUNCTION("""COMPUTED_VALUE"""),592.23)</f>
        <v>592.23</v>
      </c>
      <c r="BJ133" s="26">
        <f>IFERROR(__xludf.DUMMYFUNCTION("""COMPUTED_VALUE"""),48.8)</f>
        <v>48.8</v>
      </c>
      <c r="BK133" s="26">
        <f>IFERROR(__xludf.DUMMYFUNCTION("""COMPUTED_VALUE"""),12.83)</f>
        <v>12.83</v>
      </c>
      <c r="BL133" s="26">
        <f>IFERROR(__xludf.DUMMYFUNCTION("""COMPUTED_VALUE"""),217.9)</f>
        <v>217.9</v>
      </c>
      <c r="BM133" s="26">
        <f>IFERROR(__xludf.DUMMYFUNCTION("""COMPUTED_VALUE"""),115.08)</f>
        <v>115.08</v>
      </c>
    </row>
    <row r="134">
      <c r="A134" s="25">
        <v>45615.66666666667</v>
      </c>
      <c r="B134" s="17">
        <f>IFERROR(__xludf.DUMMYFUNCTION("""COMPUTED_VALUE"""),5893.62)</f>
        <v>5893.62</v>
      </c>
      <c r="C134" s="17">
        <f>IFERROR(__xludf.DUMMYFUNCTION("""COMPUTED_VALUE"""),18791.81)</f>
        <v>18791.81</v>
      </c>
      <c r="D134" s="17">
        <f>IFERROR(__xludf.DUMMYFUNCTION("""COMPUTED_VALUE"""),43389.6)</f>
        <v>43389.6</v>
      </c>
      <c r="E134" s="17">
        <f>IFERROR(__xludf.DUMMYFUNCTION("""COMPUTED_VALUE"""),2306.34)</f>
        <v>2306.34</v>
      </c>
      <c r="F134" s="26">
        <f>IFERROR(__xludf.DUMMYFUNCTION("""COMPUTED_VALUE"""),499.51)</f>
        <v>499.51</v>
      </c>
      <c r="G134" s="26">
        <f>IFERROR(__xludf.DUMMYFUNCTION("""COMPUTED_VALUE"""),201.7)</f>
        <v>201.7</v>
      </c>
      <c r="H134" s="26">
        <f>IFERROR(__xludf.DUMMYFUNCTION("""COMPUTED_VALUE"""),136.67)</f>
        <v>136.67</v>
      </c>
      <c r="I134" s="26">
        <f>IFERROR(__xludf.DUMMYFUNCTION("""COMPUTED_VALUE"""),228.02)</f>
        <v>228.02</v>
      </c>
      <c r="J134" s="26">
        <f>IFERROR(__xludf.DUMMYFUNCTION("""COMPUTED_VALUE"""),170.73)</f>
        <v>170.73</v>
      </c>
      <c r="K134" s="26">
        <f>IFERROR(__xludf.DUMMYFUNCTION("""COMPUTED_VALUE"""),78.65)</f>
        <v>78.65</v>
      </c>
      <c r="L134" s="26">
        <f>IFERROR(__xludf.DUMMYFUNCTION("""COMPUTED_VALUE"""),13.26)</f>
        <v>13.26</v>
      </c>
      <c r="M134" s="26">
        <f>IFERROR(__xludf.DUMMYFUNCTION("""COMPUTED_VALUE"""),472.2)</f>
        <v>472.2</v>
      </c>
      <c r="N134" s="26">
        <f>IFERROR(__xludf.DUMMYFUNCTION("""COMPUTED_VALUE"""),52.49)</f>
        <v>52.49</v>
      </c>
      <c r="O134" s="26">
        <f>IFERROR(__xludf.DUMMYFUNCTION("""COMPUTED_VALUE"""),157.94)</f>
        <v>157.94</v>
      </c>
      <c r="P134" s="26">
        <f>IFERROR(__xludf.DUMMYFUNCTION("""COMPUTED_VALUE"""),74.05)</f>
        <v>74.05</v>
      </c>
      <c r="Q134" s="26">
        <f>IFERROR(__xludf.DUMMYFUNCTION("""COMPUTED_VALUE"""),384.46)</f>
        <v>384.46</v>
      </c>
      <c r="R134" s="26">
        <f>IFERROR(__xludf.DUMMYFUNCTION("""COMPUTED_VALUE"""),55.9)</f>
        <v>55.9</v>
      </c>
      <c r="S134" s="26">
        <f>IFERROR(__xludf.DUMMYFUNCTION("""COMPUTED_VALUE"""),173.53)</f>
        <v>173.53</v>
      </c>
      <c r="T134" s="26">
        <f>IFERROR(__xludf.DUMMYFUNCTION("""COMPUTED_VALUE"""),160.76)</f>
        <v>160.76</v>
      </c>
      <c r="U134" s="26">
        <f>IFERROR(__xludf.DUMMYFUNCTION("""COMPUTED_VALUE"""),322.45)</f>
        <v>322.45</v>
      </c>
      <c r="V134" s="26">
        <f>IFERROR(__xludf.DUMMYFUNCTION("""COMPUTED_VALUE"""),46.57)</f>
        <v>46.57</v>
      </c>
      <c r="W134" s="26">
        <f>IFERROR(__xludf.DUMMYFUNCTION("""COMPUTED_VALUE"""),61.86)</f>
        <v>61.86</v>
      </c>
      <c r="X134" s="26">
        <f>IFERROR(__xludf.DUMMYFUNCTION("""COMPUTED_VALUE"""),96.45)</f>
        <v>96.45</v>
      </c>
      <c r="Y134" s="26">
        <f>IFERROR(__xludf.DUMMYFUNCTION("""COMPUTED_VALUE"""),183.29)</f>
        <v>183.29</v>
      </c>
      <c r="Z134" s="26">
        <f>IFERROR(__xludf.DUMMYFUNCTION("""COMPUTED_VALUE"""),66.53)</f>
        <v>66.53</v>
      </c>
      <c r="AA134" s="26">
        <f>IFERROR(__xludf.DUMMYFUNCTION("""COMPUTED_VALUE"""),444.9)</f>
        <v>444.9</v>
      </c>
      <c r="AB134" s="26">
        <f>IFERROR(__xludf.DUMMYFUNCTION("""COMPUTED_VALUE"""),61.41)</f>
        <v>61.41</v>
      </c>
      <c r="AC134" s="26">
        <f>IFERROR(__xludf.DUMMYFUNCTION("""COMPUTED_VALUE"""),120.31)</f>
        <v>120.31</v>
      </c>
      <c r="AD134" s="26">
        <f>IFERROR(__xludf.DUMMYFUNCTION("""COMPUTED_VALUE"""),295.21)</f>
        <v>295.21</v>
      </c>
      <c r="AE134" s="26">
        <f>IFERROR(__xludf.DUMMYFUNCTION("""COMPUTED_VALUE"""),434.98)</f>
        <v>434.98</v>
      </c>
      <c r="AF134" s="26">
        <f>IFERROR(__xludf.DUMMYFUNCTION("""COMPUTED_VALUE"""),286.0)</f>
        <v>286</v>
      </c>
      <c r="AG134" s="26">
        <f>IFERROR(__xludf.DUMMYFUNCTION("""COMPUTED_VALUE"""),56.25)</f>
        <v>56.25</v>
      </c>
      <c r="AH134" s="26">
        <f>IFERROR(__xludf.DUMMYFUNCTION("""COMPUTED_VALUE"""),88.46)</f>
        <v>88.46</v>
      </c>
      <c r="AI134" s="26">
        <f>IFERROR(__xludf.DUMMYFUNCTION("""COMPUTED_VALUE"""),587.99)</f>
        <v>587.99</v>
      </c>
      <c r="AJ134" s="26">
        <f>IFERROR(__xludf.DUMMYFUNCTION("""COMPUTED_VALUE"""),410.44)</f>
        <v>410.44</v>
      </c>
      <c r="AK134" s="26">
        <f>IFERROR(__xludf.DUMMYFUNCTION("""COMPUTED_VALUE"""),118.87)</f>
        <v>118.87</v>
      </c>
      <c r="AL134" s="26">
        <f>IFERROR(__xludf.DUMMYFUNCTION("""COMPUTED_VALUE"""),157.69)</f>
        <v>157.69</v>
      </c>
      <c r="AM134" s="26">
        <f>IFERROR(__xludf.DUMMYFUNCTION("""COMPUTED_VALUE"""),531.64)</f>
        <v>531.64</v>
      </c>
      <c r="AN134" s="26">
        <f>IFERROR(__xludf.DUMMYFUNCTION("""COMPUTED_VALUE"""),245.03)</f>
        <v>245.03</v>
      </c>
      <c r="AO134" s="26">
        <f>IFERROR(__xludf.DUMMYFUNCTION("""COMPUTED_VALUE"""),530.96)</f>
        <v>530.96</v>
      </c>
      <c r="AP134" s="26">
        <f>IFERROR(__xludf.DUMMYFUNCTION("""COMPUTED_VALUE"""),309.53)</f>
        <v>309.53</v>
      </c>
      <c r="AQ134" s="26">
        <f>IFERROR(__xludf.DUMMYFUNCTION("""COMPUTED_VALUE"""),32.33)</f>
        <v>32.33</v>
      </c>
      <c r="AR134" s="26">
        <f>IFERROR(__xludf.DUMMYFUNCTION("""COMPUTED_VALUE"""),87.59)</f>
        <v>87.59</v>
      </c>
      <c r="AS134" s="26">
        <f>IFERROR(__xludf.DUMMYFUNCTION("""COMPUTED_VALUE"""),83.37)</f>
        <v>83.37</v>
      </c>
      <c r="AT134" s="26">
        <f>IFERROR(__xludf.DUMMYFUNCTION("""COMPUTED_VALUE"""),415.76)</f>
        <v>415.76</v>
      </c>
      <c r="AU134" s="26">
        <f>IFERROR(__xludf.DUMMYFUNCTION("""COMPUTED_VALUE"""),76.39)</f>
        <v>76.39</v>
      </c>
      <c r="AV134" s="26">
        <f>IFERROR(__xludf.DUMMYFUNCTION("""COMPUTED_VALUE"""),140.15)</f>
        <v>140.15</v>
      </c>
      <c r="AW134" s="26">
        <f>IFERROR(__xludf.DUMMYFUNCTION("""COMPUTED_VALUE"""),100.77)</f>
        <v>100.77</v>
      </c>
      <c r="AX134" s="26">
        <f>IFERROR(__xludf.DUMMYFUNCTION("""COMPUTED_VALUE"""),51.49)</f>
        <v>51.49</v>
      </c>
      <c r="AY134" s="26">
        <f>IFERROR(__xludf.DUMMYFUNCTION("""COMPUTED_VALUE"""),61.26)</f>
        <v>61.26</v>
      </c>
      <c r="AZ134" s="26">
        <f>IFERROR(__xludf.DUMMYFUNCTION("""COMPUTED_VALUE"""),84.67)</f>
        <v>84.67</v>
      </c>
      <c r="BA134" s="26">
        <f>IFERROR(__xludf.DUMMYFUNCTION("""COMPUTED_VALUE"""),24.86)</f>
        <v>24.86</v>
      </c>
      <c r="BB134" s="26">
        <f>IFERROR(__xludf.DUMMYFUNCTION("""COMPUTED_VALUE"""),119.39)</f>
        <v>119.39</v>
      </c>
      <c r="BC134" s="26">
        <f>IFERROR(__xludf.DUMMYFUNCTION("""COMPUTED_VALUE"""),237.03)</f>
        <v>237.03</v>
      </c>
      <c r="BD134" s="26">
        <f>IFERROR(__xludf.DUMMYFUNCTION("""COMPUTED_VALUE"""),501.29)</f>
        <v>501.29</v>
      </c>
      <c r="BE134" s="26">
        <f>IFERROR(__xludf.DUMMYFUNCTION("""COMPUTED_VALUE"""),174.78)</f>
        <v>174.78</v>
      </c>
      <c r="BF134" s="26">
        <f>IFERROR(__xludf.DUMMYFUNCTION("""COMPUTED_VALUE"""),80.93)</f>
        <v>80.93</v>
      </c>
      <c r="BG134" s="26">
        <f>IFERROR(__xludf.DUMMYFUNCTION("""COMPUTED_VALUE"""),9.8)</f>
        <v>9.8</v>
      </c>
      <c r="BH134" s="26">
        <f>IFERROR(__xludf.DUMMYFUNCTION("""COMPUTED_VALUE"""),234.41)</f>
        <v>234.41</v>
      </c>
      <c r="BI134" s="26">
        <f>IFERROR(__xludf.DUMMYFUNCTION("""COMPUTED_VALUE"""),589.65)</f>
        <v>589.65</v>
      </c>
      <c r="BJ134" s="26">
        <f>IFERROR(__xludf.DUMMYFUNCTION("""COMPUTED_VALUE"""),48.85)</f>
        <v>48.85</v>
      </c>
      <c r="BK134" s="26">
        <f>IFERROR(__xludf.DUMMYFUNCTION("""COMPUTED_VALUE"""),13.0)</f>
        <v>13</v>
      </c>
      <c r="BL134" s="26">
        <f>IFERROR(__xludf.DUMMYFUNCTION("""COMPUTED_VALUE"""),218.31)</f>
        <v>218.31</v>
      </c>
      <c r="BM134" s="26">
        <f>IFERROR(__xludf.DUMMYFUNCTION("""COMPUTED_VALUE"""),113.54)</f>
        <v>113.54</v>
      </c>
    </row>
    <row r="135">
      <c r="A135" s="25">
        <v>45616.66666666667</v>
      </c>
      <c r="B135" s="17">
        <f>IFERROR(__xludf.DUMMYFUNCTION("""COMPUTED_VALUE"""),5916.98)</f>
        <v>5916.98</v>
      </c>
      <c r="C135" s="17">
        <f>IFERROR(__xludf.DUMMYFUNCTION("""COMPUTED_VALUE"""),18987.47)</f>
        <v>18987.47</v>
      </c>
      <c r="D135" s="17">
        <f>IFERROR(__xludf.DUMMYFUNCTION("""COMPUTED_VALUE"""),43268.94)</f>
        <v>43268.94</v>
      </c>
      <c r="E135" s="17">
        <f>IFERROR(__xludf.DUMMYFUNCTION("""COMPUTED_VALUE"""),2324.83)</f>
        <v>2324.83</v>
      </c>
      <c r="F135" s="26">
        <f>IFERROR(__xludf.DUMMYFUNCTION("""COMPUTED_VALUE"""),499.61)</f>
        <v>499.61</v>
      </c>
      <c r="G135" s="26">
        <f>IFERROR(__xludf.DUMMYFUNCTION("""COMPUTED_VALUE"""),204.61)</f>
        <v>204.61</v>
      </c>
      <c r="H135" s="26">
        <f>IFERROR(__xludf.DUMMYFUNCTION("""COMPUTED_VALUE"""),138.2)</f>
        <v>138.2</v>
      </c>
      <c r="I135" s="26">
        <f>IFERROR(__xludf.DUMMYFUNCTION("""COMPUTED_VALUE"""),228.28)</f>
        <v>228.28</v>
      </c>
      <c r="J135" s="26">
        <f>IFERROR(__xludf.DUMMYFUNCTION("""COMPUTED_VALUE"""),169.31)</f>
        <v>169.31</v>
      </c>
      <c r="K135" s="26">
        <f>IFERROR(__xludf.DUMMYFUNCTION("""COMPUTED_VALUE"""),77.61)</f>
        <v>77.61</v>
      </c>
      <c r="L135" s="26">
        <f>IFERROR(__xludf.DUMMYFUNCTION("""COMPUTED_VALUE"""),13.08)</f>
        <v>13.08</v>
      </c>
      <c r="M135" s="26">
        <f>IFERROR(__xludf.DUMMYFUNCTION("""COMPUTED_VALUE"""),468.86)</f>
        <v>468.86</v>
      </c>
      <c r="N135" s="26">
        <f>IFERROR(__xludf.DUMMYFUNCTION("""COMPUTED_VALUE"""),52.68)</f>
        <v>52.68</v>
      </c>
      <c r="O135" s="26">
        <f>IFERROR(__xludf.DUMMYFUNCTION("""COMPUTED_VALUE"""),155.43)</f>
        <v>155.43</v>
      </c>
      <c r="P135" s="26">
        <f>IFERROR(__xludf.DUMMYFUNCTION("""COMPUTED_VALUE"""),74.33)</f>
        <v>74.33</v>
      </c>
      <c r="Q135" s="26">
        <f>IFERROR(__xludf.DUMMYFUNCTION("""COMPUTED_VALUE"""),382.33)</f>
        <v>382.33</v>
      </c>
      <c r="R135" s="26">
        <f>IFERROR(__xludf.DUMMYFUNCTION("""COMPUTED_VALUE"""),57.46)</f>
        <v>57.46</v>
      </c>
      <c r="S135" s="26">
        <f>IFERROR(__xludf.DUMMYFUNCTION("""COMPUTED_VALUE"""),174.56)</f>
        <v>174.56</v>
      </c>
      <c r="T135" s="26">
        <f>IFERROR(__xludf.DUMMYFUNCTION("""COMPUTED_VALUE"""),159.6)</f>
        <v>159.6</v>
      </c>
      <c r="U135" s="26">
        <f>IFERROR(__xludf.DUMMYFUNCTION("""COMPUTED_VALUE"""),322.5)</f>
        <v>322.5</v>
      </c>
      <c r="V135" s="26">
        <f>IFERROR(__xludf.DUMMYFUNCTION("""COMPUTED_VALUE"""),46.05)</f>
        <v>46.05</v>
      </c>
      <c r="W135" s="26">
        <f>IFERROR(__xludf.DUMMYFUNCTION("""COMPUTED_VALUE"""),62.59)</f>
        <v>62.59</v>
      </c>
      <c r="X135" s="26">
        <f>IFERROR(__xludf.DUMMYFUNCTION("""COMPUTED_VALUE"""),96.97)</f>
        <v>96.97</v>
      </c>
      <c r="Y135" s="26">
        <f>IFERROR(__xludf.DUMMYFUNCTION("""COMPUTED_VALUE"""),187.27)</f>
        <v>187.27</v>
      </c>
      <c r="Z135" s="26">
        <f>IFERROR(__xludf.DUMMYFUNCTION("""COMPUTED_VALUE"""),64.87)</f>
        <v>64.87</v>
      </c>
      <c r="AA135" s="26">
        <f>IFERROR(__xludf.DUMMYFUNCTION("""COMPUTED_VALUE"""),439.8)</f>
        <v>439.8</v>
      </c>
      <c r="AB135" s="26">
        <f>IFERROR(__xludf.DUMMYFUNCTION("""COMPUTED_VALUE"""),61.1)</f>
        <v>61.1</v>
      </c>
      <c r="AC135" s="26">
        <f>IFERROR(__xludf.DUMMYFUNCTION("""COMPUTED_VALUE"""),118.63)</f>
        <v>118.63</v>
      </c>
      <c r="AD135" s="26">
        <f>IFERROR(__xludf.DUMMYFUNCTION("""COMPUTED_VALUE"""),293.06)</f>
        <v>293.06</v>
      </c>
      <c r="AE135" s="26">
        <f>IFERROR(__xludf.DUMMYFUNCTION("""COMPUTED_VALUE"""),428.48)</f>
        <v>428.48</v>
      </c>
      <c r="AF135" s="26">
        <f>IFERROR(__xludf.DUMMYFUNCTION("""COMPUTED_VALUE"""),280.96)</f>
        <v>280.96</v>
      </c>
      <c r="AG135" s="26">
        <f>IFERROR(__xludf.DUMMYFUNCTION("""COMPUTED_VALUE"""),55.11)</f>
        <v>55.11</v>
      </c>
      <c r="AH135" s="26">
        <f>IFERROR(__xludf.DUMMYFUNCTION("""COMPUTED_VALUE"""),87.75)</f>
        <v>87.75</v>
      </c>
      <c r="AI135" s="26">
        <f>IFERROR(__xludf.DUMMYFUNCTION("""COMPUTED_VALUE"""),581.38)</f>
        <v>581.38</v>
      </c>
      <c r="AJ135" s="26">
        <f>IFERROR(__xludf.DUMMYFUNCTION("""COMPUTED_VALUE"""),406.8)</f>
        <v>406.8</v>
      </c>
      <c r="AK135" s="26">
        <f>IFERROR(__xludf.DUMMYFUNCTION("""COMPUTED_VALUE"""),120.3)</f>
        <v>120.3</v>
      </c>
      <c r="AL135" s="26">
        <f>IFERROR(__xludf.DUMMYFUNCTION("""COMPUTED_VALUE"""),157.93)</f>
        <v>157.93</v>
      </c>
      <c r="AM135" s="26">
        <f>IFERROR(__xludf.DUMMYFUNCTION("""COMPUTED_VALUE"""),538.82)</f>
        <v>538.82</v>
      </c>
      <c r="AN135" s="26">
        <f>IFERROR(__xludf.DUMMYFUNCTION("""COMPUTED_VALUE"""),243.09)</f>
        <v>243.09</v>
      </c>
      <c r="AO135" s="26">
        <f>IFERROR(__xludf.DUMMYFUNCTION("""COMPUTED_VALUE"""),533.26)</f>
        <v>533.26</v>
      </c>
      <c r="AP135" s="26">
        <f>IFERROR(__xludf.DUMMYFUNCTION("""COMPUTED_VALUE"""),301.85)</f>
        <v>301.85</v>
      </c>
      <c r="AQ135" s="26">
        <f>IFERROR(__xludf.DUMMYFUNCTION("""COMPUTED_VALUE"""),32.57)</f>
        <v>32.57</v>
      </c>
      <c r="AR135" s="26">
        <f>IFERROR(__xludf.DUMMYFUNCTION("""COMPUTED_VALUE"""),85.0)</f>
        <v>85</v>
      </c>
      <c r="AS135" s="26">
        <f>IFERROR(__xludf.DUMMYFUNCTION("""COMPUTED_VALUE"""),82.63)</f>
        <v>82.63</v>
      </c>
      <c r="AT135" s="26">
        <f>IFERROR(__xludf.DUMMYFUNCTION("""COMPUTED_VALUE"""),417.79)</f>
        <v>417.79</v>
      </c>
      <c r="AU135" s="26">
        <f>IFERROR(__xludf.DUMMYFUNCTION("""COMPUTED_VALUE"""),77.08)</f>
        <v>77.08</v>
      </c>
      <c r="AV135" s="26">
        <f>IFERROR(__xludf.DUMMYFUNCTION("""COMPUTED_VALUE"""),147.01)</f>
        <v>147.01</v>
      </c>
      <c r="AW135" s="26">
        <f>IFERROR(__xludf.DUMMYFUNCTION("""COMPUTED_VALUE"""),100.28)</f>
        <v>100.28</v>
      </c>
      <c r="AX135" s="26">
        <f>IFERROR(__xludf.DUMMYFUNCTION("""COMPUTED_VALUE"""),53.4)</f>
        <v>53.4</v>
      </c>
      <c r="AY135" s="26">
        <f>IFERROR(__xludf.DUMMYFUNCTION("""COMPUTED_VALUE"""),62.98)</f>
        <v>62.98</v>
      </c>
      <c r="AZ135" s="26">
        <f>IFERROR(__xludf.DUMMYFUNCTION("""COMPUTED_VALUE"""),84.09)</f>
        <v>84.09</v>
      </c>
      <c r="BA135" s="26">
        <f>IFERROR(__xludf.DUMMYFUNCTION("""COMPUTED_VALUE"""),25.1)</f>
        <v>25.1</v>
      </c>
      <c r="BB135" s="26">
        <f>IFERROR(__xludf.DUMMYFUNCTION("""COMPUTED_VALUE"""),118.96)</f>
        <v>118.96</v>
      </c>
      <c r="BC135" s="26">
        <f>IFERROR(__xludf.DUMMYFUNCTION("""COMPUTED_VALUE"""),233.2)</f>
        <v>233.2</v>
      </c>
      <c r="BD135" s="26">
        <f>IFERROR(__xludf.DUMMYFUNCTION("""COMPUTED_VALUE"""),509.12)</f>
        <v>509.12</v>
      </c>
      <c r="BE135" s="26">
        <f>IFERROR(__xludf.DUMMYFUNCTION("""COMPUTED_VALUE"""),175.39)</f>
        <v>175.39</v>
      </c>
      <c r="BF135" s="26">
        <f>IFERROR(__xludf.DUMMYFUNCTION("""COMPUTED_VALUE"""),82.92)</f>
        <v>82.92</v>
      </c>
      <c r="BG135" s="26">
        <f>IFERROR(__xludf.DUMMYFUNCTION("""COMPUTED_VALUE"""),9.39)</f>
        <v>9.39</v>
      </c>
      <c r="BH135" s="26">
        <f>IFERROR(__xludf.DUMMYFUNCTION("""COMPUTED_VALUE"""),233.29)</f>
        <v>233.29</v>
      </c>
      <c r="BI135" s="26">
        <f>IFERROR(__xludf.DUMMYFUNCTION("""COMPUTED_VALUE"""),577.0)</f>
        <v>577</v>
      </c>
      <c r="BJ135" s="26">
        <f>IFERROR(__xludf.DUMMYFUNCTION("""COMPUTED_VALUE"""),48.89)</f>
        <v>48.89</v>
      </c>
      <c r="BK135" s="26">
        <f>IFERROR(__xludf.DUMMYFUNCTION("""COMPUTED_VALUE"""),13.05)</f>
        <v>13.05</v>
      </c>
      <c r="BL135" s="26">
        <f>IFERROR(__xludf.DUMMYFUNCTION("""COMPUTED_VALUE"""),219.05)</f>
        <v>219.05</v>
      </c>
      <c r="BM135" s="26">
        <f>IFERROR(__xludf.DUMMYFUNCTION("""COMPUTED_VALUE"""),112.42)</f>
        <v>112.42</v>
      </c>
    </row>
    <row r="136">
      <c r="A136" s="25">
        <v>45617.66666666667</v>
      </c>
      <c r="B136" s="17">
        <f>IFERROR(__xludf.DUMMYFUNCTION("""COMPUTED_VALUE"""),5917.11)</f>
        <v>5917.11</v>
      </c>
      <c r="C136" s="17">
        <f>IFERROR(__xludf.DUMMYFUNCTION("""COMPUTED_VALUE"""),18966.14)</f>
        <v>18966.14</v>
      </c>
      <c r="D136" s="17">
        <f>IFERROR(__xludf.DUMMYFUNCTION("""COMPUTED_VALUE"""),43408.47)</f>
        <v>43408.47</v>
      </c>
      <c r="E136" s="17">
        <f>IFERROR(__xludf.DUMMYFUNCTION("""COMPUTED_VALUE"""),2325.53)</f>
        <v>2325.53</v>
      </c>
      <c r="F136" s="26">
        <f>IFERROR(__xludf.DUMMYFUNCTION("""COMPUTED_VALUE"""),499.5)</f>
        <v>499.5</v>
      </c>
      <c r="G136" s="26">
        <f>IFERROR(__xludf.DUMMYFUNCTION("""COMPUTED_VALUE"""),202.88)</f>
        <v>202.88</v>
      </c>
      <c r="H136" s="26">
        <f>IFERROR(__xludf.DUMMYFUNCTION("""COMPUTED_VALUE"""),137.89)</f>
        <v>137.89</v>
      </c>
      <c r="I136" s="26">
        <f>IFERROR(__xludf.DUMMYFUNCTION("""COMPUTED_VALUE"""),229.0)</f>
        <v>229</v>
      </c>
      <c r="J136" s="26">
        <f>IFERROR(__xludf.DUMMYFUNCTION("""COMPUTED_VALUE"""),170.49)</f>
        <v>170.49</v>
      </c>
      <c r="K136" s="26">
        <f>IFERROR(__xludf.DUMMYFUNCTION("""COMPUTED_VALUE"""),77.87)</f>
        <v>77.87</v>
      </c>
      <c r="L136" s="26">
        <f>IFERROR(__xludf.DUMMYFUNCTION("""COMPUTED_VALUE"""),13.24)</f>
        <v>13.24</v>
      </c>
      <c r="M136" s="26">
        <f>IFERROR(__xludf.DUMMYFUNCTION("""COMPUTED_VALUE"""),468.83)</f>
        <v>468.83</v>
      </c>
      <c r="N136" s="26">
        <f>IFERROR(__xludf.DUMMYFUNCTION("""COMPUTED_VALUE"""),52.27)</f>
        <v>52.27</v>
      </c>
      <c r="O136" s="26">
        <f>IFERROR(__xludf.DUMMYFUNCTION("""COMPUTED_VALUE"""),156.0)</f>
        <v>156</v>
      </c>
      <c r="P136" s="26">
        <f>IFERROR(__xludf.DUMMYFUNCTION("""COMPUTED_VALUE"""),74.5)</f>
        <v>74.5</v>
      </c>
      <c r="Q136" s="26">
        <f>IFERROR(__xludf.DUMMYFUNCTION("""COMPUTED_VALUE"""),381.5)</f>
        <v>381.5</v>
      </c>
      <c r="R136" s="26">
        <f>IFERROR(__xludf.DUMMYFUNCTION("""COMPUTED_VALUE"""),57.61)</f>
        <v>57.61</v>
      </c>
      <c r="S136" s="26">
        <f>IFERROR(__xludf.DUMMYFUNCTION("""COMPUTED_VALUE"""),176.83)</f>
        <v>176.83</v>
      </c>
      <c r="T136" s="26">
        <f>IFERROR(__xludf.DUMMYFUNCTION("""COMPUTED_VALUE"""),161.33)</f>
        <v>161.33</v>
      </c>
      <c r="U136" s="26">
        <f>IFERROR(__xludf.DUMMYFUNCTION("""COMPUTED_VALUE"""),323.39)</f>
        <v>323.39</v>
      </c>
      <c r="V136" s="26">
        <f>IFERROR(__xludf.DUMMYFUNCTION("""COMPUTED_VALUE"""),46.12)</f>
        <v>46.12</v>
      </c>
      <c r="W136" s="26">
        <f>IFERROR(__xludf.DUMMYFUNCTION("""COMPUTED_VALUE"""),62.99)</f>
        <v>62.99</v>
      </c>
      <c r="X136" s="26">
        <f>IFERROR(__xludf.DUMMYFUNCTION("""COMPUTED_VALUE"""),97.88)</f>
        <v>97.88</v>
      </c>
      <c r="Y136" s="26">
        <f>IFERROR(__xludf.DUMMYFUNCTION("""COMPUTED_VALUE"""),185.91)</f>
        <v>185.91</v>
      </c>
      <c r="Z136" s="26">
        <f>IFERROR(__xludf.DUMMYFUNCTION("""COMPUTED_VALUE"""),63.18)</f>
        <v>63.18</v>
      </c>
      <c r="AA136" s="26">
        <f>IFERROR(__xludf.DUMMYFUNCTION("""COMPUTED_VALUE"""),438.97)</f>
        <v>438.97</v>
      </c>
      <c r="AB136" s="26">
        <f>IFERROR(__xludf.DUMMYFUNCTION("""COMPUTED_VALUE"""),60.82)</f>
        <v>60.82</v>
      </c>
      <c r="AC136" s="26">
        <f>IFERROR(__xludf.DUMMYFUNCTION("""COMPUTED_VALUE"""),120.32)</f>
        <v>120.32</v>
      </c>
      <c r="AD136" s="26">
        <f>IFERROR(__xludf.DUMMYFUNCTION("""COMPUTED_VALUE"""),288.03)</f>
        <v>288.03</v>
      </c>
      <c r="AE136" s="26">
        <f>IFERROR(__xludf.DUMMYFUNCTION("""COMPUTED_VALUE"""),427.16)</f>
        <v>427.16</v>
      </c>
      <c r="AF136" s="26">
        <f>IFERROR(__xludf.DUMMYFUNCTION("""COMPUTED_VALUE"""),280.05)</f>
        <v>280.05</v>
      </c>
      <c r="AG136" s="26">
        <f>IFERROR(__xludf.DUMMYFUNCTION("""COMPUTED_VALUE"""),54.87)</f>
        <v>54.87</v>
      </c>
      <c r="AH136" s="26">
        <f>IFERROR(__xludf.DUMMYFUNCTION("""COMPUTED_VALUE"""),88.63)</f>
        <v>88.63</v>
      </c>
      <c r="AI136" s="26">
        <f>IFERROR(__xludf.DUMMYFUNCTION("""COMPUTED_VALUE"""),581.93)</f>
        <v>581.93</v>
      </c>
      <c r="AJ136" s="26">
        <f>IFERROR(__xludf.DUMMYFUNCTION("""COMPUTED_VALUE"""),400.0)</f>
        <v>400</v>
      </c>
      <c r="AK136" s="26">
        <f>IFERROR(__xludf.DUMMYFUNCTION("""COMPUTED_VALUE"""),120.56)</f>
        <v>120.56</v>
      </c>
      <c r="AL136" s="26">
        <f>IFERROR(__xludf.DUMMYFUNCTION("""COMPUTED_VALUE"""),155.77)</f>
        <v>155.77</v>
      </c>
      <c r="AM136" s="26">
        <f>IFERROR(__xludf.DUMMYFUNCTION("""COMPUTED_VALUE"""),541.82)</f>
        <v>541.82</v>
      </c>
      <c r="AN136" s="26">
        <f>IFERROR(__xludf.DUMMYFUNCTION("""COMPUTED_VALUE"""),240.78)</f>
        <v>240.78</v>
      </c>
      <c r="AO136" s="26">
        <f>IFERROR(__xludf.DUMMYFUNCTION("""COMPUTED_VALUE"""),534.73)</f>
        <v>534.73</v>
      </c>
      <c r="AP136" s="26">
        <f>IFERROR(__xludf.DUMMYFUNCTION("""COMPUTED_VALUE"""),308.31)</f>
        <v>308.31</v>
      </c>
      <c r="AQ136" s="26">
        <f>IFERROR(__xludf.DUMMYFUNCTION("""COMPUTED_VALUE"""),32.17)</f>
        <v>32.17</v>
      </c>
      <c r="AR136" s="26">
        <f>IFERROR(__xludf.DUMMYFUNCTION("""COMPUTED_VALUE"""),84.11)</f>
        <v>84.11</v>
      </c>
      <c r="AS136" s="26">
        <f>IFERROR(__xludf.DUMMYFUNCTION("""COMPUTED_VALUE"""),82.6)</f>
        <v>82.6</v>
      </c>
      <c r="AT136" s="26">
        <f>IFERROR(__xludf.DUMMYFUNCTION("""COMPUTED_VALUE"""),415.49)</f>
        <v>415.49</v>
      </c>
      <c r="AU136" s="26">
        <f>IFERROR(__xludf.DUMMYFUNCTION("""COMPUTED_VALUE"""),76.88)</f>
        <v>76.88</v>
      </c>
      <c r="AV136" s="26">
        <f>IFERROR(__xludf.DUMMYFUNCTION("""COMPUTED_VALUE"""),145.89)</f>
        <v>145.89</v>
      </c>
      <c r="AW136" s="26">
        <f>IFERROR(__xludf.DUMMYFUNCTION("""COMPUTED_VALUE"""),99.69)</f>
        <v>99.69</v>
      </c>
      <c r="AX136" s="26">
        <f>IFERROR(__xludf.DUMMYFUNCTION("""COMPUTED_VALUE"""),53.74)</f>
        <v>53.74</v>
      </c>
      <c r="AY136" s="26">
        <f>IFERROR(__xludf.DUMMYFUNCTION("""COMPUTED_VALUE"""),62.12)</f>
        <v>62.12</v>
      </c>
      <c r="AZ136" s="26">
        <f>IFERROR(__xludf.DUMMYFUNCTION("""COMPUTED_VALUE"""),84.74)</f>
        <v>84.74</v>
      </c>
      <c r="BA136" s="26">
        <f>IFERROR(__xludf.DUMMYFUNCTION("""COMPUTED_VALUE"""),24.94)</f>
        <v>24.94</v>
      </c>
      <c r="BB136" s="26">
        <f>IFERROR(__xludf.DUMMYFUNCTION("""COMPUTED_VALUE"""),119.15)</f>
        <v>119.15</v>
      </c>
      <c r="BC136" s="26">
        <f>IFERROR(__xludf.DUMMYFUNCTION("""COMPUTED_VALUE"""),235.47)</f>
        <v>235.47</v>
      </c>
      <c r="BD136" s="26">
        <f>IFERROR(__xludf.DUMMYFUNCTION("""COMPUTED_VALUE"""),512.84)</f>
        <v>512.84</v>
      </c>
      <c r="BE136" s="26">
        <f>IFERROR(__xludf.DUMMYFUNCTION("""COMPUTED_VALUE"""),172.91)</f>
        <v>172.91</v>
      </c>
      <c r="BF136" s="26">
        <f>IFERROR(__xludf.DUMMYFUNCTION("""COMPUTED_VALUE"""),77.2)</f>
        <v>77.2</v>
      </c>
      <c r="BG136" s="26">
        <f>IFERROR(__xludf.DUMMYFUNCTION("""COMPUTED_VALUE"""),9.12)</f>
        <v>9.12</v>
      </c>
      <c r="BH136" s="26">
        <f>IFERROR(__xludf.DUMMYFUNCTION("""COMPUTED_VALUE"""),233.56)</f>
        <v>233.56</v>
      </c>
      <c r="BI136" s="26">
        <f>IFERROR(__xludf.DUMMYFUNCTION("""COMPUTED_VALUE"""),600.5)</f>
        <v>600.5</v>
      </c>
      <c r="BJ136" s="26">
        <f>IFERROR(__xludf.DUMMYFUNCTION("""COMPUTED_VALUE"""),48.9)</f>
        <v>48.9</v>
      </c>
      <c r="BK136" s="26">
        <f>IFERROR(__xludf.DUMMYFUNCTION("""COMPUTED_VALUE"""),13.13)</f>
        <v>13.13</v>
      </c>
      <c r="BL136" s="26">
        <f>IFERROR(__xludf.DUMMYFUNCTION("""COMPUTED_VALUE"""),218.78)</f>
        <v>218.78</v>
      </c>
      <c r="BM136" s="26">
        <f>IFERROR(__xludf.DUMMYFUNCTION("""COMPUTED_VALUE"""),114.26)</f>
        <v>114.26</v>
      </c>
    </row>
    <row r="137">
      <c r="A137" s="25">
        <v>45618.66666666667</v>
      </c>
      <c r="B137" s="17">
        <f>IFERROR(__xludf.DUMMYFUNCTION("""COMPUTED_VALUE"""),5948.71)</f>
        <v>5948.71</v>
      </c>
      <c r="C137" s="17">
        <f>IFERROR(__xludf.DUMMYFUNCTION("""COMPUTED_VALUE"""),18972.42)</f>
        <v>18972.42</v>
      </c>
      <c r="D137" s="17">
        <f>IFERROR(__xludf.DUMMYFUNCTION("""COMPUTED_VALUE"""),43870.35)</f>
        <v>43870.35</v>
      </c>
      <c r="E137" s="17">
        <f>IFERROR(__xludf.DUMMYFUNCTION("""COMPUTED_VALUE"""),2364.02)</f>
        <v>2364.02</v>
      </c>
      <c r="F137" s="26">
        <f>IFERROR(__xludf.DUMMYFUNCTION("""COMPUTED_VALUE"""),504.44)</f>
        <v>504.44</v>
      </c>
      <c r="G137" s="26">
        <f>IFERROR(__xludf.DUMMYFUNCTION("""COMPUTED_VALUE"""),198.38)</f>
        <v>198.38</v>
      </c>
      <c r="H137" s="26">
        <f>IFERROR(__xludf.DUMMYFUNCTION("""COMPUTED_VALUE"""),138.79)</f>
        <v>138.79</v>
      </c>
      <c r="I137" s="26">
        <f>IFERROR(__xludf.DUMMYFUNCTION("""COMPUTED_VALUE"""),228.52)</f>
        <v>228.52</v>
      </c>
      <c r="J137" s="26">
        <f>IFERROR(__xludf.DUMMYFUNCTION("""COMPUTED_VALUE"""),175.75)</f>
        <v>175.75</v>
      </c>
      <c r="K137" s="26">
        <f>IFERROR(__xludf.DUMMYFUNCTION("""COMPUTED_VALUE"""),78.88)</f>
        <v>78.88</v>
      </c>
      <c r="L137" s="26">
        <f>IFERROR(__xludf.DUMMYFUNCTION("""COMPUTED_VALUE"""),13.32)</f>
        <v>13.32</v>
      </c>
      <c r="M137" s="26">
        <f>IFERROR(__xludf.DUMMYFUNCTION("""COMPUTED_VALUE"""),472.06)</f>
        <v>472.06</v>
      </c>
      <c r="N137" s="26">
        <f>IFERROR(__xludf.DUMMYFUNCTION("""COMPUTED_VALUE"""),52.02)</f>
        <v>52.02</v>
      </c>
      <c r="O137" s="26">
        <f>IFERROR(__xludf.DUMMYFUNCTION("""COMPUTED_VALUE"""),158.01)</f>
        <v>158.01</v>
      </c>
      <c r="P137" s="26">
        <f>IFERROR(__xludf.DUMMYFUNCTION("""COMPUTED_VALUE"""),76.01)</f>
        <v>76.01</v>
      </c>
      <c r="Q137" s="26">
        <f>IFERROR(__xludf.DUMMYFUNCTION("""COMPUTED_VALUE"""),389.59)</f>
        <v>389.59</v>
      </c>
      <c r="R137" s="26">
        <f>IFERROR(__xludf.DUMMYFUNCTION("""COMPUTED_VALUE"""),60.93)</f>
        <v>60.93</v>
      </c>
      <c r="S137" s="26">
        <f>IFERROR(__xludf.DUMMYFUNCTION("""COMPUTED_VALUE"""),181.99)</f>
        <v>181.99</v>
      </c>
      <c r="T137" s="26">
        <f>IFERROR(__xludf.DUMMYFUNCTION("""COMPUTED_VALUE"""),161.63)</f>
        <v>161.63</v>
      </c>
      <c r="U137" s="26">
        <f>IFERROR(__xludf.DUMMYFUNCTION("""COMPUTED_VALUE"""),330.07)</f>
        <v>330.07</v>
      </c>
      <c r="V137" s="26">
        <f>IFERROR(__xludf.DUMMYFUNCTION("""COMPUTED_VALUE"""),46.77)</f>
        <v>46.77</v>
      </c>
      <c r="W137" s="26">
        <f>IFERROR(__xludf.DUMMYFUNCTION("""COMPUTED_VALUE"""),63.76)</f>
        <v>63.76</v>
      </c>
      <c r="X137" s="26">
        <f>IFERROR(__xludf.DUMMYFUNCTION("""COMPUTED_VALUE"""),98.7)</f>
        <v>98.7</v>
      </c>
      <c r="Y137" s="26">
        <f>IFERROR(__xludf.DUMMYFUNCTION("""COMPUTED_VALUE"""),187.37)</f>
        <v>187.37</v>
      </c>
      <c r="Z137" s="26">
        <f>IFERROR(__xludf.DUMMYFUNCTION("""COMPUTED_VALUE"""),65.76)</f>
        <v>65.76</v>
      </c>
      <c r="AA137" s="26">
        <f>IFERROR(__xludf.DUMMYFUNCTION("""COMPUTED_VALUE"""),445.85)</f>
        <v>445.85</v>
      </c>
      <c r="AB137" s="26">
        <f>IFERROR(__xludf.DUMMYFUNCTION("""COMPUTED_VALUE"""),61.41)</f>
        <v>61.41</v>
      </c>
      <c r="AC137" s="26">
        <f>IFERROR(__xludf.DUMMYFUNCTION("""COMPUTED_VALUE"""),121.93)</f>
        <v>121.93</v>
      </c>
      <c r="AD137" s="26">
        <f>IFERROR(__xludf.DUMMYFUNCTION("""COMPUTED_VALUE"""),295.16)</f>
        <v>295.16</v>
      </c>
      <c r="AE137" s="26">
        <f>IFERROR(__xludf.DUMMYFUNCTION("""COMPUTED_VALUE"""),429.51)</f>
        <v>429.51</v>
      </c>
      <c r="AF137" s="26">
        <f>IFERROR(__xludf.DUMMYFUNCTION("""COMPUTED_VALUE"""),279.93)</f>
        <v>279.93</v>
      </c>
      <c r="AG137" s="26">
        <f>IFERROR(__xludf.DUMMYFUNCTION("""COMPUTED_VALUE"""),55.68)</f>
        <v>55.68</v>
      </c>
      <c r="AH137" s="26">
        <f>IFERROR(__xludf.DUMMYFUNCTION("""COMPUTED_VALUE"""),89.76)</f>
        <v>89.76</v>
      </c>
      <c r="AI137" s="26">
        <f>IFERROR(__xludf.DUMMYFUNCTION("""COMPUTED_VALUE"""),596.11)</f>
        <v>596.11</v>
      </c>
      <c r="AJ137" s="26">
        <f>IFERROR(__xludf.DUMMYFUNCTION("""COMPUTED_VALUE"""),410.45)</f>
        <v>410.45</v>
      </c>
      <c r="AK137" s="26">
        <f>IFERROR(__xludf.DUMMYFUNCTION("""COMPUTED_VALUE"""),122.01)</f>
        <v>122.01</v>
      </c>
      <c r="AL137" s="26">
        <f>IFERROR(__xludf.DUMMYFUNCTION("""COMPUTED_VALUE"""),158.35)</f>
        <v>158.35</v>
      </c>
      <c r="AM137" s="26">
        <f>IFERROR(__xludf.DUMMYFUNCTION("""COMPUTED_VALUE"""),550.62)</f>
        <v>550.62</v>
      </c>
      <c r="AN137" s="26">
        <f>IFERROR(__xludf.DUMMYFUNCTION("""COMPUTED_VALUE"""),244.76)</f>
        <v>244.76</v>
      </c>
      <c r="AO137" s="26">
        <f>IFERROR(__xludf.DUMMYFUNCTION("""COMPUTED_VALUE"""),542.01)</f>
        <v>542.01</v>
      </c>
      <c r="AP137" s="26">
        <f>IFERROR(__xludf.DUMMYFUNCTION("""COMPUTED_VALUE"""),315.14)</f>
        <v>315.14</v>
      </c>
      <c r="AQ137" s="26">
        <f>IFERROR(__xludf.DUMMYFUNCTION("""COMPUTED_VALUE"""),32.68)</f>
        <v>32.68</v>
      </c>
      <c r="AR137" s="26">
        <f>IFERROR(__xludf.DUMMYFUNCTION("""COMPUTED_VALUE"""),84.74)</f>
        <v>84.74</v>
      </c>
      <c r="AS137" s="26">
        <f>IFERROR(__xludf.DUMMYFUNCTION("""COMPUTED_VALUE"""),85.19)</f>
        <v>85.19</v>
      </c>
      <c r="AT137" s="26">
        <f>IFERROR(__xludf.DUMMYFUNCTION("""COMPUTED_VALUE"""),412.87)</f>
        <v>412.87</v>
      </c>
      <c r="AU137" s="26">
        <f>IFERROR(__xludf.DUMMYFUNCTION("""COMPUTED_VALUE"""),77.36)</f>
        <v>77.36</v>
      </c>
      <c r="AV137" s="26">
        <f>IFERROR(__xludf.DUMMYFUNCTION("""COMPUTED_VALUE"""),146.67)</f>
        <v>146.67</v>
      </c>
      <c r="AW137" s="26">
        <f>IFERROR(__xludf.DUMMYFUNCTION("""COMPUTED_VALUE"""),99.95)</f>
        <v>99.95</v>
      </c>
      <c r="AX137" s="26">
        <f>IFERROR(__xludf.DUMMYFUNCTION("""COMPUTED_VALUE"""),56.19)</f>
        <v>56.19</v>
      </c>
      <c r="AY137" s="26">
        <f>IFERROR(__xludf.DUMMYFUNCTION("""COMPUTED_VALUE"""),61.36)</f>
        <v>61.36</v>
      </c>
      <c r="AZ137" s="26">
        <f>IFERROR(__xludf.DUMMYFUNCTION("""COMPUTED_VALUE"""),84.82)</f>
        <v>84.82</v>
      </c>
      <c r="BA137" s="26">
        <f>IFERROR(__xludf.DUMMYFUNCTION("""COMPUTED_VALUE"""),25.13)</f>
        <v>25.13</v>
      </c>
      <c r="BB137" s="26">
        <f>IFERROR(__xludf.DUMMYFUNCTION("""COMPUTED_VALUE"""),120.53)</f>
        <v>120.53</v>
      </c>
      <c r="BC137" s="26">
        <f>IFERROR(__xludf.DUMMYFUNCTION("""COMPUTED_VALUE"""),236.58)</f>
        <v>236.58</v>
      </c>
      <c r="BD137" s="26">
        <f>IFERROR(__xludf.DUMMYFUNCTION("""COMPUTED_VALUE"""),516.1)</f>
        <v>516.1</v>
      </c>
      <c r="BE137" s="26">
        <f>IFERROR(__xludf.DUMMYFUNCTION("""COMPUTED_VALUE"""),173.38)</f>
        <v>173.38</v>
      </c>
      <c r="BF137" s="26">
        <f>IFERROR(__xludf.DUMMYFUNCTION("""COMPUTED_VALUE"""),79.34)</f>
        <v>79.34</v>
      </c>
      <c r="BG137" s="26">
        <f>IFERROR(__xludf.DUMMYFUNCTION("""COMPUTED_VALUE"""),9.24)</f>
        <v>9.24</v>
      </c>
      <c r="BH137" s="26">
        <f>IFERROR(__xludf.DUMMYFUNCTION("""COMPUTED_VALUE"""),239.02)</f>
        <v>239.02</v>
      </c>
      <c r="BI137" s="26">
        <f>IFERROR(__xludf.DUMMYFUNCTION("""COMPUTED_VALUE"""),597.49)</f>
        <v>597.49</v>
      </c>
      <c r="BJ137" s="26">
        <f>IFERROR(__xludf.DUMMYFUNCTION("""COMPUTED_VALUE"""),48.86)</f>
        <v>48.86</v>
      </c>
      <c r="BK137" s="26">
        <f>IFERROR(__xludf.DUMMYFUNCTION("""COMPUTED_VALUE"""),13.25)</f>
        <v>13.25</v>
      </c>
      <c r="BL137" s="26">
        <f>IFERROR(__xludf.DUMMYFUNCTION("""COMPUTED_VALUE"""),221.53)</f>
        <v>221.53</v>
      </c>
      <c r="BM137" s="26">
        <f>IFERROR(__xludf.DUMMYFUNCTION("""COMPUTED_VALUE"""),114.72)</f>
        <v>114.72</v>
      </c>
    </row>
    <row r="138">
      <c r="A138" s="25">
        <v>45621.66666666667</v>
      </c>
      <c r="B138" s="17">
        <f>IFERROR(__xludf.DUMMYFUNCTION("""COMPUTED_VALUE"""),5969.34)</f>
        <v>5969.34</v>
      </c>
      <c r="C138" s="17">
        <f>IFERROR(__xludf.DUMMYFUNCTION("""COMPUTED_VALUE"""),19003.65)</f>
        <v>19003.65</v>
      </c>
      <c r="D138" s="17">
        <f>IFERROR(__xludf.DUMMYFUNCTION("""COMPUTED_VALUE"""),44296.51)</f>
        <v>44296.51</v>
      </c>
      <c r="E138" s="17">
        <f>IFERROR(__xludf.DUMMYFUNCTION("""COMPUTED_VALUE"""),2406.67)</f>
        <v>2406.67</v>
      </c>
      <c r="F138" s="26">
        <f>IFERROR(__xludf.DUMMYFUNCTION("""COMPUTED_VALUE"""),512.15)</f>
        <v>512.15</v>
      </c>
      <c r="G138" s="26">
        <f>IFERROR(__xludf.DUMMYFUNCTION("""COMPUTED_VALUE"""),197.12)</f>
        <v>197.12</v>
      </c>
      <c r="H138" s="26">
        <f>IFERROR(__xludf.DUMMYFUNCTION("""COMPUTED_VALUE"""),137.31)</f>
        <v>137.31</v>
      </c>
      <c r="I138" s="26">
        <f>IFERROR(__xludf.DUMMYFUNCTION("""COMPUTED_VALUE"""),229.87)</f>
        <v>229.87</v>
      </c>
      <c r="J138" s="26">
        <f>IFERROR(__xludf.DUMMYFUNCTION("""COMPUTED_VALUE"""),174.88)</f>
        <v>174.88</v>
      </c>
      <c r="K138" s="26">
        <f>IFERROR(__xludf.DUMMYFUNCTION("""COMPUTED_VALUE"""),80.14)</f>
        <v>80.14</v>
      </c>
      <c r="L138" s="26">
        <f>IFERROR(__xludf.DUMMYFUNCTION("""COMPUTED_VALUE"""),12.97)</f>
        <v>12.97</v>
      </c>
      <c r="M138" s="26">
        <f>IFERROR(__xludf.DUMMYFUNCTION("""COMPUTED_VALUE"""),476.57)</f>
        <v>476.57</v>
      </c>
      <c r="N138" s="26">
        <f>IFERROR(__xludf.DUMMYFUNCTION("""COMPUTED_VALUE"""),52.36)</f>
        <v>52.36</v>
      </c>
      <c r="O138" s="26">
        <f>IFERROR(__xludf.DUMMYFUNCTION("""COMPUTED_VALUE"""),157.9)</f>
        <v>157.9</v>
      </c>
      <c r="P138" s="26">
        <f>IFERROR(__xludf.DUMMYFUNCTION("""COMPUTED_VALUE"""),77.0)</f>
        <v>77</v>
      </c>
      <c r="Q138" s="26">
        <f>IFERROR(__xludf.DUMMYFUNCTION("""COMPUTED_VALUE"""),397.49)</f>
        <v>397.49</v>
      </c>
      <c r="R138" s="26">
        <f>IFERROR(__xludf.DUMMYFUNCTION("""COMPUTED_VALUE"""),60.11)</f>
        <v>60.11</v>
      </c>
      <c r="S138" s="26">
        <f>IFERROR(__xludf.DUMMYFUNCTION("""COMPUTED_VALUE"""),181.75)</f>
        <v>181.75</v>
      </c>
      <c r="T138" s="26">
        <f>IFERROR(__xludf.DUMMYFUNCTION("""COMPUTED_VALUE"""),162.36)</f>
        <v>162.36</v>
      </c>
      <c r="U138" s="26">
        <f>IFERROR(__xludf.DUMMYFUNCTION("""COMPUTED_VALUE"""),328.45)</f>
        <v>328.45</v>
      </c>
      <c r="V138" s="26">
        <f>IFERROR(__xludf.DUMMYFUNCTION("""COMPUTED_VALUE"""),47.65)</f>
        <v>47.65</v>
      </c>
      <c r="W138" s="26">
        <f>IFERROR(__xludf.DUMMYFUNCTION("""COMPUTED_VALUE"""),63.92)</f>
        <v>63.92</v>
      </c>
      <c r="X138" s="26">
        <f>IFERROR(__xludf.DUMMYFUNCTION("""COMPUTED_VALUE"""),98.36)</f>
        <v>98.36</v>
      </c>
      <c r="Y138" s="26">
        <f>IFERROR(__xludf.DUMMYFUNCTION("""COMPUTED_VALUE"""),189.84)</f>
        <v>189.84</v>
      </c>
      <c r="Z138" s="26">
        <f>IFERROR(__xludf.DUMMYFUNCTION("""COMPUTED_VALUE"""),66.4)</f>
        <v>66.4</v>
      </c>
      <c r="AA138" s="26">
        <f>IFERROR(__xludf.DUMMYFUNCTION("""COMPUTED_VALUE"""),453.35)</f>
        <v>453.35</v>
      </c>
      <c r="AB138" s="26">
        <f>IFERROR(__xludf.DUMMYFUNCTION("""COMPUTED_VALUE"""),63.24)</f>
        <v>63.24</v>
      </c>
      <c r="AC138" s="26">
        <f>IFERROR(__xludf.DUMMYFUNCTION("""COMPUTED_VALUE"""),121.79)</f>
        <v>121.79</v>
      </c>
      <c r="AD138" s="26">
        <f>IFERROR(__xludf.DUMMYFUNCTION("""COMPUTED_VALUE"""),299.97)</f>
        <v>299.97</v>
      </c>
      <c r="AE138" s="26">
        <f>IFERROR(__xludf.DUMMYFUNCTION("""COMPUTED_VALUE"""),437.62)</f>
        <v>437.62</v>
      </c>
      <c r="AF138" s="26">
        <f>IFERROR(__xludf.DUMMYFUNCTION("""COMPUTED_VALUE"""),281.81)</f>
        <v>281.81</v>
      </c>
      <c r="AG138" s="26">
        <f>IFERROR(__xludf.DUMMYFUNCTION("""COMPUTED_VALUE"""),58.53)</f>
        <v>58.53</v>
      </c>
      <c r="AH138" s="26">
        <f>IFERROR(__xludf.DUMMYFUNCTION("""COMPUTED_VALUE"""),90.19)</f>
        <v>90.19</v>
      </c>
      <c r="AI138" s="26">
        <f>IFERROR(__xludf.DUMMYFUNCTION("""COMPUTED_VALUE"""),602.78)</f>
        <v>602.78</v>
      </c>
      <c r="AJ138" s="26">
        <f>IFERROR(__xludf.DUMMYFUNCTION("""COMPUTED_VALUE"""),420.0)</f>
        <v>420</v>
      </c>
      <c r="AK138" s="26">
        <f>IFERROR(__xludf.DUMMYFUNCTION("""COMPUTED_VALUE"""),123.92)</f>
        <v>123.92</v>
      </c>
      <c r="AL138" s="26">
        <f>IFERROR(__xludf.DUMMYFUNCTION("""COMPUTED_VALUE"""),159.29)</f>
        <v>159.29</v>
      </c>
      <c r="AM138" s="26">
        <f>IFERROR(__xludf.DUMMYFUNCTION("""COMPUTED_VALUE"""),547.87)</f>
        <v>547.87</v>
      </c>
      <c r="AN138" s="26">
        <f>IFERROR(__xludf.DUMMYFUNCTION("""COMPUTED_VALUE"""),248.55)</f>
        <v>248.55</v>
      </c>
      <c r="AO138" s="26">
        <f>IFERROR(__xludf.DUMMYFUNCTION("""COMPUTED_VALUE"""),542.22)</f>
        <v>542.22</v>
      </c>
      <c r="AP138" s="26">
        <f>IFERROR(__xludf.DUMMYFUNCTION("""COMPUTED_VALUE"""),317.11)</f>
        <v>317.11</v>
      </c>
      <c r="AQ138" s="26">
        <f>IFERROR(__xludf.DUMMYFUNCTION("""COMPUTED_VALUE"""),32.47)</f>
        <v>32.47</v>
      </c>
      <c r="AR138" s="26">
        <f>IFERROR(__xludf.DUMMYFUNCTION("""COMPUTED_VALUE"""),86.21)</f>
        <v>86.21</v>
      </c>
      <c r="AS138" s="26">
        <f>IFERROR(__xludf.DUMMYFUNCTION("""COMPUTED_VALUE"""),86.59)</f>
        <v>86.59</v>
      </c>
      <c r="AT138" s="26">
        <f>IFERROR(__xludf.DUMMYFUNCTION("""COMPUTED_VALUE"""),417.0)</f>
        <v>417</v>
      </c>
      <c r="AU138" s="26">
        <f>IFERROR(__xludf.DUMMYFUNCTION("""COMPUTED_VALUE"""),76.0)</f>
        <v>76</v>
      </c>
      <c r="AV138" s="26">
        <f>IFERROR(__xludf.DUMMYFUNCTION("""COMPUTED_VALUE"""),141.95)</f>
        <v>141.95</v>
      </c>
      <c r="AW138" s="26">
        <f>IFERROR(__xludf.DUMMYFUNCTION("""COMPUTED_VALUE"""),101.2)</f>
        <v>101.2</v>
      </c>
      <c r="AX138" s="26">
        <f>IFERROR(__xludf.DUMMYFUNCTION("""COMPUTED_VALUE"""),58.13)</f>
        <v>58.13</v>
      </c>
      <c r="AY138" s="26">
        <f>IFERROR(__xludf.DUMMYFUNCTION("""COMPUTED_VALUE"""),64.35)</f>
        <v>64.35</v>
      </c>
      <c r="AZ138" s="26">
        <f>IFERROR(__xludf.DUMMYFUNCTION("""COMPUTED_VALUE"""),86.77)</f>
        <v>86.77</v>
      </c>
      <c r="BA138" s="26">
        <f>IFERROR(__xludf.DUMMYFUNCTION("""COMPUTED_VALUE"""),25.65)</f>
        <v>25.65</v>
      </c>
      <c r="BB138" s="26">
        <f>IFERROR(__xludf.DUMMYFUNCTION("""COMPUTED_VALUE"""),120.77)</f>
        <v>120.77</v>
      </c>
      <c r="BC138" s="26">
        <f>IFERROR(__xludf.DUMMYFUNCTION("""COMPUTED_VALUE"""),238.28)</f>
        <v>238.28</v>
      </c>
      <c r="BD138" s="26">
        <f>IFERROR(__xludf.DUMMYFUNCTION("""COMPUTED_VALUE"""),513.26)</f>
        <v>513.26</v>
      </c>
      <c r="BE138" s="26">
        <f>IFERROR(__xludf.DUMMYFUNCTION("""COMPUTED_VALUE"""),174.4)</f>
        <v>174.4</v>
      </c>
      <c r="BF138" s="26">
        <f>IFERROR(__xludf.DUMMYFUNCTION("""COMPUTED_VALUE"""),76.04)</f>
        <v>76.04</v>
      </c>
      <c r="BG138" s="26">
        <f>IFERROR(__xludf.DUMMYFUNCTION("""COMPUTED_VALUE"""),9.52)</f>
        <v>9.52</v>
      </c>
      <c r="BH138" s="26">
        <f>IFERROR(__xludf.DUMMYFUNCTION("""COMPUTED_VALUE"""),242.39)</f>
        <v>242.39</v>
      </c>
      <c r="BI138" s="26">
        <f>IFERROR(__xludf.DUMMYFUNCTION("""COMPUTED_VALUE"""),590.87)</f>
        <v>590.87</v>
      </c>
      <c r="BJ138" s="26">
        <f>IFERROR(__xludf.DUMMYFUNCTION("""COMPUTED_VALUE"""),48.87)</f>
        <v>48.87</v>
      </c>
      <c r="BK138" s="26">
        <f>IFERROR(__xludf.DUMMYFUNCTION("""COMPUTED_VALUE"""),13.37)</f>
        <v>13.37</v>
      </c>
      <c r="BL138" s="26">
        <f>IFERROR(__xludf.DUMMYFUNCTION("""COMPUTED_VALUE"""),224.41)</f>
        <v>224.41</v>
      </c>
      <c r="BM138" s="26">
        <f>IFERROR(__xludf.DUMMYFUNCTION("""COMPUTED_VALUE"""),115.65)</f>
        <v>115.65</v>
      </c>
    </row>
    <row r="139">
      <c r="A139" s="25">
        <v>45622.66666666667</v>
      </c>
      <c r="B139" s="17">
        <f>IFERROR(__xludf.DUMMYFUNCTION("""COMPUTED_VALUE"""),5987.37)</f>
        <v>5987.37</v>
      </c>
      <c r="C139" s="17">
        <f>IFERROR(__xludf.DUMMYFUNCTION("""COMPUTED_VALUE"""),19054.84)</f>
        <v>19054.84</v>
      </c>
      <c r="D139" s="17">
        <f>IFERROR(__xludf.DUMMYFUNCTION("""COMPUTED_VALUE"""),44736.57)</f>
        <v>44736.57</v>
      </c>
      <c r="E139" s="17">
        <f>IFERROR(__xludf.DUMMYFUNCTION("""COMPUTED_VALUE"""),2442.03)</f>
        <v>2442.03</v>
      </c>
      <c r="F139" s="26">
        <f>IFERROR(__xludf.DUMMYFUNCTION("""COMPUTED_VALUE"""),518.73)</f>
        <v>518.73</v>
      </c>
      <c r="G139" s="26">
        <f>IFERROR(__xludf.DUMMYFUNCTION("""COMPUTED_VALUE"""),201.45)</f>
        <v>201.45</v>
      </c>
      <c r="H139" s="26">
        <f>IFERROR(__xludf.DUMMYFUNCTION("""COMPUTED_VALUE"""),136.74)</f>
        <v>136.74</v>
      </c>
      <c r="I139" s="26">
        <f>IFERROR(__xludf.DUMMYFUNCTION("""COMPUTED_VALUE"""),232.87)</f>
        <v>232.87</v>
      </c>
      <c r="J139" s="26">
        <f>IFERROR(__xludf.DUMMYFUNCTION("""COMPUTED_VALUE"""),174.55)</f>
        <v>174.55</v>
      </c>
      <c r="K139" s="26">
        <f>IFERROR(__xludf.DUMMYFUNCTION("""COMPUTED_VALUE"""),81.22)</f>
        <v>81.22</v>
      </c>
      <c r="L139" s="26">
        <f>IFERROR(__xludf.DUMMYFUNCTION("""COMPUTED_VALUE"""),13.35)</f>
        <v>13.35</v>
      </c>
      <c r="M139" s="26">
        <f>IFERROR(__xludf.DUMMYFUNCTION("""COMPUTED_VALUE"""),477.43)</f>
        <v>477.43</v>
      </c>
      <c r="N139" s="26">
        <f>IFERROR(__xludf.DUMMYFUNCTION("""COMPUTED_VALUE"""),52.46)</f>
        <v>52.46</v>
      </c>
      <c r="O139" s="26">
        <f>IFERROR(__xludf.DUMMYFUNCTION("""COMPUTED_VALUE"""),158.71)</f>
        <v>158.71</v>
      </c>
      <c r="P139" s="26">
        <f>IFERROR(__xludf.DUMMYFUNCTION("""COMPUTED_VALUE"""),78.87)</f>
        <v>78.87</v>
      </c>
      <c r="Q139" s="26">
        <f>IFERROR(__xludf.DUMMYFUNCTION("""COMPUTED_VALUE"""),405.65)</f>
        <v>405.65</v>
      </c>
      <c r="R139" s="26">
        <f>IFERROR(__xludf.DUMMYFUNCTION("""COMPUTED_VALUE"""),58.11)</f>
        <v>58.11</v>
      </c>
      <c r="S139" s="26">
        <f>IFERROR(__xludf.DUMMYFUNCTION("""COMPUTED_VALUE"""),183.18)</f>
        <v>183.18</v>
      </c>
      <c r="T139" s="26">
        <f>IFERROR(__xludf.DUMMYFUNCTION("""COMPUTED_VALUE"""),160.36)</f>
        <v>160.36</v>
      </c>
      <c r="U139" s="26">
        <f>IFERROR(__xludf.DUMMYFUNCTION("""COMPUTED_VALUE"""),333.01)</f>
        <v>333.01</v>
      </c>
      <c r="V139" s="26">
        <f>IFERROR(__xludf.DUMMYFUNCTION("""COMPUTED_VALUE"""),48.46)</f>
        <v>48.46</v>
      </c>
      <c r="W139" s="26">
        <f>IFERROR(__xludf.DUMMYFUNCTION("""COMPUTED_VALUE"""),64.38)</f>
        <v>64.38</v>
      </c>
      <c r="X139" s="26">
        <f>IFERROR(__xludf.DUMMYFUNCTION("""COMPUTED_VALUE"""),99.47)</f>
        <v>99.47</v>
      </c>
      <c r="Y139" s="26">
        <f>IFERROR(__xludf.DUMMYFUNCTION("""COMPUTED_VALUE"""),192.82)</f>
        <v>192.82</v>
      </c>
      <c r="Z139" s="26">
        <f>IFERROR(__xludf.DUMMYFUNCTION("""COMPUTED_VALUE"""),69.78)</f>
        <v>69.78</v>
      </c>
      <c r="AA139" s="26">
        <f>IFERROR(__xludf.DUMMYFUNCTION("""COMPUTED_VALUE"""),469.18)</f>
        <v>469.18</v>
      </c>
      <c r="AB139" s="26">
        <f>IFERROR(__xludf.DUMMYFUNCTION("""COMPUTED_VALUE"""),64.99)</f>
        <v>64.99</v>
      </c>
      <c r="AC139" s="26">
        <f>IFERROR(__xludf.DUMMYFUNCTION("""COMPUTED_VALUE"""),119.97)</f>
        <v>119.97</v>
      </c>
      <c r="AD139" s="26">
        <f>IFERROR(__xludf.DUMMYFUNCTION("""COMPUTED_VALUE"""),305.15)</f>
        <v>305.15</v>
      </c>
      <c r="AE139" s="26">
        <f>IFERROR(__xludf.DUMMYFUNCTION("""COMPUTED_VALUE"""),435.24)</f>
        <v>435.24</v>
      </c>
      <c r="AF139" s="26">
        <f>IFERROR(__xludf.DUMMYFUNCTION("""COMPUTED_VALUE"""),281.35)</f>
        <v>281.35</v>
      </c>
      <c r="AG139" s="26">
        <f>IFERROR(__xludf.DUMMYFUNCTION("""COMPUTED_VALUE"""),60.2)</f>
        <v>60.2</v>
      </c>
      <c r="AH139" s="26">
        <f>IFERROR(__xludf.DUMMYFUNCTION("""COMPUTED_VALUE"""),90.49)</f>
        <v>90.49</v>
      </c>
      <c r="AI139" s="26">
        <f>IFERROR(__xludf.DUMMYFUNCTION("""COMPUTED_VALUE"""),603.03)</f>
        <v>603.03</v>
      </c>
      <c r="AJ139" s="26">
        <f>IFERROR(__xludf.DUMMYFUNCTION("""COMPUTED_VALUE"""),428.67)</f>
        <v>428.67</v>
      </c>
      <c r="AK139" s="26">
        <f>IFERROR(__xludf.DUMMYFUNCTION("""COMPUTED_VALUE"""),125.6)</f>
        <v>125.6</v>
      </c>
      <c r="AL139" s="26">
        <f>IFERROR(__xludf.DUMMYFUNCTION("""COMPUTED_VALUE"""),159.63)</f>
        <v>159.63</v>
      </c>
      <c r="AM139" s="26">
        <f>IFERROR(__xludf.DUMMYFUNCTION("""COMPUTED_VALUE"""),536.55)</f>
        <v>536.55</v>
      </c>
      <c r="AN139" s="26">
        <f>IFERROR(__xludf.DUMMYFUNCTION("""COMPUTED_VALUE"""),250.29)</f>
        <v>250.29</v>
      </c>
      <c r="AO139" s="26">
        <f>IFERROR(__xludf.DUMMYFUNCTION("""COMPUTED_VALUE"""),521.89)</f>
        <v>521.89</v>
      </c>
      <c r="AP139" s="26">
        <f>IFERROR(__xludf.DUMMYFUNCTION("""COMPUTED_VALUE"""),326.72)</f>
        <v>326.72</v>
      </c>
      <c r="AQ139" s="26">
        <f>IFERROR(__xludf.DUMMYFUNCTION("""COMPUTED_VALUE"""),31.96)</f>
        <v>31.96</v>
      </c>
      <c r="AR139" s="26">
        <f>IFERROR(__xludf.DUMMYFUNCTION("""COMPUTED_VALUE"""),85.75)</f>
        <v>85.75</v>
      </c>
      <c r="AS139" s="26">
        <f>IFERROR(__xludf.DUMMYFUNCTION("""COMPUTED_VALUE"""),87.34)</f>
        <v>87.34</v>
      </c>
      <c r="AT139" s="26">
        <f>IFERROR(__xludf.DUMMYFUNCTION("""COMPUTED_VALUE"""),418.79)</f>
        <v>418.79</v>
      </c>
      <c r="AU139" s="26">
        <f>IFERROR(__xludf.DUMMYFUNCTION("""COMPUTED_VALUE"""),76.64)</f>
        <v>76.64</v>
      </c>
      <c r="AV139" s="26">
        <f>IFERROR(__xludf.DUMMYFUNCTION("""COMPUTED_VALUE"""),136.02)</f>
        <v>136.02</v>
      </c>
      <c r="AW139" s="26">
        <f>IFERROR(__xludf.DUMMYFUNCTION("""COMPUTED_VALUE"""),102.46)</f>
        <v>102.46</v>
      </c>
      <c r="AX139" s="26">
        <f>IFERROR(__xludf.DUMMYFUNCTION("""COMPUTED_VALUE"""),58.47)</f>
        <v>58.47</v>
      </c>
      <c r="AY139" s="26">
        <f>IFERROR(__xludf.DUMMYFUNCTION("""COMPUTED_VALUE"""),64.65)</f>
        <v>64.65</v>
      </c>
      <c r="AZ139" s="26">
        <f>IFERROR(__xludf.DUMMYFUNCTION("""COMPUTED_VALUE"""),87.77)</f>
        <v>87.77</v>
      </c>
      <c r="BA139" s="26">
        <f>IFERROR(__xludf.DUMMYFUNCTION("""COMPUTED_VALUE"""),26.17)</f>
        <v>26.17</v>
      </c>
      <c r="BB139" s="26">
        <f>IFERROR(__xludf.DUMMYFUNCTION("""COMPUTED_VALUE"""),118.65)</f>
        <v>118.65</v>
      </c>
      <c r="BC139" s="26">
        <f>IFERROR(__xludf.DUMMYFUNCTION("""COMPUTED_VALUE"""),239.94)</f>
        <v>239.94</v>
      </c>
      <c r="BD139" s="26">
        <f>IFERROR(__xludf.DUMMYFUNCTION("""COMPUTED_VALUE"""),514.2)</f>
        <v>514.2</v>
      </c>
      <c r="BE139" s="26">
        <f>IFERROR(__xludf.DUMMYFUNCTION("""COMPUTED_VALUE"""),175.83)</f>
        <v>175.83</v>
      </c>
      <c r="BF139" s="26">
        <f>IFERROR(__xludf.DUMMYFUNCTION("""COMPUTED_VALUE"""),78.58)</f>
        <v>78.58</v>
      </c>
      <c r="BG139" s="26">
        <f>IFERROR(__xludf.DUMMYFUNCTION("""COMPUTED_VALUE"""),9.8)</f>
        <v>9.8</v>
      </c>
      <c r="BH139" s="26">
        <f>IFERROR(__xludf.DUMMYFUNCTION("""COMPUTED_VALUE"""),249.32)</f>
        <v>249.32</v>
      </c>
      <c r="BI139" s="26">
        <f>IFERROR(__xludf.DUMMYFUNCTION("""COMPUTED_VALUE"""),605.83)</f>
        <v>605.83</v>
      </c>
      <c r="BJ139" s="26">
        <f>IFERROR(__xludf.DUMMYFUNCTION("""COMPUTED_VALUE"""),48.91)</f>
        <v>48.91</v>
      </c>
      <c r="BK139" s="26">
        <f>IFERROR(__xludf.DUMMYFUNCTION("""COMPUTED_VALUE"""),13.36)</f>
        <v>13.36</v>
      </c>
      <c r="BL139" s="26">
        <f>IFERROR(__xludf.DUMMYFUNCTION("""COMPUTED_VALUE"""),225.65)</f>
        <v>225.65</v>
      </c>
      <c r="BM139" s="26">
        <f>IFERROR(__xludf.DUMMYFUNCTION("""COMPUTED_VALUE"""),116.0)</f>
        <v>116</v>
      </c>
    </row>
    <row r="140">
      <c r="A140" s="25">
        <v>45623.66666666667</v>
      </c>
      <c r="B140" s="17">
        <f>IFERROR(__xludf.DUMMYFUNCTION("""COMPUTED_VALUE"""),6021.63)</f>
        <v>6021.63</v>
      </c>
      <c r="C140" s="17">
        <f>IFERROR(__xludf.DUMMYFUNCTION("""COMPUTED_VALUE"""),19175.58)</f>
        <v>19175.58</v>
      </c>
      <c r="D140" s="17">
        <f>IFERROR(__xludf.DUMMYFUNCTION("""COMPUTED_VALUE"""),44860.31)</f>
        <v>44860.31</v>
      </c>
      <c r="E140" s="17">
        <f>IFERROR(__xludf.DUMMYFUNCTION("""COMPUTED_VALUE"""),2424.31)</f>
        <v>2424.31</v>
      </c>
      <c r="F140" s="26">
        <f>IFERROR(__xludf.DUMMYFUNCTION("""COMPUTED_VALUE"""),525.3)</f>
        <v>525.3</v>
      </c>
      <c r="G140" s="26">
        <f>IFERROR(__xludf.DUMMYFUNCTION("""COMPUTED_VALUE"""),207.86)</f>
        <v>207.86</v>
      </c>
      <c r="H140" s="26">
        <f>IFERROR(__xludf.DUMMYFUNCTION("""COMPUTED_VALUE"""),137.59)</f>
        <v>137.59</v>
      </c>
      <c r="I140" s="26">
        <f>IFERROR(__xludf.DUMMYFUNCTION("""COMPUTED_VALUE"""),235.06)</f>
        <v>235.06</v>
      </c>
      <c r="J140" s="26">
        <f>IFERROR(__xludf.DUMMYFUNCTION("""COMPUTED_VALUE"""),173.2)</f>
        <v>173.2</v>
      </c>
      <c r="K140" s="26">
        <f>IFERROR(__xludf.DUMMYFUNCTION("""COMPUTED_VALUE"""),81.27)</f>
        <v>81.27</v>
      </c>
      <c r="L140" s="26">
        <f>IFERROR(__xludf.DUMMYFUNCTION("""COMPUTED_VALUE"""),13.14)</f>
        <v>13.14</v>
      </c>
      <c r="M140" s="26">
        <f>IFERROR(__xludf.DUMMYFUNCTION("""COMPUTED_VALUE"""),478.56)</f>
        <v>478.56</v>
      </c>
      <c r="N140" s="26">
        <f>IFERROR(__xludf.DUMMYFUNCTION("""COMPUTED_VALUE"""),51.19)</f>
        <v>51.19</v>
      </c>
      <c r="O140" s="26">
        <f>IFERROR(__xludf.DUMMYFUNCTION("""COMPUTED_VALUE"""),157.69)</f>
        <v>157.69</v>
      </c>
      <c r="P140" s="26">
        <f>IFERROR(__xludf.DUMMYFUNCTION("""COMPUTED_VALUE"""),76.94)</f>
        <v>76.94</v>
      </c>
      <c r="Q140" s="26">
        <f>IFERROR(__xludf.DUMMYFUNCTION("""COMPUTED_VALUE"""),407.83)</f>
        <v>407.83</v>
      </c>
      <c r="R140" s="26">
        <f>IFERROR(__xludf.DUMMYFUNCTION("""COMPUTED_VALUE"""),58.62)</f>
        <v>58.62</v>
      </c>
      <c r="S140" s="26">
        <f>IFERROR(__xludf.DUMMYFUNCTION("""COMPUTED_VALUE"""),181.51)</f>
        <v>181.51</v>
      </c>
      <c r="T140" s="26">
        <f>IFERROR(__xludf.DUMMYFUNCTION("""COMPUTED_VALUE"""),162.53)</f>
        <v>162.53</v>
      </c>
      <c r="U140" s="26">
        <f>IFERROR(__xludf.DUMMYFUNCTION("""COMPUTED_VALUE"""),335.0)</f>
        <v>335</v>
      </c>
      <c r="V140" s="26">
        <f>IFERROR(__xludf.DUMMYFUNCTION("""COMPUTED_VALUE"""),48.1)</f>
        <v>48.1</v>
      </c>
      <c r="W140" s="26">
        <f>IFERROR(__xludf.DUMMYFUNCTION("""COMPUTED_VALUE"""),64.55)</f>
        <v>64.55</v>
      </c>
      <c r="X140" s="26">
        <f>IFERROR(__xludf.DUMMYFUNCTION("""COMPUTED_VALUE"""),101.7)</f>
        <v>101.7</v>
      </c>
      <c r="Y140" s="26">
        <f>IFERROR(__xludf.DUMMYFUNCTION("""COMPUTED_VALUE"""),194.02)</f>
        <v>194.02</v>
      </c>
      <c r="Z140" s="26">
        <f>IFERROR(__xludf.DUMMYFUNCTION("""COMPUTED_VALUE"""),69.12)</f>
        <v>69.12</v>
      </c>
      <c r="AA140" s="26">
        <f>IFERROR(__xludf.DUMMYFUNCTION("""COMPUTED_VALUE"""),472.91)</f>
        <v>472.91</v>
      </c>
      <c r="AB140" s="26">
        <f>IFERROR(__xludf.DUMMYFUNCTION("""COMPUTED_VALUE"""),65.09)</f>
        <v>65.09</v>
      </c>
      <c r="AC140" s="26">
        <f>IFERROR(__xludf.DUMMYFUNCTION("""COMPUTED_VALUE"""),117.97)</f>
        <v>117.97</v>
      </c>
      <c r="AD140" s="26">
        <f>IFERROR(__xludf.DUMMYFUNCTION("""COMPUTED_VALUE"""),302.98)</f>
        <v>302.98</v>
      </c>
      <c r="AE140" s="26">
        <f>IFERROR(__xludf.DUMMYFUNCTION("""COMPUTED_VALUE"""),431.7)</f>
        <v>431.7</v>
      </c>
      <c r="AF140" s="26">
        <f>IFERROR(__xludf.DUMMYFUNCTION("""COMPUTED_VALUE"""),282.02)</f>
        <v>282.02</v>
      </c>
      <c r="AG140" s="26">
        <f>IFERROR(__xludf.DUMMYFUNCTION("""COMPUTED_VALUE"""),54.79)</f>
        <v>54.79</v>
      </c>
      <c r="AH140" s="26">
        <f>IFERROR(__xludf.DUMMYFUNCTION("""COMPUTED_VALUE"""),91.35)</f>
        <v>91.35</v>
      </c>
      <c r="AI140" s="26">
        <f>IFERROR(__xludf.DUMMYFUNCTION("""COMPUTED_VALUE"""),605.5)</f>
        <v>605.5</v>
      </c>
      <c r="AJ140" s="26">
        <f>IFERROR(__xludf.DUMMYFUNCTION("""COMPUTED_VALUE"""),429.52)</f>
        <v>429.52</v>
      </c>
      <c r="AK140" s="26">
        <f>IFERROR(__xludf.DUMMYFUNCTION("""COMPUTED_VALUE"""),124.54)</f>
        <v>124.54</v>
      </c>
      <c r="AL140" s="26">
        <f>IFERROR(__xludf.DUMMYFUNCTION("""COMPUTED_VALUE"""),160.49)</f>
        <v>160.49</v>
      </c>
      <c r="AM140" s="26">
        <f>IFERROR(__xludf.DUMMYFUNCTION("""COMPUTED_VALUE"""),542.1)</f>
        <v>542.1</v>
      </c>
      <c r="AN140" s="26">
        <f>IFERROR(__xludf.DUMMYFUNCTION("""COMPUTED_VALUE"""),249.97)</f>
        <v>249.97</v>
      </c>
      <c r="AO140" s="26">
        <f>IFERROR(__xludf.DUMMYFUNCTION("""COMPUTED_VALUE"""),521.45)</f>
        <v>521.45</v>
      </c>
      <c r="AP140" s="26">
        <f>IFERROR(__xludf.DUMMYFUNCTION("""COMPUTED_VALUE"""),318.84)</f>
        <v>318.84</v>
      </c>
      <c r="AQ140" s="26">
        <f>IFERROR(__xludf.DUMMYFUNCTION("""COMPUTED_VALUE"""),31.85)</f>
        <v>31.85</v>
      </c>
      <c r="AR140" s="26">
        <f>IFERROR(__xludf.DUMMYFUNCTION("""COMPUTED_VALUE"""),85.68)</f>
        <v>85.68</v>
      </c>
      <c r="AS140" s="26">
        <f>IFERROR(__xludf.DUMMYFUNCTION("""COMPUTED_VALUE"""),87.76)</f>
        <v>87.76</v>
      </c>
      <c r="AT140" s="26">
        <f>IFERROR(__xludf.DUMMYFUNCTION("""COMPUTED_VALUE"""),427.99)</f>
        <v>427.99</v>
      </c>
      <c r="AU140" s="26">
        <f>IFERROR(__xludf.DUMMYFUNCTION("""COMPUTED_VALUE"""),77.49)</f>
        <v>77.49</v>
      </c>
      <c r="AV140" s="26">
        <f>IFERROR(__xludf.DUMMYFUNCTION("""COMPUTED_VALUE"""),136.92)</f>
        <v>136.92</v>
      </c>
      <c r="AW140" s="26">
        <f>IFERROR(__xludf.DUMMYFUNCTION("""COMPUTED_VALUE"""),101.97)</f>
        <v>101.97</v>
      </c>
      <c r="AX140" s="26">
        <f>IFERROR(__xludf.DUMMYFUNCTION("""COMPUTED_VALUE"""),57.98)</f>
        <v>57.98</v>
      </c>
      <c r="AY140" s="26">
        <f>IFERROR(__xludf.DUMMYFUNCTION("""COMPUTED_VALUE"""),65.74)</f>
        <v>65.74</v>
      </c>
      <c r="AZ140" s="26">
        <f>IFERROR(__xludf.DUMMYFUNCTION("""COMPUTED_VALUE"""),86.94)</f>
        <v>86.94</v>
      </c>
      <c r="BA140" s="26">
        <f>IFERROR(__xludf.DUMMYFUNCTION("""COMPUTED_VALUE"""),25.77)</f>
        <v>25.77</v>
      </c>
      <c r="BB140" s="26">
        <f>IFERROR(__xludf.DUMMYFUNCTION("""COMPUTED_VALUE"""),120.61)</f>
        <v>120.61</v>
      </c>
      <c r="BC140" s="26">
        <f>IFERROR(__xludf.DUMMYFUNCTION("""COMPUTED_VALUE"""),244.92)</f>
        <v>244.92</v>
      </c>
      <c r="BD140" s="26">
        <f>IFERROR(__xludf.DUMMYFUNCTION("""COMPUTED_VALUE"""),512.98)</f>
        <v>512.98</v>
      </c>
      <c r="BE140" s="26">
        <f>IFERROR(__xludf.DUMMYFUNCTION("""COMPUTED_VALUE"""),172.52)</f>
        <v>172.52</v>
      </c>
      <c r="BF140" s="26">
        <f>IFERROR(__xludf.DUMMYFUNCTION("""COMPUTED_VALUE"""),80.61)</f>
        <v>80.61</v>
      </c>
      <c r="BG140" s="26">
        <f>IFERROR(__xludf.DUMMYFUNCTION("""COMPUTED_VALUE"""),9.69)</f>
        <v>9.69</v>
      </c>
      <c r="BH140" s="26">
        <f>IFERROR(__xludf.DUMMYFUNCTION("""COMPUTED_VALUE"""),245.63)</f>
        <v>245.63</v>
      </c>
      <c r="BI140" s="26">
        <f>IFERROR(__xludf.DUMMYFUNCTION("""COMPUTED_VALUE"""),606.79)</f>
        <v>606.79</v>
      </c>
      <c r="BJ140" s="26">
        <f>IFERROR(__xludf.DUMMYFUNCTION("""COMPUTED_VALUE"""),48.91)</f>
        <v>48.91</v>
      </c>
      <c r="BK140" s="26">
        <f>IFERROR(__xludf.DUMMYFUNCTION("""COMPUTED_VALUE"""),13.08)</f>
        <v>13.08</v>
      </c>
      <c r="BL140" s="26">
        <f>IFERROR(__xludf.DUMMYFUNCTION("""COMPUTED_VALUE"""),227.45)</f>
        <v>227.45</v>
      </c>
      <c r="BM140" s="26">
        <f>IFERROR(__xludf.DUMMYFUNCTION("""COMPUTED_VALUE"""),115.45)</f>
        <v>115.45</v>
      </c>
    </row>
    <row r="141">
      <c r="A141" s="25">
        <v>45625.54513888889</v>
      </c>
      <c r="B141" s="17">
        <f>IFERROR(__xludf.DUMMYFUNCTION("""COMPUTED_VALUE"""),5998.74)</f>
        <v>5998.74</v>
      </c>
      <c r="C141" s="17">
        <f>IFERROR(__xludf.DUMMYFUNCTION("""COMPUTED_VALUE"""),19060.48)</f>
        <v>19060.48</v>
      </c>
      <c r="D141" s="17">
        <f>IFERROR(__xludf.DUMMYFUNCTION("""COMPUTED_VALUE"""),44722.06)</f>
        <v>44722.06</v>
      </c>
      <c r="E141" s="17">
        <f>IFERROR(__xludf.DUMMYFUNCTION("""COMPUTED_VALUE"""),2426.19)</f>
        <v>2426.19</v>
      </c>
      <c r="F141" s="26">
        <f>IFERROR(__xludf.DUMMYFUNCTION("""COMPUTED_VALUE"""),513.68)</f>
        <v>513.68</v>
      </c>
      <c r="G141" s="26">
        <f>IFERROR(__xludf.DUMMYFUNCTION("""COMPUTED_VALUE"""),205.74)</f>
        <v>205.74</v>
      </c>
      <c r="H141" s="26">
        <f>IFERROR(__xludf.DUMMYFUNCTION("""COMPUTED_VALUE"""),138.31)</f>
        <v>138.31</v>
      </c>
      <c r="I141" s="26">
        <f>IFERROR(__xludf.DUMMYFUNCTION("""COMPUTED_VALUE"""),234.93)</f>
        <v>234.93</v>
      </c>
      <c r="J141" s="26">
        <f>IFERROR(__xludf.DUMMYFUNCTION("""COMPUTED_VALUE"""),171.32)</f>
        <v>171.32</v>
      </c>
      <c r="K141" s="26">
        <f>IFERROR(__xludf.DUMMYFUNCTION("""COMPUTED_VALUE"""),81.74)</f>
        <v>81.74</v>
      </c>
      <c r="L141" s="26">
        <f>IFERROR(__xludf.DUMMYFUNCTION("""COMPUTED_VALUE"""),13.23)</f>
        <v>13.23</v>
      </c>
      <c r="M141" s="26">
        <f>IFERROR(__xludf.DUMMYFUNCTION("""COMPUTED_VALUE"""),483.08)</f>
        <v>483.08</v>
      </c>
      <c r="N141" s="26">
        <f>IFERROR(__xludf.DUMMYFUNCTION("""COMPUTED_VALUE"""),51.8)</f>
        <v>51.8</v>
      </c>
      <c r="O141" s="26">
        <f>IFERROR(__xludf.DUMMYFUNCTION("""COMPUTED_VALUE"""),159.83)</f>
        <v>159.83</v>
      </c>
      <c r="P141" s="26">
        <f>IFERROR(__xludf.DUMMYFUNCTION("""COMPUTED_VALUE"""),76.9)</f>
        <v>76.9</v>
      </c>
      <c r="Q141" s="26">
        <f>IFERROR(__xludf.DUMMYFUNCTION("""COMPUTED_VALUE"""),403.7)</f>
        <v>403.7</v>
      </c>
      <c r="R141" s="26">
        <f>IFERROR(__xludf.DUMMYFUNCTION("""COMPUTED_VALUE"""),57.81)</f>
        <v>57.81</v>
      </c>
      <c r="S141" s="26">
        <f>IFERROR(__xludf.DUMMYFUNCTION("""COMPUTED_VALUE"""),181.55)</f>
        <v>181.55</v>
      </c>
      <c r="T141" s="26">
        <f>IFERROR(__xludf.DUMMYFUNCTION("""COMPUTED_VALUE"""),162.11)</f>
        <v>162.11</v>
      </c>
      <c r="U141" s="26">
        <f>IFERROR(__xludf.DUMMYFUNCTION("""COMPUTED_VALUE"""),336.5)</f>
        <v>336.5</v>
      </c>
      <c r="V141" s="26">
        <f>IFERROR(__xludf.DUMMYFUNCTION("""COMPUTED_VALUE"""),48.16)</f>
        <v>48.16</v>
      </c>
      <c r="W141" s="26">
        <f>IFERROR(__xludf.DUMMYFUNCTION("""COMPUTED_VALUE"""),64.43)</f>
        <v>64.43</v>
      </c>
      <c r="X141" s="26">
        <f>IFERROR(__xludf.DUMMYFUNCTION("""COMPUTED_VALUE"""),101.58)</f>
        <v>101.58</v>
      </c>
      <c r="Y141" s="26">
        <f>IFERROR(__xludf.DUMMYFUNCTION("""COMPUTED_VALUE"""),195.28)</f>
        <v>195.28</v>
      </c>
      <c r="Z141" s="26">
        <f>IFERROR(__xludf.DUMMYFUNCTION("""COMPUTED_VALUE"""),71.5)</f>
        <v>71.5</v>
      </c>
      <c r="AA141" s="26">
        <f>IFERROR(__xludf.DUMMYFUNCTION("""COMPUTED_VALUE"""),472.34)</f>
        <v>472.34</v>
      </c>
      <c r="AB141" s="26">
        <f>IFERROR(__xludf.DUMMYFUNCTION("""COMPUTED_VALUE"""),64.31)</f>
        <v>64.31</v>
      </c>
      <c r="AC141" s="26">
        <f>IFERROR(__xludf.DUMMYFUNCTION("""COMPUTED_VALUE"""),117.66)</f>
        <v>117.66</v>
      </c>
      <c r="AD141" s="26">
        <f>IFERROR(__xludf.DUMMYFUNCTION("""COMPUTED_VALUE"""),303.39)</f>
        <v>303.39</v>
      </c>
      <c r="AE141" s="26">
        <f>IFERROR(__xludf.DUMMYFUNCTION("""COMPUTED_VALUE"""),431.57)</f>
        <v>431.57</v>
      </c>
      <c r="AF141" s="26">
        <f>IFERROR(__xludf.DUMMYFUNCTION("""COMPUTED_VALUE"""),282.31)</f>
        <v>282.31</v>
      </c>
      <c r="AG141" s="26">
        <f>IFERROR(__xludf.DUMMYFUNCTION("""COMPUTED_VALUE"""),55.5)</f>
        <v>55.5</v>
      </c>
      <c r="AH141" s="26">
        <f>IFERROR(__xludf.DUMMYFUNCTION("""COMPUTED_VALUE"""),92.41)</f>
        <v>92.41</v>
      </c>
      <c r="AI141" s="26">
        <f>IFERROR(__xludf.DUMMYFUNCTION("""COMPUTED_VALUE"""),605.43)</f>
        <v>605.43</v>
      </c>
      <c r="AJ141" s="26">
        <f>IFERROR(__xludf.DUMMYFUNCTION("""COMPUTED_VALUE"""),427.19)</f>
        <v>427.19</v>
      </c>
      <c r="AK141" s="26">
        <f>IFERROR(__xludf.DUMMYFUNCTION("""COMPUTED_VALUE"""),123.7)</f>
        <v>123.7</v>
      </c>
      <c r="AL141" s="26">
        <f>IFERROR(__xludf.DUMMYFUNCTION("""COMPUTED_VALUE"""),161.19)</f>
        <v>161.19</v>
      </c>
      <c r="AM141" s="26">
        <f>IFERROR(__xludf.DUMMYFUNCTION("""COMPUTED_VALUE"""),538.55)</f>
        <v>538.55</v>
      </c>
      <c r="AN141" s="26">
        <f>IFERROR(__xludf.DUMMYFUNCTION("""COMPUTED_VALUE"""),249.79)</f>
        <v>249.79</v>
      </c>
      <c r="AO141" s="26">
        <f>IFERROR(__xludf.DUMMYFUNCTION("""COMPUTED_VALUE"""),525.75)</f>
        <v>525.75</v>
      </c>
      <c r="AP141" s="26">
        <f>IFERROR(__xludf.DUMMYFUNCTION("""COMPUTED_VALUE"""),319.52)</f>
        <v>319.52</v>
      </c>
      <c r="AQ141" s="26">
        <f>IFERROR(__xludf.DUMMYFUNCTION("""COMPUTED_VALUE"""),31.89)</f>
        <v>31.89</v>
      </c>
      <c r="AR141" s="26">
        <f>IFERROR(__xludf.DUMMYFUNCTION("""COMPUTED_VALUE"""),86.27)</f>
        <v>86.27</v>
      </c>
      <c r="AS141" s="26">
        <f>IFERROR(__xludf.DUMMYFUNCTION("""COMPUTED_VALUE"""),88.25)</f>
        <v>88.25</v>
      </c>
      <c r="AT141" s="26">
        <f>IFERROR(__xludf.DUMMYFUNCTION("""COMPUTED_VALUE"""),422.99)</f>
        <v>422.99</v>
      </c>
      <c r="AU141" s="26">
        <f>IFERROR(__xludf.DUMMYFUNCTION("""COMPUTED_VALUE"""),78.52)</f>
        <v>78.52</v>
      </c>
      <c r="AV141" s="26">
        <f>IFERROR(__xludf.DUMMYFUNCTION("""COMPUTED_VALUE"""),135.34)</f>
        <v>135.34</v>
      </c>
      <c r="AW141" s="26">
        <f>IFERROR(__xludf.DUMMYFUNCTION("""COMPUTED_VALUE"""),102.52)</f>
        <v>102.52</v>
      </c>
      <c r="AX141" s="26">
        <f>IFERROR(__xludf.DUMMYFUNCTION("""COMPUTED_VALUE"""),57.9)</f>
        <v>57.9</v>
      </c>
      <c r="AY141" s="26">
        <f>IFERROR(__xludf.DUMMYFUNCTION("""COMPUTED_VALUE"""),66.05)</f>
        <v>66.05</v>
      </c>
      <c r="AZ141" s="26">
        <f>IFERROR(__xludf.DUMMYFUNCTION("""COMPUTED_VALUE"""),86.57)</f>
        <v>86.57</v>
      </c>
      <c r="BA141" s="26">
        <f>IFERROR(__xludf.DUMMYFUNCTION("""COMPUTED_VALUE"""),25.83)</f>
        <v>25.83</v>
      </c>
      <c r="BB141" s="26">
        <f>IFERROR(__xludf.DUMMYFUNCTION("""COMPUTED_VALUE"""),120.34)</f>
        <v>120.34</v>
      </c>
      <c r="BC141" s="26">
        <f>IFERROR(__xludf.DUMMYFUNCTION("""COMPUTED_VALUE"""),246.2)</f>
        <v>246.2</v>
      </c>
      <c r="BD141" s="26">
        <f>IFERROR(__xludf.DUMMYFUNCTION("""COMPUTED_VALUE"""),521.66)</f>
        <v>521.66</v>
      </c>
      <c r="BE141" s="26">
        <f>IFERROR(__xludf.DUMMYFUNCTION("""COMPUTED_VALUE"""),169.72)</f>
        <v>169.72</v>
      </c>
      <c r="BF141" s="26">
        <f>IFERROR(__xludf.DUMMYFUNCTION("""COMPUTED_VALUE"""),87.11)</f>
        <v>87.11</v>
      </c>
      <c r="BG141" s="26">
        <f>IFERROR(__xludf.DUMMYFUNCTION("""COMPUTED_VALUE"""),9.7)</f>
        <v>9.7</v>
      </c>
      <c r="BH141" s="26">
        <f>IFERROR(__xludf.DUMMYFUNCTION("""COMPUTED_VALUE"""),245.23)</f>
        <v>245.23</v>
      </c>
      <c r="BI141" s="26">
        <f>IFERROR(__xludf.DUMMYFUNCTION("""COMPUTED_VALUE"""),608.38)</f>
        <v>608.38</v>
      </c>
      <c r="BJ141" s="26">
        <f>IFERROR(__xludf.DUMMYFUNCTION("""COMPUTED_VALUE"""),48.97)</f>
        <v>48.97</v>
      </c>
      <c r="BK141" s="26">
        <f>IFERROR(__xludf.DUMMYFUNCTION("""COMPUTED_VALUE"""),13.22)</f>
        <v>13.22</v>
      </c>
      <c r="BL141" s="26">
        <f>IFERROR(__xludf.DUMMYFUNCTION("""COMPUTED_VALUE"""),228.46)</f>
        <v>228.46</v>
      </c>
      <c r="BM141" s="26">
        <f>IFERROR(__xludf.DUMMYFUNCTION("""COMPUTED_VALUE"""),117.6)</f>
        <v>117.6</v>
      </c>
    </row>
    <row r="142">
      <c r="A142" s="25">
        <v>45628.66666666667</v>
      </c>
      <c r="B142" s="17">
        <f>IFERROR(__xludf.DUMMYFUNCTION("""COMPUTED_VALUE"""),6032.38)</f>
        <v>6032.38</v>
      </c>
      <c r="C142" s="17">
        <f>IFERROR(__xludf.DUMMYFUNCTION("""COMPUTED_VALUE"""),19218.17)</f>
        <v>19218.17</v>
      </c>
      <c r="D142" s="17">
        <f>IFERROR(__xludf.DUMMYFUNCTION("""COMPUTED_VALUE"""),44910.65)</f>
        <v>44910.65</v>
      </c>
      <c r="E142" s="17">
        <f>IFERROR(__xludf.DUMMYFUNCTION("""COMPUTED_VALUE"""),2434.77)</f>
        <v>2434.77</v>
      </c>
      <c r="F142" s="26">
        <f>IFERROR(__xludf.DUMMYFUNCTION("""COMPUTED_VALUE"""),515.93)</f>
        <v>515.93</v>
      </c>
      <c r="G142" s="26">
        <f>IFERROR(__xludf.DUMMYFUNCTION("""COMPUTED_VALUE"""),207.89)</f>
        <v>207.89</v>
      </c>
      <c r="H142" s="26">
        <f>IFERROR(__xludf.DUMMYFUNCTION("""COMPUTED_VALUE"""),136.94)</f>
        <v>136.94</v>
      </c>
      <c r="I142" s="26">
        <f>IFERROR(__xludf.DUMMYFUNCTION("""COMPUTED_VALUE"""),237.33)</f>
        <v>237.33</v>
      </c>
      <c r="J142" s="26">
        <f>IFERROR(__xludf.DUMMYFUNCTION("""COMPUTED_VALUE"""),174.71)</f>
        <v>174.71</v>
      </c>
      <c r="K142" s="26">
        <f>IFERROR(__xludf.DUMMYFUNCTION("""COMPUTED_VALUE"""),81.87)</f>
        <v>81.87</v>
      </c>
      <c r="L142" s="26">
        <f>IFERROR(__xludf.DUMMYFUNCTION("""COMPUTED_VALUE"""),13.48)</f>
        <v>13.48</v>
      </c>
      <c r="M142" s="26">
        <f>IFERROR(__xludf.DUMMYFUNCTION("""COMPUTED_VALUE"""),483.02)</f>
        <v>483.02</v>
      </c>
      <c r="N142" s="26">
        <f>IFERROR(__xludf.DUMMYFUNCTION("""COMPUTED_VALUE"""),52.65)</f>
        <v>52.65</v>
      </c>
      <c r="O142" s="26">
        <f>IFERROR(__xludf.DUMMYFUNCTION("""COMPUTED_VALUE"""),160.63)</f>
        <v>160.63</v>
      </c>
      <c r="P142" s="26">
        <f>IFERROR(__xludf.DUMMYFUNCTION("""COMPUTED_VALUE"""),77.37)</f>
        <v>77.37</v>
      </c>
      <c r="Q142" s="26">
        <f>IFERROR(__xludf.DUMMYFUNCTION("""COMPUTED_VALUE"""),406.11)</f>
        <v>406.11</v>
      </c>
      <c r="R142" s="26">
        <f>IFERROR(__xludf.DUMMYFUNCTION("""COMPUTED_VALUE"""),59.45)</f>
        <v>59.45</v>
      </c>
      <c r="S142" s="26">
        <f>IFERROR(__xludf.DUMMYFUNCTION("""COMPUTED_VALUE"""),182.0)</f>
        <v>182</v>
      </c>
      <c r="T142" s="26">
        <f>IFERROR(__xludf.DUMMYFUNCTION("""COMPUTED_VALUE"""),161.93)</f>
        <v>161.93</v>
      </c>
      <c r="U142" s="26">
        <f>IFERROR(__xludf.DUMMYFUNCTION("""COMPUTED_VALUE"""),337.8)</f>
        <v>337.8</v>
      </c>
      <c r="V142" s="26">
        <f>IFERROR(__xludf.DUMMYFUNCTION("""COMPUTED_VALUE"""),48.14)</f>
        <v>48.14</v>
      </c>
      <c r="W142" s="26">
        <f>IFERROR(__xludf.DUMMYFUNCTION("""COMPUTED_VALUE"""),64.08)</f>
        <v>64.08</v>
      </c>
      <c r="X142" s="26">
        <f>IFERROR(__xludf.DUMMYFUNCTION("""COMPUTED_VALUE"""),100.59)</f>
        <v>100.59</v>
      </c>
      <c r="Y142" s="26">
        <f>IFERROR(__xludf.DUMMYFUNCTION("""COMPUTED_VALUE"""),195.69)</f>
        <v>195.69</v>
      </c>
      <c r="Z142" s="26">
        <f>IFERROR(__xludf.DUMMYFUNCTION("""COMPUTED_VALUE"""),71.27)</f>
        <v>71.27</v>
      </c>
      <c r="AA142" s="26">
        <f>IFERROR(__xludf.DUMMYFUNCTION("""COMPUTED_VALUE"""),476.19)</f>
        <v>476.19</v>
      </c>
      <c r="AB142" s="26">
        <f>IFERROR(__xludf.DUMMYFUNCTION("""COMPUTED_VALUE"""),63.29)</f>
        <v>63.29</v>
      </c>
      <c r="AC142" s="26">
        <f>IFERROR(__xludf.DUMMYFUNCTION("""COMPUTED_VALUE"""),117.96)</f>
        <v>117.96</v>
      </c>
      <c r="AD142" s="26">
        <f>IFERROR(__xludf.DUMMYFUNCTION("""COMPUTED_VALUE"""),302.67)</f>
        <v>302.67</v>
      </c>
      <c r="AE142" s="26">
        <f>IFERROR(__xludf.DUMMYFUNCTION("""COMPUTED_VALUE"""),434.16)</f>
        <v>434.16</v>
      </c>
      <c r="AF142" s="26">
        <f>IFERROR(__xludf.DUMMYFUNCTION("""COMPUTED_VALUE"""),284.01)</f>
        <v>284.01</v>
      </c>
      <c r="AG142" s="26">
        <f>IFERROR(__xludf.DUMMYFUNCTION("""COMPUTED_VALUE"""),55.59)</f>
        <v>55.59</v>
      </c>
      <c r="AH142" s="26">
        <f>IFERROR(__xludf.DUMMYFUNCTION("""COMPUTED_VALUE"""),92.58)</f>
        <v>92.58</v>
      </c>
      <c r="AI142" s="26">
        <f>IFERROR(__xludf.DUMMYFUNCTION("""COMPUTED_VALUE"""),608.57)</f>
        <v>608.57</v>
      </c>
      <c r="AJ142" s="26">
        <f>IFERROR(__xludf.DUMMYFUNCTION("""COMPUTED_VALUE"""),429.13)</f>
        <v>429.13</v>
      </c>
      <c r="AK142" s="26">
        <f>IFERROR(__xludf.DUMMYFUNCTION("""COMPUTED_VALUE"""),122.81)</f>
        <v>122.81</v>
      </c>
      <c r="AL142" s="26">
        <f>IFERROR(__xludf.DUMMYFUNCTION("""COMPUTED_VALUE"""),160.96)</f>
        <v>160.96</v>
      </c>
      <c r="AM142" s="26">
        <f>IFERROR(__xludf.DUMMYFUNCTION("""COMPUTED_VALUE"""),542.0)</f>
        <v>542</v>
      </c>
      <c r="AN142" s="26">
        <f>IFERROR(__xludf.DUMMYFUNCTION("""COMPUTED_VALUE"""),249.72)</f>
        <v>249.72</v>
      </c>
      <c r="AO142" s="26">
        <f>IFERROR(__xludf.DUMMYFUNCTION("""COMPUTED_VALUE"""),529.41)</f>
        <v>529.41</v>
      </c>
      <c r="AP142" s="26">
        <f>IFERROR(__xludf.DUMMYFUNCTION("""COMPUTED_VALUE"""),320.66)</f>
        <v>320.66</v>
      </c>
      <c r="AQ142" s="26">
        <f>IFERROR(__xludf.DUMMYFUNCTION("""COMPUTED_VALUE"""),32.13)</f>
        <v>32.13</v>
      </c>
      <c r="AR142" s="26">
        <f>IFERROR(__xludf.DUMMYFUNCTION("""COMPUTED_VALUE"""),86.54)</f>
        <v>86.54</v>
      </c>
      <c r="AS142" s="26">
        <f>IFERROR(__xludf.DUMMYFUNCTION("""COMPUTED_VALUE"""),88.23)</f>
        <v>88.23</v>
      </c>
      <c r="AT142" s="26">
        <f>IFERROR(__xludf.DUMMYFUNCTION("""COMPUTED_VALUE"""),423.46)</f>
        <v>423.46</v>
      </c>
      <c r="AU142" s="26">
        <f>IFERROR(__xludf.DUMMYFUNCTION("""COMPUTED_VALUE"""),78.67)</f>
        <v>78.67</v>
      </c>
      <c r="AV142" s="26">
        <f>IFERROR(__xludf.DUMMYFUNCTION("""COMPUTED_VALUE"""),138.25)</f>
        <v>138.25</v>
      </c>
      <c r="AW142" s="26">
        <f>IFERROR(__xludf.DUMMYFUNCTION("""COMPUTED_VALUE"""),102.98)</f>
        <v>102.98</v>
      </c>
      <c r="AX142" s="26">
        <f>IFERROR(__xludf.DUMMYFUNCTION("""COMPUTED_VALUE"""),58.33)</f>
        <v>58.33</v>
      </c>
      <c r="AY142" s="26">
        <f>IFERROR(__xludf.DUMMYFUNCTION("""COMPUTED_VALUE"""),67.08)</f>
        <v>67.08</v>
      </c>
      <c r="AZ142" s="26">
        <f>IFERROR(__xludf.DUMMYFUNCTION("""COMPUTED_VALUE"""),86.77)</f>
        <v>86.77</v>
      </c>
      <c r="BA142" s="26">
        <f>IFERROR(__xludf.DUMMYFUNCTION("""COMPUTED_VALUE"""),26.21)</f>
        <v>26.21</v>
      </c>
      <c r="BB142" s="26">
        <f>IFERROR(__xludf.DUMMYFUNCTION("""COMPUTED_VALUE"""),121.83)</f>
        <v>121.83</v>
      </c>
      <c r="BC142" s="26">
        <f>IFERROR(__xludf.DUMMYFUNCTION("""COMPUTED_VALUE"""),246.94)</f>
        <v>246.94</v>
      </c>
      <c r="BD142" s="26">
        <f>IFERROR(__xludf.DUMMYFUNCTION("""COMPUTED_VALUE"""),529.63)</f>
        <v>529.63</v>
      </c>
      <c r="BE142" s="26">
        <f>IFERROR(__xludf.DUMMYFUNCTION("""COMPUTED_VALUE"""),170.63)</f>
        <v>170.63</v>
      </c>
      <c r="BF142" s="26">
        <f>IFERROR(__xludf.DUMMYFUNCTION("""COMPUTED_VALUE"""),86.71)</f>
        <v>86.71</v>
      </c>
      <c r="BG142" s="26">
        <f>IFERROR(__xludf.DUMMYFUNCTION("""COMPUTED_VALUE"""),9.71)</f>
        <v>9.71</v>
      </c>
      <c r="BH142" s="26">
        <f>IFERROR(__xludf.DUMMYFUNCTION("""COMPUTED_VALUE"""),244.66)</f>
        <v>244.66</v>
      </c>
      <c r="BI142" s="26">
        <f>IFERROR(__xludf.DUMMYFUNCTION("""COMPUTED_VALUE"""),610.2)</f>
        <v>610.2</v>
      </c>
      <c r="BJ142" s="26">
        <f>IFERROR(__xludf.DUMMYFUNCTION("""COMPUTED_VALUE"""),49.0)</f>
        <v>49</v>
      </c>
      <c r="BK142" s="26">
        <f>IFERROR(__xludf.DUMMYFUNCTION("""COMPUTED_VALUE"""),13.09)</f>
        <v>13.09</v>
      </c>
      <c r="BL142" s="26">
        <f>IFERROR(__xludf.DUMMYFUNCTION("""COMPUTED_VALUE"""),228.22)</f>
        <v>228.22</v>
      </c>
      <c r="BM142" s="26">
        <f>IFERROR(__xludf.DUMMYFUNCTION("""COMPUTED_VALUE"""),117.47)</f>
        <v>117.47</v>
      </c>
    </row>
    <row r="143">
      <c r="A143" s="25">
        <v>45629.66666666667</v>
      </c>
      <c r="B143" s="17">
        <f>IFERROR(__xludf.DUMMYFUNCTION("""COMPUTED_VALUE"""),6047.15)</f>
        <v>6047.15</v>
      </c>
      <c r="C143" s="17">
        <f>IFERROR(__xludf.DUMMYFUNCTION("""COMPUTED_VALUE"""),19403.95)</f>
        <v>19403.95</v>
      </c>
      <c r="D143" s="17">
        <f>IFERROR(__xludf.DUMMYFUNCTION("""COMPUTED_VALUE"""),44782.0)</f>
        <v>44782</v>
      </c>
      <c r="E143" s="17">
        <f>IFERROR(__xludf.DUMMYFUNCTION("""COMPUTED_VALUE"""),2434.14)</f>
        <v>2434.14</v>
      </c>
      <c r="F143" s="26">
        <f>IFERROR(__xludf.DUMMYFUNCTION("""COMPUTED_VALUE"""),516.2)</f>
        <v>516.2</v>
      </c>
      <c r="G143" s="26">
        <f>IFERROR(__xludf.DUMMYFUNCTION("""COMPUTED_VALUE"""),210.71)</f>
        <v>210.71</v>
      </c>
      <c r="H143" s="26">
        <f>IFERROR(__xludf.DUMMYFUNCTION("""COMPUTED_VALUE"""),135.6)</f>
        <v>135.6</v>
      </c>
      <c r="I143" s="26">
        <f>IFERROR(__xludf.DUMMYFUNCTION("""COMPUTED_VALUE"""),239.59)</f>
        <v>239.59</v>
      </c>
      <c r="J143" s="26">
        <f>IFERROR(__xludf.DUMMYFUNCTION("""COMPUTED_VALUE"""),183.27)</f>
        <v>183.27</v>
      </c>
      <c r="K143" s="26">
        <f>IFERROR(__xludf.DUMMYFUNCTION("""COMPUTED_VALUE"""),81.11)</f>
        <v>81.11</v>
      </c>
      <c r="L143" s="26">
        <f>IFERROR(__xludf.DUMMYFUNCTION("""COMPUTED_VALUE"""),13.36)</f>
        <v>13.36</v>
      </c>
      <c r="M143" s="26">
        <f>IFERROR(__xludf.DUMMYFUNCTION("""COMPUTED_VALUE"""),477.33)</f>
        <v>477.33</v>
      </c>
      <c r="N143" s="26">
        <f>IFERROR(__xludf.DUMMYFUNCTION("""COMPUTED_VALUE"""),52.85)</f>
        <v>52.85</v>
      </c>
      <c r="O143" s="26">
        <f>IFERROR(__xludf.DUMMYFUNCTION("""COMPUTED_VALUE"""),164.23)</f>
        <v>164.23</v>
      </c>
      <c r="P143" s="26">
        <f>IFERROR(__xludf.DUMMYFUNCTION("""COMPUTED_VALUE"""),76.29)</f>
        <v>76.29</v>
      </c>
      <c r="Q143" s="26">
        <f>IFERROR(__xludf.DUMMYFUNCTION("""COMPUTED_VALUE"""),402.51)</f>
        <v>402.51</v>
      </c>
      <c r="R143" s="26">
        <f>IFERROR(__xludf.DUMMYFUNCTION("""COMPUTED_VALUE"""),58.83)</f>
        <v>58.83</v>
      </c>
      <c r="S143" s="26">
        <f>IFERROR(__xludf.DUMMYFUNCTION("""COMPUTED_VALUE"""),182.18)</f>
        <v>182.18</v>
      </c>
      <c r="T143" s="26">
        <f>IFERROR(__xludf.DUMMYFUNCTION("""COMPUTED_VALUE"""),162.21)</f>
        <v>162.21</v>
      </c>
      <c r="U143" s="26">
        <f>IFERROR(__xludf.DUMMYFUNCTION("""COMPUTED_VALUE"""),337.06)</f>
        <v>337.06</v>
      </c>
      <c r="V143" s="26">
        <f>IFERROR(__xludf.DUMMYFUNCTION("""COMPUTED_VALUE"""),47.08)</f>
        <v>47.08</v>
      </c>
      <c r="W143" s="26">
        <f>IFERROR(__xludf.DUMMYFUNCTION("""COMPUTED_VALUE"""),63.65)</f>
        <v>63.65</v>
      </c>
      <c r="X143" s="26">
        <f>IFERROR(__xludf.DUMMYFUNCTION("""COMPUTED_VALUE"""),98.5)</f>
        <v>98.5</v>
      </c>
      <c r="Y143" s="26">
        <f>IFERROR(__xludf.DUMMYFUNCTION("""COMPUTED_VALUE"""),192.16)</f>
        <v>192.16</v>
      </c>
      <c r="Z143" s="26">
        <f>IFERROR(__xludf.DUMMYFUNCTION("""COMPUTED_VALUE"""),72.81)</f>
        <v>72.81</v>
      </c>
      <c r="AA143" s="26">
        <f>IFERROR(__xludf.DUMMYFUNCTION("""COMPUTED_VALUE"""),466.18)</f>
        <v>466.18</v>
      </c>
      <c r="AB143" s="26">
        <f>IFERROR(__xludf.DUMMYFUNCTION("""COMPUTED_VALUE"""),63.17)</f>
        <v>63.17</v>
      </c>
      <c r="AC143" s="26">
        <f>IFERROR(__xludf.DUMMYFUNCTION("""COMPUTED_VALUE"""),117.85)</f>
        <v>117.85</v>
      </c>
      <c r="AD143" s="26">
        <f>IFERROR(__xludf.DUMMYFUNCTION("""COMPUTED_VALUE"""),296.69)</f>
        <v>296.69</v>
      </c>
      <c r="AE143" s="26">
        <f>IFERROR(__xludf.DUMMYFUNCTION("""COMPUTED_VALUE"""),437.4)</f>
        <v>437.4</v>
      </c>
      <c r="AF143" s="26">
        <f>IFERROR(__xludf.DUMMYFUNCTION("""COMPUTED_VALUE"""),276.44)</f>
        <v>276.44</v>
      </c>
      <c r="AG143" s="26">
        <f>IFERROR(__xludf.DUMMYFUNCTION("""COMPUTED_VALUE"""),55.04)</f>
        <v>55.04</v>
      </c>
      <c r="AH143" s="26">
        <f>IFERROR(__xludf.DUMMYFUNCTION("""COMPUTED_VALUE"""),94.02)</f>
        <v>94.02</v>
      </c>
      <c r="AI143" s="26">
        <f>IFERROR(__xludf.DUMMYFUNCTION("""COMPUTED_VALUE"""),601.71)</f>
        <v>601.71</v>
      </c>
      <c r="AJ143" s="26">
        <f>IFERROR(__xludf.DUMMYFUNCTION("""COMPUTED_VALUE"""),426.96)</f>
        <v>426.96</v>
      </c>
      <c r="AK143" s="26">
        <f>IFERROR(__xludf.DUMMYFUNCTION("""COMPUTED_VALUE"""),124.41)</f>
        <v>124.41</v>
      </c>
      <c r="AL143" s="26">
        <f>IFERROR(__xludf.DUMMYFUNCTION("""COMPUTED_VALUE"""),158.29)</f>
        <v>158.29</v>
      </c>
      <c r="AM143" s="26">
        <f>IFERROR(__xludf.DUMMYFUNCTION("""COMPUTED_VALUE"""),542.85)</f>
        <v>542.85</v>
      </c>
      <c r="AN143" s="26">
        <f>IFERROR(__xludf.DUMMYFUNCTION("""COMPUTED_VALUE"""),246.25)</f>
        <v>246.25</v>
      </c>
      <c r="AO143" s="26">
        <f>IFERROR(__xludf.DUMMYFUNCTION("""COMPUTED_VALUE"""),520.34)</f>
        <v>520.34</v>
      </c>
      <c r="AP143" s="26">
        <f>IFERROR(__xludf.DUMMYFUNCTION("""COMPUTED_VALUE"""),334.4)</f>
        <v>334.4</v>
      </c>
      <c r="AQ143" s="26">
        <f>IFERROR(__xludf.DUMMYFUNCTION("""COMPUTED_VALUE"""),32.32)</f>
        <v>32.32</v>
      </c>
      <c r="AR143" s="26">
        <f>IFERROR(__xludf.DUMMYFUNCTION("""COMPUTED_VALUE"""),86.54)</f>
        <v>86.54</v>
      </c>
      <c r="AS143" s="26">
        <f>IFERROR(__xludf.DUMMYFUNCTION("""COMPUTED_VALUE"""),86.88)</f>
        <v>86.88</v>
      </c>
      <c r="AT143" s="26">
        <f>IFERROR(__xludf.DUMMYFUNCTION("""COMPUTED_VALUE"""),430.98)</f>
        <v>430.98</v>
      </c>
      <c r="AU143" s="26">
        <f>IFERROR(__xludf.DUMMYFUNCTION("""COMPUTED_VALUE"""),77.07)</f>
        <v>77.07</v>
      </c>
      <c r="AV143" s="26">
        <f>IFERROR(__xludf.DUMMYFUNCTION("""COMPUTED_VALUE"""),138.63)</f>
        <v>138.63</v>
      </c>
      <c r="AW143" s="26">
        <f>IFERROR(__xludf.DUMMYFUNCTION("""COMPUTED_VALUE"""),101.8)</f>
        <v>101.8</v>
      </c>
      <c r="AX143" s="26">
        <f>IFERROR(__xludf.DUMMYFUNCTION("""COMPUTED_VALUE"""),58.53)</f>
        <v>58.53</v>
      </c>
      <c r="AY143" s="26">
        <f>IFERROR(__xludf.DUMMYFUNCTION("""COMPUTED_VALUE"""),66.39)</f>
        <v>66.39</v>
      </c>
      <c r="AZ143" s="26">
        <f>IFERROR(__xludf.DUMMYFUNCTION("""COMPUTED_VALUE"""),86.53)</f>
        <v>86.53</v>
      </c>
      <c r="BA143" s="26">
        <f>IFERROR(__xludf.DUMMYFUNCTION("""COMPUTED_VALUE"""),25.82)</f>
        <v>25.82</v>
      </c>
      <c r="BB143" s="26">
        <f>IFERROR(__xludf.DUMMYFUNCTION("""COMPUTED_VALUE"""),118.68)</f>
        <v>118.68</v>
      </c>
      <c r="BC143" s="26">
        <f>IFERROR(__xludf.DUMMYFUNCTION("""COMPUTED_VALUE"""),244.82)</f>
        <v>244.82</v>
      </c>
      <c r="BD143" s="26">
        <f>IFERROR(__xludf.DUMMYFUNCTION("""COMPUTED_VALUE"""),529.95)</f>
        <v>529.95</v>
      </c>
      <c r="BE143" s="26">
        <f>IFERROR(__xludf.DUMMYFUNCTION("""COMPUTED_VALUE"""),175.81)</f>
        <v>175.81</v>
      </c>
      <c r="BF143" s="26">
        <f>IFERROR(__xludf.DUMMYFUNCTION("""COMPUTED_VALUE"""),85.14)</f>
        <v>85.14</v>
      </c>
      <c r="BG143" s="26">
        <f>IFERROR(__xludf.DUMMYFUNCTION("""COMPUTED_VALUE"""),10.16)</f>
        <v>10.16</v>
      </c>
      <c r="BH143" s="26">
        <f>IFERROR(__xludf.DUMMYFUNCTION("""COMPUTED_VALUE"""),240.78)</f>
        <v>240.78</v>
      </c>
      <c r="BI143" s="26">
        <f>IFERROR(__xludf.DUMMYFUNCTION("""COMPUTED_VALUE"""),608.52)</f>
        <v>608.52</v>
      </c>
      <c r="BJ143" s="26">
        <f>IFERROR(__xludf.DUMMYFUNCTION("""COMPUTED_VALUE"""),49.0)</f>
        <v>49</v>
      </c>
      <c r="BK143" s="26">
        <f>IFERROR(__xludf.DUMMYFUNCTION("""COMPUTED_VALUE"""),13.2)</f>
        <v>13.2</v>
      </c>
      <c r="BL143" s="26">
        <f>IFERROR(__xludf.DUMMYFUNCTION("""COMPUTED_VALUE"""),225.12)</f>
        <v>225.12</v>
      </c>
      <c r="BM143" s="26">
        <f>IFERROR(__xludf.DUMMYFUNCTION("""COMPUTED_VALUE"""),117.16)</f>
        <v>117.16</v>
      </c>
    </row>
    <row r="144">
      <c r="A144" s="25">
        <v>45630.66666666667</v>
      </c>
      <c r="B144" s="17">
        <f>IFERROR(__xludf.DUMMYFUNCTION("""COMPUTED_VALUE"""),6049.88)</f>
        <v>6049.88</v>
      </c>
      <c r="C144" s="17">
        <f>IFERROR(__xludf.DUMMYFUNCTION("""COMPUTED_VALUE"""),19480.91)</f>
        <v>19480.91</v>
      </c>
      <c r="D144" s="17">
        <f>IFERROR(__xludf.DUMMYFUNCTION("""COMPUTED_VALUE"""),44705.53)</f>
        <v>44705.53</v>
      </c>
      <c r="E144" s="17">
        <f>IFERROR(__xludf.DUMMYFUNCTION("""COMPUTED_VALUE"""),2416.35)</f>
        <v>2416.35</v>
      </c>
      <c r="F144" s="26">
        <f>IFERROR(__xludf.DUMMYFUNCTION("""COMPUTED_VALUE"""),516.26)</f>
        <v>516.26</v>
      </c>
      <c r="G144" s="26">
        <f>IFERROR(__xludf.DUMMYFUNCTION("""COMPUTED_VALUE"""),213.44)</f>
        <v>213.44</v>
      </c>
      <c r="H144" s="26">
        <f>IFERROR(__xludf.DUMMYFUNCTION("""COMPUTED_VALUE"""),134.1)</f>
        <v>134.1</v>
      </c>
      <c r="I144" s="26">
        <f>IFERROR(__xludf.DUMMYFUNCTION("""COMPUTED_VALUE"""),242.65)</f>
        <v>242.65</v>
      </c>
      <c r="J144" s="26">
        <f>IFERROR(__xludf.DUMMYFUNCTION("""COMPUTED_VALUE"""),183.16)</f>
        <v>183.16</v>
      </c>
      <c r="K144" s="26">
        <f>IFERROR(__xludf.DUMMYFUNCTION("""COMPUTED_VALUE"""),80.85)</f>
        <v>80.85</v>
      </c>
      <c r="L144" s="26">
        <f>IFERROR(__xludf.DUMMYFUNCTION("""COMPUTED_VALUE"""),13.45)</f>
        <v>13.45</v>
      </c>
      <c r="M144" s="26">
        <f>IFERROR(__xludf.DUMMYFUNCTION("""COMPUTED_VALUE"""),470.19)</f>
        <v>470.19</v>
      </c>
      <c r="N144" s="26">
        <f>IFERROR(__xludf.DUMMYFUNCTION("""COMPUTED_VALUE"""),53.12)</f>
        <v>53.12</v>
      </c>
      <c r="O144" s="26">
        <f>IFERROR(__xludf.DUMMYFUNCTION("""COMPUTED_VALUE"""),160.85)</f>
        <v>160.85</v>
      </c>
      <c r="P144" s="26">
        <f>IFERROR(__xludf.DUMMYFUNCTION("""COMPUTED_VALUE"""),75.58)</f>
        <v>75.58</v>
      </c>
      <c r="Q144" s="26">
        <f>IFERROR(__xludf.DUMMYFUNCTION("""COMPUTED_VALUE"""),399.26)</f>
        <v>399.26</v>
      </c>
      <c r="R144" s="26">
        <f>IFERROR(__xludf.DUMMYFUNCTION("""COMPUTED_VALUE"""),59.39)</f>
        <v>59.39</v>
      </c>
      <c r="S144" s="26">
        <f>IFERROR(__xludf.DUMMYFUNCTION("""COMPUTED_VALUE"""),187.09)</f>
        <v>187.09</v>
      </c>
      <c r="T144" s="26">
        <f>IFERROR(__xludf.DUMMYFUNCTION("""COMPUTED_VALUE"""),161.92)</f>
        <v>161.92</v>
      </c>
      <c r="U144" s="26">
        <f>IFERROR(__xludf.DUMMYFUNCTION("""COMPUTED_VALUE"""),334.9)</f>
        <v>334.9</v>
      </c>
      <c r="V144" s="26">
        <f>IFERROR(__xludf.DUMMYFUNCTION("""COMPUTED_VALUE"""),46.8)</f>
        <v>46.8</v>
      </c>
      <c r="W144" s="26">
        <f>IFERROR(__xludf.DUMMYFUNCTION("""COMPUTED_VALUE"""),63.52)</f>
        <v>63.52</v>
      </c>
      <c r="X144" s="26">
        <f>IFERROR(__xludf.DUMMYFUNCTION("""COMPUTED_VALUE"""),97.53)</f>
        <v>97.53</v>
      </c>
      <c r="Y144" s="26">
        <f>IFERROR(__xludf.DUMMYFUNCTION("""COMPUTED_VALUE"""),191.07)</f>
        <v>191.07</v>
      </c>
      <c r="Z144" s="26">
        <f>IFERROR(__xludf.DUMMYFUNCTION("""COMPUTED_VALUE"""),72.48)</f>
        <v>72.48</v>
      </c>
      <c r="AA144" s="26">
        <f>IFERROR(__xludf.DUMMYFUNCTION("""COMPUTED_VALUE"""),462.22)</f>
        <v>462.22</v>
      </c>
      <c r="AB144" s="26">
        <f>IFERROR(__xludf.DUMMYFUNCTION("""COMPUTED_VALUE"""),62.94)</f>
        <v>62.94</v>
      </c>
      <c r="AC144" s="26">
        <f>IFERROR(__xludf.DUMMYFUNCTION("""COMPUTED_VALUE"""),117.67)</f>
        <v>117.67</v>
      </c>
      <c r="AD144" s="26">
        <f>IFERROR(__xludf.DUMMYFUNCTION("""COMPUTED_VALUE"""),282.85)</f>
        <v>282.85</v>
      </c>
      <c r="AE144" s="26">
        <f>IFERROR(__xludf.DUMMYFUNCTION("""COMPUTED_VALUE"""),444.51)</f>
        <v>444.51</v>
      </c>
      <c r="AF144" s="26">
        <f>IFERROR(__xludf.DUMMYFUNCTION("""COMPUTED_VALUE"""),277.42)</f>
        <v>277.42</v>
      </c>
      <c r="AG144" s="26">
        <f>IFERROR(__xludf.DUMMYFUNCTION("""COMPUTED_VALUE"""),53.66)</f>
        <v>53.66</v>
      </c>
      <c r="AH144" s="26">
        <f>IFERROR(__xludf.DUMMYFUNCTION("""COMPUTED_VALUE"""),92.49)</f>
        <v>92.49</v>
      </c>
      <c r="AI144" s="26">
        <f>IFERROR(__xludf.DUMMYFUNCTION("""COMPUTED_VALUE"""),602.08)</f>
        <v>602.08</v>
      </c>
      <c r="AJ144" s="26">
        <f>IFERROR(__xludf.DUMMYFUNCTION("""COMPUTED_VALUE"""),429.35)</f>
        <v>429.35</v>
      </c>
      <c r="AK144" s="26">
        <f>IFERROR(__xludf.DUMMYFUNCTION("""COMPUTED_VALUE"""),123.58)</f>
        <v>123.58</v>
      </c>
      <c r="AL144" s="26">
        <f>IFERROR(__xludf.DUMMYFUNCTION("""COMPUTED_VALUE"""),156.26)</f>
        <v>156.26</v>
      </c>
      <c r="AM144" s="26">
        <f>IFERROR(__xludf.DUMMYFUNCTION("""COMPUTED_VALUE"""),541.71)</f>
        <v>541.71</v>
      </c>
      <c r="AN144" s="26">
        <f>IFERROR(__xludf.DUMMYFUNCTION("""COMPUTED_VALUE"""),244.82)</f>
        <v>244.82</v>
      </c>
      <c r="AO144" s="26">
        <f>IFERROR(__xludf.DUMMYFUNCTION("""COMPUTED_VALUE"""),517.0)</f>
        <v>517</v>
      </c>
      <c r="AP144" s="26">
        <f>IFERROR(__xludf.DUMMYFUNCTION("""COMPUTED_VALUE"""),340.66)</f>
        <v>340.66</v>
      </c>
      <c r="AQ144" s="26">
        <f>IFERROR(__xludf.DUMMYFUNCTION("""COMPUTED_VALUE"""),32.07)</f>
        <v>32.07</v>
      </c>
      <c r="AR144" s="26">
        <f>IFERROR(__xludf.DUMMYFUNCTION("""COMPUTED_VALUE"""),85.71)</f>
        <v>85.71</v>
      </c>
      <c r="AS144" s="26">
        <f>IFERROR(__xludf.DUMMYFUNCTION("""COMPUTED_VALUE"""),85.72)</f>
        <v>85.72</v>
      </c>
      <c r="AT144" s="26">
        <f>IFERROR(__xludf.DUMMYFUNCTION("""COMPUTED_VALUE"""),431.2)</f>
        <v>431.2</v>
      </c>
      <c r="AU144" s="26">
        <f>IFERROR(__xludf.DUMMYFUNCTION("""COMPUTED_VALUE"""),76.29)</f>
        <v>76.29</v>
      </c>
      <c r="AV144" s="26">
        <f>IFERROR(__xludf.DUMMYFUNCTION("""COMPUTED_VALUE"""),140.26)</f>
        <v>140.26</v>
      </c>
      <c r="AW144" s="26">
        <f>IFERROR(__xludf.DUMMYFUNCTION("""COMPUTED_VALUE"""),101.06)</f>
        <v>101.06</v>
      </c>
      <c r="AX144" s="26">
        <f>IFERROR(__xludf.DUMMYFUNCTION("""COMPUTED_VALUE"""),59.54)</f>
        <v>59.54</v>
      </c>
      <c r="AY144" s="26">
        <f>IFERROR(__xludf.DUMMYFUNCTION("""COMPUTED_VALUE"""),70.96)</f>
        <v>70.96</v>
      </c>
      <c r="AZ144" s="26">
        <f>IFERROR(__xludf.DUMMYFUNCTION("""COMPUTED_VALUE"""),85.14)</f>
        <v>85.14</v>
      </c>
      <c r="BA144" s="26">
        <f>IFERROR(__xludf.DUMMYFUNCTION("""COMPUTED_VALUE"""),25.56)</f>
        <v>25.56</v>
      </c>
      <c r="BB144" s="26">
        <f>IFERROR(__xludf.DUMMYFUNCTION("""COMPUTED_VALUE"""),118.1)</f>
        <v>118.1</v>
      </c>
      <c r="BC144" s="26">
        <f>IFERROR(__xludf.DUMMYFUNCTION("""COMPUTED_VALUE"""),244.85)</f>
        <v>244.85</v>
      </c>
      <c r="BD144" s="26">
        <f>IFERROR(__xludf.DUMMYFUNCTION("""COMPUTED_VALUE"""),534.42)</f>
        <v>534.42</v>
      </c>
      <c r="BE144" s="26">
        <f>IFERROR(__xludf.DUMMYFUNCTION("""COMPUTED_VALUE"""),176.0)</f>
        <v>176</v>
      </c>
      <c r="BF144" s="26">
        <f>IFERROR(__xludf.DUMMYFUNCTION("""COMPUTED_VALUE"""),71.44)</f>
        <v>71.44</v>
      </c>
      <c r="BG144" s="26">
        <f>IFERROR(__xludf.DUMMYFUNCTION("""COMPUTED_VALUE"""),10.18)</f>
        <v>10.18</v>
      </c>
      <c r="BH144" s="26">
        <f>IFERROR(__xludf.DUMMYFUNCTION("""COMPUTED_VALUE"""),236.99)</f>
        <v>236.99</v>
      </c>
      <c r="BI144" s="26">
        <f>IFERROR(__xludf.DUMMYFUNCTION("""COMPUTED_VALUE"""),605.23)</f>
        <v>605.23</v>
      </c>
      <c r="BJ144" s="26">
        <f>IFERROR(__xludf.DUMMYFUNCTION("""COMPUTED_VALUE"""),49.03)</f>
        <v>49.03</v>
      </c>
      <c r="BK144" s="26">
        <f>IFERROR(__xludf.DUMMYFUNCTION("""COMPUTED_VALUE"""),13.0)</f>
        <v>13</v>
      </c>
      <c r="BL144" s="26">
        <f>IFERROR(__xludf.DUMMYFUNCTION("""COMPUTED_VALUE"""),225.01)</f>
        <v>225.01</v>
      </c>
      <c r="BM144" s="26">
        <f>IFERROR(__xludf.DUMMYFUNCTION("""COMPUTED_VALUE"""),116.45)</f>
        <v>116.45</v>
      </c>
    </row>
    <row r="145">
      <c r="A145" s="25">
        <v>45631.66666666667</v>
      </c>
      <c r="B145" s="17">
        <f>IFERROR(__xludf.DUMMYFUNCTION("""COMPUTED_VALUE"""),6086.49)</f>
        <v>6086.49</v>
      </c>
      <c r="C145" s="17">
        <f>IFERROR(__xludf.DUMMYFUNCTION("""COMPUTED_VALUE"""),19735.12)</f>
        <v>19735.12</v>
      </c>
      <c r="D145" s="17">
        <f>IFERROR(__xludf.DUMMYFUNCTION("""COMPUTED_VALUE"""),45014.04)</f>
        <v>45014.04</v>
      </c>
      <c r="E145" s="17">
        <f>IFERROR(__xludf.DUMMYFUNCTION("""COMPUTED_VALUE"""),2426.56)</f>
        <v>2426.56</v>
      </c>
      <c r="F145" s="26">
        <f>IFERROR(__xludf.DUMMYFUNCTION("""COMPUTED_VALUE"""),536.49)</f>
        <v>536.49</v>
      </c>
      <c r="G145" s="26">
        <f>IFERROR(__xludf.DUMMYFUNCTION("""COMPUTED_VALUE"""),218.16)</f>
        <v>218.16</v>
      </c>
      <c r="H145" s="26">
        <f>IFERROR(__xludf.DUMMYFUNCTION("""COMPUTED_VALUE"""),131.01)</f>
        <v>131.01</v>
      </c>
      <c r="I145" s="26">
        <f>IFERROR(__xludf.DUMMYFUNCTION("""COMPUTED_VALUE"""),243.01)</f>
        <v>243.01</v>
      </c>
      <c r="J145" s="26">
        <f>IFERROR(__xludf.DUMMYFUNCTION("""COMPUTED_VALUE"""),181.16)</f>
        <v>181.16</v>
      </c>
      <c r="K145" s="26">
        <f>IFERROR(__xludf.DUMMYFUNCTION("""COMPUTED_VALUE"""),80.19)</f>
        <v>80.19</v>
      </c>
      <c r="L145" s="26">
        <f>IFERROR(__xludf.DUMMYFUNCTION("""COMPUTED_VALUE"""),13.38)</f>
        <v>13.38</v>
      </c>
      <c r="M145" s="26">
        <f>IFERROR(__xludf.DUMMYFUNCTION("""COMPUTED_VALUE"""),468.32)</f>
        <v>468.32</v>
      </c>
      <c r="N145" s="26">
        <f>IFERROR(__xludf.DUMMYFUNCTION("""COMPUTED_VALUE"""),52.76)</f>
        <v>52.76</v>
      </c>
      <c r="O145" s="26">
        <f>IFERROR(__xludf.DUMMYFUNCTION("""COMPUTED_VALUE"""),160.92)</f>
        <v>160.92</v>
      </c>
      <c r="P145" s="26">
        <f>IFERROR(__xludf.DUMMYFUNCTION("""COMPUTED_VALUE"""),75.38)</f>
        <v>75.38</v>
      </c>
      <c r="Q145" s="26">
        <f>IFERROR(__xludf.DUMMYFUNCTION("""COMPUTED_VALUE"""),399.51)</f>
        <v>399.51</v>
      </c>
      <c r="R145" s="26">
        <f>IFERROR(__xludf.DUMMYFUNCTION("""COMPUTED_VALUE"""),59.61)</f>
        <v>59.61</v>
      </c>
      <c r="S145" s="26">
        <f>IFERROR(__xludf.DUMMYFUNCTION("""COMPUTED_VALUE"""),190.22)</f>
        <v>190.22</v>
      </c>
      <c r="T145" s="26">
        <f>IFERROR(__xludf.DUMMYFUNCTION("""COMPUTED_VALUE"""),158.32)</f>
        <v>158.32</v>
      </c>
      <c r="U145" s="26">
        <f>IFERROR(__xludf.DUMMYFUNCTION("""COMPUTED_VALUE"""),330.12)</f>
        <v>330.12</v>
      </c>
      <c r="V145" s="26">
        <f>IFERROR(__xludf.DUMMYFUNCTION("""COMPUTED_VALUE"""),46.6)</f>
        <v>46.6</v>
      </c>
      <c r="W145" s="26">
        <f>IFERROR(__xludf.DUMMYFUNCTION("""COMPUTED_VALUE"""),62.21)</f>
        <v>62.21</v>
      </c>
      <c r="X145" s="26">
        <f>IFERROR(__xludf.DUMMYFUNCTION("""COMPUTED_VALUE"""),96.62)</f>
        <v>96.62</v>
      </c>
      <c r="Y145" s="26">
        <f>IFERROR(__xludf.DUMMYFUNCTION("""COMPUTED_VALUE"""),190.84)</f>
        <v>190.84</v>
      </c>
      <c r="Z145" s="26">
        <f>IFERROR(__xludf.DUMMYFUNCTION("""COMPUTED_VALUE"""),73.83)</f>
        <v>73.83</v>
      </c>
      <c r="AA145" s="26">
        <f>IFERROR(__xludf.DUMMYFUNCTION("""COMPUTED_VALUE"""),466.86)</f>
        <v>466.86</v>
      </c>
      <c r="AB145" s="26">
        <f>IFERROR(__xludf.DUMMYFUNCTION("""COMPUTED_VALUE"""),63.32)</f>
        <v>63.32</v>
      </c>
      <c r="AC145" s="26">
        <f>IFERROR(__xludf.DUMMYFUNCTION("""COMPUTED_VALUE"""),114.28)</f>
        <v>114.28</v>
      </c>
      <c r="AD145" s="26">
        <f>IFERROR(__xludf.DUMMYFUNCTION("""COMPUTED_VALUE"""),283.43)</f>
        <v>283.43</v>
      </c>
      <c r="AE145" s="26">
        <f>IFERROR(__xludf.DUMMYFUNCTION("""COMPUTED_VALUE"""),445.73)</f>
        <v>445.73</v>
      </c>
      <c r="AF145" s="26">
        <f>IFERROR(__xludf.DUMMYFUNCTION("""COMPUTED_VALUE"""),277.66)</f>
        <v>277.66</v>
      </c>
      <c r="AG145" s="26">
        <f>IFERROR(__xludf.DUMMYFUNCTION("""COMPUTED_VALUE"""),53.36)</f>
        <v>53.36</v>
      </c>
      <c r="AH145" s="26">
        <f>IFERROR(__xludf.DUMMYFUNCTION("""COMPUTED_VALUE"""),91.59)</f>
        <v>91.59</v>
      </c>
      <c r="AI145" s="26">
        <f>IFERROR(__xludf.DUMMYFUNCTION("""COMPUTED_VALUE"""),598.71)</f>
        <v>598.71</v>
      </c>
      <c r="AJ145" s="26">
        <f>IFERROR(__xludf.DUMMYFUNCTION("""COMPUTED_VALUE"""),427.92)</f>
        <v>427.92</v>
      </c>
      <c r="AK145" s="26">
        <f>IFERROR(__xludf.DUMMYFUNCTION("""COMPUTED_VALUE"""),123.67)</f>
        <v>123.67</v>
      </c>
      <c r="AL145" s="26">
        <f>IFERROR(__xludf.DUMMYFUNCTION("""COMPUTED_VALUE"""),156.1)</f>
        <v>156.1</v>
      </c>
      <c r="AM145" s="26">
        <f>IFERROR(__xludf.DUMMYFUNCTION("""COMPUTED_VALUE"""),549.95)</f>
        <v>549.95</v>
      </c>
      <c r="AN145" s="26">
        <f>IFERROR(__xludf.DUMMYFUNCTION("""COMPUTED_VALUE"""),243.4)</f>
        <v>243.4</v>
      </c>
      <c r="AO145" s="26">
        <f>IFERROR(__xludf.DUMMYFUNCTION("""COMPUTED_VALUE"""),517.5)</f>
        <v>517.5</v>
      </c>
      <c r="AP145" s="26">
        <f>IFERROR(__xludf.DUMMYFUNCTION("""COMPUTED_VALUE"""),342.27)</f>
        <v>342.27</v>
      </c>
      <c r="AQ145" s="26">
        <f>IFERROR(__xludf.DUMMYFUNCTION("""COMPUTED_VALUE"""),32.29)</f>
        <v>32.29</v>
      </c>
      <c r="AR145" s="26">
        <f>IFERROR(__xludf.DUMMYFUNCTION("""COMPUTED_VALUE"""),85.32)</f>
        <v>85.32</v>
      </c>
      <c r="AS145" s="26">
        <f>IFERROR(__xludf.DUMMYFUNCTION("""COMPUTED_VALUE"""),85.38)</f>
        <v>85.38</v>
      </c>
      <c r="AT145" s="26">
        <f>IFERROR(__xludf.DUMMYFUNCTION("""COMPUTED_VALUE"""),437.42)</f>
        <v>437.42</v>
      </c>
      <c r="AU145" s="26">
        <f>IFERROR(__xludf.DUMMYFUNCTION("""COMPUTED_VALUE"""),75.74)</f>
        <v>75.74</v>
      </c>
      <c r="AV145" s="26">
        <f>IFERROR(__xludf.DUMMYFUNCTION("""COMPUTED_VALUE"""),145.14)</f>
        <v>145.14</v>
      </c>
      <c r="AW145" s="26">
        <f>IFERROR(__xludf.DUMMYFUNCTION("""COMPUTED_VALUE"""),101.13)</f>
        <v>101.13</v>
      </c>
      <c r="AX145" s="26">
        <f>IFERROR(__xludf.DUMMYFUNCTION("""COMPUTED_VALUE"""),59.0)</f>
        <v>59</v>
      </c>
      <c r="AY145" s="26">
        <f>IFERROR(__xludf.DUMMYFUNCTION("""COMPUTED_VALUE"""),69.85)</f>
        <v>69.85</v>
      </c>
      <c r="AZ145" s="26">
        <f>IFERROR(__xludf.DUMMYFUNCTION("""COMPUTED_VALUE"""),89.33)</f>
        <v>89.33</v>
      </c>
      <c r="BA145" s="26">
        <f>IFERROR(__xludf.DUMMYFUNCTION("""COMPUTED_VALUE"""),25.23)</f>
        <v>25.23</v>
      </c>
      <c r="BB145" s="26">
        <f>IFERROR(__xludf.DUMMYFUNCTION("""COMPUTED_VALUE"""),119.23)</f>
        <v>119.23</v>
      </c>
      <c r="BC145" s="26">
        <f>IFERROR(__xludf.DUMMYFUNCTION("""COMPUTED_VALUE"""),243.08)</f>
        <v>243.08</v>
      </c>
      <c r="BD145" s="26">
        <f>IFERROR(__xludf.DUMMYFUNCTION("""COMPUTED_VALUE"""),528.87)</f>
        <v>528.87</v>
      </c>
      <c r="BE145" s="26">
        <f>IFERROR(__xludf.DUMMYFUNCTION("""COMPUTED_VALUE"""),174.78)</f>
        <v>174.78</v>
      </c>
      <c r="BF145" s="26">
        <f>IFERROR(__xludf.DUMMYFUNCTION("""COMPUTED_VALUE"""),72.21)</f>
        <v>72.21</v>
      </c>
      <c r="BG145" s="26">
        <f>IFERROR(__xludf.DUMMYFUNCTION("""COMPUTED_VALUE"""),10.17)</f>
        <v>10.17</v>
      </c>
      <c r="BH145" s="26">
        <f>IFERROR(__xludf.DUMMYFUNCTION("""COMPUTED_VALUE"""),235.0)</f>
        <v>235</v>
      </c>
      <c r="BI145" s="26">
        <f>IFERROR(__xludf.DUMMYFUNCTION("""COMPUTED_VALUE"""),610.79)</f>
        <v>610.79</v>
      </c>
      <c r="BJ145" s="26">
        <f>IFERROR(__xludf.DUMMYFUNCTION("""COMPUTED_VALUE"""),49.08)</f>
        <v>49.08</v>
      </c>
      <c r="BK145" s="26">
        <f>IFERROR(__xludf.DUMMYFUNCTION("""COMPUTED_VALUE"""),13.04)</f>
        <v>13.04</v>
      </c>
      <c r="BL145" s="26">
        <f>IFERROR(__xludf.DUMMYFUNCTION("""COMPUTED_VALUE"""),225.29)</f>
        <v>225.29</v>
      </c>
      <c r="BM145" s="26">
        <f>IFERROR(__xludf.DUMMYFUNCTION("""COMPUTED_VALUE"""),116.99)</f>
        <v>116.99</v>
      </c>
    </row>
    <row r="146">
      <c r="A146" s="25">
        <v>45632.66666666667</v>
      </c>
      <c r="B146" s="17">
        <f>IFERROR(__xludf.DUMMYFUNCTION("""COMPUTED_VALUE"""),6075.11)</f>
        <v>6075.11</v>
      </c>
      <c r="C146" s="17">
        <f>IFERROR(__xludf.DUMMYFUNCTION("""COMPUTED_VALUE"""),19700.72)</f>
        <v>19700.72</v>
      </c>
      <c r="D146" s="17">
        <f>IFERROR(__xludf.DUMMYFUNCTION("""COMPUTED_VALUE"""),44765.71)</f>
        <v>44765.71</v>
      </c>
      <c r="E146" s="17">
        <f>IFERROR(__xludf.DUMMYFUNCTION("""COMPUTED_VALUE"""),2396.17)</f>
        <v>2396.17</v>
      </c>
      <c r="F146" s="26">
        <f>IFERROR(__xludf.DUMMYFUNCTION("""COMPUTED_VALUE"""),538.22)</f>
        <v>538.22</v>
      </c>
      <c r="G146" s="26">
        <f>IFERROR(__xludf.DUMMYFUNCTION("""COMPUTED_VALUE"""),220.55)</f>
        <v>220.55</v>
      </c>
      <c r="H146" s="26">
        <f>IFERROR(__xludf.DUMMYFUNCTION("""COMPUTED_VALUE"""),132.1)</f>
        <v>132.1</v>
      </c>
      <c r="I146" s="26">
        <f>IFERROR(__xludf.DUMMYFUNCTION("""COMPUTED_VALUE"""),243.04)</f>
        <v>243.04</v>
      </c>
      <c r="J146" s="26">
        <f>IFERROR(__xludf.DUMMYFUNCTION("""COMPUTED_VALUE"""),172.03)</f>
        <v>172.03</v>
      </c>
      <c r="K146" s="26">
        <f>IFERROR(__xludf.DUMMYFUNCTION("""COMPUTED_VALUE"""),81.49)</f>
        <v>81.49</v>
      </c>
      <c r="L146" s="26">
        <f>IFERROR(__xludf.DUMMYFUNCTION("""COMPUTED_VALUE"""),13.6)</f>
        <v>13.6</v>
      </c>
      <c r="M146" s="26">
        <f>IFERROR(__xludf.DUMMYFUNCTION("""COMPUTED_VALUE"""),470.57)</f>
        <v>470.57</v>
      </c>
      <c r="N146" s="26">
        <f>IFERROR(__xludf.DUMMYFUNCTION("""COMPUTED_VALUE"""),52.19)</f>
        <v>52.19</v>
      </c>
      <c r="O146" s="26">
        <f>IFERROR(__xludf.DUMMYFUNCTION("""COMPUTED_VALUE"""),159.26)</f>
        <v>159.26</v>
      </c>
      <c r="P146" s="26">
        <f>IFERROR(__xludf.DUMMYFUNCTION("""COMPUTED_VALUE"""),73.99)</f>
        <v>73.99</v>
      </c>
      <c r="Q146" s="26">
        <f>IFERROR(__xludf.DUMMYFUNCTION("""COMPUTED_VALUE"""),394.98)</f>
        <v>394.98</v>
      </c>
      <c r="R146" s="26">
        <f>IFERROR(__xludf.DUMMYFUNCTION("""COMPUTED_VALUE"""),61.14)</f>
        <v>61.14</v>
      </c>
      <c r="S146" s="26">
        <f>IFERROR(__xludf.DUMMYFUNCTION("""COMPUTED_VALUE"""),188.05)</f>
        <v>188.05</v>
      </c>
      <c r="T146" s="26">
        <f>IFERROR(__xludf.DUMMYFUNCTION("""COMPUTED_VALUE"""),159.33)</f>
        <v>159.33</v>
      </c>
      <c r="U146" s="26">
        <f>IFERROR(__xludf.DUMMYFUNCTION("""COMPUTED_VALUE"""),322.61)</f>
        <v>322.61</v>
      </c>
      <c r="V146" s="26">
        <f>IFERROR(__xludf.DUMMYFUNCTION("""COMPUTED_VALUE"""),46.77)</f>
        <v>46.77</v>
      </c>
      <c r="W146" s="26">
        <f>IFERROR(__xludf.DUMMYFUNCTION("""COMPUTED_VALUE"""),62.92)</f>
        <v>62.92</v>
      </c>
      <c r="X146" s="26">
        <f>IFERROR(__xludf.DUMMYFUNCTION("""COMPUTED_VALUE"""),96.5)</f>
        <v>96.5</v>
      </c>
      <c r="Y146" s="26">
        <f>IFERROR(__xludf.DUMMYFUNCTION("""COMPUTED_VALUE"""),191.08)</f>
        <v>191.08</v>
      </c>
      <c r="Z146" s="26">
        <f>IFERROR(__xludf.DUMMYFUNCTION("""COMPUTED_VALUE"""),72.56)</f>
        <v>72.56</v>
      </c>
      <c r="AA146" s="26">
        <f>IFERROR(__xludf.DUMMYFUNCTION("""COMPUTED_VALUE"""),465.41)</f>
        <v>465.41</v>
      </c>
      <c r="AB146" s="26">
        <f>IFERROR(__xludf.DUMMYFUNCTION("""COMPUTED_VALUE"""),63.62)</f>
        <v>63.62</v>
      </c>
      <c r="AC146" s="26">
        <f>IFERROR(__xludf.DUMMYFUNCTION("""COMPUTED_VALUE"""),114.78)</f>
        <v>114.78</v>
      </c>
      <c r="AD146" s="26">
        <f>IFERROR(__xludf.DUMMYFUNCTION("""COMPUTED_VALUE"""),279.42)</f>
        <v>279.42</v>
      </c>
      <c r="AE146" s="26">
        <f>IFERROR(__xludf.DUMMYFUNCTION("""COMPUTED_VALUE"""),445.52)</f>
        <v>445.52</v>
      </c>
      <c r="AF146" s="26">
        <f>IFERROR(__xludf.DUMMYFUNCTION("""COMPUTED_VALUE"""),275.15)</f>
        <v>275.15</v>
      </c>
      <c r="AG146" s="26">
        <f>IFERROR(__xludf.DUMMYFUNCTION("""COMPUTED_VALUE"""),53.39)</f>
        <v>53.39</v>
      </c>
      <c r="AH146" s="26">
        <f>IFERROR(__xludf.DUMMYFUNCTION("""COMPUTED_VALUE"""),93.39)</f>
        <v>93.39</v>
      </c>
      <c r="AI146" s="26">
        <f>IFERROR(__xludf.DUMMYFUNCTION("""COMPUTED_VALUE"""),596.8)</f>
        <v>596.8</v>
      </c>
      <c r="AJ146" s="26">
        <f>IFERROR(__xludf.DUMMYFUNCTION("""COMPUTED_VALUE"""),426.54)</f>
        <v>426.54</v>
      </c>
      <c r="AK146" s="26">
        <f>IFERROR(__xludf.DUMMYFUNCTION("""COMPUTED_VALUE"""),122.76)</f>
        <v>122.76</v>
      </c>
      <c r="AL146" s="26">
        <f>IFERROR(__xludf.DUMMYFUNCTION("""COMPUTED_VALUE"""),156.37)</f>
        <v>156.37</v>
      </c>
      <c r="AM146" s="26">
        <f>IFERROR(__xludf.DUMMYFUNCTION("""COMPUTED_VALUE"""),547.65)</f>
        <v>547.65</v>
      </c>
      <c r="AN146" s="26">
        <f>IFERROR(__xludf.DUMMYFUNCTION("""COMPUTED_VALUE"""),245.48)</f>
        <v>245.48</v>
      </c>
      <c r="AO146" s="26">
        <f>IFERROR(__xludf.DUMMYFUNCTION("""COMPUTED_VALUE"""),517.48)</f>
        <v>517.48</v>
      </c>
      <c r="AP146" s="26">
        <f>IFERROR(__xludf.DUMMYFUNCTION("""COMPUTED_VALUE"""),344.81)</f>
        <v>344.81</v>
      </c>
      <c r="AQ146" s="26">
        <f>IFERROR(__xludf.DUMMYFUNCTION("""COMPUTED_VALUE"""),32.55)</f>
        <v>32.55</v>
      </c>
      <c r="AR146" s="26">
        <f>IFERROR(__xludf.DUMMYFUNCTION("""COMPUTED_VALUE"""),84.14)</f>
        <v>84.14</v>
      </c>
      <c r="AS146" s="26">
        <f>IFERROR(__xludf.DUMMYFUNCTION("""COMPUTED_VALUE"""),85.88)</f>
        <v>85.88</v>
      </c>
      <c r="AT146" s="26">
        <f>IFERROR(__xludf.DUMMYFUNCTION("""COMPUTED_VALUE"""),442.62)</f>
        <v>442.62</v>
      </c>
      <c r="AU146" s="26">
        <f>IFERROR(__xludf.DUMMYFUNCTION("""COMPUTED_VALUE"""),76.2)</f>
        <v>76.2</v>
      </c>
      <c r="AV146" s="26">
        <f>IFERROR(__xludf.DUMMYFUNCTION("""COMPUTED_VALUE"""),145.06)</f>
        <v>145.06</v>
      </c>
      <c r="AW146" s="26">
        <f>IFERROR(__xludf.DUMMYFUNCTION("""COMPUTED_VALUE"""),99.12)</f>
        <v>99.12</v>
      </c>
      <c r="AX146" s="26">
        <f>IFERROR(__xludf.DUMMYFUNCTION("""COMPUTED_VALUE"""),59.37)</f>
        <v>59.37</v>
      </c>
      <c r="AY146" s="26">
        <f>IFERROR(__xludf.DUMMYFUNCTION("""COMPUTED_VALUE"""),71.87)</f>
        <v>71.87</v>
      </c>
      <c r="AZ146" s="26">
        <f>IFERROR(__xludf.DUMMYFUNCTION("""COMPUTED_VALUE"""),89.05)</f>
        <v>89.05</v>
      </c>
      <c r="BA146" s="26">
        <f>IFERROR(__xludf.DUMMYFUNCTION("""COMPUTED_VALUE"""),25.7)</f>
        <v>25.7</v>
      </c>
      <c r="BB146" s="26">
        <f>IFERROR(__xludf.DUMMYFUNCTION("""COMPUTED_VALUE"""),118.52)</f>
        <v>118.52</v>
      </c>
      <c r="BC146" s="26">
        <f>IFERROR(__xludf.DUMMYFUNCTION("""COMPUTED_VALUE"""),243.94)</f>
        <v>243.94</v>
      </c>
      <c r="BD146" s="26">
        <f>IFERROR(__xludf.DUMMYFUNCTION("""COMPUTED_VALUE"""),520.86)</f>
        <v>520.86</v>
      </c>
      <c r="BE146" s="26">
        <f>IFERROR(__xludf.DUMMYFUNCTION("""COMPUTED_VALUE"""),174.4)</f>
        <v>174.4</v>
      </c>
      <c r="BF146" s="26">
        <f>IFERROR(__xludf.DUMMYFUNCTION("""COMPUTED_VALUE"""),66.25)</f>
        <v>66.25</v>
      </c>
      <c r="BG146" s="26">
        <f>IFERROR(__xludf.DUMMYFUNCTION("""COMPUTED_VALUE"""),10.03)</f>
        <v>10.03</v>
      </c>
      <c r="BH146" s="26">
        <f>IFERROR(__xludf.DUMMYFUNCTION("""COMPUTED_VALUE"""),234.63)</f>
        <v>234.63</v>
      </c>
      <c r="BI146" s="26">
        <f>IFERROR(__xludf.DUMMYFUNCTION("""COMPUTED_VALUE"""),578.97)</f>
        <v>578.97</v>
      </c>
      <c r="BJ146" s="26">
        <f>IFERROR(__xludf.DUMMYFUNCTION("""COMPUTED_VALUE"""),49.07)</f>
        <v>49.07</v>
      </c>
      <c r="BK146" s="26">
        <f>IFERROR(__xludf.DUMMYFUNCTION("""COMPUTED_VALUE"""),12.89)</f>
        <v>12.89</v>
      </c>
      <c r="BL146" s="26">
        <f>IFERROR(__xludf.DUMMYFUNCTION("""COMPUTED_VALUE"""),224.05)</f>
        <v>224.05</v>
      </c>
      <c r="BM146" s="26">
        <f>IFERROR(__xludf.DUMMYFUNCTION("""COMPUTED_VALUE"""),116.5)</f>
        <v>116.5</v>
      </c>
    </row>
    <row r="147">
      <c r="A147" s="25">
        <v>45635.66666666667</v>
      </c>
      <c r="B147" s="17">
        <f>IFERROR(__xludf.DUMMYFUNCTION("""COMPUTED_VALUE"""),6090.27)</f>
        <v>6090.27</v>
      </c>
      <c r="C147" s="17">
        <f>IFERROR(__xludf.DUMMYFUNCTION("""COMPUTED_VALUE"""),19859.77)</f>
        <v>19859.77</v>
      </c>
      <c r="D147" s="17">
        <f>IFERROR(__xludf.DUMMYFUNCTION("""COMPUTED_VALUE"""),44642.52)</f>
        <v>44642.52</v>
      </c>
      <c r="E147" s="17">
        <f>IFERROR(__xludf.DUMMYFUNCTION("""COMPUTED_VALUE"""),2408.99)</f>
        <v>2408.99</v>
      </c>
      <c r="F147" s="26">
        <f>IFERROR(__xludf.DUMMYFUNCTION("""COMPUTED_VALUE"""),552.96)</f>
        <v>552.96</v>
      </c>
      <c r="G147" s="26">
        <f>IFERROR(__xludf.DUMMYFUNCTION("""COMPUTED_VALUE"""),227.03)</f>
        <v>227.03</v>
      </c>
      <c r="H147" s="26">
        <f>IFERROR(__xludf.DUMMYFUNCTION("""COMPUTED_VALUE"""),132.37)</f>
        <v>132.37</v>
      </c>
      <c r="I147" s="26">
        <f>IFERROR(__xludf.DUMMYFUNCTION("""COMPUTED_VALUE"""),242.84)</f>
        <v>242.84</v>
      </c>
      <c r="J147" s="26">
        <f>IFERROR(__xludf.DUMMYFUNCTION("""COMPUTED_VALUE"""),173.02)</f>
        <v>173.02</v>
      </c>
      <c r="K147" s="26">
        <f>IFERROR(__xludf.DUMMYFUNCTION("""COMPUTED_VALUE"""),80.51)</f>
        <v>80.51</v>
      </c>
      <c r="L147" s="26">
        <f>IFERROR(__xludf.DUMMYFUNCTION("""COMPUTED_VALUE"""),13.54)</f>
        <v>13.54</v>
      </c>
      <c r="M147" s="26">
        <f>IFERROR(__xludf.DUMMYFUNCTION("""COMPUTED_VALUE"""),470.5)</f>
        <v>470.5</v>
      </c>
      <c r="N147" s="26">
        <f>IFERROR(__xludf.DUMMYFUNCTION("""COMPUTED_VALUE"""),51.4)</f>
        <v>51.4</v>
      </c>
      <c r="O147" s="26">
        <f>IFERROR(__xludf.DUMMYFUNCTION("""COMPUTED_VALUE"""),157.78)</f>
        <v>157.78</v>
      </c>
      <c r="P147" s="26">
        <f>IFERROR(__xludf.DUMMYFUNCTION("""COMPUTED_VALUE"""),73.67)</f>
        <v>73.67</v>
      </c>
      <c r="Q147" s="26">
        <f>IFERROR(__xludf.DUMMYFUNCTION("""COMPUTED_VALUE"""),395.03)</f>
        <v>395.03</v>
      </c>
      <c r="R147" s="26">
        <f>IFERROR(__xludf.DUMMYFUNCTION("""COMPUTED_VALUE"""),61.06)</f>
        <v>61.06</v>
      </c>
      <c r="S147" s="26">
        <f>IFERROR(__xludf.DUMMYFUNCTION("""COMPUTED_VALUE"""),186.82)</f>
        <v>186.82</v>
      </c>
      <c r="T147" s="26">
        <f>IFERROR(__xludf.DUMMYFUNCTION("""COMPUTED_VALUE"""),155.24)</f>
        <v>155.24</v>
      </c>
      <c r="U147" s="26">
        <f>IFERROR(__xludf.DUMMYFUNCTION("""COMPUTED_VALUE"""),317.81)</f>
        <v>317.81</v>
      </c>
      <c r="V147" s="26">
        <f>IFERROR(__xludf.DUMMYFUNCTION("""COMPUTED_VALUE"""),47.03)</f>
        <v>47.03</v>
      </c>
      <c r="W147" s="26">
        <f>IFERROR(__xludf.DUMMYFUNCTION("""COMPUTED_VALUE"""),62.53)</f>
        <v>62.53</v>
      </c>
      <c r="X147" s="26">
        <f>IFERROR(__xludf.DUMMYFUNCTION("""COMPUTED_VALUE"""),94.82)</f>
        <v>94.82</v>
      </c>
      <c r="Y147" s="26">
        <f>IFERROR(__xludf.DUMMYFUNCTION("""COMPUTED_VALUE"""),192.69)</f>
        <v>192.69</v>
      </c>
      <c r="Z147" s="26">
        <f>IFERROR(__xludf.DUMMYFUNCTION("""COMPUTED_VALUE"""),71.87)</f>
        <v>71.87</v>
      </c>
      <c r="AA147" s="26">
        <f>IFERROR(__xludf.DUMMYFUNCTION("""COMPUTED_VALUE"""),459.59)</f>
        <v>459.59</v>
      </c>
      <c r="AB147" s="26">
        <f>IFERROR(__xludf.DUMMYFUNCTION("""COMPUTED_VALUE"""),63.62)</f>
        <v>63.62</v>
      </c>
      <c r="AC147" s="26">
        <f>IFERROR(__xludf.DUMMYFUNCTION("""COMPUTED_VALUE"""),113.57)</f>
        <v>113.57</v>
      </c>
      <c r="AD147" s="26">
        <f>IFERROR(__xludf.DUMMYFUNCTION("""COMPUTED_VALUE"""),280.68)</f>
        <v>280.68</v>
      </c>
      <c r="AE147" s="26">
        <f>IFERROR(__xludf.DUMMYFUNCTION("""COMPUTED_VALUE"""),458.44)</f>
        <v>458.44</v>
      </c>
      <c r="AF147" s="26">
        <f>IFERROR(__xludf.DUMMYFUNCTION("""COMPUTED_VALUE"""),271.8)</f>
        <v>271.8</v>
      </c>
      <c r="AG147" s="26">
        <f>IFERROR(__xludf.DUMMYFUNCTION("""COMPUTED_VALUE"""),53.41)</f>
        <v>53.41</v>
      </c>
      <c r="AH147" s="26">
        <f>IFERROR(__xludf.DUMMYFUNCTION("""COMPUTED_VALUE"""),92.13)</f>
        <v>92.13</v>
      </c>
      <c r="AI147" s="26">
        <f>IFERROR(__xludf.DUMMYFUNCTION("""COMPUTED_VALUE"""),599.68)</f>
        <v>599.68</v>
      </c>
      <c r="AJ147" s="26">
        <f>IFERROR(__xludf.DUMMYFUNCTION("""COMPUTED_VALUE"""),431.37)</f>
        <v>431.37</v>
      </c>
      <c r="AK147" s="26">
        <f>IFERROR(__xludf.DUMMYFUNCTION("""COMPUTED_VALUE"""),123.11)</f>
        <v>123.11</v>
      </c>
      <c r="AL147" s="26">
        <f>IFERROR(__xludf.DUMMYFUNCTION("""COMPUTED_VALUE"""),155.93)</f>
        <v>155.93</v>
      </c>
      <c r="AM147" s="26">
        <f>IFERROR(__xludf.DUMMYFUNCTION("""COMPUTED_VALUE"""),550.41)</f>
        <v>550.41</v>
      </c>
      <c r="AN147" s="26">
        <f>IFERROR(__xludf.DUMMYFUNCTION("""COMPUTED_VALUE"""),247.36)</f>
        <v>247.36</v>
      </c>
      <c r="AO147" s="26">
        <f>IFERROR(__xludf.DUMMYFUNCTION("""COMPUTED_VALUE"""),513.03)</f>
        <v>513.03</v>
      </c>
      <c r="AP147" s="26">
        <f>IFERROR(__xludf.DUMMYFUNCTION("""COMPUTED_VALUE"""),399.6)</f>
        <v>399.6</v>
      </c>
      <c r="AQ147" s="26">
        <f>IFERROR(__xludf.DUMMYFUNCTION("""COMPUTED_VALUE"""),32.4)</f>
        <v>32.4</v>
      </c>
      <c r="AR147" s="26">
        <f>IFERROR(__xludf.DUMMYFUNCTION("""COMPUTED_VALUE"""),84.01)</f>
        <v>84.01</v>
      </c>
      <c r="AS147" s="26">
        <f>IFERROR(__xludf.DUMMYFUNCTION("""COMPUTED_VALUE"""),85.22)</f>
        <v>85.22</v>
      </c>
      <c r="AT147" s="26">
        <f>IFERROR(__xludf.DUMMYFUNCTION("""COMPUTED_VALUE"""),443.57)</f>
        <v>443.57</v>
      </c>
      <c r="AU147" s="26">
        <f>IFERROR(__xludf.DUMMYFUNCTION("""COMPUTED_VALUE"""),75.24)</f>
        <v>75.24</v>
      </c>
      <c r="AV147" s="26">
        <f>IFERROR(__xludf.DUMMYFUNCTION("""COMPUTED_VALUE"""),142.44)</f>
        <v>142.44</v>
      </c>
      <c r="AW147" s="26">
        <f>IFERROR(__xludf.DUMMYFUNCTION("""COMPUTED_VALUE"""),99.8)</f>
        <v>99.8</v>
      </c>
      <c r="AX147" s="26">
        <f>IFERROR(__xludf.DUMMYFUNCTION("""COMPUTED_VALUE"""),57.64)</f>
        <v>57.64</v>
      </c>
      <c r="AY147" s="26">
        <f>IFERROR(__xludf.DUMMYFUNCTION("""COMPUTED_VALUE"""),76.34)</f>
        <v>76.34</v>
      </c>
      <c r="AZ147" s="26">
        <f>IFERROR(__xludf.DUMMYFUNCTION("""COMPUTED_VALUE"""),89.88)</f>
        <v>89.88</v>
      </c>
      <c r="BA147" s="26">
        <f>IFERROR(__xludf.DUMMYFUNCTION("""COMPUTED_VALUE"""),25.73)</f>
        <v>25.73</v>
      </c>
      <c r="BB147" s="26">
        <f>IFERROR(__xludf.DUMMYFUNCTION("""COMPUTED_VALUE"""),117.99)</f>
        <v>117.99</v>
      </c>
      <c r="BC147" s="26">
        <f>IFERROR(__xludf.DUMMYFUNCTION("""COMPUTED_VALUE"""),243.78)</f>
        <v>243.78</v>
      </c>
      <c r="BD147" s="26">
        <f>IFERROR(__xludf.DUMMYFUNCTION("""COMPUTED_VALUE"""),529.36)</f>
        <v>529.36</v>
      </c>
      <c r="BE147" s="26">
        <f>IFERROR(__xludf.DUMMYFUNCTION("""COMPUTED_VALUE"""),175.95)</f>
        <v>175.95</v>
      </c>
      <c r="BF147" s="26">
        <f>IFERROR(__xludf.DUMMYFUNCTION("""COMPUTED_VALUE"""),68.26)</f>
        <v>68.26</v>
      </c>
      <c r="BG147" s="26">
        <f>IFERROR(__xludf.DUMMYFUNCTION("""COMPUTED_VALUE"""),10.12)</f>
        <v>10.12</v>
      </c>
      <c r="BH147" s="26">
        <f>IFERROR(__xludf.DUMMYFUNCTION("""COMPUTED_VALUE"""),233.57)</f>
        <v>233.57</v>
      </c>
      <c r="BI147" s="26">
        <f>IFERROR(__xludf.DUMMYFUNCTION("""COMPUTED_VALUE"""),549.62)</f>
        <v>549.62</v>
      </c>
      <c r="BJ147" s="26">
        <f>IFERROR(__xludf.DUMMYFUNCTION("""COMPUTED_VALUE"""),49.08)</f>
        <v>49.08</v>
      </c>
      <c r="BK147" s="26">
        <f>IFERROR(__xludf.DUMMYFUNCTION("""COMPUTED_VALUE"""),12.72)</f>
        <v>12.72</v>
      </c>
      <c r="BL147" s="26">
        <f>IFERROR(__xludf.DUMMYFUNCTION("""COMPUTED_VALUE"""),222.19)</f>
        <v>222.19</v>
      </c>
      <c r="BM147" s="26">
        <f>IFERROR(__xludf.DUMMYFUNCTION("""COMPUTED_VALUE"""),116.73)</f>
        <v>116.73</v>
      </c>
    </row>
    <row r="148">
      <c r="A148" s="25">
        <v>45636.66666666667</v>
      </c>
      <c r="B148" s="17">
        <f>IFERROR(__xludf.DUMMYFUNCTION("""COMPUTED_VALUE"""),6052.85)</f>
        <v>6052.85</v>
      </c>
      <c r="C148" s="17">
        <f>IFERROR(__xludf.DUMMYFUNCTION("""COMPUTED_VALUE"""),19736.69)</f>
        <v>19736.69</v>
      </c>
      <c r="D148" s="17">
        <f>IFERROR(__xludf.DUMMYFUNCTION("""COMPUTED_VALUE"""),44401.93)</f>
        <v>44401.93</v>
      </c>
      <c r="E148" s="17">
        <f>IFERROR(__xludf.DUMMYFUNCTION("""COMPUTED_VALUE"""),2392.84)</f>
        <v>2392.84</v>
      </c>
      <c r="F148" s="26">
        <f>IFERROR(__xludf.DUMMYFUNCTION("""COMPUTED_VALUE"""),547.93)</f>
        <v>547.93</v>
      </c>
      <c r="G148" s="26">
        <f>IFERROR(__xludf.DUMMYFUNCTION("""COMPUTED_VALUE"""),226.09)</f>
        <v>226.09</v>
      </c>
      <c r="H148" s="26">
        <f>IFERROR(__xludf.DUMMYFUNCTION("""COMPUTED_VALUE"""),130.72)</f>
        <v>130.72</v>
      </c>
      <c r="I148" s="26">
        <f>IFERROR(__xludf.DUMMYFUNCTION("""COMPUTED_VALUE"""),246.75)</f>
        <v>246.75</v>
      </c>
      <c r="J148" s="26">
        <f>IFERROR(__xludf.DUMMYFUNCTION("""COMPUTED_VALUE"""),171.86)</f>
        <v>171.86</v>
      </c>
      <c r="K148" s="26">
        <f>IFERROR(__xludf.DUMMYFUNCTION("""COMPUTED_VALUE"""),80.61)</f>
        <v>80.61</v>
      </c>
      <c r="L148" s="26">
        <f>IFERROR(__xludf.DUMMYFUNCTION("""COMPUTED_VALUE"""),13.53)</f>
        <v>13.53</v>
      </c>
      <c r="M148" s="26">
        <f>IFERROR(__xludf.DUMMYFUNCTION("""COMPUTED_VALUE"""),463.87)</f>
        <v>463.87</v>
      </c>
      <c r="N148" s="26">
        <f>IFERROR(__xludf.DUMMYFUNCTION("""COMPUTED_VALUE"""),53.75)</f>
        <v>53.75</v>
      </c>
      <c r="O148" s="26">
        <f>IFERROR(__xludf.DUMMYFUNCTION("""COMPUTED_VALUE"""),156.46)</f>
        <v>156.46</v>
      </c>
      <c r="P148" s="26">
        <f>IFERROR(__xludf.DUMMYFUNCTION("""COMPUTED_VALUE"""),73.2)</f>
        <v>73.2</v>
      </c>
      <c r="Q148" s="26">
        <f>IFERROR(__xludf.DUMMYFUNCTION("""COMPUTED_VALUE"""),399.26)</f>
        <v>399.26</v>
      </c>
      <c r="R148" s="26">
        <f>IFERROR(__xludf.DUMMYFUNCTION("""COMPUTED_VALUE"""),57.52)</f>
        <v>57.52</v>
      </c>
      <c r="S148" s="26">
        <f>IFERROR(__xludf.DUMMYFUNCTION("""COMPUTED_VALUE"""),187.89)</f>
        <v>187.89</v>
      </c>
      <c r="T148" s="26">
        <f>IFERROR(__xludf.DUMMYFUNCTION("""COMPUTED_VALUE"""),157.08)</f>
        <v>157.08</v>
      </c>
      <c r="U148" s="26">
        <f>IFERROR(__xludf.DUMMYFUNCTION("""COMPUTED_VALUE"""),319.15)</f>
        <v>319.15</v>
      </c>
      <c r="V148" s="26">
        <f>IFERROR(__xludf.DUMMYFUNCTION("""COMPUTED_VALUE"""),45.97)</f>
        <v>45.97</v>
      </c>
      <c r="W148" s="26">
        <f>IFERROR(__xludf.DUMMYFUNCTION("""COMPUTED_VALUE"""),62.6)</f>
        <v>62.6</v>
      </c>
      <c r="X148" s="26">
        <f>IFERROR(__xludf.DUMMYFUNCTION("""COMPUTED_VALUE"""),94.78)</f>
        <v>94.78</v>
      </c>
      <c r="Y148" s="26">
        <f>IFERROR(__xludf.DUMMYFUNCTION("""COMPUTED_VALUE"""),188.17)</f>
        <v>188.17</v>
      </c>
      <c r="Z148" s="26">
        <f>IFERROR(__xludf.DUMMYFUNCTION("""COMPUTED_VALUE"""),71.6)</f>
        <v>71.6</v>
      </c>
      <c r="AA148" s="26">
        <f>IFERROR(__xludf.DUMMYFUNCTION("""COMPUTED_VALUE"""),457.74)</f>
        <v>457.74</v>
      </c>
      <c r="AB148" s="26">
        <f>IFERROR(__xludf.DUMMYFUNCTION("""COMPUTED_VALUE"""),65.14)</f>
        <v>65.14</v>
      </c>
      <c r="AC148" s="26">
        <f>IFERROR(__xludf.DUMMYFUNCTION("""COMPUTED_VALUE"""),112.9)</f>
        <v>112.9</v>
      </c>
      <c r="AD148" s="26">
        <f>IFERROR(__xludf.DUMMYFUNCTION("""COMPUTED_VALUE"""),279.53)</f>
        <v>279.53</v>
      </c>
      <c r="AE148" s="26">
        <f>IFERROR(__xludf.DUMMYFUNCTION("""COMPUTED_VALUE"""),448.48)</f>
        <v>448.48</v>
      </c>
      <c r="AF148" s="26">
        <f>IFERROR(__xludf.DUMMYFUNCTION("""COMPUTED_VALUE"""),269.57)</f>
        <v>269.57</v>
      </c>
      <c r="AG148" s="26">
        <f>IFERROR(__xludf.DUMMYFUNCTION("""COMPUTED_VALUE"""),52.71)</f>
        <v>52.71</v>
      </c>
      <c r="AH148" s="26">
        <f>IFERROR(__xludf.DUMMYFUNCTION("""COMPUTED_VALUE"""),90.59)</f>
        <v>90.59</v>
      </c>
      <c r="AI148" s="26">
        <f>IFERROR(__xludf.DUMMYFUNCTION("""COMPUTED_VALUE"""),594.12)</f>
        <v>594.12</v>
      </c>
      <c r="AJ148" s="26">
        <f>IFERROR(__xludf.DUMMYFUNCTION("""COMPUTED_VALUE"""),429.18)</f>
        <v>429.18</v>
      </c>
      <c r="AK148" s="26">
        <f>IFERROR(__xludf.DUMMYFUNCTION("""COMPUTED_VALUE"""),122.16)</f>
        <v>122.16</v>
      </c>
      <c r="AL148" s="26">
        <f>IFERROR(__xludf.DUMMYFUNCTION("""COMPUTED_VALUE"""),156.07)</f>
        <v>156.07</v>
      </c>
      <c r="AM148" s="26">
        <f>IFERROR(__xludf.DUMMYFUNCTION("""COMPUTED_VALUE"""),538.86)</f>
        <v>538.86</v>
      </c>
      <c r="AN148" s="26">
        <f>IFERROR(__xludf.DUMMYFUNCTION("""COMPUTED_VALUE"""),243.81)</f>
        <v>243.81</v>
      </c>
      <c r="AO148" s="26">
        <f>IFERROR(__xludf.DUMMYFUNCTION("""COMPUTED_VALUE"""),510.01)</f>
        <v>510.01</v>
      </c>
      <c r="AP148" s="26">
        <f>IFERROR(__xludf.DUMMYFUNCTION("""COMPUTED_VALUE"""),404.79)</f>
        <v>404.79</v>
      </c>
      <c r="AQ148" s="26">
        <f>IFERROR(__xludf.DUMMYFUNCTION("""COMPUTED_VALUE"""),31.93)</f>
        <v>31.93</v>
      </c>
      <c r="AR148" s="26">
        <f>IFERROR(__xludf.DUMMYFUNCTION("""COMPUTED_VALUE"""),83.96)</f>
        <v>83.96</v>
      </c>
      <c r="AS148" s="26">
        <f>IFERROR(__xludf.DUMMYFUNCTION("""COMPUTED_VALUE"""),82.28)</f>
        <v>82.28</v>
      </c>
      <c r="AT148" s="26">
        <f>IFERROR(__xludf.DUMMYFUNCTION("""COMPUTED_VALUE"""),446.02)</f>
        <v>446.02</v>
      </c>
      <c r="AU148" s="26">
        <f>IFERROR(__xludf.DUMMYFUNCTION("""COMPUTED_VALUE"""),74.7)</f>
        <v>74.7</v>
      </c>
      <c r="AV148" s="26">
        <f>IFERROR(__xludf.DUMMYFUNCTION("""COMPUTED_VALUE"""),138.81)</f>
        <v>138.81</v>
      </c>
      <c r="AW148" s="26">
        <f>IFERROR(__xludf.DUMMYFUNCTION("""COMPUTED_VALUE"""),100.87)</f>
        <v>100.87</v>
      </c>
      <c r="AX148" s="26">
        <f>IFERROR(__xludf.DUMMYFUNCTION("""COMPUTED_VALUE"""),55.02)</f>
        <v>55.02</v>
      </c>
      <c r="AY148" s="26">
        <f>IFERROR(__xludf.DUMMYFUNCTION("""COMPUTED_VALUE"""),72.46)</f>
        <v>72.46</v>
      </c>
      <c r="AZ148" s="26">
        <f>IFERROR(__xludf.DUMMYFUNCTION("""COMPUTED_VALUE"""),90.0)</f>
        <v>90</v>
      </c>
      <c r="BA148" s="26">
        <f>IFERROR(__xludf.DUMMYFUNCTION("""COMPUTED_VALUE"""),26.1)</f>
        <v>26.1</v>
      </c>
      <c r="BB148" s="26">
        <f>IFERROR(__xludf.DUMMYFUNCTION("""COMPUTED_VALUE"""),116.58)</f>
        <v>116.58</v>
      </c>
      <c r="BC148" s="26">
        <f>IFERROR(__xludf.DUMMYFUNCTION("""COMPUTED_VALUE"""),228.86)</f>
        <v>228.86</v>
      </c>
      <c r="BD148" s="26">
        <f>IFERROR(__xludf.DUMMYFUNCTION("""COMPUTED_VALUE"""),537.23)</f>
        <v>537.23</v>
      </c>
      <c r="BE148" s="26">
        <f>IFERROR(__xludf.DUMMYFUNCTION("""COMPUTED_VALUE"""),177.01)</f>
        <v>177.01</v>
      </c>
      <c r="BF148" s="26">
        <f>IFERROR(__xludf.DUMMYFUNCTION("""COMPUTED_VALUE"""),69.84)</f>
        <v>69.84</v>
      </c>
      <c r="BG148" s="26">
        <f>IFERROR(__xludf.DUMMYFUNCTION("""COMPUTED_VALUE"""),10.18)</f>
        <v>10.18</v>
      </c>
      <c r="BH148" s="26">
        <f>IFERROR(__xludf.DUMMYFUNCTION("""COMPUTED_VALUE"""),233.54)</f>
        <v>233.54</v>
      </c>
      <c r="BI148" s="26">
        <f>IFERROR(__xludf.DUMMYFUNCTION("""COMPUTED_VALUE"""),560.62)</f>
        <v>560.62</v>
      </c>
      <c r="BJ148" s="26">
        <f>IFERROR(__xludf.DUMMYFUNCTION("""COMPUTED_VALUE"""),49.07)</f>
        <v>49.07</v>
      </c>
      <c r="BK148" s="26">
        <f>IFERROR(__xludf.DUMMYFUNCTION("""COMPUTED_VALUE"""),12.8)</f>
        <v>12.8</v>
      </c>
      <c r="BL148" s="26">
        <f>IFERROR(__xludf.DUMMYFUNCTION("""COMPUTED_VALUE"""),217.47)</f>
        <v>217.47</v>
      </c>
      <c r="BM148" s="26">
        <f>IFERROR(__xludf.DUMMYFUNCTION("""COMPUTED_VALUE"""),114.61)</f>
        <v>114.61</v>
      </c>
    </row>
    <row r="149">
      <c r="A149" s="25">
        <v>45637.66666666667</v>
      </c>
      <c r="B149" s="17">
        <f>IFERROR(__xludf.DUMMYFUNCTION("""COMPUTED_VALUE"""),6034.91)</f>
        <v>6034.91</v>
      </c>
      <c r="C149" s="17">
        <f>IFERROR(__xludf.DUMMYFUNCTION("""COMPUTED_VALUE"""),19687.24)</f>
        <v>19687.24</v>
      </c>
      <c r="D149" s="17">
        <f>IFERROR(__xludf.DUMMYFUNCTION("""COMPUTED_VALUE"""),44247.83)</f>
        <v>44247.83</v>
      </c>
      <c r="E149" s="17">
        <f>IFERROR(__xludf.DUMMYFUNCTION("""COMPUTED_VALUE"""),2382.77)</f>
        <v>2382.77</v>
      </c>
      <c r="F149" s="26">
        <f>IFERROR(__xludf.DUMMYFUNCTION("""COMPUTED_VALUE"""),547.05)</f>
        <v>547.05</v>
      </c>
      <c r="G149" s="26">
        <f>IFERROR(__xludf.DUMMYFUNCTION("""COMPUTED_VALUE"""),225.04)</f>
        <v>225.04</v>
      </c>
      <c r="H149" s="26">
        <f>IFERROR(__xludf.DUMMYFUNCTION("""COMPUTED_VALUE"""),130.98)</f>
        <v>130.98</v>
      </c>
      <c r="I149" s="26">
        <f>IFERROR(__xludf.DUMMYFUNCTION("""COMPUTED_VALUE"""),247.77)</f>
        <v>247.77</v>
      </c>
      <c r="J149" s="26">
        <f>IFERROR(__xludf.DUMMYFUNCTION("""COMPUTED_VALUE"""),168.17)</f>
        <v>168.17</v>
      </c>
      <c r="K149" s="26">
        <f>IFERROR(__xludf.DUMMYFUNCTION("""COMPUTED_VALUE"""),80.62)</f>
        <v>80.62</v>
      </c>
      <c r="L149" s="26">
        <f>IFERROR(__xludf.DUMMYFUNCTION("""COMPUTED_VALUE"""),13.3)</f>
        <v>13.3</v>
      </c>
      <c r="M149" s="26">
        <f>IFERROR(__xludf.DUMMYFUNCTION("""COMPUTED_VALUE"""),462.49)</f>
        <v>462.49</v>
      </c>
      <c r="N149" s="26">
        <f>IFERROR(__xludf.DUMMYFUNCTION("""COMPUTED_VALUE"""),53.4)</f>
        <v>53.4</v>
      </c>
      <c r="O149" s="26">
        <f>IFERROR(__xludf.DUMMYFUNCTION("""COMPUTED_VALUE"""),156.32)</f>
        <v>156.32</v>
      </c>
      <c r="P149" s="26">
        <f>IFERROR(__xludf.DUMMYFUNCTION("""COMPUTED_VALUE"""),72.81)</f>
        <v>72.81</v>
      </c>
      <c r="Q149" s="26">
        <f>IFERROR(__xludf.DUMMYFUNCTION("""COMPUTED_VALUE"""),388.39)</f>
        <v>388.39</v>
      </c>
      <c r="R149" s="26">
        <f>IFERROR(__xludf.DUMMYFUNCTION("""COMPUTED_VALUE"""),56.42)</f>
        <v>56.42</v>
      </c>
      <c r="S149" s="26">
        <f>IFERROR(__xludf.DUMMYFUNCTION("""COMPUTED_VALUE"""),186.85)</f>
        <v>186.85</v>
      </c>
      <c r="T149" s="26">
        <f>IFERROR(__xludf.DUMMYFUNCTION("""COMPUTED_VALUE"""),157.0)</f>
        <v>157</v>
      </c>
      <c r="U149" s="26">
        <f>IFERROR(__xludf.DUMMYFUNCTION("""COMPUTED_VALUE"""),311.37)</f>
        <v>311.37</v>
      </c>
      <c r="V149" s="26">
        <f>IFERROR(__xludf.DUMMYFUNCTION("""COMPUTED_VALUE"""),46.4)</f>
        <v>46.4</v>
      </c>
      <c r="W149" s="26">
        <f>IFERROR(__xludf.DUMMYFUNCTION("""COMPUTED_VALUE"""),62.91)</f>
        <v>62.91</v>
      </c>
      <c r="X149" s="26">
        <f>IFERROR(__xludf.DUMMYFUNCTION("""COMPUTED_VALUE"""),94.69)</f>
        <v>94.69</v>
      </c>
      <c r="Y149" s="26">
        <f>IFERROR(__xludf.DUMMYFUNCTION("""COMPUTED_VALUE"""),185.71)</f>
        <v>185.71</v>
      </c>
      <c r="Z149" s="26">
        <f>IFERROR(__xludf.DUMMYFUNCTION("""COMPUTED_VALUE"""),72.8)</f>
        <v>72.8</v>
      </c>
      <c r="AA149" s="26">
        <f>IFERROR(__xludf.DUMMYFUNCTION("""COMPUTED_VALUE"""),454.16)</f>
        <v>454.16</v>
      </c>
      <c r="AB149" s="26">
        <f>IFERROR(__xludf.DUMMYFUNCTION("""COMPUTED_VALUE"""),63.23)</f>
        <v>63.23</v>
      </c>
      <c r="AC149" s="26">
        <f>IFERROR(__xludf.DUMMYFUNCTION("""COMPUTED_VALUE"""),112.67)</f>
        <v>112.67</v>
      </c>
      <c r="AD149" s="26">
        <f>IFERROR(__xludf.DUMMYFUNCTION("""COMPUTED_VALUE"""),279.32)</f>
        <v>279.32</v>
      </c>
      <c r="AE149" s="26">
        <f>IFERROR(__xludf.DUMMYFUNCTION("""COMPUTED_VALUE"""),448.56)</f>
        <v>448.56</v>
      </c>
      <c r="AF149" s="26">
        <f>IFERROR(__xludf.DUMMYFUNCTION("""COMPUTED_VALUE"""),270.43)</f>
        <v>270.43</v>
      </c>
      <c r="AG149" s="26">
        <f>IFERROR(__xludf.DUMMYFUNCTION("""COMPUTED_VALUE"""),52.74)</f>
        <v>52.74</v>
      </c>
      <c r="AH149" s="26">
        <f>IFERROR(__xludf.DUMMYFUNCTION("""COMPUTED_VALUE"""),92.34)</f>
        <v>92.34</v>
      </c>
      <c r="AI149" s="26">
        <f>IFERROR(__xludf.DUMMYFUNCTION("""COMPUTED_VALUE"""),585.03)</f>
        <v>585.03</v>
      </c>
      <c r="AJ149" s="26">
        <f>IFERROR(__xludf.DUMMYFUNCTION("""COMPUTED_VALUE"""),422.59)</f>
        <v>422.59</v>
      </c>
      <c r="AK149" s="26">
        <f>IFERROR(__xludf.DUMMYFUNCTION("""COMPUTED_VALUE"""),123.45)</f>
        <v>123.45</v>
      </c>
      <c r="AL149" s="26">
        <f>IFERROR(__xludf.DUMMYFUNCTION("""COMPUTED_VALUE"""),158.41)</f>
        <v>158.41</v>
      </c>
      <c r="AM149" s="26">
        <f>IFERROR(__xludf.DUMMYFUNCTION("""COMPUTED_VALUE"""),538.09)</f>
        <v>538.09</v>
      </c>
      <c r="AN149" s="26">
        <f>IFERROR(__xludf.DUMMYFUNCTION("""COMPUTED_VALUE"""),242.86)</f>
        <v>242.86</v>
      </c>
      <c r="AO149" s="26">
        <f>IFERROR(__xludf.DUMMYFUNCTION("""COMPUTED_VALUE"""),512.94)</f>
        <v>512.94</v>
      </c>
      <c r="AP149" s="26">
        <f>IFERROR(__xludf.DUMMYFUNCTION("""COMPUTED_VALUE"""),397.1)</f>
        <v>397.1</v>
      </c>
      <c r="AQ149" s="26">
        <f>IFERROR(__xludf.DUMMYFUNCTION("""COMPUTED_VALUE"""),31.44)</f>
        <v>31.44</v>
      </c>
      <c r="AR149" s="26">
        <f>IFERROR(__xludf.DUMMYFUNCTION("""COMPUTED_VALUE"""),83.58)</f>
        <v>83.58</v>
      </c>
      <c r="AS149" s="26">
        <f>IFERROR(__xludf.DUMMYFUNCTION("""COMPUTED_VALUE"""),81.74)</f>
        <v>81.74</v>
      </c>
      <c r="AT149" s="26">
        <f>IFERROR(__xludf.DUMMYFUNCTION("""COMPUTED_VALUE"""),443.33)</f>
        <v>443.33</v>
      </c>
      <c r="AU149" s="26">
        <f>IFERROR(__xludf.DUMMYFUNCTION("""COMPUTED_VALUE"""),74.14)</f>
        <v>74.14</v>
      </c>
      <c r="AV149" s="26">
        <f>IFERROR(__xludf.DUMMYFUNCTION("""COMPUTED_VALUE"""),135.07)</f>
        <v>135.07</v>
      </c>
      <c r="AW149" s="26">
        <f>IFERROR(__xludf.DUMMYFUNCTION("""COMPUTED_VALUE"""),100.06)</f>
        <v>100.06</v>
      </c>
      <c r="AX149" s="26">
        <f>IFERROR(__xludf.DUMMYFUNCTION("""COMPUTED_VALUE"""),55.18)</f>
        <v>55.18</v>
      </c>
      <c r="AY149" s="26">
        <f>IFERROR(__xludf.DUMMYFUNCTION("""COMPUTED_VALUE"""),70.89)</f>
        <v>70.89</v>
      </c>
      <c r="AZ149" s="26">
        <f>IFERROR(__xludf.DUMMYFUNCTION("""COMPUTED_VALUE"""),88.76)</f>
        <v>88.76</v>
      </c>
      <c r="BA149" s="26">
        <f>IFERROR(__xludf.DUMMYFUNCTION("""COMPUTED_VALUE"""),25.57)</f>
        <v>25.57</v>
      </c>
      <c r="BB149" s="26">
        <f>IFERROR(__xludf.DUMMYFUNCTION("""COMPUTED_VALUE"""),117.61)</f>
        <v>117.61</v>
      </c>
      <c r="BC149" s="26">
        <f>IFERROR(__xludf.DUMMYFUNCTION("""COMPUTED_VALUE"""),233.5)</f>
        <v>233.5</v>
      </c>
      <c r="BD149" s="26">
        <f>IFERROR(__xludf.DUMMYFUNCTION("""COMPUTED_VALUE"""),535.85)</f>
        <v>535.85</v>
      </c>
      <c r="BE149" s="26">
        <f>IFERROR(__xludf.DUMMYFUNCTION("""COMPUTED_VALUE"""),175.71)</f>
        <v>175.71</v>
      </c>
      <c r="BF149" s="26">
        <f>IFERROR(__xludf.DUMMYFUNCTION("""COMPUTED_VALUE"""),68.99)</f>
        <v>68.99</v>
      </c>
      <c r="BG149" s="26">
        <f>IFERROR(__xludf.DUMMYFUNCTION("""COMPUTED_VALUE"""),10.09)</f>
        <v>10.09</v>
      </c>
      <c r="BH149" s="26">
        <f>IFERROR(__xludf.DUMMYFUNCTION("""COMPUTED_VALUE"""),237.09)</f>
        <v>237.09</v>
      </c>
      <c r="BI149" s="26">
        <f>IFERROR(__xludf.DUMMYFUNCTION("""COMPUTED_VALUE"""),565.19)</f>
        <v>565.19</v>
      </c>
      <c r="BJ149" s="26">
        <f>IFERROR(__xludf.DUMMYFUNCTION("""COMPUTED_VALUE"""),49.08)</f>
        <v>49.08</v>
      </c>
      <c r="BK149" s="26">
        <f>IFERROR(__xludf.DUMMYFUNCTION("""COMPUTED_VALUE"""),12.51)</f>
        <v>12.51</v>
      </c>
      <c r="BL149" s="26">
        <f>IFERROR(__xludf.DUMMYFUNCTION("""COMPUTED_VALUE"""),216.08)</f>
        <v>216.08</v>
      </c>
      <c r="BM149" s="26">
        <f>IFERROR(__xludf.DUMMYFUNCTION("""COMPUTED_VALUE"""),114.73)</f>
        <v>114.73</v>
      </c>
    </row>
    <row r="150">
      <c r="A150" s="25">
        <v>45638.66666666667</v>
      </c>
      <c r="B150" s="17">
        <f>IFERROR(__xludf.DUMMYFUNCTION("""COMPUTED_VALUE"""),6084.19)</f>
        <v>6084.19</v>
      </c>
      <c r="C150" s="17">
        <f>IFERROR(__xludf.DUMMYFUNCTION("""COMPUTED_VALUE"""),20034.89)</f>
        <v>20034.89</v>
      </c>
      <c r="D150" s="17">
        <f>IFERROR(__xludf.DUMMYFUNCTION("""COMPUTED_VALUE"""),44148.56)</f>
        <v>44148.56</v>
      </c>
      <c r="E150" s="17">
        <f>IFERROR(__xludf.DUMMYFUNCTION("""COMPUTED_VALUE"""),2394.16)</f>
        <v>2394.16</v>
      </c>
      <c r="F150" s="26">
        <f>IFERROR(__xludf.DUMMYFUNCTION("""COMPUTED_VALUE"""),549.93)</f>
        <v>549.93</v>
      </c>
      <c r="G150" s="26">
        <f>IFERROR(__xludf.DUMMYFUNCTION("""COMPUTED_VALUE"""),230.26)</f>
        <v>230.26</v>
      </c>
      <c r="H150" s="26">
        <f>IFERROR(__xludf.DUMMYFUNCTION("""COMPUTED_VALUE"""),130.34)</f>
        <v>130.34</v>
      </c>
      <c r="I150" s="26">
        <f>IFERROR(__xludf.DUMMYFUNCTION("""COMPUTED_VALUE"""),246.49)</f>
        <v>246.49</v>
      </c>
      <c r="J150" s="26">
        <f>IFERROR(__xludf.DUMMYFUNCTION("""COMPUTED_VALUE"""),171.13)</f>
        <v>171.13</v>
      </c>
      <c r="K150" s="26">
        <f>IFERROR(__xludf.DUMMYFUNCTION("""COMPUTED_VALUE"""),79.67)</f>
        <v>79.67</v>
      </c>
      <c r="L150" s="26">
        <f>IFERROR(__xludf.DUMMYFUNCTION("""COMPUTED_VALUE"""),13.65)</f>
        <v>13.65</v>
      </c>
      <c r="M150" s="26">
        <f>IFERROR(__xludf.DUMMYFUNCTION("""COMPUTED_VALUE"""),461.39)</f>
        <v>461.39</v>
      </c>
      <c r="N150" s="26">
        <f>IFERROR(__xludf.DUMMYFUNCTION("""COMPUTED_VALUE"""),53.56)</f>
        <v>53.56</v>
      </c>
      <c r="O150" s="26">
        <f>IFERROR(__xludf.DUMMYFUNCTION("""COMPUTED_VALUE"""),157.46)</f>
        <v>157.46</v>
      </c>
      <c r="P150" s="26">
        <f>IFERROR(__xludf.DUMMYFUNCTION("""COMPUTED_VALUE"""),73.7)</f>
        <v>73.7</v>
      </c>
      <c r="Q150" s="26">
        <f>IFERROR(__xludf.DUMMYFUNCTION("""COMPUTED_VALUE"""),388.87)</f>
        <v>388.87</v>
      </c>
      <c r="R150" s="26">
        <f>IFERROR(__xludf.DUMMYFUNCTION("""COMPUTED_VALUE"""),57.81)</f>
        <v>57.81</v>
      </c>
      <c r="S150" s="26">
        <f>IFERROR(__xludf.DUMMYFUNCTION("""COMPUTED_VALUE"""),188.1)</f>
        <v>188.1</v>
      </c>
      <c r="T150" s="26">
        <f>IFERROR(__xludf.DUMMYFUNCTION("""COMPUTED_VALUE"""),156.21)</f>
        <v>156.21</v>
      </c>
      <c r="U150" s="26">
        <f>IFERROR(__xludf.DUMMYFUNCTION("""COMPUTED_VALUE"""),294.03)</f>
        <v>294.03</v>
      </c>
      <c r="V150" s="26">
        <f>IFERROR(__xludf.DUMMYFUNCTION("""COMPUTED_VALUE"""),46.23)</f>
        <v>46.23</v>
      </c>
      <c r="W150" s="26">
        <f>IFERROR(__xludf.DUMMYFUNCTION("""COMPUTED_VALUE"""),62.64)</f>
        <v>62.64</v>
      </c>
      <c r="X150" s="26">
        <f>IFERROR(__xludf.DUMMYFUNCTION("""COMPUTED_VALUE"""),92.75)</f>
        <v>92.75</v>
      </c>
      <c r="Y150" s="26">
        <f>IFERROR(__xludf.DUMMYFUNCTION("""COMPUTED_VALUE"""),187.22)</f>
        <v>187.22</v>
      </c>
      <c r="Z150" s="26">
        <f>IFERROR(__xludf.DUMMYFUNCTION("""COMPUTED_VALUE"""),71.63)</f>
        <v>71.63</v>
      </c>
      <c r="AA150" s="26">
        <f>IFERROR(__xludf.DUMMYFUNCTION("""COMPUTED_VALUE"""),457.35)</f>
        <v>457.35</v>
      </c>
      <c r="AB150" s="26">
        <f>IFERROR(__xludf.DUMMYFUNCTION("""COMPUTED_VALUE"""),63.17)</f>
        <v>63.17</v>
      </c>
      <c r="AC150" s="26">
        <f>IFERROR(__xludf.DUMMYFUNCTION("""COMPUTED_VALUE"""),111.92)</f>
        <v>111.92</v>
      </c>
      <c r="AD150" s="26">
        <f>IFERROR(__xludf.DUMMYFUNCTION("""COMPUTED_VALUE"""),281.16)</f>
        <v>281.16</v>
      </c>
      <c r="AE150" s="26">
        <f>IFERROR(__xludf.DUMMYFUNCTION("""COMPUTED_VALUE"""),449.53)</f>
        <v>449.53</v>
      </c>
      <c r="AF150" s="26">
        <f>IFERROR(__xludf.DUMMYFUNCTION("""COMPUTED_VALUE"""),265.43)</f>
        <v>265.43</v>
      </c>
      <c r="AG150" s="26">
        <f>IFERROR(__xludf.DUMMYFUNCTION("""COMPUTED_VALUE"""),52.04)</f>
        <v>52.04</v>
      </c>
      <c r="AH150" s="26">
        <f>IFERROR(__xludf.DUMMYFUNCTION("""COMPUTED_VALUE"""),92.38)</f>
        <v>92.38</v>
      </c>
      <c r="AI150" s="26">
        <f>IFERROR(__xludf.DUMMYFUNCTION("""COMPUTED_VALUE"""),592.56)</f>
        <v>592.56</v>
      </c>
      <c r="AJ150" s="26">
        <f>IFERROR(__xludf.DUMMYFUNCTION("""COMPUTED_VALUE"""),421.38)</f>
        <v>421.38</v>
      </c>
      <c r="AK150" s="26">
        <f>IFERROR(__xludf.DUMMYFUNCTION("""COMPUTED_VALUE"""),122.73)</f>
        <v>122.73</v>
      </c>
      <c r="AL150" s="26">
        <f>IFERROR(__xludf.DUMMYFUNCTION("""COMPUTED_VALUE"""),158.18)</f>
        <v>158.18</v>
      </c>
      <c r="AM150" s="26">
        <f>IFERROR(__xludf.DUMMYFUNCTION("""COMPUTED_VALUE"""),543.6)</f>
        <v>543.6</v>
      </c>
      <c r="AN150" s="26">
        <f>IFERROR(__xludf.DUMMYFUNCTION("""COMPUTED_VALUE"""),243.53)</f>
        <v>243.53</v>
      </c>
      <c r="AO150" s="26">
        <f>IFERROR(__xludf.DUMMYFUNCTION("""COMPUTED_VALUE"""),504.24)</f>
        <v>504.24</v>
      </c>
      <c r="AP150" s="26">
        <f>IFERROR(__xludf.DUMMYFUNCTION("""COMPUTED_VALUE"""),399.75)</f>
        <v>399.75</v>
      </c>
      <c r="AQ150" s="26">
        <f>IFERROR(__xludf.DUMMYFUNCTION("""COMPUTED_VALUE"""),31.5)</f>
        <v>31.5</v>
      </c>
      <c r="AR150" s="26">
        <f>IFERROR(__xludf.DUMMYFUNCTION("""COMPUTED_VALUE"""),82.92)</f>
        <v>82.92</v>
      </c>
      <c r="AS150" s="26">
        <f>IFERROR(__xludf.DUMMYFUNCTION("""COMPUTED_VALUE"""),80.33)</f>
        <v>80.33</v>
      </c>
      <c r="AT150" s="26">
        <f>IFERROR(__xludf.DUMMYFUNCTION("""COMPUTED_VALUE"""),448.99)</f>
        <v>448.99</v>
      </c>
      <c r="AU150" s="26">
        <f>IFERROR(__xludf.DUMMYFUNCTION("""COMPUTED_VALUE"""),73.98)</f>
        <v>73.98</v>
      </c>
      <c r="AV150" s="26">
        <f>IFERROR(__xludf.DUMMYFUNCTION("""COMPUTED_VALUE"""),139.31)</f>
        <v>139.31</v>
      </c>
      <c r="AW150" s="26">
        <f>IFERROR(__xludf.DUMMYFUNCTION("""COMPUTED_VALUE"""),98.99)</f>
        <v>98.99</v>
      </c>
      <c r="AX150" s="26">
        <f>IFERROR(__xludf.DUMMYFUNCTION("""COMPUTED_VALUE"""),58.2)</f>
        <v>58.2</v>
      </c>
      <c r="AY150" s="26">
        <f>IFERROR(__xludf.DUMMYFUNCTION("""COMPUTED_VALUE"""),72.51)</f>
        <v>72.51</v>
      </c>
      <c r="AZ150" s="26">
        <f>IFERROR(__xludf.DUMMYFUNCTION("""COMPUTED_VALUE"""),90.75)</f>
        <v>90.75</v>
      </c>
      <c r="BA150" s="26">
        <f>IFERROR(__xludf.DUMMYFUNCTION("""COMPUTED_VALUE"""),25.23)</f>
        <v>25.23</v>
      </c>
      <c r="BB150" s="26">
        <f>IFERROR(__xludf.DUMMYFUNCTION("""COMPUTED_VALUE"""),116.94)</f>
        <v>116.94</v>
      </c>
      <c r="BC150" s="26">
        <f>IFERROR(__xludf.DUMMYFUNCTION("""COMPUTED_VALUE"""),234.34)</f>
        <v>234.34</v>
      </c>
      <c r="BD150" s="26">
        <f>IFERROR(__xludf.DUMMYFUNCTION("""COMPUTED_VALUE"""),534.36)</f>
        <v>534.36</v>
      </c>
      <c r="BE150" s="26">
        <f>IFERROR(__xludf.DUMMYFUNCTION("""COMPUTED_VALUE"""),178.15)</f>
        <v>178.15</v>
      </c>
      <c r="BF150" s="26">
        <f>IFERROR(__xludf.DUMMYFUNCTION("""COMPUTED_VALUE"""),67.36)</f>
        <v>67.36</v>
      </c>
      <c r="BG150" s="26">
        <f>IFERROR(__xludf.DUMMYFUNCTION("""COMPUTED_VALUE"""),10.3)</f>
        <v>10.3</v>
      </c>
      <c r="BH150" s="26">
        <f>IFERROR(__xludf.DUMMYFUNCTION("""COMPUTED_VALUE"""),233.78)</f>
        <v>233.78</v>
      </c>
      <c r="BI150" s="26">
        <f>IFERROR(__xludf.DUMMYFUNCTION("""COMPUTED_VALUE"""),533.53)</f>
        <v>533.53</v>
      </c>
      <c r="BJ150" s="26">
        <f>IFERROR(__xludf.DUMMYFUNCTION("""COMPUTED_VALUE"""),49.07)</f>
        <v>49.07</v>
      </c>
      <c r="BK150" s="26">
        <f>IFERROR(__xludf.DUMMYFUNCTION("""COMPUTED_VALUE"""),12.75)</f>
        <v>12.75</v>
      </c>
      <c r="BL150" s="26">
        <f>IFERROR(__xludf.DUMMYFUNCTION("""COMPUTED_VALUE"""),214.52)</f>
        <v>214.52</v>
      </c>
      <c r="BM150" s="26">
        <f>IFERROR(__xludf.DUMMYFUNCTION("""COMPUTED_VALUE"""),114.61)</f>
        <v>114.61</v>
      </c>
    </row>
    <row r="151">
      <c r="A151" s="25">
        <v>45639.66666666667</v>
      </c>
      <c r="B151" s="17">
        <f>IFERROR(__xludf.DUMMYFUNCTION("""COMPUTED_VALUE"""),6051.25)</f>
        <v>6051.25</v>
      </c>
      <c r="C151" s="17">
        <f>IFERROR(__xludf.DUMMYFUNCTION("""COMPUTED_VALUE"""),19902.84)</f>
        <v>19902.84</v>
      </c>
      <c r="D151" s="17">
        <f>IFERROR(__xludf.DUMMYFUNCTION("""COMPUTED_VALUE"""),43914.12)</f>
        <v>43914.12</v>
      </c>
      <c r="E151" s="17">
        <f>IFERROR(__xludf.DUMMYFUNCTION("""COMPUTED_VALUE"""),2361.08)</f>
        <v>2361.08</v>
      </c>
      <c r="F151" s="26">
        <f>IFERROR(__xludf.DUMMYFUNCTION("""COMPUTED_VALUE"""),474.63)</f>
        <v>474.63</v>
      </c>
      <c r="G151" s="26">
        <f>IFERROR(__xludf.DUMMYFUNCTION("""COMPUTED_VALUE"""),228.97)</f>
        <v>228.97</v>
      </c>
      <c r="H151" s="26">
        <f>IFERROR(__xludf.DUMMYFUNCTION("""COMPUTED_VALUE"""),130.55)</f>
        <v>130.55</v>
      </c>
      <c r="I151" s="26">
        <f>IFERROR(__xludf.DUMMYFUNCTION("""COMPUTED_VALUE"""),247.96)</f>
        <v>247.96</v>
      </c>
      <c r="J151" s="26">
        <f>IFERROR(__xludf.DUMMYFUNCTION("""COMPUTED_VALUE"""),169.08)</f>
        <v>169.08</v>
      </c>
      <c r="K151" s="26">
        <f>IFERROR(__xludf.DUMMYFUNCTION("""COMPUTED_VALUE"""),79.57)</f>
        <v>79.57</v>
      </c>
      <c r="L151" s="26">
        <f>IFERROR(__xludf.DUMMYFUNCTION("""COMPUTED_VALUE"""),13.56)</f>
        <v>13.56</v>
      </c>
      <c r="M151" s="26">
        <f>IFERROR(__xludf.DUMMYFUNCTION("""COMPUTED_VALUE"""),458.63)</f>
        <v>458.63</v>
      </c>
      <c r="N151" s="26">
        <f>IFERROR(__xludf.DUMMYFUNCTION("""COMPUTED_VALUE"""),52.45)</f>
        <v>52.45</v>
      </c>
      <c r="O151" s="26">
        <f>IFERROR(__xludf.DUMMYFUNCTION("""COMPUTED_VALUE"""),155.33)</f>
        <v>155.33</v>
      </c>
      <c r="P151" s="26">
        <f>IFERROR(__xludf.DUMMYFUNCTION("""COMPUTED_VALUE"""),73.54)</f>
        <v>73.54</v>
      </c>
      <c r="Q151" s="26">
        <f>IFERROR(__xludf.DUMMYFUNCTION("""COMPUTED_VALUE"""),380.78)</f>
        <v>380.78</v>
      </c>
      <c r="R151" s="26">
        <f>IFERROR(__xludf.DUMMYFUNCTION("""COMPUTED_VALUE"""),56.0)</f>
        <v>56</v>
      </c>
      <c r="S151" s="26">
        <f>IFERROR(__xludf.DUMMYFUNCTION("""COMPUTED_VALUE"""),189.5)</f>
        <v>189.5</v>
      </c>
      <c r="T151" s="26">
        <f>IFERROR(__xludf.DUMMYFUNCTION("""COMPUTED_VALUE"""),154.71)</f>
        <v>154.71</v>
      </c>
      <c r="U151" s="26">
        <f>IFERROR(__xludf.DUMMYFUNCTION("""COMPUTED_VALUE"""),282.96)</f>
        <v>282.96</v>
      </c>
      <c r="V151" s="26">
        <f>IFERROR(__xludf.DUMMYFUNCTION("""COMPUTED_VALUE"""),45.54)</f>
        <v>45.54</v>
      </c>
      <c r="W151" s="26">
        <f>IFERROR(__xludf.DUMMYFUNCTION("""COMPUTED_VALUE"""),63.84)</f>
        <v>63.84</v>
      </c>
      <c r="X151" s="26">
        <f>IFERROR(__xludf.DUMMYFUNCTION("""COMPUTED_VALUE"""),92.61)</f>
        <v>92.61</v>
      </c>
      <c r="Y151" s="26">
        <f>IFERROR(__xludf.DUMMYFUNCTION("""COMPUTED_VALUE"""),187.13)</f>
        <v>187.13</v>
      </c>
      <c r="Z151" s="26">
        <f>IFERROR(__xludf.DUMMYFUNCTION("""COMPUTED_VALUE"""),70.83)</f>
        <v>70.83</v>
      </c>
      <c r="AA151" s="26">
        <f>IFERROR(__xludf.DUMMYFUNCTION("""COMPUTED_VALUE"""),464.89)</f>
        <v>464.89</v>
      </c>
      <c r="AB151" s="26">
        <f>IFERROR(__xludf.DUMMYFUNCTION("""COMPUTED_VALUE"""),63.9)</f>
        <v>63.9</v>
      </c>
      <c r="AC151" s="26">
        <f>IFERROR(__xludf.DUMMYFUNCTION("""COMPUTED_VALUE"""),111.82)</f>
        <v>111.82</v>
      </c>
      <c r="AD151" s="26">
        <f>IFERROR(__xludf.DUMMYFUNCTION("""COMPUTED_VALUE"""),283.69)</f>
        <v>283.69</v>
      </c>
      <c r="AE151" s="26">
        <f>IFERROR(__xludf.DUMMYFUNCTION("""COMPUTED_VALUE"""),451.86)</f>
        <v>451.86</v>
      </c>
      <c r="AF151" s="26">
        <f>IFERROR(__xludf.DUMMYFUNCTION("""COMPUTED_VALUE"""),263.04)</f>
        <v>263.04</v>
      </c>
      <c r="AG151" s="26">
        <f>IFERROR(__xludf.DUMMYFUNCTION("""COMPUTED_VALUE"""),52.3)</f>
        <v>52.3</v>
      </c>
      <c r="AH151" s="26">
        <f>IFERROR(__xludf.DUMMYFUNCTION("""COMPUTED_VALUE"""),92.38)</f>
        <v>92.38</v>
      </c>
      <c r="AI151" s="26">
        <f>IFERROR(__xludf.DUMMYFUNCTION("""COMPUTED_VALUE"""),591.61)</f>
        <v>591.61</v>
      </c>
      <c r="AJ151" s="26">
        <f>IFERROR(__xludf.DUMMYFUNCTION("""COMPUTED_VALUE"""),414.42)</f>
        <v>414.42</v>
      </c>
      <c r="AK151" s="26">
        <f>IFERROR(__xludf.DUMMYFUNCTION("""COMPUTED_VALUE"""),121.63)</f>
        <v>121.63</v>
      </c>
      <c r="AL151" s="26">
        <f>IFERROR(__xludf.DUMMYFUNCTION("""COMPUTED_VALUE"""),156.55)</f>
        <v>156.55</v>
      </c>
      <c r="AM151" s="26">
        <f>IFERROR(__xludf.DUMMYFUNCTION("""COMPUTED_VALUE"""),544.72)</f>
        <v>544.72</v>
      </c>
      <c r="AN151" s="26">
        <f>IFERROR(__xludf.DUMMYFUNCTION("""COMPUTED_VALUE"""),241.53)</f>
        <v>241.53</v>
      </c>
      <c r="AO151" s="26">
        <f>IFERROR(__xludf.DUMMYFUNCTION("""COMPUTED_VALUE"""),496.58)</f>
        <v>496.58</v>
      </c>
      <c r="AP151" s="26">
        <f>IFERROR(__xludf.DUMMYFUNCTION("""COMPUTED_VALUE"""),389.33)</f>
        <v>389.33</v>
      </c>
      <c r="AQ151" s="26">
        <f>IFERROR(__xludf.DUMMYFUNCTION("""COMPUTED_VALUE"""),30.82)</f>
        <v>30.82</v>
      </c>
      <c r="AR151" s="26">
        <f>IFERROR(__xludf.DUMMYFUNCTION("""COMPUTED_VALUE"""),82.73)</f>
        <v>82.73</v>
      </c>
      <c r="AS151" s="26">
        <f>IFERROR(__xludf.DUMMYFUNCTION("""COMPUTED_VALUE"""),83.22)</f>
        <v>83.22</v>
      </c>
      <c r="AT151" s="26">
        <f>IFERROR(__xludf.DUMMYFUNCTION("""COMPUTED_VALUE"""),449.56)</f>
        <v>449.56</v>
      </c>
      <c r="AU151" s="26">
        <f>IFERROR(__xludf.DUMMYFUNCTION("""COMPUTED_VALUE"""),73.22)</f>
        <v>73.22</v>
      </c>
      <c r="AV151" s="26">
        <f>IFERROR(__xludf.DUMMYFUNCTION("""COMPUTED_VALUE"""),137.34)</f>
        <v>137.34</v>
      </c>
      <c r="AW151" s="26">
        <f>IFERROR(__xludf.DUMMYFUNCTION("""COMPUTED_VALUE"""),98.27)</f>
        <v>98.27</v>
      </c>
      <c r="AX151" s="26">
        <f>IFERROR(__xludf.DUMMYFUNCTION("""COMPUTED_VALUE"""),57.6)</f>
        <v>57.6</v>
      </c>
      <c r="AY151" s="26">
        <f>IFERROR(__xludf.DUMMYFUNCTION("""COMPUTED_VALUE"""),73.2)</f>
        <v>73.2</v>
      </c>
      <c r="AZ151" s="26">
        <f>IFERROR(__xludf.DUMMYFUNCTION("""COMPUTED_VALUE"""),89.4)</f>
        <v>89.4</v>
      </c>
      <c r="BA151" s="26">
        <f>IFERROR(__xludf.DUMMYFUNCTION("""COMPUTED_VALUE"""),25.37)</f>
        <v>25.37</v>
      </c>
      <c r="BB151" s="26">
        <f>IFERROR(__xludf.DUMMYFUNCTION("""COMPUTED_VALUE"""),116.05)</f>
        <v>116.05</v>
      </c>
      <c r="BC151" s="26">
        <f>IFERROR(__xludf.DUMMYFUNCTION("""COMPUTED_VALUE"""),233.27)</f>
        <v>233.27</v>
      </c>
      <c r="BD151" s="26">
        <f>IFERROR(__xludf.DUMMYFUNCTION("""COMPUTED_VALUE"""),525.0)</f>
        <v>525</v>
      </c>
      <c r="BE151" s="26">
        <f>IFERROR(__xludf.DUMMYFUNCTION("""COMPUTED_VALUE"""),176.9)</f>
        <v>176.9</v>
      </c>
      <c r="BF151" s="26">
        <f>IFERROR(__xludf.DUMMYFUNCTION("""COMPUTED_VALUE"""),65.71)</f>
        <v>65.71</v>
      </c>
      <c r="BG151" s="26">
        <f>IFERROR(__xludf.DUMMYFUNCTION("""COMPUTED_VALUE"""),9.59)</f>
        <v>9.59</v>
      </c>
      <c r="BH151" s="26">
        <f>IFERROR(__xludf.DUMMYFUNCTION("""COMPUTED_VALUE"""),233.71)</f>
        <v>233.71</v>
      </c>
      <c r="BI151" s="26">
        <f>IFERROR(__xludf.DUMMYFUNCTION("""COMPUTED_VALUE"""),515.76)</f>
        <v>515.76</v>
      </c>
      <c r="BJ151" s="26">
        <f>IFERROR(__xludf.DUMMYFUNCTION("""COMPUTED_VALUE"""),49.05)</f>
        <v>49.05</v>
      </c>
      <c r="BK151" s="26">
        <f>IFERROR(__xludf.DUMMYFUNCTION("""COMPUTED_VALUE"""),12.82)</f>
        <v>12.82</v>
      </c>
      <c r="BL151" s="26">
        <f>IFERROR(__xludf.DUMMYFUNCTION("""COMPUTED_VALUE"""),214.45)</f>
        <v>214.45</v>
      </c>
      <c r="BM151" s="26">
        <f>IFERROR(__xludf.DUMMYFUNCTION("""COMPUTED_VALUE"""),114.9)</f>
        <v>114.9</v>
      </c>
    </row>
    <row r="152">
      <c r="A152" s="25">
        <v>45642.66666666667</v>
      </c>
      <c r="B152" s="17">
        <f>IFERROR(__xludf.DUMMYFUNCTION("""COMPUTED_VALUE"""),6051.09)</f>
        <v>6051.09</v>
      </c>
      <c r="C152" s="17">
        <f>IFERROR(__xludf.DUMMYFUNCTION("""COMPUTED_VALUE"""),19926.72)</f>
        <v>19926.72</v>
      </c>
      <c r="D152" s="17">
        <f>IFERROR(__xludf.DUMMYFUNCTION("""COMPUTED_VALUE"""),43828.06)</f>
        <v>43828.06</v>
      </c>
      <c r="E152" s="17">
        <f>IFERROR(__xludf.DUMMYFUNCTION("""COMPUTED_VALUE"""),2346.9)</f>
        <v>2346.9</v>
      </c>
      <c r="F152" s="26">
        <f>IFERROR(__xludf.DUMMYFUNCTION("""COMPUTED_VALUE"""),465.69)</f>
        <v>465.69</v>
      </c>
      <c r="G152" s="26">
        <f>IFERROR(__xludf.DUMMYFUNCTION("""COMPUTED_VALUE"""),227.46)</f>
        <v>227.46</v>
      </c>
      <c r="H152" s="26">
        <f>IFERROR(__xludf.DUMMYFUNCTION("""COMPUTED_VALUE"""),129.59)</f>
        <v>129.59</v>
      </c>
      <c r="I152" s="26">
        <f>IFERROR(__xludf.DUMMYFUNCTION("""COMPUTED_VALUE"""),248.13)</f>
        <v>248.13</v>
      </c>
      <c r="J152" s="26">
        <f>IFERROR(__xludf.DUMMYFUNCTION("""COMPUTED_VALUE"""),169.35)</f>
        <v>169.35</v>
      </c>
      <c r="K152" s="26">
        <f>IFERROR(__xludf.DUMMYFUNCTION("""COMPUTED_VALUE"""),78.83)</f>
        <v>78.83</v>
      </c>
      <c r="L152" s="26">
        <f>IFERROR(__xludf.DUMMYFUNCTION("""COMPUTED_VALUE"""),13.55)</f>
        <v>13.55</v>
      </c>
      <c r="M152" s="26">
        <f>IFERROR(__xludf.DUMMYFUNCTION("""COMPUTED_VALUE"""),457.9)</f>
        <v>457.9</v>
      </c>
      <c r="N152" s="26">
        <f>IFERROR(__xludf.DUMMYFUNCTION("""COMPUTED_VALUE"""),51.67)</f>
        <v>51.67</v>
      </c>
      <c r="O152" s="26">
        <f>IFERROR(__xludf.DUMMYFUNCTION("""COMPUTED_VALUE"""),150.03)</f>
        <v>150.03</v>
      </c>
      <c r="P152" s="26">
        <f>IFERROR(__xludf.DUMMYFUNCTION("""COMPUTED_VALUE"""),73.01)</f>
        <v>73.01</v>
      </c>
      <c r="Q152" s="26">
        <f>IFERROR(__xludf.DUMMYFUNCTION("""COMPUTED_VALUE"""),380.51)</f>
        <v>380.51</v>
      </c>
      <c r="R152" s="26">
        <f>IFERROR(__xludf.DUMMYFUNCTION("""COMPUTED_VALUE"""),54.29)</f>
        <v>54.29</v>
      </c>
      <c r="S152" s="26">
        <f>IFERROR(__xludf.DUMMYFUNCTION("""COMPUTED_VALUE"""),187.77)</f>
        <v>187.77</v>
      </c>
      <c r="T152" s="26">
        <f>IFERROR(__xludf.DUMMYFUNCTION("""COMPUTED_VALUE"""),153.87)</f>
        <v>153.87</v>
      </c>
      <c r="U152" s="26">
        <f>IFERROR(__xludf.DUMMYFUNCTION("""COMPUTED_VALUE"""),281.86)</f>
        <v>281.86</v>
      </c>
      <c r="V152" s="26">
        <f>IFERROR(__xludf.DUMMYFUNCTION("""COMPUTED_VALUE"""),45.7)</f>
        <v>45.7</v>
      </c>
      <c r="W152" s="26">
        <f>IFERROR(__xludf.DUMMYFUNCTION("""COMPUTED_VALUE"""),63.12)</f>
        <v>63.12</v>
      </c>
      <c r="X152" s="26">
        <f>IFERROR(__xludf.DUMMYFUNCTION("""COMPUTED_VALUE"""),92.69)</f>
        <v>92.69</v>
      </c>
      <c r="Y152" s="26">
        <f>IFERROR(__xludf.DUMMYFUNCTION("""COMPUTED_VALUE"""),185.04)</f>
        <v>185.04</v>
      </c>
      <c r="Z152" s="26">
        <f>IFERROR(__xludf.DUMMYFUNCTION("""COMPUTED_VALUE"""),70.09)</f>
        <v>70.09</v>
      </c>
      <c r="AA152" s="26">
        <f>IFERROR(__xludf.DUMMYFUNCTION("""COMPUTED_VALUE"""),453.17)</f>
        <v>453.17</v>
      </c>
      <c r="AB152" s="26">
        <f>IFERROR(__xludf.DUMMYFUNCTION("""COMPUTED_VALUE"""),63.84)</f>
        <v>63.84</v>
      </c>
      <c r="AC152" s="26">
        <f>IFERROR(__xludf.DUMMYFUNCTION("""COMPUTED_VALUE"""),110.84)</f>
        <v>110.84</v>
      </c>
      <c r="AD152" s="26">
        <f>IFERROR(__xludf.DUMMYFUNCTION("""COMPUTED_VALUE"""),283.42)</f>
        <v>283.42</v>
      </c>
      <c r="AE152" s="26">
        <f>IFERROR(__xludf.DUMMYFUNCTION("""COMPUTED_VALUE"""),454.18)</f>
        <v>454.18</v>
      </c>
      <c r="AF152" s="26">
        <f>IFERROR(__xludf.DUMMYFUNCTION("""COMPUTED_VALUE"""),263.11)</f>
        <v>263.11</v>
      </c>
      <c r="AG152" s="26">
        <f>IFERROR(__xludf.DUMMYFUNCTION("""COMPUTED_VALUE"""),52.53)</f>
        <v>52.53</v>
      </c>
      <c r="AH152" s="26">
        <f>IFERROR(__xludf.DUMMYFUNCTION("""COMPUTED_VALUE"""),91.86)</f>
        <v>91.86</v>
      </c>
      <c r="AI152" s="26">
        <f>IFERROR(__xludf.DUMMYFUNCTION("""COMPUTED_VALUE"""),585.48)</f>
        <v>585.48</v>
      </c>
      <c r="AJ152" s="26">
        <f>IFERROR(__xludf.DUMMYFUNCTION("""COMPUTED_VALUE"""),416.98)</f>
        <v>416.98</v>
      </c>
      <c r="AK152" s="26">
        <f>IFERROR(__xludf.DUMMYFUNCTION("""COMPUTED_VALUE"""),120.66)</f>
        <v>120.66</v>
      </c>
      <c r="AL152" s="26">
        <f>IFERROR(__xludf.DUMMYFUNCTION("""COMPUTED_VALUE"""),155.58)</f>
        <v>155.58</v>
      </c>
      <c r="AM152" s="26">
        <f>IFERROR(__xludf.DUMMYFUNCTION("""COMPUTED_VALUE"""),539.58)</f>
        <v>539.58</v>
      </c>
      <c r="AN152" s="26">
        <f>IFERROR(__xludf.DUMMYFUNCTION("""COMPUTED_VALUE"""),239.94)</f>
        <v>239.94</v>
      </c>
      <c r="AO152" s="26">
        <f>IFERROR(__xludf.DUMMYFUNCTION("""COMPUTED_VALUE"""),494.65)</f>
        <v>494.65</v>
      </c>
      <c r="AP152" s="26">
        <f>IFERROR(__xludf.DUMMYFUNCTION("""COMPUTED_VALUE"""),391.63)</f>
        <v>391.63</v>
      </c>
      <c r="AQ152" s="26">
        <f>IFERROR(__xludf.DUMMYFUNCTION("""COMPUTED_VALUE"""),30.93)</f>
        <v>30.93</v>
      </c>
      <c r="AR152" s="26">
        <f>IFERROR(__xludf.DUMMYFUNCTION("""COMPUTED_VALUE"""),82.48)</f>
        <v>82.48</v>
      </c>
      <c r="AS152" s="26">
        <f>IFERROR(__xludf.DUMMYFUNCTION("""COMPUTED_VALUE"""),82.99)</f>
        <v>82.99</v>
      </c>
      <c r="AT152" s="26">
        <f>IFERROR(__xludf.DUMMYFUNCTION("""COMPUTED_VALUE"""),447.27)</f>
        <v>447.27</v>
      </c>
      <c r="AU152" s="26">
        <f>IFERROR(__xludf.DUMMYFUNCTION("""COMPUTED_VALUE"""),73.62)</f>
        <v>73.62</v>
      </c>
      <c r="AV152" s="26">
        <f>IFERROR(__xludf.DUMMYFUNCTION("""COMPUTED_VALUE"""),134.25)</f>
        <v>134.25</v>
      </c>
      <c r="AW152" s="26">
        <f>IFERROR(__xludf.DUMMYFUNCTION("""COMPUTED_VALUE"""),97.79)</f>
        <v>97.79</v>
      </c>
      <c r="AX152" s="26">
        <f>IFERROR(__xludf.DUMMYFUNCTION("""COMPUTED_VALUE"""),57.3)</f>
        <v>57.3</v>
      </c>
      <c r="AY152" s="26">
        <f>IFERROR(__xludf.DUMMYFUNCTION("""COMPUTED_VALUE"""),76.07)</f>
        <v>76.07</v>
      </c>
      <c r="AZ152" s="26">
        <f>IFERROR(__xludf.DUMMYFUNCTION("""COMPUTED_VALUE"""),91.02)</f>
        <v>91.02</v>
      </c>
      <c r="BA152" s="26">
        <f>IFERROR(__xludf.DUMMYFUNCTION("""COMPUTED_VALUE"""),25.58)</f>
        <v>25.58</v>
      </c>
      <c r="BB152" s="26">
        <f>IFERROR(__xludf.DUMMYFUNCTION("""COMPUTED_VALUE"""),117.75)</f>
        <v>117.75</v>
      </c>
      <c r="BC152" s="26">
        <f>IFERROR(__xludf.DUMMYFUNCTION("""COMPUTED_VALUE"""),231.94)</f>
        <v>231.94</v>
      </c>
      <c r="BD152" s="26">
        <f>IFERROR(__xludf.DUMMYFUNCTION("""COMPUTED_VALUE"""),526.89)</f>
        <v>526.89</v>
      </c>
      <c r="BE152" s="26">
        <f>IFERROR(__xludf.DUMMYFUNCTION("""COMPUTED_VALUE"""),175.86)</f>
        <v>175.86</v>
      </c>
      <c r="BF152" s="26">
        <f>IFERROR(__xludf.DUMMYFUNCTION("""COMPUTED_VALUE"""),64.26)</f>
        <v>64.26</v>
      </c>
      <c r="BG152" s="26">
        <f>IFERROR(__xludf.DUMMYFUNCTION("""COMPUTED_VALUE"""),8.81)</f>
        <v>8.81</v>
      </c>
      <c r="BH152" s="26">
        <f>IFERROR(__xludf.DUMMYFUNCTION("""COMPUTED_VALUE"""),234.98)</f>
        <v>234.98</v>
      </c>
      <c r="BI152" s="26">
        <f>IFERROR(__xludf.DUMMYFUNCTION("""COMPUTED_VALUE"""),520.48)</f>
        <v>520.48</v>
      </c>
      <c r="BJ152" s="26">
        <f>IFERROR(__xludf.DUMMYFUNCTION("""COMPUTED_VALUE"""),49.02)</f>
        <v>49.02</v>
      </c>
      <c r="BK152" s="26">
        <f>IFERROR(__xludf.DUMMYFUNCTION("""COMPUTED_VALUE"""),12.63)</f>
        <v>12.63</v>
      </c>
      <c r="BL152" s="26">
        <f>IFERROR(__xludf.DUMMYFUNCTION("""COMPUTED_VALUE"""),213.2)</f>
        <v>213.2</v>
      </c>
      <c r="BM152" s="26">
        <f>IFERROR(__xludf.DUMMYFUNCTION("""COMPUTED_VALUE"""),113.34)</f>
        <v>113.34</v>
      </c>
    </row>
    <row r="153">
      <c r="A153" s="25">
        <v>45643.66666666667</v>
      </c>
      <c r="B153" s="17">
        <f>IFERROR(__xludf.DUMMYFUNCTION("""COMPUTED_VALUE"""),6074.08)</f>
        <v>6074.08</v>
      </c>
      <c r="C153" s="17">
        <f>IFERROR(__xludf.DUMMYFUNCTION("""COMPUTED_VALUE"""),20173.89)</f>
        <v>20173.89</v>
      </c>
      <c r="D153" s="17">
        <f>IFERROR(__xludf.DUMMYFUNCTION("""COMPUTED_VALUE"""),43717.48)</f>
        <v>43717.48</v>
      </c>
      <c r="E153" s="17">
        <f>IFERROR(__xludf.DUMMYFUNCTION("""COMPUTED_VALUE"""),2361.99)</f>
        <v>2361.99</v>
      </c>
      <c r="F153" s="26">
        <f>IFERROR(__xludf.DUMMYFUNCTION("""COMPUTED_VALUE"""),461.53)</f>
        <v>461.53</v>
      </c>
      <c r="G153" s="26">
        <f>IFERROR(__xludf.DUMMYFUNCTION("""COMPUTED_VALUE"""),232.93)</f>
        <v>232.93</v>
      </c>
      <c r="H153" s="26">
        <f>IFERROR(__xludf.DUMMYFUNCTION("""COMPUTED_VALUE"""),128.91)</f>
        <v>128.91</v>
      </c>
      <c r="I153" s="26">
        <f>IFERROR(__xludf.DUMMYFUNCTION("""COMPUTED_VALUE"""),251.04)</f>
        <v>251.04</v>
      </c>
      <c r="J153" s="26">
        <f>IFERROR(__xludf.DUMMYFUNCTION("""COMPUTED_VALUE"""),169.41)</f>
        <v>169.41</v>
      </c>
      <c r="K153" s="26">
        <f>IFERROR(__xludf.DUMMYFUNCTION("""COMPUTED_VALUE"""),79.08)</f>
        <v>79.08</v>
      </c>
      <c r="L153" s="26">
        <f>IFERROR(__xludf.DUMMYFUNCTION("""COMPUTED_VALUE"""),13.67)</f>
        <v>13.67</v>
      </c>
      <c r="M153" s="26">
        <f>IFERROR(__xludf.DUMMYFUNCTION("""COMPUTED_VALUE"""),455.2)</f>
        <v>455.2</v>
      </c>
      <c r="N153" s="26">
        <f>IFERROR(__xludf.DUMMYFUNCTION("""COMPUTED_VALUE"""),51.11)</f>
        <v>51.11</v>
      </c>
      <c r="O153" s="26">
        <f>IFERROR(__xludf.DUMMYFUNCTION("""COMPUTED_VALUE"""),150.49)</f>
        <v>150.49</v>
      </c>
      <c r="P153" s="26">
        <f>IFERROR(__xludf.DUMMYFUNCTION("""COMPUTED_VALUE"""),71.59)</f>
        <v>71.59</v>
      </c>
      <c r="Q153" s="26">
        <f>IFERROR(__xludf.DUMMYFUNCTION("""COMPUTED_VALUE"""),378.92)</f>
        <v>378.92</v>
      </c>
      <c r="R153" s="26">
        <f>IFERROR(__xludf.DUMMYFUNCTION("""COMPUTED_VALUE"""),54.19)</f>
        <v>54.19</v>
      </c>
      <c r="S153" s="26">
        <f>IFERROR(__xludf.DUMMYFUNCTION("""COMPUTED_VALUE"""),190.21)</f>
        <v>190.21</v>
      </c>
      <c r="T153" s="26">
        <f>IFERROR(__xludf.DUMMYFUNCTION("""COMPUTED_VALUE"""),149.36)</f>
        <v>149.36</v>
      </c>
      <c r="U153" s="26">
        <f>IFERROR(__xludf.DUMMYFUNCTION("""COMPUTED_VALUE"""),273.26)</f>
        <v>273.26</v>
      </c>
      <c r="V153" s="26">
        <f>IFERROR(__xludf.DUMMYFUNCTION("""COMPUTED_VALUE"""),45.68)</f>
        <v>45.68</v>
      </c>
      <c r="W153" s="26">
        <f>IFERROR(__xludf.DUMMYFUNCTION("""COMPUTED_VALUE"""),62.55)</f>
        <v>62.55</v>
      </c>
      <c r="X153" s="26">
        <f>IFERROR(__xludf.DUMMYFUNCTION("""COMPUTED_VALUE"""),91.26)</f>
        <v>91.26</v>
      </c>
      <c r="Y153" s="26">
        <f>IFERROR(__xludf.DUMMYFUNCTION("""COMPUTED_VALUE"""),185.47)</f>
        <v>185.47</v>
      </c>
      <c r="Z153" s="26">
        <f>IFERROR(__xludf.DUMMYFUNCTION("""COMPUTED_VALUE"""),70.03)</f>
        <v>70.03</v>
      </c>
      <c r="AA153" s="26">
        <f>IFERROR(__xludf.DUMMYFUNCTION("""COMPUTED_VALUE"""),447.72)</f>
        <v>447.72</v>
      </c>
      <c r="AB153" s="26">
        <f>IFERROR(__xludf.DUMMYFUNCTION("""COMPUTED_VALUE"""),63.64)</f>
        <v>63.64</v>
      </c>
      <c r="AC153" s="26">
        <f>IFERROR(__xludf.DUMMYFUNCTION("""COMPUTED_VALUE"""),108.47)</f>
        <v>108.47</v>
      </c>
      <c r="AD153" s="26">
        <f>IFERROR(__xludf.DUMMYFUNCTION("""COMPUTED_VALUE"""),283.44)</f>
        <v>283.44</v>
      </c>
      <c r="AE153" s="26">
        <f>IFERROR(__xludf.DUMMYFUNCTION("""COMPUTED_VALUE"""),436.96)</f>
        <v>436.96</v>
      </c>
      <c r="AF153" s="26">
        <f>IFERROR(__xludf.DUMMYFUNCTION("""COMPUTED_VALUE"""),266.07)</f>
        <v>266.07</v>
      </c>
      <c r="AG153" s="26">
        <f>IFERROR(__xludf.DUMMYFUNCTION("""COMPUTED_VALUE"""),52.24)</f>
        <v>52.24</v>
      </c>
      <c r="AH153" s="26">
        <f>IFERROR(__xludf.DUMMYFUNCTION("""COMPUTED_VALUE"""),92.05)</f>
        <v>92.05</v>
      </c>
      <c r="AI153" s="26">
        <f>IFERROR(__xludf.DUMMYFUNCTION("""COMPUTED_VALUE"""),586.33)</f>
        <v>586.33</v>
      </c>
      <c r="AJ153" s="26">
        <f>IFERROR(__xludf.DUMMYFUNCTION("""COMPUTED_VALUE"""),410.71)</f>
        <v>410.71</v>
      </c>
      <c r="AK153" s="26">
        <f>IFERROR(__xludf.DUMMYFUNCTION("""COMPUTED_VALUE"""),121.95)</f>
        <v>121.95</v>
      </c>
      <c r="AL153" s="26">
        <f>IFERROR(__xludf.DUMMYFUNCTION("""COMPUTED_VALUE"""),154.58)</f>
        <v>154.58</v>
      </c>
      <c r="AM153" s="26">
        <f>IFERROR(__xludf.DUMMYFUNCTION("""COMPUTED_VALUE"""),541.99)</f>
        <v>541.99</v>
      </c>
      <c r="AN153" s="26">
        <f>IFERROR(__xludf.DUMMYFUNCTION("""COMPUTED_VALUE"""),239.58)</f>
        <v>239.58</v>
      </c>
      <c r="AO153" s="26">
        <f>IFERROR(__xludf.DUMMYFUNCTION("""COMPUTED_VALUE"""),491.65)</f>
        <v>491.65</v>
      </c>
      <c r="AP153" s="26">
        <f>IFERROR(__xludf.DUMMYFUNCTION("""COMPUTED_VALUE"""),389.74)</f>
        <v>389.74</v>
      </c>
      <c r="AQ153" s="26">
        <f>IFERROR(__xludf.DUMMYFUNCTION("""COMPUTED_VALUE"""),31.04)</f>
        <v>31.04</v>
      </c>
      <c r="AR153" s="26">
        <f>IFERROR(__xludf.DUMMYFUNCTION("""COMPUTED_VALUE"""),81.35)</f>
        <v>81.35</v>
      </c>
      <c r="AS153" s="26">
        <f>IFERROR(__xludf.DUMMYFUNCTION("""COMPUTED_VALUE"""),82.74)</f>
        <v>82.74</v>
      </c>
      <c r="AT153" s="26">
        <f>IFERROR(__xludf.DUMMYFUNCTION("""COMPUTED_VALUE"""),451.59)</f>
        <v>451.59</v>
      </c>
      <c r="AU153" s="26">
        <f>IFERROR(__xludf.DUMMYFUNCTION("""COMPUTED_VALUE"""),72.79)</f>
        <v>72.79</v>
      </c>
      <c r="AV153" s="26">
        <f>IFERROR(__xludf.DUMMYFUNCTION("""COMPUTED_VALUE"""),132.0)</f>
        <v>132</v>
      </c>
      <c r="AW153" s="26">
        <f>IFERROR(__xludf.DUMMYFUNCTION("""COMPUTED_VALUE"""),96.19)</f>
        <v>96.19</v>
      </c>
      <c r="AX153" s="26">
        <f>IFERROR(__xludf.DUMMYFUNCTION("""COMPUTED_VALUE"""),57.88)</f>
        <v>57.88</v>
      </c>
      <c r="AY153" s="26">
        <f>IFERROR(__xludf.DUMMYFUNCTION("""COMPUTED_VALUE"""),75.75)</f>
        <v>75.75</v>
      </c>
      <c r="AZ153" s="26">
        <f>IFERROR(__xludf.DUMMYFUNCTION("""COMPUTED_VALUE"""),91.3)</f>
        <v>91.3</v>
      </c>
      <c r="BA153" s="26">
        <f>IFERROR(__xludf.DUMMYFUNCTION("""COMPUTED_VALUE"""),25.25)</f>
        <v>25.25</v>
      </c>
      <c r="BB153" s="26">
        <f>IFERROR(__xludf.DUMMYFUNCTION("""COMPUTED_VALUE"""),118.11)</f>
        <v>118.11</v>
      </c>
      <c r="BC153" s="26">
        <f>IFERROR(__xludf.DUMMYFUNCTION("""COMPUTED_VALUE"""),229.47)</f>
        <v>229.47</v>
      </c>
      <c r="BD153" s="26">
        <f>IFERROR(__xludf.DUMMYFUNCTION("""COMPUTED_VALUE"""),530.26)</f>
        <v>530.26</v>
      </c>
      <c r="BE153" s="26">
        <f>IFERROR(__xludf.DUMMYFUNCTION("""COMPUTED_VALUE"""),174.25)</f>
        <v>174.25</v>
      </c>
      <c r="BF153" s="26">
        <f>IFERROR(__xludf.DUMMYFUNCTION("""COMPUTED_VALUE"""),64.22)</f>
        <v>64.22</v>
      </c>
      <c r="BG153" s="26">
        <f>IFERROR(__xludf.DUMMYFUNCTION("""COMPUTED_VALUE"""),8.32)</f>
        <v>8.32</v>
      </c>
      <c r="BH153" s="26">
        <f>IFERROR(__xludf.DUMMYFUNCTION("""COMPUTED_VALUE"""),232.89)</f>
        <v>232.89</v>
      </c>
      <c r="BI153" s="26">
        <f>IFERROR(__xludf.DUMMYFUNCTION("""COMPUTED_VALUE"""),498.5)</f>
        <v>498.5</v>
      </c>
      <c r="BJ153" s="26">
        <f>IFERROR(__xludf.DUMMYFUNCTION("""COMPUTED_VALUE"""),48.97)</f>
        <v>48.97</v>
      </c>
      <c r="BK153" s="26">
        <f>IFERROR(__xludf.DUMMYFUNCTION("""COMPUTED_VALUE"""),12.53)</f>
        <v>12.53</v>
      </c>
      <c r="BL153" s="26">
        <f>IFERROR(__xludf.DUMMYFUNCTION("""COMPUTED_VALUE"""),211.64)</f>
        <v>211.64</v>
      </c>
      <c r="BM153" s="26">
        <f>IFERROR(__xludf.DUMMYFUNCTION("""COMPUTED_VALUE"""),112.11)</f>
        <v>112.11</v>
      </c>
    </row>
    <row r="154">
      <c r="A154" s="25">
        <v>45644.66666666667</v>
      </c>
      <c r="B154" s="17">
        <f>IFERROR(__xludf.DUMMYFUNCTION("""COMPUTED_VALUE"""),6050.61)</f>
        <v>6050.61</v>
      </c>
      <c r="C154" s="17">
        <f>IFERROR(__xludf.DUMMYFUNCTION("""COMPUTED_VALUE"""),20109.06)</f>
        <v>20109.06</v>
      </c>
      <c r="D154" s="17">
        <f>IFERROR(__xludf.DUMMYFUNCTION("""COMPUTED_VALUE"""),43449.9)</f>
        <v>43449.9</v>
      </c>
      <c r="E154" s="17">
        <f>IFERROR(__xludf.DUMMYFUNCTION("""COMPUTED_VALUE"""),2334.08)</f>
        <v>2334.08</v>
      </c>
      <c r="F154" s="26">
        <f>IFERROR(__xludf.DUMMYFUNCTION("""COMPUTED_VALUE"""),455.23)</f>
        <v>455.23</v>
      </c>
      <c r="G154" s="26">
        <f>IFERROR(__xludf.DUMMYFUNCTION("""COMPUTED_VALUE"""),231.15)</f>
        <v>231.15</v>
      </c>
      <c r="H154" s="26">
        <f>IFERROR(__xludf.DUMMYFUNCTION("""COMPUTED_VALUE"""),129.18)</f>
        <v>129.18</v>
      </c>
      <c r="I154" s="26">
        <f>IFERROR(__xludf.DUMMYFUNCTION("""COMPUTED_VALUE"""),253.48)</f>
        <v>253.48</v>
      </c>
      <c r="J154" s="26">
        <f>IFERROR(__xludf.DUMMYFUNCTION("""COMPUTED_VALUE"""),170.34)</f>
        <v>170.34</v>
      </c>
      <c r="K154" s="26">
        <f>IFERROR(__xludf.DUMMYFUNCTION("""COMPUTED_VALUE"""),78.45)</f>
        <v>78.45</v>
      </c>
      <c r="L154" s="26">
        <f>IFERROR(__xludf.DUMMYFUNCTION("""COMPUTED_VALUE"""),13.33)</f>
        <v>13.33</v>
      </c>
      <c r="M154" s="26">
        <f>IFERROR(__xludf.DUMMYFUNCTION("""COMPUTED_VALUE"""),455.66)</f>
        <v>455.66</v>
      </c>
      <c r="N154" s="26">
        <f>IFERROR(__xludf.DUMMYFUNCTION("""COMPUTED_VALUE"""),51.0)</f>
        <v>51</v>
      </c>
      <c r="O154" s="26">
        <f>IFERROR(__xludf.DUMMYFUNCTION("""COMPUTED_VALUE"""),150.64)</f>
        <v>150.64</v>
      </c>
      <c r="P154" s="26">
        <f>IFERROR(__xludf.DUMMYFUNCTION("""COMPUTED_VALUE"""),70.28)</f>
        <v>70.28</v>
      </c>
      <c r="Q154" s="26">
        <f>IFERROR(__xludf.DUMMYFUNCTION("""COMPUTED_VALUE"""),375.8)</f>
        <v>375.8</v>
      </c>
      <c r="R154" s="26">
        <f>IFERROR(__xludf.DUMMYFUNCTION("""COMPUTED_VALUE"""),53.42)</f>
        <v>53.42</v>
      </c>
      <c r="S154" s="26">
        <f>IFERROR(__xludf.DUMMYFUNCTION("""COMPUTED_VALUE"""),187.71)</f>
        <v>187.71</v>
      </c>
      <c r="T154" s="26">
        <f>IFERROR(__xludf.DUMMYFUNCTION("""COMPUTED_VALUE"""),148.11)</f>
        <v>148.11</v>
      </c>
      <c r="U154" s="26">
        <f>IFERROR(__xludf.DUMMYFUNCTION("""COMPUTED_VALUE"""),265.59)</f>
        <v>265.59</v>
      </c>
      <c r="V154" s="26">
        <f>IFERROR(__xludf.DUMMYFUNCTION("""COMPUTED_VALUE"""),44.74)</f>
        <v>44.74</v>
      </c>
      <c r="W154" s="26">
        <f>IFERROR(__xludf.DUMMYFUNCTION("""COMPUTED_VALUE"""),63.4)</f>
        <v>63.4</v>
      </c>
      <c r="X154" s="26">
        <f>IFERROR(__xludf.DUMMYFUNCTION("""COMPUTED_VALUE"""),90.84)</f>
        <v>90.84</v>
      </c>
      <c r="Y154" s="26">
        <f>IFERROR(__xludf.DUMMYFUNCTION("""COMPUTED_VALUE"""),185.0)</f>
        <v>185</v>
      </c>
      <c r="Z154" s="26">
        <f>IFERROR(__xludf.DUMMYFUNCTION("""COMPUTED_VALUE"""),70.11)</f>
        <v>70.11</v>
      </c>
      <c r="AA154" s="26">
        <f>IFERROR(__xludf.DUMMYFUNCTION("""COMPUTED_VALUE"""),446.74)</f>
        <v>446.74</v>
      </c>
      <c r="AB154" s="26">
        <f>IFERROR(__xludf.DUMMYFUNCTION("""COMPUTED_VALUE"""),64.23)</f>
        <v>64.23</v>
      </c>
      <c r="AC154" s="26">
        <f>IFERROR(__xludf.DUMMYFUNCTION("""COMPUTED_VALUE"""),108.01)</f>
        <v>108.01</v>
      </c>
      <c r="AD154" s="26">
        <f>IFERROR(__xludf.DUMMYFUNCTION("""COMPUTED_VALUE"""),277.43)</f>
        <v>277.43</v>
      </c>
      <c r="AE154" s="26">
        <f>IFERROR(__xludf.DUMMYFUNCTION("""COMPUTED_VALUE"""),432.36)</f>
        <v>432.36</v>
      </c>
      <c r="AF154" s="26">
        <f>IFERROR(__xludf.DUMMYFUNCTION("""COMPUTED_VALUE"""),265.22)</f>
        <v>265.22</v>
      </c>
      <c r="AG154" s="26">
        <f>IFERROR(__xludf.DUMMYFUNCTION("""COMPUTED_VALUE"""),51.15)</f>
        <v>51.15</v>
      </c>
      <c r="AH154" s="26">
        <f>IFERROR(__xludf.DUMMYFUNCTION("""COMPUTED_VALUE"""),92.8)</f>
        <v>92.8</v>
      </c>
      <c r="AI154" s="26">
        <f>IFERROR(__xludf.DUMMYFUNCTION("""COMPUTED_VALUE"""),574.68)</f>
        <v>574.68</v>
      </c>
      <c r="AJ154" s="26">
        <f>IFERROR(__xludf.DUMMYFUNCTION("""COMPUTED_VALUE"""),408.47)</f>
        <v>408.47</v>
      </c>
      <c r="AK154" s="26">
        <f>IFERROR(__xludf.DUMMYFUNCTION("""COMPUTED_VALUE"""),120.5)</f>
        <v>120.5</v>
      </c>
      <c r="AL154" s="26">
        <f>IFERROR(__xludf.DUMMYFUNCTION("""COMPUTED_VALUE"""),152.79)</f>
        <v>152.79</v>
      </c>
      <c r="AM154" s="26">
        <f>IFERROR(__xludf.DUMMYFUNCTION("""COMPUTED_VALUE"""),545.16)</f>
        <v>545.16</v>
      </c>
      <c r="AN154" s="26">
        <f>IFERROR(__xludf.DUMMYFUNCTION("""COMPUTED_VALUE"""),238.36)</f>
        <v>238.36</v>
      </c>
      <c r="AO154" s="26">
        <f>IFERROR(__xludf.DUMMYFUNCTION("""COMPUTED_VALUE"""),490.61)</f>
        <v>490.61</v>
      </c>
      <c r="AP154" s="26">
        <f>IFERROR(__xludf.DUMMYFUNCTION("""COMPUTED_VALUE"""),390.59)</f>
        <v>390.59</v>
      </c>
      <c r="AQ154" s="26">
        <f>IFERROR(__xludf.DUMMYFUNCTION("""COMPUTED_VALUE"""),30.73)</f>
        <v>30.73</v>
      </c>
      <c r="AR154" s="26">
        <f>IFERROR(__xludf.DUMMYFUNCTION("""COMPUTED_VALUE"""),81.37)</f>
        <v>81.37</v>
      </c>
      <c r="AS154" s="26">
        <f>IFERROR(__xludf.DUMMYFUNCTION("""COMPUTED_VALUE"""),81.25)</f>
        <v>81.25</v>
      </c>
      <c r="AT154" s="26">
        <f>IFERROR(__xludf.DUMMYFUNCTION("""COMPUTED_VALUE"""),454.46)</f>
        <v>454.46</v>
      </c>
      <c r="AU154" s="26">
        <f>IFERROR(__xludf.DUMMYFUNCTION("""COMPUTED_VALUE"""),72.27)</f>
        <v>72.27</v>
      </c>
      <c r="AV154" s="26">
        <f>IFERROR(__xludf.DUMMYFUNCTION("""COMPUTED_VALUE"""),130.39)</f>
        <v>130.39</v>
      </c>
      <c r="AW154" s="26">
        <f>IFERROR(__xludf.DUMMYFUNCTION("""COMPUTED_VALUE"""),96.34)</f>
        <v>96.34</v>
      </c>
      <c r="AX154" s="26">
        <f>IFERROR(__xludf.DUMMYFUNCTION("""COMPUTED_VALUE"""),56.64)</f>
        <v>56.64</v>
      </c>
      <c r="AY154" s="26">
        <f>IFERROR(__xludf.DUMMYFUNCTION("""COMPUTED_VALUE"""),74.39)</f>
        <v>74.39</v>
      </c>
      <c r="AZ154" s="26">
        <f>IFERROR(__xludf.DUMMYFUNCTION("""COMPUTED_VALUE"""),90.86)</f>
        <v>90.86</v>
      </c>
      <c r="BA154" s="26">
        <f>IFERROR(__xludf.DUMMYFUNCTION("""COMPUTED_VALUE"""),26.43)</f>
        <v>26.43</v>
      </c>
      <c r="BB154" s="26">
        <f>IFERROR(__xludf.DUMMYFUNCTION("""COMPUTED_VALUE"""),117.42)</f>
        <v>117.42</v>
      </c>
      <c r="BC154" s="26">
        <f>IFERROR(__xludf.DUMMYFUNCTION("""COMPUTED_VALUE"""),220.71)</f>
        <v>220.71</v>
      </c>
      <c r="BD154" s="26">
        <f>IFERROR(__xludf.DUMMYFUNCTION("""COMPUTED_VALUE"""),528.84)</f>
        <v>528.84</v>
      </c>
      <c r="BE154" s="26">
        <f>IFERROR(__xludf.DUMMYFUNCTION("""COMPUTED_VALUE"""),173.28)</f>
        <v>173.28</v>
      </c>
      <c r="BF154" s="26">
        <f>IFERROR(__xludf.DUMMYFUNCTION("""COMPUTED_VALUE"""),65.71)</f>
        <v>65.71</v>
      </c>
      <c r="BG154" s="26">
        <f>IFERROR(__xludf.DUMMYFUNCTION("""COMPUTED_VALUE"""),8.65)</f>
        <v>8.65</v>
      </c>
      <c r="BH154" s="26">
        <f>IFERROR(__xludf.DUMMYFUNCTION("""COMPUTED_VALUE"""),229.88)</f>
        <v>229.88</v>
      </c>
      <c r="BI154" s="26">
        <f>IFERROR(__xludf.DUMMYFUNCTION("""COMPUTED_VALUE"""),485.52)</f>
        <v>485.52</v>
      </c>
      <c r="BJ154" s="26">
        <f>IFERROR(__xludf.DUMMYFUNCTION("""COMPUTED_VALUE"""),48.95)</f>
        <v>48.95</v>
      </c>
      <c r="BK154" s="26">
        <f>IFERROR(__xludf.DUMMYFUNCTION("""COMPUTED_VALUE"""),12.59)</f>
        <v>12.59</v>
      </c>
      <c r="BL154" s="26">
        <f>IFERROR(__xludf.DUMMYFUNCTION("""COMPUTED_VALUE"""),209.0)</f>
        <v>209</v>
      </c>
      <c r="BM154" s="26">
        <f>IFERROR(__xludf.DUMMYFUNCTION("""COMPUTED_VALUE"""),113.02)</f>
        <v>113.02</v>
      </c>
    </row>
    <row r="155">
      <c r="A155" s="25">
        <v>45645.66666666667</v>
      </c>
      <c r="B155" s="17">
        <f>IFERROR(__xludf.DUMMYFUNCTION("""COMPUTED_VALUE"""),5872.16)</f>
        <v>5872.16</v>
      </c>
      <c r="C155" s="17">
        <f>IFERROR(__xludf.DUMMYFUNCTION("""COMPUTED_VALUE"""),19392.69)</f>
        <v>19392.69</v>
      </c>
      <c r="D155" s="17">
        <f>IFERROR(__xludf.DUMMYFUNCTION("""COMPUTED_VALUE"""),42326.87)</f>
        <v>42326.87</v>
      </c>
      <c r="E155" s="17">
        <f>IFERROR(__xludf.DUMMYFUNCTION("""COMPUTED_VALUE"""),2231.51)</f>
        <v>2231.51</v>
      </c>
      <c r="F155" s="26">
        <f>IFERROR(__xludf.DUMMYFUNCTION("""COMPUTED_VALUE"""),441.31)</f>
        <v>441.31</v>
      </c>
      <c r="G155" s="26">
        <f>IFERROR(__xludf.DUMMYFUNCTION("""COMPUTED_VALUE"""),220.52)</f>
        <v>220.52</v>
      </c>
      <c r="H155" s="26">
        <f>IFERROR(__xludf.DUMMYFUNCTION("""COMPUTED_VALUE"""),124.43)</f>
        <v>124.43</v>
      </c>
      <c r="I155" s="26">
        <f>IFERROR(__xludf.DUMMYFUNCTION("""COMPUTED_VALUE"""),248.05)</f>
        <v>248.05</v>
      </c>
      <c r="J155" s="26">
        <f>IFERROR(__xludf.DUMMYFUNCTION("""COMPUTED_VALUE"""),165.45)</f>
        <v>165.45</v>
      </c>
      <c r="K155" s="26">
        <f>IFERROR(__xludf.DUMMYFUNCTION("""COMPUTED_VALUE"""),75.82)</f>
        <v>75.82</v>
      </c>
      <c r="L155" s="26">
        <f>IFERROR(__xludf.DUMMYFUNCTION("""COMPUTED_VALUE"""),12.98)</f>
        <v>12.98</v>
      </c>
      <c r="M155" s="26">
        <f>IFERROR(__xludf.DUMMYFUNCTION("""COMPUTED_VALUE"""),446.59)</f>
        <v>446.59</v>
      </c>
      <c r="N155" s="26">
        <f>IFERROR(__xludf.DUMMYFUNCTION("""COMPUTED_VALUE"""),49.4)</f>
        <v>49.4</v>
      </c>
      <c r="O155" s="26">
        <f>IFERROR(__xludf.DUMMYFUNCTION("""COMPUTED_VALUE"""),146.79)</f>
        <v>146.79</v>
      </c>
      <c r="P155" s="26">
        <f>IFERROR(__xludf.DUMMYFUNCTION("""COMPUTED_VALUE"""),67.03)</f>
        <v>67.03</v>
      </c>
      <c r="Q155" s="26">
        <f>IFERROR(__xludf.DUMMYFUNCTION("""COMPUTED_VALUE"""),363.89)</f>
        <v>363.89</v>
      </c>
      <c r="R155" s="26">
        <f>IFERROR(__xludf.DUMMYFUNCTION("""COMPUTED_VALUE"""),51.93)</f>
        <v>51.93</v>
      </c>
      <c r="S155" s="26">
        <f>IFERROR(__xludf.DUMMYFUNCTION("""COMPUTED_VALUE"""),181.09)</f>
        <v>181.09</v>
      </c>
      <c r="T155" s="26">
        <f>IFERROR(__xludf.DUMMYFUNCTION("""COMPUTED_VALUE"""),144.08)</f>
        <v>144.08</v>
      </c>
      <c r="U155" s="26">
        <f>IFERROR(__xludf.DUMMYFUNCTION("""COMPUTED_VALUE"""),282.41)</f>
        <v>282.41</v>
      </c>
      <c r="V155" s="26">
        <f>IFERROR(__xludf.DUMMYFUNCTION("""COMPUTED_VALUE"""),42.66)</f>
        <v>42.66</v>
      </c>
      <c r="W155" s="26">
        <f>IFERROR(__xludf.DUMMYFUNCTION("""COMPUTED_VALUE"""),62.85)</f>
        <v>62.85</v>
      </c>
      <c r="X155" s="26">
        <f>IFERROR(__xludf.DUMMYFUNCTION("""COMPUTED_VALUE"""),88.87)</f>
        <v>88.87</v>
      </c>
      <c r="Y155" s="26">
        <f>IFERROR(__xludf.DUMMYFUNCTION("""COMPUTED_VALUE"""),176.96)</f>
        <v>176.96</v>
      </c>
      <c r="Z155" s="26">
        <f>IFERROR(__xludf.DUMMYFUNCTION("""COMPUTED_VALUE"""),69.27)</f>
        <v>69.27</v>
      </c>
      <c r="AA155" s="26">
        <f>IFERROR(__xludf.DUMMYFUNCTION("""COMPUTED_VALUE"""),430.71)</f>
        <v>430.71</v>
      </c>
      <c r="AB155" s="26">
        <f>IFERROR(__xludf.DUMMYFUNCTION("""COMPUTED_VALUE"""),64.11)</f>
        <v>64.11</v>
      </c>
      <c r="AC155" s="26">
        <f>IFERROR(__xludf.DUMMYFUNCTION("""COMPUTED_VALUE"""),106.42)</f>
        <v>106.42</v>
      </c>
      <c r="AD155" s="26">
        <f>IFERROR(__xludf.DUMMYFUNCTION("""COMPUTED_VALUE"""),273.16)</f>
        <v>273.16</v>
      </c>
      <c r="AE155" s="26">
        <f>IFERROR(__xludf.DUMMYFUNCTION("""COMPUTED_VALUE"""),422.83)</f>
        <v>422.83</v>
      </c>
      <c r="AF155" s="26">
        <f>IFERROR(__xludf.DUMMYFUNCTION("""COMPUTED_VALUE"""),262.27)</f>
        <v>262.27</v>
      </c>
      <c r="AG155" s="26">
        <f>IFERROR(__xludf.DUMMYFUNCTION("""COMPUTED_VALUE"""),49.99)</f>
        <v>49.99</v>
      </c>
      <c r="AH155" s="26">
        <f>IFERROR(__xludf.DUMMYFUNCTION("""COMPUTED_VALUE"""),90.69)</f>
        <v>90.69</v>
      </c>
      <c r="AI155" s="26">
        <f>IFERROR(__xludf.DUMMYFUNCTION("""COMPUTED_VALUE"""),550.25)</f>
        <v>550.25</v>
      </c>
      <c r="AJ155" s="26">
        <f>IFERROR(__xludf.DUMMYFUNCTION("""COMPUTED_VALUE"""),393.82)</f>
        <v>393.82</v>
      </c>
      <c r="AK155" s="26">
        <f>IFERROR(__xludf.DUMMYFUNCTION("""COMPUTED_VALUE"""),119.1)</f>
        <v>119.1</v>
      </c>
      <c r="AL155" s="26">
        <f>IFERROR(__xludf.DUMMYFUNCTION("""COMPUTED_VALUE"""),149.6)</f>
        <v>149.6</v>
      </c>
      <c r="AM155" s="26">
        <f>IFERROR(__xludf.DUMMYFUNCTION("""COMPUTED_VALUE"""),526.47)</f>
        <v>526.47</v>
      </c>
      <c r="AN155" s="26">
        <f>IFERROR(__xludf.DUMMYFUNCTION("""COMPUTED_VALUE"""),230.37)</f>
        <v>230.37</v>
      </c>
      <c r="AO155" s="26">
        <f>IFERROR(__xludf.DUMMYFUNCTION("""COMPUTED_VALUE"""),482.94)</f>
        <v>482.94</v>
      </c>
      <c r="AP155" s="26">
        <f>IFERROR(__xludf.DUMMYFUNCTION("""COMPUTED_VALUE"""),372.07)</f>
        <v>372.07</v>
      </c>
      <c r="AQ155" s="26">
        <f>IFERROR(__xludf.DUMMYFUNCTION("""COMPUTED_VALUE"""),29.7)</f>
        <v>29.7</v>
      </c>
      <c r="AR155" s="26">
        <f>IFERROR(__xludf.DUMMYFUNCTION("""COMPUTED_VALUE"""),80.03)</f>
        <v>80.03</v>
      </c>
      <c r="AS155" s="26">
        <f>IFERROR(__xludf.DUMMYFUNCTION("""COMPUTED_VALUE"""),78.79)</f>
        <v>78.79</v>
      </c>
      <c r="AT155" s="26">
        <f>IFERROR(__xludf.DUMMYFUNCTION("""COMPUTED_VALUE"""),437.39)</f>
        <v>437.39</v>
      </c>
      <c r="AU155" s="26">
        <f>IFERROR(__xludf.DUMMYFUNCTION("""COMPUTED_VALUE"""),70.52)</f>
        <v>70.52</v>
      </c>
      <c r="AV155" s="26">
        <f>IFERROR(__xludf.DUMMYFUNCTION("""COMPUTED_VALUE"""),128.91)</f>
        <v>128.91</v>
      </c>
      <c r="AW155" s="26">
        <f>IFERROR(__xludf.DUMMYFUNCTION("""COMPUTED_VALUE"""),93.85)</f>
        <v>93.85</v>
      </c>
      <c r="AX155" s="26">
        <f>IFERROR(__xludf.DUMMYFUNCTION("""COMPUTED_VALUE"""),54.76)</f>
        <v>54.76</v>
      </c>
      <c r="AY155" s="26">
        <f>IFERROR(__xludf.DUMMYFUNCTION("""COMPUTED_VALUE"""),71.51)</f>
        <v>71.51</v>
      </c>
      <c r="AZ155" s="26">
        <f>IFERROR(__xludf.DUMMYFUNCTION("""COMPUTED_VALUE"""),85.45)</f>
        <v>85.45</v>
      </c>
      <c r="BA155" s="26">
        <f>IFERROR(__xludf.DUMMYFUNCTION("""COMPUTED_VALUE"""),25.89)</f>
        <v>25.89</v>
      </c>
      <c r="BB155" s="26">
        <f>IFERROR(__xludf.DUMMYFUNCTION("""COMPUTED_VALUE"""),114.45)</f>
        <v>114.45</v>
      </c>
      <c r="BC155" s="26">
        <f>IFERROR(__xludf.DUMMYFUNCTION("""COMPUTED_VALUE"""),220.69)</f>
        <v>220.69</v>
      </c>
      <c r="BD155" s="26">
        <f>IFERROR(__xludf.DUMMYFUNCTION("""COMPUTED_VALUE"""),516.18)</f>
        <v>516.18</v>
      </c>
      <c r="BE155" s="26">
        <f>IFERROR(__xludf.DUMMYFUNCTION("""COMPUTED_VALUE"""),173.62)</f>
        <v>173.62</v>
      </c>
      <c r="BF155" s="26">
        <f>IFERROR(__xludf.DUMMYFUNCTION("""COMPUTED_VALUE"""),60.88)</f>
        <v>60.88</v>
      </c>
      <c r="BG155" s="26">
        <f>IFERROR(__xludf.DUMMYFUNCTION("""COMPUTED_VALUE"""),8.47)</f>
        <v>8.47</v>
      </c>
      <c r="BH155" s="26">
        <f>IFERROR(__xludf.DUMMYFUNCTION("""COMPUTED_VALUE"""),224.54)</f>
        <v>224.54</v>
      </c>
      <c r="BI155" s="26">
        <f>IFERROR(__xludf.DUMMYFUNCTION("""COMPUTED_VALUE"""),499.72)</f>
        <v>499.72</v>
      </c>
      <c r="BJ155" s="26">
        <f>IFERROR(__xludf.DUMMYFUNCTION("""COMPUTED_VALUE"""),48.83)</f>
        <v>48.83</v>
      </c>
      <c r="BK155" s="26">
        <f>IFERROR(__xludf.DUMMYFUNCTION("""COMPUTED_VALUE"""),12.26)</f>
        <v>12.26</v>
      </c>
      <c r="BL155" s="26">
        <f>IFERROR(__xludf.DUMMYFUNCTION("""COMPUTED_VALUE"""),205.43)</f>
        <v>205.43</v>
      </c>
      <c r="BM155" s="26">
        <f>IFERROR(__xludf.DUMMYFUNCTION("""COMPUTED_VALUE"""),111.35)</f>
        <v>111.35</v>
      </c>
    </row>
    <row r="156">
      <c r="A156" s="25">
        <v>45646.66666666667</v>
      </c>
      <c r="B156" s="17">
        <f>IFERROR(__xludf.DUMMYFUNCTION("""COMPUTED_VALUE"""),5867.08)</f>
        <v>5867.08</v>
      </c>
      <c r="C156" s="17">
        <f>IFERROR(__xludf.DUMMYFUNCTION("""COMPUTED_VALUE"""),19372.77)</f>
        <v>19372.77</v>
      </c>
      <c r="D156" s="17">
        <f>IFERROR(__xludf.DUMMYFUNCTION("""COMPUTED_VALUE"""),42342.24)</f>
        <v>42342.24</v>
      </c>
      <c r="E156" s="17">
        <f>IFERROR(__xludf.DUMMYFUNCTION("""COMPUTED_VALUE"""),2221.5)</f>
        <v>2221.5</v>
      </c>
      <c r="F156" s="26">
        <f>IFERROR(__xludf.DUMMYFUNCTION("""COMPUTED_VALUE"""),437.39)</f>
        <v>437.39</v>
      </c>
      <c r="G156" s="26">
        <f>IFERROR(__xludf.DUMMYFUNCTION("""COMPUTED_VALUE"""),223.29)</f>
        <v>223.29</v>
      </c>
      <c r="H156" s="26">
        <f>IFERROR(__xludf.DUMMYFUNCTION("""COMPUTED_VALUE"""),123.83)</f>
        <v>123.83</v>
      </c>
      <c r="I156" s="26">
        <f>IFERROR(__xludf.DUMMYFUNCTION("""COMPUTED_VALUE"""),249.79)</f>
        <v>249.79</v>
      </c>
      <c r="J156" s="26">
        <f>IFERROR(__xludf.DUMMYFUNCTION("""COMPUTED_VALUE"""),161.44)</f>
        <v>161.44</v>
      </c>
      <c r="K156" s="26">
        <f>IFERROR(__xludf.DUMMYFUNCTION("""COMPUTED_VALUE"""),76.41)</f>
        <v>76.41</v>
      </c>
      <c r="L156" s="26">
        <f>IFERROR(__xludf.DUMMYFUNCTION("""COMPUTED_VALUE"""),12.92)</f>
        <v>12.92</v>
      </c>
      <c r="M156" s="26">
        <f>IFERROR(__xludf.DUMMYFUNCTION("""COMPUTED_VALUE"""),449.34)</f>
        <v>449.34</v>
      </c>
      <c r="N156" s="26">
        <f>IFERROR(__xludf.DUMMYFUNCTION("""COMPUTED_VALUE"""),48.94)</f>
        <v>48.94</v>
      </c>
      <c r="O156" s="26">
        <f>IFERROR(__xludf.DUMMYFUNCTION("""COMPUTED_VALUE"""),147.39)</f>
        <v>147.39</v>
      </c>
      <c r="P156" s="26">
        <f>IFERROR(__xludf.DUMMYFUNCTION("""COMPUTED_VALUE"""),66.69)</f>
        <v>66.69</v>
      </c>
      <c r="Q156" s="26">
        <f>IFERROR(__xludf.DUMMYFUNCTION("""COMPUTED_VALUE"""),360.37)</f>
        <v>360.37</v>
      </c>
      <c r="R156" s="26">
        <f>IFERROR(__xludf.DUMMYFUNCTION("""COMPUTED_VALUE"""),52.91)</f>
        <v>52.91</v>
      </c>
      <c r="S156" s="26">
        <f>IFERROR(__xludf.DUMMYFUNCTION("""COMPUTED_VALUE"""),187.01)</f>
        <v>187.01</v>
      </c>
      <c r="T156" s="26">
        <f>IFERROR(__xludf.DUMMYFUNCTION("""COMPUTED_VALUE"""),141.15)</f>
        <v>141.15</v>
      </c>
      <c r="U156" s="26">
        <f>IFERROR(__xludf.DUMMYFUNCTION("""COMPUTED_VALUE"""),274.8)</f>
        <v>274.8</v>
      </c>
      <c r="V156" s="26">
        <f>IFERROR(__xludf.DUMMYFUNCTION("""COMPUTED_VALUE"""),42.45)</f>
        <v>42.45</v>
      </c>
      <c r="W156" s="26">
        <f>IFERROR(__xludf.DUMMYFUNCTION("""COMPUTED_VALUE"""),62.45)</f>
        <v>62.45</v>
      </c>
      <c r="X156" s="26">
        <f>IFERROR(__xludf.DUMMYFUNCTION("""COMPUTED_VALUE"""),89.07)</f>
        <v>89.07</v>
      </c>
      <c r="Y156" s="26">
        <f>IFERROR(__xludf.DUMMYFUNCTION("""COMPUTED_VALUE"""),176.81)</f>
        <v>176.81</v>
      </c>
      <c r="Z156" s="26">
        <f>IFERROR(__xludf.DUMMYFUNCTION("""COMPUTED_VALUE"""),69.06)</f>
        <v>69.06</v>
      </c>
      <c r="AA156" s="26">
        <f>IFERROR(__xludf.DUMMYFUNCTION("""COMPUTED_VALUE"""),427.64)</f>
        <v>427.64</v>
      </c>
      <c r="AB156" s="26">
        <f>IFERROR(__xludf.DUMMYFUNCTION("""COMPUTED_VALUE"""),63.95)</f>
        <v>63.95</v>
      </c>
      <c r="AC156" s="26">
        <f>IFERROR(__xludf.DUMMYFUNCTION("""COMPUTED_VALUE"""),105.51)</f>
        <v>105.51</v>
      </c>
      <c r="AD156" s="26">
        <f>IFERROR(__xludf.DUMMYFUNCTION("""COMPUTED_VALUE"""),275.88)</f>
        <v>275.88</v>
      </c>
      <c r="AE156" s="26">
        <f>IFERROR(__xludf.DUMMYFUNCTION("""COMPUTED_VALUE"""),425.3)</f>
        <v>425.3</v>
      </c>
      <c r="AF156" s="26">
        <f>IFERROR(__xludf.DUMMYFUNCTION("""COMPUTED_VALUE"""),260.28)</f>
        <v>260.28</v>
      </c>
      <c r="AG156" s="26">
        <f>IFERROR(__xludf.DUMMYFUNCTION("""COMPUTED_VALUE"""),50.34)</f>
        <v>50.34</v>
      </c>
      <c r="AH156" s="26">
        <f>IFERROR(__xludf.DUMMYFUNCTION("""COMPUTED_VALUE"""),91.09)</f>
        <v>91.09</v>
      </c>
      <c r="AI156" s="26">
        <f>IFERROR(__xludf.DUMMYFUNCTION("""COMPUTED_VALUE"""),553.99)</f>
        <v>553.99</v>
      </c>
      <c r="AJ156" s="26">
        <f>IFERROR(__xludf.DUMMYFUNCTION("""COMPUTED_VALUE"""),385.02)</f>
        <v>385.02</v>
      </c>
      <c r="AK156" s="26">
        <f>IFERROR(__xludf.DUMMYFUNCTION("""COMPUTED_VALUE"""),120.17)</f>
        <v>120.17</v>
      </c>
      <c r="AL156" s="26">
        <f>IFERROR(__xludf.DUMMYFUNCTION("""COMPUTED_VALUE"""),148.29)</f>
        <v>148.29</v>
      </c>
      <c r="AM156" s="26">
        <f>IFERROR(__xludf.DUMMYFUNCTION("""COMPUTED_VALUE"""),523.91)</f>
        <v>523.91</v>
      </c>
      <c r="AN156" s="26">
        <f>IFERROR(__xludf.DUMMYFUNCTION("""COMPUTED_VALUE"""),232.96)</f>
        <v>232.96</v>
      </c>
      <c r="AO156" s="26">
        <f>IFERROR(__xludf.DUMMYFUNCTION("""COMPUTED_VALUE"""),479.66)</f>
        <v>479.66</v>
      </c>
      <c r="AP156" s="26">
        <f>IFERROR(__xludf.DUMMYFUNCTION("""COMPUTED_VALUE"""),373.54)</f>
        <v>373.54</v>
      </c>
      <c r="AQ156" s="26">
        <f>IFERROR(__xludf.DUMMYFUNCTION("""COMPUTED_VALUE"""),30.08)</f>
        <v>30.08</v>
      </c>
      <c r="AR156" s="26">
        <f>IFERROR(__xludf.DUMMYFUNCTION("""COMPUTED_VALUE"""),79.99)</f>
        <v>79.99</v>
      </c>
      <c r="AS156" s="26">
        <f>IFERROR(__xludf.DUMMYFUNCTION("""COMPUTED_VALUE"""),80.11)</f>
        <v>80.11</v>
      </c>
      <c r="AT156" s="26">
        <f>IFERROR(__xludf.DUMMYFUNCTION("""COMPUTED_VALUE"""),437.03)</f>
        <v>437.03</v>
      </c>
      <c r="AU156" s="26">
        <f>IFERROR(__xludf.DUMMYFUNCTION("""COMPUTED_VALUE"""),69.77)</f>
        <v>69.77</v>
      </c>
      <c r="AV156" s="26">
        <f>IFERROR(__xludf.DUMMYFUNCTION("""COMPUTED_VALUE"""),130.68)</f>
        <v>130.68</v>
      </c>
      <c r="AW156" s="26">
        <f>IFERROR(__xludf.DUMMYFUNCTION("""COMPUTED_VALUE"""),92.87)</f>
        <v>92.87</v>
      </c>
      <c r="AX156" s="26">
        <f>IFERROR(__xludf.DUMMYFUNCTION("""COMPUTED_VALUE"""),55.14)</f>
        <v>55.14</v>
      </c>
      <c r="AY156" s="26">
        <f>IFERROR(__xludf.DUMMYFUNCTION("""COMPUTED_VALUE"""),74.21)</f>
        <v>74.21</v>
      </c>
      <c r="AZ156" s="26">
        <f>IFERROR(__xludf.DUMMYFUNCTION("""COMPUTED_VALUE"""),86.78)</f>
        <v>86.78</v>
      </c>
      <c r="BA156" s="26">
        <f>IFERROR(__xludf.DUMMYFUNCTION("""COMPUTED_VALUE"""),25.77)</f>
        <v>25.77</v>
      </c>
      <c r="BB156" s="26">
        <f>IFERROR(__xludf.DUMMYFUNCTION("""COMPUTED_VALUE"""),115.46)</f>
        <v>115.46</v>
      </c>
      <c r="BC156" s="26">
        <f>IFERROR(__xludf.DUMMYFUNCTION("""COMPUTED_VALUE"""),218.0)</f>
        <v>218</v>
      </c>
      <c r="BD156" s="26">
        <f>IFERROR(__xludf.DUMMYFUNCTION("""COMPUTED_VALUE"""),516.69)</f>
        <v>516.69</v>
      </c>
      <c r="BE156" s="26">
        <f>IFERROR(__xludf.DUMMYFUNCTION("""COMPUTED_VALUE"""),174.21)</f>
        <v>174.21</v>
      </c>
      <c r="BF156" s="26">
        <f>IFERROR(__xludf.DUMMYFUNCTION("""COMPUTED_VALUE"""),60.53)</f>
        <v>60.53</v>
      </c>
      <c r="BG156" s="26">
        <f>IFERROR(__xludf.DUMMYFUNCTION("""COMPUTED_VALUE"""),8.42)</f>
        <v>8.42</v>
      </c>
      <c r="BH156" s="26">
        <f>IFERROR(__xludf.DUMMYFUNCTION("""COMPUTED_VALUE"""),223.15)</f>
        <v>223.15</v>
      </c>
      <c r="BI156" s="26">
        <f>IFERROR(__xludf.DUMMYFUNCTION("""COMPUTED_VALUE"""),489.25)</f>
        <v>489.25</v>
      </c>
      <c r="BJ156" s="26">
        <f>IFERROR(__xludf.DUMMYFUNCTION("""COMPUTED_VALUE"""),48.79)</f>
        <v>48.79</v>
      </c>
      <c r="BK156" s="26">
        <f>IFERROR(__xludf.DUMMYFUNCTION("""COMPUTED_VALUE"""),12.13)</f>
        <v>12.13</v>
      </c>
      <c r="BL156" s="26">
        <f>IFERROR(__xludf.DUMMYFUNCTION("""COMPUTED_VALUE"""),205.53)</f>
        <v>205.53</v>
      </c>
      <c r="BM156" s="26">
        <f>IFERROR(__xludf.DUMMYFUNCTION("""COMPUTED_VALUE"""),111.37)</f>
        <v>111.37</v>
      </c>
    </row>
    <row r="157">
      <c r="A157" s="25">
        <v>45649.66666666667</v>
      </c>
      <c r="B157" s="17">
        <f>IFERROR(__xludf.DUMMYFUNCTION("""COMPUTED_VALUE"""),5930.85)</f>
        <v>5930.85</v>
      </c>
      <c r="C157" s="17">
        <f>IFERROR(__xludf.DUMMYFUNCTION("""COMPUTED_VALUE"""),19572.6)</f>
        <v>19572.6</v>
      </c>
      <c r="D157" s="17">
        <f>IFERROR(__xludf.DUMMYFUNCTION("""COMPUTED_VALUE"""),42840.26)</f>
        <v>42840.26</v>
      </c>
      <c r="E157" s="17">
        <f>IFERROR(__xludf.DUMMYFUNCTION("""COMPUTED_VALUE"""),2242.37)</f>
        <v>2242.37</v>
      </c>
      <c r="F157" s="26">
        <f>IFERROR(__xludf.DUMMYFUNCTION("""COMPUTED_VALUE"""),447.17)</f>
        <v>447.17</v>
      </c>
      <c r="G157" s="26">
        <f>IFERROR(__xludf.DUMMYFUNCTION("""COMPUTED_VALUE"""),224.92)</f>
        <v>224.92</v>
      </c>
      <c r="H157" s="26">
        <f>IFERROR(__xludf.DUMMYFUNCTION("""COMPUTED_VALUE"""),125.92)</f>
        <v>125.92</v>
      </c>
      <c r="I157" s="26">
        <f>IFERROR(__xludf.DUMMYFUNCTION("""COMPUTED_VALUE"""),254.49)</f>
        <v>254.49</v>
      </c>
      <c r="J157" s="26">
        <f>IFERROR(__xludf.DUMMYFUNCTION("""COMPUTED_VALUE"""),163.59)</f>
        <v>163.59</v>
      </c>
      <c r="K157" s="26">
        <f>IFERROR(__xludf.DUMMYFUNCTION("""COMPUTED_VALUE"""),77.62)</f>
        <v>77.62</v>
      </c>
      <c r="L157" s="26">
        <f>IFERROR(__xludf.DUMMYFUNCTION("""COMPUTED_VALUE"""),13.08)</f>
        <v>13.08</v>
      </c>
      <c r="M157" s="26">
        <f>IFERROR(__xludf.DUMMYFUNCTION("""COMPUTED_VALUE"""),453.2)</f>
        <v>453.2</v>
      </c>
      <c r="N157" s="26">
        <f>IFERROR(__xludf.DUMMYFUNCTION("""COMPUTED_VALUE"""),49.2)</f>
        <v>49.2</v>
      </c>
      <c r="O157" s="26">
        <f>IFERROR(__xludf.DUMMYFUNCTION("""COMPUTED_VALUE"""),146.47)</f>
        <v>146.47</v>
      </c>
      <c r="P157" s="26">
        <f>IFERROR(__xludf.DUMMYFUNCTION("""COMPUTED_VALUE"""),68.49)</f>
        <v>68.49</v>
      </c>
      <c r="Q157" s="26">
        <f>IFERROR(__xludf.DUMMYFUNCTION("""COMPUTED_VALUE"""),366.04)</f>
        <v>366.04</v>
      </c>
      <c r="R157" s="26">
        <f>IFERROR(__xludf.DUMMYFUNCTION("""COMPUTED_VALUE"""),52.44)</f>
        <v>52.44</v>
      </c>
      <c r="S157" s="26">
        <f>IFERROR(__xludf.DUMMYFUNCTION("""COMPUTED_VALUE"""),188.05)</f>
        <v>188.05</v>
      </c>
      <c r="T157" s="26">
        <f>IFERROR(__xludf.DUMMYFUNCTION("""COMPUTED_VALUE"""),142.85)</f>
        <v>142.85</v>
      </c>
      <c r="U157" s="26">
        <f>IFERROR(__xludf.DUMMYFUNCTION("""COMPUTED_VALUE"""),276.92)</f>
        <v>276.92</v>
      </c>
      <c r="V157" s="26">
        <f>IFERROR(__xludf.DUMMYFUNCTION("""COMPUTED_VALUE"""),43.45)</f>
        <v>43.45</v>
      </c>
      <c r="W157" s="26">
        <f>IFERROR(__xludf.DUMMYFUNCTION("""COMPUTED_VALUE"""),62.55)</f>
        <v>62.55</v>
      </c>
      <c r="X157" s="26">
        <f>IFERROR(__xludf.DUMMYFUNCTION("""COMPUTED_VALUE"""),90.03)</f>
        <v>90.03</v>
      </c>
      <c r="Y157" s="26">
        <f>IFERROR(__xludf.DUMMYFUNCTION("""COMPUTED_VALUE"""),178.57)</f>
        <v>178.57</v>
      </c>
      <c r="Z157" s="26">
        <f>IFERROR(__xludf.DUMMYFUNCTION("""COMPUTED_VALUE"""),72.94)</f>
        <v>72.94</v>
      </c>
      <c r="AA157" s="26">
        <f>IFERROR(__xludf.DUMMYFUNCTION("""COMPUTED_VALUE"""),426.18)</f>
        <v>426.18</v>
      </c>
      <c r="AB157" s="26">
        <f>IFERROR(__xludf.DUMMYFUNCTION("""COMPUTED_VALUE"""),65.01)</f>
        <v>65.01</v>
      </c>
      <c r="AC157" s="26">
        <f>IFERROR(__xludf.DUMMYFUNCTION("""COMPUTED_VALUE"""),105.87)</f>
        <v>105.87</v>
      </c>
      <c r="AD157" s="26">
        <f>IFERROR(__xludf.DUMMYFUNCTION("""COMPUTED_VALUE"""),275.73)</f>
        <v>275.73</v>
      </c>
      <c r="AE157" s="26">
        <f>IFERROR(__xludf.DUMMYFUNCTION("""COMPUTED_VALUE"""),426.93)</f>
        <v>426.93</v>
      </c>
      <c r="AF157" s="26">
        <f>IFERROR(__xludf.DUMMYFUNCTION("""COMPUTED_VALUE"""),263.64)</f>
        <v>263.64</v>
      </c>
      <c r="AG157" s="26">
        <f>IFERROR(__xludf.DUMMYFUNCTION("""COMPUTED_VALUE"""),51.81)</f>
        <v>51.81</v>
      </c>
      <c r="AH157" s="26">
        <f>IFERROR(__xludf.DUMMYFUNCTION("""COMPUTED_VALUE"""),92.57)</f>
        <v>92.57</v>
      </c>
      <c r="AI157" s="26">
        <f>IFERROR(__xludf.DUMMYFUNCTION("""COMPUTED_VALUE"""),566.1)</f>
        <v>566.1</v>
      </c>
      <c r="AJ157" s="26">
        <f>IFERROR(__xludf.DUMMYFUNCTION("""COMPUTED_VALUE"""),392.6)</f>
        <v>392.6</v>
      </c>
      <c r="AK157" s="26">
        <f>IFERROR(__xludf.DUMMYFUNCTION("""COMPUTED_VALUE"""),121.95)</f>
        <v>121.95</v>
      </c>
      <c r="AL157" s="26">
        <f>IFERROR(__xludf.DUMMYFUNCTION("""COMPUTED_VALUE"""),150.31)</f>
        <v>150.31</v>
      </c>
      <c r="AM157" s="26">
        <f>IFERROR(__xludf.DUMMYFUNCTION("""COMPUTED_VALUE"""),524.43)</f>
        <v>524.43</v>
      </c>
      <c r="AN157" s="26">
        <f>IFERROR(__xludf.DUMMYFUNCTION("""COMPUTED_VALUE"""),237.6)</f>
        <v>237.6</v>
      </c>
      <c r="AO157" s="26">
        <f>IFERROR(__xludf.DUMMYFUNCTION("""COMPUTED_VALUE"""),489.02)</f>
        <v>489.02</v>
      </c>
      <c r="AP157" s="26">
        <f>IFERROR(__xludf.DUMMYFUNCTION("""COMPUTED_VALUE"""),379.42)</f>
        <v>379.42</v>
      </c>
      <c r="AQ157" s="26">
        <f>IFERROR(__xludf.DUMMYFUNCTION("""COMPUTED_VALUE"""),30.33)</f>
        <v>30.33</v>
      </c>
      <c r="AR157" s="26">
        <f>IFERROR(__xludf.DUMMYFUNCTION("""COMPUTED_VALUE"""),81.03)</f>
        <v>81.03</v>
      </c>
      <c r="AS157" s="26">
        <f>IFERROR(__xludf.DUMMYFUNCTION("""COMPUTED_VALUE"""),81.36)</f>
        <v>81.36</v>
      </c>
      <c r="AT157" s="26">
        <f>IFERROR(__xludf.DUMMYFUNCTION("""COMPUTED_VALUE"""),436.6)</f>
        <v>436.6</v>
      </c>
      <c r="AU157" s="26">
        <f>IFERROR(__xludf.DUMMYFUNCTION("""COMPUTED_VALUE"""),71.67)</f>
        <v>71.67</v>
      </c>
      <c r="AV157" s="26">
        <f>IFERROR(__xludf.DUMMYFUNCTION("""COMPUTED_VALUE"""),134.7)</f>
        <v>134.7</v>
      </c>
      <c r="AW157" s="26">
        <f>IFERROR(__xludf.DUMMYFUNCTION("""COMPUTED_VALUE"""),93.56)</f>
        <v>93.56</v>
      </c>
      <c r="AX157" s="26">
        <f>IFERROR(__xludf.DUMMYFUNCTION("""COMPUTED_VALUE"""),57.14)</f>
        <v>57.14</v>
      </c>
      <c r="AY157" s="26">
        <f>IFERROR(__xludf.DUMMYFUNCTION("""COMPUTED_VALUE"""),80.55)</f>
        <v>80.55</v>
      </c>
      <c r="AZ157" s="26">
        <f>IFERROR(__xludf.DUMMYFUNCTION("""COMPUTED_VALUE"""),87.13)</f>
        <v>87.13</v>
      </c>
      <c r="BA157" s="26">
        <f>IFERROR(__xludf.DUMMYFUNCTION("""COMPUTED_VALUE"""),26.36)</f>
        <v>26.36</v>
      </c>
      <c r="BB157" s="26">
        <f>IFERROR(__xludf.DUMMYFUNCTION("""COMPUTED_VALUE"""),116.48)</f>
        <v>116.48</v>
      </c>
      <c r="BC157" s="26">
        <f>IFERROR(__xludf.DUMMYFUNCTION("""COMPUTED_VALUE"""),220.31)</f>
        <v>220.31</v>
      </c>
      <c r="BD157" s="26">
        <f>IFERROR(__xludf.DUMMYFUNCTION("""COMPUTED_VALUE"""),524.05)</f>
        <v>524.05</v>
      </c>
      <c r="BE157" s="26">
        <f>IFERROR(__xludf.DUMMYFUNCTION("""COMPUTED_VALUE"""),178.17)</f>
        <v>178.17</v>
      </c>
      <c r="BF157" s="26">
        <f>IFERROR(__xludf.DUMMYFUNCTION("""COMPUTED_VALUE"""),61.7)</f>
        <v>61.7</v>
      </c>
      <c r="BG157" s="26">
        <f>IFERROR(__xludf.DUMMYFUNCTION("""COMPUTED_VALUE"""),8.62)</f>
        <v>8.62</v>
      </c>
      <c r="BH157" s="26">
        <f>IFERROR(__xludf.DUMMYFUNCTION("""COMPUTED_VALUE"""),226.32)</f>
        <v>226.32</v>
      </c>
      <c r="BI157" s="26">
        <f>IFERROR(__xludf.DUMMYFUNCTION("""COMPUTED_VALUE"""),500.13)</f>
        <v>500.13</v>
      </c>
      <c r="BJ157" s="26">
        <f>IFERROR(__xludf.DUMMYFUNCTION("""COMPUTED_VALUE"""),48.84)</f>
        <v>48.84</v>
      </c>
      <c r="BK157" s="26">
        <f>IFERROR(__xludf.DUMMYFUNCTION("""COMPUTED_VALUE"""),12.52)</f>
        <v>12.52</v>
      </c>
      <c r="BL157" s="26">
        <f>IFERROR(__xludf.DUMMYFUNCTION("""COMPUTED_VALUE"""),205.83)</f>
        <v>205.83</v>
      </c>
      <c r="BM157" s="26">
        <f>IFERROR(__xludf.DUMMYFUNCTION("""COMPUTED_VALUE"""),112.03)</f>
        <v>112.03</v>
      </c>
    </row>
    <row r="158">
      <c r="A158" s="25">
        <v>45650.54513888889</v>
      </c>
      <c r="B158" s="17">
        <f>IFERROR(__xludf.DUMMYFUNCTION("""COMPUTED_VALUE"""),5974.07)</f>
        <v>5974.07</v>
      </c>
      <c r="C158" s="17">
        <f>IFERROR(__xludf.DUMMYFUNCTION("""COMPUTED_VALUE"""),19764.88)</f>
        <v>19764.88</v>
      </c>
      <c r="D158" s="17">
        <f>IFERROR(__xludf.DUMMYFUNCTION("""COMPUTED_VALUE"""),42906.95)</f>
        <v>42906.95</v>
      </c>
      <c r="E158" s="17">
        <f>IFERROR(__xludf.DUMMYFUNCTION("""COMPUTED_VALUE"""),2237.44)</f>
        <v>2237.44</v>
      </c>
      <c r="F158" s="26">
        <f>IFERROR(__xludf.DUMMYFUNCTION("""COMPUTED_VALUE"""),446.74)</f>
        <v>446.74</v>
      </c>
      <c r="G158" s="26">
        <f>IFERROR(__xludf.DUMMYFUNCTION("""COMPUTED_VALUE"""),225.06)</f>
        <v>225.06</v>
      </c>
      <c r="H158" s="26">
        <f>IFERROR(__xludf.DUMMYFUNCTION("""COMPUTED_VALUE"""),125.98)</f>
        <v>125.98</v>
      </c>
      <c r="I158" s="26">
        <f>IFERROR(__xludf.DUMMYFUNCTION("""COMPUTED_VALUE"""),255.27)</f>
        <v>255.27</v>
      </c>
      <c r="J158" s="26">
        <f>IFERROR(__xludf.DUMMYFUNCTION("""COMPUTED_VALUE"""),167.46)</f>
        <v>167.46</v>
      </c>
      <c r="K158" s="26">
        <f>IFERROR(__xludf.DUMMYFUNCTION("""COMPUTED_VALUE"""),77.57)</f>
        <v>77.57</v>
      </c>
      <c r="L158" s="26">
        <f>IFERROR(__xludf.DUMMYFUNCTION("""COMPUTED_VALUE"""),13.19)</f>
        <v>13.19</v>
      </c>
      <c r="M158" s="26">
        <f>IFERROR(__xludf.DUMMYFUNCTION("""COMPUTED_VALUE"""),454.35)</f>
        <v>454.35</v>
      </c>
      <c r="N158" s="26">
        <f>IFERROR(__xludf.DUMMYFUNCTION("""COMPUTED_VALUE"""),49.41)</f>
        <v>49.41</v>
      </c>
      <c r="O158" s="26">
        <f>IFERROR(__xludf.DUMMYFUNCTION("""COMPUTED_VALUE"""),149.38)</f>
        <v>149.38</v>
      </c>
      <c r="P158" s="26">
        <f>IFERROR(__xludf.DUMMYFUNCTION("""COMPUTED_VALUE"""),68.79)</f>
        <v>68.79</v>
      </c>
      <c r="Q158" s="26">
        <f>IFERROR(__xludf.DUMMYFUNCTION("""COMPUTED_VALUE"""),365.39)</f>
        <v>365.39</v>
      </c>
      <c r="R158" s="26">
        <f>IFERROR(__xludf.DUMMYFUNCTION("""COMPUTED_VALUE"""),53.14)</f>
        <v>53.14</v>
      </c>
      <c r="S158" s="26">
        <f>IFERROR(__xludf.DUMMYFUNCTION("""COMPUTED_VALUE"""),188.63)</f>
        <v>188.63</v>
      </c>
      <c r="T158" s="26">
        <f>IFERROR(__xludf.DUMMYFUNCTION("""COMPUTED_VALUE"""),142.97)</f>
        <v>142.97</v>
      </c>
      <c r="U158" s="26">
        <f>IFERROR(__xludf.DUMMYFUNCTION("""COMPUTED_VALUE"""),281.63)</f>
        <v>281.63</v>
      </c>
      <c r="V158" s="26">
        <f>IFERROR(__xludf.DUMMYFUNCTION("""COMPUTED_VALUE"""),43.57)</f>
        <v>43.57</v>
      </c>
      <c r="W158" s="26">
        <f>IFERROR(__xludf.DUMMYFUNCTION("""COMPUTED_VALUE"""),62.38)</f>
        <v>62.38</v>
      </c>
      <c r="X158" s="26">
        <f>IFERROR(__xludf.DUMMYFUNCTION("""COMPUTED_VALUE"""),89.67)</f>
        <v>89.67</v>
      </c>
      <c r="Y158" s="26">
        <f>IFERROR(__xludf.DUMMYFUNCTION("""COMPUTED_VALUE"""),178.47)</f>
        <v>178.47</v>
      </c>
      <c r="Z158" s="26">
        <f>IFERROR(__xludf.DUMMYFUNCTION("""COMPUTED_VALUE"""),73.73)</f>
        <v>73.73</v>
      </c>
      <c r="AA158" s="26">
        <f>IFERROR(__xludf.DUMMYFUNCTION("""COMPUTED_VALUE"""),426.54)</f>
        <v>426.54</v>
      </c>
      <c r="AB158" s="26">
        <f>IFERROR(__xludf.DUMMYFUNCTION("""COMPUTED_VALUE"""),63.63)</f>
        <v>63.63</v>
      </c>
      <c r="AC158" s="26">
        <f>IFERROR(__xludf.DUMMYFUNCTION("""COMPUTED_VALUE"""),106.3)</f>
        <v>106.3</v>
      </c>
      <c r="AD158" s="26">
        <f>IFERROR(__xludf.DUMMYFUNCTION("""COMPUTED_VALUE"""),269.01)</f>
        <v>269.01</v>
      </c>
      <c r="AE158" s="26">
        <f>IFERROR(__xludf.DUMMYFUNCTION("""COMPUTED_VALUE"""),430.15)</f>
        <v>430.15</v>
      </c>
      <c r="AF158" s="26">
        <f>IFERROR(__xludf.DUMMYFUNCTION("""COMPUTED_VALUE"""),265.19)</f>
        <v>265.19</v>
      </c>
      <c r="AG158" s="26">
        <f>IFERROR(__xludf.DUMMYFUNCTION("""COMPUTED_VALUE"""),52.56)</f>
        <v>52.56</v>
      </c>
      <c r="AH158" s="26">
        <f>IFERROR(__xludf.DUMMYFUNCTION("""COMPUTED_VALUE"""),93.4)</f>
        <v>93.4</v>
      </c>
      <c r="AI158" s="26">
        <f>IFERROR(__xludf.DUMMYFUNCTION("""COMPUTED_VALUE"""),570.78)</f>
        <v>570.78</v>
      </c>
      <c r="AJ158" s="26">
        <f>IFERROR(__xludf.DUMMYFUNCTION("""COMPUTED_VALUE"""),392.45)</f>
        <v>392.45</v>
      </c>
      <c r="AK158" s="26">
        <f>IFERROR(__xludf.DUMMYFUNCTION("""COMPUTED_VALUE"""),120.55)</f>
        <v>120.55</v>
      </c>
      <c r="AL158" s="26">
        <f>IFERROR(__xludf.DUMMYFUNCTION("""COMPUTED_VALUE"""),150.16)</f>
        <v>150.16</v>
      </c>
      <c r="AM158" s="26">
        <f>IFERROR(__xludf.DUMMYFUNCTION("""COMPUTED_VALUE"""),527.22)</f>
        <v>527.22</v>
      </c>
      <c r="AN158" s="26">
        <f>IFERROR(__xludf.DUMMYFUNCTION("""COMPUTED_VALUE"""),238.39)</f>
        <v>238.39</v>
      </c>
      <c r="AO158" s="26">
        <f>IFERROR(__xludf.DUMMYFUNCTION("""COMPUTED_VALUE"""),486.49)</f>
        <v>486.49</v>
      </c>
      <c r="AP158" s="26">
        <f>IFERROR(__xludf.DUMMYFUNCTION("""COMPUTED_VALUE"""),383.49)</f>
        <v>383.49</v>
      </c>
      <c r="AQ158" s="26">
        <f>IFERROR(__xludf.DUMMYFUNCTION("""COMPUTED_VALUE"""),30.63)</f>
        <v>30.63</v>
      </c>
      <c r="AR158" s="26">
        <f>IFERROR(__xludf.DUMMYFUNCTION("""COMPUTED_VALUE"""),81.4)</f>
        <v>81.4</v>
      </c>
      <c r="AS158" s="26">
        <f>IFERROR(__xludf.DUMMYFUNCTION("""COMPUTED_VALUE"""),81.71)</f>
        <v>81.71</v>
      </c>
      <c r="AT158" s="26">
        <f>IFERROR(__xludf.DUMMYFUNCTION("""COMPUTED_VALUE"""),435.25)</f>
        <v>435.25</v>
      </c>
      <c r="AU158" s="26">
        <f>IFERROR(__xludf.DUMMYFUNCTION("""COMPUTED_VALUE"""),72.49)</f>
        <v>72.49</v>
      </c>
      <c r="AV158" s="26">
        <f>IFERROR(__xludf.DUMMYFUNCTION("""COMPUTED_VALUE"""),139.67)</f>
        <v>139.67</v>
      </c>
      <c r="AW158" s="26">
        <f>IFERROR(__xludf.DUMMYFUNCTION("""COMPUTED_VALUE"""),93.51)</f>
        <v>93.51</v>
      </c>
      <c r="AX158" s="26">
        <f>IFERROR(__xludf.DUMMYFUNCTION("""COMPUTED_VALUE"""),56.65)</f>
        <v>56.65</v>
      </c>
      <c r="AY158" s="26">
        <f>IFERROR(__xludf.DUMMYFUNCTION("""COMPUTED_VALUE"""),80.69)</f>
        <v>80.69</v>
      </c>
      <c r="AZ158" s="26">
        <f>IFERROR(__xludf.DUMMYFUNCTION("""COMPUTED_VALUE"""),86.9)</f>
        <v>86.9</v>
      </c>
      <c r="BA158" s="26">
        <f>IFERROR(__xludf.DUMMYFUNCTION("""COMPUTED_VALUE"""),26.71)</f>
        <v>26.71</v>
      </c>
      <c r="BB158" s="26">
        <f>IFERROR(__xludf.DUMMYFUNCTION("""COMPUTED_VALUE"""),116.63)</f>
        <v>116.63</v>
      </c>
      <c r="BC158" s="26">
        <f>IFERROR(__xludf.DUMMYFUNCTION("""COMPUTED_VALUE"""),221.66)</f>
        <v>221.66</v>
      </c>
      <c r="BD158" s="26">
        <f>IFERROR(__xludf.DUMMYFUNCTION("""COMPUTED_VALUE"""),525.29)</f>
        <v>525.29</v>
      </c>
      <c r="BE158" s="26">
        <f>IFERROR(__xludf.DUMMYFUNCTION("""COMPUTED_VALUE"""),180.45)</f>
        <v>180.45</v>
      </c>
      <c r="BF158" s="26">
        <f>IFERROR(__xludf.DUMMYFUNCTION("""COMPUTED_VALUE"""),62.65)</f>
        <v>62.65</v>
      </c>
      <c r="BG158" s="26">
        <f>IFERROR(__xludf.DUMMYFUNCTION("""COMPUTED_VALUE"""),8.43)</f>
        <v>8.43</v>
      </c>
      <c r="BH158" s="26">
        <f>IFERROR(__xludf.DUMMYFUNCTION("""COMPUTED_VALUE"""),227.13)</f>
        <v>227.13</v>
      </c>
      <c r="BI158" s="26">
        <f>IFERROR(__xludf.DUMMYFUNCTION("""COMPUTED_VALUE"""),506.34)</f>
        <v>506.34</v>
      </c>
      <c r="BJ158" s="26">
        <f>IFERROR(__xludf.DUMMYFUNCTION("""COMPUTED_VALUE"""),48.83)</f>
        <v>48.83</v>
      </c>
      <c r="BK158" s="26">
        <f>IFERROR(__xludf.DUMMYFUNCTION("""COMPUTED_VALUE"""),12.49)</f>
        <v>12.49</v>
      </c>
      <c r="BL158" s="26">
        <f>IFERROR(__xludf.DUMMYFUNCTION("""COMPUTED_VALUE"""),203.8)</f>
        <v>203.8</v>
      </c>
      <c r="BM158" s="26">
        <f>IFERROR(__xludf.DUMMYFUNCTION("""COMPUTED_VALUE"""),111.4)</f>
        <v>111.4</v>
      </c>
    </row>
    <row r="159">
      <c r="A159" s="25">
        <v>45652.66666666667</v>
      </c>
      <c r="B159" s="17">
        <f>IFERROR(__xludf.DUMMYFUNCTION("""COMPUTED_VALUE"""),6040.04)</f>
        <v>6040.04</v>
      </c>
      <c r="C159" s="17">
        <f>IFERROR(__xludf.DUMMYFUNCTION("""COMPUTED_VALUE"""),20031.13)</f>
        <v>20031.13</v>
      </c>
      <c r="D159" s="17">
        <f>IFERROR(__xludf.DUMMYFUNCTION("""COMPUTED_VALUE"""),43297.03)</f>
        <v>43297.03</v>
      </c>
      <c r="E159" s="17">
        <f>IFERROR(__xludf.DUMMYFUNCTION("""COMPUTED_VALUE"""),2259.85)</f>
        <v>2259.85</v>
      </c>
      <c r="F159" s="26">
        <f>IFERROR(__xludf.DUMMYFUNCTION("""COMPUTED_VALUE"""),447.94)</f>
        <v>447.94</v>
      </c>
      <c r="G159" s="26">
        <f>IFERROR(__xludf.DUMMYFUNCTION("""COMPUTED_VALUE"""),229.05)</f>
        <v>229.05</v>
      </c>
      <c r="H159" s="26">
        <f>IFERROR(__xludf.DUMMYFUNCTION("""COMPUTED_VALUE"""),125.73)</f>
        <v>125.73</v>
      </c>
      <c r="I159" s="26">
        <f>IFERROR(__xludf.DUMMYFUNCTION("""COMPUTED_VALUE"""),258.2)</f>
        <v>258.2</v>
      </c>
      <c r="J159" s="26">
        <f>IFERROR(__xludf.DUMMYFUNCTION("""COMPUTED_VALUE"""),168.37)</f>
        <v>168.37</v>
      </c>
      <c r="K159" s="26">
        <f>IFERROR(__xludf.DUMMYFUNCTION("""COMPUTED_VALUE"""),78.05)</f>
        <v>78.05</v>
      </c>
      <c r="L159" s="26">
        <f>IFERROR(__xludf.DUMMYFUNCTION("""COMPUTED_VALUE"""),13.45)</f>
        <v>13.45</v>
      </c>
      <c r="M159" s="26">
        <f>IFERROR(__xludf.DUMMYFUNCTION("""COMPUTED_VALUE"""),458.66)</f>
        <v>458.66</v>
      </c>
      <c r="N159" s="26">
        <f>IFERROR(__xludf.DUMMYFUNCTION("""COMPUTED_VALUE"""),49.42)</f>
        <v>49.42</v>
      </c>
      <c r="O159" s="26">
        <f>IFERROR(__xludf.DUMMYFUNCTION("""COMPUTED_VALUE"""),149.02)</f>
        <v>149.02</v>
      </c>
      <c r="P159" s="26">
        <f>IFERROR(__xludf.DUMMYFUNCTION("""COMPUTED_VALUE"""),69.45)</f>
        <v>69.45</v>
      </c>
      <c r="Q159" s="26">
        <f>IFERROR(__xludf.DUMMYFUNCTION("""COMPUTED_VALUE"""),367.57)</f>
        <v>367.57</v>
      </c>
      <c r="R159" s="26">
        <f>IFERROR(__xludf.DUMMYFUNCTION("""COMPUTED_VALUE"""),52.62)</f>
        <v>52.62</v>
      </c>
      <c r="S159" s="26">
        <f>IFERROR(__xludf.DUMMYFUNCTION("""COMPUTED_VALUE"""),189.65)</f>
        <v>189.65</v>
      </c>
      <c r="T159" s="26">
        <f>IFERROR(__xludf.DUMMYFUNCTION("""COMPUTED_VALUE"""),143.84)</f>
        <v>143.84</v>
      </c>
      <c r="U159" s="26">
        <f>IFERROR(__xludf.DUMMYFUNCTION("""COMPUTED_VALUE"""),280.06)</f>
        <v>280.06</v>
      </c>
      <c r="V159" s="26">
        <f>IFERROR(__xludf.DUMMYFUNCTION("""COMPUTED_VALUE"""),44.0)</f>
        <v>44</v>
      </c>
      <c r="W159" s="26">
        <f>IFERROR(__xludf.DUMMYFUNCTION("""COMPUTED_VALUE"""),62.84)</f>
        <v>62.84</v>
      </c>
      <c r="X159" s="26">
        <f>IFERROR(__xludf.DUMMYFUNCTION("""COMPUTED_VALUE"""),89.58)</f>
        <v>89.58</v>
      </c>
      <c r="Y159" s="26">
        <f>IFERROR(__xludf.DUMMYFUNCTION("""COMPUTED_VALUE"""),180.4)</f>
        <v>180.4</v>
      </c>
      <c r="Z159" s="26">
        <f>IFERROR(__xludf.DUMMYFUNCTION("""COMPUTED_VALUE"""),73.38)</f>
        <v>73.38</v>
      </c>
      <c r="AA159" s="26">
        <f>IFERROR(__xludf.DUMMYFUNCTION("""COMPUTED_VALUE"""),431.0)</f>
        <v>431</v>
      </c>
      <c r="AB159" s="26">
        <f>IFERROR(__xludf.DUMMYFUNCTION("""COMPUTED_VALUE"""),63.78)</f>
        <v>63.78</v>
      </c>
      <c r="AC159" s="26">
        <f>IFERROR(__xludf.DUMMYFUNCTION("""COMPUTED_VALUE"""),106.4)</f>
        <v>106.4</v>
      </c>
      <c r="AD159" s="26">
        <f>IFERROR(__xludf.DUMMYFUNCTION("""COMPUTED_VALUE"""),271.84)</f>
        <v>271.84</v>
      </c>
      <c r="AE159" s="26">
        <f>IFERROR(__xludf.DUMMYFUNCTION("""COMPUTED_VALUE"""),433.98)</f>
        <v>433.98</v>
      </c>
      <c r="AF159" s="26">
        <f>IFERROR(__xludf.DUMMYFUNCTION("""COMPUTED_VALUE"""),265.9)</f>
        <v>265.9</v>
      </c>
      <c r="AG159" s="26">
        <f>IFERROR(__xludf.DUMMYFUNCTION("""COMPUTED_VALUE"""),53.51)</f>
        <v>53.51</v>
      </c>
      <c r="AH159" s="26">
        <f>IFERROR(__xludf.DUMMYFUNCTION("""COMPUTED_VALUE"""),93.95)</f>
        <v>93.95</v>
      </c>
      <c r="AI159" s="26">
        <f>IFERROR(__xludf.DUMMYFUNCTION("""COMPUTED_VALUE"""),582.79)</f>
        <v>582.79</v>
      </c>
      <c r="AJ159" s="26">
        <f>IFERROR(__xludf.DUMMYFUNCTION("""COMPUTED_VALUE"""),396.14)</f>
        <v>396.14</v>
      </c>
      <c r="AK159" s="26">
        <f>IFERROR(__xludf.DUMMYFUNCTION("""COMPUTED_VALUE"""),122.24)</f>
        <v>122.24</v>
      </c>
      <c r="AL159" s="26">
        <f>IFERROR(__xludf.DUMMYFUNCTION("""COMPUTED_VALUE"""),150.46)</f>
        <v>150.46</v>
      </c>
      <c r="AM159" s="26">
        <f>IFERROR(__xludf.DUMMYFUNCTION("""COMPUTED_VALUE"""),537.02)</f>
        <v>537.02</v>
      </c>
      <c r="AN159" s="26">
        <f>IFERROR(__xludf.DUMMYFUNCTION("""COMPUTED_VALUE"""),242.31)</f>
        <v>242.31</v>
      </c>
      <c r="AO159" s="26">
        <f>IFERROR(__xludf.DUMMYFUNCTION("""COMPUTED_VALUE"""),488.13)</f>
        <v>488.13</v>
      </c>
      <c r="AP159" s="26">
        <f>IFERROR(__xludf.DUMMYFUNCTION("""COMPUTED_VALUE"""),385.69)</f>
        <v>385.69</v>
      </c>
      <c r="AQ159" s="26">
        <f>IFERROR(__xludf.DUMMYFUNCTION("""COMPUTED_VALUE"""),30.67)</f>
        <v>30.67</v>
      </c>
      <c r="AR159" s="26">
        <f>IFERROR(__xludf.DUMMYFUNCTION("""COMPUTED_VALUE"""),81.54)</f>
        <v>81.54</v>
      </c>
      <c r="AS159" s="26">
        <f>IFERROR(__xludf.DUMMYFUNCTION("""COMPUTED_VALUE"""),82.25)</f>
        <v>82.25</v>
      </c>
      <c r="AT159" s="26">
        <f>IFERROR(__xludf.DUMMYFUNCTION("""COMPUTED_VALUE"""),439.33)</f>
        <v>439.33</v>
      </c>
      <c r="AU159" s="26">
        <f>IFERROR(__xludf.DUMMYFUNCTION("""COMPUTED_VALUE"""),72.91)</f>
        <v>72.91</v>
      </c>
      <c r="AV159" s="26">
        <f>IFERROR(__xludf.DUMMYFUNCTION("""COMPUTED_VALUE"""),140.22)</f>
        <v>140.22</v>
      </c>
      <c r="AW159" s="26">
        <f>IFERROR(__xludf.DUMMYFUNCTION("""COMPUTED_VALUE"""),94.0)</f>
        <v>94</v>
      </c>
      <c r="AX159" s="26">
        <f>IFERROR(__xludf.DUMMYFUNCTION("""COMPUTED_VALUE"""),56.45)</f>
        <v>56.45</v>
      </c>
      <c r="AY159" s="26">
        <f>IFERROR(__xludf.DUMMYFUNCTION("""COMPUTED_VALUE"""),82.38)</f>
        <v>82.38</v>
      </c>
      <c r="AZ159" s="26">
        <f>IFERROR(__xludf.DUMMYFUNCTION("""COMPUTED_VALUE"""),88.25)</f>
        <v>88.25</v>
      </c>
      <c r="BA159" s="26">
        <f>IFERROR(__xludf.DUMMYFUNCTION("""COMPUTED_VALUE"""),26.74)</f>
        <v>26.74</v>
      </c>
      <c r="BB159" s="26">
        <f>IFERROR(__xludf.DUMMYFUNCTION("""COMPUTED_VALUE"""),116.83)</f>
        <v>116.83</v>
      </c>
      <c r="BC159" s="26">
        <f>IFERROR(__xludf.DUMMYFUNCTION("""COMPUTED_VALUE"""),223.01)</f>
        <v>223.01</v>
      </c>
      <c r="BD159" s="26">
        <f>IFERROR(__xludf.DUMMYFUNCTION("""COMPUTED_VALUE"""),528.98)</f>
        <v>528.98</v>
      </c>
      <c r="BE159" s="26">
        <f>IFERROR(__xludf.DUMMYFUNCTION("""COMPUTED_VALUE"""),181.43)</f>
        <v>181.43</v>
      </c>
      <c r="BF159" s="26">
        <f>IFERROR(__xludf.DUMMYFUNCTION("""COMPUTED_VALUE"""),63.9)</f>
        <v>63.9</v>
      </c>
      <c r="BG159" s="26">
        <f>IFERROR(__xludf.DUMMYFUNCTION("""COMPUTED_VALUE"""),8.42)</f>
        <v>8.42</v>
      </c>
      <c r="BH159" s="26">
        <f>IFERROR(__xludf.DUMMYFUNCTION("""COMPUTED_VALUE"""),229.75)</f>
        <v>229.75</v>
      </c>
      <c r="BI159" s="26">
        <f>IFERROR(__xludf.DUMMYFUNCTION("""COMPUTED_VALUE"""),506.1)</f>
        <v>506.1</v>
      </c>
      <c r="BJ159" s="26">
        <f>IFERROR(__xludf.DUMMYFUNCTION("""COMPUTED_VALUE"""),48.33)</f>
        <v>48.33</v>
      </c>
      <c r="BK159" s="26">
        <f>IFERROR(__xludf.DUMMYFUNCTION("""COMPUTED_VALUE"""),12.4)</f>
        <v>12.4</v>
      </c>
      <c r="BL159" s="26">
        <f>IFERROR(__xludf.DUMMYFUNCTION("""COMPUTED_VALUE"""),205.38)</f>
        <v>205.38</v>
      </c>
      <c r="BM159" s="26">
        <f>IFERROR(__xludf.DUMMYFUNCTION("""COMPUTED_VALUE"""),112.56)</f>
        <v>112.56</v>
      </c>
    </row>
    <row r="160">
      <c r="A160" s="25">
        <v>45653.66666666667</v>
      </c>
      <c r="B160" s="17">
        <f>IFERROR(__xludf.DUMMYFUNCTION("""COMPUTED_VALUE"""),6037.59)</f>
        <v>6037.59</v>
      </c>
      <c r="C160" s="17">
        <f>IFERROR(__xludf.DUMMYFUNCTION("""COMPUTED_VALUE"""),20020.36)</f>
        <v>20020.36</v>
      </c>
      <c r="D160" s="17">
        <f>IFERROR(__xludf.DUMMYFUNCTION("""COMPUTED_VALUE"""),43325.8)</f>
        <v>43325.8</v>
      </c>
      <c r="E160" s="17">
        <f>IFERROR(__xludf.DUMMYFUNCTION("""COMPUTED_VALUE"""),2280.19)</f>
        <v>2280.19</v>
      </c>
      <c r="F160" s="26">
        <f>IFERROR(__xludf.DUMMYFUNCTION("""COMPUTED_VALUE"""),450.16)</f>
        <v>450.16</v>
      </c>
      <c r="G160" s="26">
        <f>IFERROR(__xludf.DUMMYFUNCTION("""COMPUTED_VALUE"""),227.05)</f>
        <v>227.05</v>
      </c>
      <c r="H160" s="26">
        <f>IFERROR(__xludf.DUMMYFUNCTION("""COMPUTED_VALUE"""),126.16)</f>
        <v>126.16</v>
      </c>
      <c r="I160" s="26">
        <f>IFERROR(__xludf.DUMMYFUNCTION("""COMPUTED_VALUE"""),259.02)</f>
        <v>259.02</v>
      </c>
      <c r="J160" s="26">
        <f>IFERROR(__xludf.DUMMYFUNCTION("""COMPUTED_VALUE"""),167.55)</f>
        <v>167.55</v>
      </c>
      <c r="K160" s="26">
        <f>IFERROR(__xludf.DUMMYFUNCTION("""COMPUTED_VALUE"""),78.35)</f>
        <v>78.35</v>
      </c>
      <c r="L160" s="26">
        <f>IFERROR(__xludf.DUMMYFUNCTION("""COMPUTED_VALUE"""),13.43)</f>
        <v>13.43</v>
      </c>
      <c r="M160" s="26">
        <f>IFERROR(__xludf.DUMMYFUNCTION("""COMPUTED_VALUE"""),459.08)</f>
        <v>459.08</v>
      </c>
      <c r="N160" s="26">
        <f>IFERROR(__xludf.DUMMYFUNCTION("""COMPUTED_VALUE"""),49.35)</f>
        <v>49.35</v>
      </c>
      <c r="O160" s="26">
        <f>IFERROR(__xludf.DUMMYFUNCTION("""COMPUTED_VALUE"""),149.9)</f>
        <v>149.9</v>
      </c>
      <c r="P160" s="26">
        <f>IFERROR(__xludf.DUMMYFUNCTION("""COMPUTED_VALUE"""),69.64)</f>
        <v>69.64</v>
      </c>
      <c r="Q160" s="26">
        <f>IFERROR(__xludf.DUMMYFUNCTION("""COMPUTED_VALUE"""),367.12)</f>
        <v>367.12</v>
      </c>
      <c r="R160" s="26">
        <f>IFERROR(__xludf.DUMMYFUNCTION("""COMPUTED_VALUE"""),52.56)</f>
        <v>52.56</v>
      </c>
      <c r="S160" s="26">
        <f>IFERROR(__xludf.DUMMYFUNCTION("""COMPUTED_VALUE"""),190.87)</f>
        <v>190.87</v>
      </c>
      <c r="T160" s="26">
        <f>IFERROR(__xludf.DUMMYFUNCTION("""COMPUTED_VALUE"""),143.98)</f>
        <v>143.98</v>
      </c>
      <c r="U160" s="26">
        <f>IFERROR(__xludf.DUMMYFUNCTION("""COMPUTED_VALUE"""),281.58)</f>
        <v>281.58</v>
      </c>
      <c r="V160" s="26">
        <f>IFERROR(__xludf.DUMMYFUNCTION("""COMPUTED_VALUE"""),43.9)</f>
        <v>43.9</v>
      </c>
      <c r="W160" s="26">
        <f>IFERROR(__xludf.DUMMYFUNCTION("""COMPUTED_VALUE"""),62.57)</f>
        <v>62.57</v>
      </c>
      <c r="X160" s="26">
        <f>IFERROR(__xludf.DUMMYFUNCTION("""COMPUTED_VALUE"""),89.59)</f>
        <v>89.59</v>
      </c>
      <c r="Y160" s="26">
        <f>IFERROR(__xludf.DUMMYFUNCTION("""COMPUTED_VALUE"""),179.5)</f>
        <v>179.5</v>
      </c>
      <c r="Z160" s="26">
        <f>IFERROR(__xludf.DUMMYFUNCTION("""COMPUTED_VALUE"""),76.19)</f>
        <v>76.19</v>
      </c>
      <c r="AA160" s="26">
        <f>IFERROR(__xludf.DUMMYFUNCTION("""COMPUTED_VALUE"""),432.62)</f>
        <v>432.62</v>
      </c>
      <c r="AB160" s="26">
        <f>IFERROR(__xludf.DUMMYFUNCTION("""COMPUTED_VALUE"""),63.81)</f>
        <v>63.81</v>
      </c>
      <c r="AC160" s="26">
        <f>IFERROR(__xludf.DUMMYFUNCTION("""COMPUTED_VALUE"""),106.49)</f>
        <v>106.49</v>
      </c>
      <c r="AD160" s="26">
        <f>IFERROR(__xludf.DUMMYFUNCTION("""COMPUTED_VALUE"""),278.66)</f>
        <v>278.66</v>
      </c>
      <c r="AE160" s="26">
        <f>IFERROR(__xludf.DUMMYFUNCTION("""COMPUTED_VALUE"""),431.74)</f>
        <v>431.74</v>
      </c>
      <c r="AF160" s="26">
        <f>IFERROR(__xludf.DUMMYFUNCTION("""COMPUTED_VALUE"""),266.78)</f>
        <v>266.78</v>
      </c>
      <c r="AG160" s="26">
        <f>IFERROR(__xludf.DUMMYFUNCTION("""COMPUTED_VALUE"""),54.18)</f>
        <v>54.18</v>
      </c>
      <c r="AH160" s="26">
        <f>IFERROR(__xludf.DUMMYFUNCTION("""COMPUTED_VALUE"""),94.41)</f>
        <v>94.41</v>
      </c>
      <c r="AI160" s="26">
        <f>IFERROR(__xludf.DUMMYFUNCTION("""COMPUTED_VALUE"""),581.23)</f>
        <v>581.23</v>
      </c>
      <c r="AJ160" s="26">
        <f>IFERROR(__xludf.DUMMYFUNCTION("""COMPUTED_VALUE"""),395.14)</f>
        <v>395.14</v>
      </c>
      <c r="AK160" s="26">
        <f>IFERROR(__xludf.DUMMYFUNCTION("""COMPUTED_VALUE"""),123.55)</f>
        <v>123.55</v>
      </c>
      <c r="AL160" s="26">
        <f>IFERROR(__xludf.DUMMYFUNCTION("""COMPUTED_VALUE"""),151.02)</f>
        <v>151.02</v>
      </c>
      <c r="AM160" s="26">
        <f>IFERROR(__xludf.DUMMYFUNCTION("""COMPUTED_VALUE"""),538.83)</f>
        <v>538.83</v>
      </c>
      <c r="AN160" s="26">
        <f>IFERROR(__xludf.DUMMYFUNCTION("""COMPUTED_VALUE"""),243.14)</f>
        <v>243.14</v>
      </c>
      <c r="AO160" s="26">
        <f>IFERROR(__xludf.DUMMYFUNCTION("""COMPUTED_VALUE"""),489.98)</f>
        <v>489.98</v>
      </c>
      <c r="AP160" s="26">
        <f>IFERROR(__xludf.DUMMYFUNCTION("""COMPUTED_VALUE"""),385.82)</f>
        <v>385.82</v>
      </c>
      <c r="AQ160" s="26">
        <f>IFERROR(__xludf.DUMMYFUNCTION("""COMPUTED_VALUE"""),30.84)</f>
        <v>30.84</v>
      </c>
      <c r="AR160" s="26">
        <f>IFERROR(__xludf.DUMMYFUNCTION("""COMPUTED_VALUE"""),81.6)</f>
        <v>81.6</v>
      </c>
      <c r="AS160" s="26">
        <f>IFERROR(__xludf.DUMMYFUNCTION("""COMPUTED_VALUE"""),82.75)</f>
        <v>82.75</v>
      </c>
      <c r="AT160" s="26">
        <f>IFERROR(__xludf.DUMMYFUNCTION("""COMPUTED_VALUE"""),438.11)</f>
        <v>438.11</v>
      </c>
      <c r="AU160" s="26">
        <f>IFERROR(__xludf.DUMMYFUNCTION("""COMPUTED_VALUE"""),72.37)</f>
        <v>72.37</v>
      </c>
      <c r="AV160" s="26">
        <f>IFERROR(__xludf.DUMMYFUNCTION("""COMPUTED_VALUE"""),139.93)</f>
        <v>139.93</v>
      </c>
      <c r="AW160" s="26">
        <f>IFERROR(__xludf.DUMMYFUNCTION("""COMPUTED_VALUE"""),94.15)</f>
        <v>94.15</v>
      </c>
      <c r="AX160" s="26">
        <f>IFERROR(__xludf.DUMMYFUNCTION("""COMPUTED_VALUE"""),56.39)</f>
        <v>56.39</v>
      </c>
      <c r="AY160" s="26">
        <f>IFERROR(__xludf.DUMMYFUNCTION("""COMPUTED_VALUE"""),82.14)</f>
        <v>82.14</v>
      </c>
      <c r="AZ160" s="26">
        <f>IFERROR(__xludf.DUMMYFUNCTION("""COMPUTED_VALUE"""),88.14)</f>
        <v>88.14</v>
      </c>
      <c r="BA160" s="26">
        <f>IFERROR(__xludf.DUMMYFUNCTION("""COMPUTED_VALUE"""),26.56)</f>
        <v>26.56</v>
      </c>
      <c r="BB160" s="26">
        <f>IFERROR(__xludf.DUMMYFUNCTION("""COMPUTED_VALUE"""),117.04)</f>
        <v>117.04</v>
      </c>
      <c r="BC160" s="26">
        <f>IFERROR(__xludf.DUMMYFUNCTION("""COMPUTED_VALUE"""),223.68)</f>
        <v>223.68</v>
      </c>
      <c r="BD160" s="26">
        <f>IFERROR(__xludf.DUMMYFUNCTION("""COMPUTED_VALUE"""),527.18)</f>
        <v>527.18</v>
      </c>
      <c r="BE160" s="26">
        <f>IFERROR(__xludf.DUMMYFUNCTION("""COMPUTED_VALUE"""),197.36)</f>
        <v>197.36</v>
      </c>
      <c r="BF160" s="26">
        <f>IFERROR(__xludf.DUMMYFUNCTION("""COMPUTED_VALUE"""),62.6)</f>
        <v>62.6</v>
      </c>
      <c r="BG160" s="26">
        <f>IFERROR(__xludf.DUMMYFUNCTION("""COMPUTED_VALUE"""),8.45)</f>
        <v>8.45</v>
      </c>
      <c r="BH160" s="26">
        <f>IFERROR(__xludf.DUMMYFUNCTION("""COMPUTED_VALUE"""),230.23)</f>
        <v>230.23</v>
      </c>
      <c r="BI160" s="26">
        <f>IFERROR(__xludf.DUMMYFUNCTION("""COMPUTED_VALUE"""),511.15)</f>
        <v>511.15</v>
      </c>
      <c r="BJ160" s="26">
        <f>IFERROR(__xludf.DUMMYFUNCTION("""COMPUTED_VALUE"""),48.35)</f>
        <v>48.35</v>
      </c>
      <c r="BK160" s="26">
        <f>IFERROR(__xludf.DUMMYFUNCTION("""COMPUTED_VALUE"""),12.56)</f>
        <v>12.56</v>
      </c>
      <c r="BL160" s="26">
        <f>IFERROR(__xludf.DUMMYFUNCTION("""COMPUTED_VALUE"""),205.02)</f>
        <v>205.02</v>
      </c>
      <c r="BM160" s="26">
        <f>IFERROR(__xludf.DUMMYFUNCTION("""COMPUTED_VALUE"""),112.55)</f>
        <v>112.55</v>
      </c>
    </row>
    <row r="161">
      <c r="A161" s="25">
        <v>45656.66666666667</v>
      </c>
      <c r="B161" s="17">
        <f>IFERROR(__xludf.DUMMYFUNCTION("""COMPUTED_VALUE"""),5970.84)</f>
        <v>5970.84</v>
      </c>
      <c r="C161" s="17">
        <f>IFERROR(__xludf.DUMMYFUNCTION("""COMPUTED_VALUE"""),19722.03)</f>
        <v>19722.03</v>
      </c>
      <c r="D161" s="17">
        <f>IFERROR(__xludf.DUMMYFUNCTION("""COMPUTED_VALUE"""),42992.21)</f>
        <v>42992.21</v>
      </c>
      <c r="E161" s="17">
        <f>IFERROR(__xludf.DUMMYFUNCTION("""COMPUTED_VALUE"""),2244.59)</f>
        <v>2244.59</v>
      </c>
      <c r="F161" s="26">
        <f>IFERROR(__xludf.DUMMYFUNCTION("""COMPUTED_VALUE"""),446.48)</f>
        <v>446.48</v>
      </c>
      <c r="G161" s="26">
        <f>IFERROR(__xludf.DUMMYFUNCTION("""COMPUTED_VALUE"""),223.75)</f>
        <v>223.75</v>
      </c>
      <c r="H161" s="26">
        <f>IFERROR(__xludf.DUMMYFUNCTION("""COMPUTED_VALUE"""),125.29)</f>
        <v>125.29</v>
      </c>
      <c r="I161" s="26">
        <f>IFERROR(__xludf.DUMMYFUNCTION("""COMPUTED_VALUE"""),255.59)</f>
        <v>255.59</v>
      </c>
      <c r="J161" s="26">
        <f>IFERROR(__xludf.DUMMYFUNCTION("""COMPUTED_VALUE"""),166.83)</f>
        <v>166.83</v>
      </c>
      <c r="K161" s="26">
        <f>IFERROR(__xludf.DUMMYFUNCTION("""COMPUTED_VALUE"""),77.57)</f>
        <v>77.57</v>
      </c>
      <c r="L161" s="26">
        <f>IFERROR(__xludf.DUMMYFUNCTION("""COMPUTED_VALUE"""),13.28)</f>
        <v>13.28</v>
      </c>
      <c r="M161" s="26">
        <f>IFERROR(__xludf.DUMMYFUNCTION("""COMPUTED_VALUE"""),456.51)</f>
        <v>456.51</v>
      </c>
      <c r="N161" s="26">
        <f>IFERROR(__xludf.DUMMYFUNCTION("""COMPUTED_VALUE"""),49.21)</f>
        <v>49.21</v>
      </c>
      <c r="O161" s="26">
        <f>IFERROR(__xludf.DUMMYFUNCTION("""COMPUTED_VALUE"""),151.31)</f>
        <v>151.31</v>
      </c>
      <c r="P161" s="26">
        <f>IFERROR(__xludf.DUMMYFUNCTION("""COMPUTED_VALUE"""),68.9)</f>
        <v>68.9</v>
      </c>
      <c r="Q161" s="26">
        <f>IFERROR(__xludf.DUMMYFUNCTION("""COMPUTED_VALUE"""),364.86)</f>
        <v>364.86</v>
      </c>
      <c r="R161" s="26">
        <f>IFERROR(__xludf.DUMMYFUNCTION("""COMPUTED_VALUE"""),52.49)</f>
        <v>52.49</v>
      </c>
      <c r="S161" s="26">
        <f>IFERROR(__xludf.DUMMYFUNCTION("""COMPUTED_VALUE"""),187.9)</f>
        <v>187.9</v>
      </c>
      <c r="T161" s="26">
        <f>IFERROR(__xludf.DUMMYFUNCTION("""COMPUTED_VALUE"""),144.0)</f>
        <v>144</v>
      </c>
      <c r="U161" s="26">
        <f>IFERROR(__xludf.DUMMYFUNCTION("""COMPUTED_VALUE"""),278.71)</f>
        <v>278.71</v>
      </c>
      <c r="V161" s="26">
        <f>IFERROR(__xludf.DUMMYFUNCTION("""COMPUTED_VALUE"""),43.62)</f>
        <v>43.62</v>
      </c>
      <c r="W161" s="26">
        <f>IFERROR(__xludf.DUMMYFUNCTION("""COMPUTED_VALUE"""),62.45)</f>
        <v>62.45</v>
      </c>
      <c r="X161" s="26">
        <f>IFERROR(__xludf.DUMMYFUNCTION("""COMPUTED_VALUE"""),89.56)</f>
        <v>89.56</v>
      </c>
      <c r="Y161" s="26">
        <f>IFERROR(__xludf.DUMMYFUNCTION("""COMPUTED_VALUE"""),178.14)</f>
        <v>178.14</v>
      </c>
      <c r="Z161" s="26">
        <f>IFERROR(__xludf.DUMMYFUNCTION("""COMPUTED_VALUE"""),75.99)</f>
        <v>75.99</v>
      </c>
      <c r="AA161" s="26">
        <f>IFERROR(__xludf.DUMMYFUNCTION("""COMPUTED_VALUE"""),429.62)</f>
        <v>429.62</v>
      </c>
      <c r="AB161" s="26">
        <f>IFERROR(__xludf.DUMMYFUNCTION("""COMPUTED_VALUE"""),62.81)</f>
        <v>62.81</v>
      </c>
      <c r="AC161" s="26">
        <f>IFERROR(__xludf.DUMMYFUNCTION("""COMPUTED_VALUE"""),106.48)</f>
        <v>106.48</v>
      </c>
      <c r="AD161" s="26">
        <f>IFERROR(__xludf.DUMMYFUNCTION("""COMPUTED_VALUE"""),280.36)</f>
        <v>280.36</v>
      </c>
      <c r="AE161" s="26">
        <f>IFERROR(__xludf.DUMMYFUNCTION("""COMPUTED_VALUE"""),432.15)</f>
        <v>432.15</v>
      </c>
      <c r="AF161" s="26">
        <f>IFERROR(__xludf.DUMMYFUNCTION("""COMPUTED_VALUE"""),266.14)</f>
        <v>266.14</v>
      </c>
      <c r="AG161" s="26">
        <f>IFERROR(__xludf.DUMMYFUNCTION("""COMPUTED_VALUE"""),54.28)</f>
        <v>54.28</v>
      </c>
      <c r="AH161" s="26">
        <f>IFERROR(__xludf.DUMMYFUNCTION("""COMPUTED_VALUE"""),94.11)</f>
        <v>94.11</v>
      </c>
      <c r="AI161" s="26">
        <f>IFERROR(__xludf.DUMMYFUNCTION("""COMPUTED_VALUE"""),576.18)</f>
        <v>576.18</v>
      </c>
      <c r="AJ161" s="26">
        <f>IFERROR(__xludf.DUMMYFUNCTION("""COMPUTED_VALUE"""),392.86)</f>
        <v>392.86</v>
      </c>
      <c r="AK161" s="26">
        <f>IFERROR(__xludf.DUMMYFUNCTION("""COMPUTED_VALUE"""),122.95)</f>
        <v>122.95</v>
      </c>
      <c r="AL161" s="26">
        <f>IFERROR(__xludf.DUMMYFUNCTION("""COMPUTED_VALUE"""),150.32)</f>
        <v>150.32</v>
      </c>
      <c r="AM161" s="26">
        <f>IFERROR(__xludf.DUMMYFUNCTION("""COMPUTED_VALUE"""),534.88)</f>
        <v>534.88</v>
      </c>
      <c r="AN161" s="26">
        <f>IFERROR(__xludf.DUMMYFUNCTION("""COMPUTED_VALUE"""),241.17)</f>
        <v>241.17</v>
      </c>
      <c r="AO161" s="26">
        <f>IFERROR(__xludf.DUMMYFUNCTION("""COMPUTED_VALUE"""),488.97)</f>
        <v>488.97</v>
      </c>
      <c r="AP161" s="26">
        <f>IFERROR(__xludf.DUMMYFUNCTION("""COMPUTED_VALUE"""),386.67)</f>
        <v>386.67</v>
      </c>
      <c r="AQ161" s="26">
        <f>IFERROR(__xludf.DUMMYFUNCTION("""COMPUTED_VALUE"""),30.69)</f>
        <v>30.69</v>
      </c>
      <c r="AR161" s="26">
        <f>IFERROR(__xludf.DUMMYFUNCTION("""COMPUTED_VALUE"""),80.74)</f>
        <v>80.74</v>
      </c>
      <c r="AS161" s="26">
        <f>IFERROR(__xludf.DUMMYFUNCTION("""COMPUTED_VALUE"""),82.25)</f>
        <v>82.25</v>
      </c>
      <c r="AT161" s="26">
        <f>IFERROR(__xludf.DUMMYFUNCTION("""COMPUTED_VALUE"""),430.53)</f>
        <v>430.53</v>
      </c>
      <c r="AU161" s="26">
        <f>IFERROR(__xludf.DUMMYFUNCTION("""COMPUTED_VALUE"""),72.11)</f>
        <v>72.11</v>
      </c>
      <c r="AV161" s="26">
        <f>IFERROR(__xludf.DUMMYFUNCTION("""COMPUTED_VALUE"""),137.01)</f>
        <v>137.01</v>
      </c>
      <c r="AW161" s="26">
        <f>IFERROR(__xludf.DUMMYFUNCTION("""COMPUTED_VALUE"""),93.52)</f>
        <v>93.52</v>
      </c>
      <c r="AX161" s="26">
        <f>IFERROR(__xludf.DUMMYFUNCTION("""COMPUTED_VALUE"""),55.63)</f>
        <v>55.63</v>
      </c>
      <c r="AY161" s="26">
        <f>IFERROR(__xludf.DUMMYFUNCTION("""COMPUTED_VALUE"""),79.08)</f>
        <v>79.08</v>
      </c>
      <c r="AZ161" s="26">
        <f>IFERROR(__xludf.DUMMYFUNCTION("""COMPUTED_VALUE"""),86.86)</f>
        <v>86.86</v>
      </c>
      <c r="BA161" s="26">
        <f>IFERROR(__xludf.DUMMYFUNCTION("""COMPUTED_VALUE"""),26.62)</f>
        <v>26.62</v>
      </c>
      <c r="BB161" s="26">
        <f>IFERROR(__xludf.DUMMYFUNCTION("""COMPUTED_VALUE"""),116.71)</f>
        <v>116.71</v>
      </c>
      <c r="BC161" s="26">
        <f>IFERROR(__xludf.DUMMYFUNCTION("""COMPUTED_VALUE"""),223.02)</f>
        <v>223.02</v>
      </c>
      <c r="BD161" s="26">
        <f>IFERROR(__xludf.DUMMYFUNCTION("""COMPUTED_VALUE"""),526.07)</f>
        <v>526.07</v>
      </c>
      <c r="BE161" s="26">
        <f>IFERROR(__xludf.DUMMYFUNCTION("""COMPUTED_VALUE"""),199.52)</f>
        <v>199.52</v>
      </c>
      <c r="BF161" s="26">
        <f>IFERROR(__xludf.DUMMYFUNCTION("""COMPUTED_VALUE"""),61.02)</f>
        <v>61.02</v>
      </c>
      <c r="BG161" s="26">
        <f>IFERROR(__xludf.DUMMYFUNCTION("""COMPUTED_VALUE"""),8.38)</f>
        <v>8.38</v>
      </c>
      <c r="BH161" s="26">
        <f>IFERROR(__xludf.DUMMYFUNCTION("""COMPUTED_VALUE"""),229.93)</f>
        <v>229.93</v>
      </c>
      <c r="BI161" s="26">
        <f>IFERROR(__xludf.DUMMYFUNCTION("""COMPUTED_VALUE"""),509.99)</f>
        <v>509.99</v>
      </c>
      <c r="BJ161" s="26">
        <f>IFERROR(__xludf.DUMMYFUNCTION("""COMPUTED_VALUE"""),48.34)</f>
        <v>48.34</v>
      </c>
      <c r="BK161" s="26">
        <f>IFERROR(__xludf.DUMMYFUNCTION("""COMPUTED_VALUE"""),12.48)</f>
        <v>12.48</v>
      </c>
      <c r="BL161" s="26">
        <f>IFERROR(__xludf.DUMMYFUNCTION("""COMPUTED_VALUE"""),204.02)</f>
        <v>204.02</v>
      </c>
      <c r="BM161" s="26">
        <f>IFERROR(__xludf.DUMMYFUNCTION("""COMPUTED_VALUE"""),111.55)</f>
        <v>111.55</v>
      </c>
    </row>
    <row r="162">
      <c r="A162" s="25">
        <v>45657.66666666667</v>
      </c>
      <c r="B162" s="17">
        <f>IFERROR(__xludf.DUMMYFUNCTION("""COMPUTED_VALUE"""),5906.94)</f>
        <v>5906.94</v>
      </c>
      <c r="C162" s="17">
        <f>IFERROR(__xludf.DUMMYFUNCTION("""COMPUTED_VALUE"""),19486.79)</f>
        <v>19486.79</v>
      </c>
      <c r="D162" s="17">
        <f>IFERROR(__xludf.DUMMYFUNCTION("""COMPUTED_VALUE"""),42573.73)</f>
        <v>42573.73</v>
      </c>
      <c r="E162" s="17">
        <f>IFERROR(__xludf.DUMMYFUNCTION("""COMPUTED_VALUE"""),2227.78)</f>
        <v>2227.78</v>
      </c>
      <c r="F162" s="26">
        <f>IFERROR(__xludf.DUMMYFUNCTION("""COMPUTED_VALUE"""),445.8)</f>
        <v>445.8</v>
      </c>
      <c r="G162" s="26">
        <f>IFERROR(__xludf.DUMMYFUNCTION("""COMPUTED_VALUE"""),221.3)</f>
        <v>221.3</v>
      </c>
      <c r="H162" s="26">
        <f>IFERROR(__xludf.DUMMYFUNCTION("""COMPUTED_VALUE"""),124.24)</f>
        <v>124.24</v>
      </c>
      <c r="I162" s="26">
        <f>IFERROR(__xludf.DUMMYFUNCTION("""COMPUTED_VALUE"""),252.2)</f>
        <v>252.2</v>
      </c>
      <c r="J162" s="26">
        <f>IFERROR(__xludf.DUMMYFUNCTION("""COMPUTED_VALUE"""),163.64)</f>
        <v>163.64</v>
      </c>
      <c r="K162" s="26">
        <f>IFERROR(__xludf.DUMMYFUNCTION("""COMPUTED_VALUE"""),77.11)</f>
        <v>77.11</v>
      </c>
      <c r="L162" s="26">
        <f>IFERROR(__xludf.DUMMYFUNCTION("""COMPUTED_VALUE"""),13.29)</f>
        <v>13.29</v>
      </c>
      <c r="M162" s="26">
        <f>IFERROR(__xludf.DUMMYFUNCTION("""COMPUTED_VALUE"""),452.16)</f>
        <v>452.16</v>
      </c>
      <c r="N162" s="26">
        <f>IFERROR(__xludf.DUMMYFUNCTION("""COMPUTED_VALUE"""),48.78)</f>
        <v>48.78</v>
      </c>
      <c r="O162" s="26">
        <f>IFERROR(__xludf.DUMMYFUNCTION("""COMPUTED_VALUE"""),150.19)</f>
        <v>150.19</v>
      </c>
      <c r="P162" s="26">
        <f>IFERROR(__xludf.DUMMYFUNCTION("""COMPUTED_VALUE"""),68.23)</f>
        <v>68.23</v>
      </c>
      <c r="Q162" s="26">
        <f>IFERROR(__xludf.DUMMYFUNCTION("""COMPUTED_VALUE"""),363.01)</f>
        <v>363.01</v>
      </c>
      <c r="R162" s="26">
        <f>IFERROR(__xludf.DUMMYFUNCTION("""COMPUTED_VALUE"""),51.33)</f>
        <v>51.33</v>
      </c>
      <c r="S162" s="26">
        <f>IFERROR(__xludf.DUMMYFUNCTION("""COMPUTED_VALUE"""),187.26)</f>
        <v>187.26</v>
      </c>
      <c r="T162" s="26">
        <f>IFERROR(__xludf.DUMMYFUNCTION("""COMPUTED_VALUE"""),143.07)</f>
        <v>143.07</v>
      </c>
      <c r="U162" s="26">
        <f>IFERROR(__xludf.DUMMYFUNCTION("""COMPUTED_VALUE"""),275.14)</f>
        <v>275.14</v>
      </c>
      <c r="V162" s="26">
        <f>IFERROR(__xludf.DUMMYFUNCTION("""COMPUTED_VALUE"""),43.56)</f>
        <v>43.56</v>
      </c>
      <c r="W162" s="26">
        <f>IFERROR(__xludf.DUMMYFUNCTION("""COMPUTED_VALUE"""),62.03)</f>
        <v>62.03</v>
      </c>
      <c r="X162" s="26">
        <f>IFERROR(__xludf.DUMMYFUNCTION("""COMPUTED_VALUE"""),89.16)</f>
        <v>89.16</v>
      </c>
      <c r="Y162" s="26">
        <f>IFERROR(__xludf.DUMMYFUNCTION("""COMPUTED_VALUE"""),176.22)</f>
        <v>176.22</v>
      </c>
      <c r="Z162" s="26">
        <f>IFERROR(__xludf.DUMMYFUNCTION("""COMPUTED_VALUE"""),74.77)</f>
        <v>74.77</v>
      </c>
      <c r="AA162" s="26">
        <f>IFERROR(__xludf.DUMMYFUNCTION("""COMPUTED_VALUE"""),420.72)</f>
        <v>420.72</v>
      </c>
      <c r="AB162" s="26">
        <f>IFERROR(__xludf.DUMMYFUNCTION("""COMPUTED_VALUE"""),62.06)</f>
        <v>62.06</v>
      </c>
      <c r="AC162" s="26">
        <f>IFERROR(__xludf.DUMMYFUNCTION("""COMPUTED_VALUE"""),105.76)</f>
        <v>105.76</v>
      </c>
      <c r="AD162" s="26">
        <f>IFERROR(__xludf.DUMMYFUNCTION("""COMPUTED_VALUE"""),280.55)</f>
        <v>280.55</v>
      </c>
      <c r="AE162" s="26">
        <f>IFERROR(__xludf.DUMMYFUNCTION("""COMPUTED_VALUE"""),426.77)</f>
        <v>426.77</v>
      </c>
      <c r="AF162" s="26">
        <f>IFERROR(__xludf.DUMMYFUNCTION("""COMPUTED_VALUE"""),263.38)</f>
        <v>263.38</v>
      </c>
      <c r="AG162" s="26">
        <f>IFERROR(__xludf.DUMMYFUNCTION("""COMPUTED_VALUE"""),53.66)</f>
        <v>53.66</v>
      </c>
      <c r="AH162" s="26">
        <f>IFERROR(__xludf.DUMMYFUNCTION("""COMPUTED_VALUE"""),92.01)</f>
        <v>92.01</v>
      </c>
      <c r="AI162" s="26">
        <f>IFERROR(__xludf.DUMMYFUNCTION("""COMPUTED_VALUE"""),573.55)</f>
        <v>573.55</v>
      </c>
      <c r="AJ162" s="26">
        <f>IFERROR(__xludf.DUMMYFUNCTION("""COMPUTED_VALUE"""),389.43)</f>
        <v>389.43</v>
      </c>
      <c r="AK162" s="26">
        <f>IFERROR(__xludf.DUMMYFUNCTION("""COMPUTED_VALUE"""),124.27)</f>
        <v>124.27</v>
      </c>
      <c r="AL162" s="26">
        <f>IFERROR(__xludf.DUMMYFUNCTION("""COMPUTED_VALUE"""),149.37)</f>
        <v>149.37</v>
      </c>
      <c r="AM162" s="26">
        <f>IFERROR(__xludf.DUMMYFUNCTION("""COMPUTED_VALUE"""),526.96)</f>
        <v>526.96</v>
      </c>
      <c r="AN162" s="26">
        <f>IFERROR(__xludf.DUMMYFUNCTION("""COMPUTED_VALUE"""),239.32)</f>
        <v>239.32</v>
      </c>
      <c r="AO162" s="26">
        <f>IFERROR(__xludf.DUMMYFUNCTION("""COMPUTED_VALUE"""),483.37)</f>
        <v>483.37</v>
      </c>
      <c r="AP162" s="26">
        <f>IFERROR(__xludf.DUMMYFUNCTION("""COMPUTED_VALUE"""),384.05)</f>
        <v>384.05</v>
      </c>
      <c r="AQ162" s="26">
        <f>IFERROR(__xludf.DUMMYFUNCTION("""COMPUTED_VALUE"""),30.63)</f>
        <v>30.63</v>
      </c>
      <c r="AR162" s="26">
        <f>IFERROR(__xludf.DUMMYFUNCTION("""COMPUTED_VALUE"""),79.61)</f>
        <v>79.61</v>
      </c>
      <c r="AS162" s="26">
        <f>IFERROR(__xludf.DUMMYFUNCTION("""COMPUTED_VALUE"""),81.51)</f>
        <v>81.51</v>
      </c>
      <c r="AT162" s="26">
        <f>IFERROR(__xludf.DUMMYFUNCTION("""COMPUTED_VALUE"""),424.83)</f>
        <v>424.83</v>
      </c>
      <c r="AU162" s="26">
        <f>IFERROR(__xludf.DUMMYFUNCTION("""COMPUTED_VALUE"""),71.76)</f>
        <v>71.76</v>
      </c>
      <c r="AV162" s="26">
        <f>IFERROR(__xludf.DUMMYFUNCTION("""COMPUTED_VALUE"""),137.49)</f>
        <v>137.49</v>
      </c>
      <c r="AW162" s="26">
        <f>IFERROR(__xludf.DUMMYFUNCTION("""COMPUTED_VALUE"""),92.57)</f>
        <v>92.57</v>
      </c>
      <c r="AX162" s="26">
        <f>IFERROR(__xludf.DUMMYFUNCTION("""COMPUTED_VALUE"""),55.19)</f>
        <v>55.19</v>
      </c>
      <c r="AY162" s="26">
        <f>IFERROR(__xludf.DUMMYFUNCTION("""COMPUTED_VALUE"""),77.18)</f>
        <v>77.18</v>
      </c>
      <c r="AZ162" s="26">
        <f>IFERROR(__xludf.DUMMYFUNCTION("""COMPUTED_VALUE"""),85.43)</f>
        <v>85.43</v>
      </c>
      <c r="BA162" s="26">
        <f>IFERROR(__xludf.DUMMYFUNCTION("""COMPUTED_VALUE"""),26.42)</f>
        <v>26.42</v>
      </c>
      <c r="BB162" s="26">
        <f>IFERROR(__xludf.DUMMYFUNCTION("""COMPUTED_VALUE"""),115.22)</f>
        <v>115.22</v>
      </c>
      <c r="BC162" s="26">
        <f>IFERROR(__xludf.DUMMYFUNCTION("""COMPUTED_VALUE"""),220.66)</f>
        <v>220.66</v>
      </c>
      <c r="BD162" s="26">
        <f>IFERROR(__xludf.DUMMYFUNCTION("""COMPUTED_VALUE"""),518.84)</f>
        <v>518.84</v>
      </c>
      <c r="BE162" s="26">
        <f>IFERROR(__xludf.DUMMYFUNCTION("""COMPUTED_VALUE"""),195.66)</f>
        <v>195.66</v>
      </c>
      <c r="BF162" s="26">
        <f>IFERROR(__xludf.DUMMYFUNCTION("""COMPUTED_VALUE"""),59.28)</f>
        <v>59.28</v>
      </c>
      <c r="BG162" s="26">
        <f>IFERROR(__xludf.DUMMYFUNCTION("""COMPUTED_VALUE"""),8.21)</f>
        <v>8.21</v>
      </c>
      <c r="BH162" s="26">
        <f>IFERROR(__xludf.DUMMYFUNCTION("""COMPUTED_VALUE"""),227.79)</f>
        <v>227.79</v>
      </c>
      <c r="BI162" s="26">
        <f>IFERROR(__xludf.DUMMYFUNCTION("""COMPUTED_VALUE"""),507.8)</f>
        <v>507.8</v>
      </c>
      <c r="BJ162" s="26">
        <f>IFERROR(__xludf.DUMMYFUNCTION("""COMPUTED_VALUE"""),48.4)</f>
        <v>48.4</v>
      </c>
      <c r="BK162" s="26">
        <f>IFERROR(__xludf.DUMMYFUNCTION("""COMPUTED_VALUE"""),12.38)</f>
        <v>12.38</v>
      </c>
      <c r="BL162" s="26">
        <f>IFERROR(__xludf.DUMMYFUNCTION("""COMPUTED_VALUE"""),202.27)</f>
        <v>202.27</v>
      </c>
      <c r="BM162" s="26">
        <f>IFERROR(__xludf.DUMMYFUNCTION("""COMPUTED_VALUE"""),110.8)</f>
        <v>110.8</v>
      </c>
    </row>
    <row r="163">
      <c r="A163" s="25">
        <v>45659.66666666667</v>
      </c>
      <c r="B163" s="17">
        <f>IFERROR(__xludf.DUMMYFUNCTION("""COMPUTED_VALUE"""),5881.63)</f>
        <v>5881.63</v>
      </c>
      <c r="C163" s="17">
        <f>IFERROR(__xludf.DUMMYFUNCTION("""COMPUTED_VALUE"""),19310.79)</f>
        <v>19310.79</v>
      </c>
      <c r="D163" s="17">
        <f>IFERROR(__xludf.DUMMYFUNCTION("""COMPUTED_VALUE"""),42544.22)</f>
        <v>42544.22</v>
      </c>
      <c r="E163" s="17">
        <f>IFERROR(__xludf.DUMMYFUNCTION("""COMPUTED_VALUE"""),2230.16)</f>
        <v>2230.16</v>
      </c>
      <c r="F163" s="26">
        <f>IFERROR(__xludf.DUMMYFUNCTION("""COMPUTED_VALUE"""),444.68)</f>
        <v>444.68</v>
      </c>
      <c r="G163" s="26">
        <f>IFERROR(__xludf.DUMMYFUNCTION("""COMPUTED_VALUE"""),219.39)</f>
        <v>219.39</v>
      </c>
      <c r="H163" s="26">
        <f>IFERROR(__xludf.DUMMYFUNCTION("""COMPUTED_VALUE"""),124.49)</f>
        <v>124.49</v>
      </c>
      <c r="I163" s="26">
        <f>IFERROR(__xludf.DUMMYFUNCTION("""COMPUTED_VALUE"""),250.42)</f>
        <v>250.42</v>
      </c>
      <c r="J163" s="26">
        <f>IFERROR(__xludf.DUMMYFUNCTION("""COMPUTED_VALUE"""),162.63)</f>
        <v>162.63</v>
      </c>
      <c r="K163" s="26">
        <f>IFERROR(__xludf.DUMMYFUNCTION("""COMPUTED_VALUE"""),76.83)</f>
        <v>76.83</v>
      </c>
      <c r="L163" s="26">
        <f>IFERROR(__xludf.DUMMYFUNCTION("""COMPUTED_VALUE"""),13.29)</f>
        <v>13.29</v>
      </c>
      <c r="M163" s="26">
        <f>IFERROR(__xludf.DUMMYFUNCTION("""COMPUTED_VALUE"""),453.28)</f>
        <v>453.28</v>
      </c>
      <c r="N163" s="26">
        <f>IFERROR(__xludf.DUMMYFUNCTION("""COMPUTED_VALUE"""),48.83)</f>
        <v>48.83</v>
      </c>
      <c r="O163" s="26">
        <f>IFERROR(__xludf.DUMMYFUNCTION("""COMPUTED_VALUE"""),152.92)</f>
        <v>152.92</v>
      </c>
      <c r="P163" s="26">
        <f>IFERROR(__xludf.DUMMYFUNCTION("""COMPUTED_VALUE"""),68.26)</f>
        <v>68.26</v>
      </c>
      <c r="Q163" s="26">
        <f>IFERROR(__xludf.DUMMYFUNCTION("""COMPUTED_VALUE"""),362.76)</f>
        <v>362.76</v>
      </c>
      <c r="R163" s="26">
        <f>IFERROR(__xludf.DUMMYFUNCTION("""COMPUTED_VALUE"""),51.39)</f>
        <v>51.39</v>
      </c>
      <c r="S163" s="26">
        <f>IFERROR(__xludf.DUMMYFUNCTION("""COMPUTED_VALUE"""),186.7)</f>
        <v>186.7</v>
      </c>
      <c r="T163" s="26">
        <f>IFERROR(__xludf.DUMMYFUNCTION("""COMPUTED_VALUE"""),144.84)</f>
        <v>144.84</v>
      </c>
      <c r="U163" s="26">
        <f>IFERROR(__xludf.DUMMYFUNCTION("""COMPUTED_VALUE"""),276.14)</f>
        <v>276.14</v>
      </c>
      <c r="V163" s="26">
        <f>IFERROR(__xludf.DUMMYFUNCTION("""COMPUTED_VALUE"""),43.76)</f>
        <v>43.76</v>
      </c>
      <c r="W163" s="26">
        <f>IFERROR(__xludf.DUMMYFUNCTION("""COMPUTED_VALUE"""),62.26)</f>
        <v>62.26</v>
      </c>
      <c r="X163" s="26">
        <f>IFERROR(__xludf.DUMMYFUNCTION("""COMPUTED_VALUE"""),89.23)</f>
        <v>89.23</v>
      </c>
      <c r="Y163" s="26">
        <f>IFERROR(__xludf.DUMMYFUNCTION("""COMPUTED_VALUE"""),177.33)</f>
        <v>177.33</v>
      </c>
      <c r="Z163" s="26">
        <f>IFERROR(__xludf.DUMMYFUNCTION("""COMPUTED_VALUE"""),74.94)</f>
        <v>74.94</v>
      </c>
      <c r="AA163" s="26">
        <f>IFERROR(__xludf.DUMMYFUNCTION("""COMPUTED_VALUE"""),419.76)</f>
        <v>419.76</v>
      </c>
      <c r="AB163" s="26">
        <f>IFERROR(__xludf.DUMMYFUNCTION("""COMPUTED_VALUE"""),61.95)</f>
        <v>61.95</v>
      </c>
      <c r="AC163" s="26">
        <f>IFERROR(__xludf.DUMMYFUNCTION("""COMPUTED_VALUE"""),107.57)</f>
        <v>107.57</v>
      </c>
      <c r="AD163" s="26">
        <f>IFERROR(__xludf.DUMMYFUNCTION("""COMPUTED_VALUE"""),281.33)</f>
        <v>281.33</v>
      </c>
      <c r="AE163" s="26">
        <f>IFERROR(__xludf.DUMMYFUNCTION("""COMPUTED_VALUE"""),424.84)</f>
        <v>424.84</v>
      </c>
      <c r="AF163" s="26">
        <f>IFERROR(__xludf.DUMMYFUNCTION("""COMPUTED_VALUE"""),263.49)</f>
        <v>263.49</v>
      </c>
      <c r="AG163" s="26">
        <f>IFERROR(__xludf.DUMMYFUNCTION("""COMPUTED_VALUE"""),53.27)</f>
        <v>53.27</v>
      </c>
      <c r="AH163" s="26">
        <f>IFERROR(__xludf.DUMMYFUNCTION("""COMPUTED_VALUE"""),92.37)</f>
        <v>92.37</v>
      </c>
      <c r="AI163" s="26">
        <f>IFERROR(__xludf.DUMMYFUNCTION("""COMPUTED_VALUE"""),572.62)</f>
        <v>572.62</v>
      </c>
      <c r="AJ163" s="26">
        <f>IFERROR(__xludf.DUMMYFUNCTION("""COMPUTED_VALUE"""),388.99)</f>
        <v>388.99</v>
      </c>
      <c r="AK163" s="26">
        <f>IFERROR(__xludf.DUMMYFUNCTION("""COMPUTED_VALUE"""),124.26)</f>
        <v>124.26</v>
      </c>
      <c r="AL163" s="26">
        <f>IFERROR(__xludf.DUMMYFUNCTION("""COMPUTED_VALUE"""),149.01)</f>
        <v>149.01</v>
      </c>
      <c r="AM163" s="26">
        <f>IFERROR(__xludf.DUMMYFUNCTION("""COMPUTED_VALUE"""),521.96)</f>
        <v>521.96</v>
      </c>
      <c r="AN163" s="26">
        <f>IFERROR(__xludf.DUMMYFUNCTION("""COMPUTED_VALUE"""),239.71)</f>
        <v>239.71</v>
      </c>
      <c r="AO163" s="26">
        <f>IFERROR(__xludf.DUMMYFUNCTION("""COMPUTED_VALUE"""),485.94)</f>
        <v>485.94</v>
      </c>
      <c r="AP163" s="26">
        <f>IFERROR(__xludf.DUMMYFUNCTION("""COMPUTED_VALUE"""),382.41)</f>
        <v>382.41</v>
      </c>
      <c r="AQ163" s="26">
        <f>IFERROR(__xludf.DUMMYFUNCTION("""COMPUTED_VALUE"""),30.71)</f>
        <v>30.71</v>
      </c>
      <c r="AR163" s="26">
        <f>IFERROR(__xludf.DUMMYFUNCTION("""COMPUTED_VALUE"""),79.88)</f>
        <v>79.88</v>
      </c>
      <c r="AS163" s="26">
        <f>IFERROR(__xludf.DUMMYFUNCTION("""COMPUTED_VALUE"""),81.88)</f>
        <v>81.88</v>
      </c>
      <c r="AT163" s="26">
        <f>IFERROR(__xludf.DUMMYFUNCTION("""COMPUTED_VALUE"""),421.5)</f>
        <v>421.5</v>
      </c>
      <c r="AU163" s="26">
        <f>IFERROR(__xludf.DUMMYFUNCTION("""COMPUTED_VALUE"""),71.69)</f>
        <v>71.69</v>
      </c>
      <c r="AV163" s="26">
        <f>IFERROR(__xludf.DUMMYFUNCTION("""COMPUTED_VALUE"""),134.29)</f>
        <v>134.29</v>
      </c>
      <c r="AW163" s="26">
        <f>IFERROR(__xludf.DUMMYFUNCTION("""COMPUTED_VALUE"""),92.61)</f>
        <v>92.61</v>
      </c>
      <c r="AX163" s="26">
        <f>IFERROR(__xludf.DUMMYFUNCTION("""COMPUTED_VALUE"""),54.77)</f>
        <v>54.77</v>
      </c>
      <c r="AY163" s="26">
        <f>IFERROR(__xludf.DUMMYFUNCTION("""COMPUTED_VALUE"""),75.63)</f>
        <v>75.63</v>
      </c>
      <c r="AZ163" s="26">
        <f>IFERROR(__xludf.DUMMYFUNCTION("""COMPUTED_VALUE"""),85.35)</f>
        <v>85.35</v>
      </c>
      <c r="BA163" s="26">
        <f>IFERROR(__xludf.DUMMYFUNCTION("""COMPUTED_VALUE"""),26.53)</f>
        <v>26.53</v>
      </c>
      <c r="BB163" s="26">
        <f>IFERROR(__xludf.DUMMYFUNCTION("""COMPUTED_VALUE"""),115.72)</f>
        <v>115.72</v>
      </c>
      <c r="BC163" s="26">
        <f>IFERROR(__xludf.DUMMYFUNCTION("""COMPUTED_VALUE"""),220.73)</f>
        <v>220.73</v>
      </c>
      <c r="BD163" s="26">
        <f>IFERROR(__xludf.DUMMYFUNCTION("""COMPUTED_VALUE"""),520.23)</f>
        <v>520.23</v>
      </c>
      <c r="BE163" s="26">
        <f>IFERROR(__xludf.DUMMYFUNCTION("""COMPUTED_VALUE"""),194.61)</f>
        <v>194.61</v>
      </c>
      <c r="BF163" s="26">
        <f>IFERROR(__xludf.DUMMYFUNCTION("""COMPUTED_VALUE"""),62.35)</f>
        <v>62.35</v>
      </c>
      <c r="BG163" s="26">
        <f>IFERROR(__xludf.DUMMYFUNCTION("""COMPUTED_VALUE"""),8.28)</f>
        <v>8.28</v>
      </c>
      <c r="BH163" s="26">
        <f>IFERROR(__xludf.DUMMYFUNCTION("""COMPUTED_VALUE"""),228.04)</f>
        <v>228.04</v>
      </c>
      <c r="BI163" s="26">
        <f>IFERROR(__xludf.DUMMYFUNCTION("""COMPUTED_VALUE"""),505.86)</f>
        <v>505.86</v>
      </c>
      <c r="BJ163" s="26">
        <f>IFERROR(__xludf.DUMMYFUNCTION("""COMPUTED_VALUE"""),48.42)</f>
        <v>48.42</v>
      </c>
      <c r="BK163" s="26">
        <f>IFERROR(__xludf.DUMMYFUNCTION("""COMPUTED_VALUE"""),12.45)</f>
        <v>12.45</v>
      </c>
      <c r="BL163" s="26">
        <f>IFERROR(__xludf.DUMMYFUNCTION("""COMPUTED_VALUE"""),201.79)</f>
        <v>201.79</v>
      </c>
      <c r="BM163" s="26">
        <f>IFERROR(__xludf.DUMMYFUNCTION("""COMPUTED_VALUE"""),111.35)</f>
        <v>111.35</v>
      </c>
    </row>
    <row r="164">
      <c r="A164" s="25">
        <v>45660.66666666667</v>
      </c>
      <c r="B164" s="17">
        <f>IFERROR(__xludf.DUMMYFUNCTION("""COMPUTED_VALUE"""),5868.55)</f>
        <v>5868.55</v>
      </c>
      <c r="C164" s="17">
        <f>IFERROR(__xludf.DUMMYFUNCTION("""COMPUTED_VALUE"""),19280.79)</f>
        <v>19280.79</v>
      </c>
      <c r="D164" s="17">
        <f>IFERROR(__xludf.DUMMYFUNCTION("""COMPUTED_VALUE"""),42392.27)</f>
        <v>42392.27</v>
      </c>
      <c r="E164" s="17">
        <f>IFERROR(__xludf.DUMMYFUNCTION("""COMPUTED_VALUE"""),2231.67)</f>
        <v>2231.67</v>
      </c>
      <c r="F164" s="26">
        <f>IFERROR(__xludf.DUMMYFUNCTION("""COMPUTED_VALUE"""),441.0)</f>
        <v>441</v>
      </c>
      <c r="G164" s="26">
        <f>IFERROR(__xludf.DUMMYFUNCTION("""COMPUTED_VALUE"""),220.22)</f>
        <v>220.22</v>
      </c>
      <c r="H164" s="26">
        <f>IFERROR(__xludf.DUMMYFUNCTION("""COMPUTED_VALUE"""),123.86)</f>
        <v>123.86</v>
      </c>
      <c r="I164" s="26">
        <f>IFERROR(__xludf.DUMMYFUNCTION("""COMPUTED_VALUE"""),243.85)</f>
        <v>243.85</v>
      </c>
      <c r="J164" s="26">
        <f>IFERROR(__xludf.DUMMYFUNCTION("""COMPUTED_VALUE"""),163.87)</f>
        <v>163.87</v>
      </c>
      <c r="K164" s="26">
        <f>IFERROR(__xludf.DUMMYFUNCTION("""COMPUTED_VALUE"""),77.41)</f>
        <v>77.41</v>
      </c>
      <c r="L164" s="26">
        <f>IFERROR(__xludf.DUMMYFUNCTION("""COMPUTED_VALUE"""),13.13)</f>
        <v>13.13</v>
      </c>
      <c r="M164" s="26">
        <f>IFERROR(__xludf.DUMMYFUNCTION("""COMPUTED_VALUE"""),451.1)</f>
        <v>451.1</v>
      </c>
      <c r="N164" s="26">
        <f>IFERROR(__xludf.DUMMYFUNCTION("""COMPUTED_VALUE"""),49.21)</f>
        <v>49.21</v>
      </c>
      <c r="O164" s="26">
        <f>IFERROR(__xludf.DUMMYFUNCTION("""COMPUTED_VALUE"""),150.0)</f>
        <v>150</v>
      </c>
      <c r="P164" s="26">
        <f>IFERROR(__xludf.DUMMYFUNCTION("""COMPUTED_VALUE"""),68.33)</f>
        <v>68.33</v>
      </c>
      <c r="Q164" s="26">
        <f>IFERROR(__xludf.DUMMYFUNCTION("""COMPUTED_VALUE"""),359.77)</f>
        <v>359.77</v>
      </c>
      <c r="R164" s="26">
        <f>IFERROR(__xludf.DUMMYFUNCTION("""COMPUTED_VALUE"""),52.16)</f>
        <v>52.16</v>
      </c>
      <c r="S164" s="26">
        <f>IFERROR(__xludf.DUMMYFUNCTION("""COMPUTED_VALUE"""),184.58)</f>
        <v>184.58</v>
      </c>
      <c r="T164" s="26">
        <f>IFERROR(__xludf.DUMMYFUNCTION("""COMPUTED_VALUE"""),146.71)</f>
        <v>146.71</v>
      </c>
      <c r="U164" s="26">
        <f>IFERROR(__xludf.DUMMYFUNCTION("""COMPUTED_VALUE"""),274.49)</f>
        <v>274.49</v>
      </c>
      <c r="V164" s="26">
        <f>IFERROR(__xludf.DUMMYFUNCTION("""COMPUTED_VALUE"""),43.6)</f>
        <v>43.6</v>
      </c>
      <c r="W164" s="26">
        <f>IFERROR(__xludf.DUMMYFUNCTION("""COMPUTED_VALUE"""),61.84)</f>
        <v>61.84</v>
      </c>
      <c r="X164" s="26">
        <f>IFERROR(__xludf.DUMMYFUNCTION("""COMPUTED_VALUE"""),89.03)</f>
        <v>89.03</v>
      </c>
      <c r="Y164" s="26">
        <f>IFERROR(__xludf.DUMMYFUNCTION("""COMPUTED_VALUE"""),177.0)</f>
        <v>177</v>
      </c>
      <c r="Z164" s="26">
        <f>IFERROR(__xludf.DUMMYFUNCTION("""COMPUTED_VALUE"""),76.47)</f>
        <v>76.47</v>
      </c>
      <c r="AA164" s="26">
        <f>IFERROR(__xludf.DUMMYFUNCTION("""COMPUTED_VALUE"""),434.93)</f>
        <v>434.93</v>
      </c>
      <c r="AB164" s="26">
        <f>IFERROR(__xludf.DUMMYFUNCTION("""COMPUTED_VALUE"""),62.27)</f>
        <v>62.27</v>
      </c>
      <c r="AC164" s="26">
        <f>IFERROR(__xludf.DUMMYFUNCTION("""COMPUTED_VALUE"""),107.31)</f>
        <v>107.31</v>
      </c>
      <c r="AD164" s="26">
        <f>IFERROR(__xludf.DUMMYFUNCTION("""COMPUTED_VALUE"""),274.28)</f>
        <v>274.28</v>
      </c>
      <c r="AE164" s="26">
        <f>IFERROR(__xludf.DUMMYFUNCTION("""COMPUTED_VALUE"""),416.42)</f>
        <v>416.42</v>
      </c>
      <c r="AF164" s="26">
        <f>IFERROR(__xludf.DUMMYFUNCTION("""COMPUTED_VALUE"""),261.01)</f>
        <v>261.01</v>
      </c>
      <c r="AG164" s="26">
        <f>IFERROR(__xludf.DUMMYFUNCTION("""COMPUTED_VALUE"""),51.37)</f>
        <v>51.37</v>
      </c>
      <c r="AH164" s="26">
        <f>IFERROR(__xludf.DUMMYFUNCTION("""COMPUTED_VALUE"""),91.88)</f>
        <v>91.88</v>
      </c>
      <c r="AI164" s="26">
        <f>IFERROR(__xludf.DUMMYFUNCTION("""COMPUTED_VALUE"""),574.97)</f>
        <v>574.97</v>
      </c>
      <c r="AJ164" s="26">
        <f>IFERROR(__xludf.DUMMYFUNCTION("""COMPUTED_VALUE"""),388.46)</f>
        <v>388.46</v>
      </c>
      <c r="AK164" s="26">
        <f>IFERROR(__xludf.DUMMYFUNCTION("""COMPUTED_VALUE"""),123.31)</f>
        <v>123.31</v>
      </c>
      <c r="AL164" s="26">
        <f>IFERROR(__xludf.DUMMYFUNCTION("""COMPUTED_VALUE"""),149.34)</f>
        <v>149.34</v>
      </c>
      <c r="AM164" s="26">
        <f>IFERROR(__xludf.DUMMYFUNCTION("""COMPUTED_VALUE"""),524.03)</f>
        <v>524.03</v>
      </c>
      <c r="AN164" s="26">
        <f>IFERROR(__xludf.DUMMYFUNCTION("""COMPUTED_VALUE"""),240.0)</f>
        <v>240</v>
      </c>
      <c r="AO164" s="26">
        <f>IFERROR(__xludf.DUMMYFUNCTION("""COMPUTED_VALUE"""),482.25)</f>
        <v>482.25</v>
      </c>
      <c r="AP164" s="26">
        <f>IFERROR(__xludf.DUMMYFUNCTION("""COMPUTED_VALUE"""),372.31)</f>
        <v>372.31</v>
      </c>
      <c r="AQ164" s="26">
        <f>IFERROR(__xludf.DUMMYFUNCTION("""COMPUTED_VALUE"""),30.52)</f>
        <v>30.52</v>
      </c>
      <c r="AR164" s="26">
        <f>IFERROR(__xludf.DUMMYFUNCTION("""COMPUTED_VALUE"""),80.22)</f>
        <v>80.22</v>
      </c>
      <c r="AS164" s="26">
        <f>IFERROR(__xludf.DUMMYFUNCTION("""COMPUTED_VALUE"""),81.78)</f>
        <v>81.78</v>
      </c>
      <c r="AT164" s="26">
        <f>IFERROR(__xludf.DUMMYFUNCTION("""COMPUTED_VALUE"""),418.58)</f>
        <v>418.58</v>
      </c>
      <c r="AU164" s="26">
        <f>IFERROR(__xludf.DUMMYFUNCTION("""COMPUTED_VALUE"""),71.61)</f>
        <v>71.61</v>
      </c>
      <c r="AV164" s="26">
        <f>IFERROR(__xludf.DUMMYFUNCTION("""COMPUTED_VALUE"""),138.31)</f>
        <v>138.31</v>
      </c>
      <c r="AW164" s="26">
        <f>IFERROR(__xludf.DUMMYFUNCTION("""COMPUTED_VALUE"""),92.24)</f>
        <v>92.24</v>
      </c>
      <c r="AX164" s="26">
        <f>IFERROR(__xludf.DUMMYFUNCTION("""COMPUTED_VALUE"""),55.37)</f>
        <v>55.37</v>
      </c>
      <c r="AY164" s="26">
        <f>IFERROR(__xludf.DUMMYFUNCTION("""COMPUTED_VALUE"""),75.19)</f>
        <v>75.19</v>
      </c>
      <c r="AZ164" s="26">
        <f>IFERROR(__xludf.DUMMYFUNCTION("""COMPUTED_VALUE"""),86.18)</f>
        <v>86.18</v>
      </c>
      <c r="BA164" s="26">
        <f>IFERROR(__xludf.DUMMYFUNCTION("""COMPUTED_VALUE"""),26.61)</f>
        <v>26.61</v>
      </c>
      <c r="BB164" s="26">
        <f>IFERROR(__xludf.DUMMYFUNCTION("""COMPUTED_VALUE"""),116.01)</f>
        <v>116.01</v>
      </c>
      <c r="BC164" s="26">
        <f>IFERROR(__xludf.DUMMYFUNCTION("""COMPUTED_VALUE"""),219.53)</f>
        <v>219.53</v>
      </c>
      <c r="BD164" s="26">
        <f>IFERROR(__xludf.DUMMYFUNCTION("""COMPUTED_VALUE"""),522.57)</f>
        <v>522.57</v>
      </c>
      <c r="BE164" s="26">
        <f>IFERROR(__xludf.DUMMYFUNCTION("""COMPUTED_VALUE"""),193.12)</f>
        <v>193.12</v>
      </c>
      <c r="BF164" s="26">
        <f>IFERROR(__xludf.DUMMYFUNCTION("""COMPUTED_VALUE"""),66.5)</f>
        <v>66.5</v>
      </c>
      <c r="BG164" s="26">
        <f>IFERROR(__xludf.DUMMYFUNCTION("""COMPUTED_VALUE"""),8.1)</f>
        <v>8.1</v>
      </c>
      <c r="BH164" s="26">
        <f>IFERROR(__xludf.DUMMYFUNCTION("""COMPUTED_VALUE"""),229.12)</f>
        <v>229.12</v>
      </c>
      <c r="BI164" s="26">
        <f>IFERROR(__xludf.DUMMYFUNCTION("""COMPUTED_VALUE"""),504.51)</f>
        <v>504.51</v>
      </c>
      <c r="BJ164" s="26">
        <f>IFERROR(__xludf.DUMMYFUNCTION("""COMPUTED_VALUE"""),48.45)</f>
        <v>48.45</v>
      </c>
      <c r="BK164" s="26">
        <f>IFERROR(__xludf.DUMMYFUNCTION("""COMPUTED_VALUE"""),12.42)</f>
        <v>12.42</v>
      </c>
      <c r="BL164" s="26">
        <f>IFERROR(__xludf.DUMMYFUNCTION("""COMPUTED_VALUE"""),200.54)</f>
        <v>200.54</v>
      </c>
      <c r="BM164" s="26">
        <f>IFERROR(__xludf.DUMMYFUNCTION("""COMPUTED_VALUE"""),110.82)</f>
        <v>110.82</v>
      </c>
    </row>
    <row r="165">
      <c r="A165" s="25">
        <v>45663.66666666667</v>
      </c>
      <c r="B165" s="17">
        <f>IFERROR(__xludf.DUMMYFUNCTION("""COMPUTED_VALUE"""),5942.47)</f>
        <v>5942.47</v>
      </c>
      <c r="C165" s="17">
        <f>IFERROR(__xludf.DUMMYFUNCTION("""COMPUTED_VALUE"""),19621.68)</f>
        <v>19621.68</v>
      </c>
      <c r="D165" s="17">
        <f>IFERROR(__xludf.DUMMYFUNCTION("""COMPUTED_VALUE"""),42732.13)</f>
        <v>42732.13</v>
      </c>
      <c r="E165" s="17">
        <f>IFERROR(__xludf.DUMMYFUNCTION("""COMPUTED_VALUE"""),2268.47)</f>
        <v>2268.47</v>
      </c>
      <c r="F165" s="26">
        <f>IFERROR(__xludf.DUMMYFUNCTION("""COMPUTED_VALUE"""),430.57)</f>
        <v>430.57</v>
      </c>
      <c r="G165" s="26">
        <f>IFERROR(__xludf.DUMMYFUNCTION("""COMPUTED_VALUE"""),224.19)</f>
        <v>224.19</v>
      </c>
      <c r="H165" s="26">
        <f>IFERROR(__xludf.DUMMYFUNCTION("""COMPUTED_VALUE"""),123.77)</f>
        <v>123.77</v>
      </c>
      <c r="I165" s="26">
        <f>IFERROR(__xludf.DUMMYFUNCTION("""COMPUTED_VALUE"""),243.36)</f>
        <v>243.36</v>
      </c>
      <c r="J165" s="26">
        <f>IFERROR(__xludf.DUMMYFUNCTION("""COMPUTED_VALUE"""),170.06)</f>
        <v>170.06</v>
      </c>
      <c r="K165" s="26">
        <f>IFERROR(__xludf.DUMMYFUNCTION("""COMPUTED_VALUE"""),76.93)</f>
        <v>76.93</v>
      </c>
      <c r="L165" s="26">
        <f>IFERROR(__xludf.DUMMYFUNCTION("""COMPUTED_VALUE"""),13.3)</f>
        <v>13.3</v>
      </c>
      <c r="M165" s="26">
        <f>IFERROR(__xludf.DUMMYFUNCTION("""COMPUTED_VALUE"""),453.56)</f>
        <v>453.56</v>
      </c>
      <c r="N165" s="26">
        <f>IFERROR(__xludf.DUMMYFUNCTION("""COMPUTED_VALUE"""),48.81)</f>
        <v>48.81</v>
      </c>
      <c r="O165" s="26">
        <f>IFERROR(__xludf.DUMMYFUNCTION("""COMPUTED_VALUE"""),152.21)</f>
        <v>152.21</v>
      </c>
      <c r="P165" s="26">
        <f>IFERROR(__xludf.DUMMYFUNCTION("""COMPUTED_VALUE"""),69.26)</f>
        <v>69.26</v>
      </c>
      <c r="Q165" s="26">
        <f>IFERROR(__xludf.DUMMYFUNCTION("""COMPUTED_VALUE"""),363.79)</f>
        <v>363.79</v>
      </c>
      <c r="R165" s="26">
        <f>IFERROR(__xludf.DUMMYFUNCTION("""COMPUTED_VALUE"""),53.12)</f>
        <v>53.12</v>
      </c>
      <c r="S165" s="26">
        <f>IFERROR(__xludf.DUMMYFUNCTION("""COMPUTED_VALUE"""),181.4)</f>
        <v>181.4</v>
      </c>
      <c r="T165" s="26">
        <f>IFERROR(__xludf.DUMMYFUNCTION("""COMPUTED_VALUE"""),147.85)</f>
        <v>147.85</v>
      </c>
      <c r="U165" s="26">
        <f>IFERROR(__xludf.DUMMYFUNCTION("""COMPUTED_VALUE"""),280.7)</f>
        <v>280.7</v>
      </c>
      <c r="V165" s="26">
        <f>IFERROR(__xludf.DUMMYFUNCTION("""COMPUTED_VALUE"""),44.56)</f>
        <v>44.56</v>
      </c>
      <c r="W165" s="26">
        <f>IFERROR(__xludf.DUMMYFUNCTION("""COMPUTED_VALUE"""),61.75)</f>
        <v>61.75</v>
      </c>
      <c r="X165" s="26">
        <f>IFERROR(__xludf.DUMMYFUNCTION("""COMPUTED_VALUE"""),89.24)</f>
        <v>89.24</v>
      </c>
      <c r="Y165" s="26">
        <f>IFERROR(__xludf.DUMMYFUNCTION("""COMPUTED_VALUE"""),181.74)</f>
        <v>181.74</v>
      </c>
      <c r="Z165" s="26">
        <f>IFERROR(__xludf.DUMMYFUNCTION("""COMPUTED_VALUE"""),73.36)</f>
        <v>73.36</v>
      </c>
      <c r="AA165" s="26">
        <f>IFERROR(__xludf.DUMMYFUNCTION("""COMPUTED_VALUE"""),438.08)</f>
        <v>438.08</v>
      </c>
      <c r="AB165" s="26">
        <f>IFERROR(__xludf.DUMMYFUNCTION("""COMPUTED_VALUE"""),61.61)</f>
        <v>61.61</v>
      </c>
      <c r="AC165" s="26">
        <f>IFERROR(__xludf.DUMMYFUNCTION("""COMPUTED_VALUE"""),107.86)</f>
        <v>107.86</v>
      </c>
      <c r="AD165" s="26">
        <f>IFERROR(__xludf.DUMMYFUNCTION("""COMPUTED_VALUE"""),274.41)</f>
        <v>274.41</v>
      </c>
      <c r="AE165" s="26">
        <f>IFERROR(__xludf.DUMMYFUNCTION("""COMPUTED_VALUE"""),417.42)</f>
        <v>417.42</v>
      </c>
      <c r="AF165" s="26">
        <f>IFERROR(__xludf.DUMMYFUNCTION("""COMPUTED_VALUE"""),263.37)</f>
        <v>263.37</v>
      </c>
      <c r="AG165" s="26">
        <f>IFERROR(__xludf.DUMMYFUNCTION("""COMPUTED_VALUE"""),51.77)</f>
        <v>51.77</v>
      </c>
      <c r="AH165" s="26">
        <f>IFERROR(__xludf.DUMMYFUNCTION("""COMPUTED_VALUE"""),91.41)</f>
        <v>91.41</v>
      </c>
      <c r="AI165" s="26">
        <f>IFERROR(__xludf.DUMMYFUNCTION("""COMPUTED_VALUE"""),580.13)</f>
        <v>580.13</v>
      </c>
      <c r="AJ165" s="26">
        <f>IFERROR(__xludf.DUMMYFUNCTION("""COMPUTED_VALUE"""),389.18)</f>
        <v>389.18</v>
      </c>
      <c r="AK165" s="26">
        <f>IFERROR(__xludf.DUMMYFUNCTION("""COMPUTED_VALUE"""),124.66)</f>
        <v>124.66</v>
      </c>
      <c r="AL165" s="26">
        <f>IFERROR(__xludf.DUMMYFUNCTION("""COMPUTED_VALUE"""),149.84)</f>
        <v>149.84</v>
      </c>
      <c r="AM165" s="26">
        <f>IFERROR(__xludf.DUMMYFUNCTION("""COMPUTED_VALUE"""),535.29)</f>
        <v>535.29</v>
      </c>
      <c r="AN165" s="26">
        <f>IFERROR(__xludf.DUMMYFUNCTION("""COMPUTED_VALUE"""),243.28)</f>
        <v>243.28</v>
      </c>
      <c r="AO165" s="26">
        <f>IFERROR(__xludf.DUMMYFUNCTION("""COMPUTED_VALUE"""),481.82)</f>
        <v>481.82</v>
      </c>
      <c r="AP165" s="26">
        <f>IFERROR(__xludf.DUMMYFUNCTION("""COMPUTED_VALUE"""),378.18)</f>
        <v>378.18</v>
      </c>
      <c r="AQ165" s="26">
        <f>IFERROR(__xludf.DUMMYFUNCTION("""COMPUTED_VALUE"""),30.67)</f>
        <v>30.67</v>
      </c>
      <c r="AR165" s="26">
        <f>IFERROR(__xludf.DUMMYFUNCTION("""COMPUTED_VALUE"""),80.95)</f>
        <v>80.95</v>
      </c>
      <c r="AS165" s="26">
        <f>IFERROR(__xludf.DUMMYFUNCTION("""COMPUTED_VALUE"""),82.21)</f>
        <v>82.21</v>
      </c>
      <c r="AT165" s="26">
        <f>IFERROR(__xludf.DUMMYFUNCTION("""COMPUTED_VALUE"""),423.35)</f>
        <v>423.35</v>
      </c>
      <c r="AU165" s="26">
        <f>IFERROR(__xludf.DUMMYFUNCTION("""COMPUTED_VALUE"""),71.99)</f>
        <v>71.99</v>
      </c>
      <c r="AV165" s="26">
        <f>IFERROR(__xludf.DUMMYFUNCTION("""COMPUTED_VALUE"""),144.47)</f>
        <v>144.47</v>
      </c>
      <c r="AW165" s="26">
        <f>IFERROR(__xludf.DUMMYFUNCTION("""COMPUTED_VALUE"""),92.89)</f>
        <v>92.89</v>
      </c>
      <c r="AX165" s="26">
        <f>IFERROR(__xludf.DUMMYFUNCTION("""COMPUTED_VALUE"""),56.62)</f>
        <v>56.62</v>
      </c>
      <c r="AY165" s="26">
        <f>IFERROR(__xludf.DUMMYFUNCTION("""COMPUTED_VALUE"""),79.89)</f>
        <v>79.89</v>
      </c>
      <c r="AZ165" s="26">
        <f>IFERROR(__xludf.DUMMYFUNCTION("""COMPUTED_VALUE"""),87.6)</f>
        <v>87.6</v>
      </c>
      <c r="BA165" s="26">
        <f>IFERROR(__xludf.DUMMYFUNCTION("""COMPUTED_VALUE"""),26.59)</f>
        <v>26.59</v>
      </c>
      <c r="BB165" s="26">
        <f>IFERROR(__xludf.DUMMYFUNCTION("""COMPUTED_VALUE"""),115.87)</f>
        <v>115.87</v>
      </c>
      <c r="BC165" s="26">
        <f>IFERROR(__xludf.DUMMYFUNCTION("""COMPUTED_VALUE"""),219.11)</f>
        <v>219.11</v>
      </c>
      <c r="BD165" s="26">
        <f>IFERROR(__xludf.DUMMYFUNCTION("""COMPUTED_VALUE"""),532.02)</f>
        <v>532.02</v>
      </c>
      <c r="BE165" s="26">
        <f>IFERROR(__xludf.DUMMYFUNCTION("""COMPUTED_VALUE"""),195.25)</f>
        <v>195.25</v>
      </c>
      <c r="BF165" s="26">
        <f>IFERROR(__xludf.DUMMYFUNCTION("""COMPUTED_VALUE"""),69.09)</f>
        <v>69.09</v>
      </c>
      <c r="BG165" s="26">
        <f>IFERROR(__xludf.DUMMYFUNCTION("""COMPUTED_VALUE"""),8.36)</f>
        <v>8.36</v>
      </c>
      <c r="BH165" s="26">
        <f>IFERROR(__xludf.DUMMYFUNCTION("""COMPUTED_VALUE"""),231.5)</f>
        <v>231.5</v>
      </c>
      <c r="BI165" s="26">
        <f>IFERROR(__xludf.DUMMYFUNCTION("""COMPUTED_VALUE"""),513.0)</f>
        <v>513</v>
      </c>
      <c r="BJ165" s="26">
        <f>IFERROR(__xludf.DUMMYFUNCTION("""COMPUTED_VALUE"""),48.43)</f>
        <v>48.43</v>
      </c>
      <c r="BK165" s="26">
        <f>IFERROR(__xludf.DUMMYFUNCTION("""COMPUTED_VALUE"""),12.28)</f>
        <v>12.28</v>
      </c>
      <c r="BL165" s="26">
        <f>IFERROR(__xludf.DUMMYFUNCTION("""COMPUTED_VALUE"""),201.65)</f>
        <v>201.65</v>
      </c>
      <c r="BM165" s="26">
        <f>IFERROR(__xludf.DUMMYFUNCTION("""COMPUTED_VALUE"""),111.16)</f>
        <v>111.16</v>
      </c>
    </row>
    <row r="166">
      <c r="A166" s="25">
        <v>45664.66666666667</v>
      </c>
      <c r="B166" s="17">
        <f>IFERROR(__xludf.DUMMYFUNCTION("""COMPUTED_VALUE"""),5975.38)</f>
        <v>5975.38</v>
      </c>
      <c r="C166" s="17">
        <f>IFERROR(__xludf.DUMMYFUNCTION("""COMPUTED_VALUE"""),19864.98)</f>
        <v>19864.98</v>
      </c>
      <c r="D166" s="17">
        <f>IFERROR(__xludf.DUMMYFUNCTION("""COMPUTED_VALUE"""),42706.56)</f>
        <v>42706.56</v>
      </c>
      <c r="E166" s="17">
        <f>IFERROR(__xludf.DUMMYFUNCTION("""COMPUTED_VALUE"""),2266.65)</f>
        <v>2266.65</v>
      </c>
      <c r="F166" s="26">
        <f>IFERROR(__xludf.DUMMYFUNCTION("""COMPUTED_VALUE"""),431.18)</f>
        <v>431.18</v>
      </c>
      <c r="G166" s="26">
        <f>IFERROR(__xludf.DUMMYFUNCTION("""COMPUTED_VALUE"""),227.61)</f>
        <v>227.61</v>
      </c>
      <c r="H166" s="26">
        <f>IFERROR(__xludf.DUMMYFUNCTION("""COMPUTED_VALUE"""),121.97)</f>
        <v>121.97</v>
      </c>
      <c r="I166" s="26">
        <f>IFERROR(__xludf.DUMMYFUNCTION("""COMPUTED_VALUE"""),245.0)</f>
        <v>245</v>
      </c>
      <c r="J166" s="26">
        <f>IFERROR(__xludf.DUMMYFUNCTION("""COMPUTED_VALUE"""),177.48)</f>
        <v>177.48</v>
      </c>
      <c r="K166" s="26">
        <f>IFERROR(__xludf.DUMMYFUNCTION("""COMPUTED_VALUE"""),77.92)</f>
        <v>77.92</v>
      </c>
      <c r="L166" s="26">
        <f>IFERROR(__xludf.DUMMYFUNCTION("""COMPUTED_VALUE"""),13.61)</f>
        <v>13.61</v>
      </c>
      <c r="M166" s="26">
        <f>IFERROR(__xludf.DUMMYFUNCTION("""COMPUTED_VALUE"""),451.41)</f>
        <v>451.41</v>
      </c>
      <c r="N166" s="26">
        <f>IFERROR(__xludf.DUMMYFUNCTION("""COMPUTED_VALUE"""),48.49)</f>
        <v>48.49</v>
      </c>
      <c r="O166" s="26">
        <f>IFERROR(__xludf.DUMMYFUNCTION("""COMPUTED_VALUE"""),153.27)</f>
        <v>153.27</v>
      </c>
      <c r="P166" s="26">
        <f>IFERROR(__xludf.DUMMYFUNCTION("""COMPUTED_VALUE"""),68.71)</f>
        <v>68.71</v>
      </c>
      <c r="Q166" s="26">
        <f>IFERROR(__xludf.DUMMYFUNCTION("""COMPUTED_VALUE"""),364.2)</f>
        <v>364.2</v>
      </c>
      <c r="R166" s="26">
        <f>IFERROR(__xludf.DUMMYFUNCTION("""COMPUTED_VALUE"""),54.81)</f>
        <v>54.81</v>
      </c>
      <c r="S166" s="26">
        <f>IFERROR(__xludf.DUMMYFUNCTION("""COMPUTED_VALUE"""),179.88)</f>
        <v>179.88</v>
      </c>
      <c r="T166" s="26">
        <f>IFERROR(__xludf.DUMMYFUNCTION("""COMPUTED_VALUE"""),147.26)</f>
        <v>147.26</v>
      </c>
      <c r="U166" s="26">
        <f>IFERROR(__xludf.DUMMYFUNCTION("""COMPUTED_VALUE"""),279.66)</f>
        <v>279.66</v>
      </c>
      <c r="V166" s="26">
        <f>IFERROR(__xludf.DUMMYFUNCTION("""COMPUTED_VALUE"""),44.8)</f>
        <v>44.8</v>
      </c>
      <c r="W166" s="26">
        <f>IFERROR(__xludf.DUMMYFUNCTION("""COMPUTED_VALUE"""),60.81)</f>
        <v>60.81</v>
      </c>
      <c r="X166" s="26">
        <f>IFERROR(__xludf.DUMMYFUNCTION("""COMPUTED_VALUE"""),88.37)</f>
        <v>88.37</v>
      </c>
      <c r="Y166" s="26">
        <f>IFERROR(__xludf.DUMMYFUNCTION("""COMPUTED_VALUE"""),179.6)</f>
        <v>179.6</v>
      </c>
      <c r="Z166" s="26">
        <f>IFERROR(__xludf.DUMMYFUNCTION("""COMPUTED_VALUE"""),76.61)</f>
        <v>76.61</v>
      </c>
      <c r="AA166" s="26">
        <f>IFERROR(__xludf.DUMMYFUNCTION("""COMPUTED_VALUE"""),424.5)</f>
        <v>424.5</v>
      </c>
      <c r="AB166" s="26">
        <f>IFERROR(__xludf.DUMMYFUNCTION("""COMPUTED_VALUE"""),62.94)</f>
        <v>62.94</v>
      </c>
      <c r="AC166" s="26">
        <f>IFERROR(__xludf.DUMMYFUNCTION("""COMPUTED_VALUE"""),107.74)</f>
        <v>107.74</v>
      </c>
      <c r="AD166" s="26">
        <f>IFERROR(__xludf.DUMMYFUNCTION("""COMPUTED_VALUE"""),273.97)</f>
        <v>273.97</v>
      </c>
      <c r="AE166" s="26">
        <f>IFERROR(__xludf.DUMMYFUNCTION("""COMPUTED_VALUE"""),426.77)</f>
        <v>426.77</v>
      </c>
      <c r="AF166" s="26">
        <f>IFERROR(__xludf.DUMMYFUNCTION("""COMPUTED_VALUE"""),257.99)</f>
        <v>257.99</v>
      </c>
      <c r="AG166" s="26">
        <f>IFERROR(__xludf.DUMMYFUNCTION("""COMPUTED_VALUE"""),53.53)</f>
        <v>53.53</v>
      </c>
      <c r="AH166" s="26">
        <f>IFERROR(__xludf.DUMMYFUNCTION("""COMPUTED_VALUE"""),91.23)</f>
        <v>91.23</v>
      </c>
      <c r="AI166" s="26">
        <f>IFERROR(__xludf.DUMMYFUNCTION("""COMPUTED_VALUE"""),583.39)</f>
        <v>583.39</v>
      </c>
      <c r="AJ166" s="26">
        <f>IFERROR(__xludf.DUMMYFUNCTION("""COMPUTED_VALUE"""),389.37)</f>
        <v>389.37</v>
      </c>
      <c r="AK166" s="26">
        <f>IFERROR(__xludf.DUMMYFUNCTION("""COMPUTED_VALUE"""),121.09)</f>
        <v>121.09</v>
      </c>
      <c r="AL166" s="26">
        <f>IFERROR(__xludf.DUMMYFUNCTION("""COMPUTED_VALUE"""),146.58)</f>
        <v>146.58</v>
      </c>
      <c r="AM166" s="26">
        <f>IFERROR(__xludf.DUMMYFUNCTION("""COMPUTED_VALUE"""),542.37)</f>
        <v>542.37</v>
      </c>
      <c r="AN166" s="26">
        <f>IFERROR(__xludf.DUMMYFUNCTION("""COMPUTED_VALUE"""),240.85)</f>
        <v>240.85</v>
      </c>
      <c r="AO166" s="26">
        <f>IFERROR(__xludf.DUMMYFUNCTION("""COMPUTED_VALUE"""),466.0)</f>
        <v>466</v>
      </c>
      <c r="AP166" s="26">
        <f>IFERROR(__xludf.DUMMYFUNCTION("""COMPUTED_VALUE"""),395.31)</f>
        <v>395.31</v>
      </c>
      <c r="AQ166" s="26">
        <f>IFERROR(__xludf.DUMMYFUNCTION("""COMPUTED_VALUE"""),30.81)</f>
        <v>30.81</v>
      </c>
      <c r="AR166" s="26">
        <f>IFERROR(__xludf.DUMMYFUNCTION("""COMPUTED_VALUE"""),79.84)</f>
        <v>79.84</v>
      </c>
      <c r="AS166" s="26">
        <f>IFERROR(__xludf.DUMMYFUNCTION("""COMPUTED_VALUE"""),81.99)</f>
        <v>81.99</v>
      </c>
      <c r="AT166" s="26">
        <f>IFERROR(__xludf.DUMMYFUNCTION("""COMPUTED_VALUE"""),427.85)</f>
        <v>427.85</v>
      </c>
      <c r="AU166" s="26">
        <f>IFERROR(__xludf.DUMMYFUNCTION("""COMPUTED_VALUE"""),71.24)</f>
        <v>71.24</v>
      </c>
      <c r="AV166" s="26">
        <f>IFERROR(__xludf.DUMMYFUNCTION("""COMPUTED_VALUE"""),149.43)</f>
        <v>149.43</v>
      </c>
      <c r="AW166" s="26">
        <f>IFERROR(__xludf.DUMMYFUNCTION("""COMPUTED_VALUE"""),92.29)</f>
        <v>92.29</v>
      </c>
      <c r="AX166" s="26">
        <f>IFERROR(__xludf.DUMMYFUNCTION("""COMPUTED_VALUE"""),54.62)</f>
        <v>54.62</v>
      </c>
      <c r="AY166" s="26">
        <f>IFERROR(__xludf.DUMMYFUNCTION("""COMPUTED_VALUE"""),75.92)</f>
        <v>75.92</v>
      </c>
      <c r="AZ166" s="26">
        <f>IFERROR(__xludf.DUMMYFUNCTION("""COMPUTED_VALUE"""),89.53)</f>
        <v>89.53</v>
      </c>
      <c r="BA166" s="26">
        <f>IFERROR(__xludf.DUMMYFUNCTION("""COMPUTED_VALUE"""),26.89)</f>
        <v>26.89</v>
      </c>
      <c r="BB166" s="26">
        <f>IFERROR(__xludf.DUMMYFUNCTION("""COMPUTED_VALUE"""),114.1)</f>
        <v>114.1</v>
      </c>
      <c r="BC166" s="26">
        <f>IFERROR(__xludf.DUMMYFUNCTION("""COMPUTED_VALUE"""),212.38)</f>
        <v>212.38</v>
      </c>
      <c r="BD166" s="26">
        <f>IFERROR(__xludf.DUMMYFUNCTION("""COMPUTED_VALUE"""),537.19)</f>
        <v>537.19</v>
      </c>
      <c r="BE166" s="26">
        <f>IFERROR(__xludf.DUMMYFUNCTION("""COMPUTED_VALUE"""),190.39)</f>
        <v>190.39</v>
      </c>
      <c r="BF166" s="26">
        <f>IFERROR(__xludf.DUMMYFUNCTION("""COMPUTED_VALUE"""),75.63)</f>
        <v>75.63</v>
      </c>
      <c r="BG166" s="26">
        <f>IFERROR(__xludf.DUMMYFUNCTION("""COMPUTED_VALUE"""),8.47)</f>
        <v>8.47</v>
      </c>
      <c r="BH166" s="26">
        <f>IFERROR(__xludf.DUMMYFUNCTION("""COMPUTED_VALUE"""),230.01)</f>
        <v>230.01</v>
      </c>
      <c r="BI166" s="26">
        <f>IFERROR(__xludf.DUMMYFUNCTION("""COMPUTED_VALUE"""),513.67)</f>
        <v>513.67</v>
      </c>
      <c r="BJ166" s="26">
        <f>IFERROR(__xludf.DUMMYFUNCTION("""COMPUTED_VALUE"""),48.45)</f>
        <v>48.45</v>
      </c>
      <c r="BK166" s="26">
        <f>IFERROR(__xludf.DUMMYFUNCTION("""COMPUTED_VALUE"""),11.95)</f>
        <v>11.95</v>
      </c>
      <c r="BL166" s="26">
        <f>IFERROR(__xludf.DUMMYFUNCTION("""COMPUTED_VALUE"""),201.76)</f>
        <v>201.76</v>
      </c>
      <c r="BM166" s="26">
        <f>IFERROR(__xludf.DUMMYFUNCTION("""COMPUTED_VALUE"""),111.05)</f>
        <v>111.05</v>
      </c>
    </row>
    <row r="167">
      <c r="A167" s="25">
        <v>45665.66666666667</v>
      </c>
      <c r="B167" s="17">
        <f>IFERROR(__xludf.DUMMYFUNCTION("""COMPUTED_VALUE"""),5909.03)</f>
        <v>5909.03</v>
      </c>
      <c r="C167" s="17">
        <f>IFERROR(__xludf.DUMMYFUNCTION("""COMPUTED_VALUE"""),19489.68)</f>
        <v>19489.68</v>
      </c>
      <c r="D167" s="17">
        <f>IFERROR(__xludf.DUMMYFUNCTION("""COMPUTED_VALUE"""),42528.36)</f>
        <v>42528.36</v>
      </c>
      <c r="E167" s="17">
        <f>IFERROR(__xludf.DUMMYFUNCTION("""COMPUTED_VALUE"""),2249.8)</f>
        <v>2249.8</v>
      </c>
      <c r="F167" s="26">
        <f>IFERROR(__xludf.DUMMYFUNCTION("""COMPUTED_VALUE"""),422.63)</f>
        <v>422.63</v>
      </c>
      <c r="G167" s="26">
        <f>IFERROR(__xludf.DUMMYFUNCTION("""COMPUTED_VALUE"""),222.11)</f>
        <v>222.11</v>
      </c>
      <c r="H167" s="26">
        <f>IFERROR(__xludf.DUMMYFUNCTION("""COMPUTED_VALUE"""),121.63)</f>
        <v>121.63</v>
      </c>
      <c r="I167" s="26">
        <f>IFERROR(__xludf.DUMMYFUNCTION("""COMPUTED_VALUE"""),242.21)</f>
        <v>242.21</v>
      </c>
      <c r="J167" s="26">
        <f>IFERROR(__xludf.DUMMYFUNCTION("""COMPUTED_VALUE"""),177.82)</f>
        <v>177.82</v>
      </c>
      <c r="K167" s="26">
        <f>IFERROR(__xludf.DUMMYFUNCTION("""COMPUTED_VALUE"""),77.96)</f>
        <v>77.96</v>
      </c>
      <c r="L167" s="26">
        <f>IFERROR(__xludf.DUMMYFUNCTION("""COMPUTED_VALUE"""),13.25)</f>
        <v>13.25</v>
      </c>
      <c r="M167" s="26">
        <f>IFERROR(__xludf.DUMMYFUNCTION("""COMPUTED_VALUE"""),452.92)</f>
        <v>452.92</v>
      </c>
      <c r="N167" s="26">
        <f>IFERROR(__xludf.DUMMYFUNCTION("""COMPUTED_VALUE"""),48.18)</f>
        <v>48.18</v>
      </c>
      <c r="O167" s="26">
        <f>IFERROR(__xludf.DUMMYFUNCTION("""COMPUTED_VALUE"""),153.15)</f>
        <v>153.15</v>
      </c>
      <c r="P167" s="26">
        <f>IFERROR(__xludf.DUMMYFUNCTION("""COMPUTED_VALUE"""),68.21)</f>
        <v>68.21</v>
      </c>
      <c r="Q167" s="26">
        <f>IFERROR(__xludf.DUMMYFUNCTION("""COMPUTED_VALUE"""),363.0)</f>
        <v>363</v>
      </c>
      <c r="R167" s="26">
        <f>IFERROR(__xludf.DUMMYFUNCTION("""COMPUTED_VALUE"""),51.58)</f>
        <v>51.58</v>
      </c>
      <c r="S167" s="26">
        <f>IFERROR(__xludf.DUMMYFUNCTION("""COMPUTED_VALUE"""),181.48)</f>
        <v>181.48</v>
      </c>
      <c r="T167" s="26">
        <f>IFERROR(__xludf.DUMMYFUNCTION("""COMPUTED_VALUE"""),149.59)</f>
        <v>149.59</v>
      </c>
      <c r="U167" s="26">
        <f>IFERROR(__xludf.DUMMYFUNCTION("""COMPUTED_VALUE"""),279.93)</f>
        <v>279.93</v>
      </c>
      <c r="V167" s="26">
        <f>IFERROR(__xludf.DUMMYFUNCTION("""COMPUTED_VALUE"""),44.7)</f>
        <v>44.7</v>
      </c>
      <c r="W167" s="26">
        <f>IFERROR(__xludf.DUMMYFUNCTION("""COMPUTED_VALUE"""),60.84)</f>
        <v>60.84</v>
      </c>
      <c r="X167" s="26">
        <f>IFERROR(__xludf.DUMMYFUNCTION("""COMPUTED_VALUE"""),88.0)</f>
        <v>88</v>
      </c>
      <c r="Y167" s="26">
        <f>IFERROR(__xludf.DUMMYFUNCTION("""COMPUTED_VALUE"""),179.88)</f>
        <v>179.88</v>
      </c>
      <c r="Z167" s="26">
        <f>IFERROR(__xludf.DUMMYFUNCTION("""COMPUTED_VALUE"""),75.01)</f>
        <v>75.01</v>
      </c>
      <c r="AA167" s="26">
        <f>IFERROR(__xludf.DUMMYFUNCTION("""COMPUTED_VALUE"""),410.9)</f>
        <v>410.9</v>
      </c>
      <c r="AB167" s="26">
        <f>IFERROR(__xludf.DUMMYFUNCTION("""COMPUTED_VALUE"""),63.17)</f>
        <v>63.17</v>
      </c>
      <c r="AC167" s="26">
        <f>IFERROR(__xludf.DUMMYFUNCTION("""COMPUTED_VALUE"""),108.75)</f>
        <v>108.75</v>
      </c>
      <c r="AD167" s="26">
        <f>IFERROR(__xludf.DUMMYFUNCTION("""COMPUTED_VALUE"""),275.0)</f>
        <v>275</v>
      </c>
      <c r="AE167" s="26">
        <f>IFERROR(__xludf.DUMMYFUNCTION("""COMPUTED_VALUE"""),427.97)</f>
        <v>427.97</v>
      </c>
      <c r="AF167" s="26">
        <f>IFERROR(__xludf.DUMMYFUNCTION("""COMPUTED_VALUE"""),259.65)</f>
        <v>259.65</v>
      </c>
      <c r="AG167" s="26">
        <f>IFERROR(__xludf.DUMMYFUNCTION("""COMPUTED_VALUE"""),51.98)</f>
        <v>51.98</v>
      </c>
      <c r="AH167" s="26">
        <f>IFERROR(__xludf.DUMMYFUNCTION("""COMPUTED_VALUE"""),90.63)</f>
        <v>90.63</v>
      </c>
      <c r="AI167" s="26">
        <f>IFERROR(__xludf.DUMMYFUNCTION("""COMPUTED_VALUE"""),580.12)</f>
        <v>580.12</v>
      </c>
      <c r="AJ167" s="26">
        <f>IFERROR(__xludf.DUMMYFUNCTION("""COMPUTED_VALUE"""),384.23)</f>
        <v>384.23</v>
      </c>
      <c r="AK167" s="26">
        <f>IFERROR(__xludf.DUMMYFUNCTION("""COMPUTED_VALUE"""),122.61)</f>
        <v>122.61</v>
      </c>
      <c r="AL167" s="26">
        <f>IFERROR(__xludf.DUMMYFUNCTION("""COMPUTED_VALUE"""),146.44)</f>
        <v>146.44</v>
      </c>
      <c r="AM167" s="26">
        <f>IFERROR(__xludf.DUMMYFUNCTION("""COMPUTED_VALUE"""),531.88)</f>
        <v>531.88</v>
      </c>
      <c r="AN167" s="26">
        <f>IFERROR(__xludf.DUMMYFUNCTION("""COMPUTED_VALUE"""),243.17)</f>
        <v>243.17</v>
      </c>
      <c r="AO167" s="26">
        <f>IFERROR(__xludf.DUMMYFUNCTION("""COMPUTED_VALUE"""),463.96)</f>
        <v>463.96</v>
      </c>
      <c r="AP167" s="26">
        <f>IFERROR(__xludf.DUMMYFUNCTION("""COMPUTED_VALUE"""),393.46)</f>
        <v>393.46</v>
      </c>
      <c r="AQ167" s="26">
        <f>IFERROR(__xludf.DUMMYFUNCTION("""COMPUTED_VALUE"""),30.66)</f>
        <v>30.66</v>
      </c>
      <c r="AR167" s="26">
        <f>IFERROR(__xludf.DUMMYFUNCTION("""COMPUTED_VALUE"""),79.87)</f>
        <v>79.87</v>
      </c>
      <c r="AS167" s="26">
        <f>IFERROR(__xludf.DUMMYFUNCTION("""COMPUTED_VALUE"""),82.14)</f>
        <v>82.14</v>
      </c>
      <c r="AT167" s="26">
        <f>IFERROR(__xludf.DUMMYFUNCTION("""COMPUTED_VALUE"""),422.37)</f>
        <v>422.37</v>
      </c>
      <c r="AU167" s="26">
        <f>IFERROR(__xludf.DUMMYFUNCTION("""COMPUTED_VALUE"""),70.43)</f>
        <v>70.43</v>
      </c>
      <c r="AV167" s="26">
        <f>IFERROR(__xludf.DUMMYFUNCTION("""COMPUTED_VALUE"""),140.14)</f>
        <v>140.14</v>
      </c>
      <c r="AW167" s="26">
        <f>IFERROR(__xludf.DUMMYFUNCTION("""COMPUTED_VALUE"""),92.12)</f>
        <v>92.12</v>
      </c>
      <c r="AX167" s="26">
        <f>IFERROR(__xludf.DUMMYFUNCTION("""COMPUTED_VALUE"""),55.28)</f>
        <v>55.28</v>
      </c>
      <c r="AY167" s="26">
        <f>IFERROR(__xludf.DUMMYFUNCTION("""COMPUTED_VALUE"""),69.99)</f>
        <v>69.99</v>
      </c>
      <c r="AZ167" s="26">
        <f>IFERROR(__xludf.DUMMYFUNCTION("""COMPUTED_VALUE"""),87.97)</f>
        <v>87.97</v>
      </c>
      <c r="BA167" s="26">
        <f>IFERROR(__xludf.DUMMYFUNCTION("""COMPUTED_VALUE"""),27.13)</f>
        <v>27.13</v>
      </c>
      <c r="BB167" s="26">
        <f>IFERROR(__xludf.DUMMYFUNCTION("""COMPUTED_VALUE"""),114.8)</f>
        <v>114.8</v>
      </c>
      <c r="BC167" s="26">
        <f>IFERROR(__xludf.DUMMYFUNCTION("""COMPUTED_VALUE"""),212.34)</f>
        <v>212.34</v>
      </c>
      <c r="BD167" s="26">
        <f>IFERROR(__xludf.DUMMYFUNCTION("""COMPUTED_VALUE"""),545.65)</f>
        <v>545.65</v>
      </c>
      <c r="BE167" s="26">
        <f>IFERROR(__xludf.DUMMYFUNCTION("""COMPUTED_VALUE"""),193.12)</f>
        <v>193.12</v>
      </c>
      <c r="BF167" s="26">
        <f>IFERROR(__xludf.DUMMYFUNCTION("""COMPUTED_VALUE"""),78.67)</f>
        <v>78.67</v>
      </c>
      <c r="BG167" s="26">
        <f>IFERROR(__xludf.DUMMYFUNCTION("""COMPUTED_VALUE"""),8.39)</f>
        <v>8.39</v>
      </c>
      <c r="BH167" s="26">
        <f>IFERROR(__xludf.DUMMYFUNCTION("""COMPUTED_VALUE"""),230.54)</f>
        <v>230.54</v>
      </c>
      <c r="BI167" s="26">
        <f>IFERROR(__xludf.DUMMYFUNCTION("""COMPUTED_VALUE"""),514.25)</f>
        <v>514.25</v>
      </c>
      <c r="BJ167" s="26">
        <f>IFERROR(__xludf.DUMMYFUNCTION("""COMPUTED_VALUE"""),48.45)</f>
        <v>48.45</v>
      </c>
      <c r="BK167" s="26">
        <f>IFERROR(__xludf.DUMMYFUNCTION("""COMPUTED_VALUE"""),12.0)</f>
        <v>12</v>
      </c>
      <c r="BL167" s="26">
        <f>IFERROR(__xludf.DUMMYFUNCTION("""COMPUTED_VALUE"""),203.39)</f>
        <v>203.39</v>
      </c>
      <c r="BM167" s="26">
        <f>IFERROR(__xludf.DUMMYFUNCTION("""COMPUTED_VALUE"""),111.39)</f>
        <v>111.39</v>
      </c>
    </row>
    <row r="168">
      <c r="A168" s="25">
        <v>45667.66666666667</v>
      </c>
      <c r="B168" s="17">
        <f>IFERROR(__xludf.DUMMYFUNCTION("""COMPUTED_VALUE"""),5918.25)</f>
        <v>5918.25</v>
      </c>
      <c r="C168" s="17">
        <f>IFERROR(__xludf.DUMMYFUNCTION("""COMPUTED_VALUE"""),19478.88)</f>
        <v>19478.88</v>
      </c>
      <c r="D168" s="17">
        <f>IFERROR(__xludf.DUMMYFUNCTION("""COMPUTED_VALUE"""),42635.2)</f>
        <v>42635.2</v>
      </c>
      <c r="E168" s="17">
        <f>IFERROR(__xludf.DUMMYFUNCTION("""COMPUTED_VALUE"""),2238.96)</f>
        <v>2238.96</v>
      </c>
      <c r="F168" s="26">
        <f>IFERROR(__xludf.DUMMYFUNCTION("""COMPUTED_VALUE"""),419.58)</f>
        <v>419.58</v>
      </c>
      <c r="G168" s="26">
        <f>IFERROR(__xludf.DUMMYFUNCTION("""COMPUTED_VALUE"""),222.13)</f>
        <v>222.13</v>
      </c>
      <c r="H168" s="26">
        <f>IFERROR(__xludf.DUMMYFUNCTION("""COMPUTED_VALUE"""),122.61)</f>
        <v>122.61</v>
      </c>
      <c r="I168" s="26">
        <f>IFERROR(__xludf.DUMMYFUNCTION("""COMPUTED_VALUE"""),242.7)</f>
        <v>242.7</v>
      </c>
      <c r="J168" s="26">
        <f>IFERROR(__xludf.DUMMYFUNCTION("""COMPUTED_VALUE"""),176.99)</f>
        <v>176.99</v>
      </c>
      <c r="K168" s="26">
        <f>IFERROR(__xludf.DUMMYFUNCTION("""COMPUTED_VALUE"""),77.95)</f>
        <v>77.95</v>
      </c>
      <c r="L168" s="26">
        <f>IFERROR(__xludf.DUMMYFUNCTION("""COMPUTED_VALUE"""),13.19)</f>
        <v>13.19</v>
      </c>
      <c r="M168" s="26">
        <f>IFERROR(__xludf.DUMMYFUNCTION("""COMPUTED_VALUE"""),451.84)</f>
        <v>451.84</v>
      </c>
      <c r="N168" s="26">
        <f>IFERROR(__xludf.DUMMYFUNCTION("""COMPUTED_VALUE"""),48.72)</f>
        <v>48.72</v>
      </c>
      <c r="O168" s="26">
        <f>IFERROR(__xludf.DUMMYFUNCTION("""COMPUTED_VALUE"""),150.75)</f>
        <v>150.75</v>
      </c>
      <c r="P168" s="26">
        <f>IFERROR(__xludf.DUMMYFUNCTION("""COMPUTED_VALUE"""),68.45)</f>
        <v>68.45</v>
      </c>
      <c r="Q168" s="26">
        <f>IFERROR(__xludf.DUMMYFUNCTION("""COMPUTED_VALUE"""),361.07)</f>
        <v>361.07</v>
      </c>
      <c r="R168" s="26">
        <f>IFERROR(__xludf.DUMMYFUNCTION("""COMPUTED_VALUE"""),51.38)</f>
        <v>51.38</v>
      </c>
      <c r="S168" s="26">
        <f>IFERROR(__xludf.DUMMYFUNCTION("""COMPUTED_VALUE"""),183.19)</f>
        <v>183.19</v>
      </c>
      <c r="T168" s="26">
        <f>IFERROR(__xludf.DUMMYFUNCTION("""COMPUTED_VALUE"""),150.3)</f>
        <v>150.3</v>
      </c>
      <c r="U168" s="26">
        <f>IFERROR(__xludf.DUMMYFUNCTION("""COMPUTED_VALUE"""),279.32)</f>
        <v>279.32</v>
      </c>
      <c r="V168" s="26">
        <f>IFERROR(__xludf.DUMMYFUNCTION("""COMPUTED_VALUE"""),44.78)</f>
        <v>44.78</v>
      </c>
      <c r="W168" s="26">
        <f>IFERROR(__xludf.DUMMYFUNCTION("""COMPUTED_VALUE"""),61.71)</f>
        <v>61.71</v>
      </c>
      <c r="X168" s="26">
        <f>IFERROR(__xludf.DUMMYFUNCTION("""COMPUTED_VALUE"""),89.01)</f>
        <v>89.01</v>
      </c>
      <c r="Y168" s="26">
        <f>IFERROR(__xludf.DUMMYFUNCTION("""COMPUTED_VALUE"""),180.87)</f>
        <v>180.87</v>
      </c>
      <c r="Z168" s="26">
        <f>IFERROR(__xludf.DUMMYFUNCTION("""COMPUTED_VALUE"""),71.97)</f>
        <v>71.97</v>
      </c>
      <c r="AA168" s="26">
        <f>IFERROR(__xludf.DUMMYFUNCTION("""COMPUTED_VALUE"""),412.69)</f>
        <v>412.69</v>
      </c>
      <c r="AB168" s="26">
        <f>IFERROR(__xludf.DUMMYFUNCTION("""COMPUTED_VALUE"""),69.4)</f>
        <v>69.4</v>
      </c>
      <c r="AC168" s="26">
        <f>IFERROR(__xludf.DUMMYFUNCTION("""COMPUTED_VALUE"""),106.93)</f>
        <v>106.93</v>
      </c>
      <c r="AD168" s="26">
        <f>IFERROR(__xludf.DUMMYFUNCTION("""COMPUTED_VALUE"""),274.9)</f>
        <v>274.9</v>
      </c>
      <c r="AE168" s="26">
        <f>IFERROR(__xludf.DUMMYFUNCTION("""COMPUTED_VALUE"""),433.87)</f>
        <v>433.87</v>
      </c>
      <c r="AF168" s="26">
        <f>IFERROR(__xludf.DUMMYFUNCTION("""COMPUTED_VALUE"""),261.47)</f>
        <v>261.47</v>
      </c>
      <c r="AG168" s="26">
        <f>IFERROR(__xludf.DUMMYFUNCTION("""COMPUTED_VALUE"""),51.0)</f>
        <v>51</v>
      </c>
      <c r="AH168" s="26">
        <f>IFERROR(__xludf.DUMMYFUNCTION("""COMPUTED_VALUE"""),89.14)</f>
        <v>89.14</v>
      </c>
      <c r="AI168" s="26">
        <f>IFERROR(__xludf.DUMMYFUNCTION("""COMPUTED_VALUE"""),580.02)</f>
        <v>580.02</v>
      </c>
      <c r="AJ168" s="26">
        <f>IFERROR(__xludf.DUMMYFUNCTION("""COMPUTED_VALUE"""),387.2)</f>
        <v>387.2</v>
      </c>
      <c r="AK168" s="26">
        <f>IFERROR(__xludf.DUMMYFUNCTION("""COMPUTED_VALUE"""),125.68)</f>
        <v>125.68</v>
      </c>
      <c r="AL168" s="26">
        <f>IFERROR(__xludf.DUMMYFUNCTION("""COMPUTED_VALUE"""),146.57)</f>
        <v>146.57</v>
      </c>
      <c r="AM168" s="26">
        <f>IFERROR(__xludf.DUMMYFUNCTION("""COMPUTED_VALUE"""),544.02)</f>
        <v>544.02</v>
      </c>
      <c r="AN168" s="26">
        <f>IFERROR(__xludf.DUMMYFUNCTION("""COMPUTED_VALUE"""),243.13)</f>
        <v>243.13</v>
      </c>
      <c r="AO168" s="26">
        <f>IFERROR(__xludf.DUMMYFUNCTION("""COMPUTED_VALUE"""),468.85)</f>
        <v>468.85</v>
      </c>
      <c r="AP168" s="26">
        <f>IFERROR(__xludf.DUMMYFUNCTION("""COMPUTED_VALUE"""),392.92)</f>
        <v>392.92</v>
      </c>
      <c r="AQ168" s="26">
        <f>IFERROR(__xludf.DUMMYFUNCTION("""COMPUTED_VALUE"""),30.68)</f>
        <v>30.68</v>
      </c>
      <c r="AR168" s="26">
        <f>IFERROR(__xludf.DUMMYFUNCTION("""COMPUTED_VALUE"""),82.68)</f>
        <v>82.68</v>
      </c>
      <c r="AS168" s="26">
        <f>IFERROR(__xludf.DUMMYFUNCTION("""COMPUTED_VALUE"""),82.82)</f>
        <v>82.82</v>
      </c>
      <c r="AT168" s="26">
        <f>IFERROR(__xludf.DUMMYFUNCTION("""COMPUTED_VALUE"""),424.56)</f>
        <v>424.56</v>
      </c>
      <c r="AU168" s="26">
        <f>IFERROR(__xludf.DUMMYFUNCTION("""COMPUTED_VALUE"""),70.66)</f>
        <v>70.66</v>
      </c>
      <c r="AV168" s="26">
        <f>IFERROR(__xludf.DUMMYFUNCTION("""COMPUTED_VALUE"""),140.11)</f>
        <v>140.11</v>
      </c>
      <c r="AW168" s="26">
        <f>IFERROR(__xludf.DUMMYFUNCTION("""COMPUTED_VALUE"""),91.79)</f>
        <v>91.79</v>
      </c>
      <c r="AX168" s="26">
        <f>IFERROR(__xludf.DUMMYFUNCTION("""COMPUTED_VALUE"""),55.54)</f>
        <v>55.54</v>
      </c>
      <c r="AY168" s="26">
        <f>IFERROR(__xludf.DUMMYFUNCTION("""COMPUTED_VALUE"""),68.23)</f>
        <v>68.23</v>
      </c>
      <c r="AZ168" s="26">
        <f>IFERROR(__xludf.DUMMYFUNCTION("""COMPUTED_VALUE"""),87.94)</f>
        <v>87.94</v>
      </c>
      <c r="BA168" s="26">
        <f>IFERROR(__xludf.DUMMYFUNCTION("""COMPUTED_VALUE"""),26.86)</f>
        <v>26.86</v>
      </c>
      <c r="BB168" s="26">
        <f>IFERROR(__xludf.DUMMYFUNCTION("""COMPUTED_VALUE"""),115.92)</f>
        <v>115.92</v>
      </c>
      <c r="BC168" s="26">
        <f>IFERROR(__xludf.DUMMYFUNCTION("""COMPUTED_VALUE"""),215.52)</f>
        <v>215.52</v>
      </c>
      <c r="BD168" s="26">
        <f>IFERROR(__xludf.DUMMYFUNCTION("""COMPUTED_VALUE"""),544.93)</f>
        <v>544.93</v>
      </c>
      <c r="BE168" s="26">
        <f>IFERROR(__xludf.DUMMYFUNCTION("""COMPUTED_VALUE"""),192.55)</f>
        <v>192.55</v>
      </c>
      <c r="BF168" s="26">
        <f>IFERROR(__xludf.DUMMYFUNCTION("""COMPUTED_VALUE"""),72.55)</f>
        <v>72.55</v>
      </c>
      <c r="BG168" s="26">
        <f>IFERROR(__xludf.DUMMYFUNCTION("""COMPUTED_VALUE"""),8.09)</f>
        <v>8.09</v>
      </c>
      <c r="BH168" s="26">
        <f>IFERROR(__xludf.DUMMYFUNCTION("""COMPUTED_VALUE"""),231.82)</f>
        <v>231.82</v>
      </c>
      <c r="BI168" s="26">
        <f>IFERROR(__xludf.DUMMYFUNCTION("""COMPUTED_VALUE"""),524.52)</f>
        <v>524.52</v>
      </c>
      <c r="BJ168" s="26">
        <f>IFERROR(__xludf.DUMMYFUNCTION("""COMPUTED_VALUE"""),48.5)</f>
        <v>48.5</v>
      </c>
      <c r="BK168" s="26">
        <f>IFERROR(__xludf.DUMMYFUNCTION("""COMPUTED_VALUE"""),11.96)</f>
        <v>11.96</v>
      </c>
      <c r="BL168" s="26">
        <f>IFERROR(__xludf.DUMMYFUNCTION("""COMPUTED_VALUE"""),206.58)</f>
        <v>206.58</v>
      </c>
      <c r="BM168" s="26">
        <f>IFERROR(__xludf.DUMMYFUNCTION("""COMPUTED_VALUE"""),109.76)</f>
        <v>109.76</v>
      </c>
    </row>
    <row r="169">
      <c r="A169" s="25">
        <v>45670.66666666667</v>
      </c>
      <c r="B169" s="17">
        <f>IFERROR(__xludf.DUMMYFUNCTION("""COMPUTED_VALUE"""),5827.04)</f>
        <v>5827.04</v>
      </c>
      <c r="C169" s="17">
        <f>IFERROR(__xludf.DUMMYFUNCTION("""COMPUTED_VALUE"""),19161.63)</f>
        <v>19161.63</v>
      </c>
      <c r="D169" s="17">
        <f>IFERROR(__xludf.DUMMYFUNCTION("""COMPUTED_VALUE"""),41938.45)</f>
        <v>41938.45</v>
      </c>
      <c r="E169" s="17">
        <f>IFERROR(__xludf.DUMMYFUNCTION("""COMPUTED_VALUE"""),2189.23)</f>
        <v>2189.23</v>
      </c>
      <c r="F169" s="26">
        <f>IFERROR(__xludf.DUMMYFUNCTION("""COMPUTED_VALUE"""),405.92)</f>
        <v>405.92</v>
      </c>
      <c r="G169" s="26">
        <f>IFERROR(__xludf.DUMMYFUNCTION("""COMPUTED_VALUE"""),218.94)</f>
        <v>218.94</v>
      </c>
      <c r="H169" s="26">
        <f>IFERROR(__xludf.DUMMYFUNCTION("""COMPUTED_VALUE"""),121.12)</f>
        <v>121.12</v>
      </c>
      <c r="I169" s="26">
        <f>IFERROR(__xludf.DUMMYFUNCTION("""COMPUTED_VALUE"""),236.85)</f>
        <v>236.85</v>
      </c>
      <c r="J169" s="26">
        <f>IFERROR(__xludf.DUMMYFUNCTION("""COMPUTED_VALUE"""),171.65)</f>
        <v>171.65</v>
      </c>
      <c r="K169" s="26">
        <f>IFERROR(__xludf.DUMMYFUNCTION("""COMPUTED_VALUE"""),75.42)</f>
        <v>75.42</v>
      </c>
      <c r="L169" s="26">
        <f>IFERROR(__xludf.DUMMYFUNCTION("""COMPUTED_VALUE"""),12.69)</f>
        <v>12.69</v>
      </c>
      <c r="M169" s="26">
        <f>IFERROR(__xludf.DUMMYFUNCTION("""COMPUTED_VALUE"""),442.66)</f>
        <v>442.66</v>
      </c>
      <c r="N169" s="26">
        <f>IFERROR(__xludf.DUMMYFUNCTION("""COMPUTED_VALUE"""),48.54)</f>
        <v>48.54</v>
      </c>
      <c r="O169" s="26">
        <f>IFERROR(__xludf.DUMMYFUNCTION("""COMPUTED_VALUE"""),148.82)</f>
        <v>148.82</v>
      </c>
      <c r="P169" s="26">
        <f>IFERROR(__xludf.DUMMYFUNCTION("""COMPUTED_VALUE"""),66.51)</f>
        <v>66.51</v>
      </c>
      <c r="Q169" s="26">
        <f>IFERROR(__xludf.DUMMYFUNCTION("""COMPUTED_VALUE"""),351.0)</f>
        <v>351</v>
      </c>
      <c r="R169" s="26">
        <f>IFERROR(__xludf.DUMMYFUNCTION("""COMPUTED_VALUE"""),49.24)</f>
        <v>49.24</v>
      </c>
      <c r="S169" s="26">
        <f>IFERROR(__xludf.DUMMYFUNCTION("""COMPUTED_VALUE"""),182.0)</f>
        <v>182</v>
      </c>
      <c r="T169" s="26">
        <f>IFERROR(__xludf.DUMMYFUNCTION("""COMPUTED_VALUE"""),153.14)</f>
        <v>153.14</v>
      </c>
      <c r="U169" s="26">
        <f>IFERROR(__xludf.DUMMYFUNCTION("""COMPUTED_VALUE"""),278.99)</f>
        <v>278.99</v>
      </c>
      <c r="V169" s="26">
        <f>IFERROR(__xludf.DUMMYFUNCTION("""COMPUTED_VALUE"""),43.3)</f>
        <v>43.3</v>
      </c>
      <c r="W169" s="26">
        <f>IFERROR(__xludf.DUMMYFUNCTION("""COMPUTED_VALUE"""),61.07)</f>
        <v>61.07</v>
      </c>
      <c r="X169" s="26">
        <f>IFERROR(__xludf.DUMMYFUNCTION("""COMPUTED_VALUE"""),88.15)</f>
        <v>88.15</v>
      </c>
      <c r="Y169" s="26">
        <f>IFERROR(__xludf.DUMMYFUNCTION("""COMPUTED_VALUE"""),173.34)</f>
        <v>173.34</v>
      </c>
      <c r="Z169" s="26">
        <f>IFERROR(__xludf.DUMMYFUNCTION("""COMPUTED_VALUE"""),72.9)</f>
        <v>72.9</v>
      </c>
      <c r="AA169" s="26">
        <f>IFERROR(__xludf.DUMMYFUNCTION("""COMPUTED_VALUE"""),402.33)</f>
        <v>402.33</v>
      </c>
      <c r="AB169" s="26">
        <f>IFERROR(__xludf.DUMMYFUNCTION("""COMPUTED_VALUE"""),65.9)</f>
        <v>65.9</v>
      </c>
      <c r="AC169" s="26">
        <f>IFERROR(__xludf.DUMMYFUNCTION("""COMPUTED_VALUE"""),106.54)</f>
        <v>106.54</v>
      </c>
      <c r="AD169" s="26">
        <f>IFERROR(__xludf.DUMMYFUNCTION("""COMPUTED_VALUE"""),270.73)</f>
        <v>270.73</v>
      </c>
      <c r="AE169" s="26">
        <f>IFERROR(__xludf.DUMMYFUNCTION("""COMPUTED_VALUE"""),429.29)</f>
        <v>429.29</v>
      </c>
      <c r="AF169" s="26">
        <f>IFERROR(__xludf.DUMMYFUNCTION("""COMPUTED_VALUE"""),259.38)</f>
        <v>259.38</v>
      </c>
      <c r="AG169" s="26">
        <f>IFERROR(__xludf.DUMMYFUNCTION("""COMPUTED_VALUE"""),49.85)</f>
        <v>49.85</v>
      </c>
      <c r="AH169" s="26">
        <f>IFERROR(__xludf.DUMMYFUNCTION("""COMPUTED_VALUE"""),89.88)</f>
        <v>89.88</v>
      </c>
      <c r="AI169" s="26">
        <f>IFERROR(__xludf.DUMMYFUNCTION("""COMPUTED_VALUE"""),560.0)</f>
        <v>560</v>
      </c>
      <c r="AJ169" s="26">
        <f>IFERROR(__xludf.DUMMYFUNCTION("""COMPUTED_VALUE"""),389.89)</f>
        <v>389.89</v>
      </c>
      <c r="AK169" s="26">
        <f>IFERROR(__xludf.DUMMYFUNCTION("""COMPUTED_VALUE"""),124.6)</f>
        <v>124.6</v>
      </c>
      <c r="AL169" s="26">
        <f>IFERROR(__xludf.DUMMYFUNCTION("""COMPUTED_VALUE"""),142.8)</f>
        <v>142.8</v>
      </c>
      <c r="AM169" s="26">
        <f>IFERROR(__xludf.DUMMYFUNCTION("""COMPUTED_VALUE"""),547.47)</f>
        <v>547.47</v>
      </c>
      <c r="AN169" s="26">
        <f>IFERROR(__xludf.DUMMYFUNCTION("""COMPUTED_VALUE"""),239.87)</f>
        <v>239.87</v>
      </c>
      <c r="AO169" s="26">
        <f>IFERROR(__xludf.DUMMYFUNCTION("""COMPUTED_VALUE"""),468.05)</f>
        <v>468.05</v>
      </c>
      <c r="AP169" s="26">
        <f>IFERROR(__xludf.DUMMYFUNCTION("""COMPUTED_VALUE"""),395.47)</f>
        <v>395.47</v>
      </c>
      <c r="AQ169" s="26">
        <f>IFERROR(__xludf.DUMMYFUNCTION("""COMPUTED_VALUE"""),29.79)</f>
        <v>29.79</v>
      </c>
      <c r="AR169" s="26">
        <f>IFERROR(__xludf.DUMMYFUNCTION("""COMPUTED_VALUE"""),80.66)</f>
        <v>80.66</v>
      </c>
      <c r="AS169" s="26">
        <f>IFERROR(__xludf.DUMMYFUNCTION("""COMPUTED_VALUE"""),80.25)</f>
        <v>80.25</v>
      </c>
      <c r="AT169" s="26">
        <f>IFERROR(__xludf.DUMMYFUNCTION("""COMPUTED_VALUE"""),418.95)</f>
        <v>418.95</v>
      </c>
      <c r="AU169" s="26">
        <f>IFERROR(__xludf.DUMMYFUNCTION("""COMPUTED_VALUE"""),67.38)</f>
        <v>67.38</v>
      </c>
      <c r="AV169" s="26">
        <f>IFERROR(__xludf.DUMMYFUNCTION("""COMPUTED_VALUE"""),135.91)</f>
        <v>135.91</v>
      </c>
      <c r="AW169" s="26">
        <f>IFERROR(__xludf.DUMMYFUNCTION("""COMPUTED_VALUE"""),90.77)</f>
        <v>90.77</v>
      </c>
      <c r="AX169" s="26">
        <f>IFERROR(__xludf.DUMMYFUNCTION("""COMPUTED_VALUE"""),56.63)</f>
        <v>56.63</v>
      </c>
      <c r="AY169" s="26">
        <f>IFERROR(__xludf.DUMMYFUNCTION("""COMPUTED_VALUE"""),67.26)</f>
        <v>67.26</v>
      </c>
      <c r="AZ169" s="26">
        <f>IFERROR(__xludf.DUMMYFUNCTION("""COMPUTED_VALUE"""),83.36)</f>
        <v>83.36</v>
      </c>
      <c r="BA169" s="26">
        <f>IFERROR(__xludf.DUMMYFUNCTION("""COMPUTED_VALUE"""),26.72)</f>
        <v>26.72</v>
      </c>
      <c r="BB169" s="26">
        <f>IFERROR(__xludf.DUMMYFUNCTION("""COMPUTED_VALUE"""),115.11)</f>
        <v>115.11</v>
      </c>
      <c r="BC169" s="26">
        <f>IFERROR(__xludf.DUMMYFUNCTION("""COMPUTED_VALUE"""),211.3)</f>
        <v>211.3</v>
      </c>
      <c r="BD169" s="26">
        <f>IFERROR(__xludf.DUMMYFUNCTION("""COMPUTED_VALUE"""),542.31)</f>
        <v>542.31</v>
      </c>
      <c r="BE169" s="26">
        <f>IFERROR(__xludf.DUMMYFUNCTION("""COMPUTED_VALUE"""),183.47)</f>
        <v>183.47</v>
      </c>
      <c r="BF169" s="26">
        <f>IFERROR(__xludf.DUMMYFUNCTION("""COMPUTED_VALUE"""),68.81)</f>
        <v>68.81</v>
      </c>
      <c r="BG169" s="26">
        <f>IFERROR(__xludf.DUMMYFUNCTION("""COMPUTED_VALUE"""),8.21)</f>
        <v>8.21</v>
      </c>
      <c r="BH169" s="26">
        <f>IFERROR(__xludf.DUMMYFUNCTION("""COMPUTED_VALUE"""),225.21)</f>
        <v>225.21</v>
      </c>
      <c r="BI169" s="26">
        <f>IFERROR(__xludf.DUMMYFUNCTION("""COMPUTED_VALUE"""),520.69)</f>
        <v>520.69</v>
      </c>
      <c r="BJ169" s="26">
        <f>IFERROR(__xludf.DUMMYFUNCTION("""COMPUTED_VALUE"""),48.45)</f>
        <v>48.45</v>
      </c>
      <c r="BK169" s="26">
        <f>IFERROR(__xludf.DUMMYFUNCTION("""COMPUTED_VALUE"""),11.67)</f>
        <v>11.67</v>
      </c>
      <c r="BL169" s="26">
        <f>IFERROR(__xludf.DUMMYFUNCTION("""COMPUTED_VALUE"""),207.25)</f>
        <v>207.25</v>
      </c>
      <c r="BM169" s="26">
        <f>IFERROR(__xludf.DUMMYFUNCTION("""COMPUTED_VALUE"""),108.65)</f>
        <v>108.65</v>
      </c>
    </row>
    <row r="170">
      <c r="A170" s="25">
        <v>45671.66666666667</v>
      </c>
      <c r="B170" s="17">
        <f>IFERROR(__xludf.DUMMYFUNCTION("""COMPUTED_VALUE"""),5836.22)</f>
        <v>5836.22</v>
      </c>
      <c r="C170" s="17">
        <f>IFERROR(__xludf.DUMMYFUNCTION("""COMPUTED_VALUE"""),19088.1)</f>
        <v>19088.1</v>
      </c>
      <c r="D170" s="17">
        <f>IFERROR(__xludf.DUMMYFUNCTION("""COMPUTED_VALUE"""),42297.12)</f>
        <v>42297.12</v>
      </c>
      <c r="E170" s="17">
        <f>IFERROR(__xludf.DUMMYFUNCTION("""COMPUTED_VALUE"""),2194.4)</f>
        <v>2194.4</v>
      </c>
      <c r="F170" s="26">
        <f>IFERROR(__xludf.DUMMYFUNCTION("""COMPUTED_VALUE"""),408.5)</f>
        <v>408.5</v>
      </c>
      <c r="G170" s="26">
        <f>IFERROR(__xludf.DUMMYFUNCTION("""COMPUTED_VALUE"""),218.46)</f>
        <v>218.46</v>
      </c>
      <c r="H170" s="26">
        <f>IFERROR(__xludf.DUMMYFUNCTION("""COMPUTED_VALUE"""),121.01)</f>
        <v>121.01</v>
      </c>
      <c r="I170" s="26">
        <f>IFERROR(__xludf.DUMMYFUNCTION("""COMPUTED_VALUE"""),234.4)</f>
        <v>234.4</v>
      </c>
      <c r="J170" s="26">
        <f>IFERROR(__xludf.DUMMYFUNCTION("""COMPUTED_VALUE"""),170.86)</f>
        <v>170.86</v>
      </c>
      <c r="K170" s="26">
        <f>IFERROR(__xludf.DUMMYFUNCTION("""COMPUTED_VALUE"""),76.11)</f>
        <v>76.11</v>
      </c>
      <c r="L170" s="26">
        <f>IFERROR(__xludf.DUMMYFUNCTION("""COMPUTED_VALUE"""),12.83)</f>
        <v>12.83</v>
      </c>
      <c r="M170" s="26">
        <f>IFERROR(__xludf.DUMMYFUNCTION("""COMPUTED_VALUE"""),443.91)</f>
        <v>443.91</v>
      </c>
      <c r="N170" s="26">
        <f>IFERROR(__xludf.DUMMYFUNCTION("""COMPUTED_VALUE"""),49.3)</f>
        <v>49.3</v>
      </c>
      <c r="O170" s="26">
        <f>IFERROR(__xludf.DUMMYFUNCTION("""COMPUTED_VALUE"""),150.18)</f>
        <v>150.18</v>
      </c>
      <c r="P170" s="26">
        <f>IFERROR(__xludf.DUMMYFUNCTION("""COMPUTED_VALUE"""),67.11)</f>
        <v>67.11</v>
      </c>
      <c r="Q170" s="26">
        <f>IFERROR(__xludf.DUMMYFUNCTION("""COMPUTED_VALUE"""),362.5)</f>
        <v>362.5</v>
      </c>
      <c r="R170" s="26">
        <f>IFERROR(__xludf.DUMMYFUNCTION("""COMPUTED_VALUE"""),48.8)</f>
        <v>48.8</v>
      </c>
      <c r="S170" s="26">
        <f>IFERROR(__xludf.DUMMYFUNCTION("""COMPUTED_VALUE"""),182.69)</f>
        <v>182.69</v>
      </c>
      <c r="T170" s="26">
        <f>IFERROR(__xludf.DUMMYFUNCTION("""COMPUTED_VALUE"""),155.35)</f>
        <v>155.35</v>
      </c>
      <c r="U170" s="26">
        <f>IFERROR(__xludf.DUMMYFUNCTION("""COMPUTED_VALUE"""),282.45)</f>
        <v>282.45</v>
      </c>
      <c r="V170" s="26">
        <f>IFERROR(__xludf.DUMMYFUNCTION("""COMPUTED_VALUE"""),44.16)</f>
        <v>44.16</v>
      </c>
      <c r="W170" s="26">
        <f>IFERROR(__xludf.DUMMYFUNCTION("""COMPUTED_VALUE"""),61.65)</f>
        <v>61.65</v>
      </c>
      <c r="X170" s="26">
        <f>IFERROR(__xludf.DUMMYFUNCTION("""COMPUTED_VALUE"""),88.47)</f>
        <v>88.47</v>
      </c>
      <c r="Y170" s="26">
        <f>IFERROR(__xludf.DUMMYFUNCTION("""COMPUTED_VALUE"""),171.92)</f>
        <v>171.92</v>
      </c>
      <c r="Z170" s="26">
        <f>IFERROR(__xludf.DUMMYFUNCTION("""COMPUTED_VALUE"""),71.15)</f>
        <v>71.15</v>
      </c>
      <c r="AA170" s="26">
        <f>IFERROR(__xludf.DUMMYFUNCTION("""COMPUTED_VALUE"""),410.14)</f>
        <v>410.14</v>
      </c>
      <c r="AB170" s="26">
        <f>IFERROR(__xludf.DUMMYFUNCTION("""COMPUTED_VALUE"""),65.72)</f>
        <v>65.72</v>
      </c>
      <c r="AC170" s="26">
        <f>IFERROR(__xludf.DUMMYFUNCTION("""COMPUTED_VALUE"""),109.29)</f>
        <v>109.29</v>
      </c>
      <c r="AD170" s="26">
        <f>IFERROR(__xludf.DUMMYFUNCTION("""COMPUTED_VALUE"""),274.59)</f>
        <v>274.59</v>
      </c>
      <c r="AE170" s="26">
        <f>IFERROR(__xludf.DUMMYFUNCTION("""COMPUTED_VALUE"""),418.37)</f>
        <v>418.37</v>
      </c>
      <c r="AF170" s="26">
        <f>IFERROR(__xludf.DUMMYFUNCTION("""COMPUTED_VALUE"""),263.67)</f>
        <v>263.67</v>
      </c>
      <c r="AG170" s="26">
        <f>IFERROR(__xludf.DUMMYFUNCTION("""COMPUTED_VALUE"""),49.93)</f>
        <v>49.93</v>
      </c>
      <c r="AH170" s="26">
        <f>IFERROR(__xludf.DUMMYFUNCTION("""COMPUTED_VALUE"""),89.94)</f>
        <v>89.94</v>
      </c>
      <c r="AI170" s="26">
        <f>IFERROR(__xludf.DUMMYFUNCTION("""COMPUTED_VALUE"""),562.95)</f>
        <v>562.95</v>
      </c>
      <c r="AJ170" s="26">
        <f>IFERROR(__xludf.DUMMYFUNCTION("""COMPUTED_VALUE"""),389.18)</f>
        <v>389.18</v>
      </c>
      <c r="AK170" s="26">
        <f>IFERROR(__xludf.DUMMYFUNCTION("""COMPUTED_VALUE"""),124.1)</f>
        <v>124.1</v>
      </c>
      <c r="AL170" s="26">
        <f>IFERROR(__xludf.DUMMYFUNCTION("""COMPUTED_VALUE"""),143.89)</f>
        <v>143.89</v>
      </c>
      <c r="AM170" s="26">
        <f>IFERROR(__xludf.DUMMYFUNCTION("""COMPUTED_VALUE"""),539.75)</f>
        <v>539.75</v>
      </c>
      <c r="AN170" s="26">
        <f>IFERROR(__xludf.DUMMYFUNCTION("""COMPUTED_VALUE"""),244.21)</f>
        <v>244.21</v>
      </c>
      <c r="AO170" s="26">
        <f>IFERROR(__xludf.DUMMYFUNCTION("""COMPUTED_VALUE"""),483.16)</f>
        <v>483.16</v>
      </c>
      <c r="AP170" s="26">
        <f>IFERROR(__xludf.DUMMYFUNCTION("""COMPUTED_VALUE"""),398.86)</f>
        <v>398.86</v>
      </c>
      <c r="AQ170" s="26">
        <f>IFERROR(__xludf.DUMMYFUNCTION("""COMPUTED_VALUE"""),29.54)</f>
        <v>29.54</v>
      </c>
      <c r="AR170" s="26">
        <f>IFERROR(__xludf.DUMMYFUNCTION("""COMPUTED_VALUE"""),81.79)</f>
        <v>81.79</v>
      </c>
      <c r="AS170" s="26">
        <f>IFERROR(__xludf.DUMMYFUNCTION("""COMPUTED_VALUE"""),81.91)</f>
        <v>81.91</v>
      </c>
      <c r="AT170" s="26">
        <f>IFERROR(__xludf.DUMMYFUNCTION("""COMPUTED_VALUE"""),417.19)</f>
        <v>417.19</v>
      </c>
      <c r="AU170" s="26">
        <f>IFERROR(__xludf.DUMMYFUNCTION("""COMPUTED_VALUE"""),66.96)</f>
        <v>66.96</v>
      </c>
      <c r="AV170" s="26">
        <f>IFERROR(__xludf.DUMMYFUNCTION("""COMPUTED_VALUE"""),133.23)</f>
        <v>133.23</v>
      </c>
      <c r="AW170" s="26">
        <f>IFERROR(__xludf.DUMMYFUNCTION("""COMPUTED_VALUE"""),91.16)</f>
        <v>91.16</v>
      </c>
      <c r="AX170" s="26">
        <f>IFERROR(__xludf.DUMMYFUNCTION("""COMPUTED_VALUE"""),55.38)</f>
        <v>55.38</v>
      </c>
      <c r="AY170" s="26">
        <f>IFERROR(__xludf.DUMMYFUNCTION("""COMPUTED_VALUE"""),64.98)</f>
        <v>64.98</v>
      </c>
      <c r="AZ170" s="26">
        <f>IFERROR(__xludf.DUMMYFUNCTION("""COMPUTED_VALUE"""),83.99)</f>
        <v>83.99</v>
      </c>
      <c r="BA170" s="26">
        <f>IFERROR(__xludf.DUMMYFUNCTION("""COMPUTED_VALUE"""),26.8)</f>
        <v>26.8</v>
      </c>
      <c r="BB170" s="26">
        <f>IFERROR(__xludf.DUMMYFUNCTION("""COMPUTED_VALUE"""),117.74)</f>
        <v>117.74</v>
      </c>
      <c r="BC170" s="26">
        <f>IFERROR(__xludf.DUMMYFUNCTION("""COMPUTED_VALUE"""),213.46)</f>
        <v>213.46</v>
      </c>
      <c r="BD170" s="26">
        <f>IFERROR(__xludf.DUMMYFUNCTION("""COMPUTED_VALUE"""),555.52)</f>
        <v>555.52</v>
      </c>
      <c r="BE170" s="26">
        <f>IFERROR(__xludf.DUMMYFUNCTION("""COMPUTED_VALUE"""),183.25)</f>
        <v>183.25</v>
      </c>
      <c r="BF170" s="26">
        <f>IFERROR(__xludf.DUMMYFUNCTION("""COMPUTED_VALUE"""),64.05)</f>
        <v>64.05</v>
      </c>
      <c r="BG170" s="26">
        <f>IFERROR(__xludf.DUMMYFUNCTION("""COMPUTED_VALUE"""),8.3)</f>
        <v>8.3</v>
      </c>
      <c r="BH170" s="26">
        <f>IFERROR(__xludf.DUMMYFUNCTION("""COMPUTED_VALUE"""),226.76)</f>
        <v>226.76</v>
      </c>
      <c r="BI170" s="26">
        <f>IFERROR(__xludf.DUMMYFUNCTION("""COMPUTED_VALUE"""),541.14)</f>
        <v>541.14</v>
      </c>
      <c r="BJ170" s="26">
        <f>IFERROR(__xludf.DUMMYFUNCTION("""COMPUTED_VALUE"""),48.48)</f>
        <v>48.48</v>
      </c>
      <c r="BK170" s="26">
        <f>IFERROR(__xludf.DUMMYFUNCTION("""COMPUTED_VALUE"""),11.8)</f>
        <v>11.8</v>
      </c>
      <c r="BL170" s="26">
        <f>IFERROR(__xludf.DUMMYFUNCTION("""COMPUTED_VALUE"""),207.53)</f>
        <v>207.53</v>
      </c>
      <c r="BM170" s="26">
        <f>IFERROR(__xludf.DUMMYFUNCTION("""COMPUTED_VALUE"""),108.08)</f>
        <v>108.08</v>
      </c>
    </row>
    <row r="171">
      <c r="A171" s="25">
        <v>45672.66666666667</v>
      </c>
      <c r="B171" s="17">
        <f>IFERROR(__xludf.DUMMYFUNCTION("""COMPUTED_VALUE"""),5842.91)</f>
        <v>5842.91</v>
      </c>
      <c r="C171" s="17">
        <f>IFERROR(__xludf.DUMMYFUNCTION("""COMPUTED_VALUE"""),19044.39)</f>
        <v>19044.39</v>
      </c>
      <c r="D171" s="17">
        <f>IFERROR(__xludf.DUMMYFUNCTION("""COMPUTED_VALUE"""),42518.28)</f>
        <v>42518.28</v>
      </c>
      <c r="E171" s="17">
        <f>IFERROR(__xludf.DUMMYFUNCTION("""COMPUTED_VALUE"""),2219.24)</f>
        <v>2219.24</v>
      </c>
      <c r="F171" s="26">
        <f>IFERROR(__xludf.DUMMYFUNCTION("""COMPUTED_VALUE"""),412.71)</f>
        <v>412.71</v>
      </c>
      <c r="G171" s="26">
        <f>IFERROR(__xludf.DUMMYFUNCTION("""COMPUTED_VALUE"""),217.76)</f>
        <v>217.76</v>
      </c>
      <c r="H171" s="26">
        <f>IFERROR(__xludf.DUMMYFUNCTION("""COMPUTED_VALUE"""),122.52)</f>
        <v>122.52</v>
      </c>
      <c r="I171" s="26">
        <f>IFERROR(__xludf.DUMMYFUNCTION("""COMPUTED_VALUE"""),233.28)</f>
        <v>233.28</v>
      </c>
      <c r="J171" s="26">
        <f>IFERROR(__xludf.DUMMYFUNCTION("""COMPUTED_VALUE"""),173.65)</f>
        <v>173.65</v>
      </c>
      <c r="K171" s="26">
        <f>IFERROR(__xludf.DUMMYFUNCTION("""COMPUTED_VALUE"""),75.94)</f>
        <v>75.94</v>
      </c>
      <c r="L171" s="26">
        <f>IFERROR(__xludf.DUMMYFUNCTION("""COMPUTED_VALUE"""),13.03)</f>
        <v>13.03</v>
      </c>
      <c r="M171" s="26">
        <f>IFERROR(__xludf.DUMMYFUNCTION("""COMPUTED_VALUE"""),450.03)</f>
        <v>450.03</v>
      </c>
      <c r="N171" s="26">
        <f>IFERROR(__xludf.DUMMYFUNCTION("""COMPUTED_VALUE"""),49.62)</f>
        <v>49.62</v>
      </c>
      <c r="O171" s="26">
        <f>IFERROR(__xludf.DUMMYFUNCTION("""COMPUTED_VALUE"""),143.06)</f>
        <v>143.06</v>
      </c>
      <c r="P171" s="26">
        <f>IFERROR(__xludf.DUMMYFUNCTION("""COMPUTED_VALUE"""),68.4)</f>
        <v>68.4</v>
      </c>
      <c r="Q171" s="26">
        <f>IFERROR(__xludf.DUMMYFUNCTION("""COMPUTED_VALUE"""),371.57)</f>
        <v>371.57</v>
      </c>
      <c r="R171" s="26">
        <f>IFERROR(__xludf.DUMMYFUNCTION("""COMPUTED_VALUE"""),49.06)</f>
        <v>49.06</v>
      </c>
      <c r="S171" s="26">
        <f>IFERROR(__xludf.DUMMYFUNCTION("""COMPUTED_VALUE"""),183.25)</f>
        <v>183.25</v>
      </c>
      <c r="T171" s="26">
        <f>IFERROR(__xludf.DUMMYFUNCTION("""COMPUTED_VALUE"""),156.9)</f>
        <v>156.9</v>
      </c>
      <c r="U171" s="26">
        <f>IFERROR(__xludf.DUMMYFUNCTION("""COMPUTED_VALUE"""),285.03)</f>
        <v>285.03</v>
      </c>
      <c r="V171" s="26">
        <f>IFERROR(__xludf.DUMMYFUNCTION("""COMPUTED_VALUE"""),45.7)</f>
        <v>45.7</v>
      </c>
      <c r="W171" s="26">
        <f>IFERROR(__xludf.DUMMYFUNCTION("""COMPUTED_VALUE"""),62.04)</f>
        <v>62.04</v>
      </c>
      <c r="X171" s="26">
        <f>IFERROR(__xludf.DUMMYFUNCTION("""COMPUTED_VALUE"""),89.37)</f>
        <v>89.37</v>
      </c>
      <c r="Y171" s="26">
        <f>IFERROR(__xludf.DUMMYFUNCTION("""COMPUTED_VALUE"""),173.89)</f>
        <v>173.89</v>
      </c>
      <c r="Z171" s="26">
        <f>IFERROR(__xludf.DUMMYFUNCTION("""COMPUTED_VALUE"""),70.17)</f>
        <v>70.17</v>
      </c>
      <c r="AA171" s="26">
        <f>IFERROR(__xludf.DUMMYFUNCTION("""COMPUTED_VALUE"""),416.08)</f>
        <v>416.08</v>
      </c>
      <c r="AB171" s="26">
        <f>IFERROR(__xludf.DUMMYFUNCTION("""COMPUTED_VALUE"""),64.41)</f>
        <v>64.41</v>
      </c>
      <c r="AC171" s="26">
        <f>IFERROR(__xludf.DUMMYFUNCTION("""COMPUTED_VALUE"""),109.72)</f>
        <v>109.72</v>
      </c>
      <c r="AD171" s="26">
        <f>IFERROR(__xludf.DUMMYFUNCTION("""COMPUTED_VALUE"""),277.62)</f>
        <v>277.62</v>
      </c>
      <c r="AE171" s="26">
        <f>IFERROR(__xludf.DUMMYFUNCTION("""COMPUTED_VALUE"""),421.97)</f>
        <v>421.97</v>
      </c>
      <c r="AF171" s="26">
        <f>IFERROR(__xludf.DUMMYFUNCTION("""COMPUTED_VALUE"""),265.12)</f>
        <v>265.12</v>
      </c>
      <c r="AG171" s="26">
        <f>IFERROR(__xludf.DUMMYFUNCTION("""COMPUTED_VALUE"""),50.94)</f>
        <v>50.94</v>
      </c>
      <c r="AH171" s="26">
        <f>IFERROR(__xludf.DUMMYFUNCTION("""COMPUTED_VALUE"""),91.0)</f>
        <v>91</v>
      </c>
      <c r="AI171" s="26">
        <f>IFERROR(__xludf.DUMMYFUNCTION("""COMPUTED_VALUE"""),571.53)</f>
        <v>571.53</v>
      </c>
      <c r="AJ171" s="26">
        <f>IFERROR(__xludf.DUMMYFUNCTION("""COMPUTED_VALUE"""),392.78)</f>
        <v>392.78</v>
      </c>
      <c r="AK171" s="26">
        <f>IFERROR(__xludf.DUMMYFUNCTION("""COMPUTED_VALUE"""),126.8)</f>
        <v>126.8</v>
      </c>
      <c r="AL171" s="26">
        <f>IFERROR(__xludf.DUMMYFUNCTION("""COMPUTED_VALUE"""),145.25)</f>
        <v>145.25</v>
      </c>
      <c r="AM171" s="26">
        <f>IFERROR(__xludf.DUMMYFUNCTION("""COMPUTED_VALUE"""),538.88)</f>
        <v>538.88</v>
      </c>
      <c r="AN171" s="26">
        <f>IFERROR(__xludf.DUMMYFUNCTION("""COMPUTED_VALUE"""),247.47)</f>
        <v>247.47</v>
      </c>
      <c r="AO171" s="26">
        <f>IFERROR(__xludf.DUMMYFUNCTION("""COMPUTED_VALUE"""),484.46)</f>
        <v>484.46</v>
      </c>
      <c r="AP171" s="26">
        <f>IFERROR(__xludf.DUMMYFUNCTION("""COMPUTED_VALUE"""),388.74)</f>
        <v>388.74</v>
      </c>
      <c r="AQ171" s="26">
        <f>IFERROR(__xludf.DUMMYFUNCTION("""COMPUTED_VALUE"""),29.84)</f>
        <v>29.84</v>
      </c>
      <c r="AR171" s="26">
        <f>IFERROR(__xludf.DUMMYFUNCTION("""COMPUTED_VALUE"""),85.25)</f>
        <v>85.25</v>
      </c>
      <c r="AS171" s="26">
        <f>IFERROR(__xludf.DUMMYFUNCTION("""COMPUTED_VALUE"""),83.83)</f>
        <v>83.83</v>
      </c>
      <c r="AT171" s="26">
        <f>IFERROR(__xludf.DUMMYFUNCTION("""COMPUTED_VALUE"""),415.67)</f>
        <v>415.67</v>
      </c>
      <c r="AU171" s="26">
        <f>IFERROR(__xludf.DUMMYFUNCTION("""COMPUTED_VALUE"""),67.98)</f>
        <v>67.98</v>
      </c>
      <c r="AV171" s="26">
        <f>IFERROR(__xludf.DUMMYFUNCTION("""COMPUTED_VALUE"""),131.76)</f>
        <v>131.76</v>
      </c>
      <c r="AW171" s="26">
        <f>IFERROR(__xludf.DUMMYFUNCTION("""COMPUTED_VALUE"""),91.78)</f>
        <v>91.78</v>
      </c>
      <c r="AX171" s="26">
        <f>IFERROR(__xludf.DUMMYFUNCTION("""COMPUTED_VALUE"""),54.5)</f>
        <v>54.5</v>
      </c>
      <c r="AY171" s="26">
        <f>IFERROR(__xludf.DUMMYFUNCTION("""COMPUTED_VALUE"""),65.91)</f>
        <v>65.91</v>
      </c>
      <c r="AZ171" s="26">
        <f>IFERROR(__xludf.DUMMYFUNCTION("""COMPUTED_VALUE"""),87.18)</f>
        <v>87.18</v>
      </c>
      <c r="BA171" s="26">
        <f>IFERROR(__xludf.DUMMYFUNCTION("""COMPUTED_VALUE"""),26.41)</f>
        <v>26.41</v>
      </c>
      <c r="BB171" s="26">
        <f>IFERROR(__xludf.DUMMYFUNCTION("""COMPUTED_VALUE"""),119.47)</f>
        <v>119.47</v>
      </c>
      <c r="BC171" s="26">
        <f>IFERROR(__xludf.DUMMYFUNCTION("""COMPUTED_VALUE"""),214.18)</f>
        <v>214.18</v>
      </c>
      <c r="BD171" s="26">
        <f>IFERROR(__xludf.DUMMYFUNCTION("""COMPUTED_VALUE"""),556.99)</f>
        <v>556.99</v>
      </c>
      <c r="BE171" s="26">
        <f>IFERROR(__xludf.DUMMYFUNCTION("""COMPUTED_VALUE"""),185.41)</f>
        <v>185.41</v>
      </c>
      <c r="BF171" s="26">
        <f>IFERROR(__xludf.DUMMYFUNCTION("""COMPUTED_VALUE"""),62.54)</f>
        <v>62.54</v>
      </c>
      <c r="BG171" s="26">
        <f>IFERROR(__xludf.DUMMYFUNCTION("""COMPUTED_VALUE"""),8.19)</f>
        <v>8.19</v>
      </c>
      <c r="BH171" s="26">
        <f>IFERROR(__xludf.DUMMYFUNCTION("""COMPUTED_VALUE"""),229.38)</f>
        <v>229.38</v>
      </c>
      <c r="BI171" s="26">
        <f>IFERROR(__xludf.DUMMYFUNCTION("""COMPUTED_VALUE"""),543.74)</f>
        <v>543.74</v>
      </c>
      <c r="BJ171" s="26">
        <f>IFERROR(__xludf.DUMMYFUNCTION("""COMPUTED_VALUE"""),48.52)</f>
        <v>48.52</v>
      </c>
      <c r="BK171" s="26">
        <f>IFERROR(__xludf.DUMMYFUNCTION("""COMPUTED_VALUE"""),11.72)</f>
        <v>11.72</v>
      </c>
      <c r="BL171" s="26">
        <f>IFERROR(__xludf.DUMMYFUNCTION("""COMPUTED_VALUE"""),207.17)</f>
        <v>207.17</v>
      </c>
      <c r="BM171" s="26">
        <f>IFERROR(__xludf.DUMMYFUNCTION("""COMPUTED_VALUE"""),108.12)</f>
        <v>108.12</v>
      </c>
    </row>
    <row r="172">
      <c r="A172" s="25">
        <v>45673.66666666667</v>
      </c>
      <c r="B172" s="17">
        <f>IFERROR(__xludf.DUMMYFUNCTION("""COMPUTED_VALUE"""),5949.91)</f>
        <v>5949.91</v>
      </c>
      <c r="C172" s="17">
        <f>IFERROR(__xludf.DUMMYFUNCTION("""COMPUTED_VALUE"""),19511.23)</f>
        <v>19511.23</v>
      </c>
      <c r="D172" s="17">
        <f>IFERROR(__xludf.DUMMYFUNCTION("""COMPUTED_VALUE"""),43221.55)</f>
        <v>43221.55</v>
      </c>
      <c r="E172" s="17">
        <f>IFERROR(__xludf.DUMMYFUNCTION("""COMPUTED_VALUE"""),2263.29)</f>
        <v>2263.29</v>
      </c>
      <c r="F172" s="26">
        <f>IFERROR(__xludf.DUMMYFUNCTION("""COMPUTED_VALUE"""),417.28)</f>
        <v>417.28</v>
      </c>
      <c r="G172" s="26">
        <f>IFERROR(__xludf.DUMMYFUNCTION("""COMPUTED_VALUE"""),223.35)</f>
        <v>223.35</v>
      </c>
      <c r="H172" s="26">
        <f>IFERROR(__xludf.DUMMYFUNCTION("""COMPUTED_VALUE"""),123.53)</f>
        <v>123.53</v>
      </c>
      <c r="I172" s="26">
        <f>IFERROR(__xludf.DUMMYFUNCTION("""COMPUTED_VALUE"""),237.87)</f>
        <v>237.87</v>
      </c>
      <c r="J172" s="26">
        <f>IFERROR(__xludf.DUMMYFUNCTION("""COMPUTED_VALUE"""),178.38)</f>
        <v>178.38</v>
      </c>
      <c r="K172" s="26">
        <f>IFERROR(__xludf.DUMMYFUNCTION("""COMPUTED_VALUE"""),82.04)</f>
        <v>82.04</v>
      </c>
      <c r="L172" s="26">
        <f>IFERROR(__xludf.DUMMYFUNCTION("""COMPUTED_VALUE"""),14.04)</f>
        <v>14.04</v>
      </c>
      <c r="M172" s="26">
        <f>IFERROR(__xludf.DUMMYFUNCTION("""COMPUTED_VALUE"""),458.51)</f>
        <v>458.51</v>
      </c>
      <c r="N172" s="26">
        <f>IFERROR(__xludf.DUMMYFUNCTION("""COMPUTED_VALUE"""),49.81)</f>
        <v>49.81</v>
      </c>
      <c r="O172" s="26">
        <f>IFERROR(__xludf.DUMMYFUNCTION("""COMPUTED_VALUE"""),141.0)</f>
        <v>141</v>
      </c>
      <c r="P172" s="26">
        <f>IFERROR(__xludf.DUMMYFUNCTION("""COMPUTED_VALUE"""),68.8)</f>
        <v>68.8</v>
      </c>
      <c r="Q172" s="26">
        <f>IFERROR(__xludf.DUMMYFUNCTION("""COMPUTED_VALUE"""),374.89)</f>
        <v>374.89</v>
      </c>
      <c r="R172" s="26">
        <f>IFERROR(__xludf.DUMMYFUNCTION("""COMPUTED_VALUE"""),49.67)</f>
        <v>49.67</v>
      </c>
      <c r="S172" s="26">
        <f>IFERROR(__xludf.DUMMYFUNCTION("""COMPUTED_VALUE"""),183.4)</f>
        <v>183.4</v>
      </c>
      <c r="T172" s="26">
        <f>IFERROR(__xludf.DUMMYFUNCTION("""COMPUTED_VALUE"""),158.33)</f>
        <v>158.33</v>
      </c>
      <c r="U172" s="26">
        <f>IFERROR(__xludf.DUMMYFUNCTION("""COMPUTED_VALUE"""),284.58)</f>
        <v>284.58</v>
      </c>
      <c r="V172" s="26">
        <f>IFERROR(__xludf.DUMMYFUNCTION("""COMPUTED_VALUE"""),47.08)</f>
        <v>47.08</v>
      </c>
      <c r="W172" s="26">
        <f>IFERROR(__xludf.DUMMYFUNCTION("""COMPUTED_VALUE"""),61.77)</f>
        <v>61.77</v>
      </c>
      <c r="X172" s="26">
        <f>IFERROR(__xludf.DUMMYFUNCTION("""COMPUTED_VALUE"""),90.23)</f>
        <v>90.23</v>
      </c>
      <c r="Y172" s="26">
        <f>IFERROR(__xludf.DUMMYFUNCTION("""COMPUTED_VALUE"""),174.91)</f>
        <v>174.91</v>
      </c>
      <c r="Z172" s="26">
        <f>IFERROR(__xludf.DUMMYFUNCTION("""COMPUTED_VALUE"""),70.34)</f>
        <v>70.34</v>
      </c>
      <c r="AA172" s="26">
        <f>IFERROR(__xludf.DUMMYFUNCTION("""COMPUTED_VALUE"""),413.93)</f>
        <v>413.93</v>
      </c>
      <c r="AB172" s="26">
        <f>IFERROR(__xludf.DUMMYFUNCTION("""COMPUTED_VALUE"""),65.11)</f>
        <v>65.11</v>
      </c>
      <c r="AC172" s="26">
        <f>IFERROR(__xludf.DUMMYFUNCTION("""COMPUTED_VALUE"""),111.51)</f>
        <v>111.51</v>
      </c>
      <c r="AD172" s="26">
        <f>IFERROR(__xludf.DUMMYFUNCTION("""COMPUTED_VALUE"""),276.59)</f>
        <v>276.59</v>
      </c>
      <c r="AE172" s="26">
        <f>IFERROR(__xludf.DUMMYFUNCTION("""COMPUTED_VALUE"""),431.68)</f>
        <v>431.68</v>
      </c>
      <c r="AF172" s="26">
        <f>IFERROR(__xludf.DUMMYFUNCTION("""COMPUTED_VALUE"""),266.09)</f>
        <v>266.09</v>
      </c>
      <c r="AG172" s="26">
        <f>IFERROR(__xludf.DUMMYFUNCTION("""COMPUTED_VALUE"""),51.7)</f>
        <v>51.7</v>
      </c>
      <c r="AH172" s="26">
        <f>IFERROR(__xludf.DUMMYFUNCTION("""COMPUTED_VALUE"""),92.38)</f>
        <v>92.38</v>
      </c>
      <c r="AI172" s="26">
        <f>IFERROR(__xludf.DUMMYFUNCTION("""COMPUTED_VALUE"""),605.92)</f>
        <v>605.92</v>
      </c>
      <c r="AJ172" s="26">
        <f>IFERROR(__xludf.DUMMYFUNCTION("""COMPUTED_VALUE"""),406.09)</f>
        <v>406.09</v>
      </c>
      <c r="AK172" s="26">
        <f>IFERROR(__xludf.DUMMYFUNCTION("""COMPUTED_VALUE"""),127.39)</f>
        <v>127.39</v>
      </c>
      <c r="AL172" s="26">
        <f>IFERROR(__xludf.DUMMYFUNCTION("""COMPUTED_VALUE"""),148.24)</f>
        <v>148.24</v>
      </c>
      <c r="AM172" s="26">
        <f>IFERROR(__xludf.DUMMYFUNCTION("""COMPUTED_VALUE"""),580.11)</f>
        <v>580.11</v>
      </c>
      <c r="AN172" s="26">
        <f>IFERROR(__xludf.DUMMYFUNCTION("""COMPUTED_VALUE"""),252.35)</f>
        <v>252.35</v>
      </c>
      <c r="AO172" s="26">
        <f>IFERROR(__xludf.DUMMYFUNCTION("""COMPUTED_VALUE"""),483.97)</f>
        <v>483.97</v>
      </c>
      <c r="AP172" s="26">
        <f>IFERROR(__xludf.DUMMYFUNCTION("""COMPUTED_VALUE"""),376.66)</f>
        <v>376.66</v>
      </c>
      <c r="AQ172" s="26">
        <f>IFERROR(__xludf.DUMMYFUNCTION("""COMPUTED_VALUE"""),30.7)</f>
        <v>30.7</v>
      </c>
      <c r="AR172" s="26">
        <f>IFERROR(__xludf.DUMMYFUNCTION("""COMPUTED_VALUE"""),85.4)</f>
        <v>85.4</v>
      </c>
      <c r="AS172" s="26">
        <f>IFERROR(__xludf.DUMMYFUNCTION("""COMPUTED_VALUE"""),84.93)</f>
        <v>84.93</v>
      </c>
      <c r="AT172" s="26">
        <f>IFERROR(__xludf.DUMMYFUNCTION("""COMPUTED_VALUE"""),426.31)</f>
        <v>426.31</v>
      </c>
      <c r="AU172" s="26">
        <f>IFERROR(__xludf.DUMMYFUNCTION("""COMPUTED_VALUE"""),69.29)</f>
        <v>69.29</v>
      </c>
      <c r="AV172" s="26">
        <f>IFERROR(__xludf.DUMMYFUNCTION("""COMPUTED_VALUE"""),136.24)</f>
        <v>136.24</v>
      </c>
      <c r="AW172" s="26">
        <f>IFERROR(__xludf.DUMMYFUNCTION("""COMPUTED_VALUE"""),92.25)</f>
        <v>92.25</v>
      </c>
      <c r="AX172" s="26">
        <f>IFERROR(__xludf.DUMMYFUNCTION("""COMPUTED_VALUE"""),54.72)</f>
        <v>54.72</v>
      </c>
      <c r="AY172" s="26">
        <f>IFERROR(__xludf.DUMMYFUNCTION("""COMPUTED_VALUE"""),68.14)</f>
        <v>68.14</v>
      </c>
      <c r="AZ172" s="26">
        <f>IFERROR(__xludf.DUMMYFUNCTION("""COMPUTED_VALUE"""),89.64)</f>
        <v>89.64</v>
      </c>
      <c r="BA172" s="26">
        <f>IFERROR(__xludf.DUMMYFUNCTION("""COMPUTED_VALUE"""),26.22)</f>
        <v>26.22</v>
      </c>
      <c r="BB172" s="26">
        <f>IFERROR(__xludf.DUMMYFUNCTION("""COMPUTED_VALUE"""),119.09)</f>
        <v>119.09</v>
      </c>
      <c r="BC172" s="26">
        <f>IFERROR(__xludf.DUMMYFUNCTION("""COMPUTED_VALUE"""),214.2)</f>
        <v>214.2</v>
      </c>
      <c r="BD172" s="26">
        <f>IFERROR(__xludf.DUMMYFUNCTION("""COMPUTED_VALUE"""),551.47)</f>
        <v>551.47</v>
      </c>
      <c r="BE172" s="26">
        <f>IFERROR(__xludf.DUMMYFUNCTION("""COMPUTED_VALUE"""),184.84)</f>
        <v>184.84</v>
      </c>
      <c r="BF172" s="26">
        <f>IFERROR(__xludf.DUMMYFUNCTION("""COMPUTED_VALUE"""),60.44)</f>
        <v>60.44</v>
      </c>
      <c r="BG172" s="26">
        <f>IFERROR(__xludf.DUMMYFUNCTION("""COMPUTED_VALUE"""),8.1)</f>
        <v>8.1</v>
      </c>
      <c r="BH172" s="26">
        <f>IFERROR(__xludf.DUMMYFUNCTION("""COMPUTED_VALUE"""),230.86)</f>
        <v>230.86</v>
      </c>
      <c r="BI172" s="26">
        <f>IFERROR(__xludf.DUMMYFUNCTION("""COMPUTED_VALUE"""),543.42)</f>
        <v>543.42</v>
      </c>
      <c r="BJ172" s="26">
        <f>IFERROR(__xludf.DUMMYFUNCTION("""COMPUTED_VALUE"""),48.65)</f>
        <v>48.65</v>
      </c>
      <c r="BK172" s="26">
        <f>IFERROR(__xludf.DUMMYFUNCTION("""COMPUTED_VALUE"""),11.39)</f>
        <v>11.39</v>
      </c>
      <c r="BL172" s="26">
        <f>IFERROR(__xludf.DUMMYFUNCTION("""COMPUTED_VALUE"""),208.0)</f>
        <v>208</v>
      </c>
      <c r="BM172" s="26">
        <f>IFERROR(__xludf.DUMMYFUNCTION("""COMPUTED_VALUE"""),108.18)</f>
        <v>108.18</v>
      </c>
    </row>
    <row r="173">
      <c r="A173" s="25">
        <v>45674.66666666667</v>
      </c>
      <c r="B173" s="17">
        <f>IFERROR(__xludf.DUMMYFUNCTION("""COMPUTED_VALUE"""),5937.34)</f>
        <v>5937.34</v>
      </c>
      <c r="C173" s="17">
        <f>IFERROR(__xludf.DUMMYFUNCTION("""COMPUTED_VALUE"""),19338.29)</f>
        <v>19338.29</v>
      </c>
      <c r="D173" s="17">
        <f>IFERROR(__xludf.DUMMYFUNCTION("""COMPUTED_VALUE"""),43153.13)</f>
        <v>43153.13</v>
      </c>
      <c r="E173" s="17">
        <f>IFERROR(__xludf.DUMMYFUNCTION("""COMPUTED_VALUE"""),2266.79)</f>
        <v>2266.79</v>
      </c>
      <c r="F173" s="26">
        <f>IFERROR(__xludf.DUMMYFUNCTION("""COMPUTED_VALUE"""),426.93)</f>
        <v>426.93</v>
      </c>
      <c r="G173" s="26">
        <f>IFERROR(__xludf.DUMMYFUNCTION("""COMPUTED_VALUE"""),220.66)</f>
        <v>220.66</v>
      </c>
      <c r="H173" s="26">
        <f>IFERROR(__xludf.DUMMYFUNCTION("""COMPUTED_VALUE"""),126.36)</f>
        <v>126.36</v>
      </c>
      <c r="I173" s="26">
        <f>IFERROR(__xludf.DUMMYFUNCTION("""COMPUTED_VALUE"""),228.26)</f>
        <v>228.26</v>
      </c>
      <c r="J173" s="26">
        <f>IFERROR(__xludf.DUMMYFUNCTION("""COMPUTED_VALUE"""),186.48)</f>
        <v>186.48</v>
      </c>
      <c r="K173" s="26">
        <f>IFERROR(__xludf.DUMMYFUNCTION("""COMPUTED_VALUE"""),82.25)</f>
        <v>82.25</v>
      </c>
      <c r="L173" s="26">
        <f>IFERROR(__xludf.DUMMYFUNCTION("""COMPUTED_VALUE"""),13.99)</f>
        <v>13.99</v>
      </c>
      <c r="M173" s="26">
        <f>IFERROR(__xludf.DUMMYFUNCTION("""COMPUTED_VALUE"""),462.81)</f>
        <v>462.81</v>
      </c>
      <c r="N173" s="26">
        <f>IFERROR(__xludf.DUMMYFUNCTION("""COMPUTED_VALUE"""),49.56)</f>
        <v>49.56</v>
      </c>
      <c r="O173" s="26">
        <f>IFERROR(__xludf.DUMMYFUNCTION("""COMPUTED_VALUE"""),141.23)</f>
        <v>141.23</v>
      </c>
      <c r="P173" s="26">
        <f>IFERROR(__xludf.DUMMYFUNCTION("""COMPUTED_VALUE"""),69.74)</f>
        <v>69.74</v>
      </c>
      <c r="Q173" s="26">
        <f>IFERROR(__xludf.DUMMYFUNCTION("""COMPUTED_VALUE"""),380.55)</f>
        <v>380.55</v>
      </c>
      <c r="R173" s="26">
        <f>IFERROR(__xludf.DUMMYFUNCTION("""COMPUTED_VALUE"""),49.51)</f>
        <v>49.51</v>
      </c>
      <c r="S173" s="26">
        <f>IFERROR(__xludf.DUMMYFUNCTION("""COMPUTED_VALUE"""),186.77)</f>
        <v>186.77</v>
      </c>
      <c r="T173" s="26">
        <f>IFERROR(__xludf.DUMMYFUNCTION("""COMPUTED_VALUE"""),159.38)</f>
        <v>159.38</v>
      </c>
      <c r="U173" s="26">
        <f>IFERROR(__xludf.DUMMYFUNCTION("""COMPUTED_VALUE"""),280.97)</f>
        <v>280.97</v>
      </c>
      <c r="V173" s="26">
        <f>IFERROR(__xludf.DUMMYFUNCTION("""COMPUTED_VALUE"""),46.8)</f>
        <v>46.8</v>
      </c>
      <c r="W173" s="26">
        <f>IFERROR(__xludf.DUMMYFUNCTION("""COMPUTED_VALUE"""),62.25)</f>
        <v>62.25</v>
      </c>
      <c r="X173" s="26">
        <f>IFERROR(__xludf.DUMMYFUNCTION("""COMPUTED_VALUE"""),92.22)</f>
        <v>92.22</v>
      </c>
      <c r="Y173" s="26">
        <f>IFERROR(__xludf.DUMMYFUNCTION("""COMPUTED_VALUE"""),180.1)</f>
        <v>180.1</v>
      </c>
      <c r="Z173" s="26">
        <f>IFERROR(__xludf.DUMMYFUNCTION("""COMPUTED_VALUE"""),71.08)</f>
        <v>71.08</v>
      </c>
      <c r="AA173" s="26">
        <f>IFERROR(__xludf.DUMMYFUNCTION("""COMPUTED_VALUE"""),418.91)</f>
        <v>418.91</v>
      </c>
      <c r="AB173" s="26">
        <f>IFERROR(__xludf.DUMMYFUNCTION("""COMPUTED_VALUE"""),65.06)</f>
        <v>65.06</v>
      </c>
      <c r="AC173" s="26">
        <f>IFERROR(__xludf.DUMMYFUNCTION("""COMPUTED_VALUE"""),111.32)</f>
        <v>111.32</v>
      </c>
      <c r="AD173" s="26">
        <f>IFERROR(__xludf.DUMMYFUNCTION("""COMPUTED_VALUE"""),277.37)</f>
        <v>277.37</v>
      </c>
      <c r="AE173" s="26">
        <f>IFERROR(__xludf.DUMMYFUNCTION("""COMPUTED_VALUE"""),432.94)</f>
        <v>432.94</v>
      </c>
      <c r="AF173" s="26">
        <f>IFERROR(__xludf.DUMMYFUNCTION("""COMPUTED_VALUE"""),268.83)</f>
        <v>268.83</v>
      </c>
      <c r="AG173" s="26">
        <f>IFERROR(__xludf.DUMMYFUNCTION("""COMPUTED_VALUE"""),51.84)</f>
        <v>51.84</v>
      </c>
      <c r="AH173" s="26">
        <f>IFERROR(__xludf.DUMMYFUNCTION("""COMPUTED_VALUE"""),91.65)</f>
        <v>91.65</v>
      </c>
      <c r="AI173" s="26">
        <f>IFERROR(__xludf.DUMMYFUNCTION("""COMPUTED_VALUE"""),612.99)</f>
        <v>612.99</v>
      </c>
      <c r="AJ173" s="26">
        <f>IFERROR(__xludf.DUMMYFUNCTION("""COMPUTED_VALUE"""),409.33)</f>
        <v>409.33</v>
      </c>
      <c r="AK173" s="26">
        <f>IFERROR(__xludf.DUMMYFUNCTION("""COMPUTED_VALUE"""),127.55)</f>
        <v>127.55</v>
      </c>
      <c r="AL173" s="26">
        <f>IFERROR(__xludf.DUMMYFUNCTION("""COMPUTED_VALUE"""),150.23)</f>
        <v>150.23</v>
      </c>
      <c r="AM173" s="26">
        <f>IFERROR(__xludf.DUMMYFUNCTION("""COMPUTED_VALUE"""),584.08)</f>
        <v>584.08</v>
      </c>
      <c r="AN173" s="26">
        <f>IFERROR(__xludf.DUMMYFUNCTION("""COMPUTED_VALUE"""),254.27)</f>
        <v>254.27</v>
      </c>
      <c r="AO173" s="26">
        <f>IFERROR(__xludf.DUMMYFUNCTION("""COMPUTED_VALUE"""),486.86)</f>
        <v>486.86</v>
      </c>
      <c r="AP173" s="26">
        <f>IFERROR(__xludf.DUMMYFUNCTION("""COMPUTED_VALUE"""),370.99)</f>
        <v>370.99</v>
      </c>
      <c r="AQ173" s="26">
        <f>IFERROR(__xludf.DUMMYFUNCTION("""COMPUTED_VALUE"""),30.83)</f>
        <v>30.83</v>
      </c>
      <c r="AR173" s="26">
        <f>IFERROR(__xludf.DUMMYFUNCTION("""COMPUTED_VALUE"""),87.16)</f>
        <v>87.16</v>
      </c>
      <c r="AS173" s="26">
        <f>IFERROR(__xludf.DUMMYFUNCTION("""COMPUTED_VALUE"""),85.89)</f>
        <v>85.89</v>
      </c>
      <c r="AT173" s="26">
        <f>IFERROR(__xludf.DUMMYFUNCTION("""COMPUTED_VALUE"""),424.58)</f>
        <v>424.58</v>
      </c>
      <c r="AU173" s="26">
        <f>IFERROR(__xludf.DUMMYFUNCTION("""COMPUTED_VALUE"""),71.37)</f>
        <v>71.37</v>
      </c>
      <c r="AV173" s="26">
        <f>IFERROR(__xludf.DUMMYFUNCTION("""COMPUTED_VALUE"""),133.57)</f>
        <v>133.57</v>
      </c>
      <c r="AW173" s="26">
        <f>IFERROR(__xludf.DUMMYFUNCTION("""COMPUTED_VALUE"""),93.2)</f>
        <v>93.2</v>
      </c>
      <c r="AX173" s="26">
        <f>IFERROR(__xludf.DUMMYFUNCTION("""COMPUTED_VALUE"""),56.33)</f>
        <v>56.33</v>
      </c>
      <c r="AY173" s="26">
        <f>IFERROR(__xludf.DUMMYFUNCTION("""COMPUTED_VALUE"""),69.24)</f>
        <v>69.24</v>
      </c>
      <c r="AZ173" s="26">
        <f>IFERROR(__xludf.DUMMYFUNCTION("""COMPUTED_VALUE"""),88.92)</f>
        <v>88.92</v>
      </c>
      <c r="BA173" s="26">
        <f>IFERROR(__xludf.DUMMYFUNCTION("""COMPUTED_VALUE"""),26.49)</f>
        <v>26.49</v>
      </c>
      <c r="BB173" s="26">
        <f>IFERROR(__xludf.DUMMYFUNCTION("""COMPUTED_VALUE"""),120.46)</f>
        <v>120.46</v>
      </c>
      <c r="BC173" s="26">
        <f>IFERROR(__xludf.DUMMYFUNCTION("""COMPUTED_VALUE"""),215.75)</f>
        <v>215.75</v>
      </c>
      <c r="BD173" s="26">
        <f>IFERROR(__xludf.DUMMYFUNCTION("""COMPUTED_VALUE"""),561.71)</f>
        <v>561.71</v>
      </c>
      <c r="BE173" s="26">
        <f>IFERROR(__xludf.DUMMYFUNCTION("""COMPUTED_VALUE"""),181.48)</f>
        <v>181.48</v>
      </c>
      <c r="BF173" s="26">
        <f>IFERROR(__xludf.DUMMYFUNCTION("""COMPUTED_VALUE"""),58.02)</f>
        <v>58.02</v>
      </c>
      <c r="BG173" s="26">
        <f>IFERROR(__xludf.DUMMYFUNCTION("""COMPUTED_VALUE"""),8.08)</f>
        <v>8.08</v>
      </c>
      <c r="BH173" s="26">
        <f>IFERROR(__xludf.DUMMYFUNCTION("""COMPUTED_VALUE"""),234.89)</f>
        <v>234.89</v>
      </c>
      <c r="BI173" s="26">
        <f>IFERROR(__xludf.DUMMYFUNCTION("""COMPUTED_VALUE"""),510.59)</f>
        <v>510.59</v>
      </c>
      <c r="BJ173" s="26">
        <f>IFERROR(__xludf.DUMMYFUNCTION("""COMPUTED_VALUE"""),48.7)</f>
        <v>48.7</v>
      </c>
      <c r="BK173" s="26">
        <f>IFERROR(__xludf.DUMMYFUNCTION("""COMPUTED_VALUE"""),11.34)</f>
        <v>11.34</v>
      </c>
      <c r="BL173" s="26">
        <f>IFERROR(__xludf.DUMMYFUNCTION("""COMPUTED_VALUE"""),211.01)</f>
        <v>211.01</v>
      </c>
      <c r="BM173" s="26">
        <f>IFERROR(__xludf.DUMMYFUNCTION("""COMPUTED_VALUE"""),106.46)</f>
        <v>106.46</v>
      </c>
    </row>
    <row r="174">
      <c r="A174" s="25">
        <v>45678.66666666667</v>
      </c>
      <c r="B174" s="17">
        <f>IFERROR(__xludf.DUMMYFUNCTION("""COMPUTED_VALUE"""),5996.66)</f>
        <v>5996.66</v>
      </c>
      <c r="C174" s="17">
        <f>IFERROR(__xludf.DUMMYFUNCTION("""COMPUTED_VALUE"""),19630.2)</f>
        <v>19630.2</v>
      </c>
      <c r="D174" s="17">
        <f>IFERROR(__xludf.DUMMYFUNCTION("""COMPUTED_VALUE"""),43487.83)</f>
        <v>43487.83</v>
      </c>
      <c r="E174" s="17">
        <f>IFERROR(__xludf.DUMMYFUNCTION("""COMPUTED_VALUE"""),2275.88)</f>
        <v>2275.88</v>
      </c>
      <c r="F174" s="26">
        <f>IFERROR(__xludf.DUMMYFUNCTION("""COMPUTED_VALUE"""),429.99)</f>
        <v>429.99</v>
      </c>
      <c r="G174" s="26">
        <f>IFERROR(__xludf.DUMMYFUNCTION("""COMPUTED_VALUE"""),225.94)</f>
        <v>225.94</v>
      </c>
      <c r="H174" s="26">
        <f>IFERROR(__xludf.DUMMYFUNCTION("""COMPUTED_VALUE"""),126.6)</f>
        <v>126.6</v>
      </c>
      <c r="I174" s="26">
        <f>IFERROR(__xludf.DUMMYFUNCTION("""COMPUTED_VALUE"""),229.98)</f>
        <v>229.98</v>
      </c>
      <c r="J174" s="26">
        <f>IFERROR(__xludf.DUMMYFUNCTION("""COMPUTED_VALUE"""),192.05)</f>
        <v>192.05</v>
      </c>
      <c r="K174" s="26">
        <f>IFERROR(__xludf.DUMMYFUNCTION("""COMPUTED_VALUE"""),83.29)</f>
        <v>83.29</v>
      </c>
      <c r="L174" s="26">
        <f>IFERROR(__xludf.DUMMYFUNCTION("""COMPUTED_VALUE"""),14.26)</f>
        <v>14.26</v>
      </c>
      <c r="M174" s="26">
        <f>IFERROR(__xludf.DUMMYFUNCTION("""COMPUTED_VALUE"""),467.95)</f>
        <v>467.95</v>
      </c>
      <c r="N174" s="26">
        <f>IFERROR(__xludf.DUMMYFUNCTION("""COMPUTED_VALUE"""),50.09)</f>
        <v>50.09</v>
      </c>
      <c r="O174" s="26">
        <f>IFERROR(__xludf.DUMMYFUNCTION("""COMPUTED_VALUE"""),140.55)</f>
        <v>140.55</v>
      </c>
      <c r="P174" s="26">
        <f>IFERROR(__xludf.DUMMYFUNCTION("""COMPUTED_VALUE"""),69.66)</f>
        <v>69.66</v>
      </c>
      <c r="Q174" s="26">
        <f>IFERROR(__xludf.DUMMYFUNCTION("""COMPUTED_VALUE"""),386.02)</f>
        <v>386.02</v>
      </c>
      <c r="R174" s="26">
        <f>IFERROR(__xludf.DUMMYFUNCTION("""COMPUTED_VALUE"""),51.63)</f>
        <v>51.63</v>
      </c>
      <c r="S174" s="26">
        <f>IFERROR(__xludf.DUMMYFUNCTION("""COMPUTED_VALUE"""),187.87)</f>
        <v>187.87</v>
      </c>
      <c r="T174" s="26">
        <f>IFERROR(__xludf.DUMMYFUNCTION("""COMPUTED_VALUE"""),161.47)</f>
        <v>161.47</v>
      </c>
      <c r="U174" s="26">
        <f>IFERROR(__xludf.DUMMYFUNCTION("""COMPUTED_VALUE"""),283.99)</f>
        <v>283.99</v>
      </c>
      <c r="V174" s="26">
        <f>IFERROR(__xludf.DUMMYFUNCTION("""COMPUTED_VALUE"""),47.54)</f>
        <v>47.54</v>
      </c>
      <c r="W174" s="26">
        <f>IFERROR(__xludf.DUMMYFUNCTION("""COMPUTED_VALUE"""),62.71)</f>
        <v>62.71</v>
      </c>
      <c r="X174" s="26">
        <f>IFERROR(__xludf.DUMMYFUNCTION("""COMPUTED_VALUE"""),93.65)</f>
        <v>93.65</v>
      </c>
      <c r="Y174" s="26">
        <f>IFERROR(__xludf.DUMMYFUNCTION("""COMPUTED_VALUE"""),178.43)</f>
        <v>178.43</v>
      </c>
      <c r="Z174" s="26">
        <f>IFERROR(__xludf.DUMMYFUNCTION("""COMPUTED_VALUE"""),72.07)</f>
        <v>72.07</v>
      </c>
      <c r="AA174" s="26">
        <f>IFERROR(__xludf.DUMMYFUNCTION("""COMPUTED_VALUE"""),427.35)</f>
        <v>427.35</v>
      </c>
      <c r="AB174" s="26">
        <f>IFERROR(__xludf.DUMMYFUNCTION("""COMPUTED_VALUE"""),66.19)</f>
        <v>66.19</v>
      </c>
      <c r="AC174" s="26">
        <f>IFERROR(__xludf.DUMMYFUNCTION("""COMPUTED_VALUE"""),112.32)</f>
        <v>112.32</v>
      </c>
      <c r="AD174" s="26">
        <f>IFERROR(__xludf.DUMMYFUNCTION("""COMPUTED_VALUE"""),275.1)</f>
        <v>275.1</v>
      </c>
      <c r="AE174" s="26">
        <f>IFERROR(__xludf.DUMMYFUNCTION("""COMPUTED_VALUE"""),435.87)</f>
        <v>435.87</v>
      </c>
      <c r="AF174" s="26">
        <f>IFERROR(__xludf.DUMMYFUNCTION("""COMPUTED_VALUE"""),266.67)</f>
        <v>266.67</v>
      </c>
      <c r="AG174" s="26">
        <f>IFERROR(__xludf.DUMMYFUNCTION("""COMPUTED_VALUE"""),50.97)</f>
        <v>50.97</v>
      </c>
      <c r="AH174" s="26">
        <f>IFERROR(__xludf.DUMMYFUNCTION("""COMPUTED_VALUE"""),91.84)</f>
        <v>91.84</v>
      </c>
      <c r="AI174" s="26">
        <f>IFERROR(__xludf.DUMMYFUNCTION("""COMPUTED_VALUE"""),625.94)</f>
        <v>625.94</v>
      </c>
      <c r="AJ174" s="26">
        <f>IFERROR(__xludf.DUMMYFUNCTION("""COMPUTED_VALUE"""),409.38)</f>
        <v>409.38</v>
      </c>
      <c r="AK174" s="26">
        <f>IFERROR(__xludf.DUMMYFUNCTION("""COMPUTED_VALUE"""),127.03)</f>
        <v>127.03</v>
      </c>
      <c r="AL174" s="26">
        <f>IFERROR(__xludf.DUMMYFUNCTION("""COMPUTED_VALUE"""),149.11)</f>
        <v>149.11</v>
      </c>
      <c r="AM174" s="26">
        <f>IFERROR(__xludf.DUMMYFUNCTION("""COMPUTED_VALUE"""),592.64)</f>
        <v>592.64</v>
      </c>
      <c r="AN174" s="26">
        <f>IFERROR(__xludf.DUMMYFUNCTION("""COMPUTED_VALUE"""),259.16)</f>
        <v>259.16</v>
      </c>
      <c r="AO174" s="26">
        <f>IFERROR(__xludf.DUMMYFUNCTION("""COMPUTED_VALUE"""),490.32)</f>
        <v>490.32</v>
      </c>
      <c r="AP174" s="26">
        <f>IFERROR(__xludf.DUMMYFUNCTION("""COMPUTED_VALUE"""),373.7)</f>
        <v>373.7</v>
      </c>
      <c r="AQ174" s="26">
        <f>IFERROR(__xludf.DUMMYFUNCTION("""COMPUTED_VALUE"""),30.61)</f>
        <v>30.61</v>
      </c>
      <c r="AR174" s="26">
        <f>IFERROR(__xludf.DUMMYFUNCTION("""COMPUTED_VALUE"""),88.08)</f>
        <v>88.08</v>
      </c>
      <c r="AS174" s="26">
        <f>IFERROR(__xludf.DUMMYFUNCTION("""COMPUTED_VALUE"""),86.78)</f>
        <v>86.78</v>
      </c>
      <c r="AT174" s="26">
        <f>IFERROR(__xludf.DUMMYFUNCTION("""COMPUTED_VALUE"""),429.03)</f>
        <v>429.03</v>
      </c>
      <c r="AU174" s="26">
        <f>IFERROR(__xludf.DUMMYFUNCTION("""COMPUTED_VALUE"""),70.76)</f>
        <v>70.76</v>
      </c>
      <c r="AV174" s="26">
        <f>IFERROR(__xludf.DUMMYFUNCTION("""COMPUTED_VALUE"""),137.71)</f>
        <v>137.71</v>
      </c>
      <c r="AW174" s="26">
        <f>IFERROR(__xludf.DUMMYFUNCTION("""COMPUTED_VALUE"""),94.77)</f>
        <v>94.77</v>
      </c>
      <c r="AX174" s="26">
        <f>IFERROR(__xludf.DUMMYFUNCTION("""COMPUTED_VALUE"""),57.98)</f>
        <v>57.98</v>
      </c>
      <c r="AY174" s="26">
        <f>IFERROR(__xludf.DUMMYFUNCTION("""COMPUTED_VALUE"""),71.77)</f>
        <v>71.77</v>
      </c>
      <c r="AZ174" s="26">
        <f>IFERROR(__xludf.DUMMYFUNCTION("""COMPUTED_VALUE"""),91.81)</f>
        <v>91.81</v>
      </c>
      <c r="BA174" s="26">
        <f>IFERROR(__xludf.DUMMYFUNCTION("""COMPUTED_VALUE"""),26.3)</f>
        <v>26.3</v>
      </c>
      <c r="BB174" s="26">
        <f>IFERROR(__xludf.DUMMYFUNCTION("""COMPUTED_VALUE"""),121.11)</f>
        <v>121.11</v>
      </c>
      <c r="BC174" s="26">
        <f>IFERROR(__xludf.DUMMYFUNCTION("""COMPUTED_VALUE"""),218.97)</f>
        <v>218.97</v>
      </c>
      <c r="BD174" s="26">
        <f>IFERROR(__xludf.DUMMYFUNCTION("""COMPUTED_VALUE"""),559.65)</f>
        <v>559.65</v>
      </c>
      <c r="BE174" s="26">
        <f>IFERROR(__xludf.DUMMYFUNCTION("""COMPUTED_VALUE"""),180.78)</f>
        <v>180.78</v>
      </c>
      <c r="BF174" s="26">
        <f>IFERROR(__xludf.DUMMYFUNCTION("""COMPUTED_VALUE"""),57.2)</f>
        <v>57.2</v>
      </c>
      <c r="BG174" s="26">
        <f>IFERROR(__xludf.DUMMYFUNCTION("""COMPUTED_VALUE"""),8.2)</f>
        <v>8.2</v>
      </c>
      <c r="BH174" s="26">
        <f>IFERROR(__xludf.DUMMYFUNCTION("""COMPUTED_VALUE"""),234.26)</f>
        <v>234.26</v>
      </c>
      <c r="BI174" s="26">
        <f>IFERROR(__xludf.DUMMYFUNCTION("""COMPUTED_VALUE"""),509.76)</f>
        <v>509.76</v>
      </c>
      <c r="BJ174" s="26">
        <f>IFERROR(__xludf.DUMMYFUNCTION("""COMPUTED_VALUE"""),48.7)</f>
        <v>48.7</v>
      </c>
      <c r="BK174" s="26">
        <f>IFERROR(__xludf.DUMMYFUNCTION("""COMPUTED_VALUE"""),11.3)</f>
        <v>11.3</v>
      </c>
      <c r="BL174" s="26">
        <f>IFERROR(__xludf.DUMMYFUNCTION("""COMPUTED_VALUE"""),211.71)</f>
        <v>211.71</v>
      </c>
      <c r="BM174" s="26">
        <f>IFERROR(__xludf.DUMMYFUNCTION("""COMPUTED_VALUE"""),107.02)</f>
        <v>107.02</v>
      </c>
    </row>
    <row r="175">
      <c r="A175" s="25">
        <v>45679.66666666667</v>
      </c>
      <c r="B175" s="17">
        <f>IFERROR(__xludf.DUMMYFUNCTION("""COMPUTED_VALUE"""),6049.24)</f>
        <v>6049.24</v>
      </c>
      <c r="C175" s="17">
        <f>IFERROR(__xludf.DUMMYFUNCTION("""COMPUTED_VALUE"""),19756.78)</f>
        <v>19756.78</v>
      </c>
      <c r="D175" s="17">
        <f>IFERROR(__xludf.DUMMYFUNCTION("""COMPUTED_VALUE"""),44025.81)</f>
        <v>44025.81</v>
      </c>
      <c r="E175" s="17">
        <f>IFERROR(__xludf.DUMMYFUNCTION("""COMPUTED_VALUE"""),2317.97)</f>
        <v>2317.97</v>
      </c>
      <c r="F175" s="26">
        <f>IFERROR(__xludf.DUMMYFUNCTION("""COMPUTED_VALUE"""),436.36)</f>
        <v>436.36</v>
      </c>
      <c r="G175" s="26">
        <f>IFERROR(__xludf.DUMMYFUNCTION("""COMPUTED_VALUE"""),230.71)</f>
        <v>230.71</v>
      </c>
      <c r="H175" s="26">
        <f>IFERROR(__xludf.DUMMYFUNCTION("""COMPUTED_VALUE"""),126.33)</f>
        <v>126.33</v>
      </c>
      <c r="I175" s="26">
        <f>IFERROR(__xludf.DUMMYFUNCTION("""COMPUTED_VALUE"""),222.64)</f>
        <v>222.64</v>
      </c>
      <c r="J175" s="26">
        <f>IFERROR(__xludf.DUMMYFUNCTION("""COMPUTED_VALUE"""),192.87)</f>
        <v>192.87</v>
      </c>
      <c r="K175" s="26">
        <f>IFERROR(__xludf.DUMMYFUNCTION("""COMPUTED_VALUE"""),84.93)</f>
        <v>84.93</v>
      </c>
      <c r="L175" s="26">
        <f>IFERROR(__xludf.DUMMYFUNCTION("""COMPUTED_VALUE"""),14.9)</f>
        <v>14.9</v>
      </c>
      <c r="M175" s="26">
        <f>IFERROR(__xludf.DUMMYFUNCTION("""COMPUTED_VALUE"""),468.57)</f>
        <v>468.57</v>
      </c>
      <c r="N175" s="26">
        <f>IFERROR(__xludf.DUMMYFUNCTION("""COMPUTED_VALUE"""),50.12)</f>
        <v>50.12</v>
      </c>
      <c r="O175" s="26">
        <f>IFERROR(__xludf.DUMMYFUNCTION("""COMPUTED_VALUE"""),140.98)</f>
        <v>140.98</v>
      </c>
      <c r="P175" s="26">
        <f>IFERROR(__xludf.DUMMYFUNCTION("""COMPUTED_VALUE"""),70.55)</f>
        <v>70.55</v>
      </c>
      <c r="Q175" s="26">
        <f>IFERROR(__xludf.DUMMYFUNCTION("""COMPUTED_VALUE"""),398.36)</f>
        <v>398.36</v>
      </c>
      <c r="R175" s="26">
        <f>IFERROR(__xludf.DUMMYFUNCTION("""COMPUTED_VALUE"""),53.56)</f>
        <v>53.56</v>
      </c>
      <c r="S175" s="26">
        <f>IFERROR(__xludf.DUMMYFUNCTION("""COMPUTED_VALUE"""),192.96)</f>
        <v>192.96</v>
      </c>
      <c r="T175" s="26">
        <f>IFERROR(__xludf.DUMMYFUNCTION("""COMPUTED_VALUE"""),158.24)</f>
        <v>158.24</v>
      </c>
      <c r="U175" s="26">
        <f>IFERROR(__xludf.DUMMYFUNCTION("""COMPUTED_VALUE"""),288.59)</f>
        <v>288.59</v>
      </c>
      <c r="V175" s="26">
        <f>IFERROR(__xludf.DUMMYFUNCTION("""COMPUTED_VALUE"""),48.31)</f>
        <v>48.31</v>
      </c>
      <c r="W175" s="26">
        <f>IFERROR(__xludf.DUMMYFUNCTION("""COMPUTED_VALUE"""),62.42)</f>
        <v>62.42</v>
      </c>
      <c r="X175" s="26">
        <f>IFERROR(__xludf.DUMMYFUNCTION("""COMPUTED_VALUE"""),93.21)</f>
        <v>93.21</v>
      </c>
      <c r="Y175" s="26">
        <f>IFERROR(__xludf.DUMMYFUNCTION("""COMPUTED_VALUE"""),183.56)</f>
        <v>183.56</v>
      </c>
      <c r="Z175" s="26">
        <f>IFERROR(__xludf.DUMMYFUNCTION("""COMPUTED_VALUE"""),73.76)</f>
        <v>73.76</v>
      </c>
      <c r="AA175" s="26">
        <f>IFERROR(__xludf.DUMMYFUNCTION("""COMPUTED_VALUE"""),440.8)</f>
        <v>440.8</v>
      </c>
      <c r="AB175" s="26">
        <f>IFERROR(__xludf.DUMMYFUNCTION("""COMPUTED_VALUE"""),64.63)</f>
        <v>64.63</v>
      </c>
      <c r="AC175" s="26">
        <f>IFERROR(__xludf.DUMMYFUNCTION("""COMPUTED_VALUE"""),111.47)</f>
        <v>111.47</v>
      </c>
      <c r="AD175" s="26">
        <f>IFERROR(__xludf.DUMMYFUNCTION("""COMPUTED_VALUE"""),275.57)</f>
        <v>275.57</v>
      </c>
      <c r="AE175" s="26">
        <f>IFERROR(__xludf.DUMMYFUNCTION("""COMPUTED_VALUE"""),440.23)</f>
        <v>440.23</v>
      </c>
      <c r="AF175" s="26">
        <f>IFERROR(__xludf.DUMMYFUNCTION("""COMPUTED_VALUE"""),271.63)</f>
        <v>271.63</v>
      </c>
      <c r="AG175" s="26">
        <f>IFERROR(__xludf.DUMMYFUNCTION("""COMPUTED_VALUE"""),53.89)</f>
        <v>53.89</v>
      </c>
      <c r="AH175" s="26">
        <f>IFERROR(__xludf.DUMMYFUNCTION("""COMPUTED_VALUE"""),92.96)</f>
        <v>92.96</v>
      </c>
      <c r="AI175" s="26">
        <f>IFERROR(__xludf.DUMMYFUNCTION("""COMPUTED_VALUE"""),634.74)</f>
        <v>634.74</v>
      </c>
      <c r="AJ175" s="26">
        <f>IFERROR(__xludf.DUMMYFUNCTION("""COMPUTED_VALUE"""),418.43)</f>
        <v>418.43</v>
      </c>
      <c r="AK175" s="26">
        <f>IFERROR(__xludf.DUMMYFUNCTION("""COMPUTED_VALUE"""),128.75)</f>
        <v>128.75</v>
      </c>
      <c r="AL175" s="26">
        <f>IFERROR(__xludf.DUMMYFUNCTION("""COMPUTED_VALUE"""),151.72)</f>
        <v>151.72</v>
      </c>
      <c r="AM175" s="26">
        <f>IFERROR(__xludf.DUMMYFUNCTION("""COMPUTED_VALUE"""),604.12)</f>
        <v>604.12</v>
      </c>
      <c r="AN175" s="26">
        <f>IFERROR(__xludf.DUMMYFUNCTION("""COMPUTED_VALUE"""),263.03)</f>
        <v>263.03</v>
      </c>
      <c r="AO175" s="26">
        <f>IFERROR(__xludf.DUMMYFUNCTION("""COMPUTED_VALUE"""),506.29)</f>
        <v>506.29</v>
      </c>
      <c r="AP175" s="26">
        <f>IFERROR(__xludf.DUMMYFUNCTION("""COMPUTED_VALUE"""),372.81)</f>
        <v>372.81</v>
      </c>
      <c r="AQ175" s="26">
        <f>IFERROR(__xludf.DUMMYFUNCTION("""COMPUTED_VALUE"""),30.84)</f>
        <v>30.84</v>
      </c>
      <c r="AR175" s="26">
        <f>IFERROR(__xludf.DUMMYFUNCTION("""COMPUTED_VALUE"""),88.38)</f>
        <v>88.38</v>
      </c>
      <c r="AS175" s="26">
        <f>IFERROR(__xludf.DUMMYFUNCTION("""COMPUTED_VALUE"""),86.88)</f>
        <v>86.88</v>
      </c>
      <c r="AT175" s="26">
        <f>IFERROR(__xludf.DUMMYFUNCTION("""COMPUTED_VALUE"""),428.5)</f>
        <v>428.5</v>
      </c>
      <c r="AU175" s="26">
        <f>IFERROR(__xludf.DUMMYFUNCTION("""COMPUTED_VALUE"""),70.85)</f>
        <v>70.85</v>
      </c>
      <c r="AV175" s="26">
        <f>IFERROR(__xludf.DUMMYFUNCTION("""COMPUTED_VALUE"""),140.83)</f>
        <v>140.83</v>
      </c>
      <c r="AW175" s="26">
        <f>IFERROR(__xludf.DUMMYFUNCTION("""COMPUTED_VALUE"""),95.5)</f>
        <v>95.5</v>
      </c>
      <c r="AX175" s="26">
        <f>IFERROR(__xludf.DUMMYFUNCTION("""COMPUTED_VALUE"""),59.95)</f>
        <v>59.95</v>
      </c>
      <c r="AY175" s="26">
        <f>IFERROR(__xludf.DUMMYFUNCTION("""COMPUTED_VALUE"""),73.07)</f>
        <v>73.07</v>
      </c>
      <c r="AZ175" s="26">
        <f>IFERROR(__xludf.DUMMYFUNCTION("""COMPUTED_VALUE"""),89.77)</f>
        <v>89.77</v>
      </c>
      <c r="BA175" s="26">
        <f>IFERROR(__xludf.DUMMYFUNCTION("""COMPUTED_VALUE"""),26.64)</f>
        <v>26.64</v>
      </c>
      <c r="BB175" s="26">
        <f>IFERROR(__xludf.DUMMYFUNCTION("""COMPUTED_VALUE"""),125.75)</f>
        <v>125.75</v>
      </c>
      <c r="BC175" s="26">
        <f>IFERROR(__xludf.DUMMYFUNCTION("""COMPUTED_VALUE"""),219.49)</f>
        <v>219.49</v>
      </c>
      <c r="BD175" s="26">
        <f>IFERROR(__xludf.DUMMYFUNCTION("""COMPUTED_VALUE"""),573.06)</f>
        <v>573.06</v>
      </c>
      <c r="BE175" s="26">
        <f>IFERROR(__xludf.DUMMYFUNCTION("""COMPUTED_VALUE"""),186.93)</f>
        <v>186.93</v>
      </c>
      <c r="BF175" s="26">
        <f>IFERROR(__xludf.DUMMYFUNCTION("""COMPUTED_VALUE"""),56.73)</f>
        <v>56.73</v>
      </c>
      <c r="BG175" s="26">
        <f>IFERROR(__xludf.DUMMYFUNCTION("""COMPUTED_VALUE"""),8.54)</f>
        <v>8.54</v>
      </c>
      <c r="BH175" s="26">
        <f>IFERROR(__xludf.DUMMYFUNCTION("""COMPUTED_VALUE"""),236.73)</f>
        <v>236.73</v>
      </c>
      <c r="BI175" s="26">
        <f>IFERROR(__xludf.DUMMYFUNCTION("""COMPUTED_VALUE"""),524.99)</f>
        <v>524.99</v>
      </c>
      <c r="BJ175" s="26">
        <f>IFERROR(__xludf.DUMMYFUNCTION("""COMPUTED_VALUE"""),48.67)</f>
        <v>48.67</v>
      </c>
      <c r="BK175" s="26">
        <f>IFERROR(__xludf.DUMMYFUNCTION("""COMPUTED_VALUE"""),11.33)</f>
        <v>11.33</v>
      </c>
      <c r="BL175" s="26">
        <f>IFERROR(__xludf.DUMMYFUNCTION("""COMPUTED_VALUE"""),212.93)</f>
        <v>212.93</v>
      </c>
      <c r="BM175" s="26">
        <f>IFERROR(__xludf.DUMMYFUNCTION("""COMPUTED_VALUE"""),108.7)</f>
        <v>108.7</v>
      </c>
    </row>
    <row r="176">
      <c r="A176" s="25">
        <v>45680.66666666667</v>
      </c>
      <c r="B176" s="17">
        <f>IFERROR(__xludf.DUMMYFUNCTION("""COMPUTED_VALUE"""),6086.37)</f>
        <v>6086.37</v>
      </c>
      <c r="C176" s="17">
        <f>IFERROR(__xludf.DUMMYFUNCTION("""COMPUTED_VALUE"""),20009.34)</f>
        <v>20009.34</v>
      </c>
      <c r="D176" s="17">
        <f>IFERROR(__xludf.DUMMYFUNCTION("""COMPUTED_VALUE"""),44156.73)</f>
        <v>44156.73</v>
      </c>
      <c r="E176" s="17">
        <f>IFERROR(__xludf.DUMMYFUNCTION("""COMPUTED_VALUE"""),2303.72)</f>
        <v>2303.72</v>
      </c>
      <c r="F176" s="26">
        <f>IFERROR(__xludf.DUMMYFUNCTION("""COMPUTED_VALUE"""),437.32)</f>
        <v>437.32</v>
      </c>
      <c r="G176" s="26">
        <f>IFERROR(__xludf.DUMMYFUNCTION("""COMPUTED_VALUE"""),235.01)</f>
        <v>235.01</v>
      </c>
      <c r="H176" s="26">
        <f>IFERROR(__xludf.DUMMYFUNCTION("""COMPUTED_VALUE"""),121.68)</f>
        <v>121.68</v>
      </c>
      <c r="I176" s="26">
        <f>IFERROR(__xludf.DUMMYFUNCTION("""COMPUTED_VALUE"""),223.83)</f>
        <v>223.83</v>
      </c>
      <c r="J176" s="26">
        <f>IFERROR(__xludf.DUMMYFUNCTION("""COMPUTED_VALUE"""),195.51)</f>
        <v>195.51</v>
      </c>
      <c r="K176" s="26">
        <f>IFERROR(__xludf.DUMMYFUNCTION("""COMPUTED_VALUE"""),84.33)</f>
        <v>84.33</v>
      </c>
      <c r="L176" s="26">
        <f>IFERROR(__xludf.DUMMYFUNCTION("""COMPUTED_VALUE"""),14.48)</f>
        <v>14.48</v>
      </c>
      <c r="M176" s="26">
        <f>IFERROR(__xludf.DUMMYFUNCTION("""COMPUTED_VALUE"""),460.51)</f>
        <v>460.51</v>
      </c>
      <c r="N176" s="26">
        <f>IFERROR(__xludf.DUMMYFUNCTION("""COMPUTED_VALUE"""),49.07)</f>
        <v>49.07</v>
      </c>
      <c r="O176" s="26">
        <f>IFERROR(__xludf.DUMMYFUNCTION("""COMPUTED_VALUE"""),142.75)</f>
        <v>142.75</v>
      </c>
      <c r="P176" s="26">
        <f>IFERROR(__xludf.DUMMYFUNCTION("""COMPUTED_VALUE"""),70.03)</f>
        <v>70.03</v>
      </c>
      <c r="Q176" s="26">
        <f>IFERROR(__xludf.DUMMYFUNCTION("""COMPUTED_VALUE"""),397.61)</f>
        <v>397.61</v>
      </c>
      <c r="R176" s="26">
        <f>IFERROR(__xludf.DUMMYFUNCTION("""COMPUTED_VALUE"""),56.32)</f>
        <v>56.32</v>
      </c>
      <c r="S176" s="26">
        <f>IFERROR(__xludf.DUMMYFUNCTION("""COMPUTED_VALUE"""),194.28)</f>
        <v>194.28</v>
      </c>
      <c r="T176" s="26">
        <f>IFERROR(__xludf.DUMMYFUNCTION("""COMPUTED_VALUE"""),156.41)</f>
        <v>156.41</v>
      </c>
      <c r="U176" s="26">
        <f>IFERROR(__xludf.DUMMYFUNCTION("""COMPUTED_VALUE"""),289.04)</f>
        <v>289.04</v>
      </c>
      <c r="V176" s="26">
        <f>IFERROR(__xludf.DUMMYFUNCTION("""COMPUTED_VALUE"""),47.03)</f>
        <v>47.03</v>
      </c>
      <c r="W176" s="26">
        <f>IFERROR(__xludf.DUMMYFUNCTION("""COMPUTED_VALUE"""),61.78)</f>
        <v>61.78</v>
      </c>
      <c r="X176" s="26">
        <f>IFERROR(__xludf.DUMMYFUNCTION("""COMPUTED_VALUE"""),90.77)</f>
        <v>90.77</v>
      </c>
      <c r="Y176" s="26">
        <f>IFERROR(__xludf.DUMMYFUNCTION("""COMPUTED_VALUE"""),182.44)</f>
        <v>182.44</v>
      </c>
      <c r="Z176" s="26">
        <f>IFERROR(__xludf.DUMMYFUNCTION("""COMPUTED_VALUE"""),71.97)</f>
        <v>71.97</v>
      </c>
      <c r="AA176" s="26">
        <f>IFERROR(__xludf.DUMMYFUNCTION("""COMPUTED_VALUE"""),442.12)</f>
        <v>442.12</v>
      </c>
      <c r="AB176" s="26">
        <f>IFERROR(__xludf.DUMMYFUNCTION("""COMPUTED_VALUE"""),63.88)</f>
        <v>63.88</v>
      </c>
      <c r="AC176" s="26">
        <f>IFERROR(__xludf.DUMMYFUNCTION("""COMPUTED_VALUE"""),109.53)</f>
        <v>109.53</v>
      </c>
      <c r="AD176" s="26">
        <f>IFERROR(__xludf.DUMMYFUNCTION("""COMPUTED_VALUE"""),270.43)</f>
        <v>270.43</v>
      </c>
      <c r="AE176" s="26">
        <f>IFERROR(__xludf.DUMMYFUNCTION("""COMPUTED_VALUE"""),432.5)</f>
        <v>432.5</v>
      </c>
      <c r="AF176" s="26">
        <f>IFERROR(__xludf.DUMMYFUNCTION("""COMPUTED_VALUE"""),268.84)</f>
        <v>268.84</v>
      </c>
      <c r="AG176" s="26">
        <f>IFERROR(__xludf.DUMMYFUNCTION("""COMPUTED_VALUE"""),52.76)</f>
        <v>52.76</v>
      </c>
      <c r="AH176" s="26">
        <f>IFERROR(__xludf.DUMMYFUNCTION("""COMPUTED_VALUE"""),93.04)</f>
        <v>93.04</v>
      </c>
      <c r="AI176" s="26">
        <f>IFERROR(__xludf.DUMMYFUNCTION("""COMPUTED_VALUE"""),632.73)</f>
        <v>632.73</v>
      </c>
      <c r="AJ176" s="26">
        <f>IFERROR(__xludf.DUMMYFUNCTION("""COMPUTED_VALUE"""),410.1)</f>
        <v>410.1</v>
      </c>
      <c r="AK176" s="26">
        <f>IFERROR(__xludf.DUMMYFUNCTION("""COMPUTED_VALUE"""),127.37)</f>
        <v>127.37</v>
      </c>
      <c r="AL176" s="26">
        <f>IFERROR(__xludf.DUMMYFUNCTION("""COMPUTED_VALUE"""),154.17)</f>
        <v>154.17</v>
      </c>
      <c r="AM176" s="26">
        <f>IFERROR(__xludf.DUMMYFUNCTION("""COMPUTED_VALUE"""),610.45)</f>
        <v>610.45</v>
      </c>
      <c r="AN176" s="26">
        <f>IFERROR(__xludf.DUMMYFUNCTION("""COMPUTED_VALUE"""),262.84)</f>
        <v>262.84</v>
      </c>
      <c r="AO176" s="26">
        <f>IFERROR(__xludf.DUMMYFUNCTION("""COMPUTED_VALUE"""),499.34)</f>
        <v>499.34</v>
      </c>
      <c r="AP176" s="26">
        <f>IFERROR(__xludf.DUMMYFUNCTION("""COMPUTED_VALUE"""),382.82)</f>
        <v>382.82</v>
      </c>
      <c r="AQ176" s="26">
        <f>IFERROR(__xludf.DUMMYFUNCTION("""COMPUTED_VALUE"""),30.43)</f>
        <v>30.43</v>
      </c>
      <c r="AR176" s="26">
        <f>IFERROR(__xludf.DUMMYFUNCTION("""COMPUTED_VALUE"""),87.84)</f>
        <v>87.84</v>
      </c>
      <c r="AS176" s="26">
        <f>IFERROR(__xludf.DUMMYFUNCTION("""COMPUTED_VALUE"""),85.76)</f>
        <v>85.76</v>
      </c>
      <c r="AT176" s="26">
        <f>IFERROR(__xludf.DUMMYFUNCTION("""COMPUTED_VALUE"""),446.2)</f>
        <v>446.2</v>
      </c>
      <c r="AU176" s="26">
        <f>IFERROR(__xludf.DUMMYFUNCTION("""COMPUTED_VALUE"""),68.49)</f>
        <v>68.49</v>
      </c>
      <c r="AV176" s="26">
        <f>IFERROR(__xludf.DUMMYFUNCTION("""COMPUTED_VALUE"""),147.07)</f>
        <v>147.07</v>
      </c>
      <c r="AW176" s="26">
        <f>IFERROR(__xludf.DUMMYFUNCTION("""COMPUTED_VALUE"""),95.39)</f>
        <v>95.39</v>
      </c>
      <c r="AX176" s="26">
        <f>IFERROR(__xludf.DUMMYFUNCTION("""COMPUTED_VALUE"""),58.56)</f>
        <v>58.56</v>
      </c>
      <c r="AY176" s="26">
        <f>IFERROR(__xludf.DUMMYFUNCTION("""COMPUTED_VALUE"""),76.87)</f>
        <v>76.87</v>
      </c>
      <c r="AZ176" s="26">
        <f>IFERROR(__xludf.DUMMYFUNCTION("""COMPUTED_VALUE"""),89.85)</f>
        <v>89.85</v>
      </c>
      <c r="BA176" s="26">
        <f>IFERROR(__xludf.DUMMYFUNCTION("""COMPUTED_VALUE"""),26.01)</f>
        <v>26.01</v>
      </c>
      <c r="BB176" s="26">
        <f>IFERROR(__xludf.DUMMYFUNCTION("""COMPUTED_VALUE"""),124.38)</f>
        <v>124.38</v>
      </c>
      <c r="BC176" s="26">
        <f>IFERROR(__xludf.DUMMYFUNCTION("""COMPUTED_VALUE"""),218.18)</f>
        <v>218.18</v>
      </c>
      <c r="BD176" s="26">
        <f>IFERROR(__xludf.DUMMYFUNCTION("""COMPUTED_VALUE"""),574.59)</f>
        <v>574.59</v>
      </c>
      <c r="BE176" s="26">
        <f>IFERROR(__xludf.DUMMYFUNCTION("""COMPUTED_VALUE"""),186.52)</f>
        <v>186.52</v>
      </c>
      <c r="BF176" s="26">
        <f>IFERROR(__xludf.DUMMYFUNCTION("""COMPUTED_VALUE"""),61.97)</f>
        <v>61.97</v>
      </c>
      <c r="BG176" s="26">
        <f>IFERROR(__xludf.DUMMYFUNCTION("""COMPUTED_VALUE"""),8.61)</f>
        <v>8.61</v>
      </c>
      <c r="BH176" s="26">
        <f>IFERROR(__xludf.DUMMYFUNCTION("""COMPUTED_VALUE"""),235.8)</f>
        <v>235.8</v>
      </c>
      <c r="BI176" s="26">
        <f>IFERROR(__xludf.DUMMYFUNCTION("""COMPUTED_VALUE"""),519.72)</f>
        <v>519.72</v>
      </c>
      <c r="BJ176" s="26">
        <f>IFERROR(__xludf.DUMMYFUNCTION("""COMPUTED_VALUE"""),48.65)</f>
        <v>48.65</v>
      </c>
      <c r="BK176" s="26">
        <f>IFERROR(__xludf.DUMMYFUNCTION("""COMPUTED_VALUE"""),11.14)</f>
        <v>11.14</v>
      </c>
      <c r="BL176" s="26">
        <f>IFERROR(__xludf.DUMMYFUNCTION("""COMPUTED_VALUE"""),211.44)</f>
        <v>211.44</v>
      </c>
      <c r="BM176" s="26">
        <f>IFERROR(__xludf.DUMMYFUNCTION("""COMPUTED_VALUE"""),108.81)</f>
        <v>108.81</v>
      </c>
    </row>
    <row r="177">
      <c r="A177" s="25">
        <v>45681.66666666667</v>
      </c>
      <c r="B177" s="17">
        <f>IFERROR(__xludf.DUMMYFUNCTION("""COMPUTED_VALUE"""),6118.71)</f>
        <v>6118.71</v>
      </c>
      <c r="C177" s="17">
        <f>IFERROR(__xludf.DUMMYFUNCTION("""COMPUTED_VALUE"""),20053.68)</f>
        <v>20053.68</v>
      </c>
      <c r="D177" s="17">
        <f>IFERROR(__xludf.DUMMYFUNCTION("""COMPUTED_VALUE"""),44565.07)</f>
        <v>44565.07</v>
      </c>
      <c r="E177" s="17">
        <f>IFERROR(__xludf.DUMMYFUNCTION("""COMPUTED_VALUE"""),2314.6)</f>
        <v>2314.6</v>
      </c>
      <c r="F177" s="26">
        <f>IFERROR(__xludf.DUMMYFUNCTION("""COMPUTED_VALUE"""),437.28)</f>
        <v>437.28</v>
      </c>
      <c r="G177" s="26">
        <f>IFERROR(__xludf.DUMMYFUNCTION("""COMPUTED_VALUE"""),235.42)</f>
        <v>235.42</v>
      </c>
      <c r="H177" s="26">
        <f>IFERROR(__xludf.DUMMYFUNCTION("""COMPUTED_VALUE"""),121.81)</f>
        <v>121.81</v>
      </c>
      <c r="I177" s="26">
        <f>IFERROR(__xludf.DUMMYFUNCTION("""COMPUTED_VALUE"""),223.66)</f>
        <v>223.66</v>
      </c>
      <c r="J177" s="26">
        <f>IFERROR(__xludf.DUMMYFUNCTION("""COMPUTED_VALUE"""),190.7)</f>
        <v>190.7</v>
      </c>
      <c r="K177" s="26">
        <f>IFERROR(__xludf.DUMMYFUNCTION("""COMPUTED_VALUE"""),84.73)</f>
        <v>84.73</v>
      </c>
      <c r="L177" s="26">
        <f>IFERROR(__xludf.DUMMYFUNCTION("""COMPUTED_VALUE"""),14.76)</f>
        <v>14.76</v>
      </c>
      <c r="M177" s="26">
        <f>IFERROR(__xludf.DUMMYFUNCTION("""COMPUTED_VALUE"""),459.83)</f>
        <v>459.83</v>
      </c>
      <c r="N177" s="26">
        <f>IFERROR(__xludf.DUMMYFUNCTION("""COMPUTED_VALUE"""),49.47)</f>
        <v>49.47</v>
      </c>
      <c r="O177" s="26">
        <f>IFERROR(__xludf.DUMMYFUNCTION("""COMPUTED_VALUE"""),143.67)</f>
        <v>143.67</v>
      </c>
      <c r="P177" s="26">
        <f>IFERROR(__xludf.DUMMYFUNCTION("""COMPUTED_VALUE"""),69.88)</f>
        <v>69.88</v>
      </c>
      <c r="Q177" s="26">
        <f>IFERROR(__xludf.DUMMYFUNCTION("""COMPUTED_VALUE"""),406.4)</f>
        <v>406.4</v>
      </c>
      <c r="R177" s="26">
        <f>IFERROR(__xludf.DUMMYFUNCTION("""COMPUTED_VALUE"""),56.86)</f>
        <v>56.86</v>
      </c>
      <c r="S177" s="26">
        <f>IFERROR(__xludf.DUMMYFUNCTION("""COMPUTED_VALUE"""),196.38)</f>
        <v>196.38</v>
      </c>
      <c r="T177" s="26">
        <f>IFERROR(__xludf.DUMMYFUNCTION("""COMPUTED_VALUE"""),156.01)</f>
        <v>156.01</v>
      </c>
      <c r="U177" s="26">
        <f>IFERROR(__xludf.DUMMYFUNCTION("""COMPUTED_VALUE"""),294.99)</f>
        <v>294.99</v>
      </c>
      <c r="V177" s="26">
        <f>IFERROR(__xludf.DUMMYFUNCTION("""COMPUTED_VALUE"""),47.34)</f>
        <v>47.34</v>
      </c>
      <c r="W177" s="26">
        <f>IFERROR(__xludf.DUMMYFUNCTION("""COMPUTED_VALUE"""),61.53)</f>
        <v>61.53</v>
      </c>
      <c r="X177" s="26">
        <f>IFERROR(__xludf.DUMMYFUNCTION("""COMPUTED_VALUE"""),90.76)</f>
        <v>90.76</v>
      </c>
      <c r="Y177" s="26">
        <f>IFERROR(__xludf.DUMMYFUNCTION("""COMPUTED_VALUE"""),183.51)</f>
        <v>183.51</v>
      </c>
      <c r="Z177" s="26">
        <f>IFERROR(__xludf.DUMMYFUNCTION("""COMPUTED_VALUE"""),71.14)</f>
        <v>71.14</v>
      </c>
      <c r="AA177" s="26">
        <f>IFERROR(__xludf.DUMMYFUNCTION("""COMPUTED_VALUE"""),447.76)</f>
        <v>447.76</v>
      </c>
      <c r="AB177" s="26">
        <f>IFERROR(__xludf.DUMMYFUNCTION("""COMPUTED_VALUE"""),64.75)</f>
        <v>64.75</v>
      </c>
      <c r="AC177" s="26">
        <f>IFERROR(__xludf.DUMMYFUNCTION("""COMPUTED_VALUE"""),110.15)</f>
        <v>110.15</v>
      </c>
      <c r="AD177" s="26">
        <f>IFERROR(__xludf.DUMMYFUNCTION("""COMPUTED_VALUE"""),270.03)</f>
        <v>270.03</v>
      </c>
      <c r="AE177" s="26">
        <f>IFERROR(__xludf.DUMMYFUNCTION("""COMPUTED_VALUE"""),429.98)</f>
        <v>429.98</v>
      </c>
      <c r="AF177" s="26">
        <f>IFERROR(__xludf.DUMMYFUNCTION("""COMPUTED_VALUE"""),268.56)</f>
        <v>268.56</v>
      </c>
      <c r="AG177" s="26">
        <f>IFERROR(__xludf.DUMMYFUNCTION("""COMPUTED_VALUE"""),54.22)</f>
        <v>54.22</v>
      </c>
      <c r="AH177" s="26">
        <f>IFERROR(__xludf.DUMMYFUNCTION("""COMPUTED_VALUE"""),92.92)</f>
        <v>92.92</v>
      </c>
      <c r="AI177" s="26">
        <f>IFERROR(__xludf.DUMMYFUNCTION("""COMPUTED_VALUE"""),639.5)</f>
        <v>639.5</v>
      </c>
      <c r="AJ177" s="26">
        <f>IFERROR(__xludf.DUMMYFUNCTION("""COMPUTED_VALUE"""),414.39)</f>
        <v>414.39</v>
      </c>
      <c r="AK177" s="26">
        <f>IFERROR(__xludf.DUMMYFUNCTION("""COMPUTED_VALUE"""),125.93)</f>
        <v>125.93</v>
      </c>
      <c r="AL177" s="26">
        <f>IFERROR(__xludf.DUMMYFUNCTION("""COMPUTED_VALUE"""),157.68)</f>
        <v>157.68</v>
      </c>
      <c r="AM177" s="26">
        <f>IFERROR(__xludf.DUMMYFUNCTION("""COMPUTED_VALUE"""),608.66)</f>
        <v>608.66</v>
      </c>
      <c r="AN177" s="26">
        <f>IFERROR(__xludf.DUMMYFUNCTION("""COMPUTED_VALUE"""),265.95)</f>
        <v>265.95</v>
      </c>
      <c r="AO177" s="26">
        <f>IFERROR(__xludf.DUMMYFUNCTION("""COMPUTED_VALUE"""),497.28)</f>
        <v>497.28</v>
      </c>
      <c r="AP177" s="26">
        <f>IFERROR(__xludf.DUMMYFUNCTION("""COMPUTED_VALUE"""),387.85)</f>
        <v>387.85</v>
      </c>
      <c r="AQ177" s="26">
        <f>IFERROR(__xludf.DUMMYFUNCTION("""COMPUTED_VALUE"""),30.67)</f>
        <v>30.67</v>
      </c>
      <c r="AR177" s="26">
        <f>IFERROR(__xludf.DUMMYFUNCTION("""COMPUTED_VALUE"""),89.25)</f>
        <v>89.25</v>
      </c>
      <c r="AS177" s="26">
        <f>IFERROR(__xludf.DUMMYFUNCTION("""COMPUTED_VALUE"""),86.76)</f>
        <v>86.76</v>
      </c>
      <c r="AT177" s="26">
        <f>IFERROR(__xludf.DUMMYFUNCTION("""COMPUTED_VALUE"""),446.71)</f>
        <v>446.71</v>
      </c>
      <c r="AU177" s="26">
        <f>IFERROR(__xludf.DUMMYFUNCTION("""COMPUTED_VALUE"""),69.23)</f>
        <v>69.23</v>
      </c>
      <c r="AV177" s="26">
        <f>IFERROR(__xludf.DUMMYFUNCTION("""COMPUTED_VALUE"""),147.22)</f>
        <v>147.22</v>
      </c>
      <c r="AW177" s="26">
        <f>IFERROR(__xludf.DUMMYFUNCTION("""COMPUTED_VALUE"""),96.2)</f>
        <v>96.2</v>
      </c>
      <c r="AX177" s="26">
        <f>IFERROR(__xludf.DUMMYFUNCTION("""COMPUTED_VALUE"""),60.45)</f>
        <v>60.45</v>
      </c>
      <c r="AY177" s="26">
        <f>IFERROR(__xludf.DUMMYFUNCTION("""COMPUTED_VALUE"""),78.98)</f>
        <v>78.98</v>
      </c>
      <c r="AZ177" s="26">
        <f>IFERROR(__xludf.DUMMYFUNCTION("""COMPUTED_VALUE"""),89.73)</f>
        <v>89.73</v>
      </c>
      <c r="BA177" s="26">
        <f>IFERROR(__xludf.DUMMYFUNCTION("""COMPUTED_VALUE"""),26.44)</f>
        <v>26.44</v>
      </c>
      <c r="BB177" s="26">
        <f>IFERROR(__xludf.DUMMYFUNCTION("""COMPUTED_VALUE"""),126.29)</f>
        <v>126.29</v>
      </c>
      <c r="BC177" s="26">
        <f>IFERROR(__xludf.DUMMYFUNCTION("""COMPUTED_VALUE"""),216.04)</f>
        <v>216.04</v>
      </c>
      <c r="BD177" s="26">
        <f>IFERROR(__xludf.DUMMYFUNCTION("""COMPUTED_VALUE"""),574.85)</f>
        <v>574.85</v>
      </c>
      <c r="BE177" s="26">
        <f>IFERROR(__xludf.DUMMYFUNCTION("""COMPUTED_VALUE"""),186.27)</f>
        <v>186.27</v>
      </c>
      <c r="BF177" s="26">
        <f>IFERROR(__xludf.DUMMYFUNCTION("""COMPUTED_VALUE"""),62.55)</f>
        <v>62.55</v>
      </c>
      <c r="BG177" s="26">
        <f>IFERROR(__xludf.DUMMYFUNCTION("""COMPUTED_VALUE"""),8.52)</f>
        <v>8.52</v>
      </c>
      <c r="BH177" s="26">
        <f>IFERROR(__xludf.DUMMYFUNCTION("""COMPUTED_VALUE"""),248.05)</f>
        <v>248.05</v>
      </c>
      <c r="BI177" s="26">
        <f>IFERROR(__xludf.DUMMYFUNCTION("""COMPUTED_VALUE"""),529.77)</f>
        <v>529.77</v>
      </c>
      <c r="BJ177" s="26">
        <f>IFERROR(__xludf.DUMMYFUNCTION("""COMPUTED_VALUE"""),48.69)</f>
        <v>48.69</v>
      </c>
      <c r="BK177" s="26">
        <f>IFERROR(__xludf.DUMMYFUNCTION("""COMPUTED_VALUE"""),11.14)</f>
        <v>11.14</v>
      </c>
      <c r="BL177" s="26">
        <f>IFERROR(__xludf.DUMMYFUNCTION("""COMPUTED_VALUE"""),210.1)</f>
        <v>210.1</v>
      </c>
      <c r="BM177" s="26">
        <f>IFERROR(__xludf.DUMMYFUNCTION("""COMPUTED_VALUE"""),111.04)</f>
        <v>111.04</v>
      </c>
    </row>
    <row r="178">
      <c r="A178" s="25">
        <v>45684.66666666667</v>
      </c>
      <c r="B178" s="17">
        <f>IFERROR(__xludf.DUMMYFUNCTION("""COMPUTED_VALUE"""),6101.24)</f>
        <v>6101.24</v>
      </c>
      <c r="C178" s="17">
        <f>IFERROR(__xludf.DUMMYFUNCTION("""COMPUTED_VALUE"""),19954.3)</f>
        <v>19954.3</v>
      </c>
      <c r="D178" s="17">
        <f>IFERROR(__xludf.DUMMYFUNCTION("""COMPUTED_VALUE"""),44424.25)</f>
        <v>44424.25</v>
      </c>
      <c r="E178" s="17">
        <f>IFERROR(__xludf.DUMMYFUNCTION("""COMPUTED_VALUE"""),2307.74)</f>
        <v>2307.74</v>
      </c>
      <c r="F178" s="26">
        <f>IFERROR(__xludf.DUMMYFUNCTION("""COMPUTED_VALUE"""),435.38)</f>
        <v>435.38</v>
      </c>
      <c r="G178" s="26">
        <f>IFERROR(__xludf.DUMMYFUNCTION("""COMPUTED_VALUE"""),234.85)</f>
        <v>234.85</v>
      </c>
      <c r="H178" s="26">
        <f>IFERROR(__xludf.DUMMYFUNCTION("""COMPUTED_VALUE"""),121.63)</f>
        <v>121.63</v>
      </c>
      <c r="I178" s="26">
        <f>IFERROR(__xludf.DUMMYFUNCTION("""COMPUTED_VALUE"""),222.78)</f>
        <v>222.78</v>
      </c>
      <c r="J178" s="26">
        <f>IFERROR(__xludf.DUMMYFUNCTION("""COMPUTED_VALUE"""),186.75)</f>
        <v>186.75</v>
      </c>
      <c r="K178" s="26">
        <f>IFERROR(__xludf.DUMMYFUNCTION("""COMPUTED_VALUE"""),85.79)</f>
        <v>85.79</v>
      </c>
      <c r="L178" s="26">
        <f>IFERROR(__xludf.DUMMYFUNCTION("""COMPUTED_VALUE"""),14.62)</f>
        <v>14.62</v>
      </c>
      <c r="M178" s="26">
        <f>IFERROR(__xludf.DUMMYFUNCTION("""COMPUTED_VALUE"""),463.19)</f>
        <v>463.19</v>
      </c>
      <c r="N178" s="26">
        <f>IFERROR(__xludf.DUMMYFUNCTION("""COMPUTED_VALUE"""),49.87)</f>
        <v>49.87</v>
      </c>
      <c r="O178" s="26">
        <f>IFERROR(__xludf.DUMMYFUNCTION("""COMPUTED_VALUE"""),146.2)</f>
        <v>146.2</v>
      </c>
      <c r="P178" s="26">
        <f>IFERROR(__xludf.DUMMYFUNCTION("""COMPUTED_VALUE"""),70.12)</f>
        <v>70.12</v>
      </c>
      <c r="Q178" s="26">
        <f>IFERROR(__xludf.DUMMYFUNCTION("""COMPUTED_VALUE"""),407.63)</f>
        <v>407.63</v>
      </c>
      <c r="R178" s="26">
        <f>IFERROR(__xludf.DUMMYFUNCTION("""COMPUTED_VALUE"""),56.0)</f>
        <v>56</v>
      </c>
      <c r="S178" s="26">
        <f>IFERROR(__xludf.DUMMYFUNCTION("""COMPUTED_VALUE"""),194.48)</f>
        <v>194.48</v>
      </c>
      <c r="T178" s="26">
        <f>IFERROR(__xludf.DUMMYFUNCTION("""COMPUTED_VALUE"""),155.65)</f>
        <v>155.65</v>
      </c>
      <c r="U178" s="26">
        <f>IFERROR(__xludf.DUMMYFUNCTION("""COMPUTED_VALUE"""),293.64)</f>
        <v>293.64</v>
      </c>
      <c r="V178" s="26">
        <f>IFERROR(__xludf.DUMMYFUNCTION("""COMPUTED_VALUE"""),47.46)</f>
        <v>47.46</v>
      </c>
      <c r="W178" s="26">
        <f>IFERROR(__xludf.DUMMYFUNCTION("""COMPUTED_VALUE"""),61.92)</f>
        <v>61.92</v>
      </c>
      <c r="X178" s="26">
        <f>IFERROR(__xludf.DUMMYFUNCTION("""COMPUTED_VALUE"""),90.6)</f>
        <v>90.6</v>
      </c>
      <c r="Y178" s="26">
        <f>IFERROR(__xludf.DUMMYFUNCTION("""COMPUTED_VALUE"""),180.5)</f>
        <v>180.5</v>
      </c>
      <c r="Z178" s="26">
        <f>IFERROR(__xludf.DUMMYFUNCTION("""COMPUTED_VALUE"""),72.48)</f>
        <v>72.48</v>
      </c>
      <c r="AA178" s="26">
        <f>IFERROR(__xludf.DUMMYFUNCTION("""COMPUTED_VALUE"""),434.23)</f>
        <v>434.23</v>
      </c>
      <c r="AB178" s="26">
        <f>IFERROR(__xludf.DUMMYFUNCTION("""COMPUTED_VALUE"""),64.81)</f>
        <v>64.81</v>
      </c>
      <c r="AC178" s="26">
        <f>IFERROR(__xludf.DUMMYFUNCTION("""COMPUTED_VALUE"""),108.66)</f>
        <v>108.66</v>
      </c>
      <c r="AD178" s="26">
        <f>IFERROR(__xludf.DUMMYFUNCTION("""COMPUTED_VALUE"""),273.29)</f>
        <v>273.29</v>
      </c>
      <c r="AE178" s="26">
        <f>IFERROR(__xludf.DUMMYFUNCTION("""COMPUTED_VALUE"""),432.37)</f>
        <v>432.37</v>
      </c>
      <c r="AF178" s="26">
        <f>IFERROR(__xludf.DUMMYFUNCTION("""COMPUTED_VALUE"""),266.43)</f>
        <v>266.43</v>
      </c>
      <c r="AG178" s="26">
        <f>IFERROR(__xludf.DUMMYFUNCTION("""COMPUTED_VALUE"""),53.91)</f>
        <v>53.91</v>
      </c>
      <c r="AH178" s="26">
        <f>IFERROR(__xludf.DUMMYFUNCTION("""COMPUTED_VALUE"""),93.07)</f>
        <v>93.07</v>
      </c>
      <c r="AI178" s="26">
        <f>IFERROR(__xludf.DUMMYFUNCTION("""COMPUTED_VALUE"""),636.9)</f>
        <v>636.9</v>
      </c>
      <c r="AJ178" s="26">
        <f>IFERROR(__xludf.DUMMYFUNCTION("""COMPUTED_VALUE"""),414.5)</f>
        <v>414.5</v>
      </c>
      <c r="AK178" s="26">
        <f>IFERROR(__xludf.DUMMYFUNCTION("""COMPUTED_VALUE"""),125.07)</f>
        <v>125.07</v>
      </c>
      <c r="AL178" s="26">
        <f>IFERROR(__xludf.DUMMYFUNCTION("""COMPUTED_VALUE"""),157.47)</f>
        <v>157.47</v>
      </c>
      <c r="AM178" s="26">
        <f>IFERROR(__xludf.DUMMYFUNCTION("""COMPUTED_VALUE"""),584.05)</f>
        <v>584.05</v>
      </c>
      <c r="AN178" s="26">
        <f>IFERROR(__xludf.DUMMYFUNCTION("""COMPUTED_VALUE"""),264.84)</f>
        <v>264.84</v>
      </c>
      <c r="AO178" s="26">
        <f>IFERROR(__xludf.DUMMYFUNCTION("""COMPUTED_VALUE"""),496.96)</f>
        <v>496.96</v>
      </c>
      <c r="AP178" s="26">
        <f>IFERROR(__xludf.DUMMYFUNCTION("""COMPUTED_VALUE"""),400.03)</f>
        <v>400.03</v>
      </c>
      <c r="AQ178" s="26">
        <f>IFERROR(__xludf.DUMMYFUNCTION("""COMPUTED_VALUE"""),30.56)</f>
        <v>30.56</v>
      </c>
      <c r="AR178" s="26">
        <f>IFERROR(__xludf.DUMMYFUNCTION("""COMPUTED_VALUE"""),90.19)</f>
        <v>90.19</v>
      </c>
      <c r="AS178" s="26">
        <f>IFERROR(__xludf.DUMMYFUNCTION("""COMPUTED_VALUE"""),86.03)</f>
        <v>86.03</v>
      </c>
      <c r="AT178" s="26">
        <f>IFERROR(__xludf.DUMMYFUNCTION("""COMPUTED_VALUE"""),444.06)</f>
        <v>444.06</v>
      </c>
      <c r="AU178" s="26">
        <f>IFERROR(__xludf.DUMMYFUNCTION("""COMPUTED_VALUE"""),72.83)</f>
        <v>72.83</v>
      </c>
      <c r="AV178" s="26">
        <f>IFERROR(__xludf.DUMMYFUNCTION("""COMPUTED_VALUE"""),142.62)</f>
        <v>142.62</v>
      </c>
      <c r="AW178" s="26">
        <f>IFERROR(__xludf.DUMMYFUNCTION("""COMPUTED_VALUE"""),96.67)</f>
        <v>96.67</v>
      </c>
      <c r="AX178" s="26">
        <f>IFERROR(__xludf.DUMMYFUNCTION("""COMPUTED_VALUE"""),60.15)</f>
        <v>60.15</v>
      </c>
      <c r="AY178" s="26">
        <f>IFERROR(__xludf.DUMMYFUNCTION("""COMPUTED_VALUE"""),78.98)</f>
        <v>78.98</v>
      </c>
      <c r="AZ178" s="26">
        <f>IFERROR(__xludf.DUMMYFUNCTION("""COMPUTED_VALUE"""),89.11)</f>
        <v>89.11</v>
      </c>
      <c r="BA178" s="26">
        <f>IFERROR(__xludf.DUMMYFUNCTION("""COMPUTED_VALUE"""),26.09)</f>
        <v>26.09</v>
      </c>
      <c r="BB178" s="26">
        <f>IFERROR(__xludf.DUMMYFUNCTION("""COMPUTED_VALUE"""),125.31)</f>
        <v>125.31</v>
      </c>
      <c r="BC178" s="26">
        <f>IFERROR(__xludf.DUMMYFUNCTION("""COMPUTED_VALUE"""),218.57)</f>
        <v>218.57</v>
      </c>
      <c r="BD178" s="26">
        <f>IFERROR(__xludf.DUMMYFUNCTION("""COMPUTED_VALUE"""),574.82)</f>
        <v>574.82</v>
      </c>
      <c r="BE178" s="26">
        <f>IFERROR(__xludf.DUMMYFUNCTION("""COMPUTED_VALUE"""),186.61)</f>
        <v>186.61</v>
      </c>
      <c r="BF178" s="26">
        <f>IFERROR(__xludf.DUMMYFUNCTION("""COMPUTED_VALUE"""),60.82)</f>
        <v>60.82</v>
      </c>
      <c r="BG178" s="26">
        <f>IFERROR(__xludf.DUMMYFUNCTION("""COMPUTED_VALUE"""),8.42)</f>
        <v>8.42</v>
      </c>
      <c r="BH178" s="26">
        <f>IFERROR(__xludf.DUMMYFUNCTION("""COMPUTED_VALUE"""),248.78)</f>
        <v>248.78</v>
      </c>
      <c r="BI178" s="26">
        <f>IFERROR(__xludf.DUMMYFUNCTION("""COMPUTED_VALUE"""),532.51)</f>
        <v>532.51</v>
      </c>
      <c r="BJ178" s="26">
        <f>IFERROR(__xludf.DUMMYFUNCTION("""COMPUTED_VALUE"""),48.71)</f>
        <v>48.71</v>
      </c>
      <c r="BK178" s="26">
        <f>IFERROR(__xludf.DUMMYFUNCTION("""COMPUTED_VALUE"""),11.2)</f>
        <v>11.2</v>
      </c>
      <c r="BL178" s="26">
        <f>IFERROR(__xludf.DUMMYFUNCTION("""COMPUTED_VALUE"""),209.43)</f>
        <v>209.43</v>
      </c>
      <c r="BM178" s="26">
        <f>IFERROR(__xludf.DUMMYFUNCTION("""COMPUTED_VALUE"""),112.16)</f>
        <v>112.16</v>
      </c>
    </row>
    <row r="179">
      <c r="A179" s="25">
        <v>45685.66666666667</v>
      </c>
      <c r="B179" s="17">
        <f>IFERROR(__xludf.DUMMYFUNCTION("""COMPUTED_VALUE"""),6012.28)</f>
        <v>6012.28</v>
      </c>
      <c r="C179" s="17">
        <f>IFERROR(__xludf.DUMMYFUNCTION("""COMPUTED_VALUE"""),19341.83)</f>
        <v>19341.83</v>
      </c>
      <c r="D179" s="17">
        <f>IFERROR(__xludf.DUMMYFUNCTION("""COMPUTED_VALUE"""),44713.58)</f>
        <v>44713.58</v>
      </c>
      <c r="E179" s="17">
        <f>IFERROR(__xludf.DUMMYFUNCTION("""COMPUTED_VALUE"""),2284.02)</f>
        <v>2284.02</v>
      </c>
      <c r="F179" s="26">
        <f>IFERROR(__xludf.DUMMYFUNCTION("""COMPUTED_VALUE"""),438.6)</f>
        <v>438.6</v>
      </c>
      <c r="G179" s="26">
        <f>IFERROR(__xludf.DUMMYFUNCTION("""COMPUTED_VALUE"""),235.42)</f>
        <v>235.42</v>
      </c>
      <c r="H179" s="26">
        <f>IFERROR(__xludf.DUMMYFUNCTION("""COMPUTED_VALUE"""),129.95)</f>
        <v>129.95</v>
      </c>
      <c r="I179" s="26">
        <f>IFERROR(__xludf.DUMMYFUNCTION("""COMPUTED_VALUE"""),229.86)</f>
        <v>229.86</v>
      </c>
      <c r="J179" s="26">
        <f>IFERROR(__xludf.DUMMYFUNCTION("""COMPUTED_VALUE"""),174.57)</f>
        <v>174.57</v>
      </c>
      <c r="K179" s="26">
        <f>IFERROR(__xludf.DUMMYFUNCTION("""COMPUTED_VALUE"""),85.9)</f>
        <v>85.9</v>
      </c>
      <c r="L179" s="26">
        <f>IFERROR(__xludf.DUMMYFUNCTION("""COMPUTED_VALUE"""),14.46)</f>
        <v>14.46</v>
      </c>
      <c r="M179" s="26">
        <f>IFERROR(__xludf.DUMMYFUNCTION("""COMPUTED_VALUE"""),474.7)</f>
        <v>474.7</v>
      </c>
      <c r="N179" s="26">
        <f>IFERROR(__xludf.DUMMYFUNCTION("""COMPUTED_VALUE"""),49.9)</f>
        <v>49.9</v>
      </c>
      <c r="O179" s="26">
        <f>IFERROR(__xludf.DUMMYFUNCTION("""COMPUTED_VALUE"""),148.76)</f>
        <v>148.76</v>
      </c>
      <c r="P179" s="26">
        <f>IFERROR(__xludf.DUMMYFUNCTION("""COMPUTED_VALUE"""),67.43)</f>
        <v>67.43</v>
      </c>
      <c r="Q179" s="26">
        <f>IFERROR(__xludf.DUMMYFUNCTION("""COMPUTED_VALUE"""),394.98)</f>
        <v>394.98</v>
      </c>
      <c r="R179" s="26">
        <f>IFERROR(__xludf.DUMMYFUNCTION("""COMPUTED_VALUE"""),47.51)</f>
        <v>47.51</v>
      </c>
      <c r="S179" s="26">
        <f>IFERROR(__xludf.DUMMYFUNCTION("""COMPUTED_VALUE"""),198.2)</f>
        <v>198.2</v>
      </c>
      <c r="T179" s="26">
        <f>IFERROR(__xludf.DUMMYFUNCTION("""COMPUTED_VALUE"""),157.23)</f>
        <v>157.23</v>
      </c>
      <c r="U179" s="26">
        <f>IFERROR(__xludf.DUMMYFUNCTION("""COMPUTED_VALUE"""),305.72)</f>
        <v>305.72</v>
      </c>
      <c r="V179" s="26">
        <f>IFERROR(__xludf.DUMMYFUNCTION("""COMPUTED_VALUE"""),47.55)</f>
        <v>47.55</v>
      </c>
      <c r="W179" s="26">
        <f>IFERROR(__xludf.DUMMYFUNCTION("""COMPUTED_VALUE"""),63.87)</f>
        <v>63.87</v>
      </c>
      <c r="X179" s="26">
        <f>IFERROR(__xludf.DUMMYFUNCTION("""COMPUTED_VALUE"""),94.89)</f>
        <v>94.89</v>
      </c>
      <c r="Y179" s="26">
        <f>IFERROR(__xludf.DUMMYFUNCTION("""COMPUTED_VALUE"""),164.74)</f>
        <v>164.74</v>
      </c>
      <c r="Z179" s="26">
        <f>IFERROR(__xludf.DUMMYFUNCTION("""COMPUTED_VALUE"""),74.95)</f>
        <v>74.95</v>
      </c>
      <c r="AA179" s="26">
        <f>IFERROR(__xludf.DUMMYFUNCTION("""COMPUTED_VALUE"""),431.15)</f>
        <v>431.15</v>
      </c>
      <c r="AB179" s="26">
        <f>IFERROR(__xludf.DUMMYFUNCTION("""COMPUTED_VALUE"""),66.84)</f>
        <v>66.84</v>
      </c>
      <c r="AC179" s="26">
        <f>IFERROR(__xludf.DUMMYFUNCTION("""COMPUTED_VALUE"""),110.17)</f>
        <v>110.17</v>
      </c>
      <c r="AD179" s="26">
        <f>IFERROR(__xludf.DUMMYFUNCTION("""COMPUTED_VALUE"""),281.53)</f>
        <v>281.53</v>
      </c>
      <c r="AE179" s="26">
        <f>IFERROR(__xludf.DUMMYFUNCTION("""COMPUTED_VALUE"""),432.32)</f>
        <v>432.32</v>
      </c>
      <c r="AF179" s="26">
        <f>IFERROR(__xludf.DUMMYFUNCTION("""COMPUTED_VALUE"""),269.84)</f>
        <v>269.84</v>
      </c>
      <c r="AG179" s="26">
        <f>IFERROR(__xludf.DUMMYFUNCTION("""COMPUTED_VALUE"""),54.92)</f>
        <v>54.92</v>
      </c>
      <c r="AH179" s="26">
        <f>IFERROR(__xludf.DUMMYFUNCTION("""COMPUTED_VALUE"""),95.35)</f>
        <v>95.35</v>
      </c>
      <c r="AI179" s="26">
        <f>IFERROR(__xludf.DUMMYFUNCTION("""COMPUTED_VALUE"""),633.28)</f>
        <v>633.28</v>
      </c>
      <c r="AJ179" s="26">
        <f>IFERROR(__xludf.DUMMYFUNCTION("""COMPUTED_VALUE"""),424.87)</f>
        <v>424.87</v>
      </c>
      <c r="AK179" s="26">
        <f>IFERROR(__xludf.DUMMYFUNCTION("""COMPUTED_VALUE"""),126.68)</f>
        <v>126.68</v>
      </c>
      <c r="AL179" s="26">
        <f>IFERROR(__xludf.DUMMYFUNCTION("""COMPUTED_VALUE"""),160.83)</f>
        <v>160.83</v>
      </c>
      <c r="AM179" s="26">
        <f>IFERROR(__xludf.DUMMYFUNCTION("""COMPUTED_VALUE"""),573.48)</f>
        <v>573.48</v>
      </c>
      <c r="AN179" s="26">
        <f>IFERROR(__xludf.DUMMYFUNCTION("""COMPUTED_VALUE"""),265.85)</f>
        <v>265.85</v>
      </c>
      <c r="AO179" s="26">
        <f>IFERROR(__xludf.DUMMYFUNCTION("""COMPUTED_VALUE"""),503.69)</f>
        <v>503.69</v>
      </c>
      <c r="AP179" s="26">
        <f>IFERROR(__xludf.DUMMYFUNCTION("""COMPUTED_VALUE"""),402.9)</f>
        <v>402.9</v>
      </c>
      <c r="AQ179" s="26">
        <f>IFERROR(__xludf.DUMMYFUNCTION("""COMPUTED_VALUE"""),30.35)</f>
        <v>30.35</v>
      </c>
      <c r="AR179" s="26">
        <f>IFERROR(__xludf.DUMMYFUNCTION("""COMPUTED_VALUE"""),92.46)</f>
        <v>92.46</v>
      </c>
      <c r="AS179" s="26">
        <f>IFERROR(__xludf.DUMMYFUNCTION("""COMPUTED_VALUE"""),86.96)</f>
        <v>86.96</v>
      </c>
      <c r="AT179" s="26">
        <f>IFERROR(__xludf.DUMMYFUNCTION("""COMPUTED_VALUE"""),434.56)</f>
        <v>434.56</v>
      </c>
      <c r="AU179" s="26">
        <f>IFERROR(__xludf.DUMMYFUNCTION("""COMPUTED_VALUE"""),73.83)</f>
        <v>73.83</v>
      </c>
      <c r="AV179" s="26">
        <f>IFERROR(__xludf.DUMMYFUNCTION("""COMPUTED_VALUE"""),118.42)</f>
        <v>118.42</v>
      </c>
      <c r="AW179" s="26">
        <f>IFERROR(__xludf.DUMMYFUNCTION("""COMPUTED_VALUE"""),97.74)</f>
        <v>97.74</v>
      </c>
      <c r="AX179" s="26">
        <f>IFERROR(__xludf.DUMMYFUNCTION("""COMPUTED_VALUE"""),59.9)</f>
        <v>59.9</v>
      </c>
      <c r="AY179" s="26">
        <f>IFERROR(__xludf.DUMMYFUNCTION("""COMPUTED_VALUE"""),75.44)</f>
        <v>75.44</v>
      </c>
      <c r="AZ179" s="26">
        <f>IFERROR(__xludf.DUMMYFUNCTION("""COMPUTED_VALUE"""),90.24)</f>
        <v>90.24</v>
      </c>
      <c r="BA179" s="26">
        <f>IFERROR(__xludf.DUMMYFUNCTION("""COMPUTED_VALUE"""),26.86)</f>
        <v>26.86</v>
      </c>
      <c r="BB179" s="26">
        <f>IFERROR(__xludf.DUMMYFUNCTION("""COMPUTED_VALUE"""),125.05)</f>
        <v>125.05</v>
      </c>
      <c r="BC179" s="26">
        <f>IFERROR(__xludf.DUMMYFUNCTION("""COMPUTED_VALUE"""),221.43)</f>
        <v>221.43</v>
      </c>
      <c r="BD179" s="26">
        <f>IFERROR(__xludf.DUMMYFUNCTION("""COMPUTED_VALUE"""),583.64)</f>
        <v>583.64</v>
      </c>
      <c r="BE179" s="26">
        <f>IFERROR(__xludf.DUMMYFUNCTION("""COMPUTED_VALUE"""),186.5)</f>
        <v>186.5</v>
      </c>
      <c r="BF179" s="26">
        <f>IFERROR(__xludf.DUMMYFUNCTION("""COMPUTED_VALUE"""),61.07)</f>
        <v>61.07</v>
      </c>
      <c r="BG179" s="26">
        <f>IFERROR(__xludf.DUMMYFUNCTION("""COMPUTED_VALUE"""),8.26)</f>
        <v>8.26</v>
      </c>
      <c r="BH179" s="26">
        <f>IFERROR(__xludf.DUMMYFUNCTION("""COMPUTED_VALUE"""),254.42)</f>
        <v>254.42</v>
      </c>
      <c r="BI179" s="26">
        <f>IFERROR(__xludf.DUMMYFUNCTION("""COMPUTED_VALUE"""),543.52)</f>
        <v>543.52</v>
      </c>
      <c r="BJ179" s="26">
        <f>IFERROR(__xludf.DUMMYFUNCTION("""COMPUTED_VALUE"""),48.77)</f>
        <v>48.77</v>
      </c>
      <c r="BK179" s="26">
        <f>IFERROR(__xludf.DUMMYFUNCTION("""COMPUTED_VALUE"""),11.42)</f>
        <v>11.42</v>
      </c>
      <c r="BL179" s="26">
        <f>IFERROR(__xludf.DUMMYFUNCTION("""COMPUTED_VALUE"""),213.63)</f>
        <v>213.63</v>
      </c>
      <c r="BM179" s="26">
        <f>IFERROR(__xludf.DUMMYFUNCTION("""COMPUTED_VALUE"""),113.34)</f>
        <v>113.34</v>
      </c>
    </row>
    <row r="180">
      <c r="A180" s="25">
        <v>45686.66666666667</v>
      </c>
      <c r="B180" s="17">
        <f>IFERROR(__xludf.DUMMYFUNCTION("""COMPUTED_VALUE"""),6067.7)</f>
        <v>6067.7</v>
      </c>
      <c r="C180" s="17">
        <f>IFERROR(__xludf.DUMMYFUNCTION("""COMPUTED_VALUE"""),19733.59)</f>
        <v>19733.59</v>
      </c>
      <c r="D180" s="17">
        <f>IFERROR(__xludf.DUMMYFUNCTION("""COMPUTED_VALUE"""),44850.35)</f>
        <v>44850.35</v>
      </c>
      <c r="E180" s="17">
        <f>IFERROR(__xludf.DUMMYFUNCTION("""COMPUTED_VALUE"""),2288.86)</f>
        <v>2288.86</v>
      </c>
      <c r="F180" s="26">
        <f>IFERROR(__xludf.DUMMYFUNCTION("""COMPUTED_VALUE"""),442.84)</f>
        <v>442.84</v>
      </c>
      <c r="G180" s="26">
        <f>IFERROR(__xludf.DUMMYFUNCTION("""COMPUTED_VALUE"""),238.15)</f>
        <v>238.15</v>
      </c>
      <c r="H180" s="26">
        <f>IFERROR(__xludf.DUMMYFUNCTION("""COMPUTED_VALUE"""),126.33)</f>
        <v>126.33</v>
      </c>
      <c r="I180" s="26">
        <f>IFERROR(__xludf.DUMMYFUNCTION("""COMPUTED_VALUE"""),238.26)</f>
        <v>238.26</v>
      </c>
      <c r="J180" s="26">
        <f>IFERROR(__xludf.DUMMYFUNCTION("""COMPUTED_VALUE"""),172.85)</f>
        <v>172.85</v>
      </c>
      <c r="K180" s="26">
        <f>IFERROR(__xludf.DUMMYFUNCTION("""COMPUTED_VALUE"""),86.34)</f>
        <v>86.34</v>
      </c>
      <c r="L180" s="26">
        <f>IFERROR(__xludf.DUMMYFUNCTION("""COMPUTED_VALUE"""),14.59)</f>
        <v>14.59</v>
      </c>
      <c r="M180" s="26">
        <f>IFERROR(__xludf.DUMMYFUNCTION("""COMPUTED_VALUE"""),469.97)</f>
        <v>469.97</v>
      </c>
      <c r="N180" s="26">
        <f>IFERROR(__xludf.DUMMYFUNCTION("""COMPUTED_VALUE"""),48.71)</f>
        <v>48.71</v>
      </c>
      <c r="O180" s="26">
        <f>IFERROR(__xludf.DUMMYFUNCTION("""COMPUTED_VALUE"""),145.49)</f>
        <v>145.49</v>
      </c>
      <c r="P180" s="26">
        <f>IFERROR(__xludf.DUMMYFUNCTION("""COMPUTED_VALUE"""),67.3)</f>
        <v>67.3</v>
      </c>
      <c r="Q180" s="26">
        <f>IFERROR(__xludf.DUMMYFUNCTION("""COMPUTED_VALUE"""),390.29)</f>
        <v>390.29</v>
      </c>
      <c r="R180" s="26">
        <f>IFERROR(__xludf.DUMMYFUNCTION("""COMPUTED_VALUE"""),48.6)</f>
        <v>48.6</v>
      </c>
      <c r="S180" s="26">
        <f>IFERROR(__xludf.DUMMYFUNCTION("""COMPUTED_VALUE"""),202.94)</f>
        <v>202.94</v>
      </c>
      <c r="T180" s="26">
        <f>IFERROR(__xludf.DUMMYFUNCTION("""COMPUTED_VALUE"""),156.21)</f>
        <v>156.21</v>
      </c>
      <c r="U180" s="26">
        <f>IFERROR(__xludf.DUMMYFUNCTION("""COMPUTED_VALUE"""),302.82)</f>
        <v>302.82</v>
      </c>
      <c r="V180" s="26">
        <f>IFERROR(__xludf.DUMMYFUNCTION("""COMPUTED_VALUE"""),47.35)</f>
        <v>47.35</v>
      </c>
      <c r="W180" s="26">
        <f>IFERROR(__xludf.DUMMYFUNCTION("""COMPUTED_VALUE"""),62.36)</f>
        <v>62.36</v>
      </c>
      <c r="X180" s="26">
        <f>IFERROR(__xludf.DUMMYFUNCTION("""COMPUTED_VALUE"""),93.39)</f>
        <v>93.39</v>
      </c>
      <c r="Y180" s="26">
        <f>IFERROR(__xludf.DUMMYFUNCTION("""COMPUTED_VALUE"""),162.14)</f>
        <v>162.14</v>
      </c>
      <c r="Z180" s="26">
        <f>IFERROR(__xludf.DUMMYFUNCTION("""COMPUTED_VALUE"""),74.95)</f>
        <v>74.95</v>
      </c>
      <c r="AA180" s="26">
        <f>IFERROR(__xludf.DUMMYFUNCTION("""COMPUTED_VALUE"""),429.81)</f>
        <v>429.81</v>
      </c>
      <c r="AB180" s="26">
        <f>IFERROR(__xludf.DUMMYFUNCTION("""COMPUTED_VALUE"""),67.19)</f>
        <v>67.19</v>
      </c>
      <c r="AC180" s="26">
        <f>IFERROR(__xludf.DUMMYFUNCTION("""COMPUTED_VALUE"""),108.04)</f>
        <v>108.04</v>
      </c>
      <c r="AD180" s="26">
        <f>IFERROR(__xludf.DUMMYFUNCTION("""COMPUTED_VALUE"""),278.65)</f>
        <v>278.65</v>
      </c>
      <c r="AE180" s="26">
        <f>IFERROR(__xludf.DUMMYFUNCTION("""COMPUTED_VALUE"""),431.09)</f>
        <v>431.09</v>
      </c>
      <c r="AF180" s="26">
        <f>IFERROR(__xludf.DUMMYFUNCTION("""COMPUTED_VALUE"""),262.57)</f>
        <v>262.57</v>
      </c>
      <c r="AG180" s="26">
        <f>IFERROR(__xludf.DUMMYFUNCTION("""COMPUTED_VALUE"""),50.04)</f>
        <v>50.04</v>
      </c>
      <c r="AH180" s="26">
        <f>IFERROR(__xludf.DUMMYFUNCTION("""COMPUTED_VALUE"""),93.85)</f>
        <v>93.85</v>
      </c>
      <c r="AI180" s="26">
        <f>IFERROR(__xludf.DUMMYFUNCTION("""COMPUTED_VALUE"""),637.8)</f>
        <v>637.8</v>
      </c>
      <c r="AJ180" s="26">
        <f>IFERROR(__xludf.DUMMYFUNCTION("""COMPUTED_VALUE"""),418.83)</f>
        <v>418.83</v>
      </c>
      <c r="AK180" s="26">
        <f>IFERROR(__xludf.DUMMYFUNCTION("""COMPUTED_VALUE"""),129.14)</f>
        <v>129.14</v>
      </c>
      <c r="AL180" s="26">
        <f>IFERROR(__xludf.DUMMYFUNCTION("""COMPUTED_VALUE"""),158.84)</f>
        <v>158.84</v>
      </c>
      <c r="AM180" s="26">
        <f>IFERROR(__xludf.DUMMYFUNCTION("""COMPUTED_VALUE"""),574.14)</f>
        <v>574.14</v>
      </c>
      <c r="AN180" s="26">
        <f>IFERROR(__xludf.DUMMYFUNCTION("""COMPUTED_VALUE"""),267.14)</f>
        <v>267.14</v>
      </c>
      <c r="AO180" s="26">
        <f>IFERROR(__xludf.DUMMYFUNCTION("""COMPUTED_VALUE"""),457.45)</f>
        <v>457.45</v>
      </c>
      <c r="AP180" s="26">
        <f>IFERROR(__xludf.DUMMYFUNCTION("""COMPUTED_VALUE"""),409.42)</f>
        <v>409.42</v>
      </c>
      <c r="AQ180" s="26">
        <f>IFERROR(__xludf.DUMMYFUNCTION("""COMPUTED_VALUE"""),30.22)</f>
        <v>30.22</v>
      </c>
      <c r="AR180" s="26">
        <f>IFERROR(__xludf.DUMMYFUNCTION("""COMPUTED_VALUE"""),91.98)</f>
        <v>91.98</v>
      </c>
      <c r="AS180" s="26">
        <f>IFERROR(__xludf.DUMMYFUNCTION("""COMPUTED_VALUE"""),85.68)</f>
        <v>85.68</v>
      </c>
      <c r="AT180" s="26">
        <f>IFERROR(__xludf.DUMMYFUNCTION("""COMPUTED_VALUE"""),447.2)</f>
        <v>447.2</v>
      </c>
      <c r="AU180" s="26">
        <f>IFERROR(__xludf.DUMMYFUNCTION("""COMPUTED_VALUE"""),70.54)</f>
        <v>70.54</v>
      </c>
      <c r="AV180" s="26">
        <f>IFERROR(__xludf.DUMMYFUNCTION("""COMPUTED_VALUE"""),128.99)</f>
        <v>128.99</v>
      </c>
      <c r="AW180" s="26">
        <f>IFERROR(__xludf.DUMMYFUNCTION("""COMPUTED_VALUE"""),95.87)</f>
        <v>95.87</v>
      </c>
      <c r="AX180" s="26">
        <f>IFERROR(__xludf.DUMMYFUNCTION("""COMPUTED_VALUE"""),62.16)</f>
        <v>62.16</v>
      </c>
      <c r="AY180" s="26">
        <f>IFERROR(__xludf.DUMMYFUNCTION("""COMPUTED_VALUE"""),80.23)</f>
        <v>80.23</v>
      </c>
      <c r="AZ180" s="26">
        <f>IFERROR(__xludf.DUMMYFUNCTION("""COMPUTED_VALUE"""),88.19)</f>
        <v>88.19</v>
      </c>
      <c r="BA180" s="26">
        <f>IFERROR(__xludf.DUMMYFUNCTION("""COMPUTED_VALUE"""),26.75)</f>
        <v>26.75</v>
      </c>
      <c r="BB180" s="26">
        <f>IFERROR(__xludf.DUMMYFUNCTION("""COMPUTED_VALUE"""),128.35)</f>
        <v>128.35</v>
      </c>
      <c r="BC180" s="26">
        <f>IFERROR(__xludf.DUMMYFUNCTION("""COMPUTED_VALUE"""),221.14)</f>
        <v>221.14</v>
      </c>
      <c r="BD180" s="26">
        <f>IFERROR(__xludf.DUMMYFUNCTION("""COMPUTED_VALUE"""),584.29)</f>
        <v>584.29</v>
      </c>
      <c r="BE180" s="26">
        <f>IFERROR(__xludf.DUMMYFUNCTION("""COMPUTED_VALUE"""),185.29)</f>
        <v>185.29</v>
      </c>
      <c r="BF180" s="26">
        <f>IFERROR(__xludf.DUMMYFUNCTION("""COMPUTED_VALUE"""),67.03)</f>
        <v>67.03</v>
      </c>
      <c r="BG180" s="26">
        <f>IFERROR(__xludf.DUMMYFUNCTION("""COMPUTED_VALUE"""),8.1)</f>
        <v>8.1</v>
      </c>
      <c r="BH180" s="26">
        <f>IFERROR(__xludf.DUMMYFUNCTION("""COMPUTED_VALUE"""),249.16)</f>
        <v>249.16</v>
      </c>
      <c r="BI180" s="26">
        <f>IFERROR(__xludf.DUMMYFUNCTION("""COMPUTED_VALUE"""),542.48)</f>
        <v>542.48</v>
      </c>
      <c r="BJ180" s="26">
        <f>IFERROR(__xludf.DUMMYFUNCTION("""COMPUTED_VALUE"""),48.82)</f>
        <v>48.82</v>
      </c>
      <c r="BK180" s="26">
        <f>IFERROR(__xludf.DUMMYFUNCTION("""COMPUTED_VALUE"""),11.2)</f>
        <v>11.2</v>
      </c>
      <c r="BL180" s="26">
        <f>IFERROR(__xludf.DUMMYFUNCTION("""COMPUTED_VALUE"""),213.65)</f>
        <v>213.65</v>
      </c>
      <c r="BM180" s="26">
        <f>IFERROR(__xludf.DUMMYFUNCTION("""COMPUTED_VALUE"""),112.14)</f>
        <v>112.14</v>
      </c>
    </row>
    <row r="181">
      <c r="A181" s="25">
        <v>45687.66666666667</v>
      </c>
      <c r="B181" s="17">
        <f>IFERROR(__xludf.DUMMYFUNCTION("""COMPUTED_VALUE"""),6039.31)</f>
        <v>6039.31</v>
      </c>
      <c r="C181" s="17">
        <f>IFERROR(__xludf.DUMMYFUNCTION("""COMPUTED_VALUE"""),19632.32)</f>
        <v>19632.32</v>
      </c>
      <c r="D181" s="17">
        <f>IFERROR(__xludf.DUMMYFUNCTION("""COMPUTED_VALUE"""),44713.52)</f>
        <v>44713.52</v>
      </c>
      <c r="E181" s="17">
        <f>IFERROR(__xludf.DUMMYFUNCTION("""COMPUTED_VALUE"""),2283.1)</f>
        <v>2283.1</v>
      </c>
      <c r="F181" s="26">
        <f>IFERROR(__xludf.DUMMYFUNCTION("""COMPUTED_VALUE"""),441.68)</f>
        <v>441.68</v>
      </c>
      <c r="G181" s="26">
        <f>IFERROR(__xludf.DUMMYFUNCTION("""COMPUTED_VALUE"""),237.07)</f>
        <v>237.07</v>
      </c>
      <c r="H181" s="26">
        <f>IFERROR(__xludf.DUMMYFUNCTION("""COMPUTED_VALUE"""),124.25)</f>
        <v>124.25</v>
      </c>
      <c r="I181" s="26">
        <f>IFERROR(__xludf.DUMMYFUNCTION("""COMPUTED_VALUE"""),239.36)</f>
        <v>239.36</v>
      </c>
      <c r="J181" s="26">
        <f>IFERROR(__xludf.DUMMYFUNCTION("""COMPUTED_VALUE"""),175.28)</f>
        <v>175.28</v>
      </c>
      <c r="K181" s="26">
        <f>IFERROR(__xludf.DUMMYFUNCTION("""COMPUTED_VALUE"""),86.04)</f>
        <v>86.04</v>
      </c>
      <c r="L181" s="26">
        <f>IFERROR(__xludf.DUMMYFUNCTION("""COMPUTED_VALUE"""),14.67)</f>
        <v>14.67</v>
      </c>
      <c r="M181" s="26">
        <f>IFERROR(__xludf.DUMMYFUNCTION("""COMPUTED_VALUE"""),469.26)</f>
        <v>469.26</v>
      </c>
      <c r="N181" s="26">
        <f>IFERROR(__xludf.DUMMYFUNCTION("""COMPUTED_VALUE"""),48.79)</f>
        <v>48.79</v>
      </c>
      <c r="O181" s="26">
        <f>IFERROR(__xludf.DUMMYFUNCTION("""COMPUTED_VALUE"""),144.41)</f>
        <v>144.41</v>
      </c>
      <c r="P181" s="26">
        <f>IFERROR(__xludf.DUMMYFUNCTION("""COMPUTED_VALUE"""),64.8)</f>
        <v>64.8</v>
      </c>
      <c r="Q181" s="26">
        <f>IFERROR(__xludf.DUMMYFUNCTION("""COMPUTED_VALUE"""),393.23)</f>
        <v>393.23</v>
      </c>
      <c r="R181" s="26">
        <f>IFERROR(__xludf.DUMMYFUNCTION("""COMPUTED_VALUE"""),50.07)</f>
        <v>50.07</v>
      </c>
      <c r="S181" s="26">
        <f>IFERROR(__xludf.DUMMYFUNCTION("""COMPUTED_VALUE"""),203.9)</f>
        <v>203.9</v>
      </c>
      <c r="T181" s="26">
        <f>IFERROR(__xludf.DUMMYFUNCTION("""COMPUTED_VALUE"""),155.69)</f>
        <v>155.69</v>
      </c>
      <c r="U181" s="26">
        <f>IFERROR(__xludf.DUMMYFUNCTION("""COMPUTED_VALUE"""),303.31)</f>
        <v>303.31</v>
      </c>
      <c r="V181" s="26">
        <f>IFERROR(__xludf.DUMMYFUNCTION("""COMPUTED_VALUE"""),47.62)</f>
        <v>47.62</v>
      </c>
      <c r="W181" s="26">
        <f>IFERROR(__xludf.DUMMYFUNCTION("""COMPUTED_VALUE"""),62.83)</f>
        <v>62.83</v>
      </c>
      <c r="X181" s="26">
        <f>IFERROR(__xludf.DUMMYFUNCTION("""COMPUTED_VALUE"""),92.57)</f>
        <v>92.57</v>
      </c>
      <c r="Y181" s="26">
        <f>IFERROR(__xludf.DUMMYFUNCTION("""COMPUTED_VALUE"""),161.73)</f>
        <v>161.73</v>
      </c>
      <c r="Z181" s="26">
        <f>IFERROR(__xludf.DUMMYFUNCTION("""COMPUTED_VALUE"""),74.2)</f>
        <v>74.2</v>
      </c>
      <c r="AA181" s="26">
        <f>IFERROR(__xludf.DUMMYFUNCTION("""COMPUTED_VALUE"""),427.78)</f>
        <v>427.78</v>
      </c>
      <c r="AB181" s="26">
        <f>IFERROR(__xludf.DUMMYFUNCTION("""COMPUTED_VALUE"""),66.0)</f>
        <v>66</v>
      </c>
      <c r="AC181" s="26">
        <f>IFERROR(__xludf.DUMMYFUNCTION("""COMPUTED_VALUE"""),108.67)</f>
        <v>108.67</v>
      </c>
      <c r="AD181" s="26">
        <f>IFERROR(__xludf.DUMMYFUNCTION("""COMPUTED_VALUE"""),275.06)</f>
        <v>275.06</v>
      </c>
      <c r="AE181" s="26">
        <f>IFERROR(__xludf.DUMMYFUNCTION("""COMPUTED_VALUE"""),428.99)</f>
        <v>428.99</v>
      </c>
      <c r="AF181" s="26">
        <f>IFERROR(__xludf.DUMMYFUNCTION("""COMPUTED_VALUE"""),251.45)</f>
        <v>251.45</v>
      </c>
      <c r="AG181" s="26">
        <f>IFERROR(__xludf.DUMMYFUNCTION("""COMPUTED_VALUE"""),49.78)</f>
        <v>49.78</v>
      </c>
      <c r="AH181" s="26">
        <f>IFERROR(__xludf.DUMMYFUNCTION("""COMPUTED_VALUE"""),95.59)</f>
        <v>95.59</v>
      </c>
      <c r="AI181" s="26">
        <f>IFERROR(__xludf.DUMMYFUNCTION("""COMPUTED_VALUE"""),637.38)</f>
        <v>637.38</v>
      </c>
      <c r="AJ181" s="26">
        <f>IFERROR(__xludf.DUMMYFUNCTION("""COMPUTED_VALUE"""),413.42)</f>
        <v>413.42</v>
      </c>
      <c r="AK181" s="26">
        <f>IFERROR(__xludf.DUMMYFUNCTION("""COMPUTED_VALUE"""),127.9)</f>
        <v>127.9</v>
      </c>
      <c r="AL181" s="26">
        <f>IFERROR(__xludf.DUMMYFUNCTION("""COMPUTED_VALUE"""),157.22)</f>
        <v>157.22</v>
      </c>
      <c r="AM181" s="26">
        <f>IFERROR(__xludf.DUMMYFUNCTION("""COMPUTED_VALUE"""),572.71)</f>
        <v>572.71</v>
      </c>
      <c r="AN181" s="26">
        <f>IFERROR(__xludf.DUMMYFUNCTION("""COMPUTED_VALUE"""),266.58)</f>
        <v>266.58</v>
      </c>
      <c r="AO181" s="26">
        <f>IFERROR(__xludf.DUMMYFUNCTION("""COMPUTED_VALUE"""),454.36)</f>
        <v>454.36</v>
      </c>
      <c r="AP181" s="26">
        <f>IFERROR(__xludf.DUMMYFUNCTION("""COMPUTED_VALUE"""),411.16)</f>
        <v>411.16</v>
      </c>
      <c r="AQ181" s="26">
        <f>IFERROR(__xludf.DUMMYFUNCTION("""COMPUTED_VALUE"""),30.39)</f>
        <v>30.39</v>
      </c>
      <c r="AR181" s="26">
        <f>IFERROR(__xludf.DUMMYFUNCTION("""COMPUTED_VALUE"""),91.41)</f>
        <v>91.41</v>
      </c>
      <c r="AS181" s="26">
        <f>IFERROR(__xludf.DUMMYFUNCTION("""COMPUTED_VALUE"""),86.64)</f>
        <v>86.64</v>
      </c>
      <c r="AT181" s="26">
        <f>IFERROR(__xludf.DUMMYFUNCTION("""COMPUTED_VALUE"""),442.33)</f>
        <v>442.33</v>
      </c>
      <c r="AU181" s="26">
        <f>IFERROR(__xludf.DUMMYFUNCTION("""COMPUTED_VALUE"""),70.89)</f>
        <v>70.89</v>
      </c>
      <c r="AV181" s="26">
        <f>IFERROR(__xludf.DUMMYFUNCTION("""COMPUTED_VALUE"""),123.7)</f>
        <v>123.7</v>
      </c>
      <c r="AW181" s="26">
        <f>IFERROR(__xludf.DUMMYFUNCTION("""COMPUTED_VALUE"""),94.65)</f>
        <v>94.65</v>
      </c>
      <c r="AX181" s="26">
        <f>IFERROR(__xludf.DUMMYFUNCTION("""COMPUTED_VALUE"""),63.04)</f>
        <v>63.04</v>
      </c>
      <c r="AY181" s="26">
        <f>IFERROR(__xludf.DUMMYFUNCTION("""COMPUTED_VALUE"""),79.76)</f>
        <v>79.76</v>
      </c>
      <c r="AZ181" s="26">
        <f>IFERROR(__xludf.DUMMYFUNCTION("""COMPUTED_VALUE"""),88.76)</f>
        <v>88.76</v>
      </c>
      <c r="BA181" s="26">
        <f>IFERROR(__xludf.DUMMYFUNCTION("""COMPUTED_VALUE"""),26.62)</f>
        <v>26.62</v>
      </c>
      <c r="BB181" s="26">
        <f>IFERROR(__xludf.DUMMYFUNCTION("""COMPUTED_VALUE"""),125.13)</f>
        <v>125.13</v>
      </c>
      <c r="BC181" s="26">
        <f>IFERROR(__xludf.DUMMYFUNCTION("""COMPUTED_VALUE"""),235.15)</f>
        <v>235.15</v>
      </c>
      <c r="BD181" s="26">
        <f>IFERROR(__xludf.DUMMYFUNCTION("""COMPUTED_VALUE"""),568.23)</f>
        <v>568.23</v>
      </c>
      <c r="BE181" s="26">
        <f>IFERROR(__xludf.DUMMYFUNCTION("""COMPUTED_VALUE"""),186.98)</f>
        <v>186.98</v>
      </c>
      <c r="BF181" s="26">
        <f>IFERROR(__xludf.DUMMYFUNCTION("""COMPUTED_VALUE"""),65.53)</f>
        <v>65.53</v>
      </c>
      <c r="BG181" s="26">
        <f>IFERROR(__xludf.DUMMYFUNCTION("""COMPUTED_VALUE"""),8.21)</f>
        <v>8.21</v>
      </c>
      <c r="BH181" s="26">
        <f>IFERROR(__xludf.DUMMYFUNCTION("""COMPUTED_VALUE"""),249.55)</f>
        <v>249.55</v>
      </c>
      <c r="BI181" s="26">
        <f>IFERROR(__xludf.DUMMYFUNCTION("""COMPUTED_VALUE"""),538.1)</f>
        <v>538.1</v>
      </c>
      <c r="BJ181" s="26">
        <f>IFERROR(__xludf.DUMMYFUNCTION("""COMPUTED_VALUE"""),48.78)</f>
        <v>48.78</v>
      </c>
      <c r="BK181" s="26">
        <f>IFERROR(__xludf.DUMMYFUNCTION("""COMPUTED_VALUE"""),11.33)</f>
        <v>11.33</v>
      </c>
      <c r="BL181" s="26">
        <f>IFERROR(__xludf.DUMMYFUNCTION("""COMPUTED_VALUE"""),209.55)</f>
        <v>209.55</v>
      </c>
      <c r="BM181" s="26">
        <f>IFERROR(__xludf.DUMMYFUNCTION("""COMPUTED_VALUE"""),113.19)</f>
        <v>113.19</v>
      </c>
    </row>
    <row r="182">
      <c r="A182" s="25">
        <v>45688.66666666667</v>
      </c>
      <c r="B182" s="17">
        <f>IFERROR(__xludf.DUMMYFUNCTION("""COMPUTED_VALUE"""),6071.17)</f>
        <v>6071.17</v>
      </c>
      <c r="C182" s="17">
        <f>IFERROR(__xludf.DUMMYFUNCTION("""COMPUTED_VALUE"""),19681.75)</f>
        <v>19681.75</v>
      </c>
      <c r="D182" s="17">
        <f>IFERROR(__xludf.DUMMYFUNCTION("""COMPUTED_VALUE"""),44882.13)</f>
        <v>44882.13</v>
      </c>
      <c r="E182" s="17">
        <f>IFERROR(__xludf.DUMMYFUNCTION("""COMPUTED_VALUE"""),2307.45)</f>
        <v>2307.45</v>
      </c>
      <c r="F182" s="26">
        <f>IFERROR(__xludf.DUMMYFUNCTION("""COMPUTED_VALUE"""),446.0)</f>
        <v>446</v>
      </c>
      <c r="G182" s="26">
        <f>IFERROR(__xludf.DUMMYFUNCTION("""COMPUTED_VALUE"""),234.64)</f>
        <v>234.64</v>
      </c>
      <c r="H182" s="26">
        <f>IFERROR(__xludf.DUMMYFUNCTION("""COMPUTED_VALUE"""),123.66)</f>
        <v>123.66</v>
      </c>
      <c r="I182" s="26">
        <f>IFERROR(__xludf.DUMMYFUNCTION("""COMPUTED_VALUE"""),237.59)</f>
        <v>237.59</v>
      </c>
      <c r="J182" s="26">
        <f>IFERROR(__xludf.DUMMYFUNCTION("""COMPUTED_VALUE"""),181.72)</f>
        <v>181.72</v>
      </c>
      <c r="K182" s="26">
        <f>IFERROR(__xludf.DUMMYFUNCTION("""COMPUTED_VALUE"""),86.5)</f>
        <v>86.5</v>
      </c>
      <c r="L182" s="26">
        <f>IFERROR(__xludf.DUMMYFUNCTION("""COMPUTED_VALUE"""),14.8)</f>
        <v>14.8</v>
      </c>
      <c r="M182" s="26">
        <f>IFERROR(__xludf.DUMMYFUNCTION("""COMPUTED_VALUE"""),472.35)</f>
        <v>472.35</v>
      </c>
      <c r="N182" s="26">
        <f>IFERROR(__xludf.DUMMYFUNCTION("""COMPUTED_VALUE"""),49.75)</f>
        <v>49.75</v>
      </c>
      <c r="O182" s="26">
        <f>IFERROR(__xludf.DUMMYFUNCTION("""COMPUTED_VALUE"""),146.23)</f>
        <v>146.23</v>
      </c>
      <c r="P182" s="26">
        <f>IFERROR(__xludf.DUMMYFUNCTION("""COMPUTED_VALUE"""),65.97)</f>
        <v>65.97</v>
      </c>
      <c r="Q182" s="26">
        <f>IFERROR(__xludf.DUMMYFUNCTION("""COMPUTED_VALUE"""),374.98)</f>
        <v>374.98</v>
      </c>
      <c r="R182" s="26">
        <f>IFERROR(__xludf.DUMMYFUNCTION("""COMPUTED_VALUE"""),50.3)</f>
        <v>50.3</v>
      </c>
      <c r="S182" s="26">
        <f>IFERROR(__xludf.DUMMYFUNCTION("""COMPUTED_VALUE"""),218.99)</f>
        <v>218.99</v>
      </c>
      <c r="T182" s="26">
        <f>IFERROR(__xludf.DUMMYFUNCTION("""COMPUTED_VALUE"""),156.32)</f>
        <v>156.32</v>
      </c>
      <c r="U182" s="26">
        <f>IFERROR(__xludf.DUMMYFUNCTION("""COMPUTED_VALUE"""),282.98)</f>
        <v>282.98</v>
      </c>
      <c r="V182" s="26">
        <f>IFERROR(__xludf.DUMMYFUNCTION("""COMPUTED_VALUE"""),48.36)</f>
        <v>48.36</v>
      </c>
      <c r="W182" s="26">
        <f>IFERROR(__xludf.DUMMYFUNCTION("""COMPUTED_VALUE"""),64.05)</f>
        <v>64.05</v>
      </c>
      <c r="X182" s="26">
        <f>IFERROR(__xludf.DUMMYFUNCTION("""COMPUTED_VALUE"""),93.86)</f>
        <v>93.86</v>
      </c>
      <c r="Y182" s="26">
        <f>IFERROR(__xludf.DUMMYFUNCTION("""COMPUTED_VALUE"""),164.23)</f>
        <v>164.23</v>
      </c>
      <c r="Z182" s="26">
        <f>IFERROR(__xludf.DUMMYFUNCTION("""COMPUTED_VALUE"""),74.5)</f>
        <v>74.5</v>
      </c>
      <c r="AA182" s="26">
        <f>IFERROR(__xludf.DUMMYFUNCTION("""COMPUTED_VALUE"""),450.8)</f>
        <v>450.8</v>
      </c>
      <c r="AB182" s="26">
        <f>IFERROR(__xludf.DUMMYFUNCTION("""COMPUTED_VALUE"""),67.52)</f>
        <v>67.52</v>
      </c>
      <c r="AC182" s="26">
        <f>IFERROR(__xludf.DUMMYFUNCTION("""COMPUTED_VALUE"""),109.57)</f>
        <v>109.57</v>
      </c>
      <c r="AD182" s="26">
        <f>IFERROR(__xludf.DUMMYFUNCTION("""COMPUTED_VALUE"""),269.24)</f>
        <v>269.24</v>
      </c>
      <c r="AE182" s="26">
        <f>IFERROR(__xludf.DUMMYFUNCTION("""COMPUTED_VALUE"""),431.95)</f>
        <v>431.95</v>
      </c>
      <c r="AF182" s="26">
        <f>IFERROR(__xludf.DUMMYFUNCTION("""COMPUTED_VALUE"""),256.93)</f>
        <v>256.93</v>
      </c>
      <c r="AG182" s="26">
        <f>IFERROR(__xludf.DUMMYFUNCTION("""COMPUTED_VALUE"""),49.5)</f>
        <v>49.5</v>
      </c>
      <c r="AH182" s="26">
        <f>IFERROR(__xludf.DUMMYFUNCTION("""COMPUTED_VALUE"""),96.95)</f>
        <v>96.95</v>
      </c>
      <c r="AI182" s="26">
        <f>IFERROR(__xludf.DUMMYFUNCTION("""COMPUTED_VALUE"""),645.7)</f>
        <v>645.7</v>
      </c>
      <c r="AJ182" s="26">
        <f>IFERROR(__xludf.DUMMYFUNCTION("""COMPUTED_VALUE"""),414.5)</f>
        <v>414.5</v>
      </c>
      <c r="AK182" s="26">
        <f>IFERROR(__xludf.DUMMYFUNCTION("""COMPUTED_VALUE"""),132.77)</f>
        <v>132.77</v>
      </c>
      <c r="AL182" s="26">
        <f>IFERROR(__xludf.DUMMYFUNCTION("""COMPUTED_VALUE"""),159.44)</f>
        <v>159.44</v>
      </c>
      <c r="AM182" s="26">
        <f>IFERROR(__xludf.DUMMYFUNCTION("""COMPUTED_VALUE"""),580.18)</f>
        <v>580.18</v>
      </c>
      <c r="AN182" s="26">
        <f>IFERROR(__xludf.DUMMYFUNCTION("""COMPUTED_VALUE"""),268.23)</f>
        <v>268.23</v>
      </c>
      <c r="AO182" s="26">
        <f>IFERROR(__xludf.DUMMYFUNCTION("""COMPUTED_VALUE"""),459.65)</f>
        <v>459.65</v>
      </c>
      <c r="AP182" s="26">
        <f>IFERROR(__xludf.DUMMYFUNCTION("""COMPUTED_VALUE"""),421.16)</f>
        <v>421.16</v>
      </c>
      <c r="AQ182" s="26">
        <f>IFERROR(__xludf.DUMMYFUNCTION("""COMPUTED_VALUE"""),30.53)</f>
        <v>30.53</v>
      </c>
      <c r="AR182" s="26">
        <f>IFERROR(__xludf.DUMMYFUNCTION("""COMPUTED_VALUE"""),91.99)</f>
        <v>91.99</v>
      </c>
      <c r="AS182" s="26">
        <f>IFERROR(__xludf.DUMMYFUNCTION("""COMPUTED_VALUE"""),87.0)</f>
        <v>87</v>
      </c>
      <c r="AT182" s="26">
        <f>IFERROR(__xludf.DUMMYFUNCTION("""COMPUTED_VALUE"""),414.99)</f>
        <v>414.99</v>
      </c>
      <c r="AU182" s="26">
        <f>IFERROR(__xludf.DUMMYFUNCTION("""COMPUTED_VALUE"""),71.3)</f>
        <v>71.3</v>
      </c>
      <c r="AV182" s="26">
        <f>IFERROR(__xludf.DUMMYFUNCTION("""COMPUTED_VALUE"""),124.65)</f>
        <v>124.65</v>
      </c>
      <c r="AW182" s="26">
        <f>IFERROR(__xludf.DUMMYFUNCTION("""COMPUTED_VALUE"""),95.36)</f>
        <v>95.36</v>
      </c>
      <c r="AX182" s="26">
        <f>IFERROR(__xludf.DUMMYFUNCTION("""COMPUTED_VALUE"""),63.62)</f>
        <v>63.62</v>
      </c>
      <c r="AY182" s="26">
        <f>IFERROR(__xludf.DUMMYFUNCTION("""COMPUTED_VALUE"""),81.22)</f>
        <v>81.22</v>
      </c>
      <c r="AZ182" s="26">
        <f>IFERROR(__xludf.DUMMYFUNCTION("""COMPUTED_VALUE"""),89.57)</f>
        <v>89.57</v>
      </c>
      <c r="BA182" s="26">
        <f>IFERROR(__xludf.DUMMYFUNCTION("""COMPUTED_VALUE"""),26.91)</f>
        <v>26.91</v>
      </c>
      <c r="BB182" s="26">
        <f>IFERROR(__xludf.DUMMYFUNCTION("""COMPUTED_VALUE"""),128.98)</f>
        <v>128.98</v>
      </c>
      <c r="BC182" s="26">
        <f>IFERROR(__xludf.DUMMYFUNCTION("""COMPUTED_VALUE"""),234.37)</f>
        <v>234.37</v>
      </c>
      <c r="BD182" s="26">
        <f>IFERROR(__xludf.DUMMYFUNCTION("""COMPUTED_VALUE"""),606.74)</f>
        <v>606.74</v>
      </c>
      <c r="BE182" s="26">
        <f>IFERROR(__xludf.DUMMYFUNCTION("""COMPUTED_VALUE"""),190.97)</f>
        <v>190.97</v>
      </c>
      <c r="BF182" s="26">
        <f>IFERROR(__xludf.DUMMYFUNCTION("""COMPUTED_VALUE"""),66.95)</f>
        <v>66.95</v>
      </c>
      <c r="BG182" s="26">
        <f>IFERROR(__xludf.DUMMYFUNCTION("""COMPUTED_VALUE"""),8.66)</f>
        <v>8.66</v>
      </c>
      <c r="BH182" s="26">
        <f>IFERROR(__xludf.DUMMYFUNCTION("""COMPUTED_VALUE"""),249.92)</f>
        <v>249.92</v>
      </c>
      <c r="BI182" s="26">
        <f>IFERROR(__xludf.DUMMYFUNCTION("""COMPUTED_VALUE"""),545.57)</f>
        <v>545.57</v>
      </c>
      <c r="BJ182" s="26">
        <f>IFERROR(__xludf.DUMMYFUNCTION("""COMPUTED_VALUE"""),48.82)</f>
        <v>48.82</v>
      </c>
      <c r="BK182" s="26">
        <f>IFERROR(__xludf.DUMMYFUNCTION("""COMPUTED_VALUE"""),11.42)</f>
        <v>11.42</v>
      </c>
      <c r="BL182" s="26">
        <f>IFERROR(__xludf.DUMMYFUNCTION("""COMPUTED_VALUE"""),222.43)</f>
        <v>222.43</v>
      </c>
      <c r="BM182" s="26">
        <f>IFERROR(__xludf.DUMMYFUNCTION("""COMPUTED_VALUE"""),113.43)</f>
        <v>113.43</v>
      </c>
      <c r="BN182" s="27">
        <v>24411.0</v>
      </c>
    </row>
    <row r="183">
      <c r="A183" s="25">
        <v>45691.66666666667</v>
      </c>
      <c r="B183" s="17">
        <f>IFERROR(__xludf.DUMMYFUNCTION("""COMPUTED_VALUE"""),6040.53)</f>
        <v>6040.53</v>
      </c>
      <c r="C183" s="17">
        <f>IFERROR(__xludf.DUMMYFUNCTION("""COMPUTED_VALUE"""),19627.44)</f>
        <v>19627.44</v>
      </c>
      <c r="D183" s="17">
        <f>IFERROR(__xludf.DUMMYFUNCTION("""COMPUTED_VALUE"""),44544.66)</f>
        <v>44544.66</v>
      </c>
      <c r="E183" s="17">
        <f>IFERROR(__xludf.DUMMYFUNCTION("""COMPUTED_VALUE"""),2287.69)</f>
        <v>2287.69</v>
      </c>
      <c r="F183" s="26">
        <f>IFERROR(__xludf.DUMMYFUNCTION("""COMPUTED_VALUE"""),437.45)</f>
        <v>437.45</v>
      </c>
      <c r="G183" s="26">
        <f>IFERROR(__xludf.DUMMYFUNCTION("""COMPUTED_VALUE"""),237.68)</f>
        <v>237.68</v>
      </c>
      <c r="H183" s="26">
        <f>IFERROR(__xludf.DUMMYFUNCTION("""COMPUTED_VALUE"""),124.64)</f>
        <v>124.64</v>
      </c>
      <c r="I183" s="26">
        <f>IFERROR(__xludf.DUMMYFUNCTION("""COMPUTED_VALUE"""),236.0)</f>
        <v>236</v>
      </c>
      <c r="J183" s="26">
        <f>IFERROR(__xludf.DUMMYFUNCTION("""COMPUTED_VALUE"""),180.35)</f>
        <v>180.35</v>
      </c>
      <c r="K183" s="26">
        <f>IFERROR(__xludf.DUMMYFUNCTION("""COMPUTED_VALUE"""),85.93)</f>
        <v>85.93</v>
      </c>
      <c r="L183" s="26">
        <f>IFERROR(__xludf.DUMMYFUNCTION("""COMPUTED_VALUE"""),14.68)</f>
        <v>14.68</v>
      </c>
      <c r="M183" s="26">
        <f>IFERROR(__xludf.DUMMYFUNCTION("""COMPUTED_VALUE"""),468.67)</f>
        <v>468.67</v>
      </c>
      <c r="N183" s="26">
        <f>IFERROR(__xludf.DUMMYFUNCTION("""COMPUTED_VALUE"""),49.15)</f>
        <v>49.15</v>
      </c>
      <c r="O183" s="26">
        <f>IFERROR(__xludf.DUMMYFUNCTION("""COMPUTED_VALUE"""),143.93)</f>
        <v>143.93</v>
      </c>
      <c r="P183" s="26">
        <f>IFERROR(__xludf.DUMMYFUNCTION("""COMPUTED_VALUE"""),65.38)</f>
        <v>65.38</v>
      </c>
      <c r="Q183" s="26">
        <f>IFERROR(__xludf.DUMMYFUNCTION("""COMPUTED_VALUE"""),371.44)</f>
        <v>371.44</v>
      </c>
      <c r="R183" s="26">
        <f>IFERROR(__xludf.DUMMYFUNCTION("""COMPUTED_VALUE"""),49.44)</f>
        <v>49.44</v>
      </c>
      <c r="S183" s="26">
        <f>IFERROR(__xludf.DUMMYFUNCTION("""COMPUTED_VALUE"""),218.02)</f>
        <v>218.02</v>
      </c>
      <c r="T183" s="26">
        <f>IFERROR(__xludf.DUMMYFUNCTION("""COMPUTED_VALUE"""),149.19)</f>
        <v>149.19</v>
      </c>
      <c r="U183" s="26">
        <f>IFERROR(__xludf.DUMMYFUNCTION("""COMPUTED_VALUE"""),294.21)</f>
        <v>294.21</v>
      </c>
      <c r="V183" s="26">
        <f>IFERROR(__xludf.DUMMYFUNCTION("""COMPUTED_VALUE"""),47.57)</f>
        <v>47.57</v>
      </c>
      <c r="W183" s="26">
        <f>IFERROR(__xludf.DUMMYFUNCTION("""COMPUTED_VALUE"""),63.48)</f>
        <v>63.48</v>
      </c>
      <c r="X183" s="26">
        <f>IFERROR(__xludf.DUMMYFUNCTION("""COMPUTED_VALUE"""),93.74)</f>
        <v>93.74</v>
      </c>
      <c r="Y183" s="26">
        <f>IFERROR(__xludf.DUMMYFUNCTION("""COMPUTED_VALUE"""),163.86)</f>
        <v>163.86</v>
      </c>
      <c r="Z183" s="26">
        <f>IFERROR(__xludf.DUMMYFUNCTION("""COMPUTED_VALUE"""),73.35)</f>
        <v>73.35</v>
      </c>
      <c r="AA183" s="26">
        <f>IFERROR(__xludf.DUMMYFUNCTION("""COMPUTED_VALUE"""),449.12)</f>
        <v>449.12</v>
      </c>
      <c r="AB183" s="26">
        <f>IFERROR(__xludf.DUMMYFUNCTION("""COMPUTED_VALUE"""),67.48)</f>
        <v>67.48</v>
      </c>
      <c r="AC183" s="26">
        <f>IFERROR(__xludf.DUMMYFUNCTION("""COMPUTED_VALUE"""),106.83)</f>
        <v>106.83</v>
      </c>
      <c r="AD183" s="26">
        <f>IFERROR(__xludf.DUMMYFUNCTION("""COMPUTED_VALUE"""),264.87)</f>
        <v>264.87</v>
      </c>
      <c r="AE183" s="26">
        <f>IFERROR(__xludf.DUMMYFUNCTION("""COMPUTED_VALUE"""),428.52)</f>
        <v>428.52</v>
      </c>
      <c r="AF183" s="26">
        <f>IFERROR(__xludf.DUMMYFUNCTION("""COMPUTED_VALUE"""),256.98)</f>
        <v>256.98</v>
      </c>
      <c r="AG183" s="26">
        <f>IFERROR(__xludf.DUMMYFUNCTION("""COMPUTED_VALUE"""),49.46)</f>
        <v>49.46</v>
      </c>
      <c r="AH183" s="26">
        <f>IFERROR(__xludf.DUMMYFUNCTION("""COMPUTED_VALUE"""),97.2)</f>
        <v>97.2</v>
      </c>
      <c r="AI183" s="26">
        <f>IFERROR(__xludf.DUMMYFUNCTION("""COMPUTED_VALUE"""),640.4)</f>
        <v>640.4</v>
      </c>
      <c r="AJ183" s="26">
        <f>IFERROR(__xludf.DUMMYFUNCTION("""COMPUTED_VALUE"""),411.98)</f>
        <v>411.98</v>
      </c>
      <c r="AK183" s="26">
        <f>IFERROR(__xludf.DUMMYFUNCTION("""COMPUTED_VALUE"""),126.78)</f>
        <v>126.78</v>
      </c>
      <c r="AL183" s="26">
        <f>IFERROR(__xludf.DUMMYFUNCTION("""COMPUTED_VALUE"""),159.83)</f>
        <v>159.83</v>
      </c>
      <c r="AM183" s="26">
        <f>IFERROR(__xludf.DUMMYFUNCTION("""COMPUTED_VALUE"""),571.88)</f>
        <v>571.88</v>
      </c>
      <c r="AN183" s="26">
        <f>IFERROR(__xludf.DUMMYFUNCTION("""COMPUTED_VALUE"""),267.3)</f>
        <v>267.3</v>
      </c>
      <c r="AO183" s="26">
        <f>IFERROR(__xludf.DUMMYFUNCTION("""COMPUTED_VALUE"""),462.95)</f>
        <v>462.95</v>
      </c>
      <c r="AP183" s="26">
        <f>IFERROR(__xludf.DUMMYFUNCTION("""COMPUTED_VALUE"""),414.2)</f>
        <v>414.2</v>
      </c>
      <c r="AQ183" s="26">
        <f>IFERROR(__xludf.DUMMYFUNCTION("""COMPUTED_VALUE"""),29.91)</f>
        <v>29.91</v>
      </c>
      <c r="AR183" s="26">
        <f>IFERROR(__xludf.DUMMYFUNCTION("""COMPUTED_VALUE"""),90.82)</f>
        <v>90.82</v>
      </c>
      <c r="AS183" s="26">
        <f>IFERROR(__xludf.DUMMYFUNCTION("""COMPUTED_VALUE"""),86.51)</f>
        <v>86.51</v>
      </c>
      <c r="AT183" s="26">
        <f>IFERROR(__xludf.DUMMYFUNCTION("""COMPUTED_VALUE"""),415.06)</f>
        <v>415.06</v>
      </c>
      <c r="AU183" s="26">
        <f>IFERROR(__xludf.DUMMYFUNCTION("""COMPUTED_VALUE"""),71.56)</f>
        <v>71.56</v>
      </c>
      <c r="AV183" s="26">
        <f>IFERROR(__xludf.DUMMYFUNCTION("""COMPUTED_VALUE"""),120.07)</f>
        <v>120.07</v>
      </c>
      <c r="AW183" s="26">
        <f>IFERROR(__xludf.DUMMYFUNCTION("""COMPUTED_VALUE"""),95.42)</f>
        <v>95.42</v>
      </c>
      <c r="AX183" s="26">
        <f>IFERROR(__xludf.DUMMYFUNCTION("""COMPUTED_VALUE"""),59.88)</f>
        <v>59.88</v>
      </c>
      <c r="AY183" s="26">
        <f>IFERROR(__xludf.DUMMYFUNCTION("""COMPUTED_VALUE"""),82.49)</f>
        <v>82.49</v>
      </c>
      <c r="AZ183" s="26">
        <f>IFERROR(__xludf.DUMMYFUNCTION("""COMPUTED_VALUE"""),88.58)</f>
        <v>88.58</v>
      </c>
      <c r="BA183" s="26">
        <f>IFERROR(__xludf.DUMMYFUNCTION("""COMPUTED_VALUE"""),26.52)</f>
        <v>26.52</v>
      </c>
      <c r="BB183" s="26">
        <f>IFERROR(__xludf.DUMMYFUNCTION("""COMPUTED_VALUE"""),128.95)</f>
        <v>128.95</v>
      </c>
      <c r="BC183" s="26">
        <f>IFERROR(__xludf.DUMMYFUNCTION("""COMPUTED_VALUE"""),232.97)</f>
        <v>232.97</v>
      </c>
      <c r="BD183" s="26">
        <f>IFERROR(__xludf.DUMMYFUNCTION("""COMPUTED_VALUE"""),597.75)</f>
        <v>597.75</v>
      </c>
      <c r="BE183" s="26">
        <f>IFERROR(__xludf.DUMMYFUNCTION("""COMPUTED_VALUE"""),188.93)</f>
        <v>188.93</v>
      </c>
      <c r="BF183" s="26">
        <f>IFERROR(__xludf.DUMMYFUNCTION("""COMPUTED_VALUE"""),67.55)</f>
        <v>67.55</v>
      </c>
      <c r="BG183" s="26">
        <f>IFERROR(__xludf.DUMMYFUNCTION("""COMPUTED_VALUE"""),8.35)</f>
        <v>8.35</v>
      </c>
      <c r="BH183" s="26">
        <f>IFERROR(__xludf.DUMMYFUNCTION("""COMPUTED_VALUE"""),247.79)</f>
        <v>247.79</v>
      </c>
      <c r="BI183" s="26">
        <f>IFERROR(__xludf.DUMMYFUNCTION("""COMPUTED_VALUE"""),542.49)</f>
        <v>542.49</v>
      </c>
      <c r="BJ183" s="26">
        <f>IFERROR(__xludf.DUMMYFUNCTION("""COMPUTED_VALUE"""),48.88)</f>
        <v>48.88</v>
      </c>
      <c r="BK183" s="26">
        <f>IFERROR(__xludf.DUMMYFUNCTION("""COMPUTED_VALUE"""),11.28)</f>
        <v>11.28</v>
      </c>
      <c r="BL183" s="26">
        <f>IFERROR(__xludf.DUMMYFUNCTION("""COMPUTED_VALUE"""),220.26)</f>
        <v>220.26</v>
      </c>
      <c r="BM183" s="26">
        <f>IFERROR(__xludf.DUMMYFUNCTION("""COMPUTED_VALUE"""),113.06)</f>
        <v>113.06</v>
      </c>
    </row>
    <row r="184">
      <c r="A184" s="25">
        <v>45692.66666666667</v>
      </c>
      <c r="B184" s="17">
        <f>IFERROR(__xludf.DUMMYFUNCTION("""COMPUTED_VALUE"""),5994.57)</f>
        <v>5994.57</v>
      </c>
      <c r="C184" s="17">
        <f>IFERROR(__xludf.DUMMYFUNCTION("""COMPUTED_VALUE"""),19391.96)</f>
        <v>19391.96</v>
      </c>
      <c r="D184" s="17">
        <f>IFERROR(__xludf.DUMMYFUNCTION("""COMPUTED_VALUE"""),44421.91)</f>
        <v>44421.91</v>
      </c>
      <c r="E184" s="17">
        <f>IFERROR(__xludf.DUMMYFUNCTION("""COMPUTED_VALUE"""),2258.42)</f>
        <v>2258.42</v>
      </c>
      <c r="F184" s="26">
        <f>IFERROR(__xludf.DUMMYFUNCTION("""COMPUTED_VALUE"""),438.6)</f>
        <v>438.6</v>
      </c>
      <c r="G184" s="26">
        <f>IFERROR(__xludf.DUMMYFUNCTION("""COMPUTED_VALUE"""),237.42)</f>
        <v>237.42</v>
      </c>
      <c r="H184" s="26">
        <f>IFERROR(__xludf.DUMMYFUNCTION("""COMPUTED_VALUE"""),125.76)</f>
        <v>125.76</v>
      </c>
      <c r="I184" s="26">
        <f>IFERROR(__xludf.DUMMYFUNCTION("""COMPUTED_VALUE"""),228.01)</f>
        <v>228.01</v>
      </c>
      <c r="J184" s="26">
        <f>IFERROR(__xludf.DUMMYFUNCTION("""COMPUTED_VALUE"""),178.8)</f>
        <v>178.8</v>
      </c>
      <c r="K184" s="26">
        <f>IFERROR(__xludf.DUMMYFUNCTION("""COMPUTED_VALUE"""),85.19)</f>
        <v>85.19</v>
      </c>
      <c r="L184" s="26">
        <f>IFERROR(__xludf.DUMMYFUNCTION("""COMPUTED_VALUE"""),14.39)</f>
        <v>14.39</v>
      </c>
      <c r="M184" s="26">
        <f>IFERROR(__xludf.DUMMYFUNCTION("""COMPUTED_VALUE"""),464.61)</f>
        <v>464.61</v>
      </c>
      <c r="N184" s="26">
        <f>IFERROR(__xludf.DUMMYFUNCTION("""COMPUTED_VALUE"""),48.79)</f>
        <v>48.79</v>
      </c>
      <c r="O184" s="26">
        <f>IFERROR(__xludf.DUMMYFUNCTION("""COMPUTED_VALUE"""),142.34)</f>
        <v>142.34</v>
      </c>
      <c r="P184" s="26">
        <f>IFERROR(__xludf.DUMMYFUNCTION("""COMPUTED_VALUE"""),63.15)</f>
        <v>63.15</v>
      </c>
      <c r="Q184" s="26">
        <f>IFERROR(__xludf.DUMMYFUNCTION("""COMPUTED_VALUE"""),361.55)</f>
        <v>361.55</v>
      </c>
      <c r="R184" s="26">
        <f>IFERROR(__xludf.DUMMYFUNCTION("""COMPUTED_VALUE"""),47.45)</f>
        <v>47.45</v>
      </c>
      <c r="S184" s="26">
        <f>IFERROR(__xludf.DUMMYFUNCTION("""COMPUTED_VALUE"""),213.87)</f>
        <v>213.87</v>
      </c>
      <c r="T184" s="26">
        <f>IFERROR(__xludf.DUMMYFUNCTION("""COMPUTED_VALUE"""),149.34)</f>
        <v>149.34</v>
      </c>
      <c r="U184" s="26">
        <f>IFERROR(__xludf.DUMMYFUNCTION("""COMPUTED_VALUE"""),292.46)</f>
        <v>292.46</v>
      </c>
      <c r="V184" s="26">
        <f>IFERROR(__xludf.DUMMYFUNCTION("""COMPUTED_VALUE"""),46.37)</f>
        <v>46.37</v>
      </c>
      <c r="W184" s="26">
        <f>IFERROR(__xludf.DUMMYFUNCTION("""COMPUTED_VALUE"""),63.35)</f>
        <v>63.35</v>
      </c>
      <c r="X184" s="26">
        <f>IFERROR(__xludf.DUMMYFUNCTION("""COMPUTED_VALUE"""),95.62)</f>
        <v>95.62</v>
      </c>
      <c r="Y184" s="26">
        <f>IFERROR(__xludf.DUMMYFUNCTION("""COMPUTED_VALUE"""),161.43)</f>
        <v>161.43</v>
      </c>
      <c r="Z184" s="26">
        <f>IFERROR(__xludf.DUMMYFUNCTION("""COMPUTED_VALUE"""),71.63)</f>
        <v>71.63</v>
      </c>
      <c r="AA184" s="26">
        <f>IFERROR(__xludf.DUMMYFUNCTION("""COMPUTED_VALUE"""),455.85)</f>
        <v>455.85</v>
      </c>
      <c r="AB184" s="26">
        <f>IFERROR(__xludf.DUMMYFUNCTION("""COMPUTED_VALUE"""),67.18)</f>
        <v>67.18</v>
      </c>
      <c r="AC184" s="26">
        <f>IFERROR(__xludf.DUMMYFUNCTION("""COMPUTED_VALUE"""),107.09)</f>
        <v>107.09</v>
      </c>
      <c r="AD184" s="26">
        <f>IFERROR(__xludf.DUMMYFUNCTION("""COMPUTED_VALUE"""),247.34)</f>
        <v>247.34</v>
      </c>
      <c r="AE184" s="26">
        <f>IFERROR(__xludf.DUMMYFUNCTION("""COMPUTED_VALUE"""),428.94)</f>
        <v>428.94</v>
      </c>
      <c r="AF184" s="26">
        <f>IFERROR(__xludf.DUMMYFUNCTION("""COMPUTED_VALUE"""),256.59)</f>
        <v>256.59</v>
      </c>
      <c r="AG184" s="26">
        <f>IFERROR(__xludf.DUMMYFUNCTION("""COMPUTED_VALUE"""),47.9)</f>
        <v>47.9</v>
      </c>
      <c r="AH184" s="26">
        <f>IFERROR(__xludf.DUMMYFUNCTION("""COMPUTED_VALUE"""),98.38)</f>
        <v>98.38</v>
      </c>
      <c r="AI184" s="26">
        <f>IFERROR(__xludf.DUMMYFUNCTION("""COMPUTED_VALUE"""),632.37)</f>
        <v>632.37</v>
      </c>
      <c r="AJ184" s="26">
        <f>IFERROR(__xludf.DUMMYFUNCTION("""COMPUTED_VALUE"""),408.76)</f>
        <v>408.76</v>
      </c>
      <c r="AK184" s="26">
        <f>IFERROR(__xludf.DUMMYFUNCTION("""COMPUTED_VALUE"""),126.63)</f>
        <v>126.63</v>
      </c>
      <c r="AL184" s="26">
        <f>IFERROR(__xludf.DUMMYFUNCTION("""COMPUTED_VALUE"""),160.39)</f>
        <v>160.39</v>
      </c>
      <c r="AM184" s="26">
        <f>IFERROR(__xludf.DUMMYFUNCTION("""COMPUTED_VALUE"""),578.55)</f>
        <v>578.55</v>
      </c>
      <c r="AN184" s="26">
        <f>IFERROR(__xludf.DUMMYFUNCTION("""COMPUTED_VALUE"""),266.81)</f>
        <v>266.81</v>
      </c>
      <c r="AO184" s="26">
        <f>IFERROR(__xludf.DUMMYFUNCTION("""COMPUTED_VALUE"""),455.42)</f>
        <v>455.42</v>
      </c>
      <c r="AP184" s="26">
        <f>IFERROR(__xludf.DUMMYFUNCTION("""COMPUTED_VALUE"""),410.29)</f>
        <v>410.29</v>
      </c>
      <c r="AQ184" s="26">
        <f>IFERROR(__xludf.DUMMYFUNCTION("""COMPUTED_VALUE"""),29.3)</f>
        <v>29.3</v>
      </c>
      <c r="AR184" s="26">
        <f>IFERROR(__xludf.DUMMYFUNCTION("""COMPUTED_VALUE"""),90.53)</f>
        <v>90.53</v>
      </c>
      <c r="AS184" s="26">
        <f>IFERROR(__xludf.DUMMYFUNCTION("""COMPUTED_VALUE"""),85.49)</f>
        <v>85.49</v>
      </c>
      <c r="AT184" s="26">
        <f>IFERROR(__xludf.DUMMYFUNCTION("""COMPUTED_VALUE"""),410.92)</f>
        <v>410.92</v>
      </c>
      <c r="AU184" s="26">
        <f>IFERROR(__xludf.DUMMYFUNCTION("""COMPUTED_VALUE"""),71.05)</f>
        <v>71.05</v>
      </c>
      <c r="AV184" s="26">
        <f>IFERROR(__xludf.DUMMYFUNCTION("""COMPUTED_VALUE"""),116.66)</f>
        <v>116.66</v>
      </c>
      <c r="AW184" s="26">
        <f>IFERROR(__xludf.DUMMYFUNCTION("""COMPUTED_VALUE"""),94.55)</f>
        <v>94.55</v>
      </c>
      <c r="AX184" s="26">
        <f>IFERROR(__xludf.DUMMYFUNCTION("""COMPUTED_VALUE"""),58.52)</f>
        <v>58.52</v>
      </c>
      <c r="AY184" s="26">
        <f>IFERROR(__xludf.DUMMYFUNCTION("""COMPUTED_VALUE"""),83.74)</f>
        <v>83.74</v>
      </c>
      <c r="AZ184" s="26">
        <f>IFERROR(__xludf.DUMMYFUNCTION("""COMPUTED_VALUE"""),89.51)</f>
        <v>89.51</v>
      </c>
      <c r="BA184" s="26">
        <f>IFERROR(__xludf.DUMMYFUNCTION("""COMPUTED_VALUE"""),26.2)</f>
        <v>26.2</v>
      </c>
      <c r="BB184" s="26">
        <f>IFERROR(__xludf.DUMMYFUNCTION("""COMPUTED_VALUE"""),129.92)</f>
        <v>129.92</v>
      </c>
      <c r="BC184" s="26">
        <f>IFERROR(__xludf.DUMMYFUNCTION("""COMPUTED_VALUE"""),238.1)</f>
        <v>238.1</v>
      </c>
      <c r="BD184" s="26">
        <f>IFERROR(__xludf.DUMMYFUNCTION("""COMPUTED_VALUE"""),593.75)</f>
        <v>593.75</v>
      </c>
      <c r="BE184" s="26">
        <f>IFERROR(__xludf.DUMMYFUNCTION("""COMPUTED_VALUE"""),183.65)</f>
        <v>183.65</v>
      </c>
      <c r="BF184" s="26">
        <f>IFERROR(__xludf.DUMMYFUNCTION("""COMPUTED_VALUE"""),68.76)</f>
        <v>68.76</v>
      </c>
      <c r="BG184" s="26">
        <f>IFERROR(__xludf.DUMMYFUNCTION("""COMPUTED_VALUE"""),8.25)</f>
        <v>8.25</v>
      </c>
      <c r="BH184" s="26">
        <f>IFERROR(__xludf.DUMMYFUNCTION("""COMPUTED_VALUE"""),243.02)</f>
        <v>243.02</v>
      </c>
      <c r="BI184" s="26">
        <f>IFERROR(__xludf.DUMMYFUNCTION("""COMPUTED_VALUE"""),548.18)</f>
        <v>548.18</v>
      </c>
      <c r="BJ184" s="26">
        <f>IFERROR(__xludf.DUMMYFUNCTION("""COMPUTED_VALUE"""),48.92)</f>
        <v>48.92</v>
      </c>
      <c r="BK184" s="26">
        <f>IFERROR(__xludf.DUMMYFUNCTION("""COMPUTED_VALUE"""),11.04)</f>
        <v>11.04</v>
      </c>
      <c r="BL184" s="26">
        <f>IFERROR(__xludf.DUMMYFUNCTION("""COMPUTED_VALUE"""),223.72)</f>
        <v>223.72</v>
      </c>
      <c r="BM184" s="26">
        <f>IFERROR(__xludf.DUMMYFUNCTION("""COMPUTED_VALUE"""),114.0)</f>
        <v>114</v>
      </c>
    </row>
    <row r="185">
      <c r="A185" s="25">
        <v>45693.66666666667</v>
      </c>
      <c r="B185" s="17">
        <f>IFERROR(__xludf.DUMMYFUNCTION("""COMPUTED_VALUE"""),6037.88)</f>
        <v>6037.88</v>
      </c>
      <c r="C185" s="17">
        <f>IFERROR(__xludf.DUMMYFUNCTION("""COMPUTED_VALUE"""),19654.02)</f>
        <v>19654.02</v>
      </c>
      <c r="D185" s="17">
        <f>IFERROR(__xludf.DUMMYFUNCTION("""COMPUTED_VALUE"""),44556.04)</f>
        <v>44556.04</v>
      </c>
      <c r="E185" s="17">
        <f>IFERROR(__xludf.DUMMYFUNCTION("""COMPUTED_VALUE"""),2290.21)</f>
        <v>2290.21</v>
      </c>
      <c r="F185" s="26">
        <f>IFERROR(__xludf.DUMMYFUNCTION("""COMPUTED_VALUE"""),440.23)</f>
        <v>440.23</v>
      </c>
      <c r="G185" s="26">
        <f>IFERROR(__xludf.DUMMYFUNCTION("""COMPUTED_VALUE"""),242.06)</f>
        <v>242.06</v>
      </c>
      <c r="H185" s="26">
        <f>IFERROR(__xludf.DUMMYFUNCTION("""COMPUTED_VALUE"""),123.85)</f>
        <v>123.85</v>
      </c>
      <c r="I185" s="26">
        <f>IFERROR(__xludf.DUMMYFUNCTION("""COMPUTED_VALUE"""),232.8)</f>
        <v>232.8</v>
      </c>
      <c r="J185" s="26">
        <f>IFERROR(__xludf.DUMMYFUNCTION("""COMPUTED_VALUE"""),178.56)</f>
        <v>178.56</v>
      </c>
      <c r="K185" s="26">
        <f>IFERROR(__xludf.DUMMYFUNCTION("""COMPUTED_VALUE"""),84.86)</f>
        <v>84.86</v>
      </c>
      <c r="L185" s="26">
        <f>IFERROR(__xludf.DUMMYFUNCTION("""COMPUTED_VALUE"""),14.65)</f>
        <v>14.65</v>
      </c>
      <c r="M185" s="26">
        <f>IFERROR(__xludf.DUMMYFUNCTION("""COMPUTED_VALUE"""),467.49)</f>
        <v>467.49</v>
      </c>
      <c r="N185" s="26">
        <f>IFERROR(__xludf.DUMMYFUNCTION("""COMPUTED_VALUE"""),49.83)</f>
        <v>49.83</v>
      </c>
      <c r="O185" s="26">
        <f>IFERROR(__xludf.DUMMYFUNCTION("""COMPUTED_VALUE"""),142.49)</f>
        <v>142.49</v>
      </c>
      <c r="P185" s="26">
        <f>IFERROR(__xludf.DUMMYFUNCTION("""COMPUTED_VALUE"""),63.88)</f>
        <v>63.88</v>
      </c>
      <c r="Q185" s="26">
        <f>IFERROR(__xludf.DUMMYFUNCTION("""COMPUTED_VALUE"""),361.95)</f>
        <v>361.95</v>
      </c>
      <c r="R185" s="26">
        <f>IFERROR(__xludf.DUMMYFUNCTION("""COMPUTED_VALUE"""),50.32)</f>
        <v>50.32</v>
      </c>
      <c r="S185" s="26">
        <f>IFERROR(__xludf.DUMMYFUNCTION("""COMPUTED_VALUE"""),212.26)</f>
        <v>212.26</v>
      </c>
      <c r="T185" s="26">
        <f>IFERROR(__xludf.DUMMYFUNCTION("""COMPUTED_VALUE"""),153.22)</f>
        <v>153.22</v>
      </c>
      <c r="U185" s="26">
        <f>IFERROR(__xludf.DUMMYFUNCTION("""COMPUTED_VALUE"""),291.46)</f>
        <v>291.46</v>
      </c>
      <c r="V185" s="26">
        <f>IFERROR(__xludf.DUMMYFUNCTION("""COMPUTED_VALUE"""),47.04)</f>
        <v>47.04</v>
      </c>
      <c r="W185" s="26">
        <f>IFERROR(__xludf.DUMMYFUNCTION("""COMPUTED_VALUE"""),62.67)</f>
        <v>62.67</v>
      </c>
      <c r="X185" s="26">
        <f>IFERROR(__xludf.DUMMYFUNCTION("""COMPUTED_VALUE"""),94.91)</f>
        <v>94.91</v>
      </c>
      <c r="Y185" s="26">
        <f>IFERROR(__xludf.DUMMYFUNCTION("""COMPUTED_VALUE"""),163.34)</f>
        <v>163.34</v>
      </c>
      <c r="Z185" s="26">
        <f>IFERROR(__xludf.DUMMYFUNCTION("""COMPUTED_VALUE"""),74.31)</f>
        <v>74.31</v>
      </c>
      <c r="AA185" s="26">
        <f>IFERROR(__xludf.DUMMYFUNCTION("""COMPUTED_VALUE"""),465.93)</f>
        <v>465.93</v>
      </c>
      <c r="AB185" s="26">
        <f>IFERROR(__xludf.DUMMYFUNCTION("""COMPUTED_VALUE"""),66.95)</f>
        <v>66.95</v>
      </c>
      <c r="AC185" s="26">
        <f>IFERROR(__xludf.DUMMYFUNCTION("""COMPUTED_VALUE"""),109.96)</f>
        <v>109.96</v>
      </c>
      <c r="AD185" s="26">
        <f>IFERROR(__xludf.DUMMYFUNCTION("""COMPUTED_VALUE"""),250.95)</f>
        <v>250.95</v>
      </c>
      <c r="AE185" s="26">
        <f>IFERROR(__xludf.DUMMYFUNCTION("""COMPUTED_VALUE"""),459.3)</f>
        <v>459.3</v>
      </c>
      <c r="AF185" s="26">
        <f>IFERROR(__xludf.DUMMYFUNCTION("""COMPUTED_VALUE"""),257.43)</f>
        <v>257.43</v>
      </c>
      <c r="AG185" s="26">
        <f>IFERROR(__xludf.DUMMYFUNCTION("""COMPUTED_VALUE"""),48.57)</f>
        <v>48.57</v>
      </c>
      <c r="AH185" s="26">
        <f>IFERROR(__xludf.DUMMYFUNCTION("""COMPUTED_VALUE"""),97.99)</f>
        <v>97.99</v>
      </c>
      <c r="AI185" s="26">
        <f>IFERROR(__xludf.DUMMYFUNCTION("""COMPUTED_VALUE"""),634.18)</f>
        <v>634.18</v>
      </c>
      <c r="AJ185" s="26">
        <f>IFERROR(__xludf.DUMMYFUNCTION("""COMPUTED_VALUE"""),411.49)</f>
        <v>411.49</v>
      </c>
      <c r="AK185" s="26">
        <f>IFERROR(__xludf.DUMMYFUNCTION("""COMPUTED_VALUE"""),124.76)</f>
        <v>124.76</v>
      </c>
      <c r="AL185" s="26">
        <f>IFERROR(__xludf.DUMMYFUNCTION("""COMPUTED_VALUE"""),159.32)</f>
        <v>159.32</v>
      </c>
      <c r="AM185" s="26">
        <f>IFERROR(__xludf.DUMMYFUNCTION("""COMPUTED_VALUE"""),579.65)</f>
        <v>579.65</v>
      </c>
      <c r="AN185" s="26">
        <f>IFERROR(__xludf.DUMMYFUNCTION("""COMPUTED_VALUE"""),267.94)</f>
        <v>267.94</v>
      </c>
      <c r="AO185" s="26">
        <f>IFERROR(__xludf.DUMMYFUNCTION("""COMPUTED_VALUE"""),453.68)</f>
        <v>453.68</v>
      </c>
      <c r="AP185" s="26">
        <f>IFERROR(__xludf.DUMMYFUNCTION("""COMPUTED_VALUE"""),415.9)</f>
        <v>415.9</v>
      </c>
      <c r="AQ185" s="26">
        <f>IFERROR(__xludf.DUMMYFUNCTION("""COMPUTED_VALUE"""),29.69)</f>
        <v>29.69</v>
      </c>
      <c r="AR185" s="26">
        <f>IFERROR(__xludf.DUMMYFUNCTION("""COMPUTED_VALUE"""),90.97)</f>
        <v>90.97</v>
      </c>
      <c r="AS185" s="26">
        <f>IFERROR(__xludf.DUMMYFUNCTION("""COMPUTED_VALUE"""),84.63)</f>
        <v>84.63</v>
      </c>
      <c r="AT185" s="26">
        <f>IFERROR(__xludf.DUMMYFUNCTION("""COMPUTED_VALUE"""),412.37)</f>
        <v>412.37</v>
      </c>
      <c r="AU185" s="26">
        <f>IFERROR(__xludf.DUMMYFUNCTION("""COMPUTED_VALUE"""),69.9)</f>
        <v>69.9</v>
      </c>
      <c r="AV185" s="26">
        <f>IFERROR(__xludf.DUMMYFUNCTION("""COMPUTED_VALUE"""),118.65)</f>
        <v>118.65</v>
      </c>
      <c r="AW185" s="26">
        <f>IFERROR(__xludf.DUMMYFUNCTION("""COMPUTED_VALUE"""),94.43)</f>
        <v>94.43</v>
      </c>
      <c r="AX185" s="26">
        <f>IFERROR(__xludf.DUMMYFUNCTION("""COMPUTED_VALUE"""),58.34)</f>
        <v>58.34</v>
      </c>
      <c r="AY185" s="26">
        <f>IFERROR(__xludf.DUMMYFUNCTION("""COMPUTED_VALUE"""),103.83)</f>
        <v>103.83</v>
      </c>
      <c r="AZ185" s="26">
        <f>IFERROR(__xludf.DUMMYFUNCTION("""COMPUTED_VALUE"""),77.72)</f>
        <v>77.72</v>
      </c>
      <c r="BA185" s="26">
        <f>IFERROR(__xludf.DUMMYFUNCTION("""COMPUTED_VALUE"""),25.87)</f>
        <v>25.87</v>
      </c>
      <c r="BB185" s="26">
        <f>IFERROR(__xludf.DUMMYFUNCTION("""COMPUTED_VALUE"""),128.37)</f>
        <v>128.37</v>
      </c>
      <c r="BC185" s="26">
        <f>IFERROR(__xludf.DUMMYFUNCTION("""COMPUTED_VALUE"""),237.25)</f>
        <v>237.25</v>
      </c>
      <c r="BD185" s="26">
        <f>IFERROR(__xludf.DUMMYFUNCTION("""COMPUTED_VALUE"""),580.57)</f>
        <v>580.57</v>
      </c>
      <c r="BE185" s="26">
        <f>IFERROR(__xludf.DUMMYFUNCTION("""COMPUTED_VALUE"""),187.56)</f>
        <v>187.56</v>
      </c>
      <c r="BF185" s="26">
        <f>IFERROR(__xludf.DUMMYFUNCTION("""COMPUTED_VALUE"""),72.14)</f>
        <v>72.14</v>
      </c>
      <c r="BG185" s="26">
        <f>IFERROR(__xludf.DUMMYFUNCTION("""COMPUTED_VALUE"""),8.25)</f>
        <v>8.25</v>
      </c>
      <c r="BH185" s="26">
        <f>IFERROR(__xludf.DUMMYFUNCTION("""COMPUTED_VALUE"""),243.5)</f>
        <v>243.5</v>
      </c>
      <c r="BI185" s="26">
        <f>IFERROR(__xludf.DUMMYFUNCTION("""COMPUTED_VALUE"""),545.45)</f>
        <v>545.45</v>
      </c>
      <c r="BJ185" s="26">
        <f>IFERROR(__xludf.DUMMYFUNCTION("""COMPUTED_VALUE"""),48.95)</f>
        <v>48.95</v>
      </c>
      <c r="BK185" s="26">
        <f>IFERROR(__xludf.DUMMYFUNCTION("""COMPUTED_VALUE"""),10.89)</f>
        <v>10.89</v>
      </c>
      <c r="BL185" s="26">
        <f>IFERROR(__xludf.DUMMYFUNCTION("""COMPUTED_VALUE"""),222.14)</f>
        <v>222.14</v>
      </c>
      <c r="BM185" s="26">
        <f>IFERROR(__xludf.DUMMYFUNCTION("""COMPUTED_VALUE"""),113.3)</f>
        <v>113.3</v>
      </c>
    </row>
    <row r="186">
      <c r="A186" s="25">
        <v>45694.66666666667</v>
      </c>
      <c r="B186" s="17">
        <f>IFERROR(__xludf.DUMMYFUNCTION("""COMPUTED_VALUE"""),6061.48)</f>
        <v>6061.48</v>
      </c>
      <c r="C186" s="17">
        <f>IFERROR(__xludf.DUMMYFUNCTION("""COMPUTED_VALUE"""),19692.33)</f>
        <v>19692.33</v>
      </c>
      <c r="D186" s="17">
        <f>IFERROR(__xludf.DUMMYFUNCTION("""COMPUTED_VALUE"""),44873.28)</f>
        <v>44873.28</v>
      </c>
      <c r="E186" s="17">
        <f>IFERROR(__xludf.DUMMYFUNCTION("""COMPUTED_VALUE"""),2316.23)</f>
        <v>2316.23</v>
      </c>
      <c r="F186" s="26">
        <f>IFERROR(__xludf.DUMMYFUNCTION("""COMPUTED_VALUE"""),437.63)</f>
        <v>437.63</v>
      </c>
      <c r="G186" s="26">
        <f>IFERROR(__xludf.DUMMYFUNCTION("""COMPUTED_VALUE"""),236.17)</f>
        <v>236.17</v>
      </c>
      <c r="H186" s="26">
        <f>IFERROR(__xludf.DUMMYFUNCTION("""COMPUTED_VALUE"""),123.61)</f>
        <v>123.61</v>
      </c>
      <c r="I186" s="26">
        <f>IFERROR(__xludf.DUMMYFUNCTION("""COMPUTED_VALUE"""),232.47)</f>
        <v>232.47</v>
      </c>
      <c r="J186" s="26">
        <f>IFERROR(__xludf.DUMMYFUNCTION("""COMPUTED_VALUE"""),180.67)</f>
        <v>180.67</v>
      </c>
      <c r="K186" s="26">
        <f>IFERROR(__xludf.DUMMYFUNCTION("""COMPUTED_VALUE"""),85.74)</f>
        <v>85.74</v>
      </c>
      <c r="L186" s="26">
        <f>IFERROR(__xludf.DUMMYFUNCTION("""COMPUTED_VALUE"""),14.86)</f>
        <v>14.86</v>
      </c>
      <c r="M186" s="26">
        <f>IFERROR(__xludf.DUMMYFUNCTION("""COMPUTED_VALUE"""),473.73)</f>
        <v>473.73</v>
      </c>
      <c r="N186" s="26">
        <f>IFERROR(__xludf.DUMMYFUNCTION("""COMPUTED_VALUE"""),50.05)</f>
        <v>50.05</v>
      </c>
      <c r="O186" s="26">
        <f>IFERROR(__xludf.DUMMYFUNCTION("""COMPUTED_VALUE"""),145.53)</f>
        <v>145.53</v>
      </c>
      <c r="P186" s="26">
        <f>IFERROR(__xludf.DUMMYFUNCTION("""COMPUTED_VALUE"""),64.56)</f>
        <v>64.56</v>
      </c>
      <c r="Q186" s="26">
        <f>IFERROR(__xludf.DUMMYFUNCTION("""COMPUTED_VALUE"""),358.85)</f>
        <v>358.85</v>
      </c>
      <c r="R186" s="26">
        <f>IFERROR(__xludf.DUMMYFUNCTION("""COMPUTED_VALUE"""),50.35)</f>
        <v>50.35</v>
      </c>
      <c r="S186" s="26">
        <f>IFERROR(__xludf.DUMMYFUNCTION("""COMPUTED_VALUE"""),216.99)</f>
        <v>216.99</v>
      </c>
      <c r="T186" s="26">
        <f>IFERROR(__xludf.DUMMYFUNCTION("""COMPUTED_VALUE"""),152.99)</f>
        <v>152.99</v>
      </c>
      <c r="U186" s="26">
        <f>IFERROR(__xludf.DUMMYFUNCTION("""COMPUTED_VALUE"""),293.31)</f>
        <v>293.31</v>
      </c>
      <c r="V186" s="26">
        <f>IFERROR(__xludf.DUMMYFUNCTION("""COMPUTED_VALUE"""),47.65)</f>
        <v>47.65</v>
      </c>
      <c r="W186" s="26">
        <f>IFERROR(__xludf.DUMMYFUNCTION("""COMPUTED_VALUE"""),63.12)</f>
        <v>63.12</v>
      </c>
      <c r="X186" s="26">
        <f>IFERROR(__xludf.DUMMYFUNCTION("""COMPUTED_VALUE"""),96.19)</f>
        <v>96.19</v>
      </c>
      <c r="Y186" s="26">
        <f>IFERROR(__xludf.DUMMYFUNCTION("""COMPUTED_VALUE"""),167.19)</f>
        <v>167.19</v>
      </c>
      <c r="Z186" s="26">
        <f>IFERROR(__xludf.DUMMYFUNCTION("""COMPUTED_VALUE"""),74.23)</f>
        <v>74.23</v>
      </c>
      <c r="AA186" s="26">
        <f>IFERROR(__xludf.DUMMYFUNCTION("""COMPUTED_VALUE"""),454.75)</f>
        <v>454.75</v>
      </c>
      <c r="AB186" s="26">
        <f>IFERROR(__xludf.DUMMYFUNCTION("""COMPUTED_VALUE"""),67.39)</f>
        <v>67.39</v>
      </c>
      <c r="AC186" s="26">
        <f>IFERROR(__xludf.DUMMYFUNCTION("""COMPUTED_VALUE"""),109.88)</f>
        <v>109.88</v>
      </c>
      <c r="AD186" s="26">
        <f>IFERROR(__xludf.DUMMYFUNCTION("""COMPUTED_VALUE"""),252.41)</f>
        <v>252.41</v>
      </c>
      <c r="AE186" s="26">
        <f>IFERROR(__xludf.DUMMYFUNCTION("""COMPUTED_VALUE"""),464.19)</f>
        <v>464.19</v>
      </c>
      <c r="AF186" s="26">
        <f>IFERROR(__xludf.DUMMYFUNCTION("""COMPUTED_VALUE"""),258.58)</f>
        <v>258.58</v>
      </c>
      <c r="AG186" s="26">
        <f>IFERROR(__xludf.DUMMYFUNCTION("""COMPUTED_VALUE"""),47.81)</f>
        <v>47.81</v>
      </c>
      <c r="AH186" s="26">
        <f>IFERROR(__xludf.DUMMYFUNCTION("""COMPUTED_VALUE"""),99.65)</f>
        <v>99.65</v>
      </c>
      <c r="AI186" s="26">
        <f>IFERROR(__xludf.DUMMYFUNCTION("""COMPUTED_VALUE"""),645.45)</f>
        <v>645.45</v>
      </c>
      <c r="AJ186" s="26">
        <f>IFERROR(__xludf.DUMMYFUNCTION("""COMPUTED_VALUE"""),413.82)</f>
        <v>413.82</v>
      </c>
      <c r="AK186" s="26">
        <f>IFERROR(__xludf.DUMMYFUNCTION("""COMPUTED_VALUE"""),126.17)</f>
        <v>126.17</v>
      </c>
      <c r="AL186" s="26">
        <f>IFERROR(__xludf.DUMMYFUNCTION("""COMPUTED_VALUE"""),160.7)</f>
        <v>160.7</v>
      </c>
      <c r="AM186" s="26">
        <f>IFERROR(__xludf.DUMMYFUNCTION("""COMPUTED_VALUE"""),590.9)</f>
        <v>590.9</v>
      </c>
      <c r="AN186" s="26">
        <f>IFERROR(__xludf.DUMMYFUNCTION("""COMPUTED_VALUE"""),270.43)</f>
        <v>270.43</v>
      </c>
      <c r="AO186" s="26">
        <f>IFERROR(__xludf.DUMMYFUNCTION("""COMPUTED_VALUE"""),449.87)</f>
        <v>449.87</v>
      </c>
      <c r="AP186" s="26">
        <f>IFERROR(__xludf.DUMMYFUNCTION("""COMPUTED_VALUE"""),412.8)</f>
        <v>412.8</v>
      </c>
      <c r="AQ186" s="26">
        <f>IFERROR(__xludf.DUMMYFUNCTION("""COMPUTED_VALUE"""),29.87)</f>
        <v>29.87</v>
      </c>
      <c r="AR186" s="26">
        <f>IFERROR(__xludf.DUMMYFUNCTION("""COMPUTED_VALUE"""),91.69)</f>
        <v>91.69</v>
      </c>
      <c r="AS186" s="26">
        <f>IFERROR(__xludf.DUMMYFUNCTION("""COMPUTED_VALUE"""),85.0)</f>
        <v>85</v>
      </c>
      <c r="AT186" s="26">
        <f>IFERROR(__xludf.DUMMYFUNCTION("""COMPUTED_VALUE"""),413.29)</f>
        <v>413.29</v>
      </c>
      <c r="AU186" s="26">
        <f>IFERROR(__xludf.DUMMYFUNCTION("""COMPUTED_VALUE"""),69.2)</f>
        <v>69.2</v>
      </c>
      <c r="AV186" s="26">
        <f>IFERROR(__xludf.DUMMYFUNCTION("""COMPUTED_VALUE"""),124.83)</f>
        <v>124.83</v>
      </c>
      <c r="AW186" s="26">
        <f>IFERROR(__xludf.DUMMYFUNCTION("""COMPUTED_VALUE"""),94.55)</f>
        <v>94.55</v>
      </c>
      <c r="AX186" s="26">
        <f>IFERROR(__xludf.DUMMYFUNCTION("""COMPUTED_VALUE"""),59.04)</f>
        <v>59.04</v>
      </c>
      <c r="AY186" s="26">
        <f>IFERROR(__xludf.DUMMYFUNCTION("""COMPUTED_VALUE"""),101.36)</f>
        <v>101.36</v>
      </c>
      <c r="AZ186" s="26">
        <f>IFERROR(__xludf.DUMMYFUNCTION("""COMPUTED_VALUE"""),79.2)</f>
        <v>79.2</v>
      </c>
      <c r="BA186" s="26">
        <f>IFERROR(__xludf.DUMMYFUNCTION("""COMPUTED_VALUE"""),26.44)</f>
        <v>26.44</v>
      </c>
      <c r="BB186" s="26">
        <f>IFERROR(__xludf.DUMMYFUNCTION("""COMPUTED_VALUE"""),129.16)</f>
        <v>129.16</v>
      </c>
      <c r="BC186" s="26">
        <f>IFERROR(__xludf.DUMMYFUNCTION("""COMPUTED_VALUE"""),242.43)</f>
        <v>242.43</v>
      </c>
      <c r="BD186" s="26">
        <f>IFERROR(__xludf.DUMMYFUNCTION("""COMPUTED_VALUE"""),582.38)</f>
        <v>582.38</v>
      </c>
      <c r="BE186" s="26">
        <f>IFERROR(__xludf.DUMMYFUNCTION("""COMPUTED_VALUE"""),195.35)</f>
        <v>195.35</v>
      </c>
      <c r="BF186" s="26">
        <f>IFERROR(__xludf.DUMMYFUNCTION("""COMPUTED_VALUE"""),74.57)</f>
        <v>74.57</v>
      </c>
      <c r="BG186" s="26">
        <f>IFERROR(__xludf.DUMMYFUNCTION("""COMPUTED_VALUE"""),8.24)</f>
        <v>8.24</v>
      </c>
      <c r="BH186" s="26">
        <f>IFERROR(__xludf.DUMMYFUNCTION("""COMPUTED_VALUE"""),244.48)</f>
        <v>244.48</v>
      </c>
      <c r="BI186" s="26">
        <f>IFERROR(__xludf.DUMMYFUNCTION("""COMPUTED_VALUE"""),539.81)</f>
        <v>539.81</v>
      </c>
      <c r="BJ186" s="26">
        <f>IFERROR(__xludf.DUMMYFUNCTION("""COMPUTED_VALUE"""),49.0)</f>
        <v>49</v>
      </c>
      <c r="BK186" s="26">
        <f>IFERROR(__xludf.DUMMYFUNCTION("""COMPUTED_VALUE"""),10.95)</f>
        <v>10.95</v>
      </c>
      <c r="BL186" s="26">
        <f>IFERROR(__xludf.DUMMYFUNCTION("""COMPUTED_VALUE"""),224.77)</f>
        <v>224.77</v>
      </c>
      <c r="BM186" s="26">
        <f>IFERROR(__xludf.DUMMYFUNCTION("""COMPUTED_VALUE"""),110.54)</f>
        <v>110.54</v>
      </c>
    </row>
    <row r="187">
      <c r="A187" s="25">
        <v>45695.66666666667</v>
      </c>
      <c r="B187" s="17">
        <f>IFERROR(__xludf.DUMMYFUNCTION("""COMPUTED_VALUE"""),6083.57)</f>
        <v>6083.57</v>
      </c>
      <c r="C187" s="17">
        <f>IFERROR(__xludf.DUMMYFUNCTION("""COMPUTED_VALUE"""),19791.99)</f>
        <v>19791.99</v>
      </c>
      <c r="D187" s="17">
        <f>IFERROR(__xludf.DUMMYFUNCTION("""COMPUTED_VALUE"""),44747.63)</f>
        <v>44747.63</v>
      </c>
      <c r="E187" s="17">
        <f>IFERROR(__xludf.DUMMYFUNCTION("""COMPUTED_VALUE"""),2307.12)</f>
        <v>2307.12</v>
      </c>
      <c r="F187" s="26">
        <f>IFERROR(__xludf.DUMMYFUNCTION("""COMPUTED_VALUE"""),435.4)</f>
        <v>435.4</v>
      </c>
      <c r="G187" s="26">
        <f>IFERROR(__xludf.DUMMYFUNCTION("""COMPUTED_VALUE"""),238.83)</f>
        <v>238.83</v>
      </c>
      <c r="H187" s="26">
        <f>IFERROR(__xludf.DUMMYFUNCTION("""COMPUTED_VALUE"""),123.98)</f>
        <v>123.98</v>
      </c>
      <c r="I187" s="26">
        <f>IFERROR(__xludf.DUMMYFUNCTION("""COMPUTED_VALUE"""),233.22)</f>
        <v>233.22</v>
      </c>
      <c r="J187" s="26">
        <f>IFERROR(__xludf.DUMMYFUNCTION("""COMPUTED_VALUE"""),182.8)</f>
        <v>182.8</v>
      </c>
      <c r="K187" s="26">
        <f>IFERROR(__xludf.DUMMYFUNCTION("""COMPUTED_VALUE"""),86.4)</f>
        <v>86.4</v>
      </c>
      <c r="L187" s="26">
        <f>IFERROR(__xludf.DUMMYFUNCTION("""COMPUTED_VALUE"""),15.27)</f>
        <v>15.27</v>
      </c>
      <c r="M187" s="26">
        <f>IFERROR(__xludf.DUMMYFUNCTION("""COMPUTED_VALUE"""),477.22)</f>
        <v>477.22</v>
      </c>
      <c r="N187" s="26">
        <f>IFERROR(__xludf.DUMMYFUNCTION("""COMPUTED_VALUE"""),50.69)</f>
        <v>50.69</v>
      </c>
      <c r="O187" s="26">
        <f>IFERROR(__xludf.DUMMYFUNCTION("""COMPUTED_VALUE"""),142.37)</f>
        <v>142.37</v>
      </c>
      <c r="P187" s="26">
        <f>IFERROR(__xludf.DUMMYFUNCTION("""COMPUTED_VALUE"""),65.21)</f>
        <v>65.21</v>
      </c>
      <c r="Q187" s="26">
        <f>IFERROR(__xludf.DUMMYFUNCTION("""COMPUTED_VALUE"""),365.45)</f>
        <v>365.45</v>
      </c>
      <c r="R187" s="26">
        <f>IFERROR(__xludf.DUMMYFUNCTION("""COMPUTED_VALUE"""),48.7)</f>
        <v>48.7</v>
      </c>
      <c r="S187" s="26">
        <f>IFERROR(__xludf.DUMMYFUNCTION("""COMPUTED_VALUE"""),212.44)</f>
        <v>212.44</v>
      </c>
      <c r="T187" s="26">
        <f>IFERROR(__xludf.DUMMYFUNCTION("""COMPUTED_VALUE"""),151.9)</f>
        <v>151.9</v>
      </c>
      <c r="U187" s="26">
        <f>IFERROR(__xludf.DUMMYFUNCTION("""COMPUTED_VALUE"""),287.23)</f>
        <v>287.23</v>
      </c>
      <c r="V187" s="26">
        <f>IFERROR(__xludf.DUMMYFUNCTION("""COMPUTED_VALUE"""),48.32)</f>
        <v>48.32</v>
      </c>
      <c r="W187" s="26">
        <f>IFERROR(__xludf.DUMMYFUNCTION("""COMPUTED_VALUE"""),63.36)</f>
        <v>63.36</v>
      </c>
      <c r="X187" s="26">
        <f>IFERROR(__xludf.DUMMYFUNCTION("""COMPUTED_VALUE"""),95.42)</f>
        <v>95.42</v>
      </c>
      <c r="Y187" s="26">
        <f>IFERROR(__xludf.DUMMYFUNCTION("""COMPUTED_VALUE"""),168.11)</f>
        <v>168.11</v>
      </c>
      <c r="Z187" s="26">
        <f>IFERROR(__xludf.DUMMYFUNCTION("""COMPUTED_VALUE"""),74.52)</f>
        <v>74.52</v>
      </c>
      <c r="AA187" s="26">
        <f>IFERROR(__xludf.DUMMYFUNCTION("""COMPUTED_VALUE"""),470.56)</f>
        <v>470.56</v>
      </c>
      <c r="AB187" s="26">
        <f>IFERROR(__xludf.DUMMYFUNCTION("""COMPUTED_VALUE"""),67.5)</f>
        <v>67.5</v>
      </c>
      <c r="AC187" s="26">
        <f>IFERROR(__xludf.DUMMYFUNCTION("""COMPUTED_VALUE"""),108.43)</f>
        <v>108.43</v>
      </c>
      <c r="AD187" s="26">
        <f>IFERROR(__xludf.DUMMYFUNCTION("""COMPUTED_VALUE"""),258.77)</f>
        <v>258.77</v>
      </c>
      <c r="AE187" s="26">
        <f>IFERROR(__xludf.DUMMYFUNCTION("""COMPUTED_VALUE"""),461.56)</f>
        <v>461.56</v>
      </c>
      <c r="AF187" s="26">
        <f>IFERROR(__xludf.DUMMYFUNCTION("""COMPUTED_VALUE"""),255.53)</f>
        <v>255.53</v>
      </c>
      <c r="AG187" s="26">
        <f>IFERROR(__xludf.DUMMYFUNCTION("""COMPUTED_VALUE"""),47.93)</f>
        <v>47.93</v>
      </c>
      <c r="AH187" s="26">
        <f>IFERROR(__xludf.DUMMYFUNCTION("""COMPUTED_VALUE"""),98.04)</f>
        <v>98.04</v>
      </c>
      <c r="AI187" s="26">
        <f>IFERROR(__xludf.DUMMYFUNCTION("""COMPUTED_VALUE"""),658.22)</f>
        <v>658.22</v>
      </c>
      <c r="AJ187" s="26">
        <f>IFERROR(__xludf.DUMMYFUNCTION("""COMPUTED_VALUE"""),414.16)</f>
        <v>414.16</v>
      </c>
      <c r="AK187" s="26">
        <f>IFERROR(__xludf.DUMMYFUNCTION("""COMPUTED_VALUE"""),126.57)</f>
        <v>126.57</v>
      </c>
      <c r="AL187" s="26">
        <f>IFERROR(__xludf.DUMMYFUNCTION("""COMPUTED_VALUE"""),167.68)</f>
        <v>167.68</v>
      </c>
      <c r="AM187" s="26">
        <f>IFERROR(__xludf.DUMMYFUNCTION("""COMPUTED_VALUE"""),588.5)</f>
        <v>588.5</v>
      </c>
      <c r="AN187" s="26">
        <f>IFERROR(__xludf.DUMMYFUNCTION("""COMPUTED_VALUE"""),276.9)</f>
        <v>276.9</v>
      </c>
      <c r="AO187" s="26">
        <f>IFERROR(__xludf.DUMMYFUNCTION("""COMPUTED_VALUE"""),448.52)</f>
        <v>448.52</v>
      </c>
      <c r="AP187" s="26">
        <f>IFERROR(__xludf.DUMMYFUNCTION("""COMPUTED_VALUE"""),411.83)</f>
        <v>411.83</v>
      </c>
      <c r="AQ187" s="26">
        <f>IFERROR(__xludf.DUMMYFUNCTION("""COMPUTED_VALUE"""),30.01)</f>
        <v>30.01</v>
      </c>
      <c r="AR187" s="26">
        <f>IFERROR(__xludf.DUMMYFUNCTION("""COMPUTED_VALUE"""),90.82)</f>
        <v>90.82</v>
      </c>
      <c r="AS187" s="26">
        <f>IFERROR(__xludf.DUMMYFUNCTION("""COMPUTED_VALUE"""),83.67)</f>
        <v>83.67</v>
      </c>
      <c r="AT187" s="26">
        <f>IFERROR(__xludf.DUMMYFUNCTION("""COMPUTED_VALUE"""),415.82)</f>
        <v>415.82</v>
      </c>
      <c r="AU187" s="26">
        <f>IFERROR(__xludf.DUMMYFUNCTION("""COMPUTED_VALUE"""),69.27)</f>
        <v>69.27</v>
      </c>
      <c r="AV187" s="26">
        <f>IFERROR(__xludf.DUMMYFUNCTION("""COMPUTED_VALUE"""),128.68)</f>
        <v>128.68</v>
      </c>
      <c r="AW187" s="26">
        <f>IFERROR(__xludf.DUMMYFUNCTION("""COMPUTED_VALUE"""),96.05)</f>
        <v>96.05</v>
      </c>
      <c r="AX187" s="26">
        <f>IFERROR(__xludf.DUMMYFUNCTION("""COMPUTED_VALUE"""),59.72)</f>
        <v>59.72</v>
      </c>
      <c r="AY187" s="26">
        <f>IFERROR(__xludf.DUMMYFUNCTION("""COMPUTED_VALUE"""),111.28)</f>
        <v>111.28</v>
      </c>
      <c r="AZ187" s="26">
        <f>IFERROR(__xludf.DUMMYFUNCTION("""COMPUTED_VALUE"""),78.57)</f>
        <v>78.57</v>
      </c>
      <c r="BA187" s="26">
        <f>IFERROR(__xludf.DUMMYFUNCTION("""COMPUTED_VALUE"""),25.83)</f>
        <v>25.83</v>
      </c>
      <c r="BB187" s="26">
        <f>IFERROR(__xludf.DUMMYFUNCTION("""COMPUTED_VALUE"""),128.78)</f>
        <v>128.78</v>
      </c>
      <c r="BC187" s="26">
        <f>IFERROR(__xludf.DUMMYFUNCTION("""COMPUTED_VALUE"""),247.17)</f>
        <v>247.17</v>
      </c>
      <c r="BD187" s="26">
        <f>IFERROR(__xludf.DUMMYFUNCTION("""COMPUTED_VALUE"""),572.71)</f>
        <v>572.71</v>
      </c>
      <c r="BE187" s="26">
        <f>IFERROR(__xludf.DUMMYFUNCTION("""COMPUTED_VALUE"""),190.5)</f>
        <v>190.5</v>
      </c>
      <c r="BF187" s="26">
        <f>IFERROR(__xludf.DUMMYFUNCTION("""COMPUTED_VALUE"""),73.5)</f>
        <v>73.5</v>
      </c>
      <c r="BG187" s="26">
        <f>IFERROR(__xludf.DUMMYFUNCTION("""COMPUTED_VALUE"""),7.6)</f>
        <v>7.6</v>
      </c>
      <c r="BH187" s="26">
        <f>IFERROR(__xludf.DUMMYFUNCTION("""COMPUTED_VALUE"""),243.51)</f>
        <v>243.51</v>
      </c>
      <c r="BI187" s="26">
        <f>IFERROR(__xludf.DUMMYFUNCTION("""COMPUTED_VALUE"""),530.04)</f>
        <v>530.04</v>
      </c>
      <c r="BJ187" s="26">
        <f>IFERROR(__xludf.DUMMYFUNCTION("""COMPUTED_VALUE"""),48.97)</f>
        <v>48.97</v>
      </c>
      <c r="BK187" s="26">
        <f>IFERROR(__xludf.DUMMYFUNCTION("""COMPUTED_VALUE"""),10.9)</f>
        <v>10.9</v>
      </c>
      <c r="BL187" s="26">
        <f>IFERROR(__xludf.DUMMYFUNCTION("""COMPUTED_VALUE"""),224.92)</f>
        <v>224.92</v>
      </c>
      <c r="BM187" s="26">
        <f>IFERROR(__xludf.DUMMYFUNCTION("""COMPUTED_VALUE"""),112.09)</f>
        <v>112.09</v>
      </c>
    </row>
    <row r="188">
      <c r="A188" s="25">
        <v>45698.66666666667</v>
      </c>
      <c r="B188" s="17">
        <f>IFERROR(__xludf.DUMMYFUNCTION("""COMPUTED_VALUE"""),6025.99)</f>
        <v>6025.99</v>
      </c>
      <c r="C188" s="17">
        <f>IFERROR(__xludf.DUMMYFUNCTION("""COMPUTED_VALUE"""),19523.4)</f>
        <v>19523.4</v>
      </c>
      <c r="D188" s="17">
        <f>IFERROR(__xludf.DUMMYFUNCTION("""COMPUTED_VALUE"""),44303.4)</f>
        <v>44303.4</v>
      </c>
      <c r="E188" s="17">
        <f>IFERROR(__xludf.DUMMYFUNCTION("""COMPUTED_VALUE"""),2279.71)</f>
        <v>2279.71</v>
      </c>
      <c r="F188" s="26">
        <f>IFERROR(__xludf.DUMMYFUNCTION("""COMPUTED_VALUE"""),433.07)</f>
        <v>433.07</v>
      </c>
      <c r="G188" s="26">
        <f>IFERROR(__xludf.DUMMYFUNCTION("""COMPUTED_VALUE"""),229.15)</f>
        <v>229.15</v>
      </c>
      <c r="H188" s="26">
        <f>IFERROR(__xludf.DUMMYFUNCTION("""COMPUTED_VALUE"""),122.49)</f>
        <v>122.49</v>
      </c>
      <c r="I188" s="26">
        <f>IFERROR(__xludf.DUMMYFUNCTION("""COMPUTED_VALUE"""),227.63)</f>
        <v>227.63</v>
      </c>
      <c r="J188" s="26">
        <f>IFERROR(__xludf.DUMMYFUNCTION("""COMPUTED_VALUE"""),180.0)</f>
        <v>180</v>
      </c>
      <c r="K188" s="26">
        <f>IFERROR(__xludf.DUMMYFUNCTION("""COMPUTED_VALUE"""),86.15)</f>
        <v>86.15</v>
      </c>
      <c r="L188" s="26">
        <f>IFERROR(__xludf.DUMMYFUNCTION("""COMPUTED_VALUE"""),15.07)</f>
        <v>15.07</v>
      </c>
      <c r="M188" s="26">
        <f>IFERROR(__xludf.DUMMYFUNCTION("""COMPUTED_VALUE"""),472.74)</f>
        <v>472.74</v>
      </c>
      <c r="N188" s="26">
        <f>IFERROR(__xludf.DUMMYFUNCTION("""COMPUTED_VALUE"""),50.35)</f>
        <v>50.35</v>
      </c>
      <c r="O188" s="26">
        <f>IFERROR(__xludf.DUMMYFUNCTION("""COMPUTED_VALUE"""),141.35)</f>
        <v>141.35</v>
      </c>
      <c r="P188" s="26">
        <f>IFERROR(__xludf.DUMMYFUNCTION("""COMPUTED_VALUE"""),64.17)</f>
        <v>64.17</v>
      </c>
      <c r="Q188" s="26">
        <f>IFERROR(__xludf.DUMMYFUNCTION("""COMPUTED_VALUE"""),363.88)</f>
        <v>363.88</v>
      </c>
      <c r="R188" s="26">
        <f>IFERROR(__xludf.DUMMYFUNCTION("""COMPUTED_VALUE"""),49.93)</f>
        <v>49.93</v>
      </c>
      <c r="S188" s="26">
        <f>IFERROR(__xludf.DUMMYFUNCTION("""COMPUTED_VALUE"""),212.24)</f>
        <v>212.24</v>
      </c>
      <c r="T188" s="26">
        <f>IFERROR(__xludf.DUMMYFUNCTION("""COMPUTED_VALUE"""),152.62)</f>
        <v>152.62</v>
      </c>
      <c r="U188" s="26">
        <f>IFERROR(__xludf.DUMMYFUNCTION("""COMPUTED_VALUE"""),286.71)</f>
        <v>286.71</v>
      </c>
      <c r="V188" s="26">
        <f>IFERROR(__xludf.DUMMYFUNCTION("""COMPUTED_VALUE"""),47.93)</f>
        <v>47.93</v>
      </c>
      <c r="W188" s="26">
        <f>IFERROR(__xludf.DUMMYFUNCTION("""COMPUTED_VALUE"""),63.84)</f>
        <v>63.84</v>
      </c>
      <c r="X188" s="26">
        <f>IFERROR(__xludf.DUMMYFUNCTION("""COMPUTED_VALUE"""),96.08)</f>
        <v>96.08</v>
      </c>
      <c r="Y188" s="26">
        <f>IFERROR(__xludf.DUMMYFUNCTION("""COMPUTED_VALUE"""),168.07)</f>
        <v>168.07</v>
      </c>
      <c r="Z188" s="26">
        <f>IFERROR(__xludf.DUMMYFUNCTION("""COMPUTED_VALUE"""),72.66)</f>
        <v>72.66</v>
      </c>
      <c r="AA188" s="26">
        <f>IFERROR(__xludf.DUMMYFUNCTION("""COMPUTED_VALUE"""),466.74)</f>
        <v>466.74</v>
      </c>
      <c r="AB188" s="26">
        <f>IFERROR(__xludf.DUMMYFUNCTION("""COMPUTED_VALUE"""),67.83)</f>
        <v>67.83</v>
      </c>
      <c r="AC188" s="26">
        <f>IFERROR(__xludf.DUMMYFUNCTION("""COMPUTED_VALUE"""),108.89)</f>
        <v>108.89</v>
      </c>
      <c r="AD188" s="26">
        <f>IFERROR(__xludf.DUMMYFUNCTION("""COMPUTED_VALUE"""),256.08)</f>
        <v>256.08</v>
      </c>
      <c r="AE188" s="26">
        <f>IFERROR(__xludf.DUMMYFUNCTION("""COMPUTED_VALUE"""),446.44)</f>
        <v>446.44</v>
      </c>
      <c r="AF188" s="26">
        <f>IFERROR(__xludf.DUMMYFUNCTION("""COMPUTED_VALUE"""),254.83)</f>
        <v>254.83</v>
      </c>
      <c r="AG188" s="26">
        <f>IFERROR(__xludf.DUMMYFUNCTION("""COMPUTED_VALUE"""),47.39)</f>
        <v>47.39</v>
      </c>
      <c r="AH188" s="26">
        <f>IFERROR(__xludf.DUMMYFUNCTION("""COMPUTED_VALUE"""),96.04)</f>
        <v>96.04</v>
      </c>
      <c r="AI188" s="26">
        <f>IFERROR(__xludf.DUMMYFUNCTION("""COMPUTED_VALUE"""),655.9)</f>
        <v>655.9</v>
      </c>
      <c r="AJ188" s="26">
        <f>IFERROR(__xludf.DUMMYFUNCTION("""COMPUTED_VALUE"""),407.37)</f>
        <v>407.37</v>
      </c>
      <c r="AK188" s="26">
        <f>IFERROR(__xludf.DUMMYFUNCTION("""COMPUTED_VALUE"""),125.3)</f>
        <v>125.3</v>
      </c>
      <c r="AL188" s="26">
        <f>IFERROR(__xludf.DUMMYFUNCTION("""COMPUTED_VALUE"""),166.83)</f>
        <v>166.83</v>
      </c>
      <c r="AM188" s="26">
        <f>IFERROR(__xludf.DUMMYFUNCTION("""COMPUTED_VALUE"""),582.98)</f>
        <v>582.98</v>
      </c>
      <c r="AN188" s="26">
        <f>IFERROR(__xludf.DUMMYFUNCTION("""COMPUTED_VALUE"""),275.8)</f>
        <v>275.8</v>
      </c>
      <c r="AO188" s="26">
        <f>IFERROR(__xludf.DUMMYFUNCTION("""COMPUTED_VALUE"""),444.39)</f>
        <v>444.39</v>
      </c>
      <c r="AP188" s="26">
        <f>IFERROR(__xludf.DUMMYFUNCTION("""COMPUTED_VALUE"""),398.1)</f>
        <v>398.1</v>
      </c>
      <c r="AQ188" s="26">
        <f>IFERROR(__xludf.DUMMYFUNCTION("""COMPUTED_VALUE"""),30.14)</f>
        <v>30.14</v>
      </c>
      <c r="AR188" s="26">
        <f>IFERROR(__xludf.DUMMYFUNCTION("""COMPUTED_VALUE"""),90.01)</f>
        <v>90.01</v>
      </c>
      <c r="AS188" s="26">
        <f>IFERROR(__xludf.DUMMYFUNCTION("""COMPUTED_VALUE"""),83.92)</f>
        <v>83.92</v>
      </c>
      <c r="AT188" s="26">
        <f>IFERROR(__xludf.DUMMYFUNCTION("""COMPUTED_VALUE"""),409.75)</f>
        <v>409.75</v>
      </c>
      <c r="AU188" s="26">
        <f>IFERROR(__xludf.DUMMYFUNCTION("""COMPUTED_VALUE"""),68.27)</f>
        <v>68.27</v>
      </c>
      <c r="AV188" s="26">
        <f>IFERROR(__xludf.DUMMYFUNCTION("""COMPUTED_VALUE"""),129.84)</f>
        <v>129.84</v>
      </c>
      <c r="AW188" s="26">
        <f>IFERROR(__xludf.DUMMYFUNCTION("""COMPUTED_VALUE"""),94.83)</f>
        <v>94.83</v>
      </c>
      <c r="AX188" s="26">
        <f>IFERROR(__xludf.DUMMYFUNCTION("""COMPUTED_VALUE"""),56.41)</f>
        <v>56.41</v>
      </c>
      <c r="AY188" s="26">
        <f>IFERROR(__xludf.DUMMYFUNCTION("""COMPUTED_VALUE"""),110.85)</f>
        <v>110.85</v>
      </c>
      <c r="AZ188" s="26">
        <f>IFERROR(__xludf.DUMMYFUNCTION("""COMPUTED_VALUE"""),77.31)</f>
        <v>77.31</v>
      </c>
      <c r="BA188" s="26">
        <f>IFERROR(__xludf.DUMMYFUNCTION("""COMPUTED_VALUE"""),25.74)</f>
        <v>25.74</v>
      </c>
      <c r="BB188" s="26">
        <f>IFERROR(__xludf.DUMMYFUNCTION("""COMPUTED_VALUE"""),127.95)</f>
        <v>127.95</v>
      </c>
      <c r="BC188" s="26">
        <f>IFERROR(__xludf.DUMMYFUNCTION("""COMPUTED_VALUE"""),246.24)</f>
        <v>246.24</v>
      </c>
      <c r="BD188" s="26">
        <f>IFERROR(__xludf.DUMMYFUNCTION("""COMPUTED_VALUE"""),571.47)</f>
        <v>571.47</v>
      </c>
      <c r="BE188" s="26">
        <f>IFERROR(__xludf.DUMMYFUNCTION("""COMPUTED_VALUE"""),183.98)</f>
        <v>183.98</v>
      </c>
      <c r="BF188" s="26">
        <f>IFERROR(__xludf.DUMMYFUNCTION("""COMPUTED_VALUE"""),72.6)</f>
        <v>72.6</v>
      </c>
      <c r="BG188" s="26">
        <f>IFERROR(__xludf.DUMMYFUNCTION("""COMPUTED_VALUE"""),7.3)</f>
        <v>7.3</v>
      </c>
      <c r="BH188" s="26">
        <f>IFERROR(__xludf.DUMMYFUNCTION("""COMPUTED_VALUE"""),242.08)</f>
        <v>242.08</v>
      </c>
      <c r="BI188" s="26">
        <f>IFERROR(__xludf.DUMMYFUNCTION("""COMPUTED_VALUE"""),527.03)</f>
        <v>527.03</v>
      </c>
      <c r="BJ188" s="26">
        <f>IFERROR(__xludf.DUMMYFUNCTION("""COMPUTED_VALUE"""),48.91)</f>
        <v>48.91</v>
      </c>
      <c r="BK188" s="26">
        <f>IFERROR(__xludf.DUMMYFUNCTION("""COMPUTED_VALUE"""),10.73)</f>
        <v>10.73</v>
      </c>
      <c r="BL188" s="26">
        <f>IFERROR(__xludf.DUMMYFUNCTION("""COMPUTED_VALUE"""),224.91)</f>
        <v>224.91</v>
      </c>
      <c r="BM188" s="26">
        <f>IFERROR(__xludf.DUMMYFUNCTION("""COMPUTED_VALUE"""),110.86)</f>
        <v>110.86</v>
      </c>
    </row>
    <row r="189">
      <c r="A189" s="25">
        <v>45699.66666666667</v>
      </c>
      <c r="B189" s="17">
        <f>IFERROR(__xludf.DUMMYFUNCTION("""COMPUTED_VALUE"""),6066.44)</f>
        <v>6066.44</v>
      </c>
      <c r="C189" s="17">
        <f>IFERROR(__xludf.DUMMYFUNCTION("""COMPUTED_VALUE"""),19714.27)</f>
        <v>19714.27</v>
      </c>
      <c r="D189" s="17">
        <f>IFERROR(__xludf.DUMMYFUNCTION("""COMPUTED_VALUE"""),44470.41)</f>
        <v>44470.41</v>
      </c>
      <c r="E189" s="17">
        <f>IFERROR(__xludf.DUMMYFUNCTION("""COMPUTED_VALUE"""),2287.94)</f>
        <v>2287.94</v>
      </c>
      <c r="F189" s="26">
        <f>IFERROR(__xludf.DUMMYFUNCTION("""COMPUTED_VALUE"""),451.1)</f>
        <v>451.1</v>
      </c>
      <c r="G189" s="26">
        <f>IFERROR(__xludf.DUMMYFUNCTION("""COMPUTED_VALUE"""),233.14)</f>
        <v>233.14</v>
      </c>
      <c r="H189" s="26">
        <f>IFERROR(__xludf.DUMMYFUNCTION("""COMPUTED_VALUE"""),123.11)</f>
        <v>123.11</v>
      </c>
      <c r="I189" s="26">
        <f>IFERROR(__xludf.DUMMYFUNCTION("""COMPUTED_VALUE"""),227.65)</f>
        <v>227.65</v>
      </c>
      <c r="J189" s="26">
        <f>IFERROR(__xludf.DUMMYFUNCTION("""COMPUTED_VALUE"""),183.66)</f>
        <v>183.66</v>
      </c>
      <c r="K189" s="26">
        <f>IFERROR(__xludf.DUMMYFUNCTION("""COMPUTED_VALUE"""),85.03)</f>
        <v>85.03</v>
      </c>
      <c r="L189" s="26">
        <f>IFERROR(__xludf.DUMMYFUNCTION("""COMPUTED_VALUE"""),14.98)</f>
        <v>14.98</v>
      </c>
      <c r="M189" s="26">
        <f>IFERROR(__xludf.DUMMYFUNCTION("""COMPUTED_VALUE"""),470.17)</f>
        <v>470.17</v>
      </c>
      <c r="N189" s="26">
        <f>IFERROR(__xludf.DUMMYFUNCTION("""COMPUTED_VALUE"""),50.82)</f>
        <v>50.82</v>
      </c>
      <c r="O189" s="26">
        <f>IFERROR(__xludf.DUMMYFUNCTION("""COMPUTED_VALUE"""),142.54)</f>
        <v>142.54</v>
      </c>
      <c r="P189" s="26">
        <f>IFERROR(__xludf.DUMMYFUNCTION("""COMPUTED_VALUE"""),66.23)</f>
        <v>66.23</v>
      </c>
      <c r="Q189" s="26">
        <f>IFERROR(__xludf.DUMMYFUNCTION("""COMPUTED_VALUE"""),363.22)</f>
        <v>363.22</v>
      </c>
      <c r="R189" s="26">
        <f>IFERROR(__xludf.DUMMYFUNCTION("""COMPUTED_VALUE"""),50.36)</f>
        <v>50.36</v>
      </c>
      <c r="S189" s="26">
        <f>IFERROR(__xludf.DUMMYFUNCTION("""COMPUTED_VALUE"""),215.0)</f>
        <v>215</v>
      </c>
      <c r="T189" s="26">
        <f>IFERROR(__xludf.DUMMYFUNCTION("""COMPUTED_VALUE"""),155.77)</f>
        <v>155.77</v>
      </c>
      <c r="U189" s="26">
        <f>IFERROR(__xludf.DUMMYFUNCTION("""COMPUTED_VALUE"""),292.82)</f>
        <v>292.82</v>
      </c>
      <c r="V189" s="26">
        <f>IFERROR(__xludf.DUMMYFUNCTION("""COMPUTED_VALUE"""),47.36)</f>
        <v>47.36</v>
      </c>
      <c r="W189" s="26">
        <f>IFERROR(__xludf.DUMMYFUNCTION("""COMPUTED_VALUE"""),64.55)</f>
        <v>64.55</v>
      </c>
      <c r="X189" s="26">
        <f>IFERROR(__xludf.DUMMYFUNCTION("""COMPUTED_VALUE"""),96.7)</f>
        <v>96.7</v>
      </c>
      <c r="Y189" s="26">
        <f>IFERROR(__xludf.DUMMYFUNCTION("""COMPUTED_VALUE"""),166.39)</f>
        <v>166.39</v>
      </c>
      <c r="Z189" s="26">
        <f>IFERROR(__xludf.DUMMYFUNCTION("""COMPUTED_VALUE"""),73.86)</f>
        <v>73.86</v>
      </c>
      <c r="AA189" s="26">
        <f>IFERROR(__xludf.DUMMYFUNCTION("""COMPUTED_VALUE"""),474.94)</f>
        <v>474.94</v>
      </c>
      <c r="AB189" s="26">
        <f>IFERROR(__xludf.DUMMYFUNCTION("""COMPUTED_VALUE"""),68.26)</f>
        <v>68.26</v>
      </c>
      <c r="AC189" s="26">
        <f>IFERROR(__xludf.DUMMYFUNCTION("""COMPUTED_VALUE"""),110.97)</f>
        <v>110.97</v>
      </c>
      <c r="AD189" s="26">
        <f>IFERROR(__xludf.DUMMYFUNCTION("""COMPUTED_VALUE"""),258.23)</f>
        <v>258.23</v>
      </c>
      <c r="AE189" s="26">
        <f>IFERROR(__xludf.DUMMYFUNCTION("""COMPUTED_VALUE"""),460.8)</f>
        <v>460.8</v>
      </c>
      <c r="AF189" s="26">
        <f>IFERROR(__xludf.DUMMYFUNCTION("""COMPUTED_VALUE"""),256.34)</f>
        <v>256.34</v>
      </c>
      <c r="AG189" s="26">
        <f>IFERROR(__xludf.DUMMYFUNCTION("""COMPUTED_VALUE"""),46.57)</f>
        <v>46.57</v>
      </c>
      <c r="AH189" s="26">
        <f>IFERROR(__xludf.DUMMYFUNCTION("""COMPUTED_VALUE"""),95.48)</f>
        <v>95.48</v>
      </c>
      <c r="AI189" s="26">
        <f>IFERROR(__xludf.DUMMYFUNCTION("""COMPUTED_VALUE"""),650.53)</f>
        <v>650.53</v>
      </c>
      <c r="AJ189" s="26">
        <f>IFERROR(__xludf.DUMMYFUNCTION("""COMPUTED_VALUE"""),413.99)</f>
        <v>413.99</v>
      </c>
      <c r="AK189" s="26">
        <f>IFERROR(__xludf.DUMMYFUNCTION("""COMPUTED_VALUE"""),124.9)</f>
        <v>124.9</v>
      </c>
      <c r="AL189" s="26">
        <f>IFERROR(__xludf.DUMMYFUNCTION("""COMPUTED_VALUE"""),167.12)</f>
        <v>167.12</v>
      </c>
      <c r="AM189" s="26">
        <f>IFERROR(__xludf.DUMMYFUNCTION("""COMPUTED_VALUE"""),595.7)</f>
        <v>595.7</v>
      </c>
      <c r="AN189" s="26">
        <f>IFERROR(__xludf.DUMMYFUNCTION("""COMPUTED_VALUE"""),271.04)</f>
        <v>271.04</v>
      </c>
      <c r="AO189" s="26">
        <f>IFERROR(__xludf.DUMMYFUNCTION("""COMPUTED_VALUE"""),448.22)</f>
        <v>448.22</v>
      </c>
      <c r="AP189" s="26">
        <f>IFERROR(__xludf.DUMMYFUNCTION("""COMPUTED_VALUE"""),399.71)</f>
        <v>399.71</v>
      </c>
      <c r="AQ189" s="26">
        <f>IFERROR(__xludf.DUMMYFUNCTION("""COMPUTED_VALUE"""),29.87)</f>
        <v>29.87</v>
      </c>
      <c r="AR189" s="26">
        <f>IFERROR(__xludf.DUMMYFUNCTION("""COMPUTED_VALUE"""),90.84)</f>
        <v>90.84</v>
      </c>
      <c r="AS189" s="26">
        <f>IFERROR(__xludf.DUMMYFUNCTION("""COMPUTED_VALUE"""),83.08)</f>
        <v>83.08</v>
      </c>
      <c r="AT189" s="26">
        <f>IFERROR(__xludf.DUMMYFUNCTION("""COMPUTED_VALUE"""),412.22)</f>
        <v>412.22</v>
      </c>
      <c r="AU189" s="26">
        <f>IFERROR(__xludf.DUMMYFUNCTION("""COMPUTED_VALUE"""),69.7)</f>
        <v>69.7</v>
      </c>
      <c r="AV189" s="26">
        <f>IFERROR(__xludf.DUMMYFUNCTION("""COMPUTED_VALUE"""),133.57)</f>
        <v>133.57</v>
      </c>
      <c r="AW189" s="26">
        <f>IFERROR(__xludf.DUMMYFUNCTION("""COMPUTED_VALUE"""),96.06)</f>
        <v>96.06</v>
      </c>
      <c r="AX189" s="26">
        <f>IFERROR(__xludf.DUMMYFUNCTION("""COMPUTED_VALUE"""),55.71)</f>
        <v>55.71</v>
      </c>
      <c r="AY189" s="26">
        <f>IFERROR(__xludf.DUMMYFUNCTION("""COMPUTED_VALUE"""),116.65)</f>
        <v>116.65</v>
      </c>
      <c r="AZ189" s="26">
        <f>IFERROR(__xludf.DUMMYFUNCTION("""COMPUTED_VALUE"""),78.24)</f>
        <v>78.24</v>
      </c>
      <c r="BA189" s="26">
        <f>IFERROR(__xludf.DUMMYFUNCTION("""COMPUTED_VALUE"""),25.87)</f>
        <v>25.87</v>
      </c>
      <c r="BB189" s="26">
        <f>IFERROR(__xludf.DUMMYFUNCTION("""COMPUTED_VALUE"""),128.25)</f>
        <v>128.25</v>
      </c>
      <c r="BC189" s="26">
        <f>IFERROR(__xludf.DUMMYFUNCTION("""COMPUTED_VALUE"""),255.83)</f>
        <v>255.83</v>
      </c>
      <c r="BD189" s="26">
        <f>IFERROR(__xludf.DUMMYFUNCTION("""COMPUTED_VALUE"""),552.86)</f>
        <v>552.86</v>
      </c>
      <c r="BE189" s="26">
        <f>IFERROR(__xludf.DUMMYFUNCTION("""COMPUTED_VALUE"""),185.06)</f>
        <v>185.06</v>
      </c>
      <c r="BF189" s="26">
        <f>IFERROR(__xludf.DUMMYFUNCTION("""COMPUTED_VALUE"""),70.24)</f>
        <v>70.24</v>
      </c>
      <c r="BG189" s="26">
        <f>IFERROR(__xludf.DUMMYFUNCTION("""COMPUTED_VALUE"""),7.28)</f>
        <v>7.28</v>
      </c>
      <c r="BH189" s="26">
        <f>IFERROR(__xludf.DUMMYFUNCTION("""COMPUTED_VALUE"""),244.33)</f>
        <v>244.33</v>
      </c>
      <c r="BI189" s="26">
        <f>IFERROR(__xludf.DUMMYFUNCTION("""COMPUTED_VALUE"""),533.37)</f>
        <v>533.37</v>
      </c>
      <c r="BJ189" s="26">
        <f>IFERROR(__xludf.DUMMYFUNCTION("""COMPUTED_VALUE"""),48.96)</f>
        <v>48.96</v>
      </c>
      <c r="BK189" s="26">
        <f>IFERROR(__xludf.DUMMYFUNCTION("""COMPUTED_VALUE"""),10.62)</f>
        <v>10.62</v>
      </c>
      <c r="BL189" s="26">
        <f>IFERROR(__xludf.DUMMYFUNCTION("""COMPUTED_VALUE"""),226.09)</f>
        <v>226.09</v>
      </c>
      <c r="BM189" s="26">
        <f>IFERROR(__xludf.DUMMYFUNCTION("""COMPUTED_VALUE"""),109.28)</f>
        <v>109.28</v>
      </c>
    </row>
    <row r="190">
      <c r="A190" s="25">
        <v>45700.66666666667</v>
      </c>
      <c r="B190" s="17">
        <f>IFERROR(__xludf.DUMMYFUNCTION("""COMPUTED_VALUE"""),6068.5)</f>
        <v>6068.5</v>
      </c>
      <c r="C190" s="17">
        <f>IFERROR(__xludf.DUMMYFUNCTION("""COMPUTED_VALUE"""),19643.86)</f>
        <v>19643.86</v>
      </c>
      <c r="D190" s="17">
        <f>IFERROR(__xludf.DUMMYFUNCTION("""COMPUTED_VALUE"""),44593.65)</f>
        <v>44593.65</v>
      </c>
      <c r="E190" s="17">
        <f>IFERROR(__xludf.DUMMYFUNCTION("""COMPUTED_VALUE"""),2275.7)</f>
        <v>2275.7</v>
      </c>
      <c r="F190" s="26">
        <f>IFERROR(__xludf.DUMMYFUNCTION("""COMPUTED_VALUE"""),458.82)</f>
        <v>458.82</v>
      </c>
      <c r="G190" s="26">
        <f>IFERROR(__xludf.DUMMYFUNCTION("""COMPUTED_VALUE"""),232.76)</f>
        <v>232.76</v>
      </c>
      <c r="H190" s="26">
        <f>IFERROR(__xludf.DUMMYFUNCTION("""COMPUTED_VALUE"""),125.08)</f>
        <v>125.08</v>
      </c>
      <c r="I190" s="26">
        <f>IFERROR(__xludf.DUMMYFUNCTION("""COMPUTED_VALUE"""),232.62)</f>
        <v>232.62</v>
      </c>
      <c r="J190" s="26">
        <f>IFERROR(__xludf.DUMMYFUNCTION("""COMPUTED_VALUE"""),183.2)</f>
        <v>183.2</v>
      </c>
      <c r="K190" s="26">
        <f>IFERROR(__xludf.DUMMYFUNCTION("""COMPUTED_VALUE"""),85.5)</f>
        <v>85.5</v>
      </c>
      <c r="L190" s="26">
        <f>IFERROR(__xludf.DUMMYFUNCTION("""COMPUTED_VALUE"""),15.23)</f>
        <v>15.23</v>
      </c>
      <c r="M190" s="26">
        <f>IFERROR(__xludf.DUMMYFUNCTION("""COMPUTED_VALUE"""),472.61)</f>
        <v>472.61</v>
      </c>
      <c r="N190" s="26">
        <f>IFERROR(__xludf.DUMMYFUNCTION("""COMPUTED_VALUE"""),50.2)</f>
        <v>50.2</v>
      </c>
      <c r="O190" s="26">
        <f>IFERROR(__xludf.DUMMYFUNCTION("""COMPUTED_VALUE"""),139.39)</f>
        <v>139.39</v>
      </c>
      <c r="P190" s="26">
        <f>IFERROR(__xludf.DUMMYFUNCTION("""COMPUTED_VALUE"""),65.16)</f>
        <v>65.16</v>
      </c>
      <c r="Q190" s="26">
        <f>IFERROR(__xludf.DUMMYFUNCTION("""COMPUTED_VALUE"""),362.23)</f>
        <v>362.23</v>
      </c>
      <c r="R190" s="26">
        <f>IFERROR(__xludf.DUMMYFUNCTION("""COMPUTED_VALUE"""),49.85)</f>
        <v>49.85</v>
      </c>
      <c r="S190" s="26">
        <f>IFERROR(__xludf.DUMMYFUNCTION("""COMPUTED_VALUE"""),218.52)</f>
        <v>218.52</v>
      </c>
      <c r="T190" s="26">
        <f>IFERROR(__xludf.DUMMYFUNCTION("""COMPUTED_VALUE"""),157.44)</f>
        <v>157.44</v>
      </c>
      <c r="U190" s="26">
        <f>IFERROR(__xludf.DUMMYFUNCTION("""COMPUTED_VALUE"""),295.24)</f>
        <v>295.24</v>
      </c>
      <c r="V190" s="26">
        <f>IFERROR(__xludf.DUMMYFUNCTION("""COMPUTED_VALUE"""),47.17)</f>
        <v>47.17</v>
      </c>
      <c r="W190" s="26">
        <f>IFERROR(__xludf.DUMMYFUNCTION("""COMPUTED_VALUE"""),67.6)</f>
        <v>67.6</v>
      </c>
      <c r="X190" s="26">
        <f>IFERROR(__xludf.DUMMYFUNCTION("""COMPUTED_VALUE"""),96.31)</f>
        <v>96.31</v>
      </c>
      <c r="Y190" s="26">
        <f>IFERROR(__xludf.DUMMYFUNCTION("""COMPUTED_VALUE"""),165.66)</f>
        <v>165.66</v>
      </c>
      <c r="Z190" s="26">
        <f>IFERROR(__xludf.DUMMYFUNCTION("""COMPUTED_VALUE"""),72.24)</f>
        <v>72.24</v>
      </c>
      <c r="AA190" s="26">
        <f>IFERROR(__xludf.DUMMYFUNCTION("""COMPUTED_VALUE"""),474.06)</f>
        <v>474.06</v>
      </c>
      <c r="AB190" s="26">
        <f>IFERROR(__xludf.DUMMYFUNCTION("""COMPUTED_VALUE"""),68.46)</f>
        <v>68.46</v>
      </c>
      <c r="AC190" s="26">
        <f>IFERROR(__xludf.DUMMYFUNCTION("""COMPUTED_VALUE"""),111.67)</f>
        <v>111.67</v>
      </c>
      <c r="AD190" s="26">
        <f>IFERROR(__xludf.DUMMYFUNCTION("""COMPUTED_VALUE"""),261.26)</f>
        <v>261.26</v>
      </c>
      <c r="AE190" s="26">
        <f>IFERROR(__xludf.DUMMYFUNCTION("""COMPUTED_VALUE"""),474.96)</f>
        <v>474.96</v>
      </c>
      <c r="AF190" s="26">
        <f>IFERROR(__xludf.DUMMYFUNCTION("""COMPUTED_VALUE"""),256.99)</f>
        <v>256.99</v>
      </c>
      <c r="AG190" s="26">
        <f>IFERROR(__xludf.DUMMYFUNCTION("""COMPUTED_VALUE"""),46.7)</f>
        <v>46.7</v>
      </c>
      <c r="AH190" s="26">
        <f>IFERROR(__xludf.DUMMYFUNCTION("""COMPUTED_VALUE"""),96.14)</f>
        <v>96.14</v>
      </c>
      <c r="AI190" s="26">
        <f>IFERROR(__xludf.DUMMYFUNCTION("""COMPUTED_VALUE"""),647.24)</f>
        <v>647.24</v>
      </c>
      <c r="AJ190" s="26">
        <f>IFERROR(__xludf.DUMMYFUNCTION("""COMPUTED_VALUE"""),416.36)</f>
        <v>416.36</v>
      </c>
      <c r="AK190" s="26">
        <f>IFERROR(__xludf.DUMMYFUNCTION("""COMPUTED_VALUE"""),128.71)</f>
        <v>128.71</v>
      </c>
      <c r="AL190" s="26">
        <f>IFERROR(__xludf.DUMMYFUNCTION("""COMPUTED_VALUE"""),166.94)</f>
        <v>166.94</v>
      </c>
      <c r="AM190" s="26">
        <f>IFERROR(__xludf.DUMMYFUNCTION("""COMPUTED_VALUE"""),591.65)</f>
        <v>591.65</v>
      </c>
      <c r="AN190" s="26">
        <f>IFERROR(__xludf.DUMMYFUNCTION("""COMPUTED_VALUE"""),274.99)</f>
        <v>274.99</v>
      </c>
      <c r="AO190" s="26">
        <f>IFERROR(__xludf.DUMMYFUNCTION("""COMPUTED_VALUE"""),449.36)</f>
        <v>449.36</v>
      </c>
      <c r="AP190" s="26">
        <f>IFERROR(__xludf.DUMMYFUNCTION("""COMPUTED_VALUE"""),397.63)</f>
        <v>397.63</v>
      </c>
      <c r="AQ190" s="26">
        <f>IFERROR(__xludf.DUMMYFUNCTION("""COMPUTED_VALUE"""),29.61)</f>
        <v>29.61</v>
      </c>
      <c r="AR190" s="26">
        <f>IFERROR(__xludf.DUMMYFUNCTION("""COMPUTED_VALUE"""),91.2)</f>
        <v>91.2</v>
      </c>
      <c r="AS190" s="26">
        <f>IFERROR(__xludf.DUMMYFUNCTION("""COMPUTED_VALUE"""),83.17)</f>
        <v>83.17</v>
      </c>
      <c r="AT190" s="26">
        <f>IFERROR(__xludf.DUMMYFUNCTION("""COMPUTED_VALUE"""),411.44)</f>
        <v>411.44</v>
      </c>
      <c r="AU190" s="26">
        <f>IFERROR(__xludf.DUMMYFUNCTION("""COMPUTED_VALUE"""),70.33)</f>
        <v>70.33</v>
      </c>
      <c r="AV190" s="26">
        <f>IFERROR(__xludf.DUMMYFUNCTION("""COMPUTED_VALUE"""),132.8)</f>
        <v>132.8</v>
      </c>
      <c r="AW190" s="26">
        <f>IFERROR(__xludf.DUMMYFUNCTION("""COMPUTED_VALUE"""),96.68)</f>
        <v>96.68</v>
      </c>
      <c r="AX190" s="26">
        <f>IFERROR(__xludf.DUMMYFUNCTION("""COMPUTED_VALUE"""),53.97)</f>
        <v>53.97</v>
      </c>
      <c r="AY190" s="26">
        <f>IFERROR(__xludf.DUMMYFUNCTION("""COMPUTED_VALUE"""),112.62)</f>
        <v>112.62</v>
      </c>
      <c r="AZ190" s="26">
        <f>IFERROR(__xludf.DUMMYFUNCTION("""COMPUTED_VALUE"""),76.21)</f>
        <v>76.21</v>
      </c>
      <c r="BA190" s="26">
        <f>IFERROR(__xludf.DUMMYFUNCTION("""COMPUTED_VALUE"""),25.53)</f>
        <v>25.53</v>
      </c>
      <c r="BB190" s="26">
        <f>IFERROR(__xludf.DUMMYFUNCTION("""COMPUTED_VALUE"""),129.11)</f>
        <v>129.11</v>
      </c>
      <c r="BC190" s="26">
        <f>IFERROR(__xludf.DUMMYFUNCTION("""COMPUTED_VALUE"""),258.7)</f>
        <v>258.7</v>
      </c>
      <c r="BD190" s="26">
        <f>IFERROR(__xludf.DUMMYFUNCTION("""COMPUTED_VALUE"""),545.23)</f>
        <v>545.23</v>
      </c>
      <c r="BE190" s="26">
        <f>IFERROR(__xludf.DUMMYFUNCTION("""COMPUTED_VALUE"""),185.74)</f>
        <v>185.74</v>
      </c>
      <c r="BF190" s="26">
        <f>IFERROR(__xludf.DUMMYFUNCTION("""COMPUTED_VALUE"""),68.11)</f>
        <v>68.11</v>
      </c>
      <c r="BG190" s="26">
        <f>IFERROR(__xludf.DUMMYFUNCTION("""COMPUTED_VALUE"""),7.23)</f>
        <v>7.23</v>
      </c>
      <c r="BH190" s="26">
        <f>IFERROR(__xludf.DUMMYFUNCTION("""COMPUTED_VALUE"""),247.73)</f>
        <v>247.73</v>
      </c>
      <c r="BI190" s="26">
        <f>IFERROR(__xludf.DUMMYFUNCTION("""COMPUTED_VALUE"""),533.92)</f>
        <v>533.92</v>
      </c>
      <c r="BJ190" s="26">
        <f>IFERROR(__xludf.DUMMYFUNCTION("""COMPUTED_VALUE"""),48.98)</f>
        <v>48.98</v>
      </c>
      <c r="BK190" s="26">
        <f>IFERROR(__xludf.DUMMYFUNCTION("""COMPUTED_VALUE"""),10.61)</f>
        <v>10.61</v>
      </c>
      <c r="BL190" s="26">
        <f>IFERROR(__xludf.DUMMYFUNCTION("""COMPUTED_VALUE"""),226.75)</f>
        <v>226.75</v>
      </c>
      <c r="BM190" s="26">
        <f>IFERROR(__xludf.DUMMYFUNCTION("""COMPUTED_VALUE"""),109.02)</f>
        <v>109.02</v>
      </c>
    </row>
    <row r="191">
      <c r="A191" s="25">
        <v>45701.66666666667</v>
      </c>
      <c r="B191" s="17">
        <f>IFERROR(__xludf.DUMMYFUNCTION("""COMPUTED_VALUE"""),6051.97)</f>
        <v>6051.97</v>
      </c>
      <c r="C191" s="17">
        <f>IFERROR(__xludf.DUMMYFUNCTION("""COMPUTED_VALUE"""),19649.95)</f>
        <v>19649.95</v>
      </c>
      <c r="D191" s="17">
        <f>IFERROR(__xludf.DUMMYFUNCTION("""COMPUTED_VALUE"""),44368.56)</f>
        <v>44368.56</v>
      </c>
      <c r="E191" s="17">
        <f>IFERROR(__xludf.DUMMYFUNCTION("""COMPUTED_VALUE"""),2255.89)</f>
        <v>2255.89</v>
      </c>
      <c r="F191" s="26">
        <f>IFERROR(__xludf.DUMMYFUNCTION("""COMPUTED_VALUE"""),462.76)</f>
        <v>462.76</v>
      </c>
      <c r="G191" s="26">
        <f>IFERROR(__xludf.DUMMYFUNCTION("""COMPUTED_VALUE"""),228.93)</f>
        <v>228.93</v>
      </c>
      <c r="H191" s="26">
        <f>IFERROR(__xludf.DUMMYFUNCTION("""COMPUTED_VALUE"""),125.02)</f>
        <v>125.02</v>
      </c>
      <c r="I191" s="26">
        <f>IFERROR(__xludf.DUMMYFUNCTION("""COMPUTED_VALUE"""),236.87)</f>
        <v>236.87</v>
      </c>
      <c r="J191" s="26">
        <f>IFERROR(__xludf.DUMMYFUNCTION("""COMPUTED_VALUE"""),180.89)</f>
        <v>180.89</v>
      </c>
      <c r="K191" s="26">
        <f>IFERROR(__xludf.DUMMYFUNCTION("""COMPUTED_VALUE"""),85.32)</f>
        <v>85.32</v>
      </c>
      <c r="L191" s="26">
        <f>IFERROR(__xludf.DUMMYFUNCTION("""COMPUTED_VALUE"""),15.39)</f>
        <v>15.39</v>
      </c>
      <c r="M191" s="26">
        <f>IFERROR(__xludf.DUMMYFUNCTION("""COMPUTED_VALUE"""),471.73)</f>
        <v>471.73</v>
      </c>
      <c r="N191" s="26">
        <f>IFERROR(__xludf.DUMMYFUNCTION("""COMPUTED_VALUE"""),50.66)</f>
        <v>50.66</v>
      </c>
      <c r="O191" s="26">
        <f>IFERROR(__xludf.DUMMYFUNCTION("""COMPUTED_VALUE"""),133.43)</f>
        <v>133.43</v>
      </c>
      <c r="P191" s="26">
        <f>IFERROR(__xludf.DUMMYFUNCTION("""COMPUTED_VALUE"""),63.6)</f>
        <v>63.6</v>
      </c>
      <c r="Q191" s="26">
        <f>IFERROR(__xludf.DUMMYFUNCTION("""COMPUTED_VALUE"""),352.04)</f>
        <v>352.04</v>
      </c>
      <c r="R191" s="26">
        <f>IFERROR(__xludf.DUMMYFUNCTION("""COMPUTED_VALUE"""),49.63)</f>
        <v>49.63</v>
      </c>
      <c r="S191" s="26">
        <f>IFERROR(__xludf.DUMMYFUNCTION("""COMPUTED_VALUE"""),216.86)</f>
        <v>216.86</v>
      </c>
      <c r="T191" s="26">
        <f>IFERROR(__xludf.DUMMYFUNCTION("""COMPUTED_VALUE"""),154.9)</f>
        <v>154.9</v>
      </c>
      <c r="U191" s="26">
        <f>IFERROR(__xludf.DUMMYFUNCTION("""COMPUTED_VALUE"""),292.69)</f>
        <v>292.69</v>
      </c>
      <c r="V191" s="26">
        <f>IFERROR(__xludf.DUMMYFUNCTION("""COMPUTED_VALUE"""),46.16)</f>
        <v>46.16</v>
      </c>
      <c r="W191" s="26">
        <f>IFERROR(__xludf.DUMMYFUNCTION("""COMPUTED_VALUE"""),68.71)</f>
        <v>68.71</v>
      </c>
      <c r="X191" s="26">
        <f>IFERROR(__xludf.DUMMYFUNCTION("""COMPUTED_VALUE"""),94.57)</f>
        <v>94.57</v>
      </c>
      <c r="Y191" s="26">
        <f>IFERROR(__xludf.DUMMYFUNCTION("""COMPUTED_VALUE"""),163.22)</f>
        <v>163.22</v>
      </c>
      <c r="Z191" s="26">
        <f>IFERROR(__xludf.DUMMYFUNCTION("""COMPUTED_VALUE"""),71.74)</f>
        <v>71.74</v>
      </c>
      <c r="AA191" s="26">
        <f>IFERROR(__xludf.DUMMYFUNCTION("""COMPUTED_VALUE"""),471.47)</f>
        <v>471.47</v>
      </c>
      <c r="AB191" s="26">
        <f>IFERROR(__xludf.DUMMYFUNCTION("""COMPUTED_VALUE"""),67.94)</f>
        <v>67.94</v>
      </c>
      <c r="AC191" s="26">
        <f>IFERROR(__xludf.DUMMYFUNCTION("""COMPUTED_VALUE"""),107.35)</f>
        <v>107.35</v>
      </c>
      <c r="AD191" s="26">
        <f>IFERROR(__xludf.DUMMYFUNCTION("""COMPUTED_VALUE"""),262.65)</f>
        <v>262.65</v>
      </c>
      <c r="AE191" s="26">
        <f>IFERROR(__xludf.DUMMYFUNCTION("""COMPUTED_VALUE"""),482.55)</f>
        <v>482.55</v>
      </c>
      <c r="AF191" s="26">
        <f>IFERROR(__xludf.DUMMYFUNCTION("""COMPUTED_VALUE"""),251.33)</f>
        <v>251.33</v>
      </c>
      <c r="AG191" s="26">
        <f>IFERROR(__xludf.DUMMYFUNCTION("""COMPUTED_VALUE"""),47.69)</f>
        <v>47.69</v>
      </c>
      <c r="AH191" s="26">
        <f>IFERROR(__xludf.DUMMYFUNCTION("""COMPUTED_VALUE"""),103.31)</f>
        <v>103.31</v>
      </c>
      <c r="AI191" s="26">
        <f>IFERROR(__xludf.DUMMYFUNCTION("""COMPUTED_VALUE"""),649.0)</f>
        <v>649</v>
      </c>
      <c r="AJ191" s="26">
        <f>IFERROR(__xludf.DUMMYFUNCTION("""COMPUTED_VALUE"""),407.14)</f>
        <v>407.14</v>
      </c>
      <c r="AK191" s="26">
        <f>IFERROR(__xludf.DUMMYFUNCTION("""COMPUTED_VALUE"""),129.22)</f>
        <v>129.22</v>
      </c>
      <c r="AL191" s="26">
        <f>IFERROR(__xludf.DUMMYFUNCTION("""COMPUTED_VALUE"""),166.56)</f>
        <v>166.56</v>
      </c>
      <c r="AM191" s="26">
        <f>IFERROR(__xludf.DUMMYFUNCTION("""COMPUTED_VALUE"""),589.61)</f>
        <v>589.61</v>
      </c>
      <c r="AN191" s="26">
        <f>IFERROR(__xludf.DUMMYFUNCTION("""COMPUTED_VALUE"""),275.45)</f>
        <v>275.45</v>
      </c>
      <c r="AO191" s="26">
        <f>IFERROR(__xludf.DUMMYFUNCTION("""COMPUTED_VALUE"""),441.97)</f>
        <v>441.97</v>
      </c>
      <c r="AP191" s="26">
        <f>IFERROR(__xludf.DUMMYFUNCTION("""COMPUTED_VALUE"""),395.16)</f>
        <v>395.16</v>
      </c>
      <c r="AQ191" s="26">
        <f>IFERROR(__xludf.DUMMYFUNCTION("""COMPUTED_VALUE"""),29.6)</f>
        <v>29.6</v>
      </c>
      <c r="AR191" s="26">
        <f>IFERROR(__xludf.DUMMYFUNCTION("""COMPUTED_VALUE"""),91.35)</f>
        <v>91.35</v>
      </c>
      <c r="AS191" s="26">
        <f>IFERROR(__xludf.DUMMYFUNCTION("""COMPUTED_VALUE"""),82.73)</f>
        <v>82.73</v>
      </c>
      <c r="AT191" s="26">
        <f>IFERROR(__xludf.DUMMYFUNCTION("""COMPUTED_VALUE"""),409.04)</f>
        <v>409.04</v>
      </c>
      <c r="AU191" s="26">
        <f>IFERROR(__xludf.DUMMYFUNCTION("""COMPUTED_VALUE"""),69.28)</f>
        <v>69.28</v>
      </c>
      <c r="AV191" s="26">
        <f>IFERROR(__xludf.DUMMYFUNCTION("""COMPUTED_VALUE"""),131.14)</f>
        <v>131.14</v>
      </c>
      <c r="AW191" s="26">
        <f>IFERROR(__xludf.DUMMYFUNCTION("""COMPUTED_VALUE"""),96.74)</f>
        <v>96.74</v>
      </c>
      <c r="AX191" s="26">
        <f>IFERROR(__xludf.DUMMYFUNCTION("""COMPUTED_VALUE"""),54.04)</f>
        <v>54.04</v>
      </c>
      <c r="AY191" s="26">
        <f>IFERROR(__xludf.DUMMYFUNCTION("""COMPUTED_VALUE"""),117.39)</f>
        <v>117.39</v>
      </c>
      <c r="AZ191" s="26">
        <f>IFERROR(__xludf.DUMMYFUNCTION("""COMPUTED_VALUE"""),76.27)</f>
        <v>76.27</v>
      </c>
      <c r="BA191" s="26">
        <f>IFERROR(__xludf.DUMMYFUNCTION("""COMPUTED_VALUE"""),25.47)</f>
        <v>25.47</v>
      </c>
      <c r="BB191" s="26">
        <f>IFERROR(__xludf.DUMMYFUNCTION("""COMPUTED_VALUE"""),126.78)</f>
        <v>126.78</v>
      </c>
      <c r="BC191" s="26">
        <f>IFERROR(__xludf.DUMMYFUNCTION("""COMPUTED_VALUE"""),255.28)</f>
        <v>255.28</v>
      </c>
      <c r="BD191" s="26">
        <f>IFERROR(__xludf.DUMMYFUNCTION("""COMPUTED_VALUE"""),538.0)</f>
        <v>538</v>
      </c>
      <c r="BE191" s="26">
        <f>IFERROR(__xludf.DUMMYFUNCTION("""COMPUTED_VALUE"""),182.69)</f>
        <v>182.69</v>
      </c>
      <c r="BF191" s="26">
        <f>IFERROR(__xludf.DUMMYFUNCTION("""COMPUTED_VALUE"""),69.52)</f>
        <v>69.52</v>
      </c>
      <c r="BG191" s="26">
        <f>IFERROR(__xludf.DUMMYFUNCTION("""COMPUTED_VALUE"""),7.14)</f>
        <v>7.14</v>
      </c>
      <c r="BH191" s="26">
        <f>IFERROR(__xludf.DUMMYFUNCTION("""COMPUTED_VALUE"""),248.51)</f>
        <v>248.51</v>
      </c>
      <c r="BI191" s="26">
        <f>IFERROR(__xludf.DUMMYFUNCTION("""COMPUTED_VALUE"""),527.4)</f>
        <v>527.4</v>
      </c>
      <c r="BJ191" s="26">
        <f>IFERROR(__xludf.DUMMYFUNCTION("""COMPUTED_VALUE"""),48.89)</f>
        <v>48.89</v>
      </c>
      <c r="BK191" s="26">
        <f>IFERROR(__xludf.DUMMYFUNCTION("""COMPUTED_VALUE"""),10.6)</f>
        <v>10.6</v>
      </c>
      <c r="BL191" s="26">
        <f>IFERROR(__xludf.DUMMYFUNCTION("""COMPUTED_VALUE"""),227.4)</f>
        <v>227.4</v>
      </c>
      <c r="BM191" s="26">
        <f>IFERROR(__xludf.DUMMYFUNCTION("""COMPUTED_VALUE"""),109.23)</f>
        <v>109.23</v>
      </c>
    </row>
    <row r="192">
      <c r="A192" s="25">
        <v>45702.66666666667</v>
      </c>
      <c r="B192" s="17">
        <f>IFERROR(__xludf.DUMMYFUNCTION("""COMPUTED_VALUE"""),6115.07)</f>
        <v>6115.07</v>
      </c>
      <c r="C192" s="17">
        <f>IFERROR(__xludf.DUMMYFUNCTION("""COMPUTED_VALUE"""),19945.64)</f>
        <v>19945.64</v>
      </c>
      <c r="D192" s="17">
        <f>IFERROR(__xludf.DUMMYFUNCTION("""COMPUTED_VALUE"""),44711.43)</f>
        <v>44711.43</v>
      </c>
      <c r="E192" s="17">
        <f>IFERROR(__xludf.DUMMYFUNCTION("""COMPUTED_VALUE"""),2282.18)</f>
        <v>2282.18</v>
      </c>
      <c r="F192" s="26">
        <f>IFERROR(__xludf.DUMMYFUNCTION("""COMPUTED_VALUE"""),459.22)</f>
        <v>459.22</v>
      </c>
      <c r="G192" s="26">
        <f>IFERROR(__xludf.DUMMYFUNCTION("""COMPUTED_VALUE"""),230.37)</f>
        <v>230.37</v>
      </c>
      <c r="H192" s="26">
        <f>IFERROR(__xludf.DUMMYFUNCTION("""COMPUTED_VALUE"""),126.87)</f>
        <v>126.87</v>
      </c>
      <c r="I192" s="26">
        <f>IFERROR(__xludf.DUMMYFUNCTION("""COMPUTED_VALUE"""),241.53)</f>
        <v>241.53</v>
      </c>
      <c r="J192" s="26">
        <f>IFERROR(__xludf.DUMMYFUNCTION("""COMPUTED_VALUE"""),184.27)</f>
        <v>184.27</v>
      </c>
      <c r="K192" s="26">
        <f>IFERROR(__xludf.DUMMYFUNCTION("""COMPUTED_VALUE"""),86.88)</f>
        <v>86.88</v>
      </c>
      <c r="L192" s="26">
        <f>IFERROR(__xludf.DUMMYFUNCTION("""COMPUTED_VALUE"""),14.54)</f>
        <v>14.54</v>
      </c>
      <c r="M192" s="26">
        <f>IFERROR(__xludf.DUMMYFUNCTION("""COMPUTED_VALUE"""),480.49)</f>
        <v>480.49</v>
      </c>
      <c r="N192" s="26">
        <f>IFERROR(__xludf.DUMMYFUNCTION("""COMPUTED_VALUE"""),51.83)</f>
        <v>51.83</v>
      </c>
      <c r="O192" s="26">
        <f>IFERROR(__xludf.DUMMYFUNCTION("""COMPUTED_VALUE"""),138.45)</f>
        <v>138.45</v>
      </c>
      <c r="P192" s="26">
        <f>IFERROR(__xludf.DUMMYFUNCTION("""COMPUTED_VALUE"""),63.67)</f>
        <v>63.67</v>
      </c>
      <c r="Q192" s="26">
        <f>IFERROR(__xludf.DUMMYFUNCTION("""COMPUTED_VALUE"""),353.7)</f>
        <v>353.7</v>
      </c>
      <c r="R192" s="26">
        <f>IFERROR(__xludf.DUMMYFUNCTION("""COMPUTED_VALUE"""),49.08)</f>
        <v>49.08</v>
      </c>
      <c r="S192" s="26">
        <f>IFERROR(__xludf.DUMMYFUNCTION("""COMPUTED_VALUE"""),221.12)</f>
        <v>221.12</v>
      </c>
      <c r="T192" s="26">
        <f>IFERROR(__xludf.DUMMYFUNCTION("""COMPUTED_VALUE"""),155.88)</f>
        <v>155.88</v>
      </c>
      <c r="U192" s="26">
        <f>IFERROR(__xludf.DUMMYFUNCTION("""COMPUTED_VALUE"""),299.82)</f>
        <v>299.82</v>
      </c>
      <c r="V192" s="26">
        <f>IFERROR(__xludf.DUMMYFUNCTION("""COMPUTED_VALUE"""),46.05)</f>
        <v>46.05</v>
      </c>
      <c r="W192" s="26">
        <f>IFERROR(__xludf.DUMMYFUNCTION("""COMPUTED_VALUE"""),69.5)</f>
        <v>69.5</v>
      </c>
      <c r="X192" s="26">
        <f>IFERROR(__xludf.DUMMYFUNCTION("""COMPUTED_VALUE"""),95.66)</f>
        <v>95.66</v>
      </c>
      <c r="Y192" s="26">
        <f>IFERROR(__xludf.DUMMYFUNCTION("""COMPUTED_VALUE"""),164.81)</f>
        <v>164.81</v>
      </c>
      <c r="Z192" s="26">
        <f>IFERROR(__xludf.DUMMYFUNCTION("""COMPUTED_VALUE"""),72.01)</f>
        <v>72.01</v>
      </c>
      <c r="AA192" s="26">
        <f>IFERROR(__xludf.DUMMYFUNCTION("""COMPUTED_VALUE"""),479.88)</f>
        <v>479.88</v>
      </c>
      <c r="AB192" s="26">
        <f>IFERROR(__xludf.DUMMYFUNCTION("""COMPUTED_VALUE"""),69.26)</f>
        <v>69.26</v>
      </c>
      <c r="AC192" s="26">
        <f>IFERROR(__xludf.DUMMYFUNCTION("""COMPUTED_VALUE"""),108.13)</f>
        <v>108.13</v>
      </c>
      <c r="AD192" s="26">
        <f>IFERROR(__xludf.DUMMYFUNCTION("""COMPUTED_VALUE"""),263.12)</f>
        <v>263.12</v>
      </c>
      <c r="AE192" s="26">
        <f>IFERROR(__xludf.DUMMYFUNCTION("""COMPUTED_VALUE"""),490.45)</f>
        <v>490.45</v>
      </c>
      <c r="AF192" s="26">
        <f>IFERROR(__xludf.DUMMYFUNCTION("""COMPUTED_VALUE"""),246.16)</f>
        <v>246.16</v>
      </c>
      <c r="AG192" s="26">
        <f>IFERROR(__xludf.DUMMYFUNCTION("""COMPUTED_VALUE"""),47.89)</f>
        <v>47.89</v>
      </c>
      <c r="AH192" s="26">
        <f>IFERROR(__xludf.DUMMYFUNCTION("""COMPUTED_VALUE"""),105.96)</f>
        <v>105.96</v>
      </c>
      <c r="AI192" s="26">
        <f>IFERROR(__xludf.DUMMYFUNCTION("""COMPUTED_VALUE"""),648.95)</f>
        <v>648.95</v>
      </c>
      <c r="AJ192" s="26">
        <f>IFERROR(__xludf.DUMMYFUNCTION("""COMPUTED_VALUE"""),412.43)</f>
        <v>412.43</v>
      </c>
      <c r="AK192" s="26">
        <f>IFERROR(__xludf.DUMMYFUNCTION("""COMPUTED_VALUE"""),130.36)</f>
        <v>130.36</v>
      </c>
      <c r="AL192" s="26">
        <f>IFERROR(__xludf.DUMMYFUNCTION("""COMPUTED_VALUE"""),168.57)</f>
        <v>168.57</v>
      </c>
      <c r="AM192" s="26">
        <f>IFERROR(__xludf.DUMMYFUNCTION("""COMPUTED_VALUE"""),591.39)</f>
        <v>591.39</v>
      </c>
      <c r="AN192" s="26">
        <f>IFERROR(__xludf.DUMMYFUNCTION("""COMPUTED_VALUE"""),276.32)</f>
        <v>276.32</v>
      </c>
      <c r="AO192" s="26">
        <f>IFERROR(__xludf.DUMMYFUNCTION("""COMPUTED_VALUE"""),434.72)</f>
        <v>434.72</v>
      </c>
      <c r="AP192" s="26">
        <f>IFERROR(__xludf.DUMMYFUNCTION("""COMPUTED_VALUE"""),390.85)</f>
        <v>390.85</v>
      </c>
      <c r="AQ192" s="26">
        <f>IFERROR(__xludf.DUMMYFUNCTION("""COMPUTED_VALUE"""),29.64)</f>
        <v>29.64</v>
      </c>
      <c r="AR192" s="26">
        <f>IFERROR(__xludf.DUMMYFUNCTION("""COMPUTED_VALUE"""),92.2)</f>
        <v>92.2</v>
      </c>
      <c r="AS192" s="26">
        <f>IFERROR(__xludf.DUMMYFUNCTION("""COMPUTED_VALUE"""),82.34)</f>
        <v>82.34</v>
      </c>
      <c r="AT192" s="26">
        <f>IFERROR(__xludf.DUMMYFUNCTION("""COMPUTED_VALUE"""),410.54)</f>
        <v>410.54</v>
      </c>
      <c r="AU192" s="26">
        <f>IFERROR(__xludf.DUMMYFUNCTION("""COMPUTED_VALUE"""),68.6)</f>
        <v>68.6</v>
      </c>
      <c r="AV192" s="26">
        <f>IFERROR(__xludf.DUMMYFUNCTION("""COMPUTED_VALUE"""),135.29)</f>
        <v>135.29</v>
      </c>
      <c r="AW192" s="26">
        <f>IFERROR(__xludf.DUMMYFUNCTION("""COMPUTED_VALUE"""),98.02)</f>
        <v>98.02</v>
      </c>
      <c r="AX192" s="26">
        <f>IFERROR(__xludf.DUMMYFUNCTION("""COMPUTED_VALUE"""),52.37)</f>
        <v>52.37</v>
      </c>
      <c r="AY192" s="26">
        <f>IFERROR(__xludf.DUMMYFUNCTION("""COMPUTED_VALUE"""),117.91)</f>
        <v>117.91</v>
      </c>
      <c r="AZ192" s="26">
        <f>IFERROR(__xludf.DUMMYFUNCTION("""COMPUTED_VALUE"""),76.59)</f>
        <v>76.59</v>
      </c>
      <c r="BA192" s="26">
        <f>IFERROR(__xludf.DUMMYFUNCTION("""COMPUTED_VALUE"""),25.64)</f>
        <v>25.64</v>
      </c>
      <c r="BB192" s="26">
        <f>IFERROR(__xludf.DUMMYFUNCTION("""COMPUTED_VALUE"""),125.84)</f>
        <v>125.84</v>
      </c>
      <c r="BC192" s="26">
        <f>IFERROR(__xludf.DUMMYFUNCTION("""COMPUTED_VALUE"""),265.08)</f>
        <v>265.08</v>
      </c>
      <c r="BD192" s="26">
        <f>IFERROR(__xludf.DUMMYFUNCTION("""COMPUTED_VALUE"""),532.64)</f>
        <v>532.64</v>
      </c>
      <c r="BE192" s="26">
        <f>IFERROR(__xludf.DUMMYFUNCTION("""COMPUTED_VALUE"""),184.01)</f>
        <v>184.01</v>
      </c>
      <c r="BF192" s="26">
        <f>IFERROR(__xludf.DUMMYFUNCTION("""COMPUTED_VALUE"""),71.22)</f>
        <v>71.22</v>
      </c>
      <c r="BG192" s="26">
        <f>IFERROR(__xludf.DUMMYFUNCTION("""COMPUTED_VALUE"""),7.28)</f>
        <v>7.28</v>
      </c>
      <c r="BH192" s="26">
        <f>IFERROR(__xludf.DUMMYFUNCTION("""COMPUTED_VALUE"""),250.97)</f>
        <v>250.97</v>
      </c>
      <c r="BI192" s="26">
        <f>IFERROR(__xludf.DUMMYFUNCTION("""COMPUTED_VALUE"""),531.18)</f>
        <v>531.18</v>
      </c>
      <c r="BJ192" s="26">
        <f>IFERROR(__xludf.DUMMYFUNCTION("""COMPUTED_VALUE"""),48.98)</f>
        <v>48.98</v>
      </c>
      <c r="BK192" s="26">
        <f>IFERROR(__xludf.DUMMYFUNCTION("""COMPUTED_VALUE"""),10.8)</f>
        <v>10.8</v>
      </c>
      <c r="BL192" s="26">
        <f>IFERROR(__xludf.DUMMYFUNCTION("""COMPUTED_VALUE"""),227.6)</f>
        <v>227.6</v>
      </c>
      <c r="BM192" s="26">
        <f>IFERROR(__xludf.DUMMYFUNCTION("""COMPUTED_VALUE"""),109.59)</f>
        <v>109.59</v>
      </c>
    </row>
    <row r="193">
      <c r="A193" s="25">
        <v>45706.66666666667</v>
      </c>
      <c r="B193" s="17">
        <f>IFERROR(__xludf.DUMMYFUNCTION("""COMPUTED_VALUE"""),6114.63)</f>
        <v>6114.63</v>
      </c>
      <c r="C193" s="17">
        <f>IFERROR(__xludf.DUMMYFUNCTION("""COMPUTED_VALUE"""),20026.77)</f>
        <v>20026.77</v>
      </c>
      <c r="D193" s="17">
        <f>IFERROR(__xludf.DUMMYFUNCTION("""COMPUTED_VALUE"""),44546.08)</f>
        <v>44546.08</v>
      </c>
      <c r="E193" s="17">
        <f>IFERROR(__xludf.DUMMYFUNCTION("""COMPUTED_VALUE"""),2279.98)</f>
        <v>2279.98</v>
      </c>
      <c r="F193" s="26">
        <f>IFERROR(__xludf.DUMMYFUNCTION("""COMPUTED_VALUE"""),460.16)</f>
        <v>460.16</v>
      </c>
      <c r="G193" s="26">
        <f>IFERROR(__xludf.DUMMYFUNCTION("""COMPUTED_VALUE"""),228.68)</f>
        <v>228.68</v>
      </c>
      <c r="H193" s="26">
        <f>IFERROR(__xludf.DUMMYFUNCTION("""COMPUTED_VALUE"""),125.66)</f>
        <v>125.66</v>
      </c>
      <c r="I193" s="26">
        <f>IFERROR(__xludf.DUMMYFUNCTION("""COMPUTED_VALUE"""),244.6)</f>
        <v>244.6</v>
      </c>
      <c r="J193" s="26">
        <f>IFERROR(__xludf.DUMMYFUNCTION("""COMPUTED_VALUE"""),169.2)</f>
        <v>169.2</v>
      </c>
      <c r="K193" s="26">
        <f>IFERROR(__xludf.DUMMYFUNCTION("""COMPUTED_VALUE"""),87.84)</f>
        <v>87.84</v>
      </c>
      <c r="L193" s="26">
        <f>IFERROR(__xludf.DUMMYFUNCTION("""COMPUTED_VALUE"""),14.88)</f>
        <v>14.88</v>
      </c>
      <c r="M193" s="26">
        <f>IFERROR(__xludf.DUMMYFUNCTION("""COMPUTED_VALUE"""),479.59)</f>
        <v>479.59</v>
      </c>
      <c r="N193" s="26">
        <f>IFERROR(__xludf.DUMMYFUNCTION("""COMPUTED_VALUE"""),51.55)</f>
        <v>51.55</v>
      </c>
      <c r="O193" s="26">
        <f>IFERROR(__xludf.DUMMYFUNCTION("""COMPUTED_VALUE"""),137.33)</f>
        <v>137.33</v>
      </c>
      <c r="P193" s="26">
        <f>IFERROR(__xludf.DUMMYFUNCTION("""COMPUTED_VALUE"""),65.13)</f>
        <v>65.13</v>
      </c>
      <c r="Q193" s="26">
        <f>IFERROR(__xludf.DUMMYFUNCTION("""COMPUTED_VALUE"""),353.32)</f>
        <v>353.32</v>
      </c>
      <c r="R193" s="26">
        <f>IFERROR(__xludf.DUMMYFUNCTION("""COMPUTED_VALUE"""),47.19)</f>
        <v>47.19</v>
      </c>
      <c r="S193" s="26">
        <f>IFERROR(__xludf.DUMMYFUNCTION("""COMPUTED_VALUE"""),222.09)</f>
        <v>222.09</v>
      </c>
      <c r="T193" s="26">
        <f>IFERROR(__xludf.DUMMYFUNCTION("""COMPUTED_VALUE"""),155.34)</f>
        <v>155.34</v>
      </c>
      <c r="U193" s="26">
        <f>IFERROR(__xludf.DUMMYFUNCTION("""COMPUTED_VALUE"""),292.32)</f>
        <v>292.32</v>
      </c>
      <c r="V193" s="26">
        <f>IFERROR(__xludf.DUMMYFUNCTION("""COMPUTED_VALUE"""),46.35)</f>
        <v>46.35</v>
      </c>
      <c r="W193" s="26">
        <f>IFERROR(__xludf.DUMMYFUNCTION("""COMPUTED_VALUE"""),68.87)</f>
        <v>68.87</v>
      </c>
      <c r="X193" s="26">
        <f>IFERROR(__xludf.DUMMYFUNCTION("""COMPUTED_VALUE"""),94.92)</f>
        <v>94.92</v>
      </c>
      <c r="Y193" s="26">
        <f>IFERROR(__xludf.DUMMYFUNCTION("""COMPUTED_VALUE"""),164.28)</f>
        <v>164.28</v>
      </c>
      <c r="Z193" s="26">
        <f>IFERROR(__xludf.DUMMYFUNCTION("""COMPUTED_VALUE"""),71.56)</f>
        <v>71.56</v>
      </c>
      <c r="AA193" s="26">
        <f>IFERROR(__xludf.DUMMYFUNCTION("""COMPUTED_VALUE"""),476.66)</f>
        <v>476.66</v>
      </c>
      <c r="AB193" s="26">
        <f>IFERROR(__xludf.DUMMYFUNCTION("""COMPUTED_VALUE"""),69.9)</f>
        <v>69.9</v>
      </c>
      <c r="AC193" s="26">
        <f>IFERROR(__xludf.DUMMYFUNCTION("""COMPUTED_VALUE"""),108.24)</f>
        <v>108.24</v>
      </c>
      <c r="AD193" s="26">
        <f>IFERROR(__xludf.DUMMYFUNCTION("""COMPUTED_VALUE"""),267.77)</f>
        <v>267.77</v>
      </c>
      <c r="AE193" s="26">
        <f>IFERROR(__xludf.DUMMYFUNCTION("""COMPUTED_VALUE"""),503.84)</f>
        <v>503.84</v>
      </c>
      <c r="AF193" s="26">
        <f>IFERROR(__xludf.DUMMYFUNCTION("""COMPUTED_VALUE"""),241.94)</f>
        <v>241.94</v>
      </c>
      <c r="AG193" s="26">
        <f>IFERROR(__xludf.DUMMYFUNCTION("""COMPUTED_VALUE"""),48.37)</f>
        <v>48.37</v>
      </c>
      <c r="AH193" s="26">
        <f>IFERROR(__xludf.DUMMYFUNCTION("""COMPUTED_VALUE"""),104.08)</f>
        <v>104.08</v>
      </c>
      <c r="AI193" s="26">
        <f>IFERROR(__xludf.DUMMYFUNCTION("""COMPUTED_VALUE"""),660.55)</f>
        <v>660.55</v>
      </c>
      <c r="AJ193" s="26">
        <f>IFERROR(__xludf.DUMMYFUNCTION("""COMPUTED_VALUE"""),409.5)</f>
        <v>409.5</v>
      </c>
      <c r="AK193" s="26">
        <f>IFERROR(__xludf.DUMMYFUNCTION("""COMPUTED_VALUE"""),128.54)</f>
        <v>128.54</v>
      </c>
      <c r="AL193" s="26">
        <f>IFERROR(__xludf.DUMMYFUNCTION("""COMPUTED_VALUE"""),166.71)</f>
        <v>166.71</v>
      </c>
      <c r="AM193" s="26">
        <f>IFERROR(__xludf.DUMMYFUNCTION("""COMPUTED_VALUE"""),595.55)</f>
        <v>595.55</v>
      </c>
      <c r="AN193" s="26">
        <f>IFERROR(__xludf.DUMMYFUNCTION("""COMPUTED_VALUE"""),276.59)</f>
        <v>276.59</v>
      </c>
      <c r="AO193" s="26">
        <f>IFERROR(__xludf.DUMMYFUNCTION("""COMPUTED_VALUE"""),423.19)</f>
        <v>423.19</v>
      </c>
      <c r="AP193" s="26">
        <f>IFERROR(__xludf.DUMMYFUNCTION("""COMPUTED_VALUE"""),366.68)</f>
        <v>366.68</v>
      </c>
      <c r="AQ193" s="26">
        <f>IFERROR(__xludf.DUMMYFUNCTION("""COMPUTED_VALUE"""),29.69)</f>
        <v>29.69</v>
      </c>
      <c r="AR193" s="26">
        <f>IFERROR(__xludf.DUMMYFUNCTION("""COMPUTED_VALUE"""),92.81)</f>
        <v>92.81</v>
      </c>
      <c r="AS193" s="26">
        <f>IFERROR(__xludf.DUMMYFUNCTION("""COMPUTED_VALUE"""),81.7)</f>
        <v>81.7</v>
      </c>
      <c r="AT193" s="26">
        <f>IFERROR(__xludf.DUMMYFUNCTION("""COMPUTED_VALUE"""),408.43)</f>
        <v>408.43</v>
      </c>
      <c r="AU193" s="26">
        <f>IFERROR(__xludf.DUMMYFUNCTION("""COMPUTED_VALUE"""),68.06)</f>
        <v>68.06</v>
      </c>
      <c r="AV193" s="26">
        <f>IFERROR(__xludf.DUMMYFUNCTION("""COMPUTED_VALUE"""),138.85)</f>
        <v>138.85</v>
      </c>
      <c r="AW193" s="26">
        <f>IFERROR(__xludf.DUMMYFUNCTION("""COMPUTED_VALUE"""),96.74)</f>
        <v>96.74</v>
      </c>
      <c r="AX193" s="26">
        <f>IFERROR(__xludf.DUMMYFUNCTION("""COMPUTED_VALUE"""),52.03)</f>
        <v>52.03</v>
      </c>
      <c r="AY193" s="26">
        <f>IFERROR(__xludf.DUMMYFUNCTION("""COMPUTED_VALUE"""),119.16)</f>
        <v>119.16</v>
      </c>
      <c r="AZ193" s="26">
        <f>IFERROR(__xludf.DUMMYFUNCTION("""COMPUTED_VALUE"""),77.97)</f>
        <v>77.97</v>
      </c>
      <c r="BA193" s="26">
        <f>IFERROR(__xludf.DUMMYFUNCTION("""COMPUTED_VALUE"""),25.53)</f>
        <v>25.53</v>
      </c>
      <c r="BB193" s="26">
        <f>IFERROR(__xludf.DUMMYFUNCTION("""COMPUTED_VALUE"""),122.41)</f>
        <v>122.41</v>
      </c>
      <c r="BC193" s="26">
        <f>IFERROR(__xludf.DUMMYFUNCTION("""COMPUTED_VALUE"""),270.82)</f>
        <v>270.82</v>
      </c>
      <c r="BD193" s="26">
        <f>IFERROR(__xludf.DUMMYFUNCTION("""COMPUTED_VALUE"""),531.85)</f>
        <v>531.85</v>
      </c>
      <c r="BE193" s="26">
        <f>IFERROR(__xludf.DUMMYFUNCTION("""COMPUTED_VALUE"""),184.24)</f>
        <v>184.24</v>
      </c>
      <c r="BF193" s="26">
        <f>IFERROR(__xludf.DUMMYFUNCTION("""COMPUTED_VALUE"""),72.18)</f>
        <v>72.18</v>
      </c>
      <c r="BG193" s="26">
        <f>IFERROR(__xludf.DUMMYFUNCTION("""COMPUTED_VALUE"""),7.1)</f>
        <v>7.1</v>
      </c>
      <c r="BH193" s="26">
        <f>IFERROR(__xludf.DUMMYFUNCTION("""COMPUTED_VALUE"""),249.22)</f>
        <v>249.22</v>
      </c>
      <c r="BI193" s="26">
        <f>IFERROR(__xludf.DUMMYFUNCTION("""COMPUTED_VALUE"""),523.51)</f>
        <v>523.51</v>
      </c>
      <c r="BJ193" s="26">
        <f>IFERROR(__xludf.DUMMYFUNCTION("""COMPUTED_VALUE"""),49.03)</f>
        <v>49.03</v>
      </c>
      <c r="BK193" s="26">
        <f>IFERROR(__xludf.DUMMYFUNCTION("""COMPUTED_VALUE"""),10.8)</f>
        <v>10.8</v>
      </c>
      <c r="BL193" s="26">
        <f>IFERROR(__xludf.DUMMYFUNCTION("""COMPUTED_VALUE"""),227.73)</f>
        <v>227.73</v>
      </c>
      <c r="BM193" s="26">
        <f>IFERROR(__xludf.DUMMYFUNCTION("""COMPUTED_VALUE"""),110.38)</f>
        <v>110.38</v>
      </c>
    </row>
    <row r="194">
      <c r="A194" s="25">
        <v>45707.66666666667</v>
      </c>
      <c r="B194" s="17">
        <f>IFERROR(__xludf.DUMMYFUNCTION("""COMPUTED_VALUE"""),6129.58)</f>
        <v>6129.58</v>
      </c>
      <c r="C194" s="17">
        <f>IFERROR(__xludf.DUMMYFUNCTION("""COMPUTED_VALUE"""),20041.26)</f>
        <v>20041.26</v>
      </c>
      <c r="D194" s="17">
        <f>IFERROR(__xludf.DUMMYFUNCTION("""COMPUTED_VALUE"""),44556.34)</f>
        <v>44556.34</v>
      </c>
      <c r="E194" s="17">
        <f>IFERROR(__xludf.DUMMYFUNCTION("""COMPUTED_VALUE"""),2290.35)</f>
        <v>2290.35</v>
      </c>
      <c r="F194" s="26">
        <f>IFERROR(__xludf.DUMMYFUNCTION("""COMPUTED_VALUE"""),464.11)</f>
        <v>464.11</v>
      </c>
      <c r="G194" s="26">
        <f>IFERROR(__xludf.DUMMYFUNCTION("""COMPUTED_VALUE"""),226.65)</f>
        <v>226.65</v>
      </c>
      <c r="H194" s="26">
        <f>IFERROR(__xludf.DUMMYFUNCTION("""COMPUTED_VALUE"""),127.17)</f>
        <v>127.17</v>
      </c>
      <c r="I194" s="26">
        <f>IFERROR(__xludf.DUMMYFUNCTION("""COMPUTED_VALUE"""),244.47)</f>
        <v>244.47</v>
      </c>
      <c r="J194" s="26">
        <f>IFERROR(__xludf.DUMMYFUNCTION("""COMPUTED_VALUE"""),172.0)</f>
        <v>172</v>
      </c>
      <c r="K194" s="26">
        <f>IFERROR(__xludf.DUMMYFUNCTION("""COMPUTED_VALUE"""),88.9)</f>
        <v>88.9</v>
      </c>
      <c r="L194" s="26">
        <f>IFERROR(__xludf.DUMMYFUNCTION("""COMPUTED_VALUE"""),15.65)</f>
        <v>15.65</v>
      </c>
      <c r="M194" s="26">
        <f>IFERROR(__xludf.DUMMYFUNCTION("""COMPUTED_VALUE"""),482.82)</f>
        <v>482.82</v>
      </c>
      <c r="N194" s="26">
        <f>IFERROR(__xludf.DUMMYFUNCTION("""COMPUTED_VALUE"""),51.94)</f>
        <v>51.94</v>
      </c>
      <c r="O194" s="26">
        <f>IFERROR(__xludf.DUMMYFUNCTION("""COMPUTED_VALUE"""),136.57)</f>
        <v>136.57</v>
      </c>
      <c r="P194" s="26">
        <f>IFERROR(__xludf.DUMMYFUNCTION("""COMPUTED_VALUE"""),66.59)</f>
        <v>66.59</v>
      </c>
      <c r="Q194" s="26">
        <f>IFERROR(__xludf.DUMMYFUNCTION("""COMPUTED_VALUE"""),354.0)</f>
        <v>354</v>
      </c>
      <c r="R194" s="26">
        <f>IFERROR(__xludf.DUMMYFUNCTION("""COMPUTED_VALUE"""),47.92)</f>
        <v>47.92</v>
      </c>
      <c r="S194" s="26">
        <f>IFERROR(__xludf.DUMMYFUNCTION("""COMPUTED_VALUE"""),220.46)</f>
        <v>220.46</v>
      </c>
      <c r="T194" s="26">
        <f>IFERROR(__xludf.DUMMYFUNCTION("""COMPUTED_VALUE"""),156.16)</f>
        <v>156.16</v>
      </c>
      <c r="U194" s="26">
        <f>IFERROR(__xludf.DUMMYFUNCTION("""COMPUTED_VALUE"""),294.75)</f>
        <v>294.75</v>
      </c>
      <c r="V194" s="26">
        <f>IFERROR(__xludf.DUMMYFUNCTION("""COMPUTED_VALUE"""),46.8)</f>
        <v>46.8</v>
      </c>
      <c r="W194" s="26">
        <f>IFERROR(__xludf.DUMMYFUNCTION("""COMPUTED_VALUE"""),69.05)</f>
        <v>69.05</v>
      </c>
      <c r="X194" s="26">
        <f>IFERROR(__xludf.DUMMYFUNCTION("""COMPUTED_VALUE"""),95.76)</f>
        <v>95.76</v>
      </c>
      <c r="Y194" s="26">
        <f>IFERROR(__xludf.DUMMYFUNCTION("""COMPUTED_VALUE"""),165.65)</f>
        <v>165.65</v>
      </c>
      <c r="Z194" s="26">
        <f>IFERROR(__xludf.DUMMYFUNCTION("""COMPUTED_VALUE"""),74.52)</f>
        <v>74.52</v>
      </c>
      <c r="AA194" s="26">
        <f>IFERROR(__xludf.DUMMYFUNCTION("""COMPUTED_VALUE"""),477.53)</f>
        <v>477.53</v>
      </c>
      <c r="AB194" s="26">
        <f>IFERROR(__xludf.DUMMYFUNCTION("""COMPUTED_VALUE"""),69.79)</f>
        <v>69.79</v>
      </c>
      <c r="AC194" s="26">
        <f>IFERROR(__xludf.DUMMYFUNCTION("""COMPUTED_VALUE"""),110.14)</f>
        <v>110.14</v>
      </c>
      <c r="AD194" s="26">
        <f>IFERROR(__xludf.DUMMYFUNCTION("""COMPUTED_VALUE"""),267.45)</f>
        <v>267.45</v>
      </c>
      <c r="AE194" s="26">
        <f>IFERROR(__xludf.DUMMYFUNCTION("""COMPUTED_VALUE"""),504.69)</f>
        <v>504.69</v>
      </c>
      <c r="AF194" s="26">
        <f>IFERROR(__xludf.DUMMYFUNCTION("""COMPUTED_VALUE"""),242.6)</f>
        <v>242.6</v>
      </c>
      <c r="AG194" s="26">
        <f>IFERROR(__xludf.DUMMYFUNCTION("""COMPUTED_VALUE"""),48.13)</f>
        <v>48.13</v>
      </c>
      <c r="AH194" s="26">
        <f>IFERROR(__xludf.DUMMYFUNCTION("""COMPUTED_VALUE"""),105.25)</f>
        <v>105.25</v>
      </c>
      <c r="AI194" s="26">
        <f>IFERROR(__xludf.DUMMYFUNCTION("""COMPUTED_VALUE"""),672.19)</f>
        <v>672.19</v>
      </c>
      <c r="AJ194" s="26">
        <f>IFERROR(__xludf.DUMMYFUNCTION("""COMPUTED_VALUE"""),403.31)</f>
        <v>403.31</v>
      </c>
      <c r="AK194" s="26">
        <f>IFERROR(__xludf.DUMMYFUNCTION("""COMPUTED_VALUE"""),129.78)</f>
        <v>129.78</v>
      </c>
      <c r="AL194" s="26">
        <f>IFERROR(__xludf.DUMMYFUNCTION("""COMPUTED_VALUE"""),166.5)</f>
        <v>166.5</v>
      </c>
      <c r="AM194" s="26">
        <f>IFERROR(__xludf.DUMMYFUNCTION("""COMPUTED_VALUE"""),600.89)</f>
        <v>600.89</v>
      </c>
      <c r="AN194" s="26">
        <f>IFERROR(__xludf.DUMMYFUNCTION("""COMPUTED_VALUE"""),279.95)</f>
        <v>279.95</v>
      </c>
      <c r="AO194" s="26">
        <f>IFERROR(__xludf.DUMMYFUNCTION("""COMPUTED_VALUE"""),428.54)</f>
        <v>428.54</v>
      </c>
      <c r="AP194" s="26">
        <f>IFERROR(__xludf.DUMMYFUNCTION("""COMPUTED_VALUE"""),372.44)</f>
        <v>372.44</v>
      </c>
      <c r="AQ194" s="26">
        <f>IFERROR(__xludf.DUMMYFUNCTION("""COMPUTED_VALUE"""),30.01)</f>
        <v>30.01</v>
      </c>
      <c r="AR194" s="26">
        <f>IFERROR(__xludf.DUMMYFUNCTION("""COMPUTED_VALUE"""),86.07)</f>
        <v>86.07</v>
      </c>
      <c r="AS194" s="26">
        <f>IFERROR(__xludf.DUMMYFUNCTION("""COMPUTED_VALUE"""),82.43)</f>
        <v>82.43</v>
      </c>
      <c r="AT194" s="26">
        <f>IFERROR(__xludf.DUMMYFUNCTION("""COMPUTED_VALUE"""),409.64)</f>
        <v>409.64</v>
      </c>
      <c r="AU194" s="26">
        <f>IFERROR(__xludf.DUMMYFUNCTION("""COMPUTED_VALUE"""),68.5)</f>
        <v>68.5</v>
      </c>
      <c r="AV194" s="26">
        <f>IFERROR(__xludf.DUMMYFUNCTION("""COMPUTED_VALUE"""),139.4)</f>
        <v>139.4</v>
      </c>
      <c r="AW194" s="26">
        <f>IFERROR(__xludf.DUMMYFUNCTION("""COMPUTED_VALUE"""),97.61)</f>
        <v>97.61</v>
      </c>
      <c r="AX194" s="26">
        <f>IFERROR(__xludf.DUMMYFUNCTION("""COMPUTED_VALUE"""),53.36)</f>
        <v>53.36</v>
      </c>
      <c r="AY194" s="26">
        <f>IFERROR(__xludf.DUMMYFUNCTION("""COMPUTED_VALUE"""),124.62)</f>
        <v>124.62</v>
      </c>
      <c r="AZ194" s="26">
        <f>IFERROR(__xludf.DUMMYFUNCTION("""COMPUTED_VALUE"""),78.62)</f>
        <v>78.62</v>
      </c>
      <c r="BA194" s="26">
        <f>IFERROR(__xludf.DUMMYFUNCTION("""COMPUTED_VALUE"""),25.56)</f>
        <v>25.56</v>
      </c>
      <c r="BB194" s="26">
        <f>IFERROR(__xludf.DUMMYFUNCTION("""COMPUTED_VALUE"""),123.76)</f>
        <v>123.76</v>
      </c>
      <c r="BC194" s="26">
        <f>IFERROR(__xludf.DUMMYFUNCTION("""COMPUTED_VALUE"""),263.21)</f>
        <v>263.21</v>
      </c>
      <c r="BD194" s="26">
        <f>IFERROR(__xludf.DUMMYFUNCTION("""COMPUTED_VALUE"""),523.09)</f>
        <v>523.09</v>
      </c>
      <c r="BE194" s="26">
        <f>IFERROR(__xludf.DUMMYFUNCTION("""COMPUTED_VALUE"""),184.07)</f>
        <v>184.07</v>
      </c>
      <c r="BF194" s="26">
        <f>IFERROR(__xludf.DUMMYFUNCTION("""COMPUTED_VALUE"""),75.02)</f>
        <v>75.02</v>
      </c>
      <c r="BG194" s="26">
        <f>IFERROR(__xludf.DUMMYFUNCTION("""COMPUTED_VALUE"""),7.22)</f>
        <v>7.22</v>
      </c>
      <c r="BH194" s="26">
        <f>IFERROR(__xludf.DUMMYFUNCTION("""COMPUTED_VALUE"""),251.17)</f>
        <v>251.17</v>
      </c>
      <c r="BI194" s="26">
        <f>IFERROR(__xludf.DUMMYFUNCTION("""COMPUTED_VALUE"""),500.73)</f>
        <v>500.73</v>
      </c>
      <c r="BJ194" s="26">
        <f>IFERROR(__xludf.DUMMYFUNCTION("""COMPUTED_VALUE"""),49.0)</f>
        <v>49</v>
      </c>
      <c r="BK194" s="26">
        <f>IFERROR(__xludf.DUMMYFUNCTION("""COMPUTED_VALUE"""),10.86)</f>
        <v>10.86</v>
      </c>
      <c r="BL194" s="26">
        <f>IFERROR(__xludf.DUMMYFUNCTION("""COMPUTED_VALUE"""),228.35)</f>
        <v>228.35</v>
      </c>
      <c r="BM194" s="26">
        <f>IFERROR(__xludf.DUMMYFUNCTION("""COMPUTED_VALUE"""),109.56)</f>
        <v>109.56</v>
      </c>
    </row>
    <row r="195">
      <c r="A195" s="25">
        <v>45708.66666666667</v>
      </c>
      <c r="B195" s="17">
        <f>IFERROR(__xludf.DUMMYFUNCTION("""COMPUTED_VALUE"""),6144.15)</f>
        <v>6144.15</v>
      </c>
      <c r="C195" s="17">
        <f>IFERROR(__xludf.DUMMYFUNCTION("""COMPUTED_VALUE"""),20056.25)</f>
        <v>20056.25</v>
      </c>
      <c r="D195" s="17">
        <f>IFERROR(__xludf.DUMMYFUNCTION("""COMPUTED_VALUE"""),44627.59)</f>
        <v>44627.59</v>
      </c>
      <c r="E195" s="17">
        <f>IFERROR(__xludf.DUMMYFUNCTION("""COMPUTED_VALUE"""),2282.46)</f>
        <v>2282.46</v>
      </c>
      <c r="F195" s="26">
        <f>IFERROR(__xludf.DUMMYFUNCTION("""COMPUTED_VALUE"""),456.99)</f>
        <v>456.99</v>
      </c>
      <c r="G195" s="26">
        <f>IFERROR(__xludf.DUMMYFUNCTION("""COMPUTED_VALUE"""),226.63)</f>
        <v>226.63</v>
      </c>
      <c r="H195" s="26">
        <f>IFERROR(__xludf.DUMMYFUNCTION("""COMPUTED_VALUE"""),127.86)</f>
        <v>127.86</v>
      </c>
      <c r="I195" s="26">
        <f>IFERROR(__xludf.DUMMYFUNCTION("""COMPUTED_VALUE"""),244.87)</f>
        <v>244.87</v>
      </c>
      <c r="J195" s="26">
        <f>IFERROR(__xludf.DUMMYFUNCTION("""COMPUTED_VALUE"""),174.06)</f>
        <v>174.06</v>
      </c>
      <c r="K195" s="26">
        <f>IFERROR(__xludf.DUMMYFUNCTION("""COMPUTED_VALUE"""),88.31)</f>
        <v>88.31</v>
      </c>
      <c r="L195" s="26">
        <f>IFERROR(__xludf.DUMMYFUNCTION("""COMPUTED_VALUE"""),15.37)</f>
        <v>15.37</v>
      </c>
      <c r="M195" s="26">
        <f>IFERROR(__xludf.DUMMYFUNCTION("""COMPUTED_VALUE"""),483.77)</f>
        <v>483.77</v>
      </c>
      <c r="N195" s="26">
        <f>IFERROR(__xludf.DUMMYFUNCTION("""COMPUTED_VALUE"""),51.08)</f>
        <v>51.08</v>
      </c>
      <c r="O195" s="26">
        <f>IFERROR(__xludf.DUMMYFUNCTION("""COMPUTED_VALUE"""),136.68)</f>
        <v>136.68</v>
      </c>
      <c r="P195" s="26">
        <f>IFERROR(__xludf.DUMMYFUNCTION("""COMPUTED_VALUE"""),65.98)</f>
        <v>65.98</v>
      </c>
      <c r="Q195" s="26">
        <f>IFERROR(__xludf.DUMMYFUNCTION("""COMPUTED_VALUE"""),353.0)</f>
        <v>353</v>
      </c>
      <c r="R195" s="26">
        <f>IFERROR(__xludf.DUMMYFUNCTION("""COMPUTED_VALUE"""),46.55)</f>
        <v>46.55</v>
      </c>
      <c r="S195" s="26">
        <f>IFERROR(__xludf.DUMMYFUNCTION("""COMPUTED_VALUE"""),223.08)</f>
        <v>223.08</v>
      </c>
      <c r="T195" s="26">
        <f>IFERROR(__xludf.DUMMYFUNCTION("""COMPUTED_VALUE"""),157.23)</f>
        <v>157.23</v>
      </c>
      <c r="U195" s="26">
        <f>IFERROR(__xludf.DUMMYFUNCTION("""COMPUTED_VALUE"""),297.23)</f>
        <v>297.23</v>
      </c>
      <c r="V195" s="26">
        <f>IFERROR(__xludf.DUMMYFUNCTION("""COMPUTED_VALUE"""),47.39)</f>
        <v>47.39</v>
      </c>
      <c r="W195" s="26">
        <f>IFERROR(__xludf.DUMMYFUNCTION("""COMPUTED_VALUE"""),70.07)</f>
        <v>70.07</v>
      </c>
      <c r="X195" s="26">
        <f>IFERROR(__xludf.DUMMYFUNCTION("""COMPUTED_VALUE"""),95.26)</f>
        <v>95.26</v>
      </c>
      <c r="Y195" s="26">
        <f>IFERROR(__xludf.DUMMYFUNCTION("""COMPUTED_VALUE"""),169.61)</f>
        <v>169.61</v>
      </c>
      <c r="Z195" s="26">
        <f>IFERROR(__xludf.DUMMYFUNCTION("""COMPUTED_VALUE"""),75.62)</f>
        <v>75.62</v>
      </c>
      <c r="AA195" s="26">
        <f>IFERROR(__xludf.DUMMYFUNCTION("""COMPUTED_VALUE"""),475.35)</f>
        <v>475.35</v>
      </c>
      <c r="AB195" s="26">
        <f>IFERROR(__xludf.DUMMYFUNCTION("""COMPUTED_VALUE"""),69.32)</f>
        <v>69.32</v>
      </c>
      <c r="AC195" s="26">
        <f>IFERROR(__xludf.DUMMYFUNCTION("""COMPUTED_VALUE"""),110.3)</f>
        <v>110.3</v>
      </c>
      <c r="AD195" s="26">
        <f>IFERROR(__xludf.DUMMYFUNCTION("""COMPUTED_VALUE"""),266.87)</f>
        <v>266.87</v>
      </c>
      <c r="AE195" s="26">
        <f>IFERROR(__xludf.DUMMYFUNCTION("""COMPUTED_VALUE"""),500.84)</f>
        <v>500.84</v>
      </c>
      <c r="AF195" s="26">
        <f>IFERROR(__xludf.DUMMYFUNCTION("""COMPUTED_VALUE"""),244.18)</f>
        <v>244.18</v>
      </c>
      <c r="AG195" s="26">
        <f>IFERROR(__xludf.DUMMYFUNCTION("""COMPUTED_VALUE"""),47.8)</f>
        <v>47.8</v>
      </c>
      <c r="AH195" s="26">
        <f>IFERROR(__xludf.DUMMYFUNCTION("""COMPUTED_VALUE"""),107.65)</f>
        <v>107.65</v>
      </c>
      <c r="AI195" s="26">
        <f>IFERROR(__xludf.DUMMYFUNCTION("""COMPUTED_VALUE"""),668.15)</f>
        <v>668.15</v>
      </c>
      <c r="AJ195" s="26">
        <f>IFERROR(__xludf.DUMMYFUNCTION("""COMPUTED_VALUE"""),395.43)</f>
        <v>395.43</v>
      </c>
      <c r="AK195" s="26">
        <f>IFERROR(__xludf.DUMMYFUNCTION("""COMPUTED_VALUE"""),131.22)</f>
        <v>131.22</v>
      </c>
      <c r="AL195" s="26">
        <f>IFERROR(__xludf.DUMMYFUNCTION("""COMPUTED_VALUE"""),166.96)</f>
        <v>166.96</v>
      </c>
      <c r="AM195" s="26">
        <f>IFERROR(__xludf.DUMMYFUNCTION("""COMPUTED_VALUE"""),608.48)</f>
        <v>608.48</v>
      </c>
      <c r="AN195" s="26">
        <f>IFERROR(__xludf.DUMMYFUNCTION("""COMPUTED_VALUE"""),279.25)</f>
        <v>279.25</v>
      </c>
      <c r="AO195" s="26">
        <f>IFERROR(__xludf.DUMMYFUNCTION("""COMPUTED_VALUE"""),432.95)</f>
        <v>432.95</v>
      </c>
      <c r="AP195" s="26">
        <f>IFERROR(__xludf.DUMMYFUNCTION("""COMPUTED_VALUE"""),367.22)</f>
        <v>367.22</v>
      </c>
      <c r="AQ195" s="26">
        <f>IFERROR(__xludf.DUMMYFUNCTION("""COMPUTED_VALUE"""),29.78)</f>
        <v>29.78</v>
      </c>
      <c r="AR195" s="26">
        <f>IFERROR(__xludf.DUMMYFUNCTION("""COMPUTED_VALUE"""),87.0)</f>
        <v>87</v>
      </c>
      <c r="AS195" s="26">
        <f>IFERROR(__xludf.DUMMYFUNCTION("""COMPUTED_VALUE"""),83.07)</f>
        <v>83.07</v>
      </c>
      <c r="AT195" s="26">
        <f>IFERROR(__xludf.DUMMYFUNCTION("""COMPUTED_VALUE"""),414.77)</f>
        <v>414.77</v>
      </c>
      <c r="AU195" s="26">
        <f>IFERROR(__xludf.DUMMYFUNCTION("""COMPUTED_VALUE"""),69.06)</f>
        <v>69.06</v>
      </c>
      <c r="AV195" s="26">
        <f>IFERROR(__xludf.DUMMYFUNCTION("""COMPUTED_VALUE"""),139.23)</f>
        <v>139.23</v>
      </c>
      <c r="AW195" s="26">
        <f>IFERROR(__xludf.DUMMYFUNCTION("""COMPUTED_VALUE"""),98.3)</f>
        <v>98.3</v>
      </c>
      <c r="AX195" s="26">
        <f>IFERROR(__xludf.DUMMYFUNCTION("""COMPUTED_VALUE"""),52.07)</f>
        <v>52.07</v>
      </c>
      <c r="AY195" s="26">
        <f>IFERROR(__xludf.DUMMYFUNCTION("""COMPUTED_VALUE"""),112.06)</f>
        <v>112.06</v>
      </c>
      <c r="AZ195" s="26">
        <f>IFERROR(__xludf.DUMMYFUNCTION("""COMPUTED_VALUE"""),78.36)</f>
        <v>78.36</v>
      </c>
      <c r="BA195" s="26">
        <f>IFERROR(__xludf.DUMMYFUNCTION("""COMPUTED_VALUE"""),25.89)</f>
        <v>25.89</v>
      </c>
      <c r="BB195" s="26">
        <f>IFERROR(__xludf.DUMMYFUNCTION("""COMPUTED_VALUE"""),125.41)</f>
        <v>125.41</v>
      </c>
      <c r="BC195" s="26">
        <f>IFERROR(__xludf.DUMMYFUNCTION("""COMPUTED_VALUE"""),263.35)</f>
        <v>263.35</v>
      </c>
      <c r="BD195" s="26">
        <f>IFERROR(__xludf.DUMMYFUNCTION("""COMPUTED_VALUE"""),530.86)</f>
        <v>530.86</v>
      </c>
      <c r="BE195" s="26">
        <f>IFERROR(__xludf.DUMMYFUNCTION("""COMPUTED_VALUE"""),180.1)</f>
        <v>180.1</v>
      </c>
      <c r="BF195" s="26">
        <f>IFERROR(__xludf.DUMMYFUNCTION("""COMPUTED_VALUE"""),79.42)</f>
        <v>79.42</v>
      </c>
      <c r="BG195" s="26">
        <f>IFERROR(__xludf.DUMMYFUNCTION("""COMPUTED_VALUE"""),7.24)</f>
        <v>7.24</v>
      </c>
      <c r="BH195" s="26">
        <f>IFERROR(__xludf.DUMMYFUNCTION("""COMPUTED_VALUE"""),247.06)</f>
        <v>247.06</v>
      </c>
      <c r="BI195" s="26">
        <f>IFERROR(__xludf.DUMMYFUNCTION("""COMPUTED_VALUE"""),511.04)</f>
        <v>511.04</v>
      </c>
      <c r="BJ195" s="26">
        <f>IFERROR(__xludf.DUMMYFUNCTION("""COMPUTED_VALUE"""),49.07)</f>
        <v>49.07</v>
      </c>
      <c r="BK195" s="26">
        <f>IFERROR(__xludf.DUMMYFUNCTION("""COMPUTED_VALUE"""),10.93)</f>
        <v>10.93</v>
      </c>
      <c r="BL195" s="26">
        <f>IFERROR(__xludf.DUMMYFUNCTION("""COMPUTED_VALUE"""),228.52)</f>
        <v>228.52</v>
      </c>
      <c r="BM195" s="26">
        <f>IFERROR(__xludf.DUMMYFUNCTION("""COMPUTED_VALUE"""),111.35)</f>
        <v>111.35</v>
      </c>
    </row>
    <row r="196">
      <c r="A196" s="25">
        <v>45709.66666666667</v>
      </c>
      <c r="B196" s="17">
        <f>IFERROR(__xludf.DUMMYFUNCTION("""COMPUTED_VALUE"""),6117.52)</f>
        <v>6117.52</v>
      </c>
      <c r="C196" s="17">
        <f>IFERROR(__xludf.DUMMYFUNCTION("""COMPUTED_VALUE"""),19962.36)</f>
        <v>19962.36</v>
      </c>
      <c r="D196" s="17">
        <f>IFERROR(__xludf.DUMMYFUNCTION("""COMPUTED_VALUE"""),44176.65)</f>
        <v>44176.65</v>
      </c>
      <c r="E196" s="17">
        <f>IFERROR(__xludf.DUMMYFUNCTION("""COMPUTED_VALUE"""),2261.74)</f>
        <v>2261.74</v>
      </c>
      <c r="F196" s="26">
        <f>IFERROR(__xludf.DUMMYFUNCTION("""COMPUTED_VALUE"""),454.69)</f>
        <v>454.69</v>
      </c>
      <c r="G196" s="26">
        <f>IFERROR(__xludf.DUMMYFUNCTION("""COMPUTED_VALUE"""),222.88)</f>
        <v>222.88</v>
      </c>
      <c r="H196" s="26">
        <f>IFERROR(__xludf.DUMMYFUNCTION("""COMPUTED_VALUE"""),128.67)</f>
        <v>128.67</v>
      </c>
      <c r="I196" s="26">
        <f>IFERROR(__xludf.DUMMYFUNCTION("""COMPUTED_VALUE"""),245.83)</f>
        <v>245.83</v>
      </c>
      <c r="J196" s="26">
        <f>IFERROR(__xludf.DUMMYFUNCTION("""COMPUTED_VALUE"""),176.01)</f>
        <v>176.01</v>
      </c>
      <c r="K196" s="26">
        <f>IFERROR(__xludf.DUMMYFUNCTION("""COMPUTED_VALUE"""),87.16)</f>
        <v>87.16</v>
      </c>
      <c r="L196" s="26">
        <f>IFERROR(__xludf.DUMMYFUNCTION("""COMPUTED_VALUE"""),15.17)</f>
        <v>15.17</v>
      </c>
      <c r="M196" s="26">
        <f>IFERROR(__xludf.DUMMYFUNCTION("""COMPUTED_VALUE"""),481.8)</f>
        <v>481.8</v>
      </c>
      <c r="N196" s="26">
        <f>IFERROR(__xludf.DUMMYFUNCTION("""COMPUTED_VALUE"""),52.11)</f>
        <v>52.11</v>
      </c>
      <c r="O196" s="26">
        <f>IFERROR(__xludf.DUMMYFUNCTION("""COMPUTED_VALUE"""),137.08)</f>
        <v>137.08</v>
      </c>
      <c r="P196" s="26">
        <f>IFERROR(__xludf.DUMMYFUNCTION("""COMPUTED_VALUE"""),67.11)</f>
        <v>67.11</v>
      </c>
      <c r="Q196" s="26">
        <f>IFERROR(__xludf.DUMMYFUNCTION("""COMPUTED_VALUE"""),349.15)</f>
        <v>349.15</v>
      </c>
      <c r="R196" s="26">
        <f>IFERROR(__xludf.DUMMYFUNCTION("""COMPUTED_VALUE"""),46.54)</f>
        <v>46.54</v>
      </c>
      <c r="S196" s="26">
        <f>IFERROR(__xludf.DUMMYFUNCTION("""COMPUTED_VALUE"""),219.05)</f>
        <v>219.05</v>
      </c>
      <c r="T196" s="26">
        <f>IFERROR(__xludf.DUMMYFUNCTION("""COMPUTED_VALUE"""),158.79)</f>
        <v>158.79</v>
      </c>
      <c r="U196" s="26">
        <f>IFERROR(__xludf.DUMMYFUNCTION("""COMPUTED_VALUE"""),299.68)</f>
        <v>299.68</v>
      </c>
      <c r="V196" s="26">
        <f>IFERROR(__xludf.DUMMYFUNCTION("""COMPUTED_VALUE"""),46.18)</f>
        <v>46.18</v>
      </c>
      <c r="W196" s="26">
        <f>IFERROR(__xludf.DUMMYFUNCTION("""COMPUTED_VALUE"""),70.04)</f>
        <v>70.04</v>
      </c>
      <c r="X196" s="26">
        <f>IFERROR(__xludf.DUMMYFUNCTION("""COMPUTED_VALUE"""),95.76)</f>
        <v>95.76</v>
      </c>
      <c r="Y196" s="26">
        <f>IFERROR(__xludf.DUMMYFUNCTION("""COMPUTED_VALUE"""),172.0)</f>
        <v>172</v>
      </c>
      <c r="Z196" s="26">
        <f>IFERROR(__xludf.DUMMYFUNCTION("""COMPUTED_VALUE"""),76.29)</f>
        <v>76.29</v>
      </c>
      <c r="AA196" s="26">
        <f>IFERROR(__xludf.DUMMYFUNCTION("""COMPUTED_VALUE"""),471.76)</f>
        <v>471.76</v>
      </c>
      <c r="AB196" s="26">
        <f>IFERROR(__xludf.DUMMYFUNCTION("""COMPUTED_VALUE"""),69.46)</f>
        <v>69.46</v>
      </c>
      <c r="AC196" s="26">
        <f>IFERROR(__xludf.DUMMYFUNCTION("""COMPUTED_VALUE"""),112.0)</f>
        <v>112</v>
      </c>
      <c r="AD196" s="26">
        <f>IFERROR(__xludf.DUMMYFUNCTION("""COMPUTED_VALUE"""),268.46)</f>
        <v>268.46</v>
      </c>
      <c r="AE196" s="26">
        <f>IFERROR(__xludf.DUMMYFUNCTION("""COMPUTED_VALUE"""),508.15)</f>
        <v>508.15</v>
      </c>
      <c r="AF196" s="26">
        <f>IFERROR(__xludf.DUMMYFUNCTION("""COMPUTED_VALUE"""),246.2)</f>
        <v>246.2</v>
      </c>
      <c r="AG196" s="26">
        <f>IFERROR(__xludf.DUMMYFUNCTION("""COMPUTED_VALUE"""),47.89)</f>
        <v>47.89</v>
      </c>
      <c r="AH196" s="26">
        <f>IFERROR(__xludf.DUMMYFUNCTION("""COMPUTED_VALUE"""),110.03)</f>
        <v>110.03</v>
      </c>
      <c r="AI196" s="26">
        <f>IFERROR(__xludf.DUMMYFUNCTION("""COMPUTED_VALUE"""),642.26)</f>
        <v>642.26</v>
      </c>
      <c r="AJ196" s="26">
        <f>IFERROR(__xludf.DUMMYFUNCTION("""COMPUTED_VALUE"""),394.64)</f>
        <v>394.64</v>
      </c>
      <c r="AK196" s="26">
        <f>IFERROR(__xludf.DUMMYFUNCTION("""COMPUTED_VALUE"""),128.88)</f>
        <v>128.88</v>
      </c>
      <c r="AL196" s="26">
        <f>IFERROR(__xludf.DUMMYFUNCTION("""COMPUTED_VALUE"""),166.79)</f>
        <v>166.79</v>
      </c>
      <c r="AM196" s="26">
        <f>IFERROR(__xludf.DUMMYFUNCTION("""COMPUTED_VALUE"""),606.57)</f>
        <v>606.57</v>
      </c>
      <c r="AN196" s="26">
        <f>IFERROR(__xludf.DUMMYFUNCTION("""COMPUTED_VALUE"""),266.8)</f>
        <v>266.8</v>
      </c>
      <c r="AO196" s="26">
        <f>IFERROR(__xludf.DUMMYFUNCTION("""COMPUTED_VALUE"""),436.29)</f>
        <v>436.29</v>
      </c>
      <c r="AP196" s="26">
        <f>IFERROR(__xludf.DUMMYFUNCTION("""COMPUTED_VALUE"""),365.82)</f>
        <v>365.82</v>
      </c>
      <c r="AQ196" s="26">
        <f>IFERROR(__xludf.DUMMYFUNCTION("""COMPUTED_VALUE"""),31.82)</f>
        <v>31.82</v>
      </c>
      <c r="AR196" s="26">
        <f>IFERROR(__xludf.DUMMYFUNCTION("""COMPUTED_VALUE"""),87.94)</f>
        <v>87.94</v>
      </c>
      <c r="AS196" s="26">
        <f>IFERROR(__xludf.DUMMYFUNCTION("""COMPUTED_VALUE"""),82.74)</f>
        <v>82.74</v>
      </c>
      <c r="AT196" s="26">
        <f>IFERROR(__xludf.DUMMYFUNCTION("""COMPUTED_VALUE"""),416.13)</f>
        <v>416.13</v>
      </c>
      <c r="AU196" s="26">
        <f>IFERROR(__xludf.DUMMYFUNCTION("""COMPUTED_VALUE"""),70.14)</f>
        <v>70.14</v>
      </c>
      <c r="AV196" s="26">
        <f>IFERROR(__xludf.DUMMYFUNCTION("""COMPUTED_VALUE"""),140.11)</f>
        <v>140.11</v>
      </c>
      <c r="AW196" s="26">
        <f>IFERROR(__xludf.DUMMYFUNCTION("""COMPUTED_VALUE"""),99.03)</f>
        <v>99.03</v>
      </c>
      <c r="AX196" s="26">
        <f>IFERROR(__xludf.DUMMYFUNCTION("""COMPUTED_VALUE"""),51.21)</f>
        <v>51.21</v>
      </c>
      <c r="AY196" s="26">
        <f>IFERROR(__xludf.DUMMYFUNCTION("""COMPUTED_VALUE"""),106.27)</f>
        <v>106.27</v>
      </c>
      <c r="AZ196" s="26">
        <f>IFERROR(__xludf.DUMMYFUNCTION("""COMPUTED_VALUE"""),77.63)</f>
        <v>77.63</v>
      </c>
      <c r="BA196" s="26">
        <f>IFERROR(__xludf.DUMMYFUNCTION("""COMPUTED_VALUE"""),25.9)</f>
        <v>25.9</v>
      </c>
      <c r="BB196" s="26">
        <f>IFERROR(__xludf.DUMMYFUNCTION("""COMPUTED_VALUE"""),125.11)</f>
        <v>125.11</v>
      </c>
      <c r="BC196" s="26">
        <f>IFERROR(__xludf.DUMMYFUNCTION("""COMPUTED_VALUE"""),265.4)</f>
        <v>265.4</v>
      </c>
      <c r="BD196" s="26">
        <f>IFERROR(__xludf.DUMMYFUNCTION("""COMPUTED_VALUE"""),537.83)</f>
        <v>537.83</v>
      </c>
      <c r="BE196" s="26">
        <f>IFERROR(__xludf.DUMMYFUNCTION("""COMPUTED_VALUE"""),180.68)</f>
        <v>180.68</v>
      </c>
      <c r="BF196" s="26">
        <f>IFERROR(__xludf.DUMMYFUNCTION("""COMPUTED_VALUE"""),75.45)</f>
        <v>75.45</v>
      </c>
      <c r="BG196" s="26">
        <f>IFERROR(__xludf.DUMMYFUNCTION("""COMPUTED_VALUE"""),7.16)</f>
        <v>7.16</v>
      </c>
      <c r="BH196" s="26">
        <f>IFERROR(__xludf.DUMMYFUNCTION("""COMPUTED_VALUE"""),247.65)</f>
        <v>247.65</v>
      </c>
      <c r="BI196" s="26">
        <f>IFERROR(__xludf.DUMMYFUNCTION("""COMPUTED_VALUE"""),502.42)</f>
        <v>502.42</v>
      </c>
      <c r="BJ196" s="26">
        <f>IFERROR(__xludf.DUMMYFUNCTION("""COMPUTED_VALUE"""),49.1)</f>
        <v>49.1</v>
      </c>
      <c r="BK196" s="26">
        <f>IFERROR(__xludf.DUMMYFUNCTION("""COMPUTED_VALUE"""),11.06)</f>
        <v>11.06</v>
      </c>
      <c r="BL196" s="26">
        <f>IFERROR(__xludf.DUMMYFUNCTION("""COMPUTED_VALUE"""),229.12)</f>
        <v>229.12</v>
      </c>
      <c r="BM196" s="26">
        <f>IFERROR(__xludf.DUMMYFUNCTION("""COMPUTED_VALUE"""),110.55)</f>
        <v>110.55</v>
      </c>
    </row>
    <row r="197">
      <c r="A197" s="25">
        <v>45712.66666666667</v>
      </c>
      <c r="B197" s="17">
        <f>IFERROR(__xludf.DUMMYFUNCTION("""COMPUTED_VALUE"""),6013.13)</f>
        <v>6013.13</v>
      </c>
      <c r="C197" s="17">
        <f>IFERROR(__xludf.DUMMYFUNCTION("""COMPUTED_VALUE"""),19524.01)</f>
        <v>19524.01</v>
      </c>
      <c r="D197" s="17">
        <f>IFERROR(__xludf.DUMMYFUNCTION("""COMPUTED_VALUE"""),43428.02)</f>
        <v>43428.02</v>
      </c>
      <c r="E197" s="17">
        <f>IFERROR(__xludf.DUMMYFUNCTION("""COMPUTED_VALUE"""),2195.35)</f>
        <v>2195.35</v>
      </c>
      <c r="F197" s="26">
        <f>IFERROR(__xludf.DUMMYFUNCTION("""COMPUTED_VALUE"""),444.32)</f>
        <v>444.32</v>
      </c>
      <c r="G197" s="26">
        <f>IFERROR(__xludf.DUMMYFUNCTION("""COMPUTED_VALUE"""),216.58)</f>
        <v>216.58</v>
      </c>
      <c r="H197" s="26">
        <f>IFERROR(__xludf.DUMMYFUNCTION("""COMPUTED_VALUE"""),132.68)</f>
        <v>132.68</v>
      </c>
      <c r="I197" s="26">
        <f>IFERROR(__xludf.DUMMYFUNCTION("""COMPUTED_VALUE"""),245.55)</f>
        <v>245.55</v>
      </c>
      <c r="J197" s="26">
        <f>IFERROR(__xludf.DUMMYFUNCTION("""COMPUTED_VALUE"""),171.98)</f>
        <v>171.98</v>
      </c>
      <c r="K197" s="26">
        <f>IFERROR(__xludf.DUMMYFUNCTION("""COMPUTED_VALUE"""),87.25)</f>
        <v>87.25</v>
      </c>
      <c r="L197" s="26">
        <f>IFERROR(__xludf.DUMMYFUNCTION("""COMPUTED_VALUE"""),15.18)</f>
        <v>15.18</v>
      </c>
      <c r="M197" s="26">
        <f>IFERROR(__xludf.DUMMYFUNCTION("""COMPUTED_VALUE"""),478.74)</f>
        <v>478.74</v>
      </c>
      <c r="N197" s="26">
        <f>IFERROR(__xludf.DUMMYFUNCTION("""COMPUTED_VALUE"""),51.44)</f>
        <v>51.44</v>
      </c>
      <c r="O197" s="26">
        <f>IFERROR(__xludf.DUMMYFUNCTION("""COMPUTED_VALUE"""),140.64)</f>
        <v>140.64</v>
      </c>
      <c r="P197" s="26">
        <f>IFERROR(__xludf.DUMMYFUNCTION("""COMPUTED_VALUE"""),66.13)</f>
        <v>66.13</v>
      </c>
      <c r="Q197" s="26">
        <f>IFERROR(__xludf.DUMMYFUNCTION("""COMPUTED_VALUE"""),340.04)</f>
        <v>340.04</v>
      </c>
      <c r="R197" s="26">
        <f>IFERROR(__xludf.DUMMYFUNCTION("""COMPUTED_VALUE"""),43.48)</f>
        <v>43.48</v>
      </c>
      <c r="S197" s="26">
        <f>IFERROR(__xludf.DUMMYFUNCTION("""COMPUTED_VALUE"""),216.8)</f>
        <v>216.8</v>
      </c>
      <c r="T197" s="26">
        <f>IFERROR(__xludf.DUMMYFUNCTION("""COMPUTED_VALUE"""),156.92)</f>
        <v>156.92</v>
      </c>
      <c r="U197" s="26">
        <f>IFERROR(__xludf.DUMMYFUNCTION("""COMPUTED_VALUE"""),299.81)</f>
        <v>299.81</v>
      </c>
      <c r="V197" s="26">
        <f>IFERROR(__xludf.DUMMYFUNCTION("""COMPUTED_VALUE"""),44.88)</f>
        <v>44.88</v>
      </c>
      <c r="W197" s="26">
        <f>IFERROR(__xludf.DUMMYFUNCTION("""COMPUTED_VALUE"""),71.35)</f>
        <v>71.35</v>
      </c>
      <c r="X197" s="26">
        <f>IFERROR(__xludf.DUMMYFUNCTION("""COMPUTED_VALUE"""),98.26)</f>
        <v>98.26</v>
      </c>
      <c r="Y197" s="26">
        <f>IFERROR(__xludf.DUMMYFUNCTION("""COMPUTED_VALUE"""),165.36)</f>
        <v>165.36</v>
      </c>
      <c r="Z197" s="26">
        <f>IFERROR(__xludf.DUMMYFUNCTION("""COMPUTED_VALUE"""),74.96)</f>
        <v>74.96</v>
      </c>
      <c r="AA197" s="26">
        <f>IFERROR(__xludf.DUMMYFUNCTION("""COMPUTED_VALUE"""),462.37)</f>
        <v>462.37</v>
      </c>
      <c r="AB197" s="26">
        <f>IFERROR(__xludf.DUMMYFUNCTION("""COMPUTED_VALUE"""),69.39)</f>
        <v>69.39</v>
      </c>
      <c r="AC197" s="26">
        <f>IFERROR(__xludf.DUMMYFUNCTION("""COMPUTED_VALUE"""),110.69)</f>
        <v>110.69</v>
      </c>
      <c r="AD197" s="26">
        <f>IFERROR(__xludf.DUMMYFUNCTION("""COMPUTED_VALUE"""),254.19)</f>
        <v>254.19</v>
      </c>
      <c r="AE197" s="26">
        <f>IFERROR(__xludf.DUMMYFUNCTION("""COMPUTED_VALUE"""),503.43)</f>
        <v>503.43</v>
      </c>
      <c r="AF197" s="26">
        <f>IFERROR(__xludf.DUMMYFUNCTION("""COMPUTED_VALUE"""),243.06)</f>
        <v>243.06</v>
      </c>
      <c r="AG197" s="26">
        <f>IFERROR(__xludf.DUMMYFUNCTION("""COMPUTED_VALUE"""),46.29)</f>
        <v>46.29</v>
      </c>
      <c r="AH197" s="26">
        <f>IFERROR(__xludf.DUMMYFUNCTION("""COMPUTED_VALUE"""),109.95)</f>
        <v>109.95</v>
      </c>
      <c r="AI197" s="26">
        <f>IFERROR(__xludf.DUMMYFUNCTION("""COMPUTED_VALUE"""),625.6)</f>
        <v>625.6</v>
      </c>
      <c r="AJ197" s="26">
        <f>IFERROR(__xludf.DUMMYFUNCTION("""COMPUTED_VALUE"""),385.3)</f>
        <v>385.3</v>
      </c>
      <c r="AK197" s="26">
        <f>IFERROR(__xludf.DUMMYFUNCTION("""COMPUTED_VALUE"""),123.74)</f>
        <v>123.74</v>
      </c>
      <c r="AL197" s="26">
        <f>IFERROR(__xludf.DUMMYFUNCTION("""COMPUTED_VALUE"""),167.87)</f>
        <v>167.87</v>
      </c>
      <c r="AM197" s="26">
        <f>IFERROR(__xludf.DUMMYFUNCTION("""COMPUTED_VALUE"""),591.79)</f>
        <v>591.79</v>
      </c>
      <c r="AN197" s="26">
        <f>IFERROR(__xludf.DUMMYFUNCTION("""COMPUTED_VALUE"""),264.24)</f>
        <v>264.24</v>
      </c>
      <c r="AO197" s="26">
        <f>IFERROR(__xludf.DUMMYFUNCTION("""COMPUTED_VALUE"""),440.72)</f>
        <v>440.72</v>
      </c>
      <c r="AP197" s="26">
        <f>IFERROR(__xludf.DUMMYFUNCTION("""COMPUTED_VALUE"""),358.97)</f>
        <v>358.97</v>
      </c>
      <c r="AQ197" s="26">
        <f>IFERROR(__xludf.DUMMYFUNCTION("""COMPUTED_VALUE"""),30.36)</f>
        <v>30.36</v>
      </c>
      <c r="AR197" s="26">
        <f>IFERROR(__xludf.DUMMYFUNCTION("""COMPUTED_VALUE"""),89.94)</f>
        <v>89.94</v>
      </c>
      <c r="AS197" s="26">
        <f>IFERROR(__xludf.DUMMYFUNCTION("""COMPUTED_VALUE"""),81.01)</f>
        <v>81.01</v>
      </c>
      <c r="AT197" s="26">
        <f>IFERROR(__xludf.DUMMYFUNCTION("""COMPUTED_VALUE"""),408.21)</f>
        <v>408.21</v>
      </c>
      <c r="AU197" s="26">
        <f>IFERROR(__xludf.DUMMYFUNCTION("""COMPUTED_VALUE"""),71.58)</f>
        <v>71.58</v>
      </c>
      <c r="AV197" s="26">
        <f>IFERROR(__xludf.DUMMYFUNCTION("""COMPUTED_VALUE"""),134.43)</f>
        <v>134.43</v>
      </c>
      <c r="AW197" s="26">
        <f>IFERROR(__xludf.DUMMYFUNCTION("""COMPUTED_VALUE"""),98.37)</f>
        <v>98.37</v>
      </c>
      <c r="AX197" s="26">
        <f>IFERROR(__xludf.DUMMYFUNCTION("""COMPUTED_VALUE"""),48.44)</f>
        <v>48.44</v>
      </c>
      <c r="AY197" s="26">
        <f>IFERROR(__xludf.DUMMYFUNCTION("""COMPUTED_VALUE"""),101.35)</f>
        <v>101.35</v>
      </c>
      <c r="AZ197" s="26">
        <f>IFERROR(__xludf.DUMMYFUNCTION("""COMPUTED_VALUE"""),74.95)</f>
        <v>74.95</v>
      </c>
      <c r="BA197" s="26">
        <f>IFERROR(__xludf.DUMMYFUNCTION("""COMPUTED_VALUE"""),26.3)</f>
        <v>26.3</v>
      </c>
      <c r="BB197" s="26">
        <f>IFERROR(__xludf.DUMMYFUNCTION("""COMPUTED_VALUE"""),123.29)</f>
        <v>123.29</v>
      </c>
      <c r="BC197" s="26">
        <f>IFERROR(__xludf.DUMMYFUNCTION("""COMPUTED_VALUE"""),265.17)</f>
        <v>265.17</v>
      </c>
      <c r="BD197" s="26">
        <f>IFERROR(__xludf.DUMMYFUNCTION("""COMPUTED_VALUE"""),532.55)</f>
        <v>532.55</v>
      </c>
      <c r="BE197" s="26">
        <f>IFERROR(__xludf.DUMMYFUNCTION("""COMPUTED_VALUE"""),177.11)</f>
        <v>177.11</v>
      </c>
      <c r="BF197" s="26">
        <f>IFERROR(__xludf.DUMMYFUNCTION("""COMPUTED_VALUE"""),71.95)</f>
        <v>71.95</v>
      </c>
      <c r="BG197" s="26">
        <f>IFERROR(__xludf.DUMMYFUNCTION("""COMPUTED_VALUE"""),7.09)</f>
        <v>7.09</v>
      </c>
      <c r="BH197" s="26">
        <f>IFERROR(__xludf.DUMMYFUNCTION("""COMPUTED_VALUE"""),245.55)</f>
        <v>245.55</v>
      </c>
      <c r="BI197" s="26">
        <f>IFERROR(__xludf.DUMMYFUNCTION("""COMPUTED_VALUE"""),466.42)</f>
        <v>466.42</v>
      </c>
      <c r="BJ197" s="26">
        <f>IFERROR(__xludf.DUMMYFUNCTION("""COMPUTED_VALUE"""),49.13)</f>
        <v>49.13</v>
      </c>
      <c r="BK197" s="26">
        <f>IFERROR(__xludf.DUMMYFUNCTION("""COMPUTED_VALUE"""),11.25)</f>
        <v>11.25</v>
      </c>
      <c r="BL197" s="26">
        <f>IFERROR(__xludf.DUMMYFUNCTION("""COMPUTED_VALUE"""),228.03)</f>
        <v>228.03</v>
      </c>
      <c r="BM197" s="26">
        <f>IFERROR(__xludf.DUMMYFUNCTION("""COMPUTED_VALUE"""),108.66)</f>
        <v>108.66</v>
      </c>
    </row>
    <row r="198">
      <c r="A198" s="25">
        <v>45713.66666666667</v>
      </c>
      <c r="B198" s="17">
        <f>IFERROR(__xludf.DUMMYFUNCTION("""COMPUTED_VALUE"""),5983.25)</f>
        <v>5983.25</v>
      </c>
      <c r="C198" s="17">
        <f>IFERROR(__xludf.DUMMYFUNCTION("""COMPUTED_VALUE"""),19286.93)</f>
        <v>19286.93</v>
      </c>
      <c r="D198" s="17">
        <f>IFERROR(__xludf.DUMMYFUNCTION("""COMPUTED_VALUE"""),43461.21)</f>
        <v>43461.21</v>
      </c>
      <c r="E198" s="17">
        <f>IFERROR(__xludf.DUMMYFUNCTION("""COMPUTED_VALUE"""),2178.27)</f>
        <v>2178.27</v>
      </c>
      <c r="F198" s="26">
        <f>IFERROR(__xludf.DUMMYFUNCTION("""COMPUTED_VALUE"""),444.42)</f>
        <v>444.42</v>
      </c>
      <c r="G198" s="26">
        <f>IFERROR(__xludf.DUMMYFUNCTION("""COMPUTED_VALUE"""),212.71)</f>
        <v>212.71</v>
      </c>
      <c r="H198" s="26">
        <f>IFERROR(__xludf.DUMMYFUNCTION("""COMPUTED_VALUE"""),133.59)</f>
        <v>133.59</v>
      </c>
      <c r="I198" s="26">
        <f>IFERROR(__xludf.DUMMYFUNCTION("""COMPUTED_VALUE"""),247.1)</f>
        <v>247.1</v>
      </c>
      <c r="J198" s="26">
        <f>IFERROR(__xludf.DUMMYFUNCTION("""COMPUTED_VALUE"""),168.57)</f>
        <v>168.57</v>
      </c>
      <c r="K198" s="26">
        <f>IFERROR(__xludf.DUMMYFUNCTION("""COMPUTED_VALUE"""),88.01)</f>
        <v>88.01</v>
      </c>
      <c r="L198" s="26">
        <f>IFERROR(__xludf.DUMMYFUNCTION("""COMPUTED_VALUE"""),15.11)</f>
        <v>15.11</v>
      </c>
      <c r="M198" s="26">
        <f>IFERROR(__xludf.DUMMYFUNCTION("""COMPUTED_VALUE"""),498.42)</f>
        <v>498.42</v>
      </c>
      <c r="N198" s="26">
        <f>IFERROR(__xludf.DUMMYFUNCTION("""COMPUTED_VALUE"""),51.09)</f>
        <v>51.09</v>
      </c>
      <c r="O198" s="26">
        <f>IFERROR(__xludf.DUMMYFUNCTION("""COMPUTED_VALUE"""),141.27)</f>
        <v>141.27</v>
      </c>
      <c r="P198" s="26">
        <f>IFERROR(__xludf.DUMMYFUNCTION("""COMPUTED_VALUE"""),66.55)</f>
        <v>66.55</v>
      </c>
      <c r="Q198" s="26">
        <f>IFERROR(__xludf.DUMMYFUNCTION("""COMPUTED_VALUE"""),338.92)</f>
        <v>338.92</v>
      </c>
      <c r="R198" s="26">
        <f>IFERROR(__xludf.DUMMYFUNCTION("""COMPUTED_VALUE"""),43.28)</f>
        <v>43.28</v>
      </c>
      <c r="S198" s="26">
        <f>IFERROR(__xludf.DUMMYFUNCTION("""COMPUTED_VALUE"""),215.21)</f>
        <v>215.21</v>
      </c>
      <c r="T198" s="26">
        <f>IFERROR(__xludf.DUMMYFUNCTION("""COMPUTED_VALUE"""),157.89)</f>
        <v>157.89</v>
      </c>
      <c r="U198" s="26">
        <f>IFERROR(__xludf.DUMMYFUNCTION("""COMPUTED_VALUE"""),301.02)</f>
        <v>301.02</v>
      </c>
      <c r="V198" s="26">
        <f>IFERROR(__xludf.DUMMYFUNCTION("""COMPUTED_VALUE"""),44.37)</f>
        <v>44.37</v>
      </c>
      <c r="W198" s="26">
        <f>IFERROR(__xludf.DUMMYFUNCTION("""COMPUTED_VALUE"""),70.59)</f>
        <v>70.59</v>
      </c>
      <c r="X198" s="26">
        <f>IFERROR(__xludf.DUMMYFUNCTION("""COMPUTED_VALUE"""),99.68)</f>
        <v>99.68</v>
      </c>
      <c r="Y198" s="26">
        <f>IFERROR(__xludf.DUMMYFUNCTION("""COMPUTED_VALUE"""),159.69)</f>
        <v>159.69</v>
      </c>
      <c r="Z198" s="26">
        <f>IFERROR(__xludf.DUMMYFUNCTION("""COMPUTED_VALUE"""),75.31)</f>
        <v>75.31</v>
      </c>
      <c r="AA198" s="26">
        <f>IFERROR(__xludf.DUMMYFUNCTION("""COMPUTED_VALUE"""),455.64)</f>
        <v>455.64</v>
      </c>
      <c r="AB198" s="26">
        <f>IFERROR(__xludf.DUMMYFUNCTION("""COMPUTED_VALUE"""),69.99)</f>
        <v>69.99</v>
      </c>
      <c r="AC198" s="26">
        <f>IFERROR(__xludf.DUMMYFUNCTION("""COMPUTED_VALUE"""),111.27)</f>
        <v>111.27</v>
      </c>
      <c r="AD198" s="26">
        <f>IFERROR(__xludf.DUMMYFUNCTION("""COMPUTED_VALUE"""),253.54)</f>
        <v>253.54</v>
      </c>
      <c r="AE198" s="26">
        <f>IFERROR(__xludf.DUMMYFUNCTION("""COMPUTED_VALUE"""),499.22)</f>
        <v>499.22</v>
      </c>
      <c r="AF198" s="26">
        <f>IFERROR(__xludf.DUMMYFUNCTION("""COMPUTED_VALUE"""),246.27)</f>
        <v>246.27</v>
      </c>
      <c r="AG198" s="26">
        <f>IFERROR(__xludf.DUMMYFUNCTION("""COMPUTED_VALUE"""),46.57)</f>
        <v>46.57</v>
      </c>
      <c r="AH198" s="26">
        <f>IFERROR(__xludf.DUMMYFUNCTION("""COMPUTED_VALUE"""),111.03)</f>
        <v>111.03</v>
      </c>
      <c r="AI198" s="26">
        <f>IFERROR(__xludf.DUMMYFUNCTION("""COMPUTED_VALUE"""),626.14)</f>
        <v>626.14</v>
      </c>
      <c r="AJ198" s="26">
        <f>IFERROR(__xludf.DUMMYFUNCTION("""COMPUTED_VALUE"""),382.42)</f>
        <v>382.42</v>
      </c>
      <c r="AK198" s="26">
        <f>IFERROR(__xludf.DUMMYFUNCTION("""COMPUTED_VALUE"""),125.3)</f>
        <v>125.3</v>
      </c>
      <c r="AL198" s="26">
        <f>IFERROR(__xludf.DUMMYFUNCTION("""COMPUTED_VALUE"""),168.42)</f>
        <v>168.42</v>
      </c>
      <c r="AM198" s="26">
        <f>IFERROR(__xludf.DUMMYFUNCTION("""COMPUTED_VALUE"""),591.01)</f>
        <v>591.01</v>
      </c>
      <c r="AN198" s="26">
        <f>IFERROR(__xludf.DUMMYFUNCTION("""COMPUTED_VALUE"""),261.34)</f>
        <v>261.34</v>
      </c>
      <c r="AO198" s="26">
        <f>IFERROR(__xludf.DUMMYFUNCTION("""COMPUTED_VALUE"""),440.27)</f>
        <v>440.27</v>
      </c>
      <c r="AP198" s="26">
        <f>IFERROR(__xludf.DUMMYFUNCTION("""COMPUTED_VALUE"""),368.22)</f>
        <v>368.22</v>
      </c>
      <c r="AQ198" s="26">
        <f>IFERROR(__xludf.DUMMYFUNCTION("""COMPUTED_VALUE"""),30.13)</f>
        <v>30.13</v>
      </c>
      <c r="AR198" s="26">
        <f>IFERROR(__xludf.DUMMYFUNCTION("""COMPUTED_VALUE"""),90.17)</f>
        <v>90.17</v>
      </c>
      <c r="AS198" s="26">
        <f>IFERROR(__xludf.DUMMYFUNCTION("""COMPUTED_VALUE"""),81.21)</f>
        <v>81.21</v>
      </c>
      <c r="AT198" s="26">
        <f>IFERROR(__xludf.DUMMYFUNCTION("""COMPUTED_VALUE"""),404.0)</f>
        <v>404</v>
      </c>
      <c r="AU198" s="26">
        <f>IFERROR(__xludf.DUMMYFUNCTION("""COMPUTED_VALUE"""),70.8)</f>
        <v>70.8</v>
      </c>
      <c r="AV198" s="26">
        <f>IFERROR(__xludf.DUMMYFUNCTION("""COMPUTED_VALUE"""),130.28)</f>
        <v>130.28</v>
      </c>
      <c r="AW198" s="26">
        <f>IFERROR(__xludf.DUMMYFUNCTION("""COMPUTED_VALUE"""),98.68)</f>
        <v>98.68</v>
      </c>
      <c r="AX198" s="26">
        <f>IFERROR(__xludf.DUMMYFUNCTION("""COMPUTED_VALUE"""),48.75)</f>
        <v>48.75</v>
      </c>
      <c r="AY198" s="26">
        <f>IFERROR(__xludf.DUMMYFUNCTION("""COMPUTED_VALUE"""),90.68)</f>
        <v>90.68</v>
      </c>
      <c r="AZ198" s="26">
        <f>IFERROR(__xludf.DUMMYFUNCTION("""COMPUTED_VALUE"""),75.25)</f>
        <v>75.25</v>
      </c>
      <c r="BA198" s="26">
        <f>IFERROR(__xludf.DUMMYFUNCTION("""COMPUTED_VALUE"""),26.65)</f>
        <v>26.65</v>
      </c>
      <c r="BB198" s="26">
        <f>IFERROR(__xludf.DUMMYFUNCTION("""COMPUTED_VALUE"""),125.43)</f>
        <v>125.43</v>
      </c>
      <c r="BC198" s="26">
        <f>IFERROR(__xludf.DUMMYFUNCTION("""COMPUTED_VALUE"""),268.13)</f>
        <v>268.13</v>
      </c>
      <c r="BD198" s="26">
        <f>IFERROR(__xludf.DUMMYFUNCTION("""COMPUTED_VALUE"""),535.55)</f>
        <v>535.55</v>
      </c>
      <c r="BE198" s="26">
        <f>IFERROR(__xludf.DUMMYFUNCTION("""COMPUTED_VALUE"""),176.62)</f>
        <v>176.62</v>
      </c>
      <c r="BF198" s="26">
        <f>IFERROR(__xludf.DUMMYFUNCTION("""COMPUTED_VALUE"""),77.12)</f>
        <v>77.12</v>
      </c>
      <c r="BG198" s="26">
        <f>IFERROR(__xludf.DUMMYFUNCTION("""COMPUTED_VALUE"""),7.21)</f>
        <v>7.21</v>
      </c>
      <c r="BH198" s="26">
        <f>IFERROR(__xludf.DUMMYFUNCTION("""COMPUTED_VALUE"""),242.33)</f>
        <v>242.33</v>
      </c>
      <c r="BI198" s="26">
        <f>IFERROR(__xludf.DUMMYFUNCTION("""COMPUTED_VALUE"""),461.52)</f>
        <v>461.52</v>
      </c>
      <c r="BJ198" s="26">
        <f>IFERROR(__xludf.DUMMYFUNCTION("""COMPUTED_VALUE"""),49.18)</f>
        <v>49.18</v>
      </c>
      <c r="BK198" s="26">
        <f>IFERROR(__xludf.DUMMYFUNCTION("""COMPUTED_VALUE"""),11.39)</f>
        <v>11.39</v>
      </c>
      <c r="BL198" s="26">
        <f>IFERROR(__xludf.DUMMYFUNCTION("""COMPUTED_VALUE"""),229.68)</f>
        <v>229.68</v>
      </c>
      <c r="BM198" s="26">
        <f>IFERROR(__xludf.DUMMYFUNCTION("""COMPUTED_VALUE"""),111.2)</f>
        <v>111.2</v>
      </c>
    </row>
    <row r="199">
      <c r="A199" s="25">
        <v>45714.66666666667</v>
      </c>
      <c r="B199" s="17">
        <f>IFERROR(__xludf.DUMMYFUNCTION("""COMPUTED_VALUE"""),5955.25)</f>
        <v>5955.25</v>
      </c>
      <c r="C199" s="17">
        <f>IFERROR(__xludf.DUMMYFUNCTION("""COMPUTED_VALUE"""),19026.39)</f>
        <v>19026.39</v>
      </c>
      <c r="D199" s="17">
        <f>IFERROR(__xludf.DUMMYFUNCTION("""COMPUTED_VALUE"""),43621.16)</f>
        <v>43621.16</v>
      </c>
      <c r="E199" s="17">
        <f>IFERROR(__xludf.DUMMYFUNCTION("""COMPUTED_VALUE"""),2170.08)</f>
        <v>2170.08</v>
      </c>
      <c r="F199" s="26">
        <f>IFERROR(__xludf.DUMMYFUNCTION("""COMPUTED_VALUE"""),443.41)</f>
        <v>443.41</v>
      </c>
      <c r="G199" s="26">
        <f>IFERROR(__xludf.DUMMYFUNCTION("""COMPUTED_VALUE"""),212.8)</f>
        <v>212.8</v>
      </c>
      <c r="H199" s="26">
        <f>IFERROR(__xludf.DUMMYFUNCTION("""COMPUTED_VALUE"""),137.25)</f>
        <v>137.25</v>
      </c>
      <c r="I199" s="26">
        <f>IFERROR(__xludf.DUMMYFUNCTION("""COMPUTED_VALUE"""),247.04)</f>
        <v>247.04</v>
      </c>
      <c r="J199" s="26">
        <f>IFERROR(__xludf.DUMMYFUNCTION("""COMPUTED_VALUE"""),165.54)</f>
        <v>165.54</v>
      </c>
      <c r="K199" s="26">
        <f>IFERROR(__xludf.DUMMYFUNCTION("""COMPUTED_VALUE"""),86.75)</f>
        <v>86.75</v>
      </c>
      <c r="L199" s="26">
        <f>IFERROR(__xludf.DUMMYFUNCTION("""COMPUTED_VALUE"""),15.45)</f>
        <v>15.45</v>
      </c>
      <c r="M199" s="26">
        <f>IFERROR(__xludf.DUMMYFUNCTION("""COMPUTED_VALUE"""),499.82)</f>
        <v>499.82</v>
      </c>
      <c r="N199" s="26">
        <f>IFERROR(__xludf.DUMMYFUNCTION("""COMPUTED_VALUE"""),50.7)</f>
        <v>50.7</v>
      </c>
      <c r="O199" s="26">
        <f>IFERROR(__xludf.DUMMYFUNCTION("""COMPUTED_VALUE"""),143.46)</f>
        <v>143.46</v>
      </c>
      <c r="P199" s="26">
        <f>IFERROR(__xludf.DUMMYFUNCTION("""COMPUTED_VALUE"""),67.2)</f>
        <v>67.2</v>
      </c>
      <c r="Q199" s="26">
        <f>IFERROR(__xludf.DUMMYFUNCTION("""COMPUTED_VALUE"""),342.36)</f>
        <v>342.36</v>
      </c>
      <c r="R199" s="26">
        <f>IFERROR(__xludf.DUMMYFUNCTION("""COMPUTED_VALUE"""),43.59)</f>
        <v>43.59</v>
      </c>
      <c r="S199" s="26">
        <f>IFERROR(__xludf.DUMMYFUNCTION("""COMPUTED_VALUE"""),218.63)</f>
        <v>218.63</v>
      </c>
      <c r="T199" s="26">
        <f>IFERROR(__xludf.DUMMYFUNCTION("""COMPUTED_VALUE"""),156.42)</f>
        <v>156.42</v>
      </c>
      <c r="U199" s="26">
        <f>IFERROR(__xludf.DUMMYFUNCTION("""COMPUTED_VALUE"""),313.9)</f>
        <v>313.9</v>
      </c>
      <c r="V199" s="26">
        <f>IFERROR(__xludf.DUMMYFUNCTION("""COMPUTED_VALUE"""),44.41)</f>
        <v>44.41</v>
      </c>
      <c r="W199" s="26">
        <f>IFERROR(__xludf.DUMMYFUNCTION("""COMPUTED_VALUE"""),71.49)</f>
        <v>71.49</v>
      </c>
      <c r="X199" s="26">
        <f>IFERROR(__xludf.DUMMYFUNCTION("""COMPUTED_VALUE"""),100.97)</f>
        <v>100.97</v>
      </c>
      <c r="Y199" s="26">
        <f>IFERROR(__xludf.DUMMYFUNCTION("""COMPUTED_VALUE"""),158.16)</f>
        <v>158.16</v>
      </c>
      <c r="Z199" s="26">
        <f>IFERROR(__xludf.DUMMYFUNCTION("""COMPUTED_VALUE"""),76.22)</f>
        <v>76.22</v>
      </c>
      <c r="AA199" s="26">
        <f>IFERROR(__xludf.DUMMYFUNCTION("""COMPUTED_VALUE"""),470.14)</f>
        <v>470.14</v>
      </c>
      <c r="AB199" s="26">
        <f>IFERROR(__xludf.DUMMYFUNCTION("""COMPUTED_VALUE"""),70.93)</f>
        <v>70.93</v>
      </c>
      <c r="AC199" s="26">
        <f>IFERROR(__xludf.DUMMYFUNCTION("""COMPUTED_VALUE"""),109.73)</f>
        <v>109.73</v>
      </c>
      <c r="AD199" s="26">
        <f>IFERROR(__xludf.DUMMYFUNCTION("""COMPUTED_VALUE"""),256.48)</f>
        <v>256.48</v>
      </c>
      <c r="AE199" s="26">
        <f>IFERROR(__xludf.DUMMYFUNCTION("""COMPUTED_VALUE"""),504.5)</f>
        <v>504.5</v>
      </c>
      <c r="AF199" s="26">
        <f>IFERROR(__xludf.DUMMYFUNCTION("""COMPUTED_VALUE"""),249.91)</f>
        <v>249.91</v>
      </c>
      <c r="AG199" s="26">
        <f>IFERROR(__xludf.DUMMYFUNCTION("""COMPUTED_VALUE"""),46.71)</f>
        <v>46.71</v>
      </c>
      <c r="AH199" s="26">
        <f>IFERROR(__xludf.DUMMYFUNCTION("""COMPUTED_VALUE"""),111.53)</f>
        <v>111.53</v>
      </c>
      <c r="AI199" s="26">
        <f>IFERROR(__xludf.DUMMYFUNCTION("""COMPUTED_VALUE"""),614.91)</f>
        <v>614.91</v>
      </c>
      <c r="AJ199" s="26">
        <f>IFERROR(__xludf.DUMMYFUNCTION("""COMPUTED_VALUE"""),393.29)</f>
        <v>393.29</v>
      </c>
      <c r="AK199" s="26">
        <f>IFERROR(__xludf.DUMMYFUNCTION("""COMPUTED_VALUE"""),125.33)</f>
        <v>125.33</v>
      </c>
      <c r="AL199" s="26">
        <f>IFERROR(__xludf.DUMMYFUNCTION("""COMPUTED_VALUE"""),171.21)</f>
        <v>171.21</v>
      </c>
      <c r="AM199" s="26">
        <f>IFERROR(__xludf.DUMMYFUNCTION("""COMPUTED_VALUE"""),573.74)</f>
        <v>573.74</v>
      </c>
      <c r="AN199" s="26">
        <f>IFERROR(__xludf.DUMMYFUNCTION("""COMPUTED_VALUE"""),257.4)</f>
        <v>257.4</v>
      </c>
      <c r="AO199" s="26">
        <f>IFERROR(__xludf.DUMMYFUNCTION("""COMPUTED_VALUE"""),448.46)</f>
        <v>448.46</v>
      </c>
      <c r="AP199" s="26">
        <f>IFERROR(__xludf.DUMMYFUNCTION("""COMPUTED_VALUE"""),366.72)</f>
        <v>366.72</v>
      </c>
      <c r="AQ199" s="26">
        <f>IFERROR(__xludf.DUMMYFUNCTION("""COMPUTED_VALUE"""),30.72)</f>
        <v>30.72</v>
      </c>
      <c r="AR199" s="26">
        <f>IFERROR(__xludf.DUMMYFUNCTION("""COMPUTED_VALUE"""),90.48)</f>
        <v>90.48</v>
      </c>
      <c r="AS199" s="26">
        <f>IFERROR(__xludf.DUMMYFUNCTION("""COMPUTED_VALUE"""),82.2)</f>
        <v>82.2</v>
      </c>
      <c r="AT199" s="26">
        <f>IFERROR(__xludf.DUMMYFUNCTION("""COMPUTED_VALUE"""),397.9)</f>
        <v>397.9</v>
      </c>
      <c r="AU199" s="26">
        <f>IFERROR(__xludf.DUMMYFUNCTION("""COMPUTED_VALUE"""),71.28)</f>
        <v>71.28</v>
      </c>
      <c r="AV199" s="26">
        <f>IFERROR(__xludf.DUMMYFUNCTION("""COMPUTED_VALUE"""),126.63)</f>
        <v>126.63</v>
      </c>
      <c r="AW199" s="26">
        <f>IFERROR(__xludf.DUMMYFUNCTION("""COMPUTED_VALUE"""),100.05)</f>
        <v>100.05</v>
      </c>
      <c r="AX199" s="26">
        <f>IFERROR(__xludf.DUMMYFUNCTION("""COMPUTED_VALUE"""),48.4)</f>
        <v>48.4</v>
      </c>
      <c r="AY199" s="26">
        <f>IFERROR(__xludf.DUMMYFUNCTION("""COMPUTED_VALUE"""),87.84)</f>
        <v>87.84</v>
      </c>
      <c r="AZ199" s="26">
        <f>IFERROR(__xludf.DUMMYFUNCTION("""COMPUTED_VALUE"""),74.07)</f>
        <v>74.07</v>
      </c>
      <c r="BA199" s="26">
        <f>IFERROR(__xludf.DUMMYFUNCTION("""COMPUTED_VALUE"""),26.74)</f>
        <v>26.74</v>
      </c>
      <c r="BB199" s="26">
        <f>IFERROR(__xludf.DUMMYFUNCTION("""COMPUTED_VALUE"""),127.34)</f>
        <v>127.34</v>
      </c>
      <c r="BC199" s="26">
        <f>IFERROR(__xludf.DUMMYFUNCTION("""COMPUTED_VALUE"""),270.54)</f>
        <v>270.54</v>
      </c>
      <c r="BD199" s="26">
        <f>IFERROR(__xludf.DUMMYFUNCTION("""COMPUTED_VALUE"""),539.55)</f>
        <v>539.55</v>
      </c>
      <c r="BE199" s="26">
        <f>IFERROR(__xludf.DUMMYFUNCTION("""COMPUTED_VALUE"""),179.46)</f>
        <v>179.46</v>
      </c>
      <c r="BF199" s="26">
        <f>IFERROR(__xludf.DUMMYFUNCTION("""COMPUTED_VALUE"""),73.0)</f>
        <v>73</v>
      </c>
      <c r="BG199" s="26">
        <f>IFERROR(__xludf.DUMMYFUNCTION("""COMPUTED_VALUE"""),7.11)</f>
        <v>7.11</v>
      </c>
      <c r="BH199" s="26">
        <f>IFERROR(__xludf.DUMMYFUNCTION("""COMPUTED_VALUE"""),245.89)</f>
        <v>245.89</v>
      </c>
      <c r="BI199" s="26">
        <f>IFERROR(__xludf.DUMMYFUNCTION("""COMPUTED_VALUE"""),470.38)</f>
        <v>470.38</v>
      </c>
      <c r="BJ199" s="26">
        <f>IFERROR(__xludf.DUMMYFUNCTION("""COMPUTED_VALUE"""),49.24)</f>
        <v>49.24</v>
      </c>
      <c r="BK199" s="26">
        <f>IFERROR(__xludf.DUMMYFUNCTION("""COMPUTED_VALUE"""),11.48)</f>
        <v>11.48</v>
      </c>
      <c r="BL199" s="26">
        <f>IFERROR(__xludf.DUMMYFUNCTION("""COMPUTED_VALUE"""),230.75)</f>
        <v>230.75</v>
      </c>
      <c r="BM199" s="26">
        <f>IFERROR(__xludf.DUMMYFUNCTION("""COMPUTED_VALUE"""),110.53)</f>
        <v>110.53</v>
      </c>
    </row>
    <row r="200">
      <c r="A200" s="25">
        <v>45715.66666666667</v>
      </c>
      <c r="B200" s="17">
        <f>IFERROR(__xludf.DUMMYFUNCTION("""COMPUTED_VALUE"""),5956.06)</f>
        <v>5956.06</v>
      </c>
      <c r="C200" s="17">
        <f>IFERROR(__xludf.DUMMYFUNCTION("""COMPUTED_VALUE"""),19075.26)</f>
        <v>19075.26</v>
      </c>
      <c r="D200" s="17">
        <f>IFERROR(__xludf.DUMMYFUNCTION("""COMPUTED_VALUE"""),43433.12)</f>
        <v>43433.12</v>
      </c>
      <c r="E200" s="17">
        <f>IFERROR(__xludf.DUMMYFUNCTION("""COMPUTED_VALUE"""),2174.17)</f>
        <v>2174.17</v>
      </c>
      <c r="F200" s="26">
        <f>IFERROR(__xludf.DUMMYFUNCTION("""COMPUTED_VALUE"""),441.5)</f>
        <v>441.5</v>
      </c>
      <c r="G200" s="26">
        <f>IFERROR(__xludf.DUMMYFUNCTION("""COMPUTED_VALUE"""),214.35)</f>
        <v>214.35</v>
      </c>
      <c r="H200" s="26">
        <f>IFERROR(__xludf.DUMMYFUNCTION("""COMPUTED_VALUE"""),135.06)</f>
        <v>135.06</v>
      </c>
      <c r="I200" s="26">
        <f>IFERROR(__xludf.DUMMYFUNCTION("""COMPUTED_VALUE"""),240.36)</f>
        <v>240.36</v>
      </c>
      <c r="J200" s="26">
        <f>IFERROR(__xludf.DUMMYFUNCTION("""COMPUTED_VALUE"""),168.51)</f>
        <v>168.51</v>
      </c>
      <c r="K200" s="26">
        <f>IFERROR(__xludf.DUMMYFUNCTION("""COMPUTED_VALUE"""),86.34)</f>
        <v>86.34</v>
      </c>
      <c r="L200" s="26">
        <f>IFERROR(__xludf.DUMMYFUNCTION("""COMPUTED_VALUE"""),15.78)</f>
        <v>15.78</v>
      </c>
      <c r="M200" s="26">
        <f>IFERROR(__xludf.DUMMYFUNCTION("""COMPUTED_VALUE"""),494.1)</f>
        <v>494.1</v>
      </c>
      <c r="N200" s="26">
        <f>IFERROR(__xludf.DUMMYFUNCTION("""COMPUTED_VALUE"""),50.22)</f>
        <v>50.22</v>
      </c>
      <c r="O200" s="26">
        <f>IFERROR(__xludf.DUMMYFUNCTION("""COMPUTED_VALUE"""),140.49)</f>
        <v>140.49</v>
      </c>
      <c r="P200" s="26">
        <f>IFERROR(__xludf.DUMMYFUNCTION("""COMPUTED_VALUE"""),66.1)</f>
        <v>66.1</v>
      </c>
      <c r="Q200" s="26">
        <f>IFERROR(__xludf.DUMMYFUNCTION("""COMPUTED_VALUE"""),342.58)</f>
        <v>342.58</v>
      </c>
      <c r="R200" s="26">
        <f>IFERROR(__xludf.DUMMYFUNCTION("""COMPUTED_VALUE"""),44.72)</f>
        <v>44.72</v>
      </c>
      <c r="S200" s="26">
        <f>IFERROR(__xludf.DUMMYFUNCTION("""COMPUTED_VALUE"""),220.92)</f>
        <v>220.92</v>
      </c>
      <c r="T200" s="26">
        <f>IFERROR(__xludf.DUMMYFUNCTION("""COMPUTED_VALUE"""),155.14)</f>
        <v>155.14</v>
      </c>
      <c r="U200" s="26">
        <f>IFERROR(__xludf.DUMMYFUNCTION("""COMPUTED_VALUE"""),305.34)</f>
        <v>305.34</v>
      </c>
      <c r="V200" s="26">
        <f>IFERROR(__xludf.DUMMYFUNCTION("""COMPUTED_VALUE"""),44.99)</f>
        <v>44.99</v>
      </c>
      <c r="W200" s="26">
        <f>IFERROR(__xludf.DUMMYFUNCTION("""COMPUTED_VALUE"""),70.8)</f>
        <v>70.8</v>
      </c>
      <c r="X200" s="26">
        <f>IFERROR(__xludf.DUMMYFUNCTION("""COMPUTED_VALUE"""),99.96)</f>
        <v>99.96</v>
      </c>
      <c r="Y200" s="26">
        <f>IFERROR(__xludf.DUMMYFUNCTION("""COMPUTED_VALUE"""),159.38)</f>
        <v>159.38</v>
      </c>
      <c r="Z200" s="26">
        <f>IFERROR(__xludf.DUMMYFUNCTION("""COMPUTED_VALUE"""),74.14)</f>
        <v>74.14</v>
      </c>
      <c r="AA200" s="26">
        <f>IFERROR(__xludf.DUMMYFUNCTION("""COMPUTED_VALUE"""),479.11)</f>
        <v>479.11</v>
      </c>
      <c r="AB200" s="26">
        <f>IFERROR(__xludf.DUMMYFUNCTION("""COMPUTED_VALUE"""),69.14)</f>
        <v>69.14</v>
      </c>
      <c r="AC200" s="26">
        <f>IFERROR(__xludf.DUMMYFUNCTION("""COMPUTED_VALUE"""),109.46)</f>
        <v>109.46</v>
      </c>
      <c r="AD200" s="26">
        <f>IFERROR(__xludf.DUMMYFUNCTION("""COMPUTED_VALUE"""),256.12)</f>
        <v>256.12</v>
      </c>
      <c r="AE200" s="26">
        <f>IFERROR(__xludf.DUMMYFUNCTION("""COMPUTED_VALUE"""),480.0)</f>
        <v>480</v>
      </c>
      <c r="AF200" s="26">
        <f>IFERROR(__xludf.DUMMYFUNCTION("""COMPUTED_VALUE"""),249.24)</f>
        <v>249.24</v>
      </c>
      <c r="AG200" s="26">
        <f>IFERROR(__xludf.DUMMYFUNCTION("""COMPUTED_VALUE"""),48.46)</f>
        <v>48.46</v>
      </c>
      <c r="AH200" s="26">
        <f>IFERROR(__xludf.DUMMYFUNCTION("""COMPUTED_VALUE"""),110.46)</f>
        <v>110.46</v>
      </c>
      <c r="AI200" s="26">
        <f>IFERROR(__xludf.DUMMYFUNCTION("""COMPUTED_VALUE"""),617.77)</f>
        <v>617.77</v>
      </c>
      <c r="AJ200" s="26">
        <f>IFERROR(__xludf.DUMMYFUNCTION("""COMPUTED_VALUE"""),390.48)</f>
        <v>390.48</v>
      </c>
      <c r="AK200" s="26">
        <f>IFERROR(__xludf.DUMMYFUNCTION("""COMPUTED_VALUE"""),148.18)</f>
        <v>148.18</v>
      </c>
      <c r="AL200" s="26">
        <f>IFERROR(__xludf.DUMMYFUNCTION("""COMPUTED_VALUE"""),171.17)</f>
        <v>171.17</v>
      </c>
      <c r="AM200" s="26">
        <f>IFERROR(__xludf.DUMMYFUNCTION("""COMPUTED_VALUE"""),580.93)</f>
        <v>580.93</v>
      </c>
      <c r="AN200" s="26">
        <f>IFERROR(__xludf.DUMMYFUNCTION("""COMPUTED_VALUE"""),258.79)</f>
        <v>258.79</v>
      </c>
      <c r="AO200" s="26">
        <f>IFERROR(__xludf.DUMMYFUNCTION("""COMPUTED_VALUE"""),441.5)</f>
        <v>441.5</v>
      </c>
      <c r="AP200" s="26">
        <f>IFERROR(__xludf.DUMMYFUNCTION("""COMPUTED_VALUE"""),366.03)</f>
        <v>366.03</v>
      </c>
      <c r="AQ200" s="26">
        <f>IFERROR(__xludf.DUMMYFUNCTION("""COMPUTED_VALUE"""),30.8)</f>
        <v>30.8</v>
      </c>
      <c r="AR200" s="26">
        <f>IFERROR(__xludf.DUMMYFUNCTION("""COMPUTED_VALUE"""),90.58)</f>
        <v>90.58</v>
      </c>
      <c r="AS200" s="26">
        <f>IFERROR(__xludf.DUMMYFUNCTION("""COMPUTED_VALUE"""),82.54)</f>
        <v>82.54</v>
      </c>
      <c r="AT200" s="26">
        <f>IFERROR(__xludf.DUMMYFUNCTION("""COMPUTED_VALUE"""),399.73)</f>
        <v>399.73</v>
      </c>
      <c r="AU200" s="26">
        <f>IFERROR(__xludf.DUMMYFUNCTION("""COMPUTED_VALUE"""),71.01)</f>
        <v>71.01</v>
      </c>
      <c r="AV200" s="26">
        <f>IFERROR(__xludf.DUMMYFUNCTION("""COMPUTED_VALUE"""),131.28)</f>
        <v>131.28</v>
      </c>
      <c r="AW200" s="26">
        <f>IFERROR(__xludf.DUMMYFUNCTION("""COMPUTED_VALUE"""),98.73)</f>
        <v>98.73</v>
      </c>
      <c r="AX200" s="26">
        <f>IFERROR(__xludf.DUMMYFUNCTION("""COMPUTED_VALUE"""),49.89)</f>
        <v>49.89</v>
      </c>
      <c r="AY200" s="26">
        <f>IFERROR(__xludf.DUMMYFUNCTION("""COMPUTED_VALUE"""),89.31)</f>
        <v>89.31</v>
      </c>
      <c r="AZ200" s="26">
        <f>IFERROR(__xludf.DUMMYFUNCTION("""COMPUTED_VALUE"""),72.05)</f>
        <v>72.05</v>
      </c>
      <c r="BA200" s="26">
        <f>IFERROR(__xludf.DUMMYFUNCTION("""COMPUTED_VALUE"""),26.42)</f>
        <v>26.42</v>
      </c>
      <c r="BB200" s="26">
        <f>IFERROR(__xludf.DUMMYFUNCTION("""COMPUTED_VALUE"""),127.31)</f>
        <v>127.31</v>
      </c>
      <c r="BC200" s="26">
        <f>IFERROR(__xludf.DUMMYFUNCTION("""COMPUTED_VALUE"""),263.58)</f>
        <v>263.58</v>
      </c>
      <c r="BD200" s="26">
        <f>IFERROR(__xludf.DUMMYFUNCTION("""COMPUTED_VALUE"""),533.29)</f>
        <v>533.29</v>
      </c>
      <c r="BE200" s="26">
        <f>IFERROR(__xludf.DUMMYFUNCTION("""COMPUTED_VALUE"""),181.21)</f>
        <v>181.21</v>
      </c>
      <c r="BF200" s="26">
        <f>IFERROR(__xludf.DUMMYFUNCTION("""COMPUTED_VALUE"""),73.76)</f>
        <v>73.76</v>
      </c>
      <c r="BG200" s="26">
        <f>IFERROR(__xludf.DUMMYFUNCTION("""COMPUTED_VALUE"""),6.98)</f>
        <v>6.98</v>
      </c>
      <c r="BH200" s="26">
        <f>IFERROR(__xludf.DUMMYFUNCTION("""COMPUTED_VALUE"""),245.48)</f>
        <v>245.48</v>
      </c>
      <c r="BI200" s="26">
        <f>IFERROR(__xludf.DUMMYFUNCTION("""COMPUTED_VALUE"""),463.59)</f>
        <v>463.59</v>
      </c>
      <c r="BJ200" s="26">
        <f>IFERROR(__xludf.DUMMYFUNCTION("""COMPUTED_VALUE"""),49.27)</f>
        <v>49.27</v>
      </c>
      <c r="BK200" s="26">
        <f>IFERROR(__xludf.DUMMYFUNCTION("""COMPUTED_VALUE"""),11.24)</f>
        <v>11.24</v>
      </c>
      <c r="BL200" s="26">
        <f>IFERROR(__xludf.DUMMYFUNCTION("""COMPUTED_VALUE"""),228.69)</f>
        <v>228.69</v>
      </c>
      <c r="BM200" s="26">
        <f>IFERROR(__xludf.DUMMYFUNCTION("""COMPUTED_VALUE"""),111.83)</f>
        <v>111.83</v>
      </c>
    </row>
    <row r="201">
      <c r="A201" s="25">
        <v>45716.66666666667</v>
      </c>
      <c r="B201" s="17">
        <f>IFERROR(__xludf.DUMMYFUNCTION("""COMPUTED_VALUE"""),5861.57)</f>
        <v>5861.57</v>
      </c>
      <c r="C201" s="17">
        <f>IFERROR(__xludf.DUMMYFUNCTION("""COMPUTED_VALUE"""),18544.42)</f>
        <v>18544.42</v>
      </c>
      <c r="D201" s="17">
        <f>IFERROR(__xludf.DUMMYFUNCTION("""COMPUTED_VALUE"""),43239.5)</f>
        <v>43239.5</v>
      </c>
      <c r="E201" s="17">
        <f>IFERROR(__xludf.DUMMYFUNCTION("""COMPUTED_VALUE"""),2139.66)</f>
        <v>2139.66</v>
      </c>
      <c r="F201" s="26">
        <f>IFERROR(__xludf.DUMMYFUNCTION("""COMPUTED_VALUE"""),437.19)</f>
        <v>437.19</v>
      </c>
      <c r="G201" s="26">
        <f>IFERROR(__xludf.DUMMYFUNCTION("""COMPUTED_VALUE"""),208.74)</f>
        <v>208.74</v>
      </c>
      <c r="H201" s="26">
        <f>IFERROR(__xludf.DUMMYFUNCTION("""COMPUTED_VALUE"""),134.02)</f>
        <v>134.02</v>
      </c>
      <c r="I201" s="26">
        <f>IFERROR(__xludf.DUMMYFUNCTION("""COMPUTED_VALUE"""),237.3)</f>
        <v>237.3</v>
      </c>
      <c r="J201" s="26">
        <f>IFERROR(__xludf.DUMMYFUNCTION("""COMPUTED_VALUE"""),156.64)</f>
        <v>156.64</v>
      </c>
      <c r="K201" s="26">
        <f>IFERROR(__xludf.DUMMYFUNCTION("""COMPUTED_VALUE"""),86.89)</f>
        <v>86.89</v>
      </c>
      <c r="L201" s="26">
        <f>IFERROR(__xludf.DUMMYFUNCTION("""COMPUTED_VALUE"""),15.69)</f>
        <v>15.69</v>
      </c>
      <c r="M201" s="26">
        <f>IFERROR(__xludf.DUMMYFUNCTION("""COMPUTED_VALUE"""),502.41)</f>
        <v>502.41</v>
      </c>
      <c r="N201" s="26">
        <f>IFERROR(__xludf.DUMMYFUNCTION("""COMPUTED_VALUE"""),49.36)</f>
        <v>49.36</v>
      </c>
      <c r="O201" s="26">
        <f>IFERROR(__xludf.DUMMYFUNCTION("""COMPUTED_VALUE"""),139.88)</f>
        <v>139.88</v>
      </c>
      <c r="P201" s="26">
        <f>IFERROR(__xludf.DUMMYFUNCTION("""COMPUTED_VALUE"""),64.08)</f>
        <v>64.08</v>
      </c>
      <c r="Q201" s="26">
        <f>IFERROR(__xludf.DUMMYFUNCTION("""COMPUTED_VALUE"""),340.0)</f>
        <v>340</v>
      </c>
      <c r="R201" s="26">
        <f>IFERROR(__xludf.DUMMYFUNCTION("""COMPUTED_VALUE"""),43.48)</f>
        <v>43.48</v>
      </c>
      <c r="S201" s="26">
        <f>IFERROR(__xludf.DUMMYFUNCTION("""COMPUTED_VALUE"""),216.69)</f>
        <v>216.69</v>
      </c>
      <c r="T201" s="26">
        <f>IFERROR(__xludf.DUMMYFUNCTION("""COMPUTED_VALUE"""),156.67)</f>
        <v>156.67</v>
      </c>
      <c r="U201" s="26">
        <f>IFERROR(__xludf.DUMMYFUNCTION("""COMPUTED_VALUE"""),302.92)</f>
        <v>302.92</v>
      </c>
      <c r="V201" s="26">
        <f>IFERROR(__xludf.DUMMYFUNCTION("""COMPUTED_VALUE"""),45.17)</f>
        <v>45.17</v>
      </c>
      <c r="W201" s="26">
        <f>IFERROR(__xludf.DUMMYFUNCTION("""COMPUTED_VALUE"""),70.87)</f>
        <v>70.87</v>
      </c>
      <c r="X201" s="26">
        <f>IFERROR(__xludf.DUMMYFUNCTION("""COMPUTED_VALUE"""),99.92)</f>
        <v>99.92</v>
      </c>
      <c r="Y201" s="26">
        <f>IFERROR(__xludf.DUMMYFUNCTION("""COMPUTED_VALUE"""),157.27)</f>
        <v>157.27</v>
      </c>
      <c r="Z201" s="26">
        <f>IFERROR(__xludf.DUMMYFUNCTION("""COMPUTED_VALUE"""),73.16)</f>
        <v>73.16</v>
      </c>
      <c r="AA201" s="26">
        <f>IFERROR(__xludf.DUMMYFUNCTION("""COMPUTED_VALUE"""),482.28)</f>
        <v>482.28</v>
      </c>
      <c r="AB201" s="26">
        <f>IFERROR(__xludf.DUMMYFUNCTION("""COMPUTED_VALUE"""),63.48)</f>
        <v>63.48</v>
      </c>
      <c r="AC201" s="26">
        <f>IFERROR(__xludf.DUMMYFUNCTION("""COMPUTED_VALUE"""),110.15)</f>
        <v>110.15</v>
      </c>
      <c r="AD201" s="26">
        <f>IFERROR(__xludf.DUMMYFUNCTION("""COMPUTED_VALUE"""),258.54)</f>
        <v>258.54</v>
      </c>
      <c r="AE201" s="26">
        <f>IFERROR(__xludf.DUMMYFUNCTION("""COMPUTED_VALUE"""),460.5)</f>
        <v>460.5</v>
      </c>
      <c r="AF201" s="26">
        <f>IFERROR(__xludf.DUMMYFUNCTION("""COMPUTED_VALUE"""),251.62)</f>
        <v>251.62</v>
      </c>
      <c r="AG201" s="26">
        <f>IFERROR(__xludf.DUMMYFUNCTION("""COMPUTED_VALUE"""),47.63)</f>
        <v>47.63</v>
      </c>
      <c r="AH201" s="26">
        <f>IFERROR(__xludf.DUMMYFUNCTION("""COMPUTED_VALUE"""),111.99)</f>
        <v>111.99</v>
      </c>
      <c r="AI201" s="26">
        <f>IFERROR(__xludf.DUMMYFUNCTION("""COMPUTED_VALUE"""),608.0)</f>
        <v>608</v>
      </c>
      <c r="AJ201" s="26">
        <f>IFERROR(__xludf.DUMMYFUNCTION("""COMPUTED_VALUE"""),390.27)</f>
        <v>390.27</v>
      </c>
      <c r="AK201" s="26">
        <f>IFERROR(__xludf.DUMMYFUNCTION("""COMPUTED_VALUE"""),149.58)</f>
        <v>149.58</v>
      </c>
      <c r="AL201" s="26">
        <f>IFERROR(__xludf.DUMMYFUNCTION("""COMPUTED_VALUE"""),170.84)</f>
        <v>170.84</v>
      </c>
      <c r="AM201" s="26">
        <f>IFERROR(__xludf.DUMMYFUNCTION("""COMPUTED_VALUE"""),563.77)</f>
        <v>563.77</v>
      </c>
      <c r="AN201" s="26">
        <f>IFERROR(__xludf.DUMMYFUNCTION("""COMPUTED_VALUE"""),259.05)</f>
        <v>259.05</v>
      </c>
      <c r="AO201" s="26">
        <f>IFERROR(__xludf.DUMMYFUNCTION("""COMPUTED_VALUE"""),446.46)</f>
        <v>446.46</v>
      </c>
      <c r="AP201" s="26">
        <f>IFERROR(__xludf.DUMMYFUNCTION("""COMPUTED_VALUE"""),362.16)</f>
        <v>362.16</v>
      </c>
      <c r="AQ201" s="26">
        <f>IFERROR(__xludf.DUMMYFUNCTION("""COMPUTED_VALUE"""),30.77)</f>
        <v>30.77</v>
      </c>
      <c r="AR201" s="26">
        <f>IFERROR(__xludf.DUMMYFUNCTION("""COMPUTED_VALUE"""),90.74)</f>
        <v>90.74</v>
      </c>
      <c r="AS201" s="26">
        <f>IFERROR(__xludf.DUMMYFUNCTION("""COMPUTED_VALUE"""),84.05)</f>
        <v>84.05</v>
      </c>
      <c r="AT201" s="26">
        <f>IFERROR(__xludf.DUMMYFUNCTION("""COMPUTED_VALUE"""),392.53)</f>
        <v>392.53</v>
      </c>
      <c r="AU201" s="26">
        <f>IFERROR(__xludf.DUMMYFUNCTION("""COMPUTED_VALUE"""),69.38)</f>
        <v>69.38</v>
      </c>
      <c r="AV201" s="26">
        <f>IFERROR(__xludf.DUMMYFUNCTION("""COMPUTED_VALUE"""),120.15)</f>
        <v>120.15</v>
      </c>
      <c r="AW201" s="26">
        <f>IFERROR(__xludf.DUMMYFUNCTION("""COMPUTED_VALUE"""),98.09)</f>
        <v>98.09</v>
      </c>
      <c r="AX201" s="26">
        <f>IFERROR(__xludf.DUMMYFUNCTION("""COMPUTED_VALUE"""),46.69)</f>
        <v>46.69</v>
      </c>
      <c r="AY201" s="26">
        <f>IFERROR(__xludf.DUMMYFUNCTION("""COMPUTED_VALUE"""),84.77)</f>
        <v>84.77</v>
      </c>
      <c r="AZ201" s="26">
        <f>IFERROR(__xludf.DUMMYFUNCTION("""COMPUTED_VALUE"""),70.73)</f>
        <v>70.73</v>
      </c>
      <c r="BA201" s="26">
        <f>IFERROR(__xludf.DUMMYFUNCTION("""COMPUTED_VALUE"""),26.1)</f>
        <v>26.1</v>
      </c>
      <c r="BB201" s="26">
        <f>IFERROR(__xludf.DUMMYFUNCTION("""COMPUTED_VALUE"""),130.52)</f>
        <v>130.52</v>
      </c>
      <c r="BC201" s="26">
        <f>IFERROR(__xludf.DUMMYFUNCTION("""COMPUTED_VALUE"""),264.17)</f>
        <v>264.17</v>
      </c>
      <c r="BD201" s="26">
        <f>IFERROR(__xludf.DUMMYFUNCTION("""COMPUTED_VALUE"""),523.23)</f>
        <v>523.23</v>
      </c>
      <c r="BE201" s="26">
        <f>IFERROR(__xludf.DUMMYFUNCTION("""COMPUTED_VALUE"""),182.28)</f>
        <v>182.28</v>
      </c>
      <c r="BF201" s="26">
        <f>IFERROR(__xludf.DUMMYFUNCTION("""COMPUTED_VALUE"""),72.12)</f>
        <v>72.12</v>
      </c>
      <c r="BG201" s="26">
        <f>IFERROR(__xludf.DUMMYFUNCTION("""COMPUTED_VALUE"""),6.78)</f>
        <v>6.78</v>
      </c>
      <c r="BH201" s="26">
        <f>IFERROR(__xludf.DUMMYFUNCTION("""COMPUTED_VALUE"""),245.07)</f>
        <v>245.07</v>
      </c>
      <c r="BI201" s="26">
        <f>IFERROR(__xludf.DUMMYFUNCTION("""COMPUTED_VALUE"""),468.56)</f>
        <v>468.56</v>
      </c>
      <c r="BJ201" s="26">
        <f>IFERROR(__xludf.DUMMYFUNCTION("""COMPUTED_VALUE"""),49.31)</f>
        <v>49.31</v>
      </c>
      <c r="BK201" s="26">
        <f>IFERROR(__xludf.DUMMYFUNCTION("""COMPUTED_VALUE"""),9.53)</f>
        <v>9.53</v>
      </c>
      <c r="BL201" s="26">
        <f>IFERROR(__xludf.DUMMYFUNCTION("""COMPUTED_VALUE"""),229.61)</f>
        <v>229.61</v>
      </c>
      <c r="BM201" s="26">
        <f>IFERROR(__xludf.DUMMYFUNCTION("""COMPUTED_VALUE"""),111.31)</f>
        <v>111.31</v>
      </c>
    </row>
    <row r="202">
      <c r="A202" s="25">
        <v>45719.66666666667</v>
      </c>
      <c r="B202" s="17">
        <f>IFERROR(__xludf.DUMMYFUNCTION("""COMPUTED_VALUE"""),5954.5)</f>
        <v>5954.5</v>
      </c>
      <c r="C202" s="17">
        <f>IFERROR(__xludf.DUMMYFUNCTION("""COMPUTED_VALUE"""),18847.28)</f>
        <v>18847.28</v>
      </c>
      <c r="D202" s="17">
        <f>IFERROR(__xludf.DUMMYFUNCTION("""COMPUTED_VALUE"""),43840.91)</f>
        <v>43840.91</v>
      </c>
      <c r="E202" s="17">
        <f>IFERROR(__xludf.DUMMYFUNCTION("""COMPUTED_VALUE"""),2163.07)</f>
        <v>2163.07</v>
      </c>
      <c r="F202" s="26">
        <f>IFERROR(__xludf.DUMMYFUNCTION("""COMPUTED_VALUE"""),438.56)</f>
        <v>438.56</v>
      </c>
      <c r="G202" s="26">
        <f>IFERROR(__xludf.DUMMYFUNCTION("""COMPUTED_VALUE"""),212.28)</f>
        <v>212.28</v>
      </c>
      <c r="H202" s="26">
        <f>IFERROR(__xludf.DUMMYFUNCTION("""COMPUTED_VALUE"""),135.97)</f>
        <v>135.97</v>
      </c>
      <c r="I202" s="26">
        <f>IFERROR(__xludf.DUMMYFUNCTION("""COMPUTED_VALUE"""),241.84)</f>
        <v>241.84</v>
      </c>
      <c r="J202" s="26">
        <f>IFERROR(__xludf.DUMMYFUNCTION("""COMPUTED_VALUE"""),158.07)</f>
        <v>158.07</v>
      </c>
      <c r="K202" s="26">
        <f>IFERROR(__xludf.DUMMYFUNCTION("""COMPUTED_VALUE"""),88.95)</f>
        <v>88.95</v>
      </c>
      <c r="L202" s="26">
        <f>IFERROR(__xludf.DUMMYFUNCTION("""COMPUTED_VALUE"""),15.84)</f>
        <v>15.84</v>
      </c>
      <c r="M202" s="26">
        <f>IFERROR(__xludf.DUMMYFUNCTION("""COMPUTED_VALUE"""),513.83)</f>
        <v>513.83</v>
      </c>
      <c r="N202" s="26">
        <f>IFERROR(__xludf.DUMMYFUNCTION("""COMPUTED_VALUE"""),48.48)</f>
        <v>48.48</v>
      </c>
      <c r="O202" s="26">
        <f>IFERROR(__xludf.DUMMYFUNCTION("""COMPUTED_VALUE"""),140.5)</f>
        <v>140.5</v>
      </c>
      <c r="P202" s="26">
        <f>IFERROR(__xludf.DUMMYFUNCTION("""COMPUTED_VALUE"""),64.8)</f>
        <v>64.8</v>
      </c>
      <c r="Q202" s="26">
        <f>IFERROR(__xludf.DUMMYFUNCTION("""COMPUTED_VALUE"""),343.95)</f>
        <v>343.95</v>
      </c>
      <c r="R202" s="26">
        <f>IFERROR(__xludf.DUMMYFUNCTION("""COMPUTED_VALUE"""),44.04)</f>
        <v>44.04</v>
      </c>
      <c r="S202" s="26">
        <f>IFERROR(__xludf.DUMMYFUNCTION("""COMPUTED_VALUE"""),220.26)</f>
        <v>220.26</v>
      </c>
      <c r="T202" s="26">
        <f>IFERROR(__xludf.DUMMYFUNCTION("""COMPUTED_VALUE"""),158.62)</f>
        <v>158.62</v>
      </c>
      <c r="U202" s="26">
        <f>IFERROR(__xludf.DUMMYFUNCTION("""COMPUTED_VALUE"""),308.85)</f>
        <v>308.85</v>
      </c>
      <c r="V202" s="26">
        <f>IFERROR(__xludf.DUMMYFUNCTION("""COMPUTED_VALUE"""),45.77)</f>
        <v>45.77</v>
      </c>
      <c r="W202" s="26">
        <f>IFERROR(__xludf.DUMMYFUNCTION("""COMPUTED_VALUE"""),71.21)</f>
        <v>71.21</v>
      </c>
      <c r="X202" s="26">
        <f>IFERROR(__xludf.DUMMYFUNCTION("""COMPUTED_VALUE"""),101.52)</f>
        <v>101.52</v>
      </c>
      <c r="Y202" s="26">
        <f>IFERROR(__xludf.DUMMYFUNCTION("""COMPUTED_VALUE"""),156.32)</f>
        <v>156.32</v>
      </c>
      <c r="Z202" s="26">
        <f>IFERROR(__xludf.DUMMYFUNCTION("""COMPUTED_VALUE"""),72.86)</f>
        <v>72.86</v>
      </c>
      <c r="AA202" s="26">
        <f>IFERROR(__xludf.DUMMYFUNCTION("""COMPUTED_VALUE"""),489.71)</f>
        <v>489.71</v>
      </c>
      <c r="AB202" s="26">
        <f>IFERROR(__xludf.DUMMYFUNCTION("""COMPUTED_VALUE"""),64.74)</f>
        <v>64.74</v>
      </c>
      <c r="AC202" s="26">
        <f>IFERROR(__xludf.DUMMYFUNCTION("""COMPUTED_VALUE"""),111.33)</f>
        <v>111.33</v>
      </c>
      <c r="AD202" s="26">
        <f>IFERROR(__xludf.DUMMYFUNCTION("""COMPUTED_VALUE"""),262.9)</f>
        <v>262.9</v>
      </c>
      <c r="AE202" s="26">
        <f>IFERROR(__xludf.DUMMYFUNCTION("""COMPUTED_VALUE"""),464.57)</f>
        <v>464.57</v>
      </c>
      <c r="AF202" s="26">
        <f>IFERROR(__xludf.DUMMYFUNCTION("""COMPUTED_VALUE"""),252.6)</f>
        <v>252.6</v>
      </c>
      <c r="AG202" s="26">
        <f>IFERROR(__xludf.DUMMYFUNCTION("""COMPUTED_VALUE"""),49.13)</f>
        <v>49.13</v>
      </c>
      <c r="AH202" s="26">
        <f>IFERROR(__xludf.DUMMYFUNCTION("""COMPUTED_VALUE"""),114.31)</f>
        <v>114.31</v>
      </c>
      <c r="AI202" s="26">
        <f>IFERROR(__xludf.DUMMYFUNCTION("""COMPUTED_VALUE"""),622.29)</f>
        <v>622.29</v>
      </c>
      <c r="AJ202" s="26">
        <f>IFERROR(__xludf.DUMMYFUNCTION("""COMPUTED_VALUE"""),396.6)</f>
        <v>396.6</v>
      </c>
      <c r="AK202" s="26">
        <f>IFERROR(__xludf.DUMMYFUNCTION("""COMPUTED_VALUE"""),152.46)</f>
        <v>152.46</v>
      </c>
      <c r="AL202" s="26">
        <f>IFERROR(__xludf.DUMMYFUNCTION("""COMPUTED_VALUE"""),173.23)</f>
        <v>173.23</v>
      </c>
      <c r="AM202" s="26">
        <f>IFERROR(__xludf.DUMMYFUNCTION("""COMPUTED_VALUE"""),573.15)</f>
        <v>573.15</v>
      </c>
      <c r="AN202" s="26">
        <f>IFERROR(__xludf.DUMMYFUNCTION("""COMPUTED_VALUE"""),264.65)</f>
        <v>264.65</v>
      </c>
      <c r="AO202" s="26">
        <f>IFERROR(__xludf.DUMMYFUNCTION("""COMPUTED_VALUE"""),450.37)</f>
        <v>450.37</v>
      </c>
      <c r="AP202" s="26">
        <f>IFERROR(__xludf.DUMMYFUNCTION("""COMPUTED_VALUE"""),365.61)</f>
        <v>365.61</v>
      </c>
      <c r="AQ202" s="26">
        <f>IFERROR(__xludf.DUMMYFUNCTION("""COMPUTED_VALUE"""),31.16)</f>
        <v>31.16</v>
      </c>
      <c r="AR202" s="26">
        <f>IFERROR(__xludf.DUMMYFUNCTION("""COMPUTED_VALUE"""),92.02)</f>
        <v>92.02</v>
      </c>
      <c r="AS202" s="26">
        <f>IFERROR(__xludf.DUMMYFUNCTION("""COMPUTED_VALUE"""),86.18)</f>
        <v>86.18</v>
      </c>
      <c r="AT202" s="26">
        <f>IFERROR(__xludf.DUMMYFUNCTION("""COMPUTED_VALUE"""),396.99)</f>
        <v>396.99</v>
      </c>
      <c r="AU202" s="26">
        <f>IFERROR(__xludf.DUMMYFUNCTION("""COMPUTED_VALUE"""),70.17)</f>
        <v>70.17</v>
      </c>
      <c r="AV202" s="26">
        <f>IFERROR(__xludf.DUMMYFUNCTION("""COMPUTED_VALUE"""),124.92)</f>
        <v>124.92</v>
      </c>
      <c r="AW202" s="26">
        <f>IFERROR(__xludf.DUMMYFUNCTION("""COMPUTED_VALUE"""),99.78)</f>
        <v>99.78</v>
      </c>
      <c r="AX202" s="26">
        <f>IFERROR(__xludf.DUMMYFUNCTION("""COMPUTED_VALUE"""),48.48)</f>
        <v>48.48</v>
      </c>
      <c r="AY202" s="26">
        <f>IFERROR(__xludf.DUMMYFUNCTION("""COMPUTED_VALUE"""),84.92)</f>
        <v>84.92</v>
      </c>
      <c r="AZ202" s="26">
        <f>IFERROR(__xludf.DUMMYFUNCTION("""COMPUTED_VALUE"""),71.05)</f>
        <v>71.05</v>
      </c>
      <c r="BA202" s="26">
        <f>IFERROR(__xludf.DUMMYFUNCTION("""COMPUTED_VALUE"""),26.43)</f>
        <v>26.43</v>
      </c>
      <c r="BB202" s="26">
        <f>IFERROR(__xludf.DUMMYFUNCTION("""COMPUTED_VALUE"""),132.99)</f>
        <v>132.99</v>
      </c>
      <c r="BC202" s="26">
        <f>IFERROR(__xludf.DUMMYFUNCTION("""COMPUTED_VALUE"""),269.69)</f>
        <v>269.69</v>
      </c>
      <c r="BD202" s="26">
        <f>IFERROR(__xludf.DUMMYFUNCTION("""COMPUTED_VALUE"""),528.96)</f>
        <v>528.96</v>
      </c>
      <c r="BE202" s="26">
        <f>IFERROR(__xludf.DUMMYFUNCTION("""COMPUTED_VALUE"""),181.48)</f>
        <v>181.48</v>
      </c>
      <c r="BF202" s="26">
        <f>IFERROR(__xludf.DUMMYFUNCTION("""COMPUTED_VALUE"""),76.32)</f>
        <v>76.32</v>
      </c>
      <c r="BG202" s="26">
        <f>IFERROR(__xludf.DUMMYFUNCTION("""COMPUTED_VALUE"""),6.81)</f>
        <v>6.81</v>
      </c>
      <c r="BH202" s="26">
        <f>IFERROR(__xludf.DUMMYFUNCTION("""COMPUTED_VALUE"""),246.69)</f>
        <v>246.69</v>
      </c>
      <c r="BI202" s="26">
        <f>IFERROR(__xludf.DUMMYFUNCTION("""COMPUTED_VALUE"""),474.96)</f>
        <v>474.96</v>
      </c>
      <c r="BJ202" s="26">
        <f>IFERROR(__xludf.DUMMYFUNCTION("""COMPUTED_VALUE"""),49.45)</f>
        <v>49.45</v>
      </c>
      <c r="BK202" s="26">
        <f>IFERROR(__xludf.DUMMYFUNCTION("""COMPUTED_VALUE"""),9.23)</f>
        <v>9.23</v>
      </c>
      <c r="BL202" s="26">
        <f>IFERROR(__xludf.DUMMYFUNCTION("""COMPUTED_VALUE"""),232.78)</f>
        <v>232.78</v>
      </c>
      <c r="BM202" s="26">
        <f>IFERROR(__xludf.DUMMYFUNCTION("""COMPUTED_VALUE"""),113.8)</f>
        <v>113.8</v>
      </c>
    </row>
    <row r="203">
      <c r="A203" s="25">
        <v>45720.66666666667</v>
      </c>
      <c r="B203" s="17">
        <f>IFERROR(__xludf.DUMMYFUNCTION("""COMPUTED_VALUE"""),5849.72)</f>
        <v>5849.72</v>
      </c>
      <c r="C203" s="17">
        <f>IFERROR(__xludf.DUMMYFUNCTION("""COMPUTED_VALUE"""),18350.19)</f>
        <v>18350.19</v>
      </c>
      <c r="D203" s="17">
        <f>IFERROR(__xludf.DUMMYFUNCTION("""COMPUTED_VALUE"""),43191.24)</f>
        <v>43191.24</v>
      </c>
      <c r="E203" s="17">
        <f>IFERROR(__xludf.DUMMYFUNCTION("""COMPUTED_VALUE"""),2102.24)</f>
        <v>2102.24</v>
      </c>
      <c r="F203" s="26">
        <f>IFERROR(__xludf.DUMMYFUNCTION("""COMPUTED_VALUE"""),440.72)</f>
        <v>440.72</v>
      </c>
      <c r="G203" s="26">
        <f>IFERROR(__xludf.DUMMYFUNCTION("""COMPUTED_VALUE"""),205.02)</f>
        <v>205.02</v>
      </c>
      <c r="H203" s="26">
        <f>IFERROR(__xludf.DUMMYFUNCTION("""COMPUTED_VALUE"""),139.57)</f>
        <v>139.57</v>
      </c>
      <c r="I203" s="26">
        <f>IFERROR(__xludf.DUMMYFUNCTION("""COMPUTED_VALUE"""),238.03)</f>
        <v>238.03</v>
      </c>
      <c r="J203" s="26">
        <f>IFERROR(__xludf.DUMMYFUNCTION("""COMPUTED_VALUE"""),152.13)</f>
        <v>152.13</v>
      </c>
      <c r="K203" s="26">
        <f>IFERROR(__xludf.DUMMYFUNCTION("""COMPUTED_VALUE"""),88.35)</f>
        <v>88.35</v>
      </c>
      <c r="L203" s="26">
        <f>IFERROR(__xludf.DUMMYFUNCTION("""COMPUTED_VALUE"""),15.83)</f>
        <v>15.83</v>
      </c>
      <c r="M203" s="26">
        <f>IFERROR(__xludf.DUMMYFUNCTION("""COMPUTED_VALUE"""),510.08)</f>
        <v>510.08</v>
      </c>
      <c r="N203" s="26">
        <f>IFERROR(__xludf.DUMMYFUNCTION("""COMPUTED_VALUE"""),48.84)</f>
        <v>48.84</v>
      </c>
      <c r="O203" s="26">
        <f>IFERROR(__xludf.DUMMYFUNCTION("""COMPUTED_VALUE"""),141.71)</f>
        <v>141.71</v>
      </c>
      <c r="P203" s="26">
        <f>IFERROR(__xludf.DUMMYFUNCTION("""COMPUTED_VALUE"""),63.26)</f>
        <v>63.26</v>
      </c>
      <c r="Q203" s="26">
        <f>IFERROR(__xludf.DUMMYFUNCTION("""COMPUTED_VALUE"""),332.04)</f>
        <v>332.04</v>
      </c>
      <c r="R203" s="26">
        <f>IFERROR(__xludf.DUMMYFUNCTION("""COMPUTED_VALUE"""),41.11)</f>
        <v>41.11</v>
      </c>
      <c r="S203" s="26">
        <f>IFERROR(__xludf.DUMMYFUNCTION("""COMPUTED_VALUE"""),221.09)</f>
        <v>221.09</v>
      </c>
      <c r="T203" s="26">
        <f>IFERROR(__xludf.DUMMYFUNCTION("""COMPUTED_VALUE"""),153.09)</f>
        <v>153.09</v>
      </c>
      <c r="U203" s="26">
        <f>IFERROR(__xludf.DUMMYFUNCTION("""COMPUTED_VALUE"""),311.51)</f>
        <v>311.51</v>
      </c>
      <c r="V203" s="26">
        <f>IFERROR(__xludf.DUMMYFUNCTION("""COMPUTED_VALUE"""),45.05)</f>
        <v>45.05</v>
      </c>
      <c r="W203" s="26">
        <f>IFERROR(__xludf.DUMMYFUNCTION("""COMPUTED_VALUE"""),72.32)</f>
        <v>72.32</v>
      </c>
      <c r="X203" s="26">
        <f>IFERROR(__xludf.DUMMYFUNCTION("""COMPUTED_VALUE"""),104.02)</f>
        <v>104.02</v>
      </c>
      <c r="Y203" s="26">
        <f>IFERROR(__xludf.DUMMYFUNCTION("""COMPUTED_VALUE"""),155.31)</f>
        <v>155.31</v>
      </c>
      <c r="Z203" s="26">
        <f>IFERROR(__xludf.DUMMYFUNCTION("""COMPUTED_VALUE"""),68.77)</f>
        <v>68.77</v>
      </c>
      <c r="AA203" s="26">
        <f>IFERROR(__xludf.DUMMYFUNCTION("""COMPUTED_VALUE"""),483.82)</f>
        <v>483.82</v>
      </c>
      <c r="AB203" s="26">
        <f>IFERROR(__xludf.DUMMYFUNCTION("""COMPUTED_VALUE"""),65.22)</f>
        <v>65.22</v>
      </c>
      <c r="AC203" s="26">
        <f>IFERROR(__xludf.DUMMYFUNCTION("""COMPUTED_VALUE"""),107.76)</f>
        <v>107.76</v>
      </c>
      <c r="AD203" s="26">
        <f>IFERROR(__xludf.DUMMYFUNCTION("""COMPUTED_VALUE"""),258.77)</f>
        <v>258.77</v>
      </c>
      <c r="AE203" s="26">
        <f>IFERROR(__xludf.DUMMYFUNCTION("""COMPUTED_VALUE"""),464.2)</f>
        <v>464.2</v>
      </c>
      <c r="AF203" s="26">
        <f>IFERROR(__xludf.DUMMYFUNCTION("""COMPUTED_VALUE"""),254.04)</f>
        <v>254.04</v>
      </c>
      <c r="AG203" s="26">
        <f>IFERROR(__xludf.DUMMYFUNCTION("""COMPUTED_VALUE"""),47.38)</f>
        <v>47.38</v>
      </c>
      <c r="AH203" s="26">
        <f>IFERROR(__xludf.DUMMYFUNCTION("""COMPUTED_VALUE"""),115.99)</f>
        <v>115.99</v>
      </c>
      <c r="AI203" s="26">
        <f>IFERROR(__xludf.DUMMYFUNCTION("""COMPUTED_VALUE"""),605.26)</f>
        <v>605.26</v>
      </c>
      <c r="AJ203" s="26">
        <f>IFERROR(__xludf.DUMMYFUNCTION("""COMPUTED_VALUE"""),389.69)</f>
        <v>389.69</v>
      </c>
      <c r="AK203" s="26">
        <f>IFERROR(__xludf.DUMMYFUNCTION("""COMPUTED_VALUE"""),148.42)</f>
        <v>148.42</v>
      </c>
      <c r="AL203" s="26">
        <f>IFERROR(__xludf.DUMMYFUNCTION("""COMPUTED_VALUE"""),173.2)</f>
        <v>173.2</v>
      </c>
      <c r="AM203" s="26">
        <f>IFERROR(__xludf.DUMMYFUNCTION("""COMPUTED_VALUE"""),566.98)</f>
        <v>566.98</v>
      </c>
      <c r="AN203" s="26">
        <f>IFERROR(__xludf.DUMMYFUNCTION("""COMPUTED_VALUE"""),260.62)</f>
        <v>260.62</v>
      </c>
      <c r="AO203" s="26">
        <f>IFERROR(__xludf.DUMMYFUNCTION("""COMPUTED_VALUE"""),451.94)</f>
        <v>451.94</v>
      </c>
      <c r="AP203" s="26">
        <f>IFERROR(__xludf.DUMMYFUNCTION("""COMPUTED_VALUE"""),347.81)</f>
        <v>347.81</v>
      </c>
      <c r="AQ203" s="26">
        <f>IFERROR(__xludf.DUMMYFUNCTION("""COMPUTED_VALUE"""),30.62)</f>
        <v>30.62</v>
      </c>
      <c r="AR203" s="26">
        <f>IFERROR(__xludf.DUMMYFUNCTION("""COMPUTED_VALUE"""),94.3)</f>
        <v>94.3</v>
      </c>
      <c r="AS203" s="26">
        <f>IFERROR(__xludf.DUMMYFUNCTION("""COMPUTED_VALUE"""),85.7)</f>
        <v>85.7</v>
      </c>
      <c r="AT203" s="26">
        <f>IFERROR(__xludf.DUMMYFUNCTION("""COMPUTED_VALUE"""),388.49)</f>
        <v>388.49</v>
      </c>
      <c r="AU203" s="26">
        <f>IFERROR(__xludf.DUMMYFUNCTION("""COMPUTED_VALUE"""),71.62)</f>
        <v>71.62</v>
      </c>
      <c r="AV203" s="26">
        <f>IFERROR(__xludf.DUMMYFUNCTION("""COMPUTED_VALUE"""),114.06)</f>
        <v>114.06</v>
      </c>
      <c r="AW203" s="26">
        <f>IFERROR(__xludf.DUMMYFUNCTION("""COMPUTED_VALUE"""),100.73)</f>
        <v>100.73</v>
      </c>
      <c r="AX203" s="26">
        <f>IFERROR(__xludf.DUMMYFUNCTION("""COMPUTED_VALUE"""),47.85)</f>
        <v>47.85</v>
      </c>
      <c r="AY203" s="26">
        <f>IFERROR(__xludf.DUMMYFUNCTION("""COMPUTED_VALUE"""),83.42)</f>
        <v>83.42</v>
      </c>
      <c r="AZ203" s="26">
        <f>IFERROR(__xludf.DUMMYFUNCTION("""COMPUTED_VALUE"""),69.75)</f>
        <v>69.75</v>
      </c>
      <c r="BA203" s="26">
        <f>IFERROR(__xludf.DUMMYFUNCTION("""COMPUTED_VALUE"""),26.25)</f>
        <v>26.25</v>
      </c>
      <c r="BB203" s="26">
        <f>IFERROR(__xludf.DUMMYFUNCTION("""COMPUTED_VALUE"""),133.83)</f>
        <v>133.83</v>
      </c>
      <c r="BC203" s="26">
        <f>IFERROR(__xludf.DUMMYFUNCTION("""COMPUTED_VALUE"""),272.83)</f>
        <v>272.83</v>
      </c>
      <c r="BD203" s="26">
        <f>IFERROR(__xludf.DUMMYFUNCTION("""COMPUTED_VALUE"""),523.64)</f>
        <v>523.64</v>
      </c>
      <c r="BE203" s="26">
        <f>IFERROR(__xludf.DUMMYFUNCTION("""COMPUTED_VALUE"""),183.79)</f>
        <v>183.79</v>
      </c>
      <c r="BF203" s="26">
        <f>IFERROR(__xludf.DUMMYFUNCTION("""COMPUTED_VALUE"""),69.33)</f>
        <v>69.33</v>
      </c>
      <c r="BG203" s="26">
        <f>IFERROR(__xludf.DUMMYFUNCTION("""COMPUTED_VALUE"""),6.72)</f>
        <v>6.72</v>
      </c>
      <c r="BH203" s="26">
        <f>IFERROR(__xludf.DUMMYFUNCTION("""COMPUTED_VALUE"""),245.81)</f>
        <v>245.81</v>
      </c>
      <c r="BI203" s="26">
        <f>IFERROR(__xludf.DUMMYFUNCTION("""COMPUTED_VALUE"""),467.05)</f>
        <v>467.05</v>
      </c>
      <c r="BJ203" s="26">
        <f>IFERROR(__xludf.DUMMYFUNCTION("""COMPUTED_VALUE"""),49.51)</f>
        <v>49.51</v>
      </c>
      <c r="BK203" s="26">
        <f>IFERROR(__xludf.DUMMYFUNCTION("""COMPUTED_VALUE"""),9.33)</f>
        <v>9.33</v>
      </c>
      <c r="BL203" s="26">
        <f>IFERROR(__xludf.DUMMYFUNCTION("""COMPUTED_VALUE"""),233.78)</f>
        <v>233.78</v>
      </c>
      <c r="BM203" s="26">
        <f>IFERROR(__xludf.DUMMYFUNCTION("""COMPUTED_VALUE"""),112.79)</f>
        <v>112.79</v>
      </c>
    </row>
    <row r="204">
      <c r="A204" s="25">
        <v>45721.66666666667</v>
      </c>
      <c r="B204" s="17">
        <f>IFERROR(__xludf.DUMMYFUNCTION("""COMPUTED_VALUE"""),5778.15)</f>
        <v>5778.15</v>
      </c>
      <c r="C204" s="17">
        <f>IFERROR(__xludf.DUMMYFUNCTION("""COMPUTED_VALUE"""),18285.16)</f>
        <v>18285.16</v>
      </c>
      <c r="D204" s="17">
        <f>IFERROR(__xludf.DUMMYFUNCTION("""COMPUTED_VALUE"""),42520.99)</f>
        <v>42520.99</v>
      </c>
      <c r="E204" s="17">
        <f>IFERROR(__xludf.DUMMYFUNCTION("""COMPUTED_VALUE"""),2079.53)</f>
        <v>2079.53</v>
      </c>
      <c r="F204" s="26">
        <f>IFERROR(__xludf.DUMMYFUNCTION("""COMPUTED_VALUE"""),446.03)</f>
        <v>446.03</v>
      </c>
      <c r="G204" s="26">
        <f>IFERROR(__xludf.DUMMYFUNCTION("""COMPUTED_VALUE"""),203.8)</f>
        <v>203.8</v>
      </c>
      <c r="H204" s="26">
        <f>IFERROR(__xludf.DUMMYFUNCTION("""COMPUTED_VALUE"""),139.2)</f>
        <v>139.2</v>
      </c>
      <c r="I204" s="26">
        <f>IFERROR(__xludf.DUMMYFUNCTION("""COMPUTED_VALUE"""),235.93)</f>
        <v>235.93</v>
      </c>
      <c r="J204" s="26">
        <f>IFERROR(__xludf.DUMMYFUNCTION("""COMPUTED_VALUE"""),152.87)</f>
        <v>152.87</v>
      </c>
      <c r="K204" s="26">
        <f>IFERROR(__xludf.DUMMYFUNCTION("""COMPUTED_VALUE"""),85.54)</f>
        <v>85.54</v>
      </c>
      <c r="L204" s="26">
        <f>IFERROR(__xludf.DUMMYFUNCTION("""COMPUTED_VALUE"""),15.71)</f>
        <v>15.71</v>
      </c>
      <c r="M204" s="26">
        <f>IFERROR(__xludf.DUMMYFUNCTION("""COMPUTED_VALUE"""),495.86)</f>
        <v>495.86</v>
      </c>
      <c r="N204" s="26">
        <f>IFERROR(__xludf.DUMMYFUNCTION("""COMPUTED_VALUE"""),49.22)</f>
        <v>49.22</v>
      </c>
      <c r="O204" s="26">
        <f>IFERROR(__xludf.DUMMYFUNCTION("""COMPUTED_VALUE"""),142.65)</f>
        <v>142.65</v>
      </c>
      <c r="P204" s="26">
        <f>IFERROR(__xludf.DUMMYFUNCTION("""COMPUTED_VALUE"""),62.07)</f>
        <v>62.07</v>
      </c>
      <c r="Q204" s="26">
        <f>IFERROR(__xludf.DUMMYFUNCTION("""COMPUTED_VALUE"""),326.75)</f>
        <v>326.75</v>
      </c>
      <c r="R204" s="26">
        <f>IFERROR(__xludf.DUMMYFUNCTION("""COMPUTED_VALUE"""),41.89)</f>
        <v>41.89</v>
      </c>
      <c r="S204" s="26">
        <f>IFERROR(__xludf.DUMMYFUNCTION("""COMPUTED_VALUE"""),221.22)</f>
        <v>221.22</v>
      </c>
      <c r="T204" s="26">
        <f>IFERROR(__xludf.DUMMYFUNCTION("""COMPUTED_VALUE"""),152.0)</f>
        <v>152</v>
      </c>
      <c r="U204" s="26">
        <f>IFERROR(__xludf.DUMMYFUNCTION("""COMPUTED_VALUE"""),308.86)</f>
        <v>308.86</v>
      </c>
      <c r="V204" s="26">
        <f>IFERROR(__xludf.DUMMYFUNCTION("""COMPUTED_VALUE"""),43.59)</f>
        <v>43.59</v>
      </c>
      <c r="W204" s="26">
        <f>IFERROR(__xludf.DUMMYFUNCTION("""COMPUTED_VALUE"""),70.19)</f>
        <v>70.19</v>
      </c>
      <c r="X204" s="26">
        <f>IFERROR(__xludf.DUMMYFUNCTION("""COMPUTED_VALUE"""),102.15)</f>
        <v>102.15</v>
      </c>
      <c r="Y204" s="26">
        <f>IFERROR(__xludf.DUMMYFUNCTION("""COMPUTED_VALUE"""),155.67)</f>
        <v>155.67</v>
      </c>
      <c r="Z204" s="26">
        <f>IFERROR(__xludf.DUMMYFUNCTION("""COMPUTED_VALUE"""),66.68)</f>
        <v>66.68</v>
      </c>
      <c r="AA204" s="26">
        <f>IFERROR(__xludf.DUMMYFUNCTION("""COMPUTED_VALUE"""),481.77)</f>
        <v>481.77</v>
      </c>
      <c r="AB204" s="26">
        <f>IFERROR(__xludf.DUMMYFUNCTION("""COMPUTED_VALUE"""),66.67)</f>
        <v>66.67</v>
      </c>
      <c r="AC204" s="26">
        <f>IFERROR(__xludf.DUMMYFUNCTION("""COMPUTED_VALUE"""),107.54)</f>
        <v>107.54</v>
      </c>
      <c r="AD204" s="26">
        <f>IFERROR(__xludf.DUMMYFUNCTION("""COMPUTED_VALUE"""),247.74)</f>
        <v>247.74</v>
      </c>
      <c r="AE204" s="26">
        <f>IFERROR(__xludf.DUMMYFUNCTION("""COMPUTED_VALUE"""),459.59)</f>
        <v>459.59</v>
      </c>
      <c r="AF204" s="26">
        <f>IFERROR(__xludf.DUMMYFUNCTION("""COMPUTED_VALUE"""),250.8)</f>
        <v>250.8</v>
      </c>
      <c r="AG204" s="26">
        <f>IFERROR(__xludf.DUMMYFUNCTION("""COMPUTED_VALUE"""),45.22)</f>
        <v>45.22</v>
      </c>
      <c r="AH204" s="26">
        <f>IFERROR(__xludf.DUMMYFUNCTION("""COMPUTED_VALUE"""),114.74)</f>
        <v>114.74</v>
      </c>
      <c r="AI204" s="26">
        <f>IFERROR(__xludf.DUMMYFUNCTION("""COMPUTED_VALUE"""),581.14)</f>
        <v>581.14</v>
      </c>
      <c r="AJ204" s="26">
        <f>IFERROR(__xludf.DUMMYFUNCTION("""COMPUTED_VALUE"""),381.68)</f>
        <v>381.68</v>
      </c>
      <c r="AK204" s="26">
        <f>IFERROR(__xludf.DUMMYFUNCTION("""COMPUTED_VALUE"""),147.63)</f>
        <v>147.63</v>
      </c>
      <c r="AL204" s="26">
        <f>IFERROR(__xludf.DUMMYFUNCTION("""COMPUTED_VALUE"""),169.85)</f>
        <v>169.85</v>
      </c>
      <c r="AM204" s="26">
        <f>IFERROR(__xludf.DUMMYFUNCTION("""COMPUTED_VALUE"""),557.96)</f>
        <v>557.96</v>
      </c>
      <c r="AN204" s="26">
        <f>IFERROR(__xludf.DUMMYFUNCTION("""COMPUTED_VALUE"""),250.25)</f>
        <v>250.25</v>
      </c>
      <c r="AO204" s="26">
        <f>IFERROR(__xludf.DUMMYFUNCTION("""COMPUTED_VALUE"""),448.82)</f>
        <v>448.82</v>
      </c>
      <c r="AP204" s="26">
        <f>IFERROR(__xludf.DUMMYFUNCTION("""COMPUTED_VALUE"""),345.29)</f>
        <v>345.29</v>
      </c>
      <c r="AQ204" s="26">
        <f>IFERROR(__xludf.DUMMYFUNCTION("""COMPUTED_VALUE"""),29.19)</f>
        <v>29.19</v>
      </c>
      <c r="AR204" s="26">
        <f>IFERROR(__xludf.DUMMYFUNCTION("""COMPUTED_VALUE"""),93.03)</f>
        <v>93.03</v>
      </c>
      <c r="AS204" s="26">
        <f>IFERROR(__xludf.DUMMYFUNCTION("""COMPUTED_VALUE"""),81.56)</f>
        <v>81.56</v>
      </c>
      <c r="AT204" s="26">
        <f>IFERROR(__xludf.DUMMYFUNCTION("""COMPUTED_VALUE"""),388.61)</f>
        <v>388.61</v>
      </c>
      <c r="AU204" s="26">
        <f>IFERROR(__xludf.DUMMYFUNCTION("""COMPUTED_VALUE"""),70.85)</f>
        <v>70.85</v>
      </c>
      <c r="AV204" s="26">
        <f>IFERROR(__xludf.DUMMYFUNCTION("""COMPUTED_VALUE"""),115.99)</f>
        <v>115.99</v>
      </c>
      <c r="AW204" s="26">
        <f>IFERROR(__xludf.DUMMYFUNCTION("""COMPUTED_VALUE"""),99.61)</f>
        <v>99.61</v>
      </c>
      <c r="AX204" s="26">
        <f>IFERROR(__xludf.DUMMYFUNCTION("""COMPUTED_VALUE"""),50.63)</f>
        <v>50.63</v>
      </c>
      <c r="AY204" s="26">
        <f>IFERROR(__xludf.DUMMYFUNCTION("""COMPUTED_VALUE"""),84.4)</f>
        <v>84.4</v>
      </c>
      <c r="AZ204" s="26">
        <f>IFERROR(__xludf.DUMMYFUNCTION("""COMPUTED_VALUE"""),67.48)</f>
        <v>67.48</v>
      </c>
      <c r="BA204" s="26">
        <f>IFERROR(__xludf.DUMMYFUNCTION("""COMPUTED_VALUE"""),25.75)</f>
        <v>25.75</v>
      </c>
      <c r="BB204" s="26">
        <f>IFERROR(__xludf.DUMMYFUNCTION("""COMPUTED_VALUE"""),128.7)</f>
        <v>128.7</v>
      </c>
      <c r="BC204" s="26">
        <f>IFERROR(__xludf.DUMMYFUNCTION("""COMPUTED_VALUE"""),264.65)</f>
        <v>264.65</v>
      </c>
      <c r="BD204" s="26">
        <f>IFERROR(__xludf.DUMMYFUNCTION("""COMPUTED_VALUE"""),516.57)</f>
        <v>516.57</v>
      </c>
      <c r="BE204" s="26">
        <f>IFERROR(__xludf.DUMMYFUNCTION("""COMPUTED_VALUE"""),180.66)</f>
        <v>180.66</v>
      </c>
      <c r="BF204" s="26">
        <f>IFERROR(__xludf.DUMMYFUNCTION("""COMPUTED_VALUE"""),69.11)</f>
        <v>69.11</v>
      </c>
      <c r="BG204" s="26">
        <f>IFERROR(__xludf.DUMMYFUNCTION("""COMPUTED_VALUE"""),6.67)</f>
        <v>6.67</v>
      </c>
      <c r="BH204" s="26">
        <f>IFERROR(__xludf.DUMMYFUNCTION("""COMPUTED_VALUE"""),241.52)</f>
        <v>241.52</v>
      </c>
      <c r="BI204" s="26">
        <f>IFERROR(__xludf.DUMMYFUNCTION("""COMPUTED_VALUE"""),474.61)</f>
        <v>474.61</v>
      </c>
      <c r="BJ204" s="26">
        <f>IFERROR(__xludf.DUMMYFUNCTION("""COMPUTED_VALUE"""),49.5)</f>
        <v>49.5</v>
      </c>
      <c r="BK204" s="26">
        <f>IFERROR(__xludf.DUMMYFUNCTION("""COMPUTED_VALUE"""),9.37)</f>
        <v>9.37</v>
      </c>
      <c r="BL204" s="26">
        <f>IFERROR(__xludf.DUMMYFUNCTION("""COMPUTED_VALUE"""),229.96)</f>
        <v>229.96</v>
      </c>
      <c r="BM204" s="26">
        <f>IFERROR(__xludf.DUMMYFUNCTION("""COMPUTED_VALUE"""),109.01)</f>
        <v>109.01</v>
      </c>
    </row>
    <row r="205">
      <c r="A205" s="25">
        <v>45722.66666666667</v>
      </c>
      <c r="B205" s="17">
        <f>IFERROR(__xludf.DUMMYFUNCTION("""COMPUTED_VALUE"""),5842.63)</f>
        <v>5842.63</v>
      </c>
      <c r="C205" s="17">
        <f>IFERROR(__xludf.DUMMYFUNCTION("""COMPUTED_VALUE"""),18552.73)</f>
        <v>18552.73</v>
      </c>
      <c r="D205" s="17">
        <f>IFERROR(__xludf.DUMMYFUNCTION("""COMPUTED_VALUE"""),43006.59)</f>
        <v>43006.59</v>
      </c>
      <c r="E205" s="17">
        <f>IFERROR(__xludf.DUMMYFUNCTION("""COMPUTED_VALUE"""),2100.75)</f>
        <v>2100.75</v>
      </c>
      <c r="F205" s="26">
        <f>IFERROR(__xludf.DUMMYFUNCTION("""COMPUTED_VALUE"""),451.24)</f>
        <v>451.24</v>
      </c>
      <c r="G205" s="26">
        <f>IFERROR(__xludf.DUMMYFUNCTION("""COMPUTED_VALUE"""),208.36)</f>
        <v>208.36</v>
      </c>
      <c r="H205" s="26">
        <f>IFERROR(__xludf.DUMMYFUNCTION("""COMPUTED_VALUE"""),137.82)</f>
        <v>137.82</v>
      </c>
      <c r="I205" s="26">
        <f>IFERROR(__xludf.DUMMYFUNCTION("""COMPUTED_VALUE"""),235.74)</f>
        <v>235.74</v>
      </c>
      <c r="J205" s="26">
        <f>IFERROR(__xludf.DUMMYFUNCTION("""COMPUTED_VALUE"""),155.32)</f>
        <v>155.32</v>
      </c>
      <c r="K205" s="26">
        <f>IFERROR(__xludf.DUMMYFUNCTION("""COMPUTED_VALUE"""),86.56)</f>
        <v>86.56</v>
      </c>
      <c r="L205" s="26">
        <f>IFERROR(__xludf.DUMMYFUNCTION("""COMPUTED_VALUE"""),16.24)</f>
        <v>16.24</v>
      </c>
      <c r="M205" s="26">
        <f>IFERROR(__xludf.DUMMYFUNCTION("""COMPUTED_VALUE"""),498.5)</f>
        <v>498.5</v>
      </c>
      <c r="N205" s="26">
        <f>IFERROR(__xludf.DUMMYFUNCTION("""COMPUTED_VALUE"""),50.71)</f>
        <v>50.71</v>
      </c>
      <c r="O205" s="26">
        <f>IFERROR(__xludf.DUMMYFUNCTION("""COMPUTED_VALUE"""),143.77)</f>
        <v>143.77</v>
      </c>
      <c r="P205" s="26">
        <f>IFERROR(__xludf.DUMMYFUNCTION("""COMPUTED_VALUE"""),64.87)</f>
        <v>64.87</v>
      </c>
      <c r="Q205" s="26">
        <f>IFERROR(__xludf.DUMMYFUNCTION("""COMPUTED_VALUE"""),338.49)</f>
        <v>338.49</v>
      </c>
      <c r="R205" s="26">
        <f>IFERROR(__xludf.DUMMYFUNCTION("""COMPUTED_VALUE"""),42.99)</f>
        <v>42.99</v>
      </c>
      <c r="S205" s="26">
        <f>IFERROR(__xludf.DUMMYFUNCTION("""COMPUTED_VALUE"""),221.6)</f>
        <v>221.6</v>
      </c>
      <c r="T205" s="26">
        <f>IFERROR(__xludf.DUMMYFUNCTION("""COMPUTED_VALUE"""),150.81)</f>
        <v>150.81</v>
      </c>
      <c r="U205" s="26">
        <f>IFERROR(__xludf.DUMMYFUNCTION("""COMPUTED_VALUE"""),309.83)</f>
        <v>309.83</v>
      </c>
      <c r="V205" s="26">
        <f>IFERROR(__xludf.DUMMYFUNCTION("""COMPUTED_VALUE"""),43.34)</f>
        <v>43.34</v>
      </c>
      <c r="W205" s="26">
        <f>IFERROR(__xludf.DUMMYFUNCTION("""COMPUTED_VALUE"""),70.08)</f>
        <v>70.08</v>
      </c>
      <c r="X205" s="26">
        <f>IFERROR(__xludf.DUMMYFUNCTION("""COMPUTED_VALUE"""),100.2)</f>
        <v>100.2</v>
      </c>
      <c r="Y205" s="26">
        <f>IFERROR(__xludf.DUMMYFUNCTION("""COMPUTED_VALUE"""),157.28)</f>
        <v>157.28</v>
      </c>
      <c r="Z205" s="26">
        <f>IFERROR(__xludf.DUMMYFUNCTION("""COMPUTED_VALUE"""),70.16)</f>
        <v>70.16</v>
      </c>
      <c r="AA205" s="26">
        <f>IFERROR(__xludf.DUMMYFUNCTION("""COMPUTED_VALUE"""),476.18)</f>
        <v>476.18</v>
      </c>
      <c r="AB205" s="26">
        <f>IFERROR(__xludf.DUMMYFUNCTION("""COMPUTED_VALUE"""),66.55)</f>
        <v>66.55</v>
      </c>
      <c r="AC205" s="26">
        <f>IFERROR(__xludf.DUMMYFUNCTION("""COMPUTED_VALUE"""),105.44)</f>
        <v>105.44</v>
      </c>
      <c r="AD205" s="26">
        <f>IFERROR(__xludf.DUMMYFUNCTION("""COMPUTED_VALUE"""),250.41)</f>
        <v>250.41</v>
      </c>
      <c r="AE205" s="26">
        <f>IFERROR(__xludf.DUMMYFUNCTION("""COMPUTED_VALUE"""),459.2)</f>
        <v>459.2</v>
      </c>
      <c r="AF205" s="26">
        <f>IFERROR(__xludf.DUMMYFUNCTION("""COMPUTED_VALUE"""),262.96)</f>
        <v>262.96</v>
      </c>
      <c r="AG205" s="26">
        <f>IFERROR(__xludf.DUMMYFUNCTION("""COMPUTED_VALUE"""),48.48)</f>
        <v>48.48</v>
      </c>
      <c r="AH205" s="26">
        <f>IFERROR(__xludf.DUMMYFUNCTION("""COMPUTED_VALUE"""),115.44)</f>
        <v>115.44</v>
      </c>
      <c r="AI205" s="26">
        <f>IFERROR(__xludf.DUMMYFUNCTION("""COMPUTED_VALUE"""),593.07)</f>
        <v>593.07</v>
      </c>
      <c r="AJ205" s="26">
        <f>IFERROR(__xludf.DUMMYFUNCTION("""COMPUTED_VALUE"""),386.35)</f>
        <v>386.35</v>
      </c>
      <c r="AK205" s="26">
        <f>IFERROR(__xludf.DUMMYFUNCTION("""COMPUTED_VALUE"""),147.88)</f>
        <v>147.88</v>
      </c>
      <c r="AL205" s="26">
        <f>IFERROR(__xludf.DUMMYFUNCTION("""COMPUTED_VALUE"""),171.61)</f>
        <v>171.61</v>
      </c>
      <c r="AM205" s="26">
        <f>IFERROR(__xludf.DUMMYFUNCTION("""COMPUTED_VALUE"""),568.02)</f>
        <v>568.02</v>
      </c>
      <c r="AN205" s="26">
        <f>IFERROR(__xludf.DUMMYFUNCTION("""COMPUTED_VALUE"""),251.53)</f>
        <v>251.53</v>
      </c>
      <c r="AO205" s="26">
        <f>IFERROR(__xludf.DUMMYFUNCTION("""COMPUTED_VALUE"""),460.42)</f>
        <v>460.42</v>
      </c>
      <c r="AP205" s="26">
        <f>IFERROR(__xludf.DUMMYFUNCTION("""COMPUTED_VALUE"""),349.53)</f>
        <v>349.53</v>
      </c>
      <c r="AQ205" s="26">
        <f>IFERROR(__xludf.DUMMYFUNCTION("""COMPUTED_VALUE"""),29.96)</f>
        <v>29.96</v>
      </c>
      <c r="AR205" s="26">
        <f>IFERROR(__xludf.DUMMYFUNCTION("""COMPUTED_VALUE"""),94.06)</f>
        <v>94.06</v>
      </c>
      <c r="AS205" s="26">
        <f>IFERROR(__xludf.DUMMYFUNCTION("""COMPUTED_VALUE"""),83.06)</f>
        <v>83.06</v>
      </c>
      <c r="AT205" s="26">
        <f>IFERROR(__xludf.DUMMYFUNCTION("""COMPUTED_VALUE"""),401.02)</f>
        <v>401.02</v>
      </c>
      <c r="AU205" s="26">
        <f>IFERROR(__xludf.DUMMYFUNCTION("""COMPUTED_VALUE"""),70.48)</f>
        <v>70.48</v>
      </c>
      <c r="AV205" s="26">
        <f>IFERROR(__xludf.DUMMYFUNCTION("""COMPUTED_VALUE"""),117.3)</f>
        <v>117.3</v>
      </c>
      <c r="AW205" s="26">
        <f>IFERROR(__xludf.DUMMYFUNCTION("""COMPUTED_VALUE"""),101.36)</f>
        <v>101.36</v>
      </c>
      <c r="AX205" s="26">
        <f>IFERROR(__xludf.DUMMYFUNCTION("""COMPUTED_VALUE"""),52.48)</f>
        <v>52.48</v>
      </c>
      <c r="AY205" s="26">
        <f>IFERROR(__xludf.DUMMYFUNCTION("""COMPUTED_VALUE"""),90.13)</f>
        <v>90.13</v>
      </c>
      <c r="AZ205" s="26">
        <f>IFERROR(__xludf.DUMMYFUNCTION("""COMPUTED_VALUE"""),69.5)</f>
        <v>69.5</v>
      </c>
      <c r="BA205" s="26">
        <f>IFERROR(__xludf.DUMMYFUNCTION("""COMPUTED_VALUE"""),25.94)</f>
        <v>25.94</v>
      </c>
      <c r="BB205" s="26">
        <f>IFERROR(__xludf.DUMMYFUNCTION("""COMPUTED_VALUE"""),129.64)</f>
        <v>129.64</v>
      </c>
      <c r="BC205" s="26">
        <f>IFERROR(__xludf.DUMMYFUNCTION("""COMPUTED_VALUE"""),262.74)</f>
        <v>262.74</v>
      </c>
      <c r="BD205" s="26">
        <f>IFERROR(__xludf.DUMMYFUNCTION("""COMPUTED_VALUE"""),524.19)</f>
        <v>524.19</v>
      </c>
      <c r="BE205" s="26">
        <f>IFERROR(__xludf.DUMMYFUNCTION("""COMPUTED_VALUE"""),192.35)</f>
        <v>192.35</v>
      </c>
      <c r="BF205" s="26">
        <f>IFERROR(__xludf.DUMMYFUNCTION("""COMPUTED_VALUE"""),67.44)</f>
        <v>67.44</v>
      </c>
      <c r="BG205" s="26">
        <f>IFERROR(__xludf.DUMMYFUNCTION("""COMPUTED_VALUE"""),6.95)</f>
        <v>6.95</v>
      </c>
      <c r="BH205" s="26">
        <f>IFERROR(__xludf.DUMMYFUNCTION("""COMPUTED_VALUE"""),243.61)</f>
        <v>243.61</v>
      </c>
      <c r="BI205" s="26">
        <f>IFERROR(__xludf.DUMMYFUNCTION("""COMPUTED_VALUE"""),475.98)</f>
        <v>475.98</v>
      </c>
      <c r="BJ205" s="26">
        <f>IFERROR(__xludf.DUMMYFUNCTION("""COMPUTED_VALUE"""),49.39)</f>
        <v>49.39</v>
      </c>
      <c r="BK205" s="26">
        <f>IFERROR(__xludf.DUMMYFUNCTION("""COMPUTED_VALUE"""),9.48)</f>
        <v>9.48</v>
      </c>
      <c r="BL205" s="26">
        <f>IFERROR(__xludf.DUMMYFUNCTION("""COMPUTED_VALUE"""),230.39)</f>
        <v>230.39</v>
      </c>
      <c r="BM205" s="26">
        <f>IFERROR(__xludf.DUMMYFUNCTION("""COMPUTED_VALUE"""),109.31)</f>
        <v>109.31</v>
      </c>
    </row>
    <row r="206">
      <c r="A206" s="25">
        <v>45723.66666666667</v>
      </c>
      <c r="B206" s="17">
        <f>IFERROR(__xludf.DUMMYFUNCTION("""COMPUTED_VALUE"""),5738.52)</f>
        <v>5738.52</v>
      </c>
      <c r="C206" s="17">
        <f>IFERROR(__xludf.DUMMYFUNCTION("""COMPUTED_VALUE"""),18069.26)</f>
        <v>18069.26</v>
      </c>
      <c r="D206" s="17">
        <f>IFERROR(__xludf.DUMMYFUNCTION("""COMPUTED_VALUE"""),42579.08)</f>
        <v>42579.08</v>
      </c>
      <c r="E206" s="17">
        <f>IFERROR(__xludf.DUMMYFUNCTION("""COMPUTED_VALUE"""),2066.55)</f>
        <v>2066.55</v>
      </c>
      <c r="F206" s="26">
        <f>IFERROR(__xludf.DUMMYFUNCTION("""COMPUTED_VALUE"""),444.78)</f>
        <v>444.78</v>
      </c>
      <c r="G206" s="26">
        <f>IFERROR(__xludf.DUMMYFUNCTION("""COMPUTED_VALUE"""),200.7)</f>
        <v>200.7</v>
      </c>
      <c r="H206" s="26">
        <f>IFERROR(__xludf.DUMMYFUNCTION("""COMPUTED_VALUE"""),138.18)</f>
        <v>138.18</v>
      </c>
      <c r="I206" s="26">
        <f>IFERROR(__xludf.DUMMYFUNCTION("""COMPUTED_VALUE"""),235.33)</f>
        <v>235.33</v>
      </c>
      <c r="J206" s="26">
        <f>IFERROR(__xludf.DUMMYFUNCTION("""COMPUTED_VALUE"""),151.54)</f>
        <v>151.54</v>
      </c>
      <c r="K206" s="26">
        <f>IFERROR(__xludf.DUMMYFUNCTION("""COMPUTED_VALUE"""),84.69)</f>
        <v>84.69</v>
      </c>
      <c r="L206" s="26">
        <f>IFERROR(__xludf.DUMMYFUNCTION("""COMPUTED_VALUE"""),16.02)</f>
        <v>16.02</v>
      </c>
      <c r="M206" s="26">
        <f>IFERROR(__xludf.DUMMYFUNCTION("""COMPUTED_VALUE"""),497.84)</f>
        <v>497.84</v>
      </c>
      <c r="N206" s="26">
        <f>IFERROR(__xludf.DUMMYFUNCTION("""COMPUTED_VALUE"""),50.69)</f>
        <v>50.69</v>
      </c>
      <c r="O206" s="26">
        <f>IFERROR(__xludf.DUMMYFUNCTION("""COMPUTED_VALUE"""),147.37)</f>
        <v>147.37</v>
      </c>
      <c r="P206" s="26">
        <f>IFERROR(__xludf.DUMMYFUNCTION("""COMPUTED_VALUE"""),65.37)</f>
        <v>65.37</v>
      </c>
      <c r="Q206" s="26">
        <f>IFERROR(__xludf.DUMMYFUNCTION("""COMPUTED_VALUE"""),341.01)</f>
        <v>341.01</v>
      </c>
      <c r="R206" s="26">
        <f>IFERROR(__xludf.DUMMYFUNCTION("""COMPUTED_VALUE"""),42.13)</f>
        <v>42.13</v>
      </c>
      <c r="S206" s="26">
        <f>IFERROR(__xludf.DUMMYFUNCTION("""COMPUTED_VALUE"""),223.48)</f>
        <v>223.48</v>
      </c>
      <c r="T206" s="26">
        <f>IFERROR(__xludf.DUMMYFUNCTION("""COMPUTED_VALUE"""),152.95)</f>
        <v>152.95</v>
      </c>
      <c r="U206" s="26">
        <f>IFERROR(__xludf.DUMMYFUNCTION("""COMPUTED_VALUE"""),315.63)</f>
        <v>315.63</v>
      </c>
      <c r="V206" s="26">
        <f>IFERROR(__xludf.DUMMYFUNCTION("""COMPUTED_VALUE"""),42.37)</f>
        <v>42.37</v>
      </c>
      <c r="W206" s="26">
        <f>IFERROR(__xludf.DUMMYFUNCTION("""COMPUTED_VALUE"""),70.46)</f>
        <v>70.46</v>
      </c>
      <c r="X206" s="26">
        <f>IFERROR(__xludf.DUMMYFUNCTION("""COMPUTED_VALUE"""),100.91)</f>
        <v>100.91</v>
      </c>
      <c r="Y206" s="26">
        <f>IFERROR(__xludf.DUMMYFUNCTION("""COMPUTED_VALUE"""),148.42)</f>
        <v>148.42</v>
      </c>
      <c r="Z206" s="26">
        <f>IFERROR(__xludf.DUMMYFUNCTION("""COMPUTED_VALUE"""),69.1)</f>
        <v>69.1</v>
      </c>
      <c r="AA206" s="26">
        <f>IFERROR(__xludf.DUMMYFUNCTION("""COMPUTED_VALUE"""),480.24)</f>
        <v>480.24</v>
      </c>
      <c r="AB206" s="26">
        <f>IFERROR(__xludf.DUMMYFUNCTION("""COMPUTED_VALUE"""),67.87)</f>
        <v>67.87</v>
      </c>
      <c r="AC206" s="26">
        <f>IFERROR(__xludf.DUMMYFUNCTION("""COMPUTED_VALUE"""),107.62)</f>
        <v>107.62</v>
      </c>
      <c r="AD206" s="26">
        <f>IFERROR(__xludf.DUMMYFUNCTION("""COMPUTED_VALUE"""),249.79)</f>
        <v>249.79</v>
      </c>
      <c r="AE206" s="26">
        <f>IFERROR(__xludf.DUMMYFUNCTION("""COMPUTED_VALUE"""),446.7)</f>
        <v>446.7</v>
      </c>
      <c r="AF206" s="26">
        <f>IFERROR(__xludf.DUMMYFUNCTION("""COMPUTED_VALUE"""),264.55)</f>
        <v>264.55</v>
      </c>
      <c r="AG206" s="26">
        <f>IFERROR(__xludf.DUMMYFUNCTION("""COMPUTED_VALUE"""),47.2)</f>
        <v>47.2</v>
      </c>
      <c r="AH206" s="26">
        <f>IFERROR(__xludf.DUMMYFUNCTION("""COMPUTED_VALUE"""),116.04)</f>
        <v>116.04</v>
      </c>
      <c r="AI206" s="26">
        <f>IFERROR(__xludf.DUMMYFUNCTION("""COMPUTED_VALUE"""),567.67)</f>
        <v>567.67</v>
      </c>
      <c r="AJ206" s="26">
        <f>IFERROR(__xludf.DUMMYFUNCTION("""COMPUTED_VALUE"""),381.73)</f>
        <v>381.73</v>
      </c>
      <c r="AK206" s="26">
        <f>IFERROR(__xludf.DUMMYFUNCTION("""COMPUTED_VALUE"""),145.46)</f>
        <v>145.46</v>
      </c>
      <c r="AL206" s="26">
        <f>IFERROR(__xludf.DUMMYFUNCTION("""COMPUTED_VALUE"""),169.65)</f>
        <v>169.65</v>
      </c>
      <c r="AM206" s="26">
        <f>IFERROR(__xludf.DUMMYFUNCTION("""COMPUTED_VALUE"""),538.57)</f>
        <v>538.57</v>
      </c>
      <c r="AN206" s="26">
        <f>IFERROR(__xludf.DUMMYFUNCTION("""COMPUTED_VALUE"""),246.54)</f>
        <v>246.54</v>
      </c>
      <c r="AO206" s="26">
        <f>IFERROR(__xludf.DUMMYFUNCTION("""COMPUTED_VALUE"""),461.5)</f>
        <v>461.5</v>
      </c>
      <c r="AP206" s="26">
        <f>IFERROR(__xludf.DUMMYFUNCTION("""COMPUTED_VALUE"""),347.94)</f>
        <v>347.94</v>
      </c>
      <c r="AQ206" s="26">
        <f>IFERROR(__xludf.DUMMYFUNCTION("""COMPUTED_VALUE"""),29.37)</f>
        <v>29.37</v>
      </c>
      <c r="AR206" s="26">
        <f>IFERROR(__xludf.DUMMYFUNCTION("""COMPUTED_VALUE"""),93.13)</f>
        <v>93.13</v>
      </c>
      <c r="AS206" s="26">
        <f>IFERROR(__xludf.DUMMYFUNCTION("""COMPUTED_VALUE"""),82.22)</f>
        <v>82.22</v>
      </c>
      <c r="AT206" s="26">
        <f>IFERROR(__xludf.DUMMYFUNCTION("""COMPUTED_VALUE"""),396.89)</f>
        <v>396.89</v>
      </c>
      <c r="AU206" s="26">
        <f>IFERROR(__xludf.DUMMYFUNCTION("""COMPUTED_VALUE"""),70.01)</f>
        <v>70.01</v>
      </c>
      <c r="AV206" s="26">
        <f>IFERROR(__xludf.DUMMYFUNCTION("""COMPUTED_VALUE"""),110.57)</f>
        <v>110.57</v>
      </c>
      <c r="AW206" s="26">
        <f>IFERROR(__xludf.DUMMYFUNCTION("""COMPUTED_VALUE"""),102.57)</f>
        <v>102.57</v>
      </c>
      <c r="AX206" s="26">
        <f>IFERROR(__xludf.DUMMYFUNCTION("""COMPUTED_VALUE"""),49.53)</f>
        <v>49.53</v>
      </c>
      <c r="AY206" s="26">
        <f>IFERROR(__xludf.DUMMYFUNCTION("""COMPUTED_VALUE"""),80.46)</f>
        <v>80.46</v>
      </c>
      <c r="AZ206" s="26">
        <f>IFERROR(__xludf.DUMMYFUNCTION("""COMPUTED_VALUE"""),68.08)</f>
        <v>68.08</v>
      </c>
      <c r="BA206" s="26">
        <f>IFERROR(__xludf.DUMMYFUNCTION("""COMPUTED_VALUE"""),26.24)</f>
        <v>26.24</v>
      </c>
      <c r="BB206" s="26">
        <f>IFERROR(__xludf.DUMMYFUNCTION("""COMPUTED_VALUE"""),128.28)</f>
        <v>128.28</v>
      </c>
      <c r="BC206" s="26">
        <f>IFERROR(__xludf.DUMMYFUNCTION("""COMPUTED_VALUE"""),262.95)</f>
        <v>262.95</v>
      </c>
      <c r="BD206" s="26">
        <f>IFERROR(__xludf.DUMMYFUNCTION("""COMPUTED_VALUE"""),527.64)</f>
        <v>527.64</v>
      </c>
      <c r="BE206" s="26">
        <f>IFERROR(__xludf.DUMMYFUNCTION("""COMPUTED_VALUE"""),187.51)</f>
        <v>187.51</v>
      </c>
      <c r="BF206" s="26">
        <f>IFERROR(__xludf.DUMMYFUNCTION("""COMPUTED_VALUE"""),65.29)</f>
        <v>65.29</v>
      </c>
      <c r="BG206" s="26">
        <f>IFERROR(__xludf.DUMMYFUNCTION("""COMPUTED_VALUE"""),6.9)</f>
        <v>6.9</v>
      </c>
      <c r="BH206" s="26">
        <f>IFERROR(__xludf.DUMMYFUNCTION("""COMPUTED_VALUE"""),245.27)</f>
        <v>245.27</v>
      </c>
      <c r="BI206" s="26">
        <f>IFERROR(__xludf.DUMMYFUNCTION("""COMPUTED_VALUE"""),487.72)</f>
        <v>487.72</v>
      </c>
      <c r="BJ206" s="26">
        <f>IFERROR(__xludf.DUMMYFUNCTION("""COMPUTED_VALUE"""),49.38)</f>
        <v>49.38</v>
      </c>
      <c r="BK206" s="26">
        <f>IFERROR(__xludf.DUMMYFUNCTION("""COMPUTED_VALUE"""),9.51)</f>
        <v>9.51</v>
      </c>
      <c r="BL206" s="26">
        <f>IFERROR(__xludf.DUMMYFUNCTION("""COMPUTED_VALUE"""),225.96)</f>
        <v>225.96</v>
      </c>
      <c r="BM206" s="26">
        <f>IFERROR(__xludf.DUMMYFUNCTION("""COMPUTED_VALUE"""),105.43)</f>
        <v>105.43</v>
      </c>
    </row>
    <row r="207">
      <c r="A207" s="25">
        <v>45726.66666666667</v>
      </c>
      <c r="B207" s="17">
        <f>IFERROR(__xludf.DUMMYFUNCTION("""COMPUTED_VALUE"""),5770.2)</f>
        <v>5770.2</v>
      </c>
      <c r="C207" s="17">
        <f>IFERROR(__xludf.DUMMYFUNCTION("""COMPUTED_VALUE"""),18196.22)</f>
        <v>18196.22</v>
      </c>
      <c r="D207" s="17">
        <f>IFERROR(__xludf.DUMMYFUNCTION("""COMPUTED_VALUE"""),42801.72)</f>
        <v>42801.72</v>
      </c>
      <c r="E207" s="17">
        <f>IFERROR(__xludf.DUMMYFUNCTION("""COMPUTED_VALUE"""),2075.48)</f>
        <v>2075.48</v>
      </c>
      <c r="F207" s="26">
        <f>IFERROR(__xludf.DUMMYFUNCTION("""COMPUTED_VALUE"""),449.4)</f>
        <v>449.4</v>
      </c>
      <c r="G207" s="26">
        <f>IFERROR(__xludf.DUMMYFUNCTION("""COMPUTED_VALUE"""),199.25)</f>
        <v>199.25</v>
      </c>
      <c r="H207" s="26">
        <f>IFERROR(__xludf.DUMMYFUNCTION("""COMPUTED_VALUE"""),145.4)</f>
        <v>145.4</v>
      </c>
      <c r="I207" s="26">
        <f>IFERROR(__xludf.DUMMYFUNCTION("""COMPUTED_VALUE"""),239.07)</f>
        <v>239.07</v>
      </c>
      <c r="J207" s="26">
        <f>IFERROR(__xludf.DUMMYFUNCTION("""COMPUTED_VALUE"""),155.68)</f>
        <v>155.68</v>
      </c>
      <c r="K207" s="26">
        <f>IFERROR(__xludf.DUMMYFUNCTION("""COMPUTED_VALUE"""),85.84)</f>
        <v>85.84</v>
      </c>
      <c r="L207" s="26">
        <f>IFERROR(__xludf.DUMMYFUNCTION("""COMPUTED_VALUE"""),15.94)</f>
        <v>15.94</v>
      </c>
      <c r="M207" s="26">
        <f>IFERROR(__xludf.DUMMYFUNCTION("""COMPUTED_VALUE"""),495.62)</f>
        <v>495.62</v>
      </c>
      <c r="N207" s="26">
        <f>IFERROR(__xludf.DUMMYFUNCTION("""COMPUTED_VALUE"""),50.16)</f>
        <v>50.16</v>
      </c>
      <c r="O207" s="26">
        <f>IFERROR(__xludf.DUMMYFUNCTION("""COMPUTED_VALUE"""),150.38)</f>
        <v>150.38</v>
      </c>
      <c r="P207" s="26">
        <f>IFERROR(__xludf.DUMMYFUNCTION("""COMPUTED_VALUE"""),67.39)</f>
        <v>67.39</v>
      </c>
      <c r="Q207" s="26">
        <f>IFERROR(__xludf.DUMMYFUNCTION("""COMPUTED_VALUE"""),350.3)</f>
        <v>350.3</v>
      </c>
      <c r="R207" s="26">
        <f>IFERROR(__xludf.DUMMYFUNCTION("""COMPUTED_VALUE"""),41.83)</f>
        <v>41.83</v>
      </c>
      <c r="S207" s="26">
        <f>IFERROR(__xludf.DUMMYFUNCTION("""COMPUTED_VALUE"""),230.2)</f>
        <v>230.2</v>
      </c>
      <c r="T207" s="26">
        <f>IFERROR(__xludf.DUMMYFUNCTION("""COMPUTED_VALUE"""),156.34)</f>
        <v>156.34</v>
      </c>
      <c r="U207" s="26">
        <f>IFERROR(__xludf.DUMMYFUNCTION("""COMPUTED_VALUE"""),321.02)</f>
        <v>321.02</v>
      </c>
      <c r="V207" s="26">
        <f>IFERROR(__xludf.DUMMYFUNCTION("""COMPUTED_VALUE"""),41.64)</f>
        <v>41.64</v>
      </c>
      <c r="W207" s="26">
        <f>IFERROR(__xludf.DUMMYFUNCTION("""COMPUTED_VALUE"""),71.43)</f>
        <v>71.43</v>
      </c>
      <c r="X207" s="26">
        <f>IFERROR(__xludf.DUMMYFUNCTION("""COMPUTED_VALUE"""),103.64)</f>
        <v>103.64</v>
      </c>
      <c r="Y207" s="26">
        <f>IFERROR(__xludf.DUMMYFUNCTION("""COMPUTED_VALUE"""),149.17)</f>
        <v>149.17</v>
      </c>
      <c r="Z207" s="26">
        <f>IFERROR(__xludf.DUMMYFUNCTION("""COMPUTED_VALUE"""),68.99)</f>
        <v>68.99</v>
      </c>
      <c r="AA207" s="26">
        <f>IFERROR(__xludf.DUMMYFUNCTION("""COMPUTED_VALUE"""),472.05)</f>
        <v>472.05</v>
      </c>
      <c r="AB207" s="26">
        <f>IFERROR(__xludf.DUMMYFUNCTION("""COMPUTED_VALUE"""),70.51)</f>
        <v>70.51</v>
      </c>
      <c r="AC207" s="26">
        <f>IFERROR(__xludf.DUMMYFUNCTION("""COMPUTED_VALUE"""),109.02)</f>
        <v>109.02</v>
      </c>
      <c r="AD207" s="26">
        <f>IFERROR(__xludf.DUMMYFUNCTION("""COMPUTED_VALUE"""),253.92)</f>
        <v>253.92</v>
      </c>
      <c r="AE207" s="26">
        <f>IFERROR(__xludf.DUMMYFUNCTION("""COMPUTED_VALUE"""),449.56)</f>
        <v>449.56</v>
      </c>
      <c r="AF207" s="26">
        <f>IFERROR(__xludf.DUMMYFUNCTION("""COMPUTED_VALUE"""),271.56)</f>
        <v>271.56</v>
      </c>
      <c r="AG207" s="26">
        <f>IFERROR(__xludf.DUMMYFUNCTION("""COMPUTED_VALUE"""),47.44)</f>
        <v>47.44</v>
      </c>
      <c r="AH207" s="26">
        <f>IFERROR(__xludf.DUMMYFUNCTION("""COMPUTED_VALUE"""),117.41)</f>
        <v>117.41</v>
      </c>
      <c r="AI207" s="26">
        <f>IFERROR(__xludf.DUMMYFUNCTION("""COMPUTED_VALUE"""),559.67)</f>
        <v>559.67</v>
      </c>
      <c r="AJ207" s="26">
        <f>IFERROR(__xludf.DUMMYFUNCTION("""COMPUTED_VALUE"""),376.8)</f>
        <v>376.8</v>
      </c>
      <c r="AK207" s="26">
        <f>IFERROR(__xludf.DUMMYFUNCTION("""COMPUTED_VALUE"""),149.28)</f>
        <v>149.28</v>
      </c>
      <c r="AL207" s="26">
        <f>IFERROR(__xludf.DUMMYFUNCTION("""COMPUTED_VALUE"""),170.24)</f>
        <v>170.24</v>
      </c>
      <c r="AM207" s="26">
        <f>IFERROR(__xludf.DUMMYFUNCTION("""COMPUTED_VALUE"""),518.26)</f>
        <v>518.26</v>
      </c>
      <c r="AN207" s="26">
        <f>IFERROR(__xludf.DUMMYFUNCTION("""COMPUTED_VALUE"""),242.28)</f>
        <v>242.28</v>
      </c>
      <c r="AO207" s="26">
        <f>IFERROR(__xludf.DUMMYFUNCTION("""COMPUTED_VALUE"""),473.65)</f>
        <v>473.65</v>
      </c>
      <c r="AP207" s="26">
        <f>IFERROR(__xludf.DUMMYFUNCTION("""COMPUTED_VALUE"""),344.36)</f>
        <v>344.36</v>
      </c>
      <c r="AQ207" s="26">
        <f>IFERROR(__xludf.DUMMYFUNCTION("""COMPUTED_VALUE"""),29.26)</f>
        <v>29.26</v>
      </c>
      <c r="AR207" s="26">
        <f>IFERROR(__xludf.DUMMYFUNCTION("""COMPUTED_VALUE"""),94.5)</f>
        <v>94.5</v>
      </c>
      <c r="AS207" s="26">
        <f>IFERROR(__xludf.DUMMYFUNCTION("""COMPUTED_VALUE"""),82.25)</f>
        <v>82.25</v>
      </c>
      <c r="AT207" s="26">
        <f>IFERROR(__xludf.DUMMYFUNCTION("""COMPUTED_VALUE"""),393.31)</f>
        <v>393.31</v>
      </c>
      <c r="AU207" s="26">
        <f>IFERROR(__xludf.DUMMYFUNCTION("""COMPUTED_VALUE"""),72.83)</f>
        <v>72.83</v>
      </c>
      <c r="AV207" s="26">
        <f>IFERROR(__xludf.DUMMYFUNCTION("""COMPUTED_VALUE"""),112.69)</f>
        <v>112.69</v>
      </c>
      <c r="AW207" s="26">
        <f>IFERROR(__xludf.DUMMYFUNCTION("""COMPUTED_VALUE"""),104.01)</f>
        <v>104.01</v>
      </c>
      <c r="AX207" s="26">
        <f>IFERROR(__xludf.DUMMYFUNCTION("""COMPUTED_VALUE"""),46.66)</f>
        <v>46.66</v>
      </c>
      <c r="AY207" s="26">
        <f>IFERROR(__xludf.DUMMYFUNCTION("""COMPUTED_VALUE"""),84.91)</f>
        <v>84.91</v>
      </c>
      <c r="AZ207" s="26">
        <f>IFERROR(__xludf.DUMMYFUNCTION("""COMPUTED_VALUE"""),70.48)</f>
        <v>70.48</v>
      </c>
      <c r="BA207" s="26">
        <f>IFERROR(__xludf.DUMMYFUNCTION("""COMPUTED_VALUE"""),26.73)</f>
        <v>26.73</v>
      </c>
      <c r="BB207" s="26">
        <f>IFERROR(__xludf.DUMMYFUNCTION("""COMPUTED_VALUE"""),128.4)</f>
        <v>128.4</v>
      </c>
      <c r="BC207" s="26">
        <f>IFERROR(__xludf.DUMMYFUNCTION("""COMPUTED_VALUE"""),265.24)</f>
        <v>265.24</v>
      </c>
      <c r="BD207" s="26">
        <f>IFERROR(__xludf.DUMMYFUNCTION("""COMPUTED_VALUE"""),531.71)</f>
        <v>531.71</v>
      </c>
      <c r="BE207" s="26">
        <f>IFERROR(__xludf.DUMMYFUNCTION("""COMPUTED_VALUE"""),190.18)</f>
        <v>190.18</v>
      </c>
      <c r="BF207" s="26">
        <f>IFERROR(__xludf.DUMMYFUNCTION("""COMPUTED_VALUE"""),67.46)</f>
        <v>67.46</v>
      </c>
      <c r="BG207" s="26">
        <f>IFERROR(__xludf.DUMMYFUNCTION("""COMPUTED_VALUE"""),7.08)</f>
        <v>7.08</v>
      </c>
      <c r="BH207" s="26">
        <f>IFERROR(__xludf.DUMMYFUNCTION("""COMPUTED_VALUE"""),249.31)</f>
        <v>249.31</v>
      </c>
      <c r="BI207" s="26">
        <f>IFERROR(__xludf.DUMMYFUNCTION("""COMPUTED_VALUE"""),493.48)</f>
        <v>493.48</v>
      </c>
      <c r="BJ207" s="26">
        <f>IFERROR(__xludf.DUMMYFUNCTION("""COMPUTED_VALUE"""),49.38)</f>
        <v>49.38</v>
      </c>
      <c r="BK207" s="26">
        <f>IFERROR(__xludf.DUMMYFUNCTION("""COMPUTED_VALUE"""),9.65)</f>
        <v>9.65</v>
      </c>
      <c r="BL207" s="26">
        <f>IFERROR(__xludf.DUMMYFUNCTION("""COMPUTED_VALUE"""),229.55)</f>
        <v>229.55</v>
      </c>
      <c r="BM207" s="26">
        <f>IFERROR(__xludf.DUMMYFUNCTION("""COMPUTED_VALUE"""),105.51)</f>
        <v>105.51</v>
      </c>
    </row>
    <row r="208">
      <c r="A208" s="25">
        <v>45727.66666666667</v>
      </c>
      <c r="B208" s="17">
        <f>IFERROR(__xludf.DUMMYFUNCTION("""COMPUTED_VALUE"""),5614.56)</f>
        <v>5614.56</v>
      </c>
      <c r="C208" s="17">
        <f>IFERROR(__xludf.DUMMYFUNCTION("""COMPUTED_VALUE"""),17468.32)</f>
        <v>17468.32</v>
      </c>
      <c r="D208" s="17">
        <f>IFERROR(__xludf.DUMMYFUNCTION("""COMPUTED_VALUE"""),41911.71)</f>
        <v>41911.71</v>
      </c>
      <c r="E208" s="17">
        <f>IFERROR(__xludf.DUMMYFUNCTION("""COMPUTED_VALUE"""),2019.07)</f>
        <v>2019.07</v>
      </c>
      <c r="F208" s="26">
        <f>IFERROR(__xludf.DUMMYFUNCTION("""COMPUTED_VALUE"""),435.08)</f>
        <v>435.08</v>
      </c>
      <c r="G208" s="26">
        <f>IFERROR(__xludf.DUMMYFUNCTION("""COMPUTED_VALUE"""),194.54)</f>
        <v>194.54</v>
      </c>
      <c r="H208" s="26">
        <f>IFERROR(__xludf.DUMMYFUNCTION("""COMPUTED_VALUE"""),149.31)</f>
        <v>149.31</v>
      </c>
      <c r="I208" s="26">
        <f>IFERROR(__xludf.DUMMYFUNCTION("""COMPUTED_VALUE"""),227.48)</f>
        <v>227.48</v>
      </c>
      <c r="J208" s="26">
        <f>IFERROR(__xludf.DUMMYFUNCTION("""COMPUTED_VALUE"""),149.99)</f>
        <v>149.99</v>
      </c>
      <c r="K208" s="26">
        <f>IFERROR(__xludf.DUMMYFUNCTION("""COMPUTED_VALUE"""),84.24)</f>
        <v>84.24</v>
      </c>
      <c r="L208" s="26">
        <f>IFERROR(__xludf.DUMMYFUNCTION("""COMPUTED_VALUE"""),14.79)</f>
        <v>14.79</v>
      </c>
      <c r="M208" s="26">
        <f>IFERROR(__xludf.DUMMYFUNCTION("""COMPUTED_VALUE"""),497.1)</f>
        <v>497.1</v>
      </c>
      <c r="N208" s="26">
        <f>IFERROR(__xludf.DUMMYFUNCTION("""COMPUTED_VALUE"""),49.61)</f>
        <v>49.61</v>
      </c>
      <c r="O208" s="26">
        <f>IFERROR(__xludf.DUMMYFUNCTION("""COMPUTED_VALUE"""),150.71)</f>
        <v>150.71</v>
      </c>
      <c r="P208" s="26">
        <f>IFERROR(__xludf.DUMMYFUNCTION("""COMPUTED_VALUE"""),67.05)</f>
        <v>67.05</v>
      </c>
      <c r="Q208" s="26">
        <f>IFERROR(__xludf.DUMMYFUNCTION("""COMPUTED_VALUE"""),345.21)</f>
        <v>345.21</v>
      </c>
      <c r="R208" s="26">
        <f>IFERROR(__xludf.DUMMYFUNCTION("""COMPUTED_VALUE"""),40.64)</f>
        <v>40.64</v>
      </c>
      <c r="S208" s="26">
        <f>IFERROR(__xludf.DUMMYFUNCTION("""COMPUTED_VALUE"""),225.27)</f>
        <v>225.27</v>
      </c>
      <c r="T208" s="26">
        <f>IFERROR(__xludf.DUMMYFUNCTION("""COMPUTED_VALUE"""),157.57)</f>
        <v>157.57</v>
      </c>
      <c r="U208" s="26">
        <f>IFERROR(__xludf.DUMMYFUNCTION("""COMPUTED_VALUE"""),326.68)</f>
        <v>326.68</v>
      </c>
      <c r="V208" s="26">
        <f>IFERROR(__xludf.DUMMYFUNCTION("""COMPUTED_VALUE"""),39.81)</f>
        <v>39.81</v>
      </c>
      <c r="W208" s="26">
        <f>IFERROR(__xludf.DUMMYFUNCTION("""COMPUTED_VALUE"""),71.45)</f>
        <v>71.45</v>
      </c>
      <c r="X208" s="26">
        <f>IFERROR(__xludf.DUMMYFUNCTION("""COMPUTED_VALUE"""),106.66)</f>
        <v>106.66</v>
      </c>
      <c r="Y208" s="26">
        <f>IFERROR(__xludf.DUMMYFUNCTION("""COMPUTED_VALUE"""),145.63)</f>
        <v>145.63</v>
      </c>
      <c r="Z208" s="26">
        <f>IFERROR(__xludf.DUMMYFUNCTION("""COMPUTED_VALUE"""),67.44)</f>
        <v>67.44</v>
      </c>
      <c r="AA208" s="26">
        <f>IFERROR(__xludf.DUMMYFUNCTION("""COMPUTED_VALUE"""),440.03)</f>
        <v>440.03</v>
      </c>
      <c r="AB208" s="26">
        <f>IFERROR(__xludf.DUMMYFUNCTION("""COMPUTED_VALUE"""),68.19)</f>
        <v>68.19</v>
      </c>
      <c r="AC208" s="26">
        <f>IFERROR(__xludf.DUMMYFUNCTION("""COMPUTED_VALUE"""),111.8)</f>
        <v>111.8</v>
      </c>
      <c r="AD208" s="26">
        <f>IFERROR(__xludf.DUMMYFUNCTION("""COMPUTED_VALUE"""),246.51)</f>
        <v>246.51</v>
      </c>
      <c r="AE208" s="26">
        <f>IFERROR(__xludf.DUMMYFUNCTION("""COMPUTED_VALUE"""),437.08)</f>
        <v>437.08</v>
      </c>
      <c r="AF208" s="26">
        <f>IFERROR(__xludf.DUMMYFUNCTION("""COMPUTED_VALUE"""),271.94)</f>
        <v>271.94</v>
      </c>
      <c r="AG208" s="26">
        <f>IFERROR(__xludf.DUMMYFUNCTION("""COMPUTED_VALUE"""),48.08)</f>
        <v>48.08</v>
      </c>
      <c r="AH208" s="26">
        <f>IFERROR(__xludf.DUMMYFUNCTION("""COMPUTED_VALUE"""),117.21)</f>
        <v>117.21</v>
      </c>
      <c r="AI208" s="26">
        <f>IFERROR(__xludf.DUMMYFUNCTION("""COMPUTED_VALUE"""),531.66)</f>
        <v>531.66</v>
      </c>
      <c r="AJ208" s="26">
        <f>IFERROR(__xludf.DUMMYFUNCTION("""COMPUTED_VALUE"""),374.65)</f>
        <v>374.65</v>
      </c>
      <c r="AK208" s="26">
        <f>IFERROR(__xludf.DUMMYFUNCTION("""COMPUTED_VALUE"""),144.24)</f>
        <v>144.24</v>
      </c>
      <c r="AL208" s="26">
        <f>IFERROR(__xludf.DUMMYFUNCTION("""COMPUTED_VALUE"""),169.15)</f>
        <v>169.15</v>
      </c>
      <c r="AM208" s="26">
        <f>IFERROR(__xludf.DUMMYFUNCTION("""COMPUTED_VALUE"""),482.61)</f>
        <v>482.61</v>
      </c>
      <c r="AN208" s="26">
        <f>IFERROR(__xludf.DUMMYFUNCTION("""COMPUTED_VALUE"""),232.22)</f>
        <v>232.22</v>
      </c>
      <c r="AO208" s="26">
        <f>IFERROR(__xludf.DUMMYFUNCTION("""COMPUTED_VALUE"""),479.17)</f>
        <v>479.17</v>
      </c>
      <c r="AP208" s="26">
        <f>IFERROR(__xludf.DUMMYFUNCTION("""COMPUTED_VALUE"""),333.77)</f>
        <v>333.77</v>
      </c>
      <c r="AQ208" s="26">
        <f>IFERROR(__xludf.DUMMYFUNCTION("""COMPUTED_VALUE"""),28.54)</f>
        <v>28.54</v>
      </c>
      <c r="AR208" s="26">
        <f>IFERROR(__xludf.DUMMYFUNCTION("""COMPUTED_VALUE"""),93.8)</f>
        <v>93.8</v>
      </c>
      <c r="AS208" s="26">
        <f>IFERROR(__xludf.DUMMYFUNCTION("""COMPUTED_VALUE"""),79.18)</f>
        <v>79.18</v>
      </c>
      <c r="AT208" s="26">
        <f>IFERROR(__xludf.DUMMYFUNCTION("""COMPUTED_VALUE"""),380.16)</f>
        <v>380.16</v>
      </c>
      <c r="AU208" s="26">
        <f>IFERROR(__xludf.DUMMYFUNCTION("""COMPUTED_VALUE"""),76.16)</f>
        <v>76.16</v>
      </c>
      <c r="AV208" s="26">
        <f>IFERROR(__xludf.DUMMYFUNCTION("""COMPUTED_VALUE"""),106.98)</f>
        <v>106.98</v>
      </c>
      <c r="AW208" s="26">
        <f>IFERROR(__xludf.DUMMYFUNCTION("""COMPUTED_VALUE"""),103.92)</f>
        <v>103.92</v>
      </c>
      <c r="AX208" s="26">
        <f>IFERROR(__xludf.DUMMYFUNCTION("""COMPUTED_VALUE"""),44.23)</f>
        <v>44.23</v>
      </c>
      <c r="AY208" s="26">
        <f>IFERROR(__xludf.DUMMYFUNCTION("""COMPUTED_VALUE"""),76.38)</f>
        <v>76.38</v>
      </c>
      <c r="AZ208" s="26">
        <f>IFERROR(__xludf.DUMMYFUNCTION("""COMPUTED_VALUE"""),68.16)</f>
        <v>68.16</v>
      </c>
      <c r="BA208" s="26">
        <f>IFERROR(__xludf.DUMMYFUNCTION("""COMPUTED_VALUE"""),26.64)</f>
        <v>26.64</v>
      </c>
      <c r="BB208" s="26">
        <f>IFERROR(__xludf.DUMMYFUNCTION("""COMPUTED_VALUE"""),128.52)</f>
        <v>128.52</v>
      </c>
      <c r="BC208" s="26">
        <f>IFERROR(__xludf.DUMMYFUNCTION("""COMPUTED_VALUE"""),266.63)</f>
        <v>266.63</v>
      </c>
      <c r="BD208" s="26">
        <f>IFERROR(__xludf.DUMMYFUNCTION("""COMPUTED_VALUE"""),526.8)</f>
        <v>526.8</v>
      </c>
      <c r="BE208" s="26">
        <f>IFERROR(__xludf.DUMMYFUNCTION("""COMPUTED_VALUE"""),188.35)</f>
        <v>188.35</v>
      </c>
      <c r="BF208" s="26">
        <f>IFERROR(__xludf.DUMMYFUNCTION("""COMPUTED_VALUE"""),66.03)</f>
        <v>66.03</v>
      </c>
      <c r="BG208" s="26">
        <f>IFERROR(__xludf.DUMMYFUNCTION("""COMPUTED_VALUE"""),7.26)</f>
        <v>7.26</v>
      </c>
      <c r="BH208" s="26">
        <f>IFERROR(__xludf.DUMMYFUNCTION("""COMPUTED_VALUE"""),248.29)</f>
        <v>248.29</v>
      </c>
      <c r="BI208" s="26">
        <f>IFERROR(__xludf.DUMMYFUNCTION("""COMPUTED_VALUE"""),480.22)</f>
        <v>480.22</v>
      </c>
      <c r="BJ208" s="26">
        <f>IFERROR(__xludf.DUMMYFUNCTION("""COMPUTED_VALUE"""),49.49)</f>
        <v>49.49</v>
      </c>
      <c r="BK208" s="26">
        <f>IFERROR(__xludf.DUMMYFUNCTION("""COMPUTED_VALUE"""),9.5)</f>
        <v>9.5</v>
      </c>
      <c r="BL208" s="26">
        <f>IFERROR(__xludf.DUMMYFUNCTION("""COMPUTED_VALUE"""),227.77)</f>
        <v>227.77</v>
      </c>
      <c r="BM208" s="26">
        <f>IFERROR(__xludf.DUMMYFUNCTION("""COMPUTED_VALUE"""),103.08)</f>
        <v>103.08</v>
      </c>
    </row>
    <row r="209">
      <c r="A209" s="25">
        <v>45728.66666666667</v>
      </c>
      <c r="B209" s="17">
        <f>IFERROR(__xludf.DUMMYFUNCTION("""COMPUTED_VALUE"""),5572.07)</f>
        <v>5572.07</v>
      </c>
      <c r="C209" s="17">
        <f>IFERROR(__xludf.DUMMYFUNCTION("""COMPUTED_VALUE"""),17436.1)</f>
        <v>17436.1</v>
      </c>
      <c r="D209" s="17">
        <f>IFERROR(__xludf.DUMMYFUNCTION("""COMPUTED_VALUE"""),41433.48)</f>
        <v>41433.48</v>
      </c>
      <c r="E209" s="17">
        <f>IFERROR(__xludf.DUMMYFUNCTION("""COMPUTED_VALUE"""),2023.59)</f>
        <v>2023.59</v>
      </c>
      <c r="F209" s="26">
        <f>IFERROR(__xludf.DUMMYFUNCTION("""COMPUTED_VALUE"""),433.66)</f>
        <v>433.66</v>
      </c>
      <c r="G209" s="26">
        <f>IFERROR(__xludf.DUMMYFUNCTION("""COMPUTED_VALUE"""),196.59)</f>
        <v>196.59</v>
      </c>
      <c r="H209" s="26">
        <f>IFERROR(__xludf.DUMMYFUNCTION("""COMPUTED_VALUE"""),143.43)</f>
        <v>143.43</v>
      </c>
      <c r="I209" s="26">
        <f>IFERROR(__xludf.DUMMYFUNCTION("""COMPUTED_VALUE"""),220.84)</f>
        <v>220.84</v>
      </c>
      <c r="J209" s="26">
        <f>IFERROR(__xludf.DUMMYFUNCTION("""COMPUTED_VALUE"""),146.99)</f>
        <v>146.99</v>
      </c>
      <c r="K209" s="26">
        <f>IFERROR(__xludf.DUMMYFUNCTION("""COMPUTED_VALUE"""),81.05)</f>
        <v>81.05</v>
      </c>
      <c r="L209" s="26">
        <f>IFERROR(__xludf.DUMMYFUNCTION("""COMPUTED_VALUE"""),15.1)</f>
        <v>15.1</v>
      </c>
      <c r="M209" s="26">
        <f>IFERROR(__xludf.DUMMYFUNCTION("""COMPUTED_VALUE"""),496.25)</f>
        <v>496.25</v>
      </c>
      <c r="N209" s="26">
        <f>IFERROR(__xludf.DUMMYFUNCTION("""COMPUTED_VALUE"""),49.78)</f>
        <v>49.78</v>
      </c>
      <c r="O209" s="26">
        <f>IFERROR(__xludf.DUMMYFUNCTION("""COMPUTED_VALUE"""),143.66)</f>
        <v>143.66</v>
      </c>
      <c r="P209" s="26">
        <f>IFERROR(__xludf.DUMMYFUNCTION("""COMPUTED_VALUE"""),65.65)</f>
        <v>65.65</v>
      </c>
      <c r="Q209" s="26">
        <f>IFERROR(__xludf.DUMMYFUNCTION("""COMPUTED_VALUE"""),339.77)</f>
        <v>339.77</v>
      </c>
      <c r="R209" s="26">
        <f>IFERROR(__xludf.DUMMYFUNCTION("""COMPUTED_VALUE"""),41.73)</f>
        <v>41.73</v>
      </c>
      <c r="S209" s="26">
        <f>IFERROR(__xludf.DUMMYFUNCTION("""COMPUTED_VALUE"""),222.39)</f>
        <v>222.39</v>
      </c>
      <c r="T209" s="26">
        <f>IFERROR(__xludf.DUMMYFUNCTION("""COMPUTED_VALUE"""),154.08)</f>
        <v>154.08</v>
      </c>
      <c r="U209" s="26">
        <f>IFERROR(__xludf.DUMMYFUNCTION("""COMPUTED_VALUE"""),317.87)</f>
        <v>317.87</v>
      </c>
      <c r="V209" s="26">
        <f>IFERROR(__xludf.DUMMYFUNCTION("""COMPUTED_VALUE"""),39.91)</f>
        <v>39.91</v>
      </c>
      <c r="W209" s="26">
        <f>IFERROR(__xludf.DUMMYFUNCTION("""COMPUTED_VALUE"""),71.04)</f>
        <v>71.04</v>
      </c>
      <c r="X209" s="26">
        <f>IFERROR(__xludf.DUMMYFUNCTION("""COMPUTED_VALUE"""),103.77)</f>
        <v>103.77</v>
      </c>
      <c r="Y209" s="26">
        <f>IFERROR(__xludf.DUMMYFUNCTION("""COMPUTED_VALUE"""),147.01)</f>
        <v>147.01</v>
      </c>
      <c r="Z209" s="26">
        <f>IFERROR(__xludf.DUMMYFUNCTION("""COMPUTED_VALUE"""),65.69)</f>
        <v>65.69</v>
      </c>
      <c r="AA209" s="26">
        <f>IFERROR(__xludf.DUMMYFUNCTION("""COMPUTED_VALUE"""),430.56)</f>
        <v>430.56</v>
      </c>
      <c r="AB209" s="26">
        <f>IFERROR(__xludf.DUMMYFUNCTION("""COMPUTED_VALUE"""),65.22)</f>
        <v>65.22</v>
      </c>
      <c r="AC209" s="26">
        <f>IFERROR(__xludf.DUMMYFUNCTION("""COMPUTED_VALUE"""),109.16)</f>
        <v>109.16</v>
      </c>
      <c r="AD209" s="26">
        <f>IFERROR(__xludf.DUMMYFUNCTION("""COMPUTED_VALUE"""),242.96)</f>
        <v>242.96</v>
      </c>
      <c r="AE209" s="26">
        <f>IFERROR(__xludf.DUMMYFUNCTION("""COMPUTED_VALUE"""),441.25)</f>
        <v>441.25</v>
      </c>
      <c r="AF209" s="26">
        <f>IFERROR(__xludf.DUMMYFUNCTION("""COMPUTED_VALUE"""),264.12)</f>
        <v>264.12</v>
      </c>
      <c r="AG209" s="26">
        <f>IFERROR(__xludf.DUMMYFUNCTION("""COMPUTED_VALUE"""),48.28)</f>
        <v>48.28</v>
      </c>
      <c r="AH209" s="26">
        <f>IFERROR(__xludf.DUMMYFUNCTION("""COMPUTED_VALUE"""),114.43)</f>
        <v>114.43</v>
      </c>
      <c r="AI209" s="26">
        <f>IFERROR(__xludf.DUMMYFUNCTION("""COMPUTED_VALUE"""),531.43)</f>
        <v>531.43</v>
      </c>
      <c r="AJ209" s="26">
        <f>IFERROR(__xludf.DUMMYFUNCTION("""COMPUTED_VALUE"""),368.16)</f>
        <v>368.16</v>
      </c>
      <c r="AK209" s="26">
        <f>IFERROR(__xludf.DUMMYFUNCTION("""COMPUTED_VALUE"""),145.24)</f>
        <v>145.24</v>
      </c>
      <c r="AL209" s="26">
        <f>IFERROR(__xludf.DUMMYFUNCTION("""COMPUTED_VALUE"""),168.36)</f>
        <v>168.36</v>
      </c>
      <c r="AM209" s="26">
        <f>IFERROR(__xludf.DUMMYFUNCTION("""COMPUTED_VALUE"""),493.72)</f>
        <v>493.72</v>
      </c>
      <c r="AN209" s="26">
        <f>IFERROR(__xludf.DUMMYFUNCTION("""COMPUTED_VALUE"""),229.14)</f>
        <v>229.14</v>
      </c>
      <c r="AO209" s="26">
        <f>IFERROR(__xludf.DUMMYFUNCTION("""COMPUTED_VALUE"""),468.88)</f>
        <v>468.88</v>
      </c>
      <c r="AP209" s="26">
        <f>IFERROR(__xludf.DUMMYFUNCTION("""COMPUTED_VALUE"""),319.42)</f>
        <v>319.42</v>
      </c>
      <c r="AQ209" s="26">
        <f>IFERROR(__xludf.DUMMYFUNCTION("""COMPUTED_VALUE"""),28.6)</f>
        <v>28.6</v>
      </c>
      <c r="AR209" s="26">
        <f>IFERROR(__xludf.DUMMYFUNCTION("""COMPUTED_VALUE"""),93.28)</f>
        <v>93.28</v>
      </c>
      <c r="AS209" s="26">
        <f>IFERROR(__xludf.DUMMYFUNCTION("""COMPUTED_VALUE"""),78.45)</f>
        <v>78.45</v>
      </c>
      <c r="AT209" s="26">
        <f>IFERROR(__xludf.DUMMYFUNCTION("""COMPUTED_VALUE"""),380.45)</f>
        <v>380.45</v>
      </c>
      <c r="AU209" s="26">
        <f>IFERROR(__xludf.DUMMYFUNCTION("""COMPUTED_VALUE"""),74.03)</f>
        <v>74.03</v>
      </c>
      <c r="AV209" s="26">
        <f>IFERROR(__xludf.DUMMYFUNCTION("""COMPUTED_VALUE"""),108.76)</f>
        <v>108.76</v>
      </c>
      <c r="AW209" s="26">
        <f>IFERROR(__xludf.DUMMYFUNCTION("""COMPUTED_VALUE"""),101.15)</f>
        <v>101.15</v>
      </c>
      <c r="AX209" s="26">
        <f>IFERROR(__xludf.DUMMYFUNCTION("""COMPUTED_VALUE"""),45.17)</f>
        <v>45.17</v>
      </c>
      <c r="AY209" s="26">
        <f>IFERROR(__xludf.DUMMYFUNCTION("""COMPUTED_VALUE"""),78.05)</f>
        <v>78.05</v>
      </c>
      <c r="AZ209" s="26">
        <f>IFERROR(__xludf.DUMMYFUNCTION("""COMPUTED_VALUE"""),67.98)</f>
        <v>67.98</v>
      </c>
      <c r="BA209" s="26">
        <f>IFERROR(__xludf.DUMMYFUNCTION("""COMPUTED_VALUE"""),25.99)</f>
        <v>25.99</v>
      </c>
      <c r="BB209" s="26">
        <f>IFERROR(__xludf.DUMMYFUNCTION("""COMPUTED_VALUE"""),128.11)</f>
        <v>128.11</v>
      </c>
      <c r="BC209" s="26">
        <f>IFERROR(__xludf.DUMMYFUNCTION("""COMPUTED_VALUE"""),256.67)</f>
        <v>256.67</v>
      </c>
      <c r="BD209" s="26">
        <f>IFERROR(__xludf.DUMMYFUNCTION("""COMPUTED_VALUE"""),514.2)</f>
        <v>514.2</v>
      </c>
      <c r="BE209" s="26">
        <f>IFERROR(__xludf.DUMMYFUNCTION("""COMPUTED_VALUE"""),184.53)</f>
        <v>184.53</v>
      </c>
      <c r="BF209" s="26">
        <f>IFERROR(__xludf.DUMMYFUNCTION("""COMPUTED_VALUE"""),67.65)</f>
        <v>67.65</v>
      </c>
      <c r="BG209" s="26">
        <f>IFERROR(__xludf.DUMMYFUNCTION("""COMPUTED_VALUE"""),7.38)</f>
        <v>7.38</v>
      </c>
      <c r="BH209" s="26">
        <f>IFERROR(__xludf.DUMMYFUNCTION("""COMPUTED_VALUE"""),237.78)</f>
        <v>237.78</v>
      </c>
      <c r="BI209" s="26">
        <f>IFERROR(__xludf.DUMMYFUNCTION("""COMPUTED_VALUE"""),486.04)</f>
        <v>486.04</v>
      </c>
      <c r="BJ209" s="26">
        <f>IFERROR(__xludf.DUMMYFUNCTION("""COMPUTED_VALUE"""),49.47)</f>
        <v>49.47</v>
      </c>
      <c r="BK209" s="26">
        <f>IFERROR(__xludf.DUMMYFUNCTION("""COMPUTED_VALUE"""),9.34)</f>
        <v>9.34</v>
      </c>
      <c r="BL209" s="26">
        <f>IFERROR(__xludf.DUMMYFUNCTION("""COMPUTED_VALUE"""),224.21)</f>
        <v>224.21</v>
      </c>
      <c r="BM209" s="26">
        <f>IFERROR(__xludf.DUMMYFUNCTION("""COMPUTED_VALUE"""),97.9)</f>
        <v>97.9</v>
      </c>
    </row>
    <row r="210">
      <c r="A210" s="25">
        <v>45729.66666666667</v>
      </c>
      <c r="B210" s="17">
        <f>IFERROR(__xludf.DUMMYFUNCTION("""COMPUTED_VALUE"""),5599.3)</f>
        <v>5599.3</v>
      </c>
      <c r="C210" s="17">
        <f>IFERROR(__xludf.DUMMYFUNCTION("""COMPUTED_VALUE"""),17648.45)</f>
        <v>17648.45</v>
      </c>
      <c r="D210" s="17">
        <f>IFERROR(__xludf.DUMMYFUNCTION("""COMPUTED_VALUE"""),41350.93)</f>
        <v>41350.93</v>
      </c>
      <c r="E210" s="17">
        <f>IFERROR(__xludf.DUMMYFUNCTION("""COMPUTED_VALUE"""),2026.47)</f>
        <v>2026.47</v>
      </c>
      <c r="F210" s="26">
        <f>IFERROR(__xludf.DUMMYFUNCTION("""COMPUTED_VALUE"""),438.6)</f>
        <v>438.6</v>
      </c>
      <c r="G210" s="26">
        <f>IFERROR(__xludf.DUMMYFUNCTION("""COMPUTED_VALUE"""),198.89)</f>
        <v>198.89</v>
      </c>
      <c r="H210" s="26">
        <f>IFERROR(__xludf.DUMMYFUNCTION("""COMPUTED_VALUE"""),140.86)</f>
        <v>140.86</v>
      </c>
      <c r="I210" s="26">
        <f>IFERROR(__xludf.DUMMYFUNCTION("""COMPUTED_VALUE"""),216.98)</f>
        <v>216.98</v>
      </c>
      <c r="J210" s="26">
        <f>IFERROR(__xludf.DUMMYFUNCTION("""COMPUTED_VALUE"""),149.06)</f>
        <v>149.06</v>
      </c>
      <c r="K210" s="26">
        <f>IFERROR(__xludf.DUMMYFUNCTION("""COMPUTED_VALUE"""),80.76)</f>
        <v>80.76</v>
      </c>
      <c r="L210" s="26">
        <f>IFERROR(__xludf.DUMMYFUNCTION("""COMPUTED_VALUE"""),15.56)</f>
        <v>15.56</v>
      </c>
      <c r="M210" s="26">
        <f>IFERROR(__xludf.DUMMYFUNCTION("""COMPUTED_VALUE"""),495.94)</f>
        <v>495.94</v>
      </c>
      <c r="N210" s="26">
        <f>IFERROR(__xludf.DUMMYFUNCTION("""COMPUTED_VALUE"""),48.36)</f>
        <v>48.36</v>
      </c>
      <c r="O210" s="26">
        <f>IFERROR(__xludf.DUMMYFUNCTION("""COMPUTED_VALUE"""),140.19)</f>
        <v>140.19</v>
      </c>
      <c r="P210" s="26">
        <f>IFERROR(__xludf.DUMMYFUNCTION("""COMPUTED_VALUE"""),65.43)</f>
        <v>65.43</v>
      </c>
      <c r="Q210" s="26">
        <f>IFERROR(__xludf.DUMMYFUNCTION("""COMPUTED_VALUE"""),338.13)</f>
        <v>338.13</v>
      </c>
      <c r="R210" s="26">
        <f>IFERROR(__xludf.DUMMYFUNCTION("""COMPUTED_VALUE"""),42.6)</f>
        <v>42.6</v>
      </c>
      <c r="S210" s="26">
        <f>IFERROR(__xludf.DUMMYFUNCTION("""COMPUTED_VALUE"""),217.99)</f>
        <v>217.99</v>
      </c>
      <c r="T210" s="26">
        <f>IFERROR(__xludf.DUMMYFUNCTION("""COMPUTED_VALUE"""),152.67)</f>
        <v>152.67</v>
      </c>
      <c r="U210" s="26">
        <f>IFERROR(__xludf.DUMMYFUNCTION("""COMPUTED_VALUE"""),311.05)</f>
        <v>311.05</v>
      </c>
      <c r="V210" s="26">
        <f>IFERROR(__xludf.DUMMYFUNCTION("""COMPUTED_VALUE"""),40.47)</f>
        <v>40.47</v>
      </c>
      <c r="W210" s="26">
        <f>IFERROR(__xludf.DUMMYFUNCTION("""COMPUTED_VALUE"""),69.94)</f>
        <v>69.94</v>
      </c>
      <c r="X210" s="26">
        <f>IFERROR(__xludf.DUMMYFUNCTION("""COMPUTED_VALUE"""),102.64)</f>
        <v>102.64</v>
      </c>
      <c r="Y210" s="26">
        <f>IFERROR(__xludf.DUMMYFUNCTION("""COMPUTED_VALUE"""),151.67)</f>
        <v>151.67</v>
      </c>
      <c r="Z210" s="26">
        <f>IFERROR(__xludf.DUMMYFUNCTION("""COMPUTED_VALUE"""),61.92)</f>
        <v>61.92</v>
      </c>
      <c r="AA210" s="26">
        <f>IFERROR(__xludf.DUMMYFUNCTION("""COMPUTED_VALUE"""),438.71)</f>
        <v>438.71</v>
      </c>
      <c r="AB210" s="26">
        <f>IFERROR(__xludf.DUMMYFUNCTION("""COMPUTED_VALUE"""),65.13)</f>
        <v>65.13</v>
      </c>
      <c r="AC210" s="26">
        <f>IFERROR(__xludf.DUMMYFUNCTION("""COMPUTED_VALUE"""),109.13)</f>
        <v>109.13</v>
      </c>
      <c r="AD210" s="26">
        <f>IFERROR(__xludf.DUMMYFUNCTION("""COMPUTED_VALUE"""),243.51)</f>
        <v>243.51</v>
      </c>
      <c r="AE210" s="26">
        <f>IFERROR(__xludf.DUMMYFUNCTION("""COMPUTED_VALUE"""),450.35)</f>
        <v>450.35</v>
      </c>
      <c r="AF210" s="26">
        <f>IFERROR(__xludf.DUMMYFUNCTION("""COMPUTED_VALUE"""),260.01)</f>
        <v>260.01</v>
      </c>
      <c r="AG210" s="26">
        <f>IFERROR(__xludf.DUMMYFUNCTION("""COMPUTED_VALUE"""),47.9)</f>
        <v>47.9</v>
      </c>
      <c r="AH210" s="26">
        <f>IFERROR(__xludf.DUMMYFUNCTION("""COMPUTED_VALUE"""),113.99)</f>
        <v>113.99</v>
      </c>
      <c r="AI210" s="26">
        <f>IFERROR(__xludf.DUMMYFUNCTION("""COMPUTED_VALUE"""),535.71)</f>
        <v>535.71</v>
      </c>
      <c r="AJ210" s="26">
        <f>IFERROR(__xludf.DUMMYFUNCTION("""COMPUTED_VALUE"""),364.73)</f>
        <v>364.73</v>
      </c>
      <c r="AK210" s="26">
        <f>IFERROR(__xludf.DUMMYFUNCTION("""COMPUTED_VALUE"""),143.75)</f>
        <v>143.75</v>
      </c>
      <c r="AL210" s="26">
        <f>IFERROR(__xludf.DUMMYFUNCTION("""COMPUTED_VALUE"""),169.02)</f>
        <v>169.02</v>
      </c>
      <c r="AM210" s="26">
        <f>IFERROR(__xludf.DUMMYFUNCTION("""COMPUTED_VALUE"""),497.3)</f>
        <v>497.3</v>
      </c>
      <c r="AN210" s="26">
        <f>IFERROR(__xludf.DUMMYFUNCTION("""COMPUTED_VALUE"""),227.9)</f>
        <v>227.9</v>
      </c>
      <c r="AO210" s="26">
        <f>IFERROR(__xludf.DUMMYFUNCTION("""COMPUTED_VALUE"""),461.5)</f>
        <v>461.5</v>
      </c>
      <c r="AP210" s="26">
        <f>IFERROR(__xludf.DUMMYFUNCTION("""COMPUTED_VALUE"""),316.49)</f>
        <v>316.49</v>
      </c>
      <c r="AQ210" s="26">
        <f>IFERROR(__xludf.DUMMYFUNCTION("""COMPUTED_VALUE"""),29.25)</f>
        <v>29.25</v>
      </c>
      <c r="AR210" s="26">
        <f>IFERROR(__xludf.DUMMYFUNCTION("""COMPUTED_VALUE"""),91.51)</f>
        <v>91.51</v>
      </c>
      <c r="AS210" s="26">
        <f>IFERROR(__xludf.DUMMYFUNCTION("""COMPUTED_VALUE"""),79.18)</f>
        <v>79.18</v>
      </c>
      <c r="AT210" s="26">
        <f>IFERROR(__xludf.DUMMYFUNCTION("""COMPUTED_VALUE"""),383.27)</f>
        <v>383.27</v>
      </c>
      <c r="AU210" s="26">
        <f>IFERROR(__xludf.DUMMYFUNCTION("""COMPUTED_VALUE"""),72.92)</f>
        <v>72.92</v>
      </c>
      <c r="AV210" s="26">
        <f>IFERROR(__xludf.DUMMYFUNCTION("""COMPUTED_VALUE"""),115.74)</f>
        <v>115.74</v>
      </c>
      <c r="AW210" s="26">
        <f>IFERROR(__xludf.DUMMYFUNCTION("""COMPUTED_VALUE"""),99.91)</f>
        <v>99.91</v>
      </c>
      <c r="AX210" s="26">
        <f>IFERROR(__xludf.DUMMYFUNCTION("""COMPUTED_VALUE"""),46.73)</f>
        <v>46.73</v>
      </c>
      <c r="AY210" s="26">
        <f>IFERROR(__xludf.DUMMYFUNCTION("""COMPUTED_VALUE"""),83.65)</f>
        <v>83.65</v>
      </c>
      <c r="AZ210" s="26">
        <f>IFERROR(__xludf.DUMMYFUNCTION("""COMPUTED_VALUE"""),68.62)</f>
        <v>68.62</v>
      </c>
      <c r="BA210" s="26">
        <f>IFERROR(__xludf.DUMMYFUNCTION("""COMPUTED_VALUE"""),25.71)</f>
        <v>25.71</v>
      </c>
      <c r="BB210" s="26">
        <f>IFERROR(__xludf.DUMMYFUNCTION("""COMPUTED_VALUE"""),127.96)</f>
        <v>127.96</v>
      </c>
      <c r="BC210" s="26">
        <f>IFERROR(__xludf.DUMMYFUNCTION("""COMPUTED_VALUE"""),255.61)</f>
        <v>255.61</v>
      </c>
      <c r="BD210" s="26">
        <f>IFERROR(__xludf.DUMMYFUNCTION("""COMPUTED_VALUE"""),512.65)</f>
        <v>512.65</v>
      </c>
      <c r="BE210" s="26">
        <f>IFERROR(__xludf.DUMMYFUNCTION("""COMPUTED_VALUE"""),185.65)</f>
        <v>185.65</v>
      </c>
      <c r="BF210" s="26">
        <f>IFERROR(__xludf.DUMMYFUNCTION("""COMPUTED_VALUE"""),67.08)</f>
        <v>67.08</v>
      </c>
      <c r="BG210" s="26">
        <f>IFERROR(__xludf.DUMMYFUNCTION("""COMPUTED_VALUE"""),7.19)</f>
        <v>7.19</v>
      </c>
      <c r="BH210" s="26">
        <f>IFERROR(__xludf.DUMMYFUNCTION("""COMPUTED_VALUE"""),237.49)</f>
        <v>237.49</v>
      </c>
      <c r="BI210" s="26">
        <f>IFERROR(__xludf.DUMMYFUNCTION("""COMPUTED_VALUE"""),481.11)</f>
        <v>481.11</v>
      </c>
      <c r="BJ210" s="26">
        <f>IFERROR(__xludf.DUMMYFUNCTION("""COMPUTED_VALUE"""),49.46)</f>
        <v>49.46</v>
      </c>
      <c r="BK210" s="26">
        <f>IFERROR(__xludf.DUMMYFUNCTION("""COMPUTED_VALUE"""),9.24)</f>
        <v>9.24</v>
      </c>
      <c r="BL210" s="26">
        <f>IFERROR(__xludf.DUMMYFUNCTION("""COMPUTED_VALUE"""),222.86)</f>
        <v>222.86</v>
      </c>
      <c r="BM210" s="26">
        <f>IFERROR(__xludf.DUMMYFUNCTION("""COMPUTED_VALUE"""),98.76)</f>
        <v>98.76</v>
      </c>
    </row>
    <row r="211">
      <c r="A211" s="25">
        <v>45730.66666666667</v>
      </c>
      <c r="B211" s="17">
        <f>IFERROR(__xludf.DUMMYFUNCTION("""COMPUTED_VALUE"""),5521.52)</f>
        <v>5521.52</v>
      </c>
      <c r="C211" s="17">
        <f>IFERROR(__xludf.DUMMYFUNCTION("""COMPUTED_VALUE"""),17303.01)</f>
        <v>17303.01</v>
      </c>
      <c r="D211" s="17">
        <f>IFERROR(__xludf.DUMMYFUNCTION("""COMPUTED_VALUE"""),40813.57)</f>
        <v>40813.57</v>
      </c>
      <c r="E211" s="17">
        <f>IFERROR(__xludf.DUMMYFUNCTION("""COMPUTED_VALUE"""),1993.69)</f>
        <v>1993.69</v>
      </c>
      <c r="F211" s="26">
        <f>IFERROR(__xludf.DUMMYFUNCTION("""COMPUTED_VALUE"""),377.84)</f>
        <v>377.84</v>
      </c>
      <c r="G211" s="26">
        <f>IFERROR(__xludf.DUMMYFUNCTION("""COMPUTED_VALUE"""),193.89)</f>
        <v>193.89</v>
      </c>
      <c r="H211" s="26">
        <f>IFERROR(__xludf.DUMMYFUNCTION("""COMPUTED_VALUE"""),142.54)</f>
        <v>142.54</v>
      </c>
      <c r="I211" s="26">
        <f>IFERROR(__xludf.DUMMYFUNCTION("""COMPUTED_VALUE"""),209.68)</f>
        <v>209.68</v>
      </c>
      <c r="J211" s="26">
        <f>IFERROR(__xludf.DUMMYFUNCTION("""COMPUTED_VALUE"""),149.95)</f>
        <v>149.95</v>
      </c>
      <c r="K211" s="26">
        <f>IFERROR(__xludf.DUMMYFUNCTION("""COMPUTED_VALUE"""),79.66)</f>
        <v>79.66</v>
      </c>
      <c r="L211" s="26">
        <f>IFERROR(__xludf.DUMMYFUNCTION("""COMPUTED_VALUE"""),15.03)</f>
        <v>15.03</v>
      </c>
      <c r="M211" s="26">
        <f>IFERROR(__xludf.DUMMYFUNCTION("""COMPUTED_VALUE"""),504.25)</f>
        <v>504.25</v>
      </c>
      <c r="N211" s="26">
        <f>IFERROR(__xludf.DUMMYFUNCTION("""COMPUTED_VALUE"""),48.65)</f>
        <v>48.65</v>
      </c>
      <c r="O211" s="26">
        <f>IFERROR(__xludf.DUMMYFUNCTION("""COMPUTED_VALUE"""),139.98)</f>
        <v>139.98</v>
      </c>
      <c r="P211" s="26">
        <f>IFERROR(__xludf.DUMMYFUNCTION("""COMPUTED_VALUE"""),64.25)</f>
        <v>64.25</v>
      </c>
      <c r="Q211" s="26">
        <f>IFERROR(__xludf.DUMMYFUNCTION("""COMPUTED_VALUE"""),333.31)</f>
        <v>333.31</v>
      </c>
      <c r="R211" s="26">
        <f>IFERROR(__xludf.DUMMYFUNCTION("""COMPUTED_VALUE"""),41.81)</f>
        <v>41.81</v>
      </c>
      <c r="S211" s="26">
        <f>IFERROR(__xludf.DUMMYFUNCTION("""COMPUTED_VALUE"""),214.9)</f>
        <v>214.9</v>
      </c>
      <c r="T211" s="26">
        <f>IFERROR(__xludf.DUMMYFUNCTION("""COMPUTED_VALUE"""),153.61)</f>
        <v>153.61</v>
      </c>
      <c r="U211" s="26">
        <f>IFERROR(__xludf.DUMMYFUNCTION("""COMPUTED_VALUE"""),311.99)</f>
        <v>311.99</v>
      </c>
      <c r="V211" s="26">
        <f>IFERROR(__xludf.DUMMYFUNCTION("""COMPUTED_VALUE"""),39.73)</f>
        <v>39.73</v>
      </c>
      <c r="W211" s="26">
        <f>IFERROR(__xludf.DUMMYFUNCTION("""COMPUTED_VALUE"""),69.62)</f>
        <v>69.62</v>
      </c>
      <c r="X211" s="26">
        <f>IFERROR(__xludf.DUMMYFUNCTION("""COMPUTED_VALUE"""),104.57)</f>
        <v>104.57</v>
      </c>
      <c r="Y211" s="26">
        <f>IFERROR(__xludf.DUMMYFUNCTION("""COMPUTED_VALUE"""),145.94)</f>
        <v>145.94</v>
      </c>
      <c r="Z211" s="26">
        <f>IFERROR(__xludf.DUMMYFUNCTION("""COMPUTED_VALUE"""),66.0)</f>
        <v>66</v>
      </c>
      <c r="AA211" s="26">
        <f>IFERROR(__xludf.DUMMYFUNCTION("""COMPUTED_VALUE"""),428.67)</f>
        <v>428.67</v>
      </c>
      <c r="AB211" s="26">
        <f>IFERROR(__xludf.DUMMYFUNCTION("""COMPUTED_VALUE"""),64.25)</f>
        <v>64.25</v>
      </c>
      <c r="AC211" s="26">
        <f>IFERROR(__xludf.DUMMYFUNCTION("""COMPUTED_VALUE"""),108.67)</f>
        <v>108.67</v>
      </c>
      <c r="AD211" s="26">
        <f>IFERROR(__xludf.DUMMYFUNCTION("""COMPUTED_VALUE"""),240.98)</f>
        <v>240.98</v>
      </c>
      <c r="AE211" s="26">
        <f>IFERROR(__xludf.DUMMYFUNCTION("""COMPUTED_VALUE"""),440.66)</f>
        <v>440.66</v>
      </c>
      <c r="AF211" s="26">
        <f>IFERROR(__xludf.DUMMYFUNCTION("""COMPUTED_VALUE"""),261.16)</f>
        <v>261.16</v>
      </c>
      <c r="AG211" s="26">
        <f>IFERROR(__xludf.DUMMYFUNCTION("""COMPUTED_VALUE"""),47.11)</f>
        <v>47.11</v>
      </c>
      <c r="AH211" s="26">
        <f>IFERROR(__xludf.DUMMYFUNCTION("""COMPUTED_VALUE"""),113.35)</f>
        <v>113.35</v>
      </c>
      <c r="AI211" s="26">
        <f>IFERROR(__xludf.DUMMYFUNCTION("""COMPUTED_VALUE"""),524.81)</f>
        <v>524.81</v>
      </c>
      <c r="AJ211" s="26">
        <f>IFERROR(__xludf.DUMMYFUNCTION("""COMPUTED_VALUE"""),347.25)</f>
        <v>347.25</v>
      </c>
      <c r="AK211" s="26">
        <f>IFERROR(__xludf.DUMMYFUNCTION("""COMPUTED_VALUE"""),144.41)</f>
        <v>144.41</v>
      </c>
      <c r="AL211" s="26">
        <f>IFERROR(__xludf.DUMMYFUNCTION("""COMPUTED_VALUE"""),169.14)</f>
        <v>169.14</v>
      </c>
      <c r="AM211" s="26">
        <f>IFERROR(__xludf.DUMMYFUNCTION("""COMPUTED_VALUE"""),476.78)</f>
        <v>476.78</v>
      </c>
      <c r="AN211" s="26">
        <f>IFERROR(__xludf.DUMMYFUNCTION("""COMPUTED_VALUE"""),225.19)</f>
        <v>225.19</v>
      </c>
      <c r="AO211" s="26">
        <f>IFERROR(__xludf.DUMMYFUNCTION("""COMPUTED_VALUE"""),467.93)</f>
        <v>467.93</v>
      </c>
      <c r="AP211" s="26">
        <f>IFERROR(__xludf.DUMMYFUNCTION("""COMPUTED_VALUE"""),309.68)</f>
        <v>309.68</v>
      </c>
      <c r="AQ211" s="26">
        <f>IFERROR(__xludf.DUMMYFUNCTION("""COMPUTED_VALUE"""),28.41)</f>
        <v>28.41</v>
      </c>
      <c r="AR211" s="26">
        <f>IFERROR(__xludf.DUMMYFUNCTION("""COMPUTED_VALUE"""),92.33)</f>
        <v>92.33</v>
      </c>
      <c r="AS211" s="26">
        <f>IFERROR(__xludf.DUMMYFUNCTION("""COMPUTED_VALUE"""),77.7)</f>
        <v>77.7</v>
      </c>
      <c r="AT211" s="26">
        <f>IFERROR(__xludf.DUMMYFUNCTION("""COMPUTED_VALUE"""),378.77)</f>
        <v>378.77</v>
      </c>
      <c r="AU211" s="26">
        <f>IFERROR(__xludf.DUMMYFUNCTION("""COMPUTED_VALUE"""),72.73)</f>
        <v>72.73</v>
      </c>
      <c r="AV211" s="26">
        <f>IFERROR(__xludf.DUMMYFUNCTION("""COMPUTED_VALUE"""),115.58)</f>
        <v>115.58</v>
      </c>
      <c r="AW211" s="26">
        <f>IFERROR(__xludf.DUMMYFUNCTION("""COMPUTED_VALUE"""),99.61)</f>
        <v>99.61</v>
      </c>
      <c r="AX211" s="26">
        <f>IFERROR(__xludf.DUMMYFUNCTION("""COMPUTED_VALUE"""),46.37)</f>
        <v>46.37</v>
      </c>
      <c r="AY211" s="26">
        <f>IFERROR(__xludf.DUMMYFUNCTION("""COMPUTED_VALUE"""),79.62)</f>
        <v>79.62</v>
      </c>
      <c r="AZ211" s="26">
        <f>IFERROR(__xludf.DUMMYFUNCTION("""COMPUTED_VALUE"""),66.91)</f>
        <v>66.91</v>
      </c>
      <c r="BA211" s="26">
        <f>IFERROR(__xludf.DUMMYFUNCTION("""COMPUTED_VALUE"""),25.6)</f>
        <v>25.6</v>
      </c>
      <c r="BB211" s="26">
        <f>IFERROR(__xludf.DUMMYFUNCTION("""COMPUTED_VALUE"""),129.2)</f>
        <v>129.2</v>
      </c>
      <c r="BC211" s="26">
        <f>IFERROR(__xludf.DUMMYFUNCTION("""COMPUTED_VALUE"""),259.1)</f>
        <v>259.1</v>
      </c>
      <c r="BD211" s="26">
        <f>IFERROR(__xludf.DUMMYFUNCTION("""COMPUTED_VALUE"""),508.9)</f>
        <v>508.9</v>
      </c>
      <c r="BE211" s="26">
        <f>IFERROR(__xludf.DUMMYFUNCTION("""COMPUTED_VALUE"""),182.97)</f>
        <v>182.97</v>
      </c>
      <c r="BF211" s="26">
        <f>IFERROR(__xludf.DUMMYFUNCTION("""COMPUTED_VALUE"""),64.35)</f>
        <v>64.35</v>
      </c>
      <c r="BG211" s="26">
        <f>IFERROR(__xludf.DUMMYFUNCTION("""COMPUTED_VALUE"""),7.05)</f>
        <v>7.05</v>
      </c>
      <c r="BH211" s="26">
        <f>IFERROR(__xludf.DUMMYFUNCTION("""COMPUTED_VALUE"""),234.29)</f>
        <v>234.29</v>
      </c>
      <c r="BI211" s="26">
        <f>IFERROR(__xludf.DUMMYFUNCTION("""COMPUTED_VALUE"""),481.52)</f>
        <v>481.52</v>
      </c>
      <c r="BJ211" s="26">
        <f>IFERROR(__xludf.DUMMYFUNCTION("""COMPUTED_VALUE"""),49.46)</f>
        <v>49.46</v>
      </c>
      <c r="BK211" s="26">
        <f>IFERROR(__xludf.DUMMYFUNCTION("""COMPUTED_VALUE"""),8.98)</f>
        <v>8.98</v>
      </c>
      <c r="BL211" s="26">
        <f>IFERROR(__xludf.DUMMYFUNCTION("""COMPUTED_VALUE"""),223.2)</f>
        <v>223.2</v>
      </c>
      <c r="BM211" s="26">
        <f>IFERROR(__xludf.DUMMYFUNCTION("""COMPUTED_VALUE"""),96.87)</f>
        <v>96.87</v>
      </c>
    </row>
    <row r="212">
      <c r="A212" s="25">
        <v>45733.66666666667</v>
      </c>
      <c r="B212" s="17">
        <f>IFERROR(__xludf.DUMMYFUNCTION("""COMPUTED_VALUE"""),5638.94)</f>
        <v>5638.94</v>
      </c>
      <c r="C212" s="17">
        <f>IFERROR(__xludf.DUMMYFUNCTION("""COMPUTED_VALUE"""),17754.09)</f>
        <v>17754.09</v>
      </c>
      <c r="D212" s="17">
        <f>IFERROR(__xludf.DUMMYFUNCTION("""COMPUTED_VALUE"""),41488.19)</f>
        <v>41488.19</v>
      </c>
      <c r="E212" s="17">
        <f>IFERROR(__xludf.DUMMYFUNCTION("""COMPUTED_VALUE"""),2044.1)</f>
        <v>2044.1</v>
      </c>
      <c r="F212" s="26">
        <f>IFERROR(__xludf.DUMMYFUNCTION("""COMPUTED_VALUE"""),394.74)</f>
        <v>394.74</v>
      </c>
      <c r="G212" s="26">
        <f>IFERROR(__xludf.DUMMYFUNCTION("""COMPUTED_VALUE"""),197.95)</f>
        <v>197.95</v>
      </c>
      <c r="H212" s="26">
        <f>IFERROR(__xludf.DUMMYFUNCTION("""COMPUTED_VALUE"""),144.32)</f>
        <v>144.32</v>
      </c>
      <c r="I212" s="26">
        <f>IFERROR(__xludf.DUMMYFUNCTION("""COMPUTED_VALUE"""),213.49)</f>
        <v>213.49</v>
      </c>
      <c r="J212" s="26">
        <f>IFERROR(__xludf.DUMMYFUNCTION("""COMPUTED_VALUE"""),155.66)</f>
        <v>155.66</v>
      </c>
      <c r="K212" s="26">
        <f>IFERROR(__xludf.DUMMYFUNCTION("""COMPUTED_VALUE"""),81.75)</f>
        <v>81.75</v>
      </c>
      <c r="L212" s="26">
        <f>IFERROR(__xludf.DUMMYFUNCTION("""COMPUTED_VALUE"""),15.72)</f>
        <v>15.72</v>
      </c>
      <c r="M212" s="26">
        <f>IFERROR(__xludf.DUMMYFUNCTION("""COMPUTED_VALUE"""),514.6)</f>
        <v>514.6</v>
      </c>
      <c r="N212" s="26">
        <f>IFERROR(__xludf.DUMMYFUNCTION("""COMPUTED_VALUE"""),49.45)</f>
        <v>49.45</v>
      </c>
      <c r="O212" s="26">
        <f>IFERROR(__xludf.DUMMYFUNCTION("""COMPUTED_VALUE"""),139.44)</f>
        <v>139.44</v>
      </c>
      <c r="P212" s="26">
        <f>IFERROR(__xludf.DUMMYFUNCTION("""COMPUTED_VALUE"""),66.53)</f>
        <v>66.53</v>
      </c>
      <c r="Q212" s="26">
        <f>IFERROR(__xludf.DUMMYFUNCTION("""COMPUTED_VALUE"""),339.64)</f>
        <v>339.64</v>
      </c>
      <c r="R212" s="26">
        <f>IFERROR(__xludf.DUMMYFUNCTION("""COMPUTED_VALUE"""),42.47)</f>
        <v>42.47</v>
      </c>
      <c r="S212" s="26">
        <f>IFERROR(__xludf.DUMMYFUNCTION("""COMPUTED_VALUE"""),224.84)</f>
        <v>224.84</v>
      </c>
      <c r="T212" s="26">
        <f>IFERROR(__xludf.DUMMYFUNCTION("""COMPUTED_VALUE"""),157.02)</f>
        <v>157.02</v>
      </c>
      <c r="U212" s="26">
        <f>IFERROR(__xludf.DUMMYFUNCTION("""COMPUTED_VALUE"""),312.9)</f>
        <v>312.9</v>
      </c>
      <c r="V212" s="26">
        <f>IFERROR(__xludf.DUMMYFUNCTION("""COMPUTED_VALUE"""),40.7)</f>
        <v>40.7</v>
      </c>
      <c r="W212" s="26">
        <f>IFERROR(__xludf.DUMMYFUNCTION("""COMPUTED_VALUE"""),69.16)</f>
        <v>69.16</v>
      </c>
      <c r="X212" s="26">
        <f>IFERROR(__xludf.DUMMYFUNCTION("""COMPUTED_VALUE"""),106.41)</f>
        <v>106.41</v>
      </c>
      <c r="Y212" s="26">
        <f>IFERROR(__xludf.DUMMYFUNCTION("""COMPUTED_VALUE"""),148.57)</f>
        <v>148.57</v>
      </c>
      <c r="Z212" s="26">
        <f>IFERROR(__xludf.DUMMYFUNCTION("""COMPUTED_VALUE"""),64.56)</f>
        <v>64.56</v>
      </c>
      <c r="AA212" s="26">
        <f>IFERROR(__xludf.DUMMYFUNCTION("""COMPUTED_VALUE"""),425.58)</f>
        <v>425.58</v>
      </c>
      <c r="AB212" s="26">
        <f>IFERROR(__xludf.DUMMYFUNCTION("""COMPUTED_VALUE"""),65.28)</f>
        <v>65.28</v>
      </c>
      <c r="AC212" s="26">
        <f>IFERROR(__xludf.DUMMYFUNCTION("""COMPUTED_VALUE"""),111.9)</f>
        <v>111.9</v>
      </c>
      <c r="AD212" s="26">
        <f>IFERROR(__xludf.DUMMYFUNCTION("""COMPUTED_VALUE"""),242.2)</f>
        <v>242.2</v>
      </c>
      <c r="AE212" s="26">
        <f>IFERROR(__xludf.DUMMYFUNCTION("""COMPUTED_VALUE"""),449.23)</f>
        <v>449.23</v>
      </c>
      <c r="AF212" s="26">
        <f>IFERROR(__xludf.DUMMYFUNCTION("""COMPUTED_VALUE"""),262.03)</f>
        <v>262.03</v>
      </c>
      <c r="AG212" s="26">
        <f>IFERROR(__xludf.DUMMYFUNCTION("""COMPUTED_VALUE"""),48.34)</f>
        <v>48.34</v>
      </c>
      <c r="AH212" s="26">
        <f>IFERROR(__xludf.DUMMYFUNCTION("""COMPUTED_VALUE"""),111.44)</f>
        <v>111.44</v>
      </c>
      <c r="AI212" s="26">
        <f>IFERROR(__xludf.DUMMYFUNCTION("""COMPUTED_VALUE"""),541.41)</f>
        <v>541.41</v>
      </c>
      <c r="AJ212" s="26">
        <f>IFERROR(__xludf.DUMMYFUNCTION("""COMPUTED_VALUE"""),351.31)</f>
        <v>351.31</v>
      </c>
      <c r="AK212" s="26">
        <f>IFERROR(__xludf.DUMMYFUNCTION("""COMPUTED_VALUE"""),147.76)</f>
        <v>147.76</v>
      </c>
      <c r="AL212" s="26">
        <f>IFERROR(__xludf.DUMMYFUNCTION("""COMPUTED_VALUE"""),171.06)</f>
        <v>171.06</v>
      </c>
      <c r="AM212" s="26">
        <f>IFERROR(__xludf.DUMMYFUNCTION("""COMPUTED_VALUE"""),484.44)</f>
        <v>484.44</v>
      </c>
      <c r="AN212" s="26">
        <f>IFERROR(__xludf.DUMMYFUNCTION("""COMPUTED_VALUE"""),232.44)</f>
        <v>232.44</v>
      </c>
      <c r="AO212" s="26">
        <f>IFERROR(__xludf.DUMMYFUNCTION("""COMPUTED_VALUE"""),466.17)</f>
        <v>466.17</v>
      </c>
      <c r="AP212" s="26">
        <f>IFERROR(__xludf.DUMMYFUNCTION("""COMPUTED_VALUE"""),311.03)</f>
        <v>311.03</v>
      </c>
      <c r="AQ212" s="26">
        <f>IFERROR(__xludf.DUMMYFUNCTION("""COMPUTED_VALUE"""),29.47)</f>
        <v>29.47</v>
      </c>
      <c r="AR212" s="26">
        <f>IFERROR(__xludf.DUMMYFUNCTION("""COMPUTED_VALUE"""),93.07)</f>
        <v>93.07</v>
      </c>
      <c r="AS212" s="26">
        <f>IFERROR(__xludf.DUMMYFUNCTION("""COMPUTED_VALUE"""),80.41)</f>
        <v>80.41</v>
      </c>
      <c r="AT212" s="26">
        <f>IFERROR(__xludf.DUMMYFUNCTION("""COMPUTED_VALUE"""),388.56)</f>
        <v>388.56</v>
      </c>
      <c r="AU212" s="26">
        <f>IFERROR(__xludf.DUMMYFUNCTION("""COMPUTED_VALUE"""),73.55)</f>
        <v>73.55</v>
      </c>
      <c r="AV212" s="26">
        <f>IFERROR(__xludf.DUMMYFUNCTION("""COMPUTED_VALUE"""),121.67)</f>
        <v>121.67</v>
      </c>
      <c r="AW212" s="26">
        <f>IFERROR(__xludf.DUMMYFUNCTION("""COMPUTED_VALUE"""),100.62)</f>
        <v>100.62</v>
      </c>
      <c r="AX212" s="26">
        <f>IFERROR(__xludf.DUMMYFUNCTION("""COMPUTED_VALUE"""),46.44)</f>
        <v>46.44</v>
      </c>
      <c r="AY212" s="26">
        <f>IFERROR(__xludf.DUMMYFUNCTION("""COMPUTED_VALUE"""),86.24)</f>
        <v>86.24</v>
      </c>
      <c r="AZ212" s="26">
        <f>IFERROR(__xludf.DUMMYFUNCTION("""COMPUTED_VALUE"""),68.95)</f>
        <v>68.95</v>
      </c>
      <c r="BA212" s="26">
        <f>IFERROR(__xludf.DUMMYFUNCTION("""COMPUTED_VALUE"""),25.72)</f>
        <v>25.72</v>
      </c>
      <c r="BB212" s="26">
        <f>IFERROR(__xludf.DUMMYFUNCTION("""COMPUTED_VALUE"""),129.99)</f>
        <v>129.99</v>
      </c>
      <c r="BC212" s="26">
        <f>IFERROR(__xludf.DUMMYFUNCTION("""COMPUTED_VALUE"""),255.98)</f>
        <v>255.98</v>
      </c>
      <c r="BD212" s="26">
        <f>IFERROR(__xludf.DUMMYFUNCTION("""COMPUTED_VALUE"""),522.05)</f>
        <v>522.05</v>
      </c>
      <c r="BE212" s="26">
        <f>IFERROR(__xludf.DUMMYFUNCTION("""COMPUTED_VALUE"""),186.67)</f>
        <v>186.67</v>
      </c>
      <c r="BF212" s="26">
        <f>IFERROR(__xludf.DUMMYFUNCTION("""COMPUTED_VALUE"""),68.53)</f>
        <v>68.53</v>
      </c>
      <c r="BG212" s="26">
        <f>IFERROR(__xludf.DUMMYFUNCTION("""COMPUTED_VALUE"""),6.7)</f>
        <v>6.7</v>
      </c>
      <c r="BH212" s="26">
        <f>IFERROR(__xludf.DUMMYFUNCTION("""COMPUTED_VALUE"""),237.53)</f>
        <v>237.53</v>
      </c>
      <c r="BI212" s="26">
        <f>IFERROR(__xludf.DUMMYFUNCTION("""COMPUTED_VALUE"""),488.65)</f>
        <v>488.65</v>
      </c>
      <c r="BJ212" s="26">
        <f>IFERROR(__xludf.DUMMYFUNCTION("""COMPUTED_VALUE"""),49.4)</f>
        <v>49.4</v>
      </c>
      <c r="BK212" s="26">
        <f>IFERROR(__xludf.DUMMYFUNCTION("""COMPUTED_VALUE"""),9.1)</f>
        <v>9.1</v>
      </c>
      <c r="BL212" s="26">
        <f>IFERROR(__xludf.DUMMYFUNCTION("""COMPUTED_VALUE"""),224.86)</f>
        <v>224.86</v>
      </c>
      <c r="BM212" s="26">
        <f>IFERROR(__xludf.DUMMYFUNCTION("""COMPUTED_VALUE"""),98.64)</f>
        <v>98.64</v>
      </c>
    </row>
    <row r="213">
      <c r="A213" s="25">
        <v>45734.66666666667</v>
      </c>
      <c r="B213" s="17">
        <f>IFERROR(__xludf.DUMMYFUNCTION("""COMPUTED_VALUE"""),5675.12)</f>
        <v>5675.12</v>
      </c>
      <c r="C213" s="17">
        <f>IFERROR(__xludf.DUMMYFUNCTION("""COMPUTED_VALUE"""),17808.66)</f>
        <v>17808.66</v>
      </c>
      <c r="D213" s="17">
        <f>IFERROR(__xludf.DUMMYFUNCTION("""COMPUTED_VALUE"""),41841.63)</f>
        <v>41841.63</v>
      </c>
      <c r="E213" s="17">
        <f>IFERROR(__xludf.DUMMYFUNCTION("""COMPUTED_VALUE"""),2068.33)</f>
        <v>2068.33</v>
      </c>
      <c r="F213" s="26">
        <f>IFERROR(__xludf.DUMMYFUNCTION("""COMPUTED_VALUE"""),399.34)</f>
        <v>399.34</v>
      </c>
      <c r="G213" s="26">
        <f>IFERROR(__xludf.DUMMYFUNCTION("""COMPUTED_VALUE"""),195.74)</f>
        <v>195.74</v>
      </c>
      <c r="H213" s="26">
        <f>IFERROR(__xludf.DUMMYFUNCTION("""COMPUTED_VALUE"""),144.82)</f>
        <v>144.82</v>
      </c>
      <c r="I213" s="26">
        <f>IFERROR(__xludf.DUMMYFUNCTION("""COMPUTED_VALUE"""),214.0)</f>
        <v>214</v>
      </c>
      <c r="J213" s="26">
        <f>IFERROR(__xludf.DUMMYFUNCTION("""COMPUTED_VALUE"""),155.46)</f>
        <v>155.46</v>
      </c>
      <c r="K213" s="26">
        <f>IFERROR(__xludf.DUMMYFUNCTION("""COMPUTED_VALUE"""),82.42)</f>
        <v>82.42</v>
      </c>
      <c r="L213" s="26">
        <f>IFERROR(__xludf.DUMMYFUNCTION("""COMPUTED_VALUE"""),15.61)</f>
        <v>15.61</v>
      </c>
      <c r="M213" s="26">
        <f>IFERROR(__xludf.DUMMYFUNCTION("""COMPUTED_VALUE"""),523.01)</f>
        <v>523.01</v>
      </c>
      <c r="N213" s="26">
        <f>IFERROR(__xludf.DUMMYFUNCTION("""COMPUTED_VALUE"""),50.57)</f>
        <v>50.57</v>
      </c>
      <c r="O213" s="26">
        <f>IFERROR(__xludf.DUMMYFUNCTION("""COMPUTED_VALUE"""),143.54)</f>
        <v>143.54</v>
      </c>
      <c r="P213" s="26">
        <f>IFERROR(__xludf.DUMMYFUNCTION("""COMPUTED_VALUE"""),67.63)</f>
        <v>67.63</v>
      </c>
      <c r="Q213" s="26">
        <f>IFERROR(__xludf.DUMMYFUNCTION("""COMPUTED_VALUE"""),342.64)</f>
        <v>342.64</v>
      </c>
      <c r="R213" s="26">
        <f>IFERROR(__xludf.DUMMYFUNCTION("""COMPUTED_VALUE"""),43.33)</f>
        <v>43.33</v>
      </c>
      <c r="S213" s="26">
        <f>IFERROR(__xludf.DUMMYFUNCTION("""COMPUTED_VALUE"""),230.39)</f>
        <v>230.39</v>
      </c>
      <c r="T213" s="26">
        <f>IFERROR(__xludf.DUMMYFUNCTION("""COMPUTED_VALUE"""),158.72)</f>
        <v>158.72</v>
      </c>
      <c r="U213" s="26">
        <f>IFERROR(__xludf.DUMMYFUNCTION("""COMPUTED_VALUE"""),316.8)</f>
        <v>316.8</v>
      </c>
      <c r="V213" s="26">
        <f>IFERROR(__xludf.DUMMYFUNCTION("""COMPUTED_VALUE"""),40.86)</f>
        <v>40.86</v>
      </c>
      <c r="W213" s="26">
        <f>IFERROR(__xludf.DUMMYFUNCTION("""COMPUTED_VALUE"""),70.12)</f>
        <v>70.12</v>
      </c>
      <c r="X213" s="26">
        <f>IFERROR(__xludf.DUMMYFUNCTION("""COMPUTED_VALUE"""),107.62)</f>
        <v>107.62</v>
      </c>
      <c r="Y213" s="26">
        <f>IFERROR(__xludf.DUMMYFUNCTION("""COMPUTED_VALUE"""),151.85)</f>
        <v>151.85</v>
      </c>
      <c r="Z213" s="26">
        <f>IFERROR(__xludf.DUMMYFUNCTION("""COMPUTED_VALUE"""),65.79)</f>
        <v>65.79</v>
      </c>
      <c r="AA213" s="26">
        <f>IFERROR(__xludf.DUMMYFUNCTION("""COMPUTED_VALUE"""),449.6)</f>
        <v>449.6</v>
      </c>
      <c r="AB213" s="26">
        <f>IFERROR(__xludf.DUMMYFUNCTION("""COMPUTED_VALUE"""),67.44)</f>
        <v>67.44</v>
      </c>
      <c r="AC213" s="26">
        <f>IFERROR(__xludf.DUMMYFUNCTION("""COMPUTED_VALUE"""),113.76)</f>
        <v>113.76</v>
      </c>
      <c r="AD213" s="26">
        <f>IFERROR(__xludf.DUMMYFUNCTION("""COMPUTED_VALUE"""),245.3)</f>
        <v>245.3</v>
      </c>
      <c r="AE213" s="26">
        <f>IFERROR(__xludf.DUMMYFUNCTION("""COMPUTED_VALUE"""),454.2)</f>
        <v>454.2</v>
      </c>
      <c r="AF213" s="26">
        <f>IFERROR(__xludf.DUMMYFUNCTION("""COMPUTED_VALUE"""),265.18)</f>
        <v>265.18</v>
      </c>
      <c r="AG213" s="26">
        <f>IFERROR(__xludf.DUMMYFUNCTION("""COMPUTED_VALUE"""),49.0)</f>
        <v>49</v>
      </c>
      <c r="AH213" s="26">
        <f>IFERROR(__xludf.DUMMYFUNCTION("""COMPUTED_VALUE"""),112.26)</f>
        <v>112.26</v>
      </c>
      <c r="AI213" s="26">
        <f>IFERROR(__xludf.DUMMYFUNCTION("""COMPUTED_VALUE"""),551.34)</f>
        <v>551.34</v>
      </c>
      <c r="AJ213" s="26">
        <f>IFERROR(__xludf.DUMMYFUNCTION("""COMPUTED_VALUE"""),354.13)</f>
        <v>354.13</v>
      </c>
      <c r="AK213" s="26">
        <f>IFERROR(__xludf.DUMMYFUNCTION("""COMPUTED_VALUE"""),148.85)</f>
        <v>148.85</v>
      </c>
      <c r="AL213" s="26">
        <f>IFERROR(__xludf.DUMMYFUNCTION("""COMPUTED_VALUE"""),172.82)</f>
        <v>172.82</v>
      </c>
      <c r="AM213" s="26">
        <f>IFERROR(__xludf.DUMMYFUNCTION("""COMPUTED_VALUE"""),488.8)</f>
        <v>488.8</v>
      </c>
      <c r="AN213" s="26">
        <f>IFERROR(__xludf.DUMMYFUNCTION("""COMPUTED_VALUE"""),233.93)</f>
        <v>233.93</v>
      </c>
      <c r="AO213" s="26">
        <f>IFERROR(__xludf.DUMMYFUNCTION("""COMPUTED_VALUE"""),467.61)</f>
        <v>467.61</v>
      </c>
      <c r="AP213" s="26">
        <f>IFERROR(__xludf.DUMMYFUNCTION("""COMPUTED_VALUE"""),327.09)</f>
        <v>327.09</v>
      </c>
      <c r="AQ213" s="26">
        <f>IFERROR(__xludf.DUMMYFUNCTION("""COMPUTED_VALUE"""),30.09)</f>
        <v>30.09</v>
      </c>
      <c r="AR213" s="26">
        <f>IFERROR(__xludf.DUMMYFUNCTION("""COMPUTED_VALUE"""),93.35)</f>
        <v>93.35</v>
      </c>
      <c r="AS213" s="26">
        <f>IFERROR(__xludf.DUMMYFUNCTION("""COMPUTED_VALUE"""),82.16)</f>
        <v>82.16</v>
      </c>
      <c r="AT213" s="26">
        <f>IFERROR(__xludf.DUMMYFUNCTION("""COMPUTED_VALUE"""),388.7)</f>
        <v>388.7</v>
      </c>
      <c r="AU213" s="26">
        <f>IFERROR(__xludf.DUMMYFUNCTION("""COMPUTED_VALUE"""),72.11)</f>
        <v>72.11</v>
      </c>
      <c r="AV213" s="26">
        <f>IFERROR(__xludf.DUMMYFUNCTION("""COMPUTED_VALUE"""),119.53)</f>
        <v>119.53</v>
      </c>
      <c r="AW213" s="26">
        <f>IFERROR(__xludf.DUMMYFUNCTION("""COMPUTED_VALUE"""),101.39)</f>
        <v>101.39</v>
      </c>
      <c r="AX213" s="26">
        <f>IFERROR(__xludf.DUMMYFUNCTION("""COMPUTED_VALUE"""),48.06)</f>
        <v>48.06</v>
      </c>
      <c r="AY213" s="26">
        <f>IFERROR(__xludf.DUMMYFUNCTION("""COMPUTED_VALUE"""),87.35)</f>
        <v>87.35</v>
      </c>
      <c r="AZ213" s="26">
        <f>IFERROR(__xludf.DUMMYFUNCTION("""COMPUTED_VALUE"""),69.65)</f>
        <v>69.65</v>
      </c>
      <c r="BA213" s="26">
        <f>IFERROR(__xludf.DUMMYFUNCTION("""COMPUTED_VALUE"""),26.05)</f>
        <v>26.05</v>
      </c>
      <c r="BB213" s="26">
        <f>IFERROR(__xludf.DUMMYFUNCTION("""COMPUTED_VALUE"""),132.05)</f>
        <v>132.05</v>
      </c>
      <c r="BC213" s="26">
        <f>IFERROR(__xludf.DUMMYFUNCTION("""COMPUTED_VALUE"""),260.17)</f>
        <v>260.17</v>
      </c>
      <c r="BD213" s="26">
        <f>IFERROR(__xludf.DUMMYFUNCTION("""COMPUTED_VALUE"""),519.57)</f>
        <v>519.57</v>
      </c>
      <c r="BE213" s="26">
        <f>IFERROR(__xludf.DUMMYFUNCTION("""COMPUTED_VALUE"""),188.41)</f>
        <v>188.41</v>
      </c>
      <c r="BF213" s="26">
        <f>IFERROR(__xludf.DUMMYFUNCTION("""COMPUTED_VALUE"""),67.69)</f>
        <v>67.69</v>
      </c>
      <c r="BG213" s="26">
        <f>IFERROR(__xludf.DUMMYFUNCTION("""COMPUTED_VALUE"""),6.94)</f>
        <v>6.94</v>
      </c>
      <c r="BH213" s="26">
        <f>IFERROR(__xludf.DUMMYFUNCTION("""COMPUTED_VALUE"""),237.86)</f>
        <v>237.86</v>
      </c>
      <c r="BI213" s="26">
        <f>IFERROR(__xludf.DUMMYFUNCTION("""COMPUTED_VALUE"""),499.02)</f>
        <v>499.02</v>
      </c>
      <c r="BJ213" s="26">
        <f>IFERROR(__xludf.DUMMYFUNCTION("""COMPUTED_VALUE"""),49.38)</f>
        <v>49.38</v>
      </c>
      <c r="BK213" s="26">
        <f>IFERROR(__xludf.DUMMYFUNCTION("""COMPUTED_VALUE"""),9.25)</f>
        <v>9.25</v>
      </c>
      <c r="BL213" s="26">
        <f>IFERROR(__xludf.DUMMYFUNCTION("""COMPUTED_VALUE"""),228.19)</f>
        <v>228.19</v>
      </c>
      <c r="BM213" s="26">
        <f>IFERROR(__xludf.DUMMYFUNCTION("""COMPUTED_VALUE"""),99.36)</f>
        <v>99.36</v>
      </c>
    </row>
    <row r="214">
      <c r="A214" s="25">
        <v>45735.66666666667</v>
      </c>
      <c r="B214" s="17">
        <f>IFERROR(__xludf.DUMMYFUNCTION("""COMPUTED_VALUE"""),5614.66)</f>
        <v>5614.66</v>
      </c>
      <c r="C214" s="17">
        <f>IFERROR(__xludf.DUMMYFUNCTION("""COMPUTED_VALUE"""),17504.12)</f>
        <v>17504.12</v>
      </c>
      <c r="D214" s="17">
        <f>IFERROR(__xludf.DUMMYFUNCTION("""COMPUTED_VALUE"""),41581.31)</f>
        <v>41581.31</v>
      </c>
      <c r="E214" s="17">
        <f>IFERROR(__xludf.DUMMYFUNCTION("""COMPUTED_VALUE"""),2049.94)</f>
        <v>2049.94</v>
      </c>
      <c r="F214" s="26">
        <f>IFERROR(__xludf.DUMMYFUNCTION("""COMPUTED_VALUE"""),391.37)</f>
        <v>391.37</v>
      </c>
      <c r="G214" s="26">
        <f>IFERROR(__xludf.DUMMYFUNCTION("""COMPUTED_VALUE"""),192.82)</f>
        <v>192.82</v>
      </c>
      <c r="H214" s="26">
        <f>IFERROR(__xludf.DUMMYFUNCTION("""COMPUTED_VALUE"""),144.75)</f>
        <v>144.75</v>
      </c>
      <c r="I214" s="26">
        <f>IFERROR(__xludf.DUMMYFUNCTION("""COMPUTED_VALUE"""),212.69)</f>
        <v>212.69</v>
      </c>
      <c r="J214" s="26">
        <f>IFERROR(__xludf.DUMMYFUNCTION("""COMPUTED_VALUE"""),153.51)</f>
        <v>153.51</v>
      </c>
      <c r="K214" s="26">
        <f>IFERROR(__xludf.DUMMYFUNCTION("""COMPUTED_VALUE"""),82.64)</f>
        <v>82.64</v>
      </c>
      <c r="L214" s="26">
        <f>IFERROR(__xludf.DUMMYFUNCTION("""COMPUTED_VALUE"""),16.06)</f>
        <v>16.06</v>
      </c>
      <c r="M214" s="26">
        <f>IFERROR(__xludf.DUMMYFUNCTION("""COMPUTED_VALUE"""),523.14)</f>
        <v>523.14</v>
      </c>
      <c r="N214" s="26">
        <f>IFERROR(__xludf.DUMMYFUNCTION("""COMPUTED_VALUE"""),50.54)</f>
        <v>50.54</v>
      </c>
      <c r="O214" s="26">
        <f>IFERROR(__xludf.DUMMYFUNCTION("""COMPUTED_VALUE"""),143.09)</f>
        <v>143.09</v>
      </c>
      <c r="P214" s="26">
        <f>IFERROR(__xludf.DUMMYFUNCTION("""COMPUTED_VALUE"""),67.3)</f>
        <v>67.3</v>
      </c>
      <c r="Q214" s="26">
        <f>IFERROR(__xludf.DUMMYFUNCTION("""COMPUTED_VALUE"""),336.71)</f>
        <v>336.71</v>
      </c>
      <c r="R214" s="26">
        <f>IFERROR(__xludf.DUMMYFUNCTION("""COMPUTED_VALUE"""),43.09)</f>
        <v>43.09</v>
      </c>
      <c r="S214" s="26">
        <f>IFERROR(__xludf.DUMMYFUNCTION("""COMPUTED_VALUE"""),229.75)</f>
        <v>229.75</v>
      </c>
      <c r="T214" s="26">
        <f>IFERROR(__xludf.DUMMYFUNCTION("""COMPUTED_VALUE"""),160.81)</f>
        <v>160.81</v>
      </c>
      <c r="U214" s="26">
        <f>IFERROR(__xludf.DUMMYFUNCTION("""COMPUTED_VALUE"""),322.43)</f>
        <v>322.43</v>
      </c>
      <c r="V214" s="26">
        <f>IFERROR(__xludf.DUMMYFUNCTION("""COMPUTED_VALUE"""),40.96)</f>
        <v>40.96</v>
      </c>
      <c r="W214" s="26">
        <f>IFERROR(__xludf.DUMMYFUNCTION("""COMPUTED_VALUE"""),69.38)</f>
        <v>69.38</v>
      </c>
      <c r="X214" s="26">
        <f>IFERROR(__xludf.DUMMYFUNCTION("""COMPUTED_VALUE"""),107.81)</f>
        <v>107.81</v>
      </c>
      <c r="Y214" s="26">
        <f>IFERROR(__xludf.DUMMYFUNCTION("""COMPUTED_VALUE"""),148.66)</f>
        <v>148.66</v>
      </c>
      <c r="Z214" s="26">
        <f>IFERROR(__xludf.DUMMYFUNCTION("""COMPUTED_VALUE"""),64.98)</f>
        <v>64.98</v>
      </c>
      <c r="AA214" s="26">
        <f>IFERROR(__xludf.DUMMYFUNCTION("""COMPUTED_VALUE"""),452.68)</f>
        <v>452.68</v>
      </c>
      <c r="AB214" s="26">
        <f>IFERROR(__xludf.DUMMYFUNCTION("""COMPUTED_VALUE"""),65.24)</f>
        <v>65.24</v>
      </c>
      <c r="AC214" s="26">
        <f>IFERROR(__xludf.DUMMYFUNCTION("""COMPUTED_VALUE"""),113.64)</f>
        <v>113.64</v>
      </c>
      <c r="AD214" s="26">
        <f>IFERROR(__xludf.DUMMYFUNCTION("""COMPUTED_VALUE"""),245.8)</f>
        <v>245.8</v>
      </c>
      <c r="AE214" s="26">
        <f>IFERROR(__xludf.DUMMYFUNCTION("""COMPUTED_VALUE"""),446.43)</f>
        <v>446.43</v>
      </c>
      <c r="AF214" s="26">
        <f>IFERROR(__xludf.DUMMYFUNCTION("""COMPUTED_VALUE"""),267.52)</f>
        <v>267.52</v>
      </c>
      <c r="AG214" s="26">
        <f>IFERROR(__xludf.DUMMYFUNCTION("""COMPUTED_VALUE"""),48.67)</f>
        <v>48.67</v>
      </c>
      <c r="AH214" s="26">
        <f>IFERROR(__xludf.DUMMYFUNCTION("""COMPUTED_VALUE"""),110.23)</f>
        <v>110.23</v>
      </c>
      <c r="AI214" s="26">
        <f>IFERROR(__xludf.DUMMYFUNCTION("""COMPUTED_VALUE"""),551.78)</f>
        <v>551.78</v>
      </c>
      <c r="AJ214" s="26">
        <f>IFERROR(__xludf.DUMMYFUNCTION("""COMPUTED_VALUE"""),349.57)</f>
        <v>349.57</v>
      </c>
      <c r="AK214" s="26">
        <f>IFERROR(__xludf.DUMMYFUNCTION("""COMPUTED_VALUE"""),148.39)</f>
        <v>148.39</v>
      </c>
      <c r="AL214" s="26">
        <f>IFERROR(__xludf.DUMMYFUNCTION("""COMPUTED_VALUE"""),172.84)</f>
        <v>172.84</v>
      </c>
      <c r="AM214" s="26">
        <f>IFERROR(__xludf.DUMMYFUNCTION("""COMPUTED_VALUE"""),483.95)</f>
        <v>483.95</v>
      </c>
      <c r="AN214" s="26">
        <f>IFERROR(__xludf.DUMMYFUNCTION("""COMPUTED_VALUE"""),234.97)</f>
        <v>234.97</v>
      </c>
      <c r="AO214" s="26">
        <f>IFERROR(__xludf.DUMMYFUNCTION("""COMPUTED_VALUE"""),469.28)</f>
        <v>469.28</v>
      </c>
      <c r="AP214" s="26">
        <f>IFERROR(__xludf.DUMMYFUNCTION("""COMPUTED_VALUE"""),323.07)</f>
        <v>323.07</v>
      </c>
      <c r="AQ214" s="26">
        <f>IFERROR(__xludf.DUMMYFUNCTION("""COMPUTED_VALUE"""),30.02)</f>
        <v>30.02</v>
      </c>
      <c r="AR214" s="26">
        <f>IFERROR(__xludf.DUMMYFUNCTION("""COMPUTED_VALUE"""),92.21)</f>
        <v>92.21</v>
      </c>
      <c r="AS214" s="26">
        <f>IFERROR(__xludf.DUMMYFUNCTION("""COMPUTED_VALUE"""),81.64)</f>
        <v>81.64</v>
      </c>
      <c r="AT214" s="26">
        <f>IFERROR(__xludf.DUMMYFUNCTION("""COMPUTED_VALUE"""),383.52)</f>
        <v>383.52</v>
      </c>
      <c r="AU214" s="26">
        <f>IFERROR(__xludf.DUMMYFUNCTION("""COMPUTED_VALUE"""),70.7)</f>
        <v>70.7</v>
      </c>
      <c r="AV214" s="26">
        <f>IFERROR(__xludf.DUMMYFUNCTION("""COMPUTED_VALUE"""),115.43)</f>
        <v>115.43</v>
      </c>
      <c r="AW214" s="26">
        <f>IFERROR(__xludf.DUMMYFUNCTION("""COMPUTED_VALUE"""),101.67)</f>
        <v>101.67</v>
      </c>
      <c r="AX214" s="26">
        <f>IFERROR(__xludf.DUMMYFUNCTION("""COMPUTED_VALUE"""),46.28)</f>
        <v>46.28</v>
      </c>
      <c r="AY214" s="26">
        <f>IFERROR(__xludf.DUMMYFUNCTION("""COMPUTED_VALUE"""),83.89)</f>
        <v>83.89</v>
      </c>
      <c r="AZ214" s="26">
        <f>IFERROR(__xludf.DUMMYFUNCTION("""COMPUTED_VALUE"""),68.88)</f>
        <v>68.88</v>
      </c>
      <c r="BA214" s="26">
        <f>IFERROR(__xludf.DUMMYFUNCTION("""COMPUTED_VALUE"""),26.31)</f>
        <v>26.31</v>
      </c>
      <c r="BB214" s="26">
        <f>IFERROR(__xludf.DUMMYFUNCTION("""COMPUTED_VALUE"""),132.69)</f>
        <v>132.69</v>
      </c>
      <c r="BC214" s="26">
        <f>IFERROR(__xludf.DUMMYFUNCTION("""COMPUTED_VALUE"""),260.73)</f>
        <v>260.73</v>
      </c>
      <c r="BD214" s="26">
        <f>IFERROR(__xludf.DUMMYFUNCTION("""COMPUTED_VALUE"""),521.5)</f>
        <v>521.5</v>
      </c>
      <c r="BE214" s="26">
        <f>IFERROR(__xludf.DUMMYFUNCTION("""COMPUTED_VALUE"""),190.2)</f>
        <v>190.2</v>
      </c>
      <c r="BF214" s="26">
        <f>IFERROR(__xludf.DUMMYFUNCTION("""COMPUTED_VALUE"""),68.99)</f>
        <v>68.99</v>
      </c>
      <c r="BG214" s="26">
        <f>IFERROR(__xludf.DUMMYFUNCTION("""COMPUTED_VALUE"""),6.71)</f>
        <v>6.71</v>
      </c>
      <c r="BH214" s="26">
        <f>IFERROR(__xludf.DUMMYFUNCTION("""COMPUTED_VALUE"""),237.09)</f>
        <v>237.09</v>
      </c>
      <c r="BI214" s="26">
        <f>IFERROR(__xludf.DUMMYFUNCTION("""COMPUTED_VALUE"""),503.8)</f>
        <v>503.8</v>
      </c>
      <c r="BJ214" s="26">
        <f>IFERROR(__xludf.DUMMYFUNCTION("""COMPUTED_VALUE"""),49.42)</f>
        <v>49.42</v>
      </c>
      <c r="BK214" s="26">
        <f>IFERROR(__xludf.DUMMYFUNCTION("""COMPUTED_VALUE"""),9.52)</f>
        <v>9.52</v>
      </c>
      <c r="BL214" s="26">
        <f>IFERROR(__xludf.DUMMYFUNCTION("""COMPUTED_VALUE"""),225.87)</f>
        <v>225.87</v>
      </c>
      <c r="BM214" s="26">
        <f>IFERROR(__xludf.DUMMYFUNCTION("""COMPUTED_VALUE"""),99.35)</f>
        <v>99.35</v>
      </c>
    </row>
    <row r="215">
      <c r="A215" s="25">
        <v>45736.66666666667</v>
      </c>
      <c r="B215" s="17">
        <f>IFERROR(__xludf.DUMMYFUNCTION("""COMPUTED_VALUE"""),5675.29)</f>
        <v>5675.29</v>
      </c>
      <c r="C215" s="17">
        <f>IFERROR(__xludf.DUMMYFUNCTION("""COMPUTED_VALUE"""),17750.79)</f>
        <v>17750.79</v>
      </c>
      <c r="D215" s="17">
        <f>IFERROR(__xludf.DUMMYFUNCTION("""COMPUTED_VALUE"""),41964.63)</f>
        <v>41964.63</v>
      </c>
      <c r="E215" s="17">
        <f>IFERROR(__xludf.DUMMYFUNCTION("""COMPUTED_VALUE"""),2082.08)</f>
        <v>2082.08</v>
      </c>
      <c r="F215" s="26">
        <f>IFERROR(__xludf.DUMMYFUNCTION("""COMPUTED_VALUE"""),387.89)</f>
        <v>387.89</v>
      </c>
      <c r="G215" s="26">
        <f>IFERROR(__xludf.DUMMYFUNCTION("""COMPUTED_VALUE"""),195.54)</f>
        <v>195.54</v>
      </c>
      <c r="H215" s="26">
        <f>IFERROR(__xludf.DUMMYFUNCTION("""COMPUTED_VALUE"""),142.05)</f>
        <v>142.05</v>
      </c>
      <c r="I215" s="26">
        <f>IFERROR(__xludf.DUMMYFUNCTION("""COMPUTED_VALUE"""),215.24)</f>
        <v>215.24</v>
      </c>
      <c r="J215" s="26">
        <f>IFERROR(__xludf.DUMMYFUNCTION("""COMPUTED_VALUE"""),154.46)</f>
        <v>154.46</v>
      </c>
      <c r="K215" s="26">
        <f>IFERROR(__xludf.DUMMYFUNCTION("""COMPUTED_VALUE"""),83.9)</f>
        <v>83.9</v>
      </c>
      <c r="L215" s="26">
        <f>IFERROR(__xludf.DUMMYFUNCTION("""COMPUTED_VALUE"""),16.16)</f>
        <v>16.16</v>
      </c>
      <c r="M215" s="26">
        <f>IFERROR(__xludf.DUMMYFUNCTION("""COMPUTED_VALUE"""),525.27)</f>
        <v>525.27</v>
      </c>
      <c r="N215" s="26">
        <f>IFERROR(__xludf.DUMMYFUNCTION("""COMPUTED_VALUE"""),50.06)</f>
        <v>50.06</v>
      </c>
      <c r="O215" s="26">
        <f>IFERROR(__xludf.DUMMYFUNCTION("""COMPUTED_VALUE"""),141.43)</f>
        <v>141.43</v>
      </c>
      <c r="P215" s="26">
        <f>IFERROR(__xludf.DUMMYFUNCTION("""COMPUTED_VALUE"""),67.68)</f>
        <v>67.68</v>
      </c>
      <c r="Q215" s="26">
        <f>IFERROR(__xludf.DUMMYFUNCTION("""COMPUTED_VALUE"""),338.62)</f>
        <v>338.62</v>
      </c>
      <c r="R215" s="26">
        <f>IFERROR(__xludf.DUMMYFUNCTION("""COMPUTED_VALUE"""),44.19)</f>
        <v>44.19</v>
      </c>
      <c r="S215" s="26">
        <f>IFERROR(__xludf.DUMMYFUNCTION("""COMPUTED_VALUE"""),230.32)</f>
        <v>230.32</v>
      </c>
      <c r="T215" s="26">
        <f>IFERROR(__xludf.DUMMYFUNCTION("""COMPUTED_VALUE"""),164.05)</f>
        <v>164.05</v>
      </c>
      <c r="U215" s="26">
        <f>IFERROR(__xludf.DUMMYFUNCTION("""COMPUTED_VALUE"""),320.83)</f>
        <v>320.83</v>
      </c>
      <c r="V215" s="26">
        <f>IFERROR(__xludf.DUMMYFUNCTION("""COMPUTED_VALUE"""),41.36)</f>
        <v>41.36</v>
      </c>
      <c r="W215" s="26">
        <f>IFERROR(__xludf.DUMMYFUNCTION("""COMPUTED_VALUE"""),69.28)</f>
        <v>69.28</v>
      </c>
      <c r="X215" s="26">
        <f>IFERROR(__xludf.DUMMYFUNCTION("""COMPUTED_VALUE"""),107.49)</f>
        <v>107.49</v>
      </c>
      <c r="Y215" s="26">
        <f>IFERROR(__xludf.DUMMYFUNCTION("""COMPUTED_VALUE"""),151.09)</f>
        <v>151.09</v>
      </c>
      <c r="Z215" s="26">
        <f>IFERROR(__xludf.DUMMYFUNCTION("""COMPUTED_VALUE"""),64.3)</f>
        <v>64.3</v>
      </c>
      <c r="AA215" s="26">
        <f>IFERROR(__xludf.DUMMYFUNCTION("""COMPUTED_VALUE"""),461.67)</f>
        <v>461.67</v>
      </c>
      <c r="AB215" s="26">
        <f>IFERROR(__xludf.DUMMYFUNCTION("""COMPUTED_VALUE"""),67.2)</f>
        <v>67.2</v>
      </c>
      <c r="AC215" s="26">
        <f>IFERROR(__xludf.DUMMYFUNCTION("""COMPUTED_VALUE"""),115.41)</f>
        <v>115.41</v>
      </c>
      <c r="AD215" s="26">
        <f>IFERROR(__xludf.DUMMYFUNCTION("""COMPUTED_VALUE"""),247.12)</f>
        <v>247.12</v>
      </c>
      <c r="AE215" s="26">
        <f>IFERROR(__xludf.DUMMYFUNCTION("""COMPUTED_VALUE"""),453.28)</f>
        <v>453.28</v>
      </c>
      <c r="AF215" s="26">
        <f>IFERROR(__xludf.DUMMYFUNCTION("""COMPUTED_VALUE"""),267.97)</f>
        <v>267.97</v>
      </c>
      <c r="AG215" s="26">
        <f>IFERROR(__xludf.DUMMYFUNCTION("""COMPUTED_VALUE"""),49.79)</f>
        <v>49.79</v>
      </c>
      <c r="AH215" s="26">
        <f>IFERROR(__xludf.DUMMYFUNCTION("""COMPUTED_VALUE"""),107.51)</f>
        <v>107.51</v>
      </c>
      <c r="AI215" s="26">
        <f>IFERROR(__xludf.DUMMYFUNCTION("""COMPUTED_VALUE"""),557.34)</f>
        <v>557.34</v>
      </c>
      <c r="AJ215" s="26">
        <f>IFERROR(__xludf.DUMMYFUNCTION("""COMPUTED_VALUE"""),353.42)</f>
        <v>353.42</v>
      </c>
      <c r="AK215" s="26">
        <f>IFERROR(__xludf.DUMMYFUNCTION("""COMPUTED_VALUE"""),149.73)</f>
        <v>149.73</v>
      </c>
      <c r="AL215" s="26">
        <f>IFERROR(__xludf.DUMMYFUNCTION("""COMPUTED_VALUE"""),173.69)</f>
        <v>173.69</v>
      </c>
      <c r="AM215" s="26">
        <f>IFERROR(__xludf.DUMMYFUNCTION("""COMPUTED_VALUE"""),492.06)</f>
        <v>492.06</v>
      </c>
      <c r="AN215" s="26">
        <f>IFERROR(__xludf.DUMMYFUNCTION("""COMPUTED_VALUE"""),239.11)</f>
        <v>239.11</v>
      </c>
      <c r="AO215" s="26">
        <f>IFERROR(__xludf.DUMMYFUNCTION("""COMPUTED_VALUE"""),470.55)</f>
        <v>470.55</v>
      </c>
      <c r="AP215" s="26">
        <f>IFERROR(__xludf.DUMMYFUNCTION("""COMPUTED_VALUE"""),329.57)</f>
        <v>329.57</v>
      </c>
      <c r="AQ215" s="26">
        <f>IFERROR(__xludf.DUMMYFUNCTION("""COMPUTED_VALUE"""),30.48)</f>
        <v>30.48</v>
      </c>
      <c r="AR215" s="26">
        <f>IFERROR(__xludf.DUMMYFUNCTION("""COMPUTED_VALUE"""),91.87)</f>
        <v>91.87</v>
      </c>
      <c r="AS215" s="26">
        <f>IFERROR(__xludf.DUMMYFUNCTION("""COMPUTED_VALUE"""),83.02)</f>
        <v>83.02</v>
      </c>
      <c r="AT215" s="26">
        <f>IFERROR(__xludf.DUMMYFUNCTION("""COMPUTED_VALUE"""),387.82)</f>
        <v>387.82</v>
      </c>
      <c r="AU215" s="26">
        <f>IFERROR(__xludf.DUMMYFUNCTION("""COMPUTED_VALUE"""),70.5)</f>
        <v>70.5</v>
      </c>
      <c r="AV215" s="26">
        <f>IFERROR(__xludf.DUMMYFUNCTION("""COMPUTED_VALUE"""),117.52)</f>
        <v>117.52</v>
      </c>
      <c r="AW215" s="26">
        <f>IFERROR(__xludf.DUMMYFUNCTION("""COMPUTED_VALUE"""),102.77)</f>
        <v>102.77</v>
      </c>
      <c r="AX215" s="26">
        <f>IFERROR(__xludf.DUMMYFUNCTION("""COMPUTED_VALUE"""),47.07)</f>
        <v>47.07</v>
      </c>
      <c r="AY215" s="26">
        <f>IFERROR(__xludf.DUMMYFUNCTION("""COMPUTED_VALUE"""),86.1)</f>
        <v>86.1</v>
      </c>
      <c r="AZ215" s="26">
        <f>IFERROR(__xludf.DUMMYFUNCTION("""COMPUTED_VALUE"""),70.0)</f>
        <v>70</v>
      </c>
      <c r="BA215" s="26">
        <f>IFERROR(__xludf.DUMMYFUNCTION("""COMPUTED_VALUE"""),26.21)</f>
        <v>26.21</v>
      </c>
      <c r="BB215" s="26">
        <f>IFERROR(__xludf.DUMMYFUNCTION("""COMPUTED_VALUE"""),135.32)</f>
        <v>135.32</v>
      </c>
      <c r="BC215" s="26">
        <f>IFERROR(__xludf.DUMMYFUNCTION("""COMPUTED_VALUE"""),259.25)</f>
        <v>259.25</v>
      </c>
      <c r="BD215" s="26">
        <f>IFERROR(__xludf.DUMMYFUNCTION("""COMPUTED_VALUE"""),518.41)</f>
        <v>518.41</v>
      </c>
      <c r="BE215" s="26">
        <f>IFERROR(__xludf.DUMMYFUNCTION("""COMPUTED_VALUE"""),193.14)</f>
        <v>193.14</v>
      </c>
      <c r="BF215" s="26">
        <f>IFERROR(__xludf.DUMMYFUNCTION("""COMPUTED_VALUE"""),70.33)</f>
        <v>70.33</v>
      </c>
      <c r="BG215" s="26">
        <f>IFERROR(__xludf.DUMMYFUNCTION("""COMPUTED_VALUE"""),6.6)</f>
        <v>6.6</v>
      </c>
      <c r="BH215" s="26">
        <f>IFERROR(__xludf.DUMMYFUNCTION("""COMPUTED_VALUE"""),236.39)</f>
        <v>236.39</v>
      </c>
      <c r="BI215" s="26">
        <f>IFERROR(__xludf.DUMMYFUNCTION("""COMPUTED_VALUE"""),503.2)</f>
        <v>503.2</v>
      </c>
      <c r="BJ215" s="26">
        <f>IFERROR(__xludf.DUMMYFUNCTION("""COMPUTED_VALUE"""),49.53)</f>
        <v>49.53</v>
      </c>
      <c r="BK215" s="26">
        <f>IFERROR(__xludf.DUMMYFUNCTION("""COMPUTED_VALUE"""),9.42)</f>
        <v>9.42</v>
      </c>
      <c r="BL215" s="26">
        <f>IFERROR(__xludf.DUMMYFUNCTION("""COMPUTED_VALUE"""),227.36)</f>
        <v>227.36</v>
      </c>
      <c r="BM215" s="26">
        <f>IFERROR(__xludf.DUMMYFUNCTION("""COMPUTED_VALUE"""),100.29)</f>
        <v>100.29</v>
      </c>
    </row>
    <row r="216">
      <c r="A216" s="25">
        <v>45737.66666666667</v>
      </c>
      <c r="B216" s="17">
        <f>IFERROR(__xludf.DUMMYFUNCTION("""COMPUTED_VALUE"""),5662.89)</f>
        <v>5662.89</v>
      </c>
      <c r="C216" s="17">
        <f>IFERROR(__xludf.DUMMYFUNCTION("""COMPUTED_VALUE"""),17691.63)</f>
        <v>17691.63</v>
      </c>
      <c r="D216" s="17">
        <f>IFERROR(__xludf.DUMMYFUNCTION("""COMPUTED_VALUE"""),41953.32)</f>
        <v>41953.32</v>
      </c>
      <c r="E216" s="17">
        <f>IFERROR(__xludf.DUMMYFUNCTION("""COMPUTED_VALUE"""),2068.63)</f>
        <v>2068.63</v>
      </c>
      <c r="F216" s="26">
        <f>IFERROR(__xludf.DUMMYFUNCTION("""COMPUTED_VALUE"""),389.61)</f>
        <v>389.61</v>
      </c>
      <c r="G216" s="26">
        <f>IFERROR(__xludf.DUMMYFUNCTION("""COMPUTED_VALUE"""),194.95)</f>
        <v>194.95</v>
      </c>
      <c r="H216" s="26">
        <f>IFERROR(__xludf.DUMMYFUNCTION("""COMPUTED_VALUE"""),141.81)</f>
        <v>141.81</v>
      </c>
      <c r="I216" s="26">
        <f>IFERROR(__xludf.DUMMYFUNCTION("""COMPUTED_VALUE"""),214.1)</f>
        <v>214.1</v>
      </c>
      <c r="J216" s="26">
        <f>IFERROR(__xludf.DUMMYFUNCTION("""COMPUTED_VALUE"""),154.38)</f>
        <v>154.38</v>
      </c>
      <c r="K216" s="26">
        <f>IFERROR(__xludf.DUMMYFUNCTION("""COMPUTED_VALUE"""),83.93)</f>
        <v>83.93</v>
      </c>
      <c r="L216" s="26">
        <f>IFERROR(__xludf.DUMMYFUNCTION("""COMPUTED_VALUE"""),15.97)</f>
        <v>15.97</v>
      </c>
      <c r="M216" s="26">
        <f>IFERROR(__xludf.DUMMYFUNCTION("""COMPUTED_VALUE"""),528.73)</f>
        <v>528.73</v>
      </c>
      <c r="N216" s="26">
        <f>IFERROR(__xludf.DUMMYFUNCTION("""COMPUTED_VALUE"""),49.31)</f>
        <v>49.31</v>
      </c>
      <c r="O216" s="26">
        <f>IFERROR(__xludf.DUMMYFUNCTION("""COMPUTED_VALUE"""),141.38)</f>
        <v>141.38</v>
      </c>
      <c r="P216" s="26">
        <f>IFERROR(__xludf.DUMMYFUNCTION("""COMPUTED_VALUE"""),66.43)</f>
        <v>66.43</v>
      </c>
      <c r="Q216" s="26">
        <f>IFERROR(__xludf.DUMMYFUNCTION("""COMPUTED_VALUE"""),336.25)</f>
        <v>336.25</v>
      </c>
      <c r="R216" s="26">
        <f>IFERROR(__xludf.DUMMYFUNCTION("""COMPUTED_VALUE"""),44.85)</f>
        <v>44.85</v>
      </c>
      <c r="S216" s="26">
        <f>IFERROR(__xludf.DUMMYFUNCTION("""COMPUTED_VALUE"""),229.14)</f>
        <v>229.14</v>
      </c>
      <c r="T216" s="26">
        <f>IFERROR(__xludf.DUMMYFUNCTION("""COMPUTED_VALUE"""),164.77)</f>
        <v>164.77</v>
      </c>
      <c r="U216" s="26">
        <f>IFERROR(__xludf.DUMMYFUNCTION("""COMPUTED_VALUE"""),321.39)</f>
        <v>321.39</v>
      </c>
      <c r="V216" s="26">
        <f>IFERROR(__xludf.DUMMYFUNCTION("""COMPUTED_VALUE"""),40.99)</f>
        <v>40.99</v>
      </c>
      <c r="W216" s="26">
        <f>IFERROR(__xludf.DUMMYFUNCTION("""COMPUTED_VALUE"""),69.71)</f>
        <v>69.71</v>
      </c>
      <c r="X216" s="26">
        <f>IFERROR(__xludf.DUMMYFUNCTION("""COMPUTED_VALUE"""),108.48)</f>
        <v>108.48</v>
      </c>
      <c r="Y216" s="26">
        <f>IFERROR(__xludf.DUMMYFUNCTION("""COMPUTED_VALUE"""),151.41)</f>
        <v>151.41</v>
      </c>
      <c r="Z216" s="26">
        <f>IFERROR(__xludf.DUMMYFUNCTION("""COMPUTED_VALUE"""),64.59)</f>
        <v>64.59</v>
      </c>
      <c r="AA216" s="26">
        <f>IFERROR(__xludf.DUMMYFUNCTION("""COMPUTED_VALUE"""),466.05)</f>
        <v>466.05</v>
      </c>
      <c r="AB216" s="26">
        <f>IFERROR(__xludf.DUMMYFUNCTION("""COMPUTED_VALUE"""),66.34)</f>
        <v>66.34</v>
      </c>
      <c r="AC216" s="26">
        <f>IFERROR(__xludf.DUMMYFUNCTION("""COMPUTED_VALUE"""),115.9)</f>
        <v>115.9</v>
      </c>
      <c r="AD216" s="26">
        <f>IFERROR(__xludf.DUMMYFUNCTION("""COMPUTED_VALUE"""),246.21)</f>
        <v>246.21</v>
      </c>
      <c r="AE216" s="26">
        <f>IFERROR(__xludf.DUMMYFUNCTION("""COMPUTED_VALUE"""),444.03)</f>
        <v>444.03</v>
      </c>
      <c r="AF216" s="26">
        <f>IFERROR(__xludf.DUMMYFUNCTION("""COMPUTED_VALUE"""),265.7)</f>
        <v>265.7</v>
      </c>
      <c r="AG216" s="26">
        <f>IFERROR(__xludf.DUMMYFUNCTION("""COMPUTED_VALUE"""),49.44)</f>
        <v>49.44</v>
      </c>
      <c r="AH216" s="26">
        <f>IFERROR(__xludf.DUMMYFUNCTION("""COMPUTED_VALUE"""),105.87)</f>
        <v>105.87</v>
      </c>
      <c r="AI216" s="26">
        <f>IFERROR(__xludf.DUMMYFUNCTION("""COMPUTED_VALUE"""),562.68)</f>
        <v>562.68</v>
      </c>
      <c r="AJ216" s="26">
        <f>IFERROR(__xludf.DUMMYFUNCTION("""COMPUTED_VALUE"""),355.52)</f>
        <v>355.52</v>
      </c>
      <c r="AK216" s="26">
        <f>IFERROR(__xludf.DUMMYFUNCTION("""COMPUTED_VALUE"""),148.55)</f>
        <v>148.55</v>
      </c>
      <c r="AL216" s="26">
        <f>IFERROR(__xludf.DUMMYFUNCTION("""COMPUTED_VALUE"""),175.59)</f>
        <v>175.59</v>
      </c>
      <c r="AM216" s="26">
        <f>IFERROR(__xludf.DUMMYFUNCTION("""COMPUTED_VALUE"""),491.81)</f>
        <v>491.81</v>
      </c>
      <c r="AN216" s="26">
        <f>IFERROR(__xludf.DUMMYFUNCTION("""COMPUTED_VALUE"""),239.01)</f>
        <v>239.01</v>
      </c>
      <c r="AO216" s="26">
        <f>IFERROR(__xludf.DUMMYFUNCTION("""COMPUTED_VALUE"""),466.74)</f>
        <v>466.74</v>
      </c>
      <c r="AP216" s="26">
        <f>IFERROR(__xludf.DUMMYFUNCTION("""COMPUTED_VALUE"""),324.45)</f>
        <v>324.45</v>
      </c>
      <c r="AQ216" s="26">
        <f>IFERROR(__xludf.DUMMYFUNCTION("""COMPUTED_VALUE"""),30.54)</f>
        <v>30.54</v>
      </c>
      <c r="AR216" s="26">
        <f>IFERROR(__xludf.DUMMYFUNCTION("""COMPUTED_VALUE"""),91.22)</f>
        <v>91.22</v>
      </c>
      <c r="AS216" s="26">
        <f>IFERROR(__xludf.DUMMYFUNCTION("""COMPUTED_VALUE"""),82.72)</f>
        <v>82.72</v>
      </c>
      <c r="AT216" s="26">
        <f>IFERROR(__xludf.DUMMYFUNCTION("""COMPUTED_VALUE"""),386.84)</f>
        <v>386.84</v>
      </c>
      <c r="AU216" s="26">
        <f>IFERROR(__xludf.DUMMYFUNCTION("""COMPUTED_VALUE"""),71.15)</f>
        <v>71.15</v>
      </c>
      <c r="AV216" s="26">
        <f>IFERROR(__xludf.DUMMYFUNCTION("""COMPUTED_VALUE"""),118.53)</f>
        <v>118.53</v>
      </c>
      <c r="AW216" s="26">
        <f>IFERROR(__xludf.DUMMYFUNCTION("""COMPUTED_VALUE"""),101.9)</f>
        <v>101.9</v>
      </c>
      <c r="AX216" s="26">
        <f>IFERROR(__xludf.DUMMYFUNCTION("""COMPUTED_VALUE"""),45.56)</f>
        <v>45.56</v>
      </c>
      <c r="AY216" s="26">
        <f>IFERROR(__xludf.DUMMYFUNCTION("""COMPUTED_VALUE"""),87.39)</f>
        <v>87.39</v>
      </c>
      <c r="AZ216" s="26">
        <f>IFERROR(__xludf.DUMMYFUNCTION("""COMPUTED_VALUE"""),69.67)</f>
        <v>69.67</v>
      </c>
      <c r="BA216" s="26">
        <f>IFERROR(__xludf.DUMMYFUNCTION("""COMPUTED_VALUE"""),26.19)</f>
        <v>26.19</v>
      </c>
      <c r="BB216" s="26">
        <f>IFERROR(__xludf.DUMMYFUNCTION("""COMPUTED_VALUE"""),134.47)</f>
        <v>134.47</v>
      </c>
      <c r="BC216" s="26">
        <f>IFERROR(__xludf.DUMMYFUNCTION("""COMPUTED_VALUE"""),257.03)</f>
        <v>257.03</v>
      </c>
      <c r="BD216" s="26">
        <f>IFERROR(__xludf.DUMMYFUNCTION("""COMPUTED_VALUE"""),518.64)</f>
        <v>518.64</v>
      </c>
      <c r="BE216" s="26">
        <f>IFERROR(__xludf.DUMMYFUNCTION("""COMPUTED_VALUE"""),192.17)</f>
        <v>192.17</v>
      </c>
      <c r="BF216" s="26">
        <f>IFERROR(__xludf.DUMMYFUNCTION("""COMPUTED_VALUE"""),68.84)</f>
        <v>68.84</v>
      </c>
      <c r="BG216" s="26">
        <f>IFERROR(__xludf.DUMMYFUNCTION("""COMPUTED_VALUE"""),6.47)</f>
        <v>6.47</v>
      </c>
      <c r="BH216" s="26">
        <f>IFERROR(__xludf.DUMMYFUNCTION("""COMPUTED_VALUE"""),234.79)</f>
        <v>234.79</v>
      </c>
      <c r="BI216" s="26">
        <f>IFERROR(__xludf.DUMMYFUNCTION("""COMPUTED_VALUE"""),511.3)</f>
        <v>511.3</v>
      </c>
      <c r="BJ216" s="26">
        <f>IFERROR(__xludf.DUMMYFUNCTION("""COMPUTED_VALUE"""),49.57)</f>
        <v>49.57</v>
      </c>
      <c r="BK216" s="26">
        <f>IFERROR(__xludf.DUMMYFUNCTION("""COMPUTED_VALUE"""),9.44)</f>
        <v>9.44</v>
      </c>
      <c r="BL216" s="26">
        <f>IFERROR(__xludf.DUMMYFUNCTION("""COMPUTED_VALUE"""),226.9)</f>
        <v>226.9</v>
      </c>
      <c r="BM216" s="26">
        <f>IFERROR(__xludf.DUMMYFUNCTION("""COMPUTED_VALUE"""),98.86)</f>
        <v>98.86</v>
      </c>
    </row>
    <row r="217">
      <c r="A217" s="25">
        <v>45740.66666666667</v>
      </c>
      <c r="B217" s="17">
        <f>IFERROR(__xludf.DUMMYFUNCTION("""COMPUTED_VALUE"""),5667.56)</f>
        <v>5667.56</v>
      </c>
      <c r="C217" s="17">
        <f>IFERROR(__xludf.DUMMYFUNCTION("""COMPUTED_VALUE"""),17784.05)</f>
        <v>17784.05</v>
      </c>
      <c r="D217" s="17">
        <f>IFERROR(__xludf.DUMMYFUNCTION("""COMPUTED_VALUE"""),41985.35)</f>
        <v>41985.35</v>
      </c>
      <c r="E217" s="17">
        <f>IFERROR(__xludf.DUMMYFUNCTION("""COMPUTED_VALUE"""),2056.98)</f>
        <v>2056.98</v>
      </c>
      <c r="F217" s="26">
        <f>IFERROR(__xludf.DUMMYFUNCTION("""COMPUTED_VALUE"""),387.26)</f>
        <v>387.26</v>
      </c>
      <c r="G217" s="26">
        <f>IFERROR(__xludf.DUMMYFUNCTION("""COMPUTED_VALUE"""),196.21)</f>
        <v>196.21</v>
      </c>
      <c r="H217" s="26">
        <f>IFERROR(__xludf.DUMMYFUNCTION("""COMPUTED_VALUE"""),141.13)</f>
        <v>141.13</v>
      </c>
      <c r="I217" s="26">
        <f>IFERROR(__xludf.DUMMYFUNCTION("""COMPUTED_VALUE"""),218.27)</f>
        <v>218.27</v>
      </c>
      <c r="J217" s="26">
        <f>IFERROR(__xludf.DUMMYFUNCTION("""COMPUTED_VALUE"""),152.12)</f>
        <v>152.12</v>
      </c>
      <c r="K217" s="26">
        <f>IFERROR(__xludf.DUMMYFUNCTION("""COMPUTED_VALUE"""),83.55)</f>
        <v>83.55</v>
      </c>
      <c r="L217" s="26">
        <f>IFERROR(__xludf.DUMMYFUNCTION("""COMPUTED_VALUE"""),15.75)</f>
        <v>15.75</v>
      </c>
      <c r="M217" s="26">
        <f>IFERROR(__xludf.DUMMYFUNCTION("""COMPUTED_VALUE"""),521.91)</f>
        <v>521.91</v>
      </c>
      <c r="N217" s="26">
        <f>IFERROR(__xludf.DUMMYFUNCTION("""COMPUTED_VALUE"""),49.15)</f>
        <v>49.15</v>
      </c>
      <c r="O217" s="26">
        <f>IFERROR(__xludf.DUMMYFUNCTION("""COMPUTED_VALUE"""),140.9)</f>
        <v>140.9</v>
      </c>
      <c r="P217" s="26">
        <f>IFERROR(__xludf.DUMMYFUNCTION("""COMPUTED_VALUE"""),66.17)</f>
        <v>66.17</v>
      </c>
      <c r="Q217" s="26">
        <f>IFERROR(__xludf.DUMMYFUNCTION("""COMPUTED_VALUE"""),335.78)</f>
        <v>335.78</v>
      </c>
      <c r="R217" s="26">
        <f>IFERROR(__xludf.DUMMYFUNCTION("""COMPUTED_VALUE"""),44.53)</f>
        <v>44.53</v>
      </c>
      <c r="S217" s="26">
        <f>IFERROR(__xludf.DUMMYFUNCTION("""COMPUTED_VALUE"""),227.97)</f>
        <v>227.97</v>
      </c>
      <c r="T217" s="26">
        <f>IFERROR(__xludf.DUMMYFUNCTION("""COMPUTED_VALUE"""),164.75)</f>
        <v>164.75</v>
      </c>
      <c r="U217" s="26">
        <f>IFERROR(__xludf.DUMMYFUNCTION("""COMPUTED_VALUE"""),316.65)</f>
        <v>316.65</v>
      </c>
      <c r="V217" s="26">
        <f>IFERROR(__xludf.DUMMYFUNCTION("""COMPUTED_VALUE"""),41.19)</f>
        <v>41.19</v>
      </c>
      <c r="W217" s="26">
        <f>IFERROR(__xludf.DUMMYFUNCTION("""COMPUTED_VALUE"""),68.67)</f>
        <v>68.67</v>
      </c>
      <c r="X217" s="26">
        <f>IFERROR(__xludf.DUMMYFUNCTION("""COMPUTED_VALUE"""),107.8)</f>
        <v>107.8</v>
      </c>
      <c r="Y217" s="26">
        <f>IFERROR(__xludf.DUMMYFUNCTION("""COMPUTED_VALUE"""),150.38)</f>
        <v>150.38</v>
      </c>
      <c r="Z217" s="26">
        <f>IFERROR(__xludf.DUMMYFUNCTION("""COMPUTED_VALUE"""),66.75)</f>
        <v>66.75</v>
      </c>
      <c r="AA217" s="26">
        <f>IFERROR(__xludf.DUMMYFUNCTION("""COMPUTED_VALUE"""),461.4)</f>
        <v>461.4</v>
      </c>
      <c r="AB217" s="26">
        <f>IFERROR(__xludf.DUMMYFUNCTION("""COMPUTED_VALUE"""),65.78)</f>
        <v>65.78</v>
      </c>
      <c r="AC217" s="26">
        <f>IFERROR(__xludf.DUMMYFUNCTION("""COMPUTED_VALUE"""),115.5)</f>
        <v>115.5</v>
      </c>
      <c r="AD217" s="26">
        <f>IFERROR(__xludf.DUMMYFUNCTION("""COMPUTED_VALUE"""),230.33)</f>
        <v>230.33</v>
      </c>
      <c r="AE217" s="26">
        <f>IFERROR(__xludf.DUMMYFUNCTION("""COMPUTED_VALUE"""),436.32)</f>
        <v>436.32</v>
      </c>
      <c r="AF217" s="26">
        <f>IFERROR(__xludf.DUMMYFUNCTION("""COMPUTED_VALUE"""),263.41)</f>
        <v>263.41</v>
      </c>
      <c r="AG217" s="26">
        <f>IFERROR(__xludf.DUMMYFUNCTION("""COMPUTED_VALUE"""),49.8)</f>
        <v>49.8</v>
      </c>
      <c r="AH217" s="26">
        <f>IFERROR(__xludf.DUMMYFUNCTION("""COMPUTED_VALUE"""),107.08)</f>
        <v>107.08</v>
      </c>
      <c r="AI217" s="26">
        <f>IFERROR(__xludf.DUMMYFUNCTION("""COMPUTED_VALUE"""),565.14)</f>
        <v>565.14</v>
      </c>
      <c r="AJ217" s="26">
        <f>IFERROR(__xludf.DUMMYFUNCTION("""COMPUTED_VALUE"""),351.15)</f>
        <v>351.15</v>
      </c>
      <c r="AK217" s="26">
        <f>IFERROR(__xludf.DUMMYFUNCTION("""COMPUTED_VALUE"""),140.87)</f>
        <v>140.87</v>
      </c>
      <c r="AL217" s="26">
        <f>IFERROR(__xludf.DUMMYFUNCTION("""COMPUTED_VALUE"""),174.39)</f>
        <v>174.39</v>
      </c>
      <c r="AM217" s="26">
        <f>IFERROR(__xludf.DUMMYFUNCTION("""COMPUTED_VALUE"""),492.49)</f>
        <v>492.49</v>
      </c>
      <c r="AN217" s="26">
        <f>IFERROR(__xludf.DUMMYFUNCTION("""COMPUTED_VALUE"""),241.63)</f>
        <v>241.63</v>
      </c>
      <c r="AO217" s="26">
        <f>IFERROR(__xludf.DUMMYFUNCTION("""COMPUTED_VALUE"""),439.7)</f>
        <v>439.7</v>
      </c>
      <c r="AP217" s="26">
        <f>IFERROR(__xludf.DUMMYFUNCTION("""COMPUTED_VALUE"""),322.62)</f>
        <v>322.62</v>
      </c>
      <c r="AQ217" s="26">
        <f>IFERROR(__xludf.DUMMYFUNCTION("""COMPUTED_VALUE"""),30.44)</f>
        <v>30.44</v>
      </c>
      <c r="AR217" s="26">
        <f>IFERROR(__xludf.DUMMYFUNCTION("""COMPUTED_VALUE"""),90.33)</f>
        <v>90.33</v>
      </c>
      <c r="AS217" s="26">
        <f>IFERROR(__xludf.DUMMYFUNCTION("""COMPUTED_VALUE"""),82.36)</f>
        <v>82.36</v>
      </c>
      <c r="AT217" s="26">
        <f>IFERROR(__xludf.DUMMYFUNCTION("""COMPUTED_VALUE"""),391.26)</f>
        <v>391.26</v>
      </c>
      <c r="AU217" s="26">
        <f>IFERROR(__xludf.DUMMYFUNCTION("""COMPUTED_VALUE"""),70.88)</f>
        <v>70.88</v>
      </c>
      <c r="AV217" s="26">
        <f>IFERROR(__xludf.DUMMYFUNCTION("""COMPUTED_VALUE"""),117.7)</f>
        <v>117.7</v>
      </c>
      <c r="AW217" s="26">
        <f>IFERROR(__xludf.DUMMYFUNCTION("""COMPUTED_VALUE"""),101.21)</f>
        <v>101.21</v>
      </c>
      <c r="AX217" s="26">
        <f>IFERROR(__xludf.DUMMYFUNCTION("""COMPUTED_VALUE"""),46.25)</f>
        <v>46.25</v>
      </c>
      <c r="AY217" s="26">
        <f>IFERROR(__xludf.DUMMYFUNCTION("""COMPUTED_VALUE"""),90.96)</f>
        <v>90.96</v>
      </c>
      <c r="AZ217" s="26">
        <f>IFERROR(__xludf.DUMMYFUNCTION("""COMPUTED_VALUE"""),70.19)</f>
        <v>70.19</v>
      </c>
      <c r="BA217" s="26">
        <f>IFERROR(__xludf.DUMMYFUNCTION("""COMPUTED_VALUE"""),26.28)</f>
        <v>26.28</v>
      </c>
      <c r="BB217" s="26">
        <f>IFERROR(__xludf.DUMMYFUNCTION("""COMPUTED_VALUE"""),132.37)</f>
        <v>132.37</v>
      </c>
      <c r="BC217" s="26">
        <f>IFERROR(__xludf.DUMMYFUNCTION("""COMPUTED_VALUE"""),255.84)</f>
        <v>255.84</v>
      </c>
      <c r="BD217" s="26">
        <f>IFERROR(__xludf.DUMMYFUNCTION("""COMPUTED_VALUE"""),517.72)</f>
        <v>517.72</v>
      </c>
      <c r="BE217" s="26">
        <f>IFERROR(__xludf.DUMMYFUNCTION("""COMPUTED_VALUE"""),190.7)</f>
        <v>190.7</v>
      </c>
      <c r="BF217" s="26">
        <f>IFERROR(__xludf.DUMMYFUNCTION("""COMPUTED_VALUE"""),69.05)</f>
        <v>69.05</v>
      </c>
      <c r="BG217" s="26">
        <f>IFERROR(__xludf.DUMMYFUNCTION("""COMPUTED_VALUE"""),6.42)</f>
        <v>6.42</v>
      </c>
      <c r="BH217" s="26">
        <f>IFERROR(__xludf.DUMMYFUNCTION("""COMPUTED_VALUE"""),233.88)</f>
        <v>233.88</v>
      </c>
      <c r="BI217" s="26">
        <f>IFERROR(__xludf.DUMMYFUNCTION("""COMPUTED_VALUE"""),516.85)</f>
        <v>516.85</v>
      </c>
      <c r="BJ217" s="26">
        <f>IFERROR(__xludf.DUMMYFUNCTION("""COMPUTED_VALUE"""),49.62)</f>
        <v>49.62</v>
      </c>
      <c r="BK217" s="26">
        <f>IFERROR(__xludf.DUMMYFUNCTION("""COMPUTED_VALUE"""),9.15)</f>
        <v>9.15</v>
      </c>
      <c r="BL217" s="26">
        <f>IFERROR(__xludf.DUMMYFUNCTION("""COMPUTED_VALUE"""),224.91)</f>
        <v>224.91</v>
      </c>
      <c r="BM217" s="26">
        <f>IFERROR(__xludf.DUMMYFUNCTION("""COMPUTED_VALUE"""),99.46)</f>
        <v>99.46</v>
      </c>
    </row>
    <row r="218">
      <c r="A218" s="25">
        <v>45741.66666666667</v>
      </c>
      <c r="B218" s="17">
        <f>IFERROR(__xludf.DUMMYFUNCTION("""COMPUTED_VALUE"""),5767.57)</f>
        <v>5767.57</v>
      </c>
      <c r="C218" s="17">
        <f>IFERROR(__xludf.DUMMYFUNCTION("""COMPUTED_VALUE"""),18188.59)</f>
        <v>18188.59</v>
      </c>
      <c r="D218" s="17">
        <f>IFERROR(__xludf.DUMMYFUNCTION("""COMPUTED_VALUE"""),42583.32)</f>
        <v>42583.32</v>
      </c>
      <c r="E218" s="17">
        <f>IFERROR(__xludf.DUMMYFUNCTION("""COMPUTED_VALUE"""),2109.38)</f>
        <v>2109.38</v>
      </c>
      <c r="F218" s="26">
        <f>IFERROR(__xludf.DUMMYFUNCTION("""COMPUTED_VALUE"""),394.47)</f>
        <v>394.47</v>
      </c>
      <c r="G218" s="26">
        <f>IFERROR(__xludf.DUMMYFUNCTION("""COMPUTED_VALUE"""),203.26)</f>
        <v>203.26</v>
      </c>
      <c r="H218" s="26">
        <f>IFERROR(__xludf.DUMMYFUNCTION("""COMPUTED_VALUE"""),139.7)</f>
        <v>139.7</v>
      </c>
      <c r="I218" s="26">
        <f>IFERROR(__xludf.DUMMYFUNCTION("""COMPUTED_VALUE"""),220.73)</f>
        <v>220.73</v>
      </c>
      <c r="J218" s="26">
        <f>IFERROR(__xludf.DUMMYFUNCTION("""COMPUTED_VALUE"""),154.95)</f>
        <v>154.95</v>
      </c>
      <c r="K218" s="26">
        <f>IFERROR(__xludf.DUMMYFUNCTION("""COMPUTED_VALUE"""),84.7)</f>
        <v>84.7</v>
      </c>
      <c r="L218" s="26">
        <f>IFERROR(__xludf.DUMMYFUNCTION("""COMPUTED_VALUE"""),15.99)</f>
        <v>15.99</v>
      </c>
      <c r="M218" s="26">
        <f>IFERROR(__xludf.DUMMYFUNCTION("""COMPUTED_VALUE"""),525.85)</f>
        <v>525.85</v>
      </c>
      <c r="N218" s="26">
        <f>IFERROR(__xludf.DUMMYFUNCTION("""COMPUTED_VALUE"""),49.3)</f>
        <v>49.3</v>
      </c>
      <c r="O218" s="26">
        <f>IFERROR(__xludf.DUMMYFUNCTION("""COMPUTED_VALUE"""),141.6)</f>
        <v>141.6</v>
      </c>
      <c r="P218" s="26">
        <f>IFERROR(__xludf.DUMMYFUNCTION("""COMPUTED_VALUE"""),67.96)</f>
        <v>67.96</v>
      </c>
      <c r="Q218" s="26">
        <f>IFERROR(__xludf.DUMMYFUNCTION("""COMPUTED_VALUE"""),341.67)</f>
        <v>341.67</v>
      </c>
      <c r="R218" s="26">
        <f>IFERROR(__xludf.DUMMYFUNCTION("""COMPUTED_VALUE"""),45.74)</f>
        <v>45.74</v>
      </c>
      <c r="S218" s="26">
        <f>IFERROR(__xludf.DUMMYFUNCTION("""COMPUTED_VALUE"""),228.05)</f>
        <v>228.05</v>
      </c>
      <c r="T218" s="26">
        <f>IFERROR(__xludf.DUMMYFUNCTION("""COMPUTED_VALUE"""),165.02)</f>
        <v>165.02</v>
      </c>
      <c r="U218" s="26">
        <f>IFERROR(__xludf.DUMMYFUNCTION("""COMPUTED_VALUE"""),320.4)</f>
        <v>320.4</v>
      </c>
      <c r="V218" s="26">
        <f>IFERROR(__xludf.DUMMYFUNCTION("""COMPUTED_VALUE"""),42.24)</f>
        <v>42.24</v>
      </c>
      <c r="W218" s="26">
        <f>IFERROR(__xludf.DUMMYFUNCTION("""COMPUTED_VALUE"""),68.95)</f>
        <v>68.95</v>
      </c>
      <c r="X218" s="26">
        <f>IFERROR(__xludf.DUMMYFUNCTION("""COMPUTED_VALUE"""),106.83)</f>
        <v>106.83</v>
      </c>
      <c r="Y218" s="26">
        <f>IFERROR(__xludf.DUMMYFUNCTION("""COMPUTED_VALUE"""),155.49)</f>
        <v>155.49</v>
      </c>
      <c r="Z218" s="26">
        <f>IFERROR(__xludf.DUMMYFUNCTION("""COMPUTED_VALUE"""),69.74)</f>
        <v>69.74</v>
      </c>
      <c r="AA218" s="26">
        <f>IFERROR(__xludf.DUMMYFUNCTION("""COMPUTED_VALUE"""),466.04)</f>
        <v>466.04</v>
      </c>
      <c r="AB218" s="26">
        <f>IFERROR(__xludf.DUMMYFUNCTION("""COMPUTED_VALUE"""),66.54)</f>
        <v>66.54</v>
      </c>
      <c r="AC218" s="26">
        <f>IFERROR(__xludf.DUMMYFUNCTION("""COMPUTED_VALUE"""),115.8)</f>
        <v>115.8</v>
      </c>
      <c r="AD218" s="26">
        <f>IFERROR(__xludf.DUMMYFUNCTION("""COMPUTED_VALUE"""),242.32)</f>
        <v>242.32</v>
      </c>
      <c r="AE218" s="26">
        <f>IFERROR(__xludf.DUMMYFUNCTION("""COMPUTED_VALUE"""),435.83)</f>
        <v>435.83</v>
      </c>
      <c r="AF218" s="26">
        <f>IFERROR(__xludf.DUMMYFUNCTION("""COMPUTED_VALUE"""),265.88)</f>
        <v>265.88</v>
      </c>
      <c r="AG218" s="26">
        <f>IFERROR(__xludf.DUMMYFUNCTION("""COMPUTED_VALUE"""),51.46)</f>
        <v>51.46</v>
      </c>
      <c r="AH218" s="26">
        <f>IFERROR(__xludf.DUMMYFUNCTION("""COMPUTED_VALUE"""),106.74)</f>
        <v>106.74</v>
      </c>
      <c r="AI218" s="26">
        <f>IFERROR(__xludf.DUMMYFUNCTION("""COMPUTED_VALUE"""),580.1)</f>
        <v>580.1</v>
      </c>
      <c r="AJ218" s="26">
        <f>IFERROR(__xludf.DUMMYFUNCTION("""COMPUTED_VALUE"""),363.77)</f>
        <v>363.77</v>
      </c>
      <c r="AK218" s="26">
        <f>IFERROR(__xludf.DUMMYFUNCTION("""COMPUTED_VALUE"""),142.87)</f>
        <v>142.87</v>
      </c>
      <c r="AL218" s="26">
        <f>IFERROR(__xludf.DUMMYFUNCTION("""COMPUTED_VALUE"""),175.25)</f>
        <v>175.25</v>
      </c>
      <c r="AM218" s="26">
        <f>IFERROR(__xludf.DUMMYFUNCTION("""COMPUTED_VALUE"""),508.58)</f>
        <v>508.58</v>
      </c>
      <c r="AN218" s="26">
        <f>IFERROR(__xludf.DUMMYFUNCTION("""COMPUTED_VALUE"""),248.06)</f>
        <v>248.06</v>
      </c>
      <c r="AO218" s="26">
        <f>IFERROR(__xludf.DUMMYFUNCTION("""COMPUTED_VALUE"""),434.98)</f>
        <v>434.98</v>
      </c>
      <c r="AP218" s="26">
        <f>IFERROR(__xludf.DUMMYFUNCTION("""COMPUTED_VALUE"""),334.96)</f>
        <v>334.96</v>
      </c>
      <c r="AQ218" s="26">
        <f>IFERROR(__xludf.DUMMYFUNCTION("""COMPUTED_VALUE"""),31.36)</f>
        <v>31.36</v>
      </c>
      <c r="AR218" s="26">
        <f>IFERROR(__xludf.DUMMYFUNCTION("""COMPUTED_VALUE"""),90.13)</f>
        <v>90.13</v>
      </c>
      <c r="AS218" s="26">
        <f>IFERROR(__xludf.DUMMYFUNCTION("""COMPUTED_VALUE"""),84.18)</f>
        <v>84.18</v>
      </c>
      <c r="AT218" s="26">
        <f>IFERROR(__xludf.DUMMYFUNCTION("""COMPUTED_VALUE"""),393.08)</f>
        <v>393.08</v>
      </c>
      <c r="AU218" s="26">
        <f>IFERROR(__xludf.DUMMYFUNCTION("""COMPUTED_VALUE"""),70.07)</f>
        <v>70.07</v>
      </c>
      <c r="AV218" s="26">
        <f>IFERROR(__xludf.DUMMYFUNCTION("""COMPUTED_VALUE"""),121.41)</f>
        <v>121.41</v>
      </c>
      <c r="AW218" s="26">
        <f>IFERROR(__xludf.DUMMYFUNCTION("""COMPUTED_VALUE"""),101.38)</f>
        <v>101.38</v>
      </c>
      <c r="AX218" s="26">
        <f>IFERROR(__xludf.DUMMYFUNCTION("""COMPUTED_VALUE"""),48.32)</f>
        <v>48.32</v>
      </c>
      <c r="AY218" s="26">
        <f>IFERROR(__xludf.DUMMYFUNCTION("""COMPUTED_VALUE"""),96.75)</f>
        <v>96.75</v>
      </c>
      <c r="AZ218" s="26">
        <f>IFERROR(__xludf.DUMMYFUNCTION("""COMPUTED_VALUE"""),70.97)</f>
        <v>70.97</v>
      </c>
      <c r="BA218" s="26">
        <f>IFERROR(__xludf.DUMMYFUNCTION("""COMPUTED_VALUE"""),26.14)</f>
        <v>26.14</v>
      </c>
      <c r="BB218" s="26">
        <f>IFERROR(__xludf.DUMMYFUNCTION("""COMPUTED_VALUE"""),134.69)</f>
        <v>134.69</v>
      </c>
      <c r="BC218" s="26">
        <f>IFERROR(__xludf.DUMMYFUNCTION("""COMPUTED_VALUE"""),258.96)</f>
        <v>258.96</v>
      </c>
      <c r="BD218" s="26">
        <f>IFERROR(__xludf.DUMMYFUNCTION("""COMPUTED_VALUE"""),519.9)</f>
        <v>519.9</v>
      </c>
      <c r="BE218" s="26">
        <f>IFERROR(__xludf.DUMMYFUNCTION("""COMPUTED_VALUE"""),192.47)</f>
        <v>192.47</v>
      </c>
      <c r="BF218" s="26">
        <f>IFERROR(__xludf.DUMMYFUNCTION("""COMPUTED_VALUE"""),71.47)</f>
        <v>71.47</v>
      </c>
      <c r="BG218" s="26">
        <f>IFERROR(__xludf.DUMMYFUNCTION("""COMPUTED_VALUE"""),6.61)</f>
        <v>6.61</v>
      </c>
      <c r="BH218" s="26">
        <f>IFERROR(__xludf.DUMMYFUNCTION("""COMPUTED_VALUE"""),235.2)</f>
        <v>235.2</v>
      </c>
      <c r="BI218" s="26">
        <f>IFERROR(__xludf.DUMMYFUNCTION("""COMPUTED_VALUE"""),516.5)</f>
        <v>516.5</v>
      </c>
      <c r="BJ218" s="26">
        <f>IFERROR(__xludf.DUMMYFUNCTION("""COMPUTED_VALUE"""),49.56)</f>
        <v>49.56</v>
      </c>
      <c r="BK218" s="26">
        <f>IFERROR(__xludf.DUMMYFUNCTION("""COMPUTED_VALUE"""),9.3)</f>
        <v>9.3</v>
      </c>
      <c r="BL218" s="26">
        <f>IFERROR(__xludf.DUMMYFUNCTION("""COMPUTED_VALUE"""),226.24)</f>
        <v>226.24</v>
      </c>
      <c r="BM218" s="26">
        <f>IFERROR(__xludf.DUMMYFUNCTION("""COMPUTED_VALUE"""),100.18)</f>
        <v>100.18</v>
      </c>
    </row>
    <row r="219">
      <c r="A219" s="25">
        <v>45742.66666666667</v>
      </c>
      <c r="B219" s="17">
        <f>IFERROR(__xludf.DUMMYFUNCTION("""COMPUTED_VALUE"""),5776.65)</f>
        <v>5776.65</v>
      </c>
      <c r="C219" s="17">
        <f>IFERROR(__xludf.DUMMYFUNCTION("""COMPUTED_VALUE"""),18271.86)</f>
        <v>18271.86</v>
      </c>
      <c r="D219" s="17">
        <f>IFERROR(__xludf.DUMMYFUNCTION("""COMPUTED_VALUE"""),42587.5)</f>
        <v>42587.5</v>
      </c>
      <c r="E219" s="17">
        <f>IFERROR(__xludf.DUMMYFUNCTION("""COMPUTED_VALUE"""),2095.38)</f>
        <v>2095.38</v>
      </c>
      <c r="F219" s="26">
        <f>IFERROR(__xludf.DUMMYFUNCTION("""COMPUTED_VALUE"""),403.64)</f>
        <v>403.64</v>
      </c>
      <c r="G219" s="26">
        <f>IFERROR(__xludf.DUMMYFUNCTION("""COMPUTED_VALUE"""),205.71)</f>
        <v>205.71</v>
      </c>
      <c r="H219" s="26">
        <f>IFERROR(__xludf.DUMMYFUNCTION("""COMPUTED_VALUE"""),139.16)</f>
        <v>139.16</v>
      </c>
      <c r="I219" s="26">
        <f>IFERROR(__xludf.DUMMYFUNCTION("""COMPUTED_VALUE"""),223.75)</f>
        <v>223.75</v>
      </c>
      <c r="J219" s="26">
        <f>IFERROR(__xludf.DUMMYFUNCTION("""COMPUTED_VALUE"""),153.64)</f>
        <v>153.64</v>
      </c>
      <c r="K219" s="26">
        <f>IFERROR(__xludf.DUMMYFUNCTION("""COMPUTED_VALUE"""),85.25)</f>
        <v>85.25</v>
      </c>
      <c r="L219" s="26">
        <f>IFERROR(__xludf.DUMMYFUNCTION("""COMPUTED_VALUE"""),16.25)</f>
        <v>16.25</v>
      </c>
      <c r="M219" s="26">
        <f>IFERROR(__xludf.DUMMYFUNCTION("""COMPUTED_VALUE"""),528.87)</f>
        <v>528.87</v>
      </c>
      <c r="N219" s="26">
        <f>IFERROR(__xludf.DUMMYFUNCTION("""COMPUTED_VALUE"""),49.65)</f>
        <v>49.65</v>
      </c>
      <c r="O219" s="26">
        <f>IFERROR(__xludf.DUMMYFUNCTION("""COMPUTED_VALUE"""),139.16)</f>
        <v>139.16</v>
      </c>
      <c r="P219" s="26">
        <f>IFERROR(__xludf.DUMMYFUNCTION("""COMPUTED_VALUE"""),68.11)</f>
        <v>68.11</v>
      </c>
      <c r="Q219" s="26">
        <f>IFERROR(__xludf.DUMMYFUNCTION("""COMPUTED_VALUE"""),342.62)</f>
        <v>342.62</v>
      </c>
      <c r="R219" s="26">
        <f>IFERROR(__xludf.DUMMYFUNCTION("""COMPUTED_VALUE"""),44.48)</f>
        <v>44.48</v>
      </c>
      <c r="S219" s="26">
        <f>IFERROR(__xludf.DUMMYFUNCTION("""COMPUTED_VALUE"""),230.58)</f>
        <v>230.58</v>
      </c>
      <c r="T219" s="26">
        <f>IFERROR(__xludf.DUMMYFUNCTION("""COMPUTED_VALUE"""),165.94)</f>
        <v>165.94</v>
      </c>
      <c r="U219" s="26">
        <f>IFERROR(__xludf.DUMMYFUNCTION("""COMPUTED_VALUE"""),316.84)</f>
        <v>316.84</v>
      </c>
      <c r="V219" s="26">
        <f>IFERROR(__xludf.DUMMYFUNCTION("""COMPUTED_VALUE"""),42.27)</f>
        <v>42.27</v>
      </c>
      <c r="W219" s="26">
        <f>IFERROR(__xludf.DUMMYFUNCTION("""COMPUTED_VALUE"""),68.81)</f>
        <v>68.81</v>
      </c>
      <c r="X219" s="26">
        <f>IFERROR(__xludf.DUMMYFUNCTION("""COMPUTED_VALUE"""),105.55)</f>
        <v>105.55</v>
      </c>
      <c r="Y219" s="26">
        <f>IFERROR(__xludf.DUMMYFUNCTION("""COMPUTED_VALUE"""),151.42)</f>
        <v>151.42</v>
      </c>
      <c r="Z219" s="26">
        <f>IFERROR(__xludf.DUMMYFUNCTION("""COMPUTED_VALUE"""),67.14)</f>
        <v>67.14</v>
      </c>
      <c r="AA219" s="26">
        <f>IFERROR(__xludf.DUMMYFUNCTION("""COMPUTED_VALUE"""),460.27)</f>
        <v>460.27</v>
      </c>
      <c r="AB219" s="26">
        <f>IFERROR(__xludf.DUMMYFUNCTION("""COMPUTED_VALUE"""),66.3)</f>
        <v>66.3</v>
      </c>
      <c r="AC219" s="26">
        <f>IFERROR(__xludf.DUMMYFUNCTION("""COMPUTED_VALUE"""),116.59)</f>
        <v>116.59</v>
      </c>
      <c r="AD219" s="26">
        <f>IFERROR(__xludf.DUMMYFUNCTION("""COMPUTED_VALUE"""),241.07)</f>
        <v>241.07</v>
      </c>
      <c r="AE219" s="26">
        <f>IFERROR(__xludf.DUMMYFUNCTION("""COMPUTED_VALUE"""),433.98)</f>
        <v>433.98</v>
      </c>
      <c r="AF219" s="26">
        <f>IFERROR(__xludf.DUMMYFUNCTION("""COMPUTED_VALUE"""),267.54)</f>
        <v>267.54</v>
      </c>
      <c r="AG219" s="26">
        <f>IFERROR(__xludf.DUMMYFUNCTION("""COMPUTED_VALUE"""),52.59)</f>
        <v>52.59</v>
      </c>
      <c r="AH219" s="26">
        <f>IFERROR(__xludf.DUMMYFUNCTION("""COMPUTED_VALUE"""),107.89)</f>
        <v>107.89</v>
      </c>
      <c r="AI219" s="26">
        <f>IFERROR(__xludf.DUMMYFUNCTION("""COMPUTED_VALUE"""),585.94)</f>
        <v>585.94</v>
      </c>
      <c r="AJ219" s="26">
        <f>IFERROR(__xludf.DUMMYFUNCTION("""COMPUTED_VALUE"""),360.99)</f>
        <v>360.99</v>
      </c>
      <c r="AK219" s="26">
        <f>IFERROR(__xludf.DUMMYFUNCTION("""COMPUTED_VALUE"""),145.0)</f>
        <v>145</v>
      </c>
      <c r="AL219" s="26">
        <f>IFERROR(__xludf.DUMMYFUNCTION("""COMPUTED_VALUE"""),175.63)</f>
        <v>175.63</v>
      </c>
      <c r="AM219" s="26">
        <f>IFERROR(__xludf.DUMMYFUNCTION("""COMPUTED_VALUE"""),519.81)</f>
        <v>519.81</v>
      </c>
      <c r="AN219" s="26">
        <f>IFERROR(__xludf.DUMMYFUNCTION("""COMPUTED_VALUE"""),251.13)</f>
        <v>251.13</v>
      </c>
      <c r="AO219" s="26">
        <f>IFERROR(__xludf.DUMMYFUNCTION("""COMPUTED_VALUE"""),442.07)</f>
        <v>442.07</v>
      </c>
      <c r="AP219" s="26">
        <f>IFERROR(__xludf.DUMMYFUNCTION("""COMPUTED_VALUE"""),337.35)</f>
        <v>337.35</v>
      </c>
      <c r="AQ219" s="26">
        <f>IFERROR(__xludf.DUMMYFUNCTION("""COMPUTED_VALUE"""),31.41)</f>
        <v>31.41</v>
      </c>
      <c r="AR219" s="26">
        <f>IFERROR(__xludf.DUMMYFUNCTION("""COMPUTED_VALUE"""),88.59)</f>
        <v>88.59</v>
      </c>
      <c r="AS219" s="26">
        <f>IFERROR(__xludf.DUMMYFUNCTION("""COMPUTED_VALUE"""),83.74)</f>
        <v>83.74</v>
      </c>
      <c r="AT219" s="26">
        <f>IFERROR(__xludf.DUMMYFUNCTION("""COMPUTED_VALUE"""),395.16)</f>
        <v>395.16</v>
      </c>
      <c r="AU219" s="26">
        <f>IFERROR(__xludf.DUMMYFUNCTION("""COMPUTED_VALUE"""),68.59)</f>
        <v>68.59</v>
      </c>
      <c r="AV219" s="26">
        <f>IFERROR(__xludf.DUMMYFUNCTION("""COMPUTED_VALUE"""),120.69)</f>
        <v>120.69</v>
      </c>
      <c r="AW219" s="26">
        <f>IFERROR(__xludf.DUMMYFUNCTION("""COMPUTED_VALUE"""),101.4)</f>
        <v>101.4</v>
      </c>
      <c r="AX219" s="26">
        <f>IFERROR(__xludf.DUMMYFUNCTION("""COMPUTED_VALUE"""),47.97)</f>
        <v>47.97</v>
      </c>
      <c r="AY219" s="26">
        <f>IFERROR(__xludf.DUMMYFUNCTION("""COMPUTED_VALUE"""),96.5)</f>
        <v>96.5</v>
      </c>
      <c r="AZ219" s="26">
        <f>IFERROR(__xludf.DUMMYFUNCTION("""COMPUTED_VALUE"""),70.86)</f>
        <v>70.86</v>
      </c>
      <c r="BA219" s="26">
        <f>IFERROR(__xludf.DUMMYFUNCTION("""COMPUTED_VALUE"""),25.55)</f>
        <v>25.55</v>
      </c>
      <c r="BB219" s="26">
        <f>IFERROR(__xludf.DUMMYFUNCTION("""COMPUTED_VALUE"""),135.66)</f>
        <v>135.66</v>
      </c>
      <c r="BC219" s="26">
        <f>IFERROR(__xludf.DUMMYFUNCTION("""COMPUTED_VALUE"""),258.75)</f>
        <v>258.75</v>
      </c>
      <c r="BD219" s="26">
        <f>IFERROR(__xludf.DUMMYFUNCTION("""COMPUTED_VALUE"""),514.34)</f>
        <v>514.34</v>
      </c>
      <c r="BE219" s="26">
        <f>IFERROR(__xludf.DUMMYFUNCTION("""COMPUTED_VALUE"""),193.01)</f>
        <v>193.01</v>
      </c>
      <c r="BF219" s="26">
        <f>IFERROR(__xludf.DUMMYFUNCTION("""COMPUTED_VALUE"""),70.79)</f>
        <v>70.79</v>
      </c>
      <c r="BG219" s="26">
        <f>IFERROR(__xludf.DUMMYFUNCTION("""COMPUTED_VALUE"""),6.39)</f>
        <v>6.39</v>
      </c>
      <c r="BH219" s="26">
        <f>IFERROR(__xludf.DUMMYFUNCTION("""COMPUTED_VALUE"""),235.79)</f>
        <v>235.79</v>
      </c>
      <c r="BI219" s="26">
        <f>IFERROR(__xludf.DUMMYFUNCTION("""COMPUTED_VALUE"""),513.43)</f>
        <v>513.43</v>
      </c>
      <c r="BJ219" s="26">
        <f>IFERROR(__xludf.DUMMYFUNCTION("""COMPUTED_VALUE"""),49.62)</f>
        <v>49.62</v>
      </c>
      <c r="BK219" s="26">
        <f>IFERROR(__xludf.DUMMYFUNCTION("""COMPUTED_VALUE"""),8.95)</f>
        <v>8.95</v>
      </c>
      <c r="BL219" s="26">
        <f>IFERROR(__xludf.DUMMYFUNCTION("""COMPUTED_VALUE"""),227.07)</f>
        <v>227.07</v>
      </c>
      <c r="BM219" s="26">
        <f>IFERROR(__xludf.DUMMYFUNCTION("""COMPUTED_VALUE"""),101.61)</f>
        <v>101.61</v>
      </c>
    </row>
    <row r="220">
      <c r="A220" s="25">
        <v>45743.66666666667</v>
      </c>
      <c r="B220" s="17">
        <f>IFERROR(__xludf.DUMMYFUNCTION("""COMPUTED_VALUE"""),5712.2)</f>
        <v>5712.2</v>
      </c>
      <c r="C220" s="17">
        <f>IFERROR(__xludf.DUMMYFUNCTION("""COMPUTED_VALUE"""),17899.02)</f>
        <v>17899.02</v>
      </c>
      <c r="D220" s="17">
        <f>IFERROR(__xludf.DUMMYFUNCTION("""COMPUTED_VALUE"""),42454.79)</f>
        <v>42454.79</v>
      </c>
      <c r="E220" s="17">
        <f>IFERROR(__xludf.DUMMYFUNCTION("""COMPUTED_VALUE"""),2073.83)</f>
        <v>2073.83</v>
      </c>
      <c r="F220" s="26">
        <f>IFERROR(__xludf.DUMMYFUNCTION("""COMPUTED_VALUE"""),397.81)</f>
        <v>397.81</v>
      </c>
      <c r="G220" s="26">
        <f>IFERROR(__xludf.DUMMYFUNCTION("""COMPUTED_VALUE"""),201.13)</f>
        <v>201.13</v>
      </c>
      <c r="H220" s="26">
        <f>IFERROR(__xludf.DUMMYFUNCTION("""COMPUTED_VALUE"""),141.13)</f>
        <v>141.13</v>
      </c>
      <c r="I220" s="26">
        <f>IFERROR(__xludf.DUMMYFUNCTION("""COMPUTED_VALUE"""),221.53)</f>
        <v>221.53</v>
      </c>
      <c r="J220" s="26">
        <f>IFERROR(__xludf.DUMMYFUNCTION("""COMPUTED_VALUE"""),150.68)</f>
        <v>150.68</v>
      </c>
      <c r="K220" s="26">
        <f>IFERROR(__xludf.DUMMYFUNCTION("""COMPUTED_VALUE"""),85.09)</f>
        <v>85.09</v>
      </c>
      <c r="L220" s="26">
        <f>IFERROR(__xludf.DUMMYFUNCTION("""COMPUTED_VALUE"""),16.06)</f>
        <v>16.06</v>
      </c>
      <c r="M220" s="26">
        <f>IFERROR(__xludf.DUMMYFUNCTION("""COMPUTED_VALUE"""),533.21)</f>
        <v>533.21</v>
      </c>
      <c r="N220" s="26">
        <f>IFERROR(__xludf.DUMMYFUNCTION("""COMPUTED_VALUE"""),49.82)</f>
        <v>49.82</v>
      </c>
      <c r="O220" s="26">
        <f>IFERROR(__xludf.DUMMYFUNCTION("""COMPUTED_VALUE"""),142.43)</f>
        <v>142.43</v>
      </c>
      <c r="P220" s="26">
        <f>IFERROR(__xludf.DUMMYFUNCTION("""COMPUTED_VALUE"""),66.97)</f>
        <v>66.97</v>
      </c>
      <c r="Q220" s="26">
        <f>IFERROR(__xludf.DUMMYFUNCTION("""COMPUTED_VALUE"""),341.11)</f>
        <v>341.11</v>
      </c>
      <c r="R220" s="26">
        <f>IFERROR(__xludf.DUMMYFUNCTION("""COMPUTED_VALUE"""),43.25)</f>
        <v>43.25</v>
      </c>
      <c r="S220" s="26">
        <f>IFERROR(__xludf.DUMMYFUNCTION("""COMPUTED_VALUE"""),227.87)</f>
        <v>227.87</v>
      </c>
      <c r="T220" s="26">
        <f>IFERROR(__xludf.DUMMYFUNCTION("""COMPUTED_VALUE"""),167.97)</f>
        <v>167.97</v>
      </c>
      <c r="U220" s="26">
        <f>IFERROR(__xludf.DUMMYFUNCTION("""COMPUTED_VALUE"""),321.23)</f>
        <v>321.23</v>
      </c>
      <c r="V220" s="26">
        <f>IFERROR(__xludf.DUMMYFUNCTION("""COMPUTED_VALUE"""),41.99)</f>
        <v>41.99</v>
      </c>
      <c r="W220" s="26">
        <f>IFERROR(__xludf.DUMMYFUNCTION("""COMPUTED_VALUE"""),70.02)</f>
        <v>70.02</v>
      </c>
      <c r="X220" s="26">
        <f>IFERROR(__xludf.DUMMYFUNCTION("""COMPUTED_VALUE"""),107.46)</f>
        <v>107.46</v>
      </c>
      <c r="Y220" s="26">
        <f>IFERROR(__xludf.DUMMYFUNCTION("""COMPUTED_VALUE"""),149.4)</f>
        <v>149.4</v>
      </c>
      <c r="Z220" s="26">
        <f>IFERROR(__xludf.DUMMYFUNCTION("""COMPUTED_VALUE"""),69.21)</f>
        <v>69.21</v>
      </c>
      <c r="AA220" s="26">
        <f>IFERROR(__xludf.DUMMYFUNCTION("""COMPUTED_VALUE"""),466.84)</f>
        <v>466.84</v>
      </c>
      <c r="AB220" s="26">
        <f>IFERROR(__xludf.DUMMYFUNCTION("""COMPUTED_VALUE"""),65.58)</f>
        <v>65.58</v>
      </c>
      <c r="AC220" s="26">
        <f>IFERROR(__xludf.DUMMYFUNCTION("""COMPUTED_VALUE"""),118.27)</f>
        <v>118.27</v>
      </c>
      <c r="AD220" s="26">
        <f>IFERROR(__xludf.DUMMYFUNCTION("""COMPUTED_VALUE"""),243.67)</f>
        <v>243.67</v>
      </c>
      <c r="AE220" s="26">
        <f>IFERROR(__xludf.DUMMYFUNCTION("""COMPUTED_VALUE"""),413.73)</f>
        <v>413.73</v>
      </c>
      <c r="AF220" s="26">
        <f>IFERROR(__xludf.DUMMYFUNCTION("""COMPUTED_VALUE"""),269.58)</f>
        <v>269.58</v>
      </c>
      <c r="AG220" s="26">
        <f>IFERROR(__xludf.DUMMYFUNCTION("""COMPUTED_VALUE"""),50.95)</f>
        <v>50.95</v>
      </c>
      <c r="AH220" s="26">
        <f>IFERROR(__xludf.DUMMYFUNCTION("""COMPUTED_VALUE"""),109.27)</f>
        <v>109.27</v>
      </c>
      <c r="AI220" s="26">
        <f>IFERROR(__xludf.DUMMYFUNCTION("""COMPUTED_VALUE"""),573.92)</f>
        <v>573.92</v>
      </c>
      <c r="AJ220" s="26">
        <f>IFERROR(__xludf.DUMMYFUNCTION("""COMPUTED_VALUE"""),362.13)</f>
        <v>362.13</v>
      </c>
      <c r="AK220" s="26">
        <f>IFERROR(__xludf.DUMMYFUNCTION("""COMPUTED_VALUE"""),142.51)</f>
        <v>142.51</v>
      </c>
      <c r="AL220" s="26">
        <f>IFERROR(__xludf.DUMMYFUNCTION("""COMPUTED_VALUE"""),175.76)</f>
        <v>175.76</v>
      </c>
      <c r="AM220" s="26">
        <f>IFERROR(__xludf.DUMMYFUNCTION("""COMPUTED_VALUE"""),509.03)</f>
        <v>509.03</v>
      </c>
      <c r="AN220" s="26">
        <f>IFERROR(__xludf.DUMMYFUNCTION("""COMPUTED_VALUE"""),251.03)</f>
        <v>251.03</v>
      </c>
      <c r="AO220" s="26">
        <f>IFERROR(__xludf.DUMMYFUNCTION("""COMPUTED_VALUE"""),445.17)</f>
        <v>445.17</v>
      </c>
      <c r="AP220" s="26">
        <f>IFERROR(__xludf.DUMMYFUNCTION("""COMPUTED_VALUE"""),337.79)</f>
        <v>337.79</v>
      </c>
      <c r="AQ220" s="26">
        <f>IFERROR(__xludf.DUMMYFUNCTION("""COMPUTED_VALUE"""),31.12)</f>
        <v>31.12</v>
      </c>
      <c r="AR220" s="26">
        <f>IFERROR(__xludf.DUMMYFUNCTION("""COMPUTED_VALUE"""),88.23)</f>
        <v>88.23</v>
      </c>
      <c r="AS220" s="26">
        <f>IFERROR(__xludf.DUMMYFUNCTION("""COMPUTED_VALUE"""),83.93)</f>
        <v>83.93</v>
      </c>
      <c r="AT220" s="26">
        <f>IFERROR(__xludf.DUMMYFUNCTION("""COMPUTED_VALUE"""),389.97)</f>
        <v>389.97</v>
      </c>
      <c r="AU220" s="26">
        <f>IFERROR(__xludf.DUMMYFUNCTION("""COMPUTED_VALUE"""),69.73)</f>
        <v>69.73</v>
      </c>
      <c r="AV220" s="26">
        <f>IFERROR(__xludf.DUMMYFUNCTION("""COMPUTED_VALUE"""),113.76)</f>
        <v>113.76</v>
      </c>
      <c r="AW220" s="26">
        <f>IFERROR(__xludf.DUMMYFUNCTION("""COMPUTED_VALUE"""),102.69)</f>
        <v>102.69</v>
      </c>
      <c r="AX220" s="26">
        <f>IFERROR(__xludf.DUMMYFUNCTION("""COMPUTED_VALUE"""),46.05)</f>
        <v>46.05</v>
      </c>
      <c r="AY220" s="26">
        <f>IFERROR(__xludf.DUMMYFUNCTION("""COMPUTED_VALUE"""),92.28)</f>
        <v>92.28</v>
      </c>
      <c r="AZ220" s="26">
        <f>IFERROR(__xludf.DUMMYFUNCTION("""COMPUTED_VALUE"""),69.97)</f>
        <v>69.97</v>
      </c>
      <c r="BA220" s="26">
        <f>IFERROR(__xludf.DUMMYFUNCTION("""COMPUTED_VALUE"""),25.21)</f>
        <v>25.21</v>
      </c>
      <c r="BB220" s="26">
        <f>IFERROR(__xludf.DUMMYFUNCTION("""COMPUTED_VALUE"""),134.33)</f>
        <v>134.33</v>
      </c>
      <c r="BC220" s="26">
        <f>IFERROR(__xludf.DUMMYFUNCTION("""COMPUTED_VALUE"""),262.51)</f>
        <v>262.51</v>
      </c>
      <c r="BD220" s="26">
        <f>IFERROR(__xludf.DUMMYFUNCTION("""COMPUTED_VALUE"""),513.67)</f>
        <v>513.67</v>
      </c>
      <c r="BE220" s="26">
        <f>IFERROR(__xludf.DUMMYFUNCTION("""COMPUTED_VALUE"""),189.28)</f>
        <v>189.28</v>
      </c>
      <c r="BF220" s="26">
        <f>IFERROR(__xludf.DUMMYFUNCTION("""COMPUTED_VALUE"""),70.32)</f>
        <v>70.32</v>
      </c>
      <c r="BG220" s="26">
        <f>IFERROR(__xludf.DUMMYFUNCTION("""COMPUTED_VALUE"""),6.32)</f>
        <v>6.32</v>
      </c>
      <c r="BH220" s="26">
        <f>IFERROR(__xludf.DUMMYFUNCTION("""COMPUTED_VALUE"""),238.03)</f>
        <v>238.03</v>
      </c>
      <c r="BI220" s="26">
        <f>IFERROR(__xludf.DUMMYFUNCTION("""COMPUTED_VALUE"""),518.2)</f>
        <v>518.2</v>
      </c>
      <c r="BJ220" s="26">
        <f>IFERROR(__xludf.DUMMYFUNCTION("""COMPUTED_VALUE"""),49.62)</f>
        <v>49.62</v>
      </c>
      <c r="BK220" s="26">
        <f>IFERROR(__xludf.DUMMYFUNCTION("""COMPUTED_VALUE"""),8.96)</f>
        <v>8.96</v>
      </c>
      <c r="BL220" s="26">
        <f>IFERROR(__xludf.DUMMYFUNCTION("""COMPUTED_VALUE"""),228.93)</f>
        <v>228.93</v>
      </c>
      <c r="BM220" s="26">
        <f>IFERROR(__xludf.DUMMYFUNCTION("""COMPUTED_VALUE"""),100.78)</f>
        <v>100.78</v>
      </c>
    </row>
    <row r="221">
      <c r="A221" s="25">
        <v>45744.66666666667</v>
      </c>
      <c r="B221" s="17">
        <f>IFERROR(__xludf.DUMMYFUNCTION("""COMPUTED_VALUE"""),5693.31)</f>
        <v>5693.31</v>
      </c>
      <c r="C221" s="17">
        <f>IFERROR(__xludf.DUMMYFUNCTION("""COMPUTED_VALUE"""),17804.03)</f>
        <v>17804.03</v>
      </c>
      <c r="D221" s="17">
        <f>IFERROR(__xludf.DUMMYFUNCTION("""COMPUTED_VALUE"""),42299.7)</f>
        <v>42299.7</v>
      </c>
      <c r="E221" s="17">
        <f>IFERROR(__xludf.DUMMYFUNCTION("""COMPUTED_VALUE"""),2065.7)</f>
        <v>2065.7</v>
      </c>
      <c r="F221" s="26">
        <f>IFERROR(__xludf.DUMMYFUNCTION("""COMPUTED_VALUE"""),396.15)</f>
        <v>396.15</v>
      </c>
      <c r="G221" s="26">
        <f>IFERROR(__xludf.DUMMYFUNCTION("""COMPUTED_VALUE"""),201.36)</f>
        <v>201.36</v>
      </c>
      <c r="H221" s="26">
        <f>IFERROR(__xludf.DUMMYFUNCTION("""COMPUTED_VALUE"""),143.06)</f>
        <v>143.06</v>
      </c>
      <c r="I221" s="26">
        <f>IFERROR(__xludf.DUMMYFUNCTION("""COMPUTED_VALUE"""),223.85)</f>
        <v>223.85</v>
      </c>
      <c r="J221" s="26">
        <f>IFERROR(__xludf.DUMMYFUNCTION("""COMPUTED_VALUE"""),147.68)</f>
        <v>147.68</v>
      </c>
      <c r="K221" s="26">
        <f>IFERROR(__xludf.DUMMYFUNCTION("""COMPUTED_VALUE"""),84.48)</f>
        <v>84.48</v>
      </c>
      <c r="L221" s="26">
        <f>IFERROR(__xludf.DUMMYFUNCTION("""COMPUTED_VALUE"""),15.88)</f>
        <v>15.88</v>
      </c>
      <c r="M221" s="26">
        <f>IFERROR(__xludf.DUMMYFUNCTION("""COMPUTED_VALUE"""),534.52)</f>
        <v>534.52</v>
      </c>
      <c r="N221" s="26">
        <f>IFERROR(__xludf.DUMMYFUNCTION("""COMPUTED_VALUE"""),49.63)</f>
        <v>49.63</v>
      </c>
      <c r="O221" s="26">
        <f>IFERROR(__xludf.DUMMYFUNCTION("""COMPUTED_VALUE"""),140.33)</f>
        <v>140.33</v>
      </c>
      <c r="P221" s="26">
        <f>IFERROR(__xludf.DUMMYFUNCTION("""COMPUTED_VALUE"""),65.67)</f>
        <v>65.67</v>
      </c>
      <c r="Q221" s="26">
        <f>IFERROR(__xludf.DUMMYFUNCTION("""COMPUTED_VALUE"""),339.3)</f>
        <v>339.3</v>
      </c>
      <c r="R221" s="26">
        <f>IFERROR(__xludf.DUMMYFUNCTION("""COMPUTED_VALUE"""),42.63)</f>
        <v>42.63</v>
      </c>
      <c r="S221" s="26">
        <f>IFERROR(__xludf.DUMMYFUNCTION("""COMPUTED_VALUE"""),231.31)</f>
        <v>231.31</v>
      </c>
      <c r="T221" s="26">
        <f>IFERROR(__xludf.DUMMYFUNCTION("""COMPUTED_VALUE"""),166.65)</f>
        <v>166.65</v>
      </c>
      <c r="U221" s="26">
        <f>IFERROR(__xludf.DUMMYFUNCTION("""COMPUTED_VALUE"""),324.74)</f>
        <v>324.74</v>
      </c>
      <c r="V221" s="26">
        <f>IFERROR(__xludf.DUMMYFUNCTION("""COMPUTED_VALUE"""),41.25)</f>
        <v>41.25</v>
      </c>
      <c r="W221" s="26">
        <f>IFERROR(__xludf.DUMMYFUNCTION("""COMPUTED_VALUE"""),70.74)</f>
        <v>70.74</v>
      </c>
      <c r="X221" s="26">
        <f>IFERROR(__xludf.DUMMYFUNCTION("""COMPUTED_VALUE"""),107.89)</f>
        <v>107.89</v>
      </c>
      <c r="Y221" s="26">
        <f>IFERROR(__xludf.DUMMYFUNCTION("""COMPUTED_VALUE"""),144.95)</f>
        <v>144.95</v>
      </c>
      <c r="Z221" s="26">
        <f>IFERROR(__xludf.DUMMYFUNCTION("""COMPUTED_VALUE"""),76.95)</f>
        <v>76.95</v>
      </c>
      <c r="AA221" s="26">
        <f>IFERROR(__xludf.DUMMYFUNCTION("""COMPUTED_VALUE"""),471.28)</f>
        <v>471.28</v>
      </c>
      <c r="AB221" s="26">
        <f>IFERROR(__xludf.DUMMYFUNCTION("""COMPUTED_VALUE"""),66.81)</f>
        <v>66.81</v>
      </c>
      <c r="AC221" s="26">
        <f>IFERROR(__xludf.DUMMYFUNCTION("""COMPUTED_VALUE"""),117.89)</f>
        <v>117.89</v>
      </c>
      <c r="AD221" s="26">
        <f>IFERROR(__xludf.DUMMYFUNCTION("""COMPUTED_VALUE"""),243.92)</f>
        <v>243.92</v>
      </c>
      <c r="AE221" s="26">
        <f>IFERROR(__xludf.DUMMYFUNCTION("""COMPUTED_VALUE"""),426.82)</f>
        <v>426.82</v>
      </c>
      <c r="AF221" s="26">
        <f>IFERROR(__xludf.DUMMYFUNCTION("""COMPUTED_VALUE"""),269.49)</f>
        <v>269.49</v>
      </c>
      <c r="AG221" s="26">
        <f>IFERROR(__xludf.DUMMYFUNCTION("""COMPUTED_VALUE"""),47.2)</f>
        <v>47.2</v>
      </c>
      <c r="AH221" s="26">
        <f>IFERROR(__xludf.DUMMYFUNCTION("""COMPUTED_VALUE"""),111.16)</f>
        <v>111.16</v>
      </c>
      <c r="AI221" s="26">
        <f>IFERROR(__xludf.DUMMYFUNCTION("""COMPUTED_VALUE"""),558.92)</f>
        <v>558.92</v>
      </c>
      <c r="AJ221" s="26">
        <f>IFERROR(__xludf.DUMMYFUNCTION("""COMPUTED_VALUE"""),362.73)</f>
        <v>362.73</v>
      </c>
      <c r="AK221" s="26">
        <f>IFERROR(__xludf.DUMMYFUNCTION("""COMPUTED_VALUE"""),142.71)</f>
        <v>142.71</v>
      </c>
      <c r="AL221" s="26">
        <f>IFERROR(__xludf.DUMMYFUNCTION("""COMPUTED_VALUE"""),176.36)</f>
        <v>176.36</v>
      </c>
      <c r="AM221" s="26">
        <f>IFERROR(__xludf.DUMMYFUNCTION("""COMPUTED_VALUE"""),507.9)</f>
        <v>507.9</v>
      </c>
      <c r="AN221" s="26">
        <f>IFERROR(__xludf.DUMMYFUNCTION("""COMPUTED_VALUE"""),248.12)</f>
        <v>248.12</v>
      </c>
      <c r="AO221" s="26">
        <f>IFERROR(__xludf.DUMMYFUNCTION("""COMPUTED_VALUE"""),442.28)</f>
        <v>442.28</v>
      </c>
      <c r="AP221" s="26">
        <f>IFERROR(__xludf.DUMMYFUNCTION("""COMPUTED_VALUE"""),341.53)</f>
        <v>341.53</v>
      </c>
      <c r="AQ221" s="26">
        <f>IFERROR(__xludf.DUMMYFUNCTION("""COMPUTED_VALUE"""),31.12)</f>
        <v>31.12</v>
      </c>
      <c r="AR221" s="26">
        <f>IFERROR(__xludf.DUMMYFUNCTION("""COMPUTED_VALUE"""),88.98)</f>
        <v>88.98</v>
      </c>
      <c r="AS221" s="26">
        <f>IFERROR(__xludf.DUMMYFUNCTION("""COMPUTED_VALUE"""),83.05)</f>
        <v>83.05</v>
      </c>
      <c r="AT221" s="26">
        <f>IFERROR(__xludf.DUMMYFUNCTION("""COMPUTED_VALUE"""),390.58)</f>
        <v>390.58</v>
      </c>
      <c r="AU221" s="26">
        <f>IFERROR(__xludf.DUMMYFUNCTION("""COMPUTED_VALUE"""),70.03)</f>
        <v>70.03</v>
      </c>
      <c r="AV221" s="26">
        <f>IFERROR(__xludf.DUMMYFUNCTION("""COMPUTED_VALUE"""),111.43)</f>
        <v>111.43</v>
      </c>
      <c r="AW221" s="26">
        <f>IFERROR(__xludf.DUMMYFUNCTION("""COMPUTED_VALUE"""),103.01)</f>
        <v>103.01</v>
      </c>
      <c r="AX221" s="26">
        <f>IFERROR(__xludf.DUMMYFUNCTION("""COMPUTED_VALUE"""),46.0)</f>
        <v>46</v>
      </c>
      <c r="AY221" s="26">
        <f>IFERROR(__xludf.DUMMYFUNCTION("""COMPUTED_VALUE"""),90.09)</f>
        <v>90.09</v>
      </c>
      <c r="AZ221" s="26">
        <f>IFERROR(__xludf.DUMMYFUNCTION("""COMPUTED_VALUE"""),68.86)</f>
        <v>68.86</v>
      </c>
      <c r="BA221" s="26">
        <f>IFERROR(__xludf.DUMMYFUNCTION("""COMPUTED_VALUE"""),25.01)</f>
        <v>25.01</v>
      </c>
      <c r="BB221" s="26">
        <f>IFERROR(__xludf.DUMMYFUNCTION("""COMPUTED_VALUE"""),133.43)</f>
        <v>133.43</v>
      </c>
      <c r="BC221" s="26">
        <f>IFERROR(__xludf.DUMMYFUNCTION("""COMPUTED_VALUE"""),268.28)</f>
        <v>268.28</v>
      </c>
      <c r="BD221" s="26">
        <f>IFERROR(__xludf.DUMMYFUNCTION("""COMPUTED_VALUE"""),511.68)</f>
        <v>511.68</v>
      </c>
      <c r="BE221" s="26">
        <f>IFERROR(__xludf.DUMMYFUNCTION("""COMPUTED_VALUE"""),183.98)</f>
        <v>183.98</v>
      </c>
      <c r="BF221" s="26">
        <f>IFERROR(__xludf.DUMMYFUNCTION("""COMPUTED_VALUE"""),70.44)</f>
        <v>70.44</v>
      </c>
      <c r="BG221" s="26">
        <f>IFERROR(__xludf.DUMMYFUNCTION("""COMPUTED_VALUE"""),6.35)</f>
        <v>6.35</v>
      </c>
      <c r="BH221" s="26">
        <f>IFERROR(__xludf.DUMMYFUNCTION("""COMPUTED_VALUE"""),235.97)</f>
        <v>235.97</v>
      </c>
      <c r="BI221" s="26">
        <f>IFERROR(__xludf.DUMMYFUNCTION("""COMPUTED_VALUE"""),515.72)</f>
        <v>515.72</v>
      </c>
      <c r="BJ221" s="26">
        <f>IFERROR(__xludf.DUMMYFUNCTION("""COMPUTED_VALUE"""),49.71)</f>
        <v>49.71</v>
      </c>
      <c r="BK221" s="26">
        <f>IFERROR(__xludf.DUMMYFUNCTION("""COMPUTED_VALUE"""),8.84)</f>
        <v>8.84</v>
      </c>
      <c r="BL221" s="26">
        <f>IFERROR(__xludf.DUMMYFUNCTION("""COMPUTED_VALUE"""),229.02)</f>
        <v>229.02</v>
      </c>
      <c r="BM221" s="26">
        <f>IFERROR(__xludf.DUMMYFUNCTION("""COMPUTED_VALUE"""),100.45)</f>
        <v>100.45</v>
      </c>
    </row>
    <row r="222">
      <c r="A222" s="25">
        <v>45747.66666666667</v>
      </c>
      <c r="B222" s="17">
        <f>IFERROR(__xludf.DUMMYFUNCTION("""COMPUTED_VALUE"""),5580.94)</f>
        <v>5580.94</v>
      </c>
      <c r="C222" s="17">
        <f>IFERROR(__xludf.DUMMYFUNCTION("""COMPUTED_VALUE"""),17322.99)</f>
        <v>17322.99</v>
      </c>
      <c r="D222" s="17">
        <f>IFERROR(__xludf.DUMMYFUNCTION("""COMPUTED_VALUE"""),41583.9)</f>
        <v>41583.9</v>
      </c>
      <c r="E222" s="17">
        <f>IFERROR(__xludf.DUMMYFUNCTION("""COMPUTED_VALUE"""),2023.27)</f>
        <v>2023.27</v>
      </c>
      <c r="F222" s="26">
        <f>IFERROR(__xludf.DUMMYFUNCTION("""COMPUTED_VALUE"""),385.71)</f>
        <v>385.71</v>
      </c>
      <c r="G222" s="26">
        <f>IFERROR(__xludf.DUMMYFUNCTION("""COMPUTED_VALUE"""),192.72)</f>
        <v>192.72</v>
      </c>
      <c r="H222" s="26">
        <f>IFERROR(__xludf.DUMMYFUNCTION("""COMPUTED_VALUE"""),146.24)</f>
        <v>146.24</v>
      </c>
      <c r="I222" s="26">
        <f>IFERROR(__xludf.DUMMYFUNCTION("""COMPUTED_VALUE"""),217.9)</f>
        <v>217.9</v>
      </c>
      <c r="J222" s="26">
        <f>IFERROR(__xludf.DUMMYFUNCTION("""COMPUTED_VALUE"""),145.06)</f>
        <v>145.06</v>
      </c>
      <c r="K222" s="26">
        <f>IFERROR(__xludf.DUMMYFUNCTION("""COMPUTED_VALUE"""),82.71)</f>
        <v>82.71</v>
      </c>
      <c r="L222" s="26">
        <f>IFERROR(__xludf.DUMMYFUNCTION("""COMPUTED_VALUE"""),15.39)</f>
        <v>15.39</v>
      </c>
      <c r="M222" s="26">
        <f>IFERROR(__xludf.DUMMYFUNCTION("""COMPUTED_VALUE"""),526.31)</f>
        <v>526.31</v>
      </c>
      <c r="N222" s="26">
        <f>IFERROR(__xludf.DUMMYFUNCTION("""COMPUTED_VALUE"""),48.92)</f>
        <v>48.92</v>
      </c>
      <c r="O222" s="26">
        <f>IFERROR(__xludf.DUMMYFUNCTION("""COMPUTED_VALUE"""),138.37)</f>
        <v>138.37</v>
      </c>
      <c r="P222" s="26">
        <f>IFERROR(__xludf.DUMMYFUNCTION("""COMPUTED_VALUE"""),63.33)</f>
        <v>63.33</v>
      </c>
      <c r="Q222" s="26">
        <f>IFERROR(__xludf.DUMMYFUNCTION("""COMPUTED_VALUE"""),329.69)</f>
        <v>329.69</v>
      </c>
      <c r="R222" s="26">
        <f>IFERROR(__xludf.DUMMYFUNCTION("""COMPUTED_VALUE"""),41.83)</f>
        <v>41.83</v>
      </c>
      <c r="S222" s="26">
        <f>IFERROR(__xludf.DUMMYFUNCTION("""COMPUTED_VALUE"""),228.37)</f>
        <v>228.37</v>
      </c>
      <c r="T222" s="26">
        <f>IFERROR(__xludf.DUMMYFUNCTION("""COMPUTED_VALUE"""),166.09)</f>
        <v>166.09</v>
      </c>
      <c r="U222" s="26">
        <f>IFERROR(__xludf.DUMMYFUNCTION("""COMPUTED_VALUE"""),325.04)</f>
        <v>325.04</v>
      </c>
      <c r="V222" s="26">
        <f>IFERROR(__xludf.DUMMYFUNCTION("""COMPUTED_VALUE"""),40.25)</f>
        <v>40.25</v>
      </c>
      <c r="W222" s="26">
        <f>IFERROR(__xludf.DUMMYFUNCTION("""COMPUTED_VALUE"""),70.37)</f>
        <v>70.37</v>
      </c>
      <c r="X222" s="26">
        <f>IFERROR(__xludf.DUMMYFUNCTION("""COMPUTED_VALUE"""),108.77)</f>
        <v>108.77</v>
      </c>
      <c r="Y222" s="26">
        <f>IFERROR(__xludf.DUMMYFUNCTION("""COMPUTED_VALUE"""),142.1)</f>
        <v>142.1</v>
      </c>
      <c r="Z222" s="26">
        <f>IFERROR(__xludf.DUMMYFUNCTION("""COMPUTED_VALUE"""),72.75)</f>
        <v>72.75</v>
      </c>
      <c r="AA222" s="26">
        <f>IFERROR(__xludf.DUMMYFUNCTION("""COMPUTED_VALUE"""),447.12)</f>
        <v>447.12</v>
      </c>
      <c r="AB222" s="26">
        <f>IFERROR(__xludf.DUMMYFUNCTION("""COMPUTED_VALUE"""),67.16)</f>
        <v>67.16</v>
      </c>
      <c r="AC222" s="26">
        <f>IFERROR(__xludf.DUMMYFUNCTION("""COMPUTED_VALUE"""),117.73)</f>
        <v>117.73</v>
      </c>
      <c r="AD222" s="26">
        <f>IFERROR(__xludf.DUMMYFUNCTION("""COMPUTED_VALUE"""),241.71)</f>
        <v>241.71</v>
      </c>
      <c r="AE222" s="26">
        <f>IFERROR(__xludf.DUMMYFUNCTION("""COMPUTED_VALUE"""),429.71)</f>
        <v>429.71</v>
      </c>
      <c r="AF222" s="26">
        <f>IFERROR(__xludf.DUMMYFUNCTION("""COMPUTED_VALUE"""),269.08)</f>
        <v>269.08</v>
      </c>
      <c r="AG222" s="26">
        <f>IFERROR(__xludf.DUMMYFUNCTION("""COMPUTED_VALUE"""),46.68)</f>
        <v>46.68</v>
      </c>
      <c r="AH222" s="26">
        <f>IFERROR(__xludf.DUMMYFUNCTION("""COMPUTED_VALUE"""),111.79)</f>
        <v>111.79</v>
      </c>
      <c r="AI222" s="26">
        <f>IFERROR(__xludf.DUMMYFUNCTION("""COMPUTED_VALUE"""),543.12)</f>
        <v>543.12</v>
      </c>
      <c r="AJ222" s="26">
        <f>IFERROR(__xludf.DUMMYFUNCTION("""COMPUTED_VALUE"""),358.15)</f>
        <v>358.15</v>
      </c>
      <c r="AK222" s="26">
        <f>IFERROR(__xludf.DUMMYFUNCTION("""COMPUTED_VALUE"""),142.3)</f>
        <v>142.3</v>
      </c>
      <c r="AL222" s="26">
        <f>IFERROR(__xludf.DUMMYFUNCTION("""COMPUTED_VALUE"""),174.71)</f>
        <v>174.71</v>
      </c>
      <c r="AM222" s="26">
        <f>IFERROR(__xludf.DUMMYFUNCTION("""COMPUTED_VALUE"""),491.84)</f>
        <v>491.84</v>
      </c>
      <c r="AN222" s="26">
        <f>IFERROR(__xludf.DUMMYFUNCTION("""COMPUTED_VALUE"""),242.85)</f>
        <v>242.85</v>
      </c>
      <c r="AO222" s="26">
        <f>IFERROR(__xludf.DUMMYFUNCTION("""COMPUTED_VALUE"""),441.49)</f>
        <v>441.49</v>
      </c>
      <c r="AP222" s="26">
        <f>IFERROR(__xludf.DUMMYFUNCTION("""COMPUTED_VALUE"""),293.06)</f>
        <v>293.06</v>
      </c>
      <c r="AQ222" s="26">
        <f>IFERROR(__xludf.DUMMYFUNCTION("""COMPUTED_VALUE"""),30.76)</f>
        <v>30.76</v>
      </c>
      <c r="AR222" s="26">
        <f>IFERROR(__xludf.DUMMYFUNCTION("""COMPUTED_VALUE"""),87.63)</f>
        <v>87.63</v>
      </c>
      <c r="AS222" s="26">
        <f>IFERROR(__xludf.DUMMYFUNCTION("""COMPUTED_VALUE"""),79.23)</f>
        <v>79.23</v>
      </c>
      <c r="AT222" s="26">
        <f>IFERROR(__xludf.DUMMYFUNCTION("""COMPUTED_VALUE"""),378.8)</f>
        <v>378.8</v>
      </c>
      <c r="AU222" s="26">
        <f>IFERROR(__xludf.DUMMYFUNCTION("""COMPUTED_VALUE"""),70.45)</f>
        <v>70.45</v>
      </c>
      <c r="AV222" s="26">
        <f>IFERROR(__xludf.DUMMYFUNCTION("""COMPUTED_VALUE"""),109.67)</f>
        <v>109.67</v>
      </c>
      <c r="AW222" s="26">
        <f>IFERROR(__xludf.DUMMYFUNCTION("""COMPUTED_VALUE"""),102.11)</f>
        <v>102.11</v>
      </c>
      <c r="AX222" s="26">
        <f>IFERROR(__xludf.DUMMYFUNCTION("""COMPUTED_VALUE"""),44.15)</f>
        <v>44.15</v>
      </c>
      <c r="AY222" s="26">
        <f>IFERROR(__xludf.DUMMYFUNCTION("""COMPUTED_VALUE"""),85.85)</f>
        <v>85.85</v>
      </c>
      <c r="AZ222" s="26">
        <f>IFERROR(__xludf.DUMMYFUNCTION("""COMPUTED_VALUE"""),65.15)</f>
        <v>65.15</v>
      </c>
      <c r="BA222" s="26">
        <f>IFERROR(__xludf.DUMMYFUNCTION("""COMPUTED_VALUE"""),25.21)</f>
        <v>25.21</v>
      </c>
      <c r="BB222" s="26">
        <f>IFERROR(__xludf.DUMMYFUNCTION("""COMPUTED_VALUE"""),131.72)</f>
        <v>131.72</v>
      </c>
      <c r="BC222" s="26">
        <f>IFERROR(__xludf.DUMMYFUNCTION("""COMPUTED_VALUE"""),264.93)</f>
        <v>264.93</v>
      </c>
      <c r="BD222" s="26">
        <f>IFERROR(__xludf.DUMMYFUNCTION("""COMPUTED_VALUE"""),500.16)</f>
        <v>500.16</v>
      </c>
      <c r="BE222" s="26">
        <f>IFERROR(__xludf.DUMMYFUNCTION("""COMPUTED_VALUE"""),179.07)</f>
        <v>179.07</v>
      </c>
      <c r="BF222" s="26">
        <f>IFERROR(__xludf.DUMMYFUNCTION("""COMPUTED_VALUE"""),68.58)</f>
        <v>68.58</v>
      </c>
      <c r="BG222" s="26">
        <f>IFERROR(__xludf.DUMMYFUNCTION("""COMPUTED_VALUE"""),6.3)</f>
        <v>6.3</v>
      </c>
      <c r="BH222" s="26">
        <f>IFERROR(__xludf.DUMMYFUNCTION("""COMPUTED_VALUE"""),232.15)</f>
        <v>232.15</v>
      </c>
      <c r="BI222" s="26">
        <f>IFERROR(__xludf.DUMMYFUNCTION("""COMPUTED_VALUE"""),516.04)</f>
        <v>516.04</v>
      </c>
      <c r="BJ222" s="26">
        <f>IFERROR(__xludf.DUMMYFUNCTION("""COMPUTED_VALUE"""),49.86)</f>
        <v>49.86</v>
      </c>
      <c r="BK222" s="26">
        <f>IFERROR(__xludf.DUMMYFUNCTION("""COMPUTED_VALUE"""),8.68)</f>
        <v>8.68</v>
      </c>
      <c r="BL222" s="26">
        <f>IFERROR(__xludf.DUMMYFUNCTION("""COMPUTED_VALUE"""),227.92)</f>
        <v>227.92</v>
      </c>
      <c r="BM222" s="26">
        <f>IFERROR(__xludf.DUMMYFUNCTION("""COMPUTED_VALUE"""),98.07)</f>
        <v>98.07</v>
      </c>
    </row>
    <row r="223">
      <c r="A223" s="25">
        <v>45748.66666666667</v>
      </c>
      <c r="B223" s="17">
        <f>IFERROR(__xludf.DUMMYFUNCTION("""COMPUTED_VALUE"""),5611.85)</f>
        <v>5611.85</v>
      </c>
      <c r="C223" s="17">
        <f>IFERROR(__xludf.DUMMYFUNCTION("""COMPUTED_VALUE"""),17299.29)</f>
        <v>17299.29</v>
      </c>
      <c r="D223" s="17">
        <f>IFERROR(__xludf.DUMMYFUNCTION("""COMPUTED_VALUE"""),42001.76)</f>
        <v>42001.76</v>
      </c>
      <c r="E223" s="17">
        <f>IFERROR(__xludf.DUMMYFUNCTION("""COMPUTED_VALUE"""),2011.91)</f>
        <v>2011.91</v>
      </c>
      <c r="F223" s="26">
        <f>IFERROR(__xludf.DUMMYFUNCTION("""COMPUTED_VALUE"""),383.53)</f>
        <v>383.53</v>
      </c>
      <c r="G223" s="26">
        <f>IFERROR(__xludf.DUMMYFUNCTION("""COMPUTED_VALUE"""),190.26)</f>
        <v>190.26</v>
      </c>
      <c r="H223" s="26">
        <f>IFERROR(__xludf.DUMMYFUNCTION("""COMPUTED_VALUE"""),147.52)</f>
        <v>147.52</v>
      </c>
      <c r="I223" s="26">
        <f>IFERROR(__xludf.DUMMYFUNCTION("""COMPUTED_VALUE"""),222.13)</f>
        <v>222.13</v>
      </c>
      <c r="J223" s="26">
        <f>IFERROR(__xludf.DUMMYFUNCTION("""COMPUTED_VALUE"""),145.12)</f>
        <v>145.12</v>
      </c>
      <c r="K223" s="26">
        <f>IFERROR(__xludf.DUMMYFUNCTION("""COMPUTED_VALUE"""),83.87)</f>
        <v>83.87</v>
      </c>
      <c r="L223" s="26">
        <f>IFERROR(__xludf.DUMMYFUNCTION("""COMPUTED_VALUE"""),15.36)</f>
        <v>15.36</v>
      </c>
      <c r="M223" s="26">
        <f>IFERROR(__xludf.DUMMYFUNCTION("""COMPUTED_VALUE"""),532.58)</f>
        <v>532.58</v>
      </c>
      <c r="N223" s="26">
        <f>IFERROR(__xludf.DUMMYFUNCTION("""COMPUTED_VALUE"""),48.54)</f>
        <v>48.54</v>
      </c>
      <c r="O223" s="26">
        <f>IFERROR(__xludf.DUMMYFUNCTION("""COMPUTED_VALUE"""),136.84)</f>
        <v>136.84</v>
      </c>
      <c r="P223" s="26">
        <f>IFERROR(__xludf.DUMMYFUNCTION("""COMPUTED_VALUE"""),63.4)</f>
        <v>63.4</v>
      </c>
      <c r="Q223" s="26">
        <f>IFERROR(__xludf.DUMMYFUNCTION("""COMPUTED_VALUE"""),329.8)</f>
        <v>329.8</v>
      </c>
      <c r="R223" s="26">
        <f>IFERROR(__xludf.DUMMYFUNCTION("""COMPUTED_VALUE"""),41.16)</f>
        <v>41.16</v>
      </c>
      <c r="S223" s="26">
        <f>IFERROR(__xludf.DUMMYFUNCTION("""COMPUTED_VALUE"""),227.92)</f>
        <v>227.92</v>
      </c>
      <c r="T223" s="26">
        <f>IFERROR(__xludf.DUMMYFUNCTION("""COMPUTED_VALUE"""),167.29)</f>
        <v>167.29</v>
      </c>
      <c r="U223" s="26">
        <f>IFERROR(__xludf.DUMMYFUNCTION("""COMPUTED_VALUE"""),329.0)</f>
        <v>329</v>
      </c>
      <c r="V223" s="26">
        <f>IFERROR(__xludf.DUMMYFUNCTION("""COMPUTED_VALUE"""),40.97)</f>
        <v>40.97</v>
      </c>
      <c r="W223" s="26">
        <f>IFERROR(__xludf.DUMMYFUNCTION("""COMPUTED_VALUE"""),71.62)</f>
        <v>71.62</v>
      </c>
      <c r="X223" s="26">
        <f>IFERROR(__xludf.DUMMYFUNCTION("""COMPUTED_VALUE"""),110.59)</f>
        <v>110.59</v>
      </c>
      <c r="Y223" s="26">
        <f>IFERROR(__xludf.DUMMYFUNCTION("""COMPUTED_VALUE"""),143.29)</f>
        <v>143.29</v>
      </c>
      <c r="Z223" s="26">
        <f>IFERROR(__xludf.DUMMYFUNCTION("""COMPUTED_VALUE"""),75.07)</f>
        <v>75.07</v>
      </c>
      <c r="AA223" s="26">
        <f>IFERROR(__xludf.DUMMYFUNCTION("""COMPUTED_VALUE"""),459.45)</f>
        <v>459.45</v>
      </c>
      <c r="AB223" s="26">
        <f>IFERROR(__xludf.DUMMYFUNCTION("""COMPUTED_VALUE"""),67.73)</f>
        <v>67.73</v>
      </c>
      <c r="AC223" s="26">
        <f>IFERROR(__xludf.DUMMYFUNCTION("""COMPUTED_VALUE"""),118.93)</f>
        <v>118.93</v>
      </c>
      <c r="AD223" s="26">
        <f>IFERROR(__xludf.DUMMYFUNCTION("""COMPUTED_VALUE"""),243.78)</f>
        <v>243.78</v>
      </c>
      <c r="AE223" s="26">
        <f>IFERROR(__xludf.DUMMYFUNCTION("""COMPUTED_VALUE"""),427.88)</f>
        <v>427.88</v>
      </c>
      <c r="AF223" s="26">
        <f>IFERROR(__xludf.DUMMYFUNCTION("""COMPUTED_VALUE"""),272.58)</f>
        <v>272.58</v>
      </c>
      <c r="AG223" s="26">
        <f>IFERROR(__xludf.DUMMYFUNCTION("""COMPUTED_VALUE"""),47.03)</f>
        <v>47.03</v>
      </c>
      <c r="AH223" s="26">
        <f>IFERROR(__xludf.DUMMYFUNCTION("""COMPUTED_VALUE"""),112.05)</f>
        <v>112.05</v>
      </c>
      <c r="AI223" s="26">
        <f>IFERROR(__xludf.DUMMYFUNCTION("""COMPUTED_VALUE"""),546.29)</f>
        <v>546.29</v>
      </c>
      <c r="AJ223" s="26">
        <f>IFERROR(__xludf.DUMMYFUNCTION("""COMPUTED_VALUE"""),366.49)</f>
        <v>366.49</v>
      </c>
      <c r="AK223" s="26">
        <f>IFERROR(__xludf.DUMMYFUNCTION("""COMPUTED_VALUE"""),143.45)</f>
        <v>143.45</v>
      </c>
      <c r="AL223" s="26">
        <f>IFERROR(__xludf.DUMMYFUNCTION("""COMPUTED_VALUE"""),172.5)</f>
        <v>172.5</v>
      </c>
      <c r="AM223" s="26">
        <f>IFERROR(__xludf.DUMMYFUNCTION("""COMPUTED_VALUE"""),495.27)</f>
        <v>495.27</v>
      </c>
      <c r="AN223" s="26">
        <f>IFERROR(__xludf.DUMMYFUNCTION("""COMPUTED_VALUE"""),245.3)</f>
        <v>245.3</v>
      </c>
      <c r="AO223" s="26">
        <f>IFERROR(__xludf.DUMMYFUNCTION("""COMPUTED_VALUE"""),446.71)</f>
        <v>446.71</v>
      </c>
      <c r="AP223" s="26">
        <f>IFERROR(__xludf.DUMMYFUNCTION("""COMPUTED_VALUE"""),283.06)</f>
        <v>283.06</v>
      </c>
      <c r="AQ223" s="26">
        <f>IFERROR(__xludf.DUMMYFUNCTION("""COMPUTED_VALUE"""),31.15)</f>
        <v>31.15</v>
      </c>
      <c r="AR223" s="26">
        <f>IFERROR(__xludf.DUMMYFUNCTION("""COMPUTED_VALUE"""),89.86)</f>
        <v>89.86</v>
      </c>
      <c r="AS223" s="26">
        <f>IFERROR(__xludf.DUMMYFUNCTION("""COMPUTED_VALUE"""),80.29)</f>
        <v>80.29</v>
      </c>
      <c r="AT223" s="26">
        <f>IFERROR(__xludf.DUMMYFUNCTION("""COMPUTED_VALUE"""),375.39)</f>
        <v>375.39</v>
      </c>
      <c r="AU223" s="26">
        <f>IFERROR(__xludf.DUMMYFUNCTION("""COMPUTED_VALUE"""),70.89)</f>
        <v>70.89</v>
      </c>
      <c r="AV223" s="26">
        <f>IFERROR(__xludf.DUMMYFUNCTION("""COMPUTED_VALUE"""),108.38)</f>
        <v>108.38</v>
      </c>
      <c r="AW223" s="26">
        <f>IFERROR(__xludf.DUMMYFUNCTION("""COMPUTED_VALUE"""),103.2)</f>
        <v>103.2</v>
      </c>
      <c r="AX223" s="26">
        <f>IFERROR(__xludf.DUMMYFUNCTION("""COMPUTED_VALUE"""),43.92)</f>
        <v>43.92</v>
      </c>
      <c r="AY223" s="26">
        <f>IFERROR(__xludf.DUMMYFUNCTION("""COMPUTED_VALUE"""),84.4)</f>
        <v>84.4</v>
      </c>
      <c r="AZ223" s="26">
        <f>IFERROR(__xludf.DUMMYFUNCTION("""COMPUTED_VALUE"""),65.25)</f>
        <v>65.25</v>
      </c>
      <c r="BA223" s="26">
        <f>IFERROR(__xludf.DUMMYFUNCTION("""COMPUTED_VALUE"""),25.34)</f>
        <v>25.34</v>
      </c>
      <c r="BB223" s="26">
        <f>IFERROR(__xludf.DUMMYFUNCTION("""COMPUTED_VALUE"""),132.46)</f>
        <v>132.46</v>
      </c>
      <c r="BC223" s="26">
        <f>IFERROR(__xludf.DUMMYFUNCTION("""COMPUTED_VALUE"""),266.71)</f>
        <v>266.71</v>
      </c>
      <c r="BD223" s="26">
        <f>IFERROR(__xludf.DUMMYFUNCTION("""COMPUTED_VALUE"""),497.6)</f>
        <v>497.6</v>
      </c>
      <c r="BE223" s="26">
        <f>IFERROR(__xludf.DUMMYFUNCTION("""COMPUTED_VALUE"""),176.53)</f>
        <v>176.53</v>
      </c>
      <c r="BF223" s="26">
        <f>IFERROR(__xludf.DUMMYFUNCTION("""COMPUTED_VALUE"""),67.28)</f>
        <v>67.28</v>
      </c>
      <c r="BG223" s="26">
        <f>IFERROR(__xludf.DUMMYFUNCTION("""COMPUTED_VALUE"""),6.25)</f>
        <v>6.25</v>
      </c>
      <c r="BH223" s="26">
        <f>IFERROR(__xludf.DUMMYFUNCTION("""COMPUTED_VALUE"""),236.24)</f>
        <v>236.24</v>
      </c>
      <c r="BI223" s="26">
        <f>IFERROR(__xludf.DUMMYFUNCTION("""COMPUTED_VALUE"""),523.75)</f>
        <v>523.75</v>
      </c>
      <c r="BJ223" s="26">
        <f>IFERROR(__xludf.DUMMYFUNCTION("""COMPUTED_VALUE"""),49.9)</f>
        <v>49.9</v>
      </c>
      <c r="BK223" s="26">
        <f>IFERROR(__xludf.DUMMYFUNCTION("""COMPUTED_VALUE"""),8.71)</f>
        <v>8.71</v>
      </c>
      <c r="BL223" s="26">
        <f>IFERROR(__xludf.DUMMYFUNCTION("""COMPUTED_VALUE"""),231.51)</f>
        <v>231.51</v>
      </c>
      <c r="BM223" s="26">
        <f>IFERROR(__xludf.DUMMYFUNCTION("""COMPUTED_VALUE"""),98.7)</f>
        <v>98.7</v>
      </c>
    </row>
    <row r="224">
      <c r="A224" s="25">
        <v>45749.66666666667</v>
      </c>
      <c r="B224" s="17">
        <f>IFERROR(__xludf.DUMMYFUNCTION("""COMPUTED_VALUE"""),5633.07)</f>
        <v>5633.07</v>
      </c>
      <c r="C224" s="17">
        <f>IFERROR(__xludf.DUMMYFUNCTION("""COMPUTED_VALUE"""),17449.89)</f>
        <v>17449.89</v>
      </c>
      <c r="D224" s="17">
        <f>IFERROR(__xludf.DUMMYFUNCTION("""COMPUTED_VALUE"""),41989.96)</f>
        <v>41989.96</v>
      </c>
      <c r="E224" s="17">
        <f>IFERROR(__xludf.DUMMYFUNCTION("""COMPUTED_VALUE"""),2012.24)</f>
        <v>2012.24</v>
      </c>
      <c r="F224" s="26">
        <f>IFERROR(__xludf.DUMMYFUNCTION("""COMPUTED_VALUE"""),383.2)</f>
        <v>383.2</v>
      </c>
      <c r="G224" s="26">
        <f>IFERROR(__xludf.DUMMYFUNCTION("""COMPUTED_VALUE"""),192.17)</f>
        <v>192.17</v>
      </c>
      <c r="H224" s="26">
        <f>IFERROR(__xludf.DUMMYFUNCTION("""COMPUTED_VALUE"""),147.0)</f>
        <v>147</v>
      </c>
      <c r="I224" s="26">
        <f>IFERROR(__xludf.DUMMYFUNCTION("""COMPUTED_VALUE"""),223.19)</f>
        <v>223.19</v>
      </c>
      <c r="J224" s="26">
        <f>IFERROR(__xludf.DUMMYFUNCTION("""COMPUTED_VALUE"""),145.66)</f>
        <v>145.66</v>
      </c>
      <c r="K224" s="26">
        <f>IFERROR(__xludf.DUMMYFUNCTION("""COMPUTED_VALUE"""),83.77)</f>
        <v>83.77</v>
      </c>
      <c r="L224" s="26">
        <f>IFERROR(__xludf.DUMMYFUNCTION("""COMPUTED_VALUE"""),15.4)</f>
        <v>15.4</v>
      </c>
      <c r="M224" s="26">
        <f>IFERROR(__xludf.DUMMYFUNCTION("""COMPUTED_VALUE"""),532.99)</f>
        <v>532.99</v>
      </c>
      <c r="N224" s="26">
        <f>IFERROR(__xludf.DUMMYFUNCTION("""COMPUTED_VALUE"""),48.78)</f>
        <v>48.78</v>
      </c>
      <c r="O224" s="26">
        <f>IFERROR(__xludf.DUMMYFUNCTION("""COMPUTED_VALUE"""),132.03)</f>
        <v>132.03</v>
      </c>
      <c r="P224" s="26">
        <f>IFERROR(__xludf.DUMMYFUNCTION("""COMPUTED_VALUE"""),63.54)</f>
        <v>63.54</v>
      </c>
      <c r="Q224" s="26">
        <f>IFERROR(__xludf.DUMMYFUNCTION("""COMPUTED_VALUE"""),330.57)</f>
        <v>330.57</v>
      </c>
      <c r="R224" s="26">
        <f>IFERROR(__xludf.DUMMYFUNCTION("""COMPUTED_VALUE"""),41.8)</f>
        <v>41.8</v>
      </c>
      <c r="S224" s="26">
        <f>IFERROR(__xludf.DUMMYFUNCTION("""COMPUTED_VALUE"""),230.84)</f>
        <v>230.84</v>
      </c>
      <c r="T224" s="26">
        <f>IFERROR(__xludf.DUMMYFUNCTION("""COMPUTED_VALUE"""),168.51)</f>
        <v>168.51</v>
      </c>
      <c r="U224" s="26">
        <f>IFERROR(__xludf.DUMMYFUNCTION("""COMPUTED_VALUE"""),331.0)</f>
        <v>331</v>
      </c>
      <c r="V224" s="26">
        <f>IFERROR(__xludf.DUMMYFUNCTION("""COMPUTED_VALUE"""),40.59)</f>
        <v>40.59</v>
      </c>
      <c r="W224" s="26">
        <f>IFERROR(__xludf.DUMMYFUNCTION("""COMPUTED_VALUE"""),71.87)</f>
        <v>71.87</v>
      </c>
      <c r="X224" s="26">
        <f>IFERROR(__xludf.DUMMYFUNCTION("""COMPUTED_VALUE"""),110.06)</f>
        <v>110.06</v>
      </c>
      <c r="Y224" s="26">
        <f>IFERROR(__xludf.DUMMYFUNCTION("""COMPUTED_VALUE"""),146.05)</f>
        <v>146.05</v>
      </c>
      <c r="Z224" s="26">
        <f>IFERROR(__xludf.DUMMYFUNCTION("""COMPUTED_VALUE"""),75.34)</f>
        <v>75.34</v>
      </c>
      <c r="AA224" s="26">
        <f>IFERROR(__xludf.DUMMYFUNCTION("""COMPUTED_VALUE"""),465.47)</f>
        <v>465.47</v>
      </c>
      <c r="AB224" s="26">
        <f>IFERROR(__xludf.DUMMYFUNCTION("""COMPUTED_VALUE"""),67.8)</f>
        <v>67.8</v>
      </c>
      <c r="AC224" s="26">
        <f>IFERROR(__xludf.DUMMYFUNCTION("""COMPUTED_VALUE"""),119.04)</f>
        <v>119.04</v>
      </c>
      <c r="AD224" s="26">
        <f>IFERROR(__xludf.DUMMYFUNCTION("""COMPUTED_VALUE"""),241.98)</f>
        <v>241.98</v>
      </c>
      <c r="AE224" s="26">
        <f>IFERROR(__xludf.DUMMYFUNCTION("""COMPUTED_VALUE"""),430.61)</f>
        <v>430.61</v>
      </c>
      <c r="AF224" s="26">
        <f>IFERROR(__xludf.DUMMYFUNCTION("""COMPUTED_VALUE"""),274.14)</f>
        <v>274.14</v>
      </c>
      <c r="AG224" s="26">
        <f>IFERROR(__xludf.DUMMYFUNCTION("""COMPUTED_VALUE"""),47.26)</f>
        <v>47.26</v>
      </c>
      <c r="AH224" s="26">
        <f>IFERROR(__xludf.DUMMYFUNCTION("""COMPUTED_VALUE"""),111.28)</f>
        <v>111.28</v>
      </c>
      <c r="AI224" s="26">
        <f>IFERROR(__xludf.DUMMYFUNCTION("""COMPUTED_VALUE"""),548.45)</f>
        <v>548.45</v>
      </c>
      <c r="AJ224" s="26">
        <f>IFERROR(__xludf.DUMMYFUNCTION("""COMPUTED_VALUE"""),365.52)</f>
        <v>365.52</v>
      </c>
      <c r="AK224" s="26">
        <f>IFERROR(__xludf.DUMMYFUNCTION("""COMPUTED_VALUE"""),146.38)</f>
        <v>146.38</v>
      </c>
      <c r="AL224" s="26">
        <f>IFERROR(__xludf.DUMMYFUNCTION("""COMPUTED_VALUE"""),171.49)</f>
        <v>171.49</v>
      </c>
      <c r="AM224" s="26">
        <f>IFERROR(__xludf.DUMMYFUNCTION("""COMPUTED_VALUE"""),496.36)</f>
        <v>496.36</v>
      </c>
      <c r="AN224" s="26">
        <f>IFERROR(__xludf.DUMMYFUNCTION("""COMPUTED_VALUE"""),243.66)</f>
        <v>243.66</v>
      </c>
      <c r="AO224" s="26">
        <f>IFERROR(__xludf.DUMMYFUNCTION("""COMPUTED_VALUE"""),448.64)</f>
        <v>448.64</v>
      </c>
      <c r="AP224" s="26">
        <f>IFERROR(__xludf.DUMMYFUNCTION("""COMPUTED_VALUE"""),279.63)</f>
        <v>279.63</v>
      </c>
      <c r="AQ224" s="26">
        <f>IFERROR(__xludf.DUMMYFUNCTION("""COMPUTED_VALUE"""),31.76)</f>
        <v>31.76</v>
      </c>
      <c r="AR224" s="26">
        <f>IFERROR(__xludf.DUMMYFUNCTION("""COMPUTED_VALUE"""),88.49)</f>
        <v>88.49</v>
      </c>
      <c r="AS224" s="26">
        <f>IFERROR(__xludf.DUMMYFUNCTION("""COMPUTED_VALUE"""),81.16)</f>
        <v>81.16</v>
      </c>
      <c r="AT224" s="26">
        <f>IFERROR(__xludf.DUMMYFUNCTION("""COMPUTED_VALUE"""),382.19)</f>
        <v>382.19</v>
      </c>
      <c r="AU224" s="26">
        <f>IFERROR(__xludf.DUMMYFUNCTION("""COMPUTED_VALUE"""),70.92)</f>
        <v>70.92</v>
      </c>
      <c r="AV224" s="26">
        <f>IFERROR(__xludf.DUMMYFUNCTION("""COMPUTED_VALUE"""),110.15)</f>
        <v>110.15</v>
      </c>
      <c r="AW224" s="26">
        <f>IFERROR(__xludf.DUMMYFUNCTION("""COMPUTED_VALUE"""),104.06)</f>
        <v>104.06</v>
      </c>
      <c r="AX224" s="26">
        <f>IFERROR(__xludf.DUMMYFUNCTION("""COMPUTED_VALUE"""),42.7)</f>
        <v>42.7</v>
      </c>
      <c r="AY224" s="26">
        <f>IFERROR(__xludf.DUMMYFUNCTION("""COMPUTED_VALUE"""),84.68)</f>
        <v>84.68</v>
      </c>
      <c r="AZ224" s="26">
        <f>IFERROR(__xludf.DUMMYFUNCTION("""COMPUTED_VALUE"""),66.1)</f>
        <v>66.1</v>
      </c>
      <c r="BA224" s="26">
        <f>IFERROR(__xludf.DUMMYFUNCTION("""COMPUTED_VALUE"""),24.54)</f>
        <v>24.54</v>
      </c>
      <c r="BB224" s="26">
        <f>IFERROR(__xludf.DUMMYFUNCTION("""COMPUTED_VALUE"""),132.85)</f>
        <v>132.85</v>
      </c>
      <c r="BC224" s="26">
        <f>IFERROR(__xludf.DUMMYFUNCTION("""COMPUTED_VALUE"""),268.54)</f>
        <v>268.54</v>
      </c>
      <c r="BD224" s="26">
        <f>IFERROR(__xludf.DUMMYFUNCTION("""COMPUTED_VALUE"""),482.97)</f>
        <v>482.97</v>
      </c>
      <c r="BE224" s="26">
        <f>IFERROR(__xludf.DUMMYFUNCTION("""COMPUTED_VALUE"""),174.42)</f>
        <v>174.42</v>
      </c>
      <c r="BF224" s="26">
        <f>IFERROR(__xludf.DUMMYFUNCTION("""COMPUTED_VALUE"""),68.27)</f>
        <v>68.27</v>
      </c>
      <c r="BG224" s="26">
        <f>IFERROR(__xludf.DUMMYFUNCTION("""COMPUTED_VALUE"""),6.35)</f>
        <v>6.35</v>
      </c>
      <c r="BH224" s="26">
        <f>IFERROR(__xludf.DUMMYFUNCTION("""COMPUTED_VALUE"""),237.17)</f>
        <v>237.17</v>
      </c>
      <c r="BI224" s="26">
        <f>IFERROR(__xludf.DUMMYFUNCTION("""COMPUTED_VALUE"""),523.12)</f>
        <v>523.12</v>
      </c>
      <c r="BJ224" s="26">
        <f>IFERROR(__xludf.DUMMYFUNCTION("""COMPUTED_VALUE"""),49.81)</f>
        <v>49.81</v>
      </c>
      <c r="BK224" s="26">
        <f>IFERROR(__xludf.DUMMYFUNCTION("""COMPUTED_VALUE"""),8.6)</f>
        <v>8.6</v>
      </c>
      <c r="BL224" s="26">
        <f>IFERROR(__xludf.DUMMYFUNCTION("""COMPUTED_VALUE"""),233.79)</f>
        <v>233.79</v>
      </c>
      <c r="BM224" s="26">
        <f>IFERROR(__xludf.DUMMYFUNCTION("""COMPUTED_VALUE"""),97.68)</f>
        <v>97.68</v>
      </c>
    </row>
    <row r="225">
      <c r="A225" s="25">
        <v>45750.66666666667</v>
      </c>
      <c r="B225" s="17">
        <f>IFERROR(__xludf.DUMMYFUNCTION("""COMPUTED_VALUE"""),5670.97)</f>
        <v>5670.97</v>
      </c>
      <c r="C225" s="17">
        <f>IFERROR(__xludf.DUMMYFUNCTION("""COMPUTED_VALUE"""),17601.05)</f>
        <v>17601.05</v>
      </c>
      <c r="D225" s="17">
        <f>IFERROR(__xludf.DUMMYFUNCTION("""COMPUTED_VALUE"""),42225.32)</f>
        <v>42225.32</v>
      </c>
      <c r="E225" s="17">
        <f>IFERROR(__xludf.DUMMYFUNCTION("""COMPUTED_VALUE"""),2045.36)</f>
        <v>2045.36</v>
      </c>
      <c r="F225" s="26">
        <f>IFERROR(__xludf.DUMMYFUNCTION("""COMPUTED_VALUE"""),385.78)</f>
        <v>385.78</v>
      </c>
      <c r="G225" s="26">
        <f>IFERROR(__xludf.DUMMYFUNCTION("""COMPUTED_VALUE"""),196.01)</f>
        <v>196.01</v>
      </c>
      <c r="H225" s="26">
        <f>IFERROR(__xludf.DUMMYFUNCTION("""COMPUTED_VALUE"""),146.19)</f>
        <v>146.19</v>
      </c>
      <c r="I225" s="26">
        <f>IFERROR(__xludf.DUMMYFUNCTION("""COMPUTED_VALUE"""),223.89)</f>
        <v>223.89</v>
      </c>
      <c r="J225" s="26">
        <f>IFERROR(__xludf.DUMMYFUNCTION("""COMPUTED_VALUE"""),147.75)</f>
        <v>147.75</v>
      </c>
      <c r="K225" s="26">
        <f>IFERROR(__xludf.DUMMYFUNCTION("""COMPUTED_VALUE"""),84.22)</f>
        <v>84.22</v>
      </c>
      <c r="L225" s="26">
        <f>IFERROR(__xludf.DUMMYFUNCTION("""COMPUTED_VALUE"""),15.74)</f>
        <v>15.74</v>
      </c>
      <c r="M225" s="26">
        <f>IFERROR(__xludf.DUMMYFUNCTION("""COMPUTED_VALUE"""),537.72)</f>
        <v>537.72</v>
      </c>
      <c r="N225" s="26">
        <f>IFERROR(__xludf.DUMMYFUNCTION("""COMPUTED_VALUE"""),47.88)</f>
        <v>47.88</v>
      </c>
      <c r="O225" s="26">
        <f>IFERROR(__xludf.DUMMYFUNCTION("""COMPUTED_VALUE"""),131.32)</f>
        <v>131.32</v>
      </c>
      <c r="P225" s="26">
        <f>IFERROR(__xludf.DUMMYFUNCTION("""COMPUTED_VALUE"""),65.04)</f>
        <v>65.04</v>
      </c>
      <c r="Q225" s="26">
        <f>IFERROR(__xludf.DUMMYFUNCTION("""COMPUTED_VALUE"""),334.66)</f>
        <v>334.66</v>
      </c>
      <c r="R225" s="26">
        <f>IFERROR(__xludf.DUMMYFUNCTION("""COMPUTED_VALUE"""),42.47)</f>
        <v>42.47</v>
      </c>
      <c r="S225" s="26">
        <f>IFERROR(__xludf.DUMMYFUNCTION("""COMPUTED_VALUE"""),228.01)</f>
        <v>228.01</v>
      </c>
      <c r="T225" s="26">
        <f>IFERROR(__xludf.DUMMYFUNCTION("""COMPUTED_VALUE"""),166.47)</f>
        <v>166.47</v>
      </c>
      <c r="U225" s="26">
        <f>IFERROR(__xludf.DUMMYFUNCTION("""COMPUTED_VALUE"""),331.92)</f>
        <v>331.92</v>
      </c>
      <c r="V225" s="26">
        <f>IFERROR(__xludf.DUMMYFUNCTION("""COMPUTED_VALUE"""),41.66)</f>
        <v>41.66</v>
      </c>
      <c r="W225" s="26">
        <f>IFERROR(__xludf.DUMMYFUNCTION("""COMPUTED_VALUE"""),71.33)</f>
        <v>71.33</v>
      </c>
      <c r="X225" s="26">
        <f>IFERROR(__xludf.DUMMYFUNCTION("""COMPUTED_VALUE"""),109.58)</f>
        <v>109.58</v>
      </c>
      <c r="Y225" s="26">
        <f>IFERROR(__xludf.DUMMYFUNCTION("""COMPUTED_VALUE"""),148.68)</f>
        <v>148.68</v>
      </c>
      <c r="Z225" s="26">
        <f>IFERROR(__xludf.DUMMYFUNCTION("""COMPUTED_VALUE"""),77.57)</f>
        <v>77.57</v>
      </c>
      <c r="AA225" s="26">
        <f>IFERROR(__xludf.DUMMYFUNCTION("""COMPUTED_VALUE"""),468.35)</f>
        <v>468.35</v>
      </c>
      <c r="AB225" s="26">
        <f>IFERROR(__xludf.DUMMYFUNCTION("""COMPUTED_VALUE"""),67.42)</f>
        <v>67.42</v>
      </c>
      <c r="AC225" s="26">
        <f>IFERROR(__xludf.DUMMYFUNCTION("""COMPUTED_VALUE"""),118.67)</f>
        <v>118.67</v>
      </c>
      <c r="AD225" s="26">
        <f>IFERROR(__xludf.DUMMYFUNCTION("""COMPUTED_VALUE"""),245.17)</f>
        <v>245.17</v>
      </c>
      <c r="AE225" s="26">
        <f>IFERROR(__xludf.DUMMYFUNCTION("""COMPUTED_VALUE"""),438.54)</f>
        <v>438.54</v>
      </c>
      <c r="AF225" s="26">
        <f>IFERROR(__xludf.DUMMYFUNCTION("""COMPUTED_VALUE"""),276.04)</f>
        <v>276.04</v>
      </c>
      <c r="AG225" s="26">
        <f>IFERROR(__xludf.DUMMYFUNCTION("""COMPUTED_VALUE"""),47.98)</f>
        <v>47.98</v>
      </c>
      <c r="AH225" s="26">
        <f>IFERROR(__xludf.DUMMYFUNCTION("""COMPUTED_VALUE"""),111.89)</f>
        <v>111.89</v>
      </c>
      <c r="AI225" s="26">
        <f>IFERROR(__xludf.DUMMYFUNCTION("""COMPUTED_VALUE"""),563.1)</f>
        <v>563.1</v>
      </c>
      <c r="AJ225" s="26">
        <f>IFERROR(__xludf.DUMMYFUNCTION("""COMPUTED_VALUE"""),370.89)</f>
        <v>370.89</v>
      </c>
      <c r="AK225" s="26">
        <f>IFERROR(__xludf.DUMMYFUNCTION("""COMPUTED_VALUE"""),147.78)</f>
        <v>147.78</v>
      </c>
      <c r="AL225" s="26">
        <f>IFERROR(__xludf.DUMMYFUNCTION("""COMPUTED_VALUE"""),170.44)</f>
        <v>170.44</v>
      </c>
      <c r="AM225" s="26">
        <f>IFERROR(__xludf.DUMMYFUNCTION("""COMPUTED_VALUE"""),507.05)</f>
        <v>507.05</v>
      </c>
      <c r="AN225" s="26">
        <f>IFERROR(__xludf.DUMMYFUNCTION("""COMPUTED_VALUE"""),245.82)</f>
        <v>245.82</v>
      </c>
      <c r="AO225" s="26">
        <f>IFERROR(__xludf.DUMMYFUNCTION("""COMPUTED_VALUE"""),452.87)</f>
        <v>452.87</v>
      </c>
      <c r="AP225" s="26">
        <f>IFERROR(__xludf.DUMMYFUNCTION("""COMPUTED_VALUE"""),282.75)</f>
        <v>282.75</v>
      </c>
      <c r="AQ225" s="26">
        <f>IFERROR(__xludf.DUMMYFUNCTION("""COMPUTED_VALUE"""),32.35)</f>
        <v>32.35</v>
      </c>
      <c r="AR225" s="26">
        <f>IFERROR(__xludf.DUMMYFUNCTION("""COMPUTED_VALUE"""),88.86)</f>
        <v>88.86</v>
      </c>
      <c r="AS225" s="26">
        <f>IFERROR(__xludf.DUMMYFUNCTION("""COMPUTED_VALUE"""),82.49)</f>
        <v>82.49</v>
      </c>
      <c r="AT225" s="26">
        <f>IFERROR(__xludf.DUMMYFUNCTION("""COMPUTED_VALUE"""),382.14)</f>
        <v>382.14</v>
      </c>
      <c r="AU225" s="26">
        <f>IFERROR(__xludf.DUMMYFUNCTION("""COMPUTED_VALUE"""),70.48)</f>
        <v>70.48</v>
      </c>
      <c r="AV225" s="26">
        <f>IFERROR(__xludf.DUMMYFUNCTION("""COMPUTED_VALUE"""),110.42)</f>
        <v>110.42</v>
      </c>
      <c r="AW225" s="26">
        <f>IFERROR(__xludf.DUMMYFUNCTION("""COMPUTED_VALUE"""),103.94)</f>
        <v>103.94</v>
      </c>
      <c r="AX225" s="26">
        <f>IFERROR(__xludf.DUMMYFUNCTION("""COMPUTED_VALUE"""),44.92)</f>
        <v>44.92</v>
      </c>
      <c r="AY225" s="26">
        <f>IFERROR(__xludf.DUMMYFUNCTION("""COMPUTED_VALUE"""),87.45)</f>
        <v>87.45</v>
      </c>
      <c r="AZ225" s="26">
        <f>IFERROR(__xludf.DUMMYFUNCTION("""COMPUTED_VALUE"""),67.15)</f>
        <v>67.15</v>
      </c>
      <c r="BA225" s="26">
        <f>IFERROR(__xludf.DUMMYFUNCTION("""COMPUTED_VALUE"""),24.7)</f>
        <v>24.7</v>
      </c>
      <c r="BB225" s="26">
        <f>IFERROR(__xludf.DUMMYFUNCTION("""COMPUTED_VALUE"""),133.15)</f>
        <v>133.15</v>
      </c>
      <c r="BC225" s="26">
        <f>IFERROR(__xludf.DUMMYFUNCTION("""COMPUTED_VALUE"""),264.56)</f>
        <v>264.56</v>
      </c>
      <c r="BD225" s="26">
        <f>IFERROR(__xludf.DUMMYFUNCTION("""COMPUTED_VALUE"""),489.06)</f>
        <v>489.06</v>
      </c>
      <c r="BE225" s="26">
        <f>IFERROR(__xludf.DUMMYFUNCTION("""COMPUTED_VALUE"""),177.31)</f>
        <v>177.31</v>
      </c>
      <c r="BF225" s="26">
        <f>IFERROR(__xludf.DUMMYFUNCTION("""COMPUTED_VALUE"""),73.11)</f>
        <v>73.11</v>
      </c>
      <c r="BG225" s="26">
        <f>IFERROR(__xludf.DUMMYFUNCTION("""COMPUTED_VALUE"""),6.6)</f>
        <v>6.6</v>
      </c>
      <c r="BH225" s="26">
        <f>IFERROR(__xludf.DUMMYFUNCTION("""COMPUTED_VALUE"""),238.46)</f>
        <v>238.46</v>
      </c>
      <c r="BI225" s="26">
        <f>IFERROR(__xludf.DUMMYFUNCTION("""COMPUTED_VALUE"""),523.2)</f>
        <v>523.2</v>
      </c>
      <c r="BJ225" s="26">
        <f>IFERROR(__xludf.DUMMYFUNCTION("""COMPUTED_VALUE"""),49.76)</f>
        <v>49.76</v>
      </c>
      <c r="BK225" s="26">
        <f>IFERROR(__xludf.DUMMYFUNCTION("""COMPUTED_VALUE"""),8.66)</f>
        <v>8.66</v>
      </c>
      <c r="BL225" s="26">
        <f>IFERROR(__xludf.DUMMYFUNCTION("""COMPUTED_VALUE"""),234.56)</f>
        <v>234.56</v>
      </c>
      <c r="BM225" s="26">
        <f>IFERROR(__xludf.DUMMYFUNCTION("""COMPUTED_VALUE"""),97.88)</f>
        <v>97.88</v>
      </c>
    </row>
    <row r="226">
      <c r="A226" s="25">
        <v>45751.66666666667</v>
      </c>
      <c r="B226" s="17">
        <f>IFERROR(__xludf.DUMMYFUNCTION("""COMPUTED_VALUE"""),5396.52)</f>
        <v>5396.52</v>
      </c>
      <c r="C226" s="17">
        <f>IFERROR(__xludf.DUMMYFUNCTION("""COMPUTED_VALUE"""),16550.61)</f>
        <v>16550.61</v>
      </c>
      <c r="D226" s="17">
        <f>IFERROR(__xludf.DUMMYFUNCTION("""COMPUTED_VALUE"""),40545.93)</f>
        <v>40545.93</v>
      </c>
      <c r="E226" s="17">
        <f>IFERROR(__xludf.DUMMYFUNCTION("""COMPUTED_VALUE"""),1910.55)</f>
        <v>1910.55</v>
      </c>
      <c r="F226" s="26">
        <f>IFERROR(__xludf.DUMMYFUNCTION("""COMPUTED_VALUE"""),367.25)</f>
        <v>367.25</v>
      </c>
      <c r="G226" s="26">
        <f>IFERROR(__xludf.DUMMYFUNCTION("""COMPUTED_VALUE"""),178.41)</f>
        <v>178.41</v>
      </c>
      <c r="H226" s="26">
        <f>IFERROR(__xludf.DUMMYFUNCTION("""COMPUTED_VALUE"""),151.96)</f>
        <v>151.96</v>
      </c>
      <c r="I226" s="26">
        <f>IFERROR(__xludf.DUMMYFUNCTION("""COMPUTED_VALUE"""),203.19)</f>
        <v>203.19</v>
      </c>
      <c r="J226" s="26">
        <f>IFERROR(__xludf.DUMMYFUNCTION("""COMPUTED_VALUE"""),135.51)</f>
        <v>135.51</v>
      </c>
      <c r="K226" s="26">
        <f>IFERROR(__xludf.DUMMYFUNCTION("""COMPUTED_VALUE"""),79.91)</f>
        <v>79.91</v>
      </c>
      <c r="L226" s="26">
        <f>IFERROR(__xludf.DUMMYFUNCTION("""COMPUTED_VALUE"""),14.31)</f>
        <v>14.31</v>
      </c>
      <c r="M226" s="26">
        <f>IFERROR(__xludf.DUMMYFUNCTION("""COMPUTED_VALUE"""),530.16)</f>
        <v>530.16</v>
      </c>
      <c r="N226" s="26">
        <f>IFERROR(__xludf.DUMMYFUNCTION("""COMPUTED_VALUE"""),46.48)</f>
        <v>46.48</v>
      </c>
      <c r="O226" s="26">
        <f>IFERROR(__xludf.DUMMYFUNCTION("""COMPUTED_VALUE"""),130.71)</f>
        <v>130.71</v>
      </c>
      <c r="P226" s="26">
        <f>IFERROR(__xludf.DUMMYFUNCTION("""COMPUTED_VALUE"""),60.72)</f>
        <v>60.72</v>
      </c>
      <c r="Q226" s="26">
        <f>IFERROR(__xludf.DUMMYFUNCTION("""COMPUTED_VALUE"""),305.76)</f>
        <v>305.76</v>
      </c>
      <c r="R226" s="26">
        <f>IFERROR(__xludf.DUMMYFUNCTION("""COMPUTED_VALUE"""),40.91)</f>
        <v>40.91</v>
      </c>
      <c r="S226" s="26">
        <f>IFERROR(__xludf.DUMMYFUNCTION("""COMPUTED_VALUE"""),224.02)</f>
        <v>224.02</v>
      </c>
      <c r="T226" s="26">
        <f>IFERROR(__xludf.DUMMYFUNCTION("""COMPUTED_VALUE"""),156.12)</f>
        <v>156.12</v>
      </c>
      <c r="U226" s="26">
        <f>IFERROR(__xludf.DUMMYFUNCTION("""COMPUTED_VALUE"""),338.45)</f>
        <v>338.45</v>
      </c>
      <c r="V226" s="26">
        <f>IFERROR(__xludf.DUMMYFUNCTION("""COMPUTED_VALUE"""),36.22)</f>
        <v>36.22</v>
      </c>
      <c r="W226" s="26">
        <f>IFERROR(__xludf.DUMMYFUNCTION("""COMPUTED_VALUE"""),73.18)</f>
        <v>73.18</v>
      </c>
      <c r="X226" s="26">
        <f>IFERROR(__xludf.DUMMYFUNCTION("""COMPUTED_VALUE"""),112.72)</f>
        <v>112.72</v>
      </c>
      <c r="Y226" s="26">
        <f>IFERROR(__xludf.DUMMYFUNCTION("""COMPUTED_VALUE"""),141.09)</f>
        <v>141.09</v>
      </c>
      <c r="Z226" s="26">
        <f>IFERROR(__xludf.DUMMYFUNCTION("""COMPUTED_VALUE"""),67.22)</f>
        <v>67.22</v>
      </c>
      <c r="AA226" s="26">
        <f>IFERROR(__xludf.DUMMYFUNCTION("""COMPUTED_VALUE"""),463.78)</f>
        <v>463.78</v>
      </c>
      <c r="AB226" s="26">
        <f>IFERROR(__xludf.DUMMYFUNCTION("""COMPUTED_VALUE"""),66.36)</f>
        <v>66.36</v>
      </c>
      <c r="AC226" s="26">
        <f>IFERROR(__xludf.DUMMYFUNCTION("""COMPUTED_VALUE"""),112.43)</f>
        <v>112.43</v>
      </c>
      <c r="AD226" s="26">
        <f>IFERROR(__xludf.DUMMYFUNCTION("""COMPUTED_VALUE"""),215.86)</f>
        <v>215.86</v>
      </c>
      <c r="AE226" s="26">
        <f>IFERROR(__xludf.DUMMYFUNCTION("""COMPUTED_VALUE"""),431.23)</f>
        <v>431.23</v>
      </c>
      <c r="AF226" s="26">
        <f>IFERROR(__xludf.DUMMYFUNCTION("""COMPUTED_VALUE"""),269.62)</f>
        <v>269.62</v>
      </c>
      <c r="AG226" s="26">
        <f>IFERROR(__xludf.DUMMYFUNCTION("""COMPUTED_VALUE"""),45.9)</f>
        <v>45.9</v>
      </c>
      <c r="AH226" s="26">
        <f>IFERROR(__xludf.DUMMYFUNCTION("""COMPUTED_VALUE"""),112.39)</f>
        <v>112.39</v>
      </c>
      <c r="AI226" s="26">
        <f>IFERROR(__xludf.DUMMYFUNCTION("""COMPUTED_VALUE"""),511.23)</f>
        <v>511.23</v>
      </c>
      <c r="AJ226" s="26">
        <f>IFERROR(__xludf.DUMMYFUNCTION("""COMPUTED_VALUE"""),355.91)</f>
        <v>355.91</v>
      </c>
      <c r="AK226" s="26">
        <f>IFERROR(__xludf.DUMMYFUNCTION("""COMPUTED_VALUE"""),147.51)</f>
        <v>147.51</v>
      </c>
      <c r="AL226" s="26">
        <f>IFERROR(__xludf.DUMMYFUNCTION("""COMPUTED_VALUE"""),167.56)</f>
        <v>167.56</v>
      </c>
      <c r="AM226" s="26">
        <f>IFERROR(__xludf.DUMMYFUNCTION("""COMPUTED_VALUE"""),494.61)</f>
        <v>494.61</v>
      </c>
      <c r="AN226" s="26">
        <f>IFERROR(__xludf.DUMMYFUNCTION("""COMPUTED_VALUE"""),228.69)</f>
        <v>228.69</v>
      </c>
      <c r="AO226" s="26">
        <f>IFERROR(__xludf.DUMMYFUNCTION("""COMPUTED_VALUE"""),454.78)</f>
        <v>454.78</v>
      </c>
      <c r="AP226" s="26">
        <f>IFERROR(__xludf.DUMMYFUNCTION("""COMPUTED_VALUE"""),255.65)</f>
        <v>255.65</v>
      </c>
      <c r="AQ226" s="26">
        <f>IFERROR(__xludf.DUMMYFUNCTION("""COMPUTED_VALUE"""),30.63)</f>
        <v>30.63</v>
      </c>
      <c r="AR226" s="26">
        <f>IFERROR(__xludf.DUMMYFUNCTION("""COMPUTED_VALUE"""),87.89)</f>
        <v>87.89</v>
      </c>
      <c r="AS226" s="26">
        <f>IFERROR(__xludf.DUMMYFUNCTION("""COMPUTED_VALUE"""),75.91)</f>
        <v>75.91</v>
      </c>
      <c r="AT226" s="26">
        <f>IFERROR(__xludf.DUMMYFUNCTION("""COMPUTED_VALUE"""),373.11)</f>
        <v>373.11</v>
      </c>
      <c r="AU226" s="26">
        <f>IFERROR(__xludf.DUMMYFUNCTION("""COMPUTED_VALUE"""),72.14)</f>
        <v>72.14</v>
      </c>
      <c r="AV226" s="26">
        <f>IFERROR(__xludf.DUMMYFUNCTION("""COMPUTED_VALUE"""),101.8)</f>
        <v>101.8</v>
      </c>
      <c r="AW226" s="26">
        <f>IFERROR(__xludf.DUMMYFUNCTION("""COMPUTED_VALUE"""),104.3)</f>
        <v>104.3</v>
      </c>
      <c r="AX226" s="26">
        <f>IFERROR(__xludf.DUMMYFUNCTION("""COMPUTED_VALUE"""),37.65)</f>
        <v>37.65</v>
      </c>
      <c r="AY226" s="26">
        <f>IFERROR(__xludf.DUMMYFUNCTION("""COMPUTED_VALUE"""),83.6)</f>
        <v>83.6</v>
      </c>
      <c r="AZ226" s="26">
        <f>IFERROR(__xludf.DUMMYFUNCTION("""COMPUTED_VALUE"""),61.71)</f>
        <v>61.71</v>
      </c>
      <c r="BA226" s="26">
        <f>IFERROR(__xludf.DUMMYFUNCTION("""COMPUTED_VALUE"""),24.29)</f>
        <v>24.29</v>
      </c>
      <c r="BB226" s="26">
        <f>IFERROR(__xludf.DUMMYFUNCTION("""COMPUTED_VALUE"""),130.23)</f>
        <v>130.23</v>
      </c>
      <c r="BC226" s="26">
        <f>IFERROR(__xludf.DUMMYFUNCTION("""COMPUTED_VALUE"""),267.89)</f>
        <v>267.89</v>
      </c>
      <c r="BD226" s="26">
        <f>IFERROR(__xludf.DUMMYFUNCTION("""COMPUTED_VALUE"""),470.03)</f>
        <v>470.03</v>
      </c>
      <c r="BE226" s="26">
        <f>IFERROR(__xludf.DUMMYFUNCTION("""COMPUTED_VALUE"""),168.07)</f>
        <v>168.07</v>
      </c>
      <c r="BF226" s="26">
        <f>IFERROR(__xludf.DUMMYFUNCTION("""COMPUTED_VALUE"""),70.96)</f>
        <v>70.96</v>
      </c>
      <c r="BG226" s="26">
        <f>IFERROR(__xludf.DUMMYFUNCTION("""COMPUTED_VALUE"""),5.36)</f>
        <v>5.36</v>
      </c>
      <c r="BH226" s="26">
        <f>IFERROR(__xludf.DUMMYFUNCTION("""COMPUTED_VALUE"""),223.97)</f>
        <v>223.97</v>
      </c>
      <c r="BI226" s="26">
        <f>IFERROR(__xludf.DUMMYFUNCTION("""COMPUTED_VALUE"""),540.44)</f>
        <v>540.44</v>
      </c>
      <c r="BJ226" s="26">
        <f>IFERROR(__xludf.DUMMYFUNCTION("""COMPUTED_VALUE"""),50.06)</f>
        <v>50.06</v>
      </c>
      <c r="BK226" s="26">
        <f>IFERROR(__xludf.DUMMYFUNCTION("""COMPUTED_VALUE"""),8.16)</f>
        <v>8.16</v>
      </c>
      <c r="BL226" s="26">
        <f>IFERROR(__xludf.DUMMYFUNCTION("""COMPUTED_VALUE"""),236.83)</f>
        <v>236.83</v>
      </c>
      <c r="BM226" s="26">
        <f>IFERROR(__xludf.DUMMYFUNCTION("""COMPUTED_VALUE"""),88.84)</f>
        <v>88.84</v>
      </c>
    </row>
    <row r="227">
      <c r="A227" s="25">
        <v>45754.66666666667</v>
      </c>
      <c r="B227" s="17">
        <f>IFERROR(__xludf.DUMMYFUNCTION("""COMPUTED_VALUE"""),5074.08)</f>
        <v>5074.08</v>
      </c>
      <c r="C227" s="17">
        <f>IFERROR(__xludf.DUMMYFUNCTION("""COMPUTED_VALUE"""),15587.79)</f>
        <v>15587.79</v>
      </c>
      <c r="D227" s="17">
        <f>IFERROR(__xludf.DUMMYFUNCTION("""COMPUTED_VALUE"""),38314.86)</f>
        <v>38314.86</v>
      </c>
      <c r="E227" s="17">
        <f>IFERROR(__xludf.DUMMYFUNCTION("""COMPUTED_VALUE"""),1827.03)</f>
        <v>1827.03</v>
      </c>
      <c r="F227" s="26">
        <f>IFERROR(__xludf.DUMMYFUNCTION("""COMPUTED_VALUE"""),349.07)</f>
        <v>349.07</v>
      </c>
      <c r="G227" s="26">
        <f>IFERROR(__xludf.DUMMYFUNCTION("""COMPUTED_VALUE"""),171.0)</f>
        <v>171</v>
      </c>
      <c r="H227" s="26">
        <f>IFERROR(__xludf.DUMMYFUNCTION("""COMPUTED_VALUE"""),147.23)</f>
        <v>147.23</v>
      </c>
      <c r="I227" s="26">
        <f>IFERROR(__xludf.DUMMYFUNCTION("""COMPUTED_VALUE"""),188.38)</f>
        <v>188.38</v>
      </c>
      <c r="J227" s="26">
        <f>IFERROR(__xludf.DUMMYFUNCTION("""COMPUTED_VALUE"""),126.95)</f>
        <v>126.95</v>
      </c>
      <c r="K227" s="26">
        <f>IFERROR(__xludf.DUMMYFUNCTION("""COMPUTED_VALUE"""),73.31)</f>
        <v>73.31</v>
      </c>
      <c r="L227" s="26">
        <f>IFERROR(__xludf.DUMMYFUNCTION("""COMPUTED_VALUE"""),13.17)</f>
        <v>13.17</v>
      </c>
      <c r="M227" s="26">
        <f>IFERROR(__xludf.DUMMYFUNCTION("""COMPUTED_VALUE"""),493.54)</f>
        <v>493.54</v>
      </c>
      <c r="N227" s="26">
        <f>IFERROR(__xludf.DUMMYFUNCTION("""COMPUTED_VALUE"""),42.07)</f>
        <v>42.07</v>
      </c>
      <c r="O227" s="26">
        <f>IFERROR(__xludf.DUMMYFUNCTION("""COMPUTED_VALUE"""),122.98)</f>
        <v>122.98</v>
      </c>
      <c r="P227" s="26">
        <f>IFERROR(__xludf.DUMMYFUNCTION("""COMPUTED_VALUE"""),57.18)</f>
        <v>57.18</v>
      </c>
      <c r="Q227" s="26">
        <f>IFERROR(__xludf.DUMMYFUNCTION("""COMPUTED_VALUE"""),288.08)</f>
        <v>288.08</v>
      </c>
      <c r="R227" s="26">
        <f>IFERROR(__xludf.DUMMYFUNCTION("""COMPUTED_VALUE"""),37.83)</f>
        <v>37.83</v>
      </c>
      <c r="S227" s="26">
        <f>IFERROR(__xludf.DUMMYFUNCTION("""COMPUTED_VALUE"""),215.52)</f>
        <v>215.52</v>
      </c>
      <c r="T227" s="26">
        <f>IFERROR(__xludf.DUMMYFUNCTION("""COMPUTED_VALUE"""),143.28)</f>
        <v>143.28</v>
      </c>
      <c r="U227" s="26">
        <f>IFERROR(__xludf.DUMMYFUNCTION("""COMPUTED_VALUE"""),322.4)</f>
        <v>322.4</v>
      </c>
      <c r="V227" s="26">
        <f>IFERROR(__xludf.DUMMYFUNCTION("""COMPUTED_VALUE"""),34.27)</f>
        <v>34.27</v>
      </c>
      <c r="W227" s="26">
        <f>IFERROR(__xludf.DUMMYFUNCTION("""COMPUTED_VALUE"""),69.93)</f>
        <v>69.93</v>
      </c>
      <c r="X227" s="26">
        <f>IFERROR(__xludf.DUMMYFUNCTION("""COMPUTED_VALUE"""),109.32)</f>
        <v>109.32</v>
      </c>
      <c r="Y227" s="26">
        <f>IFERROR(__xludf.DUMMYFUNCTION("""COMPUTED_VALUE"""),137.5)</f>
        <v>137.5</v>
      </c>
      <c r="Z227" s="26">
        <f>IFERROR(__xludf.DUMMYFUNCTION("""COMPUTED_VALUE"""),67.55)</f>
        <v>67.55</v>
      </c>
      <c r="AA227" s="26">
        <f>IFERROR(__xludf.DUMMYFUNCTION("""COMPUTED_VALUE"""),444.21)</f>
        <v>444.21</v>
      </c>
      <c r="AB227" s="26">
        <f>IFERROR(__xludf.DUMMYFUNCTION("""COMPUTED_VALUE"""),62.4)</f>
        <v>62.4</v>
      </c>
      <c r="AC227" s="26">
        <f>IFERROR(__xludf.DUMMYFUNCTION("""COMPUTED_VALUE"""),104.34)</f>
        <v>104.34</v>
      </c>
      <c r="AD227" s="26">
        <f>IFERROR(__xludf.DUMMYFUNCTION("""COMPUTED_VALUE"""),210.12)</f>
        <v>210.12</v>
      </c>
      <c r="AE227" s="26">
        <f>IFERROR(__xludf.DUMMYFUNCTION("""COMPUTED_VALUE"""),414.85)</f>
        <v>414.85</v>
      </c>
      <c r="AF227" s="26">
        <f>IFERROR(__xludf.DUMMYFUNCTION("""COMPUTED_VALUE"""),250.01)</f>
        <v>250.01</v>
      </c>
      <c r="AG227" s="26">
        <f>IFERROR(__xludf.DUMMYFUNCTION("""COMPUTED_VALUE"""),44.18)</f>
        <v>44.18</v>
      </c>
      <c r="AH227" s="26">
        <f>IFERROR(__xludf.DUMMYFUNCTION("""COMPUTED_VALUE"""),107.25)</f>
        <v>107.25</v>
      </c>
      <c r="AI227" s="26">
        <f>IFERROR(__xludf.DUMMYFUNCTION("""COMPUTED_VALUE"""),470.81)</f>
        <v>470.81</v>
      </c>
      <c r="AJ227" s="26">
        <f>IFERROR(__xludf.DUMMYFUNCTION("""COMPUTED_VALUE"""),353.9)</f>
        <v>353.9</v>
      </c>
      <c r="AK227" s="26">
        <f>IFERROR(__xludf.DUMMYFUNCTION("""COMPUTED_VALUE"""),137.76)</f>
        <v>137.76</v>
      </c>
      <c r="AL227" s="26">
        <f>IFERROR(__xludf.DUMMYFUNCTION("""COMPUTED_VALUE"""),156.74)</f>
        <v>156.74</v>
      </c>
      <c r="AM227" s="26">
        <f>IFERROR(__xludf.DUMMYFUNCTION("""COMPUTED_VALUE"""),451.58)</f>
        <v>451.58</v>
      </c>
      <c r="AN227" s="26">
        <f>IFERROR(__xludf.DUMMYFUNCTION("""COMPUTED_VALUE"""),210.28)</f>
        <v>210.28</v>
      </c>
      <c r="AO227" s="26">
        <f>IFERROR(__xludf.DUMMYFUNCTION("""COMPUTED_VALUE"""),432.15)</f>
        <v>432.15</v>
      </c>
      <c r="AP227" s="26">
        <f>IFERROR(__xludf.DUMMYFUNCTION("""COMPUTED_VALUE"""),263.7)</f>
        <v>263.7</v>
      </c>
      <c r="AQ227" s="26">
        <f>IFERROR(__xludf.DUMMYFUNCTION("""COMPUTED_VALUE"""),27.7)</f>
        <v>27.7</v>
      </c>
      <c r="AR227" s="26">
        <f>IFERROR(__xludf.DUMMYFUNCTION("""COMPUTED_VALUE"""),82.88)</f>
        <v>82.88</v>
      </c>
      <c r="AS227" s="26">
        <f>IFERROR(__xludf.DUMMYFUNCTION("""COMPUTED_VALUE"""),69.07)</f>
        <v>69.07</v>
      </c>
      <c r="AT227" s="26">
        <f>IFERROR(__xludf.DUMMYFUNCTION("""COMPUTED_VALUE"""),359.84)</f>
        <v>359.84</v>
      </c>
      <c r="AU227" s="26">
        <f>IFERROR(__xludf.DUMMYFUNCTION("""COMPUTED_VALUE"""),66.91)</f>
        <v>66.91</v>
      </c>
      <c r="AV227" s="26">
        <f>IFERROR(__xludf.DUMMYFUNCTION("""COMPUTED_VALUE"""),94.31)</f>
        <v>94.31</v>
      </c>
      <c r="AW227" s="26">
        <f>IFERROR(__xludf.DUMMYFUNCTION("""COMPUTED_VALUE"""),94.97)</f>
        <v>94.97</v>
      </c>
      <c r="AX227" s="26">
        <f>IFERROR(__xludf.DUMMYFUNCTION("""COMPUTED_VALUE"""),39.61)</f>
        <v>39.61</v>
      </c>
      <c r="AY227" s="26">
        <f>IFERROR(__xludf.DUMMYFUNCTION("""COMPUTED_VALUE"""),74.01)</f>
        <v>74.01</v>
      </c>
      <c r="AZ227" s="26">
        <f>IFERROR(__xludf.DUMMYFUNCTION("""COMPUTED_VALUE"""),58.37)</f>
        <v>58.37</v>
      </c>
      <c r="BA227" s="26">
        <f>IFERROR(__xludf.DUMMYFUNCTION("""COMPUTED_VALUE"""),22.97)</f>
        <v>22.97</v>
      </c>
      <c r="BB227" s="26">
        <f>IFERROR(__xludf.DUMMYFUNCTION("""COMPUTED_VALUE"""),117.45)</f>
        <v>117.45</v>
      </c>
      <c r="BC227" s="26">
        <f>IFERROR(__xludf.DUMMYFUNCTION("""COMPUTED_VALUE"""),248.11)</f>
        <v>248.11</v>
      </c>
      <c r="BD227" s="26">
        <f>IFERROR(__xludf.DUMMYFUNCTION("""COMPUTED_VALUE"""),437.91)</f>
        <v>437.91</v>
      </c>
      <c r="BE227" s="26">
        <f>IFERROR(__xludf.DUMMYFUNCTION("""COMPUTED_VALUE"""),158.63)</f>
        <v>158.63</v>
      </c>
      <c r="BF227" s="26">
        <f>IFERROR(__xludf.DUMMYFUNCTION("""COMPUTED_VALUE"""),67.67)</f>
        <v>67.67</v>
      </c>
      <c r="BG227" s="26">
        <f>IFERROR(__xludf.DUMMYFUNCTION("""COMPUTED_VALUE"""),5.26)</f>
        <v>5.26</v>
      </c>
      <c r="BH227" s="26">
        <f>IFERROR(__xludf.DUMMYFUNCTION("""COMPUTED_VALUE"""),213.26)</f>
        <v>213.26</v>
      </c>
      <c r="BI227" s="26">
        <f>IFERROR(__xludf.DUMMYFUNCTION("""COMPUTED_VALUE"""),525.05)</f>
        <v>525.05</v>
      </c>
      <c r="BJ227" s="26">
        <f>IFERROR(__xludf.DUMMYFUNCTION("""COMPUTED_VALUE"""),49.91)</f>
        <v>49.91</v>
      </c>
      <c r="BK227" s="26">
        <f>IFERROR(__xludf.DUMMYFUNCTION("""COMPUTED_VALUE"""),7.62)</f>
        <v>7.62</v>
      </c>
      <c r="BL227" s="26">
        <f>IFERROR(__xludf.DUMMYFUNCTION("""COMPUTED_VALUE"""),225.2)</f>
        <v>225.2</v>
      </c>
      <c r="BM227" s="26">
        <f>IFERROR(__xludf.DUMMYFUNCTION("""COMPUTED_VALUE"""),83.53)</f>
        <v>83.53</v>
      </c>
    </row>
    <row r="228">
      <c r="A228" s="25">
        <v>45755.66666666667</v>
      </c>
      <c r="B228" s="17">
        <f>IFERROR(__xludf.DUMMYFUNCTION("""COMPUTED_VALUE"""),5062.25)</f>
        <v>5062.25</v>
      </c>
      <c r="C228" s="17">
        <f>IFERROR(__xludf.DUMMYFUNCTION("""COMPUTED_VALUE"""),15603.26)</f>
        <v>15603.26</v>
      </c>
      <c r="D228" s="17">
        <f>IFERROR(__xludf.DUMMYFUNCTION("""COMPUTED_VALUE"""),37965.6)</f>
        <v>37965.6</v>
      </c>
      <c r="E228" s="17">
        <f>IFERROR(__xludf.DUMMYFUNCTION("""COMPUTED_VALUE"""),1810.14)</f>
        <v>1810.14</v>
      </c>
      <c r="F228" s="26">
        <f>IFERROR(__xludf.DUMMYFUNCTION("""COMPUTED_VALUE"""),340.7)</f>
        <v>340.7</v>
      </c>
      <c r="G228" s="26">
        <f>IFERROR(__xludf.DUMMYFUNCTION("""COMPUTED_VALUE"""),175.26)</f>
        <v>175.26</v>
      </c>
      <c r="H228" s="26">
        <f>IFERROR(__xludf.DUMMYFUNCTION("""COMPUTED_VALUE"""),142.36)</f>
        <v>142.36</v>
      </c>
      <c r="I228" s="26">
        <f>IFERROR(__xludf.DUMMYFUNCTION("""COMPUTED_VALUE"""),181.46)</f>
        <v>181.46</v>
      </c>
      <c r="J228" s="26">
        <f>IFERROR(__xludf.DUMMYFUNCTION("""COMPUTED_VALUE"""),132.85)</f>
        <v>132.85</v>
      </c>
      <c r="K228" s="26">
        <f>IFERROR(__xludf.DUMMYFUNCTION("""COMPUTED_VALUE"""),74.09)</f>
        <v>74.09</v>
      </c>
      <c r="L228" s="26">
        <f>IFERROR(__xludf.DUMMYFUNCTION("""COMPUTED_VALUE"""),12.78)</f>
        <v>12.78</v>
      </c>
      <c r="M228" s="26">
        <f>IFERROR(__xludf.DUMMYFUNCTION("""COMPUTED_VALUE"""),490.38)</f>
        <v>490.38</v>
      </c>
      <c r="N228" s="26">
        <f>IFERROR(__xludf.DUMMYFUNCTION("""COMPUTED_VALUE"""),42.32)</f>
        <v>42.32</v>
      </c>
      <c r="O228" s="26">
        <f>IFERROR(__xludf.DUMMYFUNCTION("""COMPUTED_VALUE"""),119.19)</f>
        <v>119.19</v>
      </c>
      <c r="P228" s="26">
        <f>IFERROR(__xludf.DUMMYFUNCTION("""COMPUTED_VALUE"""),56.83)</f>
        <v>56.83</v>
      </c>
      <c r="Q228" s="26">
        <f>IFERROR(__xludf.DUMMYFUNCTION("""COMPUTED_VALUE"""),280.06)</f>
        <v>280.06</v>
      </c>
      <c r="R228" s="26">
        <f>IFERROR(__xludf.DUMMYFUNCTION("""COMPUTED_VALUE"""),37.16)</f>
        <v>37.16</v>
      </c>
      <c r="S228" s="26">
        <f>IFERROR(__xludf.DUMMYFUNCTION("""COMPUTED_VALUE"""),213.76)</f>
        <v>213.76</v>
      </c>
      <c r="T228" s="26">
        <f>IFERROR(__xludf.DUMMYFUNCTION("""COMPUTED_VALUE"""),140.15)</f>
        <v>140.15</v>
      </c>
      <c r="U228" s="26">
        <f>IFERROR(__xludf.DUMMYFUNCTION("""COMPUTED_VALUE"""),315.39)</f>
        <v>315.39</v>
      </c>
      <c r="V228" s="26">
        <f>IFERROR(__xludf.DUMMYFUNCTION("""COMPUTED_VALUE"""),34.84)</f>
        <v>34.84</v>
      </c>
      <c r="W228" s="26">
        <f>IFERROR(__xludf.DUMMYFUNCTION("""COMPUTED_VALUE"""),68.37)</f>
        <v>68.37</v>
      </c>
      <c r="X228" s="26">
        <f>IFERROR(__xludf.DUMMYFUNCTION("""COMPUTED_VALUE"""),105.4)</f>
        <v>105.4</v>
      </c>
      <c r="Y228" s="26">
        <f>IFERROR(__xludf.DUMMYFUNCTION("""COMPUTED_VALUE"""),136.67)</f>
        <v>136.67</v>
      </c>
      <c r="Z228" s="26">
        <f>IFERROR(__xludf.DUMMYFUNCTION("""COMPUTED_VALUE"""),72.84)</f>
        <v>72.84</v>
      </c>
      <c r="AA228" s="26">
        <f>IFERROR(__xludf.DUMMYFUNCTION("""COMPUTED_VALUE"""),436.57)</f>
        <v>436.57</v>
      </c>
      <c r="AB228" s="26">
        <f>IFERROR(__xludf.DUMMYFUNCTION("""COMPUTED_VALUE"""),61.19)</f>
        <v>61.19</v>
      </c>
      <c r="AC228" s="26">
        <f>IFERROR(__xludf.DUMMYFUNCTION("""COMPUTED_VALUE"""),102.94)</f>
        <v>102.94</v>
      </c>
      <c r="AD228" s="26">
        <f>IFERROR(__xludf.DUMMYFUNCTION("""COMPUTED_VALUE"""),205.23)</f>
        <v>205.23</v>
      </c>
      <c r="AE228" s="26">
        <f>IFERROR(__xludf.DUMMYFUNCTION("""COMPUTED_VALUE"""),398.7)</f>
        <v>398.7</v>
      </c>
      <c r="AF228" s="26">
        <f>IFERROR(__xludf.DUMMYFUNCTION("""COMPUTED_VALUE"""),247.68)</f>
        <v>247.68</v>
      </c>
      <c r="AG228" s="26">
        <f>IFERROR(__xludf.DUMMYFUNCTION("""COMPUTED_VALUE"""),43.53)</f>
        <v>43.53</v>
      </c>
      <c r="AH228" s="26">
        <f>IFERROR(__xludf.DUMMYFUNCTION("""COMPUTED_VALUE"""),105.52)</f>
        <v>105.52</v>
      </c>
      <c r="AI228" s="26">
        <f>IFERROR(__xludf.DUMMYFUNCTION("""COMPUTED_VALUE"""),465.51)</f>
        <v>465.51</v>
      </c>
      <c r="AJ228" s="26">
        <f>IFERROR(__xludf.DUMMYFUNCTION("""COMPUTED_VALUE"""),341.51)</f>
        <v>341.51</v>
      </c>
      <c r="AK228" s="26">
        <f>IFERROR(__xludf.DUMMYFUNCTION("""COMPUTED_VALUE"""),136.68)</f>
        <v>136.68</v>
      </c>
      <c r="AL228" s="26">
        <f>IFERROR(__xludf.DUMMYFUNCTION("""COMPUTED_VALUE"""),154.65)</f>
        <v>154.65</v>
      </c>
      <c r="AM228" s="26">
        <f>IFERROR(__xludf.DUMMYFUNCTION("""COMPUTED_VALUE"""),463.62)</f>
        <v>463.62</v>
      </c>
      <c r="AN228" s="26">
        <f>IFERROR(__xludf.DUMMYFUNCTION("""COMPUTED_VALUE"""),214.44)</f>
        <v>214.44</v>
      </c>
      <c r="AO228" s="26">
        <f>IFERROR(__xludf.DUMMYFUNCTION("""COMPUTED_VALUE"""),430.82)</f>
        <v>430.82</v>
      </c>
      <c r="AP228" s="26">
        <f>IFERROR(__xludf.DUMMYFUNCTION("""COMPUTED_VALUE"""),265.0)</f>
        <v>265</v>
      </c>
      <c r="AQ228" s="26">
        <f>IFERROR(__xludf.DUMMYFUNCTION("""COMPUTED_VALUE"""),27.41)</f>
        <v>27.41</v>
      </c>
      <c r="AR228" s="26">
        <f>IFERROR(__xludf.DUMMYFUNCTION("""COMPUTED_VALUE"""),83.15)</f>
        <v>83.15</v>
      </c>
      <c r="AS228" s="26">
        <f>IFERROR(__xludf.DUMMYFUNCTION("""COMPUTED_VALUE"""),69.34)</f>
        <v>69.34</v>
      </c>
      <c r="AT228" s="26">
        <f>IFERROR(__xludf.DUMMYFUNCTION("""COMPUTED_VALUE"""),357.86)</f>
        <v>357.86</v>
      </c>
      <c r="AU228" s="26">
        <f>IFERROR(__xludf.DUMMYFUNCTION("""COMPUTED_VALUE"""),65.06)</f>
        <v>65.06</v>
      </c>
      <c r="AV228" s="26">
        <f>IFERROR(__xludf.DUMMYFUNCTION("""COMPUTED_VALUE"""),97.64)</f>
        <v>97.64</v>
      </c>
      <c r="AW228" s="26">
        <f>IFERROR(__xludf.DUMMYFUNCTION("""COMPUTED_VALUE"""),91.96)</f>
        <v>91.96</v>
      </c>
      <c r="AX228" s="26">
        <f>IFERROR(__xludf.DUMMYFUNCTION("""COMPUTED_VALUE"""),40.97)</f>
        <v>40.97</v>
      </c>
      <c r="AY228" s="26">
        <f>IFERROR(__xludf.DUMMYFUNCTION("""COMPUTED_VALUE"""),77.84)</f>
        <v>77.84</v>
      </c>
      <c r="AZ228" s="26">
        <f>IFERROR(__xludf.DUMMYFUNCTION("""COMPUTED_VALUE"""),58.53)</f>
        <v>58.53</v>
      </c>
      <c r="BA228" s="26">
        <f>IFERROR(__xludf.DUMMYFUNCTION("""COMPUTED_VALUE"""),22.63)</f>
        <v>22.63</v>
      </c>
      <c r="BB228" s="26">
        <f>IFERROR(__xludf.DUMMYFUNCTION("""COMPUTED_VALUE"""),117.32)</f>
        <v>117.32</v>
      </c>
      <c r="BC228" s="26">
        <f>IFERROR(__xludf.DUMMYFUNCTION("""COMPUTED_VALUE"""),246.67)</f>
        <v>246.67</v>
      </c>
      <c r="BD228" s="26">
        <f>IFERROR(__xludf.DUMMYFUNCTION("""COMPUTED_VALUE"""),437.87)</f>
        <v>437.87</v>
      </c>
      <c r="BE228" s="26">
        <f>IFERROR(__xludf.DUMMYFUNCTION("""COMPUTED_VALUE"""),160.34)</f>
        <v>160.34</v>
      </c>
      <c r="BF228" s="26">
        <f>IFERROR(__xludf.DUMMYFUNCTION("""COMPUTED_VALUE"""),69.15)</f>
        <v>69.15</v>
      </c>
      <c r="BG228" s="26">
        <f>IFERROR(__xludf.DUMMYFUNCTION("""COMPUTED_VALUE"""),5.24)</f>
        <v>5.24</v>
      </c>
      <c r="BH228" s="26">
        <f>IFERROR(__xludf.DUMMYFUNCTION("""COMPUTED_VALUE"""),209.97)</f>
        <v>209.97</v>
      </c>
      <c r="BI228" s="26">
        <f>IFERROR(__xludf.DUMMYFUNCTION("""COMPUTED_VALUE"""),524.7)</f>
        <v>524.7</v>
      </c>
      <c r="BJ228" s="26">
        <f>IFERROR(__xludf.DUMMYFUNCTION("""COMPUTED_VALUE"""),49.73)</f>
        <v>49.73</v>
      </c>
      <c r="BK228" s="26">
        <f>IFERROR(__xludf.DUMMYFUNCTION("""COMPUTED_VALUE"""),7.61)</f>
        <v>7.61</v>
      </c>
      <c r="BL228" s="26">
        <f>IFERROR(__xludf.DUMMYFUNCTION("""COMPUTED_VALUE"""),220.56)</f>
        <v>220.56</v>
      </c>
      <c r="BM228" s="26">
        <f>IFERROR(__xludf.DUMMYFUNCTION("""COMPUTED_VALUE"""),83.3)</f>
        <v>83.3</v>
      </c>
    </row>
    <row r="229">
      <c r="A229" s="25">
        <v>45756.66666666667</v>
      </c>
      <c r="B229" s="17">
        <f>IFERROR(__xludf.DUMMYFUNCTION("""COMPUTED_VALUE"""),4982.77)</f>
        <v>4982.77</v>
      </c>
      <c r="C229" s="17">
        <f>IFERROR(__xludf.DUMMYFUNCTION("""COMPUTED_VALUE"""),15267.91)</f>
        <v>15267.91</v>
      </c>
      <c r="D229" s="17">
        <f>IFERROR(__xludf.DUMMYFUNCTION("""COMPUTED_VALUE"""),37645.59)</f>
        <v>37645.59</v>
      </c>
      <c r="E229" s="17">
        <f>IFERROR(__xludf.DUMMYFUNCTION("""COMPUTED_VALUE"""),1760.71)</f>
        <v>1760.71</v>
      </c>
      <c r="F229" s="26">
        <f>IFERROR(__xludf.DUMMYFUNCTION("""COMPUTED_VALUE"""),340.0)</f>
        <v>340</v>
      </c>
      <c r="G229" s="26">
        <f>IFERROR(__xludf.DUMMYFUNCTION("""COMPUTED_VALUE"""),170.66)</f>
        <v>170.66</v>
      </c>
      <c r="H229" s="26">
        <f>IFERROR(__xludf.DUMMYFUNCTION("""COMPUTED_VALUE"""),140.87)</f>
        <v>140.87</v>
      </c>
      <c r="I229" s="26">
        <f>IFERROR(__xludf.DUMMYFUNCTION("""COMPUTED_VALUE"""),172.42)</f>
        <v>172.42</v>
      </c>
      <c r="J229" s="26">
        <f>IFERROR(__xludf.DUMMYFUNCTION("""COMPUTED_VALUE"""),128.96)</f>
        <v>128.96</v>
      </c>
      <c r="K229" s="26">
        <f>IFERROR(__xludf.DUMMYFUNCTION("""COMPUTED_VALUE"""),73.5)</f>
        <v>73.5</v>
      </c>
      <c r="L229" s="26">
        <f>IFERROR(__xludf.DUMMYFUNCTION("""COMPUTED_VALUE"""),12.69)</f>
        <v>12.69</v>
      </c>
      <c r="M229" s="26">
        <f>IFERROR(__xludf.DUMMYFUNCTION("""COMPUTED_VALUE"""),492.64)</f>
        <v>492.64</v>
      </c>
      <c r="N229" s="26">
        <f>IFERROR(__xludf.DUMMYFUNCTION("""COMPUTED_VALUE"""),40.22)</f>
        <v>40.22</v>
      </c>
      <c r="O229" s="26">
        <f>IFERROR(__xludf.DUMMYFUNCTION("""COMPUTED_VALUE"""),114.05)</f>
        <v>114.05</v>
      </c>
      <c r="P229" s="26">
        <f>IFERROR(__xludf.DUMMYFUNCTION("""COMPUTED_VALUE"""),55.55)</f>
        <v>55.55</v>
      </c>
      <c r="Q229" s="26">
        <f>IFERROR(__xludf.DUMMYFUNCTION("""COMPUTED_VALUE"""),273.94)</f>
        <v>273.94</v>
      </c>
      <c r="R229" s="26">
        <f>IFERROR(__xludf.DUMMYFUNCTION("""COMPUTED_VALUE"""),36.68)</f>
        <v>36.68</v>
      </c>
      <c r="S229" s="26">
        <f>IFERROR(__xludf.DUMMYFUNCTION("""COMPUTED_VALUE"""),208.2)</f>
        <v>208.2</v>
      </c>
      <c r="T229" s="26">
        <f>IFERROR(__xludf.DUMMYFUNCTION("""COMPUTED_VALUE"""),136.93)</f>
        <v>136.93</v>
      </c>
      <c r="U229" s="26">
        <f>IFERROR(__xludf.DUMMYFUNCTION("""COMPUTED_VALUE"""),313.84)</f>
        <v>313.84</v>
      </c>
      <c r="V229" s="26">
        <f>IFERROR(__xludf.DUMMYFUNCTION("""COMPUTED_VALUE"""),34.4)</f>
        <v>34.4</v>
      </c>
      <c r="W229" s="26">
        <f>IFERROR(__xludf.DUMMYFUNCTION("""COMPUTED_VALUE"""),68.42)</f>
        <v>68.42</v>
      </c>
      <c r="X229" s="26">
        <f>IFERROR(__xludf.DUMMYFUNCTION("""COMPUTED_VALUE"""),106.05)</f>
        <v>106.05</v>
      </c>
      <c r="Y229" s="26">
        <f>IFERROR(__xludf.DUMMYFUNCTION("""COMPUTED_VALUE"""),136.11)</f>
        <v>136.11</v>
      </c>
      <c r="Z229" s="26">
        <f>IFERROR(__xludf.DUMMYFUNCTION("""COMPUTED_VALUE"""),69.7)</f>
        <v>69.7</v>
      </c>
      <c r="AA229" s="26">
        <f>IFERROR(__xludf.DUMMYFUNCTION("""COMPUTED_VALUE"""),430.72)</f>
        <v>430.72</v>
      </c>
      <c r="AB229" s="26">
        <f>IFERROR(__xludf.DUMMYFUNCTION("""COMPUTED_VALUE"""),59.52)</f>
        <v>59.52</v>
      </c>
      <c r="AC229" s="26">
        <f>IFERROR(__xludf.DUMMYFUNCTION("""COMPUTED_VALUE"""),100.77)</f>
        <v>100.77</v>
      </c>
      <c r="AD229" s="26">
        <f>IFERROR(__xludf.DUMMYFUNCTION("""COMPUTED_VALUE"""),198.07)</f>
        <v>198.07</v>
      </c>
      <c r="AE229" s="26">
        <f>IFERROR(__xludf.DUMMYFUNCTION("""COMPUTED_VALUE"""),397.86)</f>
        <v>397.86</v>
      </c>
      <c r="AF229" s="26">
        <f>IFERROR(__xludf.DUMMYFUNCTION("""COMPUTED_VALUE"""),254.4)</f>
        <v>254.4</v>
      </c>
      <c r="AG229" s="26">
        <f>IFERROR(__xludf.DUMMYFUNCTION("""COMPUTED_VALUE"""),42.48)</f>
        <v>42.48</v>
      </c>
      <c r="AH229" s="26">
        <f>IFERROR(__xludf.DUMMYFUNCTION("""COMPUTED_VALUE"""),103.19)</f>
        <v>103.19</v>
      </c>
      <c r="AI229" s="26">
        <f>IFERROR(__xludf.DUMMYFUNCTION("""COMPUTED_VALUE"""),462.22)</f>
        <v>462.22</v>
      </c>
      <c r="AJ229" s="26">
        <f>IFERROR(__xludf.DUMMYFUNCTION("""COMPUTED_VALUE"""),335.24)</f>
        <v>335.24</v>
      </c>
      <c r="AK229" s="26">
        <f>IFERROR(__xludf.DUMMYFUNCTION("""COMPUTED_VALUE"""),135.54)</f>
        <v>135.54</v>
      </c>
      <c r="AL229" s="26">
        <f>IFERROR(__xludf.DUMMYFUNCTION("""COMPUTED_VALUE"""),151.62)</f>
        <v>151.62</v>
      </c>
      <c r="AM229" s="26">
        <f>IFERROR(__xludf.DUMMYFUNCTION("""COMPUTED_VALUE"""),457.63)</f>
        <v>457.63</v>
      </c>
      <c r="AN229" s="26">
        <f>IFERROR(__xludf.DUMMYFUNCTION("""COMPUTED_VALUE"""),216.87)</f>
        <v>216.87</v>
      </c>
      <c r="AO229" s="26">
        <f>IFERROR(__xludf.DUMMYFUNCTION("""COMPUTED_VALUE"""),443.36)</f>
        <v>443.36</v>
      </c>
      <c r="AP229" s="26">
        <f>IFERROR(__xludf.DUMMYFUNCTION("""COMPUTED_VALUE"""),247.61)</f>
        <v>247.61</v>
      </c>
      <c r="AQ229" s="26">
        <f>IFERROR(__xludf.DUMMYFUNCTION("""COMPUTED_VALUE"""),26.93)</f>
        <v>26.93</v>
      </c>
      <c r="AR229" s="26">
        <f>IFERROR(__xludf.DUMMYFUNCTION("""COMPUTED_VALUE"""),81.88)</f>
        <v>81.88</v>
      </c>
      <c r="AS229" s="26">
        <f>IFERROR(__xludf.DUMMYFUNCTION("""COMPUTED_VALUE"""),68.42)</f>
        <v>68.42</v>
      </c>
      <c r="AT229" s="26">
        <f>IFERROR(__xludf.DUMMYFUNCTION("""COMPUTED_VALUE"""),354.56)</f>
        <v>354.56</v>
      </c>
      <c r="AU229" s="26">
        <f>IFERROR(__xludf.DUMMYFUNCTION("""COMPUTED_VALUE"""),64.11)</f>
        <v>64.11</v>
      </c>
      <c r="AV229" s="26">
        <f>IFERROR(__xludf.DUMMYFUNCTION("""COMPUTED_VALUE"""),96.3)</f>
        <v>96.3</v>
      </c>
      <c r="AW229" s="26">
        <f>IFERROR(__xludf.DUMMYFUNCTION("""COMPUTED_VALUE"""),90.88)</f>
        <v>90.88</v>
      </c>
      <c r="AX229" s="26">
        <f>IFERROR(__xludf.DUMMYFUNCTION("""COMPUTED_VALUE"""),38.91)</f>
        <v>38.91</v>
      </c>
      <c r="AY229" s="26">
        <f>IFERROR(__xludf.DUMMYFUNCTION("""COMPUTED_VALUE"""),77.32)</f>
        <v>77.32</v>
      </c>
      <c r="AZ229" s="26">
        <f>IFERROR(__xludf.DUMMYFUNCTION("""COMPUTED_VALUE"""),57.41)</f>
        <v>57.41</v>
      </c>
      <c r="BA229" s="26">
        <f>IFERROR(__xludf.DUMMYFUNCTION("""COMPUTED_VALUE"""),21.84)</f>
        <v>21.84</v>
      </c>
      <c r="BB229" s="26">
        <f>IFERROR(__xludf.DUMMYFUNCTION("""COMPUTED_VALUE"""),120.46)</f>
        <v>120.46</v>
      </c>
      <c r="BC229" s="26">
        <f>IFERROR(__xludf.DUMMYFUNCTION("""COMPUTED_VALUE"""),246.3)</f>
        <v>246.3</v>
      </c>
      <c r="BD229" s="26">
        <f>IFERROR(__xludf.DUMMYFUNCTION("""COMPUTED_VALUE"""),419.31)</f>
        <v>419.31</v>
      </c>
      <c r="BE229" s="26">
        <f>IFERROR(__xludf.DUMMYFUNCTION("""COMPUTED_VALUE"""),159.32)</f>
        <v>159.32</v>
      </c>
      <c r="BF229" s="26">
        <f>IFERROR(__xludf.DUMMYFUNCTION("""COMPUTED_VALUE"""),67.95)</f>
        <v>67.95</v>
      </c>
      <c r="BG229" s="26">
        <f>IFERROR(__xludf.DUMMYFUNCTION("""COMPUTED_VALUE"""),4.94)</f>
        <v>4.94</v>
      </c>
      <c r="BH229" s="26">
        <f>IFERROR(__xludf.DUMMYFUNCTION("""COMPUTED_VALUE"""),208.27)</f>
        <v>208.27</v>
      </c>
      <c r="BI229" s="26">
        <f>IFERROR(__xludf.DUMMYFUNCTION("""COMPUTED_VALUE"""),553.08)</f>
        <v>553.08</v>
      </c>
      <c r="BJ229" s="26">
        <f>IFERROR(__xludf.DUMMYFUNCTION("""COMPUTED_VALUE"""),49.84)</f>
        <v>49.84</v>
      </c>
      <c r="BK229" s="26">
        <f>IFERROR(__xludf.DUMMYFUNCTION("""COMPUTED_VALUE"""),7.36)</f>
        <v>7.36</v>
      </c>
      <c r="BL229" s="26">
        <f>IFERROR(__xludf.DUMMYFUNCTION("""COMPUTED_VALUE"""),216.47)</f>
        <v>216.47</v>
      </c>
      <c r="BM229" s="26">
        <f>IFERROR(__xludf.DUMMYFUNCTION("""COMPUTED_VALUE"""),81.72)</f>
        <v>81.72</v>
      </c>
      <c r="BN229" s="27">
        <v>28381.0</v>
      </c>
    </row>
    <row r="230">
      <c r="A230" s="25">
        <v>45757.66666666667</v>
      </c>
      <c r="B230" s="17">
        <f>IFERROR(__xludf.DUMMYFUNCTION("""COMPUTED_VALUE"""),5456.9)</f>
        <v>5456.9</v>
      </c>
      <c r="C230" s="17">
        <f>IFERROR(__xludf.DUMMYFUNCTION("""COMPUTED_VALUE"""),17124.97)</f>
        <v>17124.97</v>
      </c>
      <c r="D230" s="17">
        <f>IFERROR(__xludf.DUMMYFUNCTION("""COMPUTED_VALUE"""),40608.45)</f>
        <v>40608.45</v>
      </c>
      <c r="E230" s="17">
        <f>IFERROR(__xludf.DUMMYFUNCTION("""COMPUTED_VALUE"""),1913.16)</f>
        <v>1913.16</v>
      </c>
      <c r="F230" s="26">
        <f>IFERROR(__xludf.DUMMYFUNCTION("""COMPUTED_VALUE"""),364.64)</f>
        <v>364.64</v>
      </c>
      <c r="G230" s="26">
        <f>IFERROR(__xludf.DUMMYFUNCTION("""COMPUTED_VALUE"""),191.1)</f>
        <v>191.1</v>
      </c>
      <c r="H230" s="26">
        <f>IFERROR(__xludf.DUMMYFUNCTION("""COMPUTED_VALUE"""),139.0)</f>
        <v>139</v>
      </c>
      <c r="I230" s="26">
        <f>IFERROR(__xludf.DUMMYFUNCTION("""COMPUTED_VALUE"""),198.85)</f>
        <v>198.85</v>
      </c>
      <c r="J230" s="26">
        <f>IFERROR(__xludf.DUMMYFUNCTION("""COMPUTED_VALUE"""),149.73)</f>
        <v>149.73</v>
      </c>
      <c r="K230" s="26">
        <f>IFERROR(__xludf.DUMMYFUNCTION("""COMPUTED_VALUE"""),79.35)</f>
        <v>79.35</v>
      </c>
      <c r="L230" s="26">
        <f>IFERROR(__xludf.DUMMYFUNCTION("""COMPUTED_VALUE"""),13.96)</f>
        <v>13.96</v>
      </c>
      <c r="M230" s="26">
        <f>IFERROR(__xludf.DUMMYFUNCTION("""COMPUTED_VALUE"""),521.41)</f>
        <v>521.41</v>
      </c>
      <c r="N230" s="26">
        <f>IFERROR(__xludf.DUMMYFUNCTION("""COMPUTED_VALUE"""),44.35)</f>
        <v>44.35</v>
      </c>
      <c r="O230" s="26">
        <f>IFERROR(__xludf.DUMMYFUNCTION("""COMPUTED_VALUE"""),120.49)</f>
        <v>120.49</v>
      </c>
      <c r="P230" s="26">
        <f>IFERROR(__xludf.DUMMYFUNCTION("""COMPUTED_VALUE"""),60.77)</f>
        <v>60.77</v>
      </c>
      <c r="Q230" s="26">
        <f>IFERROR(__xludf.DUMMYFUNCTION("""COMPUTED_VALUE"""),301.01)</f>
        <v>301.01</v>
      </c>
      <c r="R230" s="26">
        <f>IFERROR(__xludf.DUMMYFUNCTION("""COMPUTED_VALUE"""),40.05)</f>
        <v>40.05</v>
      </c>
      <c r="S230" s="26">
        <f>IFERROR(__xludf.DUMMYFUNCTION("""COMPUTED_VALUE"""),219.41)</f>
        <v>219.41</v>
      </c>
      <c r="T230" s="26">
        <f>IFERROR(__xludf.DUMMYFUNCTION("""COMPUTED_VALUE"""),146.03)</f>
        <v>146.03</v>
      </c>
      <c r="U230" s="26">
        <f>IFERROR(__xludf.DUMMYFUNCTION("""COMPUTED_VALUE"""),319.99)</f>
        <v>319.99</v>
      </c>
      <c r="V230" s="26">
        <f>IFERROR(__xludf.DUMMYFUNCTION("""COMPUTED_VALUE"""),37.47)</f>
        <v>37.47</v>
      </c>
      <c r="W230" s="26">
        <f>IFERROR(__xludf.DUMMYFUNCTION("""COMPUTED_VALUE"""),69.95)</f>
        <v>69.95</v>
      </c>
      <c r="X230" s="26">
        <f>IFERROR(__xludf.DUMMYFUNCTION("""COMPUTED_VALUE"""),105.77)</f>
        <v>105.77</v>
      </c>
      <c r="Y230" s="26">
        <f>IFERROR(__xludf.DUMMYFUNCTION("""COMPUTED_VALUE"""),145.77)</f>
        <v>145.77</v>
      </c>
      <c r="Z230" s="26">
        <f>IFERROR(__xludf.DUMMYFUNCTION("""COMPUTED_VALUE"""),72.57)</f>
        <v>72.57</v>
      </c>
      <c r="AA230" s="26">
        <f>IFERROR(__xludf.DUMMYFUNCTION("""COMPUTED_VALUE"""),456.35)</f>
        <v>456.35</v>
      </c>
      <c r="AB230" s="26">
        <f>IFERROR(__xludf.DUMMYFUNCTION("""COMPUTED_VALUE"""),61.96)</f>
        <v>61.96</v>
      </c>
      <c r="AC230" s="26">
        <f>IFERROR(__xludf.DUMMYFUNCTION("""COMPUTED_VALUE"""),105.8)</f>
        <v>105.8</v>
      </c>
      <c r="AD230" s="26">
        <f>IFERROR(__xludf.DUMMYFUNCTION("""COMPUTED_VALUE"""),217.94)</f>
        <v>217.94</v>
      </c>
      <c r="AE230" s="26">
        <f>IFERROR(__xludf.DUMMYFUNCTION("""COMPUTED_VALUE"""),432.0)</f>
        <v>432</v>
      </c>
      <c r="AF230" s="26">
        <f>IFERROR(__xludf.DUMMYFUNCTION("""COMPUTED_VALUE"""),271.52)</f>
        <v>271.52</v>
      </c>
      <c r="AG230" s="26">
        <f>IFERROR(__xludf.DUMMYFUNCTION("""COMPUTED_VALUE"""),45.74)</f>
        <v>45.74</v>
      </c>
      <c r="AH230" s="26">
        <f>IFERROR(__xludf.DUMMYFUNCTION("""COMPUTED_VALUE"""),105.25)</f>
        <v>105.25</v>
      </c>
      <c r="AI230" s="26">
        <f>IFERROR(__xludf.DUMMYFUNCTION("""COMPUTED_VALUE"""),516.87)</f>
        <v>516.87</v>
      </c>
      <c r="AJ230" s="26">
        <f>IFERROR(__xludf.DUMMYFUNCTION("""COMPUTED_VALUE"""),355.39)</f>
        <v>355.39</v>
      </c>
      <c r="AK230" s="26">
        <f>IFERROR(__xludf.DUMMYFUNCTION("""COMPUTED_VALUE"""),144.11)</f>
        <v>144.11</v>
      </c>
      <c r="AL230" s="26">
        <f>IFERROR(__xludf.DUMMYFUNCTION("""COMPUTED_VALUE"""),156.81)</f>
        <v>156.81</v>
      </c>
      <c r="AM230" s="26">
        <f>IFERROR(__xludf.DUMMYFUNCTION("""COMPUTED_VALUE"""),522.95)</f>
        <v>522.95</v>
      </c>
      <c r="AN230" s="26">
        <f>IFERROR(__xludf.DUMMYFUNCTION("""COMPUTED_VALUE"""),234.34)</f>
        <v>234.34</v>
      </c>
      <c r="AO230" s="26">
        <f>IFERROR(__xludf.DUMMYFUNCTION("""COMPUTED_VALUE"""),462.24)</f>
        <v>462.24</v>
      </c>
      <c r="AP230" s="26">
        <f>IFERROR(__xludf.DUMMYFUNCTION("""COMPUTED_VALUE"""),273.84)</f>
        <v>273.84</v>
      </c>
      <c r="AQ230" s="26">
        <f>IFERROR(__xludf.DUMMYFUNCTION("""COMPUTED_VALUE"""),29.14)</f>
        <v>29.14</v>
      </c>
      <c r="AR230" s="26">
        <f>IFERROR(__xludf.DUMMYFUNCTION("""COMPUTED_VALUE"""),85.28)</f>
        <v>85.28</v>
      </c>
      <c r="AS230" s="26">
        <f>IFERROR(__xludf.DUMMYFUNCTION("""COMPUTED_VALUE"""),75.24)</f>
        <v>75.24</v>
      </c>
      <c r="AT230" s="26">
        <f>IFERROR(__xludf.DUMMYFUNCTION("""COMPUTED_VALUE"""),390.49)</f>
        <v>390.49</v>
      </c>
      <c r="AU230" s="26">
        <f>IFERROR(__xludf.DUMMYFUNCTION("""COMPUTED_VALUE"""),67.58)</f>
        <v>67.58</v>
      </c>
      <c r="AV230" s="26">
        <f>IFERROR(__xludf.DUMMYFUNCTION("""COMPUTED_VALUE"""),114.33)</f>
        <v>114.33</v>
      </c>
      <c r="AW230" s="26">
        <f>IFERROR(__xludf.DUMMYFUNCTION("""COMPUTED_VALUE"""),94.28)</f>
        <v>94.28</v>
      </c>
      <c r="AX230" s="26">
        <f>IFERROR(__xludf.DUMMYFUNCTION("""COMPUTED_VALUE"""),45.01)</f>
        <v>45.01</v>
      </c>
      <c r="AY230" s="26">
        <f>IFERROR(__xludf.DUMMYFUNCTION("""COMPUTED_VALUE"""),92.01)</f>
        <v>92.01</v>
      </c>
      <c r="AZ230" s="26">
        <f>IFERROR(__xludf.DUMMYFUNCTION("""COMPUTED_VALUE"""),63.95)</f>
        <v>63.95</v>
      </c>
      <c r="BA230" s="26">
        <f>IFERROR(__xludf.DUMMYFUNCTION("""COMPUTED_VALUE"""),22.49)</f>
        <v>22.49</v>
      </c>
      <c r="BB230" s="26">
        <f>IFERROR(__xludf.DUMMYFUNCTION("""COMPUTED_VALUE"""),128.43)</f>
        <v>128.43</v>
      </c>
      <c r="BC230" s="26">
        <f>IFERROR(__xludf.DUMMYFUNCTION("""COMPUTED_VALUE"""),254.9)</f>
        <v>254.9</v>
      </c>
      <c r="BD230" s="26">
        <f>IFERROR(__xludf.DUMMYFUNCTION("""COMPUTED_VALUE"""),453.55)</f>
        <v>453.55</v>
      </c>
      <c r="BE230" s="26">
        <f>IFERROR(__xludf.DUMMYFUNCTION("""COMPUTED_VALUE"""),174.14)</f>
        <v>174.14</v>
      </c>
      <c r="BF230" s="26">
        <f>IFERROR(__xludf.DUMMYFUNCTION("""COMPUTED_VALUE"""),75.41)</f>
        <v>75.41</v>
      </c>
      <c r="BG230" s="26">
        <f>IFERROR(__xludf.DUMMYFUNCTION("""COMPUTED_VALUE"""),5.63)</f>
        <v>5.63</v>
      </c>
      <c r="BH230" s="26">
        <f>IFERROR(__xludf.DUMMYFUNCTION("""COMPUTED_VALUE"""),223.53)</f>
        <v>223.53</v>
      </c>
      <c r="BI230" s="26">
        <f>IFERROR(__xludf.DUMMYFUNCTION("""COMPUTED_VALUE"""),578.5)</f>
        <v>578.5</v>
      </c>
      <c r="BJ230" s="26">
        <f>IFERROR(__xludf.DUMMYFUNCTION("""COMPUTED_VALUE"""),49.75)</f>
        <v>49.75</v>
      </c>
      <c r="BK230" s="26">
        <f>IFERROR(__xludf.DUMMYFUNCTION("""COMPUTED_VALUE"""),7.79)</f>
        <v>7.79</v>
      </c>
      <c r="BL230" s="26">
        <f>IFERROR(__xludf.DUMMYFUNCTION("""COMPUTED_VALUE"""),224.42)</f>
        <v>224.42</v>
      </c>
      <c r="BM230" s="26">
        <f>IFERROR(__xludf.DUMMYFUNCTION("""COMPUTED_VALUE"""),91.44)</f>
        <v>91.44</v>
      </c>
    </row>
    <row r="231">
      <c r="A231" s="25">
        <v>45758.66666666667</v>
      </c>
      <c r="B231" s="17">
        <f>IFERROR(__xludf.DUMMYFUNCTION("""COMPUTED_VALUE"""),5268.05)</f>
        <v>5268.05</v>
      </c>
      <c r="C231" s="17">
        <f>IFERROR(__xludf.DUMMYFUNCTION("""COMPUTED_VALUE"""),16387.31)</f>
        <v>16387.31</v>
      </c>
      <c r="D231" s="17">
        <f>IFERROR(__xludf.DUMMYFUNCTION("""COMPUTED_VALUE"""),39593.66)</f>
        <v>39593.66</v>
      </c>
      <c r="E231" s="17">
        <f>IFERROR(__xludf.DUMMYFUNCTION("""COMPUTED_VALUE"""),1831.39)</f>
        <v>1831.39</v>
      </c>
      <c r="F231" s="26">
        <f>IFERROR(__xludf.DUMMYFUNCTION("""COMPUTED_VALUE"""),350.05)</f>
        <v>350.05</v>
      </c>
      <c r="G231" s="26">
        <f>IFERROR(__xludf.DUMMYFUNCTION("""COMPUTED_VALUE"""),181.22)</f>
        <v>181.22</v>
      </c>
      <c r="H231" s="26">
        <f>IFERROR(__xludf.DUMMYFUNCTION("""COMPUTED_VALUE"""),143.15)</f>
        <v>143.15</v>
      </c>
      <c r="I231" s="26">
        <f>IFERROR(__xludf.DUMMYFUNCTION("""COMPUTED_VALUE"""),190.42)</f>
        <v>190.42</v>
      </c>
      <c r="J231" s="26">
        <f>IFERROR(__xludf.DUMMYFUNCTION("""COMPUTED_VALUE"""),138.24)</f>
        <v>138.24</v>
      </c>
      <c r="K231" s="26">
        <f>IFERROR(__xludf.DUMMYFUNCTION("""COMPUTED_VALUE"""),76.61)</f>
        <v>76.61</v>
      </c>
      <c r="L231" s="26">
        <f>IFERROR(__xludf.DUMMYFUNCTION("""COMPUTED_VALUE"""),13.56)</f>
        <v>13.56</v>
      </c>
      <c r="M231" s="26">
        <f>IFERROR(__xludf.DUMMYFUNCTION("""COMPUTED_VALUE"""),515.81)</f>
        <v>515.81</v>
      </c>
      <c r="N231" s="26">
        <f>IFERROR(__xludf.DUMMYFUNCTION("""COMPUTED_VALUE"""),43.49)</f>
        <v>43.49</v>
      </c>
      <c r="O231" s="26">
        <f>IFERROR(__xludf.DUMMYFUNCTION("""COMPUTED_VALUE"""),113.38)</f>
        <v>113.38</v>
      </c>
      <c r="P231" s="26">
        <f>IFERROR(__xludf.DUMMYFUNCTION("""COMPUTED_VALUE"""),59.05)</f>
        <v>59.05</v>
      </c>
      <c r="Q231" s="26">
        <f>IFERROR(__xludf.DUMMYFUNCTION("""COMPUTED_VALUE"""),289.16)</f>
        <v>289.16</v>
      </c>
      <c r="R231" s="26">
        <f>IFERROR(__xludf.DUMMYFUNCTION("""COMPUTED_VALUE"""),38.68)</f>
        <v>38.68</v>
      </c>
      <c r="S231" s="26">
        <f>IFERROR(__xludf.DUMMYFUNCTION("""COMPUTED_VALUE"""),213.78)</f>
        <v>213.78</v>
      </c>
      <c r="T231" s="26">
        <f>IFERROR(__xludf.DUMMYFUNCTION("""COMPUTED_VALUE"""),134.98)</f>
        <v>134.98</v>
      </c>
      <c r="U231" s="26">
        <f>IFERROR(__xludf.DUMMYFUNCTION("""COMPUTED_VALUE"""),327.27)</f>
        <v>327.27</v>
      </c>
      <c r="V231" s="26">
        <f>IFERROR(__xludf.DUMMYFUNCTION("""COMPUTED_VALUE"""),34.79)</f>
        <v>34.79</v>
      </c>
      <c r="W231" s="26">
        <f>IFERROR(__xludf.DUMMYFUNCTION("""COMPUTED_VALUE"""),70.76)</f>
        <v>70.76</v>
      </c>
      <c r="X231" s="26">
        <f>IFERROR(__xludf.DUMMYFUNCTION("""COMPUTED_VALUE"""),108.3)</f>
        <v>108.3</v>
      </c>
      <c r="Y231" s="26">
        <f>IFERROR(__xludf.DUMMYFUNCTION("""COMPUTED_VALUE"""),142.29)</f>
        <v>142.29</v>
      </c>
      <c r="Z231" s="26">
        <f>IFERROR(__xludf.DUMMYFUNCTION("""COMPUTED_VALUE"""),71.74)</f>
        <v>71.74</v>
      </c>
      <c r="AA231" s="26">
        <f>IFERROR(__xludf.DUMMYFUNCTION("""COMPUTED_VALUE"""),453.05)</f>
        <v>453.05</v>
      </c>
      <c r="AB231" s="26">
        <f>IFERROR(__xludf.DUMMYFUNCTION("""COMPUTED_VALUE"""),62.47)</f>
        <v>62.47</v>
      </c>
      <c r="AC231" s="26">
        <f>IFERROR(__xludf.DUMMYFUNCTION("""COMPUTED_VALUE"""),99.93)</f>
        <v>99.93</v>
      </c>
      <c r="AD231" s="26">
        <f>IFERROR(__xludf.DUMMYFUNCTION("""COMPUTED_VALUE"""),206.4)</f>
        <v>206.4</v>
      </c>
      <c r="AE231" s="26">
        <f>IFERROR(__xludf.DUMMYFUNCTION("""COMPUTED_VALUE"""),423.81)</f>
        <v>423.81</v>
      </c>
      <c r="AF231" s="26">
        <f>IFERROR(__xludf.DUMMYFUNCTION("""COMPUTED_VALUE"""),271.82)</f>
        <v>271.82</v>
      </c>
      <c r="AG231" s="26">
        <f>IFERROR(__xludf.DUMMYFUNCTION("""COMPUTED_VALUE"""),43.73)</f>
        <v>43.73</v>
      </c>
      <c r="AH231" s="26">
        <f>IFERROR(__xludf.DUMMYFUNCTION("""COMPUTED_VALUE"""),101.4)</f>
        <v>101.4</v>
      </c>
      <c r="AI231" s="26">
        <f>IFERROR(__xludf.DUMMYFUNCTION("""COMPUTED_VALUE"""),489.8)</f>
        <v>489.8</v>
      </c>
      <c r="AJ231" s="26">
        <f>IFERROR(__xludf.DUMMYFUNCTION("""COMPUTED_VALUE"""),353.62)</f>
        <v>353.62</v>
      </c>
      <c r="AK231" s="26">
        <f>IFERROR(__xludf.DUMMYFUNCTION("""COMPUTED_VALUE"""),142.83)</f>
        <v>142.83</v>
      </c>
      <c r="AL231" s="26">
        <f>IFERROR(__xludf.DUMMYFUNCTION("""COMPUTED_VALUE"""),155.19)</f>
        <v>155.19</v>
      </c>
      <c r="AM231" s="26">
        <f>IFERROR(__xludf.DUMMYFUNCTION("""COMPUTED_VALUE"""),489.52)</f>
        <v>489.52</v>
      </c>
      <c r="AN231" s="26">
        <f>IFERROR(__xludf.DUMMYFUNCTION("""COMPUTED_VALUE"""),227.11)</f>
        <v>227.11</v>
      </c>
      <c r="AO231" s="26">
        <f>IFERROR(__xludf.DUMMYFUNCTION("""COMPUTED_VALUE"""),463.7)</f>
        <v>463.7</v>
      </c>
      <c r="AP231" s="26">
        <f>IFERROR(__xludf.DUMMYFUNCTION("""COMPUTED_VALUE"""),256.62)</f>
        <v>256.62</v>
      </c>
      <c r="AQ231" s="26">
        <f>IFERROR(__xludf.DUMMYFUNCTION("""COMPUTED_VALUE"""),27.3)</f>
        <v>27.3</v>
      </c>
      <c r="AR231" s="26">
        <f>IFERROR(__xludf.DUMMYFUNCTION("""COMPUTED_VALUE"""),82.54)</f>
        <v>82.54</v>
      </c>
      <c r="AS231" s="26">
        <f>IFERROR(__xludf.DUMMYFUNCTION("""COMPUTED_VALUE"""),71.11)</f>
        <v>71.11</v>
      </c>
      <c r="AT231" s="26">
        <f>IFERROR(__xludf.DUMMYFUNCTION("""COMPUTED_VALUE"""),381.35)</f>
        <v>381.35</v>
      </c>
      <c r="AU231" s="26">
        <f>IFERROR(__xludf.DUMMYFUNCTION("""COMPUTED_VALUE"""),66.72)</f>
        <v>66.72</v>
      </c>
      <c r="AV231" s="26">
        <f>IFERROR(__xludf.DUMMYFUNCTION("""COMPUTED_VALUE"""),107.57)</f>
        <v>107.57</v>
      </c>
      <c r="AW231" s="26">
        <f>IFERROR(__xludf.DUMMYFUNCTION("""COMPUTED_VALUE"""),94.32)</f>
        <v>94.32</v>
      </c>
      <c r="AX231" s="26">
        <f>IFERROR(__xludf.DUMMYFUNCTION("""COMPUTED_VALUE"""),43.02)</f>
        <v>43.02</v>
      </c>
      <c r="AY231" s="26">
        <f>IFERROR(__xludf.DUMMYFUNCTION("""COMPUTED_VALUE"""),88.59)</f>
        <v>88.59</v>
      </c>
      <c r="AZ231" s="26">
        <f>IFERROR(__xludf.DUMMYFUNCTION("""COMPUTED_VALUE"""),60.56)</f>
        <v>60.56</v>
      </c>
      <c r="BA231" s="26">
        <f>IFERROR(__xludf.DUMMYFUNCTION("""COMPUTED_VALUE"""),21.59)</f>
        <v>21.59</v>
      </c>
      <c r="BB231" s="26">
        <f>IFERROR(__xludf.DUMMYFUNCTION("""COMPUTED_VALUE"""),127.07)</f>
        <v>127.07</v>
      </c>
      <c r="BC231" s="26">
        <f>IFERROR(__xludf.DUMMYFUNCTION("""COMPUTED_VALUE"""),256.12)</f>
        <v>256.12</v>
      </c>
      <c r="BD231" s="26">
        <f>IFERROR(__xludf.DUMMYFUNCTION("""COMPUTED_VALUE"""),427.44)</f>
        <v>427.44</v>
      </c>
      <c r="BE231" s="26">
        <f>IFERROR(__xludf.DUMMYFUNCTION("""COMPUTED_VALUE"""),167.22)</f>
        <v>167.22</v>
      </c>
      <c r="BF231" s="26">
        <f>IFERROR(__xludf.DUMMYFUNCTION("""COMPUTED_VALUE"""),76.37)</f>
        <v>76.37</v>
      </c>
      <c r="BG231" s="26">
        <f>IFERROR(__xludf.DUMMYFUNCTION("""COMPUTED_VALUE"""),5.2)</f>
        <v>5.2</v>
      </c>
      <c r="BH231" s="26">
        <f>IFERROR(__xludf.DUMMYFUNCTION("""COMPUTED_VALUE"""),219.32)</f>
        <v>219.32</v>
      </c>
      <c r="BI231" s="26">
        <f>IFERROR(__xludf.DUMMYFUNCTION("""COMPUTED_VALUE"""),594.4)</f>
        <v>594.4</v>
      </c>
      <c r="BJ231" s="26">
        <f>IFERROR(__xludf.DUMMYFUNCTION("""COMPUTED_VALUE"""),49.6)</f>
        <v>49.6</v>
      </c>
      <c r="BK231" s="26">
        <f>IFERROR(__xludf.DUMMYFUNCTION("""COMPUTED_VALUE"""),7.26)</f>
        <v>7.26</v>
      </c>
      <c r="BL231" s="26">
        <f>IFERROR(__xludf.DUMMYFUNCTION("""COMPUTED_VALUE"""),226.45)</f>
        <v>226.45</v>
      </c>
      <c r="BM231" s="26">
        <f>IFERROR(__xludf.DUMMYFUNCTION("""COMPUTED_VALUE"""),85.23)</f>
        <v>85.23</v>
      </c>
    </row>
    <row r="232">
      <c r="A232" s="25">
        <v>45761.66666666667</v>
      </c>
      <c r="B232" s="17">
        <f>IFERROR(__xludf.DUMMYFUNCTION("""COMPUTED_VALUE"""),5363.36)</f>
        <v>5363.36</v>
      </c>
      <c r="C232" s="17">
        <f>IFERROR(__xludf.DUMMYFUNCTION("""COMPUTED_VALUE"""),16724.46)</f>
        <v>16724.46</v>
      </c>
      <c r="D232" s="17">
        <f>IFERROR(__xludf.DUMMYFUNCTION("""COMPUTED_VALUE"""),40212.71)</f>
        <v>40212.71</v>
      </c>
      <c r="E232" s="17">
        <f>IFERROR(__xludf.DUMMYFUNCTION("""COMPUTED_VALUE"""),1860.2)</f>
        <v>1860.2</v>
      </c>
      <c r="F232" s="26">
        <f>IFERROR(__xludf.DUMMYFUNCTION("""COMPUTED_VALUE"""),352.47)</f>
        <v>352.47</v>
      </c>
      <c r="G232" s="26">
        <f>IFERROR(__xludf.DUMMYFUNCTION("""COMPUTED_VALUE"""),184.87)</f>
        <v>184.87</v>
      </c>
      <c r="H232" s="26">
        <f>IFERROR(__xludf.DUMMYFUNCTION("""COMPUTED_VALUE"""),146.09)</f>
        <v>146.09</v>
      </c>
      <c r="I232" s="26">
        <f>IFERROR(__xludf.DUMMYFUNCTION("""COMPUTED_VALUE"""),198.15)</f>
        <v>198.15</v>
      </c>
      <c r="J232" s="26">
        <f>IFERROR(__xludf.DUMMYFUNCTION("""COMPUTED_VALUE"""),144.94)</f>
        <v>144.94</v>
      </c>
      <c r="K232" s="26">
        <f>IFERROR(__xludf.DUMMYFUNCTION("""COMPUTED_VALUE"""),77.67)</f>
        <v>77.67</v>
      </c>
      <c r="L232" s="26">
        <f>IFERROR(__xludf.DUMMYFUNCTION("""COMPUTED_VALUE"""),13.94)</f>
        <v>13.94</v>
      </c>
      <c r="M232" s="26">
        <f>IFERROR(__xludf.DUMMYFUNCTION("""COMPUTED_VALUE"""),524.11)</f>
        <v>524.11</v>
      </c>
      <c r="N232" s="26">
        <f>IFERROR(__xludf.DUMMYFUNCTION("""COMPUTED_VALUE"""),45.25)</f>
        <v>45.25</v>
      </c>
      <c r="O232" s="26">
        <f>IFERROR(__xludf.DUMMYFUNCTION("""COMPUTED_VALUE"""),115.17)</f>
        <v>115.17</v>
      </c>
      <c r="P232" s="26">
        <f>IFERROR(__xludf.DUMMYFUNCTION("""COMPUTED_VALUE"""),59.26)</f>
        <v>59.26</v>
      </c>
      <c r="Q232" s="26">
        <f>IFERROR(__xludf.DUMMYFUNCTION("""COMPUTED_VALUE"""),293.45)</f>
        <v>293.45</v>
      </c>
      <c r="R232" s="26">
        <f>IFERROR(__xludf.DUMMYFUNCTION("""COMPUTED_VALUE"""),40.84)</f>
        <v>40.84</v>
      </c>
      <c r="S232" s="26">
        <f>IFERROR(__xludf.DUMMYFUNCTION("""COMPUTED_VALUE"""),217.71)</f>
        <v>217.71</v>
      </c>
      <c r="T232" s="26">
        <f>IFERROR(__xludf.DUMMYFUNCTION("""COMPUTED_VALUE"""),135.63)</f>
        <v>135.63</v>
      </c>
      <c r="U232" s="26">
        <f>IFERROR(__xludf.DUMMYFUNCTION("""COMPUTED_VALUE"""),330.19)</f>
        <v>330.19</v>
      </c>
      <c r="V232" s="26">
        <f>IFERROR(__xludf.DUMMYFUNCTION("""COMPUTED_VALUE"""),34.82)</f>
        <v>34.82</v>
      </c>
      <c r="W232" s="26">
        <f>IFERROR(__xludf.DUMMYFUNCTION("""COMPUTED_VALUE"""),71.43)</f>
        <v>71.43</v>
      </c>
      <c r="X232" s="26">
        <f>IFERROR(__xludf.DUMMYFUNCTION("""COMPUTED_VALUE"""),109.84)</f>
        <v>109.84</v>
      </c>
      <c r="Y232" s="26">
        <f>IFERROR(__xludf.DUMMYFUNCTION("""COMPUTED_VALUE"""),145.09)</f>
        <v>145.09</v>
      </c>
      <c r="Z232" s="26">
        <f>IFERROR(__xludf.DUMMYFUNCTION("""COMPUTED_VALUE"""),72.11)</f>
        <v>72.11</v>
      </c>
      <c r="AA232" s="26">
        <f>IFERROR(__xludf.DUMMYFUNCTION("""COMPUTED_VALUE"""),462.17)</f>
        <v>462.17</v>
      </c>
      <c r="AB232" s="26">
        <f>IFERROR(__xludf.DUMMYFUNCTION("""COMPUTED_VALUE"""),64.58)</f>
        <v>64.58</v>
      </c>
      <c r="AC232" s="26">
        <f>IFERROR(__xludf.DUMMYFUNCTION("""COMPUTED_VALUE"""),103.14)</f>
        <v>103.14</v>
      </c>
      <c r="AD232" s="26">
        <f>IFERROR(__xludf.DUMMYFUNCTION("""COMPUTED_VALUE"""),207.77)</f>
        <v>207.77</v>
      </c>
      <c r="AE232" s="26">
        <f>IFERROR(__xludf.DUMMYFUNCTION("""COMPUTED_VALUE"""),428.58)</f>
        <v>428.58</v>
      </c>
      <c r="AF232" s="26">
        <f>IFERROR(__xludf.DUMMYFUNCTION("""COMPUTED_VALUE"""),276.65)</f>
        <v>276.65</v>
      </c>
      <c r="AG232" s="26">
        <f>IFERROR(__xludf.DUMMYFUNCTION("""COMPUTED_VALUE"""),43.63)</f>
        <v>43.63</v>
      </c>
      <c r="AH232" s="26">
        <f>IFERROR(__xludf.DUMMYFUNCTION("""COMPUTED_VALUE"""),103.63)</f>
        <v>103.63</v>
      </c>
      <c r="AI232" s="26">
        <f>IFERROR(__xludf.DUMMYFUNCTION("""COMPUTED_VALUE"""),494.44)</f>
        <v>494.44</v>
      </c>
      <c r="AJ232" s="26">
        <f>IFERROR(__xludf.DUMMYFUNCTION("""COMPUTED_VALUE"""),353.86)</f>
        <v>353.86</v>
      </c>
      <c r="AK232" s="26">
        <f>IFERROR(__xludf.DUMMYFUNCTION("""COMPUTED_VALUE"""),143.27)</f>
        <v>143.27</v>
      </c>
      <c r="AL232" s="26">
        <f>IFERROR(__xludf.DUMMYFUNCTION("""COMPUTED_VALUE"""),155.91)</f>
        <v>155.91</v>
      </c>
      <c r="AM232" s="26">
        <f>IFERROR(__xludf.DUMMYFUNCTION("""COMPUTED_VALUE"""),493.6)</f>
        <v>493.6</v>
      </c>
      <c r="AN232" s="26">
        <f>IFERROR(__xludf.DUMMYFUNCTION("""COMPUTED_VALUE"""),236.2)</f>
        <v>236.2</v>
      </c>
      <c r="AO232" s="26">
        <f>IFERROR(__xludf.DUMMYFUNCTION("""COMPUTED_VALUE"""),474.9)</f>
        <v>474.9</v>
      </c>
      <c r="AP232" s="26">
        <f>IFERROR(__xludf.DUMMYFUNCTION("""COMPUTED_VALUE"""),261.03)</f>
        <v>261.03</v>
      </c>
      <c r="AQ232" s="26">
        <f>IFERROR(__xludf.DUMMYFUNCTION("""COMPUTED_VALUE"""),28.04)</f>
        <v>28.04</v>
      </c>
      <c r="AR232" s="26">
        <f>IFERROR(__xludf.DUMMYFUNCTION("""COMPUTED_VALUE"""),82.9)</f>
        <v>82.9</v>
      </c>
      <c r="AS232" s="26">
        <f>IFERROR(__xludf.DUMMYFUNCTION("""COMPUTED_VALUE"""),71.4)</f>
        <v>71.4</v>
      </c>
      <c r="AT232" s="26">
        <f>IFERROR(__xludf.DUMMYFUNCTION("""COMPUTED_VALUE"""),388.45)</f>
        <v>388.45</v>
      </c>
      <c r="AU232" s="26">
        <f>IFERROR(__xludf.DUMMYFUNCTION("""COMPUTED_VALUE"""),65.81)</f>
        <v>65.81</v>
      </c>
      <c r="AV232" s="26">
        <f>IFERROR(__xludf.DUMMYFUNCTION("""COMPUTED_VALUE"""),110.93)</f>
        <v>110.93</v>
      </c>
      <c r="AW232" s="26">
        <f>IFERROR(__xludf.DUMMYFUNCTION("""COMPUTED_VALUE"""),97.09)</f>
        <v>97.09</v>
      </c>
      <c r="AX232" s="26">
        <f>IFERROR(__xludf.DUMMYFUNCTION("""COMPUTED_VALUE"""),43.51)</f>
        <v>43.51</v>
      </c>
      <c r="AY232" s="26">
        <f>IFERROR(__xludf.DUMMYFUNCTION("""COMPUTED_VALUE"""),88.55)</f>
        <v>88.55</v>
      </c>
      <c r="AZ232" s="26">
        <f>IFERROR(__xludf.DUMMYFUNCTION("""COMPUTED_VALUE"""),62.59)</f>
        <v>62.59</v>
      </c>
      <c r="BA232" s="26">
        <f>IFERROR(__xludf.DUMMYFUNCTION("""COMPUTED_VALUE"""),21.91)</f>
        <v>21.91</v>
      </c>
      <c r="BB232" s="26">
        <f>IFERROR(__xludf.DUMMYFUNCTION("""COMPUTED_VALUE"""),128.26)</f>
        <v>128.26</v>
      </c>
      <c r="BC232" s="26">
        <f>IFERROR(__xludf.DUMMYFUNCTION("""COMPUTED_VALUE"""),258.67)</f>
        <v>258.67</v>
      </c>
      <c r="BD232" s="26">
        <f>IFERROR(__xludf.DUMMYFUNCTION("""COMPUTED_VALUE"""),438.15)</f>
        <v>438.15</v>
      </c>
      <c r="BE232" s="26">
        <f>IFERROR(__xludf.DUMMYFUNCTION("""COMPUTED_VALUE"""),169.42)</f>
        <v>169.42</v>
      </c>
      <c r="BF232" s="26">
        <f>IFERROR(__xludf.DUMMYFUNCTION("""COMPUTED_VALUE"""),80.58)</f>
        <v>80.58</v>
      </c>
      <c r="BG232" s="26">
        <f>IFERROR(__xludf.DUMMYFUNCTION("""COMPUTED_VALUE"""),5.19)</f>
        <v>5.19</v>
      </c>
      <c r="BH232" s="26">
        <f>IFERROR(__xludf.DUMMYFUNCTION("""COMPUTED_VALUE"""),218.59)</f>
        <v>218.59</v>
      </c>
      <c r="BI232" s="26">
        <f>IFERROR(__xludf.DUMMYFUNCTION("""COMPUTED_VALUE"""),599.47)</f>
        <v>599.47</v>
      </c>
      <c r="BJ232" s="26">
        <f>IFERROR(__xludf.DUMMYFUNCTION("""COMPUTED_VALUE"""),49.57)</f>
        <v>49.57</v>
      </c>
      <c r="BK232" s="26">
        <f>IFERROR(__xludf.DUMMYFUNCTION("""COMPUTED_VALUE"""),7.54)</f>
        <v>7.54</v>
      </c>
      <c r="BL232" s="26">
        <f>IFERROR(__xludf.DUMMYFUNCTION("""COMPUTED_VALUE"""),229.38)</f>
        <v>229.38</v>
      </c>
      <c r="BM232" s="26">
        <f>IFERROR(__xludf.DUMMYFUNCTION("""COMPUTED_VALUE"""),84.89)</f>
        <v>84.89</v>
      </c>
    </row>
    <row r="233">
      <c r="A233" s="25">
        <v>45762.66666666667</v>
      </c>
      <c r="B233" s="17">
        <f>IFERROR(__xludf.DUMMYFUNCTION("""COMPUTED_VALUE"""),5405.97)</f>
        <v>5405.97</v>
      </c>
      <c r="C233" s="17">
        <f>IFERROR(__xludf.DUMMYFUNCTION("""COMPUTED_VALUE"""),16831.48)</f>
        <v>16831.48</v>
      </c>
      <c r="D233" s="17">
        <f>IFERROR(__xludf.DUMMYFUNCTION("""COMPUTED_VALUE"""),40524.79)</f>
        <v>40524.79</v>
      </c>
      <c r="E233" s="17">
        <f>IFERROR(__xludf.DUMMYFUNCTION("""COMPUTED_VALUE"""),1880.88)</f>
        <v>1880.88</v>
      </c>
      <c r="F233" s="26">
        <f>IFERROR(__xludf.DUMMYFUNCTION("""COMPUTED_VALUE"""),350.91)</f>
        <v>350.91</v>
      </c>
      <c r="G233" s="26">
        <f>IFERROR(__xludf.DUMMYFUNCTION("""COMPUTED_VALUE"""),182.12)</f>
        <v>182.12</v>
      </c>
      <c r="H233" s="26">
        <f>IFERROR(__xludf.DUMMYFUNCTION("""COMPUTED_VALUE"""),148.83)</f>
        <v>148.83</v>
      </c>
      <c r="I233" s="26">
        <f>IFERROR(__xludf.DUMMYFUNCTION("""COMPUTED_VALUE"""),202.52)</f>
        <v>202.52</v>
      </c>
      <c r="J233" s="26">
        <f>IFERROR(__xludf.DUMMYFUNCTION("""COMPUTED_VALUE"""),144.53)</f>
        <v>144.53</v>
      </c>
      <c r="K233" s="26">
        <f>IFERROR(__xludf.DUMMYFUNCTION("""COMPUTED_VALUE"""),77.52)</f>
        <v>77.52</v>
      </c>
      <c r="L233" s="26">
        <f>IFERROR(__xludf.DUMMYFUNCTION("""COMPUTED_VALUE"""),14.27)</f>
        <v>14.27</v>
      </c>
      <c r="M233" s="26">
        <f>IFERROR(__xludf.DUMMYFUNCTION("""COMPUTED_VALUE"""),529.52)</f>
        <v>529.52</v>
      </c>
      <c r="N233" s="26">
        <f>IFERROR(__xludf.DUMMYFUNCTION("""COMPUTED_VALUE"""),46.29)</f>
        <v>46.29</v>
      </c>
      <c r="O233" s="26">
        <f>IFERROR(__xludf.DUMMYFUNCTION("""COMPUTED_VALUE"""),119.26)</f>
        <v>119.26</v>
      </c>
      <c r="P233" s="26">
        <f>IFERROR(__xludf.DUMMYFUNCTION("""COMPUTED_VALUE"""),60.59)</f>
        <v>60.59</v>
      </c>
      <c r="Q233" s="26">
        <f>IFERROR(__xludf.DUMMYFUNCTION("""COMPUTED_VALUE"""),298.12)</f>
        <v>298.12</v>
      </c>
      <c r="R233" s="26">
        <f>IFERROR(__xludf.DUMMYFUNCTION("""COMPUTED_VALUE"""),41.31)</f>
        <v>41.31</v>
      </c>
      <c r="S233" s="26">
        <f>IFERROR(__xludf.DUMMYFUNCTION("""COMPUTED_VALUE"""),220.1)</f>
        <v>220.1</v>
      </c>
      <c r="T233" s="26">
        <f>IFERROR(__xludf.DUMMYFUNCTION("""COMPUTED_VALUE"""),135.32)</f>
        <v>135.32</v>
      </c>
      <c r="U233" s="26">
        <f>IFERROR(__xludf.DUMMYFUNCTION("""COMPUTED_VALUE"""),329.2)</f>
        <v>329.2</v>
      </c>
      <c r="V233" s="26">
        <f>IFERROR(__xludf.DUMMYFUNCTION("""COMPUTED_VALUE"""),35.59)</f>
        <v>35.59</v>
      </c>
      <c r="W233" s="26">
        <f>IFERROR(__xludf.DUMMYFUNCTION("""COMPUTED_VALUE"""),72.45)</f>
        <v>72.45</v>
      </c>
      <c r="X233" s="26">
        <f>IFERROR(__xludf.DUMMYFUNCTION("""COMPUTED_VALUE"""),112.25)</f>
        <v>112.25</v>
      </c>
      <c r="Y233" s="26">
        <f>IFERROR(__xludf.DUMMYFUNCTION("""COMPUTED_VALUE"""),146.31)</f>
        <v>146.31</v>
      </c>
      <c r="Z233" s="26">
        <f>IFERROR(__xludf.DUMMYFUNCTION("""COMPUTED_VALUE"""),73.71)</f>
        <v>73.71</v>
      </c>
      <c r="AA233" s="26">
        <f>IFERROR(__xludf.DUMMYFUNCTION("""COMPUTED_VALUE"""),475.87)</f>
        <v>475.87</v>
      </c>
      <c r="AB233" s="26">
        <f>IFERROR(__xludf.DUMMYFUNCTION("""COMPUTED_VALUE"""),66.07)</f>
        <v>66.07</v>
      </c>
      <c r="AC233" s="26">
        <f>IFERROR(__xludf.DUMMYFUNCTION("""COMPUTED_VALUE"""),103.39)</f>
        <v>103.39</v>
      </c>
      <c r="AD233" s="26">
        <f>IFERROR(__xludf.DUMMYFUNCTION("""COMPUTED_VALUE"""),210.45)</f>
        <v>210.45</v>
      </c>
      <c r="AE233" s="26">
        <f>IFERROR(__xludf.DUMMYFUNCTION("""COMPUTED_VALUE"""),429.53)</f>
        <v>429.53</v>
      </c>
      <c r="AF233" s="26">
        <f>IFERROR(__xludf.DUMMYFUNCTION("""COMPUTED_VALUE"""),278.78)</f>
        <v>278.78</v>
      </c>
      <c r="AG233" s="26">
        <f>IFERROR(__xludf.DUMMYFUNCTION("""COMPUTED_VALUE"""),45.14)</f>
        <v>45.14</v>
      </c>
      <c r="AH233" s="26">
        <f>IFERROR(__xludf.DUMMYFUNCTION("""COMPUTED_VALUE"""),106.5)</f>
        <v>106.5</v>
      </c>
      <c r="AI233" s="26">
        <f>IFERROR(__xludf.DUMMYFUNCTION("""COMPUTED_VALUE"""),503.98)</f>
        <v>503.98</v>
      </c>
      <c r="AJ233" s="26">
        <f>IFERROR(__xludf.DUMMYFUNCTION("""COMPUTED_VALUE"""),357.2)</f>
        <v>357.2</v>
      </c>
      <c r="AK233" s="26">
        <f>IFERROR(__xludf.DUMMYFUNCTION("""COMPUTED_VALUE"""),143.2)</f>
        <v>143.2</v>
      </c>
      <c r="AL233" s="26">
        <f>IFERROR(__xludf.DUMMYFUNCTION("""COMPUTED_VALUE"""),159.79)</f>
        <v>159.79</v>
      </c>
      <c r="AM233" s="26">
        <f>IFERROR(__xludf.DUMMYFUNCTION("""COMPUTED_VALUE"""),490.13)</f>
        <v>490.13</v>
      </c>
      <c r="AN233" s="26">
        <f>IFERROR(__xludf.DUMMYFUNCTION("""COMPUTED_VALUE"""),234.72)</f>
        <v>234.72</v>
      </c>
      <c r="AO233" s="26">
        <f>IFERROR(__xludf.DUMMYFUNCTION("""COMPUTED_VALUE"""),475.34)</f>
        <v>475.34</v>
      </c>
      <c r="AP233" s="26">
        <f>IFERROR(__xludf.DUMMYFUNCTION("""COMPUTED_VALUE"""),259.76)</f>
        <v>259.76</v>
      </c>
      <c r="AQ233" s="26">
        <f>IFERROR(__xludf.DUMMYFUNCTION("""COMPUTED_VALUE"""),28.76)</f>
        <v>28.76</v>
      </c>
      <c r="AR233" s="26">
        <f>IFERROR(__xludf.DUMMYFUNCTION("""COMPUTED_VALUE"""),84.22)</f>
        <v>84.22</v>
      </c>
      <c r="AS233" s="26">
        <f>IFERROR(__xludf.DUMMYFUNCTION("""COMPUTED_VALUE"""),72.95)</f>
        <v>72.95</v>
      </c>
      <c r="AT233" s="26">
        <f>IFERROR(__xludf.DUMMYFUNCTION("""COMPUTED_VALUE"""),387.81)</f>
        <v>387.81</v>
      </c>
      <c r="AU233" s="26">
        <f>IFERROR(__xludf.DUMMYFUNCTION("""COMPUTED_VALUE"""),67.69)</f>
        <v>67.69</v>
      </c>
      <c r="AV233" s="26">
        <f>IFERROR(__xludf.DUMMYFUNCTION("""COMPUTED_VALUE"""),110.71)</f>
        <v>110.71</v>
      </c>
      <c r="AW233" s="26">
        <f>IFERROR(__xludf.DUMMYFUNCTION("""COMPUTED_VALUE"""),98.52)</f>
        <v>98.52</v>
      </c>
      <c r="AX233" s="26">
        <f>IFERROR(__xludf.DUMMYFUNCTION("""COMPUTED_VALUE"""),43.17)</f>
        <v>43.17</v>
      </c>
      <c r="AY233" s="26">
        <f>IFERROR(__xludf.DUMMYFUNCTION("""COMPUTED_VALUE"""),92.62)</f>
        <v>92.62</v>
      </c>
      <c r="AZ233" s="26">
        <f>IFERROR(__xludf.DUMMYFUNCTION("""COMPUTED_VALUE"""),62.27)</f>
        <v>62.27</v>
      </c>
      <c r="BA233" s="26">
        <f>IFERROR(__xludf.DUMMYFUNCTION("""COMPUTED_VALUE"""),22.12)</f>
        <v>22.12</v>
      </c>
      <c r="BB233" s="26">
        <f>IFERROR(__xludf.DUMMYFUNCTION("""COMPUTED_VALUE"""),129.14)</f>
        <v>129.14</v>
      </c>
      <c r="BC233" s="26">
        <f>IFERROR(__xludf.DUMMYFUNCTION("""COMPUTED_VALUE"""),262.64)</f>
        <v>262.64</v>
      </c>
      <c r="BD233" s="26">
        <f>IFERROR(__xludf.DUMMYFUNCTION("""COMPUTED_VALUE"""),449.33)</f>
        <v>449.33</v>
      </c>
      <c r="BE233" s="26">
        <f>IFERROR(__xludf.DUMMYFUNCTION("""COMPUTED_VALUE"""),172.0)</f>
        <v>172</v>
      </c>
      <c r="BF233" s="26">
        <f>IFERROR(__xludf.DUMMYFUNCTION("""COMPUTED_VALUE"""),86.84)</f>
        <v>86.84</v>
      </c>
      <c r="BG233" s="26">
        <f>IFERROR(__xludf.DUMMYFUNCTION("""COMPUTED_VALUE"""),5.44)</f>
        <v>5.44</v>
      </c>
      <c r="BH233" s="26">
        <f>IFERROR(__xludf.DUMMYFUNCTION("""COMPUTED_VALUE"""),222.27)</f>
        <v>222.27</v>
      </c>
      <c r="BI233" s="26">
        <f>IFERROR(__xludf.DUMMYFUNCTION("""COMPUTED_VALUE"""),587.06)</f>
        <v>587.06</v>
      </c>
      <c r="BJ233" s="26">
        <f>IFERROR(__xludf.DUMMYFUNCTION("""COMPUTED_VALUE"""),49.66)</f>
        <v>49.66</v>
      </c>
      <c r="BK233" s="26">
        <f>IFERROR(__xludf.DUMMYFUNCTION("""COMPUTED_VALUE"""),7.63)</f>
        <v>7.63</v>
      </c>
      <c r="BL233" s="26">
        <f>IFERROR(__xludf.DUMMYFUNCTION("""COMPUTED_VALUE"""),232.3)</f>
        <v>232.3</v>
      </c>
      <c r="BM233" s="26">
        <f>IFERROR(__xludf.DUMMYFUNCTION("""COMPUTED_VALUE"""),84.66)</f>
        <v>84.66</v>
      </c>
    </row>
    <row r="234">
      <c r="A234" s="25">
        <v>45763.66666666667</v>
      </c>
      <c r="B234" s="17">
        <f>IFERROR(__xludf.DUMMYFUNCTION("""COMPUTED_VALUE"""),5396.63)</f>
        <v>5396.63</v>
      </c>
      <c r="C234" s="17">
        <f>IFERROR(__xludf.DUMMYFUNCTION("""COMPUTED_VALUE"""),16823.17)</f>
        <v>16823.17</v>
      </c>
      <c r="D234" s="17">
        <f>IFERROR(__xludf.DUMMYFUNCTION("""COMPUTED_VALUE"""),40368.96)</f>
        <v>40368.96</v>
      </c>
      <c r="E234" s="17">
        <f>IFERROR(__xludf.DUMMYFUNCTION("""COMPUTED_VALUE"""),1882.92)</f>
        <v>1882.92</v>
      </c>
      <c r="F234" s="26">
        <f>IFERROR(__xludf.DUMMYFUNCTION("""COMPUTED_VALUE"""),350.38)</f>
        <v>350.38</v>
      </c>
      <c r="G234" s="26">
        <f>IFERROR(__xludf.DUMMYFUNCTION("""COMPUTED_VALUE"""),179.59)</f>
        <v>179.59</v>
      </c>
      <c r="H234" s="26">
        <f>IFERROR(__xludf.DUMMYFUNCTION("""COMPUTED_VALUE"""),146.88)</f>
        <v>146.88</v>
      </c>
      <c r="I234" s="26">
        <f>IFERROR(__xludf.DUMMYFUNCTION("""COMPUTED_VALUE"""),202.14)</f>
        <v>202.14</v>
      </c>
      <c r="J234" s="26">
        <f>IFERROR(__xludf.DUMMYFUNCTION("""COMPUTED_VALUE"""),145.45)</f>
        <v>145.45</v>
      </c>
      <c r="K234" s="26">
        <f>IFERROR(__xludf.DUMMYFUNCTION("""COMPUTED_VALUE"""),77.77)</f>
        <v>77.77</v>
      </c>
      <c r="L234" s="26">
        <f>IFERROR(__xludf.DUMMYFUNCTION("""COMPUTED_VALUE"""),14.71)</f>
        <v>14.71</v>
      </c>
      <c r="M234" s="26">
        <f>IFERROR(__xludf.DUMMYFUNCTION("""COMPUTED_VALUE"""),528.17)</f>
        <v>528.17</v>
      </c>
      <c r="N234" s="26">
        <f>IFERROR(__xludf.DUMMYFUNCTION("""COMPUTED_VALUE"""),46.25)</f>
        <v>46.25</v>
      </c>
      <c r="O234" s="26">
        <f>IFERROR(__xludf.DUMMYFUNCTION("""COMPUTED_VALUE"""),116.98)</f>
        <v>116.98</v>
      </c>
      <c r="P234" s="26">
        <f>IFERROR(__xludf.DUMMYFUNCTION("""COMPUTED_VALUE"""),60.47)</f>
        <v>60.47</v>
      </c>
      <c r="Q234" s="26">
        <f>IFERROR(__xludf.DUMMYFUNCTION("""COMPUTED_VALUE"""),293.43)</f>
        <v>293.43</v>
      </c>
      <c r="R234" s="26">
        <f>IFERROR(__xludf.DUMMYFUNCTION("""COMPUTED_VALUE"""),40.81)</f>
        <v>40.81</v>
      </c>
      <c r="S234" s="26">
        <f>IFERROR(__xludf.DUMMYFUNCTION("""COMPUTED_VALUE"""),224.47)</f>
        <v>224.47</v>
      </c>
      <c r="T234" s="26">
        <f>IFERROR(__xludf.DUMMYFUNCTION("""COMPUTED_VALUE"""),134.54)</f>
        <v>134.54</v>
      </c>
      <c r="U234" s="26">
        <f>IFERROR(__xludf.DUMMYFUNCTION("""COMPUTED_VALUE"""),328.63)</f>
        <v>328.63</v>
      </c>
      <c r="V234" s="26">
        <f>IFERROR(__xludf.DUMMYFUNCTION("""COMPUTED_VALUE"""),36.1)</f>
        <v>36.1</v>
      </c>
      <c r="W234" s="26">
        <f>IFERROR(__xludf.DUMMYFUNCTION("""COMPUTED_VALUE"""),71.86)</f>
        <v>71.86</v>
      </c>
      <c r="X234" s="26">
        <f>IFERROR(__xludf.DUMMYFUNCTION("""COMPUTED_VALUE"""),111.81)</f>
        <v>111.81</v>
      </c>
      <c r="Y234" s="26">
        <f>IFERROR(__xludf.DUMMYFUNCTION("""COMPUTED_VALUE"""),146.23)</f>
        <v>146.23</v>
      </c>
      <c r="Z234" s="26">
        <f>IFERROR(__xludf.DUMMYFUNCTION("""COMPUTED_VALUE"""),71.8)</f>
        <v>71.8</v>
      </c>
      <c r="AA234" s="26">
        <f>IFERROR(__xludf.DUMMYFUNCTION("""COMPUTED_VALUE"""),468.56)</f>
        <v>468.56</v>
      </c>
      <c r="AB234" s="26">
        <f>IFERROR(__xludf.DUMMYFUNCTION("""COMPUTED_VALUE"""),65.5)</f>
        <v>65.5</v>
      </c>
      <c r="AC234" s="26">
        <f>IFERROR(__xludf.DUMMYFUNCTION("""COMPUTED_VALUE"""),103.1)</f>
        <v>103.1</v>
      </c>
      <c r="AD234" s="26">
        <f>IFERROR(__xludf.DUMMYFUNCTION("""COMPUTED_VALUE"""),207.35)</f>
        <v>207.35</v>
      </c>
      <c r="AE234" s="26">
        <f>IFERROR(__xludf.DUMMYFUNCTION("""COMPUTED_VALUE"""),433.98)</f>
        <v>433.98</v>
      </c>
      <c r="AF234" s="26">
        <f>IFERROR(__xludf.DUMMYFUNCTION("""COMPUTED_VALUE"""),277.14)</f>
        <v>277.14</v>
      </c>
      <c r="AG234" s="26">
        <f>IFERROR(__xludf.DUMMYFUNCTION("""COMPUTED_VALUE"""),44.54)</f>
        <v>44.54</v>
      </c>
      <c r="AH234" s="26">
        <f>IFERROR(__xludf.DUMMYFUNCTION("""COMPUTED_VALUE"""),105.68)</f>
        <v>105.68</v>
      </c>
      <c r="AI234" s="26">
        <f>IFERROR(__xludf.DUMMYFUNCTION("""COMPUTED_VALUE"""),507.89)</f>
        <v>507.89</v>
      </c>
      <c r="AJ234" s="26">
        <f>IFERROR(__xludf.DUMMYFUNCTION("""COMPUTED_VALUE"""),354.11)</f>
        <v>354.11</v>
      </c>
      <c r="AK234" s="26">
        <f>IFERROR(__xludf.DUMMYFUNCTION("""COMPUTED_VALUE"""),142.38)</f>
        <v>142.38</v>
      </c>
      <c r="AL234" s="26">
        <f>IFERROR(__xludf.DUMMYFUNCTION("""COMPUTED_VALUE"""),159.95)</f>
        <v>159.95</v>
      </c>
      <c r="AM234" s="26">
        <f>IFERROR(__xludf.DUMMYFUNCTION("""COMPUTED_VALUE"""),488.27)</f>
        <v>488.27</v>
      </c>
      <c r="AN234" s="26">
        <f>IFERROR(__xludf.DUMMYFUNCTION("""COMPUTED_VALUE"""),233.13)</f>
        <v>233.13</v>
      </c>
      <c r="AO234" s="26">
        <f>IFERROR(__xludf.DUMMYFUNCTION("""COMPUTED_VALUE"""),469.58)</f>
        <v>469.58</v>
      </c>
      <c r="AP234" s="26">
        <f>IFERROR(__xludf.DUMMYFUNCTION("""COMPUTED_VALUE"""),255.64)</f>
        <v>255.64</v>
      </c>
      <c r="AQ234" s="26">
        <f>IFERROR(__xludf.DUMMYFUNCTION("""COMPUTED_VALUE"""),28.99)</f>
        <v>28.99</v>
      </c>
      <c r="AR234" s="26">
        <f>IFERROR(__xludf.DUMMYFUNCTION("""COMPUTED_VALUE"""),82.37)</f>
        <v>82.37</v>
      </c>
      <c r="AS234" s="26">
        <f>IFERROR(__xludf.DUMMYFUNCTION("""COMPUTED_VALUE"""),72.71)</f>
        <v>72.71</v>
      </c>
      <c r="AT234" s="26">
        <f>IFERROR(__xludf.DUMMYFUNCTION("""COMPUTED_VALUE"""),385.73)</f>
        <v>385.73</v>
      </c>
      <c r="AU234" s="26">
        <f>IFERROR(__xludf.DUMMYFUNCTION("""COMPUTED_VALUE"""),67.66)</f>
        <v>67.66</v>
      </c>
      <c r="AV234" s="26">
        <f>IFERROR(__xludf.DUMMYFUNCTION("""COMPUTED_VALUE"""),112.2)</f>
        <v>112.2</v>
      </c>
      <c r="AW234" s="26">
        <f>IFERROR(__xludf.DUMMYFUNCTION("""COMPUTED_VALUE"""),98.79)</f>
        <v>98.79</v>
      </c>
      <c r="AX234" s="26">
        <f>IFERROR(__xludf.DUMMYFUNCTION("""COMPUTED_VALUE"""),42.67)</f>
        <v>42.67</v>
      </c>
      <c r="AY234" s="26">
        <f>IFERROR(__xludf.DUMMYFUNCTION("""COMPUTED_VALUE"""),98.4)</f>
        <v>98.4</v>
      </c>
      <c r="AZ234" s="26">
        <f>IFERROR(__xludf.DUMMYFUNCTION("""COMPUTED_VALUE"""),62.0)</f>
        <v>62</v>
      </c>
      <c r="BA234" s="26">
        <f>IFERROR(__xludf.DUMMYFUNCTION("""COMPUTED_VALUE"""),22.44)</f>
        <v>22.44</v>
      </c>
      <c r="BB234" s="26">
        <f>IFERROR(__xludf.DUMMYFUNCTION("""COMPUTED_VALUE"""),128.64)</f>
        <v>128.64</v>
      </c>
      <c r="BC234" s="26">
        <f>IFERROR(__xludf.DUMMYFUNCTION("""COMPUTED_VALUE"""),266.71)</f>
        <v>266.71</v>
      </c>
      <c r="BD234" s="26">
        <f>IFERROR(__xludf.DUMMYFUNCTION("""COMPUTED_VALUE"""),441.0)</f>
        <v>441</v>
      </c>
      <c r="BE234" s="26">
        <f>IFERROR(__xludf.DUMMYFUNCTION("""COMPUTED_VALUE"""),174.24)</f>
        <v>174.24</v>
      </c>
      <c r="BF234" s="26">
        <f>IFERROR(__xludf.DUMMYFUNCTION("""COMPUTED_VALUE"""),87.18)</f>
        <v>87.18</v>
      </c>
      <c r="BG234" s="26">
        <f>IFERROR(__xludf.DUMMYFUNCTION("""COMPUTED_VALUE"""),5.74)</f>
        <v>5.74</v>
      </c>
      <c r="BH234" s="26">
        <f>IFERROR(__xludf.DUMMYFUNCTION("""COMPUTED_VALUE"""),220.08)</f>
        <v>220.08</v>
      </c>
      <c r="BI234" s="26">
        <f>IFERROR(__xludf.DUMMYFUNCTION("""COMPUTED_VALUE"""),583.59)</f>
        <v>583.59</v>
      </c>
      <c r="BJ234" s="26">
        <f>IFERROR(__xludf.DUMMYFUNCTION("""COMPUTED_VALUE"""),49.65)</f>
        <v>49.65</v>
      </c>
      <c r="BK234" s="26">
        <f>IFERROR(__xludf.DUMMYFUNCTION("""COMPUTED_VALUE"""),7.48)</f>
        <v>7.48</v>
      </c>
      <c r="BL234" s="26">
        <f>IFERROR(__xludf.DUMMYFUNCTION("""COMPUTED_VALUE"""),231.48)</f>
        <v>231.48</v>
      </c>
      <c r="BM234" s="26">
        <f>IFERROR(__xludf.DUMMYFUNCTION("""COMPUTED_VALUE"""),85.01)</f>
        <v>85.01</v>
      </c>
    </row>
    <row r="235">
      <c r="A235" s="25">
        <v>45764.66666666667</v>
      </c>
      <c r="B235" s="17">
        <f>IFERROR(__xludf.DUMMYFUNCTION("""COMPUTED_VALUE"""),5275.7)</f>
        <v>5275.7</v>
      </c>
      <c r="C235" s="17">
        <f>IFERROR(__xludf.DUMMYFUNCTION("""COMPUTED_VALUE"""),16307.16)</f>
        <v>16307.16</v>
      </c>
      <c r="D235" s="17">
        <f>IFERROR(__xludf.DUMMYFUNCTION("""COMPUTED_VALUE"""),39669.39)</f>
        <v>39669.39</v>
      </c>
      <c r="E235" s="17">
        <f>IFERROR(__xludf.DUMMYFUNCTION("""COMPUTED_VALUE"""),1863.48)</f>
        <v>1863.48</v>
      </c>
      <c r="F235" s="26">
        <f>IFERROR(__xludf.DUMMYFUNCTION("""COMPUTED_VALUE"""),344.19)</f>
        <v>344.19</v>
      </c>
      <c r="G235" s="26">
        <f>IFERROR(__xludf.DUMMYFUNCTION("""COMPUTED_VALUE"""),174.33)</f>
        <v>174.33</v>
      </c>
      <c r="H235" s="26">
        <f>IFERROR(__xludf.DUMMYFUNCTION("""COMPUTED_VALUE"""),146.4)</f>
        <v>146.4</v>
      </c>
      <c r="I235" s="26">
        <f>IFERROR(__xludf.DUMMYFUNCTION("""COMPUTED_VALUE"""),194.27)</f>
        <v>194.27</v>
      </c>
      <c r="J235" s="26">
        <f>IFERROR(__xludf.DUMMYFUNCTION("""COMPUTED_VALUE"""),138.19)</f>
        <v>138.19</v>
      </c>
      <c r="K235" s="26">
        <f>IFERROR(__xludf.DUMMYFUNCTION("""COMPUTED_VALUE"""),75.73)</f>
        <v>75.73</v>
      </c>
      <c r="L235" s="26">
        <f>IFERROR(__xludf.DUMMYFUNCTION("""COMPUTED_VALUE"""),14.56)</f>
        <v>14.56</v>
      </c>
      <c r="M235" s="26">
        <f>IFERROR(__xludf.DUMMYFUNCTION("""COMPUTED_VALUE"""),516.45)</f>
        <v>516.45</v>
      </c>
      <c r="N235" s="26">
        <f>IFERROR(__xludf.DUMMYFUNCTION("""COMPUTED_VALUE"""),45.63)</f>
        <v>45.63</v>
      </c>
      <c r="O235" s="26">
        <f>IFERROR(__xludf.DUMMYFUNCTION("""COMPUTED_VALUE"""),115.29)</f>
        <v>115.29</v>
      </c>
      <c r="P235" s="26">
        <f>IFERROR(__xludf.DUMMYFUNCTION("""COMPUTED_VALUE"""),59.19)</f>
        <v>59.19</v>
      </c>
      <c r="Q235" s="26">
        <f>IFERROR(__xludf.DUMMYFUNCTION("""COMPUTED_VALUE"""),290.14)</f>
        <v>290.14</v>
      </c>
      <c r="R235" s="26">
        <f>IFERROR(__xludf.DUMMYFUNCTION("""COMPUTED_VALUE"""),41.28)</f>
        <v>41.28</v>
      </c>
      <c r="S235" s="26">
        <f>IFERROR(__xludf.DUMMYFUNCTION("""COMPUTED_VALUE"""),214.94)</f>
        <v>214.94</v>
      </c>
      <c r="T235" s="26">
        <f>IFERROR(__xludf.DUMMYFUNCTION("""COMPUTED_VALUE"""),135.36)</f>
        <v>135.36</v>
      </c>
      <c r="U235" s="26">
        <f>IFERROR(__xludf.DUMMYFUNCTION("""COMPUTED_VALUE"""),329.44)</f>
        <v>329.44</v>
      </c>
      <c r="V235" s="26">
        <f>IFERROR(__xludf.DUMMYFUNCTION("""COMPUTED_VALUE"""),35.46)</f>
        <v>35.46</v>
      </c>
      <c r="W235" s="26">
        <f>IFERROR(__xludf.DUMMYFUNCTION("""COMPUTED_VALUE"""),71.68)</f>
        <v>71.68</v>
      </c>
      <c r="X235" s="26">
        <f>IFERROR(__xludf.DUMMYFUNCTION("""COMPUTED_VALUE"""),111.44)</f>
        <v>111.44</v>
      </c>
      <c r="Y235" s="26">
        <f>IFERROR(__xludf.DUMMYFUNCTION("""COMPUTED_VALUE"""),148.18)</f>
        <v>148.18</v>
      </c>
      <c r="Z235" s="26">
        <f>IFERROR(__xludf.DUMMYFUNCTION("""COMPUTED_VALUE"""),73.21)</f>
        <v>73.21</v>
      </c>
      <c r="AA235" s="26">
        <f>IFERROR(__xludf.DUMMYFUNCTION("""COMPUTED_VALUE"""),462.25)</f>
        <v>462.25</v>
      </c>
      <c r="AB235" s="26">
        <f>IFERROR(__xludf.DUMMYFUNCTION("""COMPUTED_VALUE"""),65.47)</f>
        <v>65.47</v>
      </c>
      <c r="AC235" s="26">
        <f>IFERROR(__xludf.DUMMYFUNCTION("""COMPUTED_VALUE"""),104.19)</f>
        <v>104.19</v>
      </c>
      <c r="AD235" s="26">
        <f>IFERROR(__xludf.DUMMYFUNCTION("""COMPUTED_VALUE"""),203.56)</f>
        <v>203.56</v>
      </c>
      <c r="AE235" s="26">
        <f>IFERROR(__xludf.DUMMYFUNCTION("""COMPUTED_VALUE"""),432.75)</f>
        <v>432.75</v>
      </c>
      <c r="AF235" s="26">
        <f>IFERROR(__xludf.DUMMYFUNCTION("""COMPUTED_VALUE"""),276.63)</f>
        <v>276.63</v>
      </c>
      <c r="AG235" s="26">
        <f>IFERROR(__xludf.DUMMYFUNCTION("""COMPUTED_VALUE"""),44.22)</f>
        <v>44.22</v>
      </c>
      <c r="AH235" s="26">
        <f>IFERROR(__xludf.DUMMYFUNCTION("""COMPUTED_VALUE"""),104.88)</f>
        <v>104.88</v>
      </c>
      <c r="AI235" s="26">
        <f>IFERROR(__xludf.DUMMYFUNCTION("""COMPUTED_VALUE"""),499.05)</f>
        <v>499.05</v>
      </c>
      <c r="AJ235" s="26">
        <f>IFERROR(__xludf.DUMMYFUNCTION("""COMPUTED_VALUE"""),345.99)</f>
        <v>345.99</v>
      </c>
      <c r="AK235" s="26">
        <f>IFERROR(__xludf.DUMMYFUNCTION("""COMPUTED_VALUE"""),141.49)</f>
        <v>141.49</v>
      </c>
      <c r="AL235" s="26">
        <f>IFERROR(__xludf.DUMMYFUNCTION("""COMPUTED_VALUE"""),158.44)</f>
        <v>158.44</v>
      </c>
      <c r="AM235" s="26">
        <f>IFERROR(__xludf.DUMMYFUNCTION("""COMPUTED_VALUE"""),481.34)</f>
        <v>481.34</v>
      </c>
      <c r="AN235" s="26">
        <f>IFERROR(__xludf.DUMMYFUNCTION("""COMPUTED_VALUE"""),229.61)</f>
        <v>229.61</v>
      </c>
      <c r="AO235" s="26">
        <f>IFERROR(__xludf.DUMMYFUNCTION("""COMPUTED_VALUE"""),477.08)</f>
        <v>477.08</v>
      </c>
      <c r="AP235" s="26">
        <f>IFERROR(__xludf.DUMMYFUNCTION("""COMPUTED_VALUE"""),249.37)</f>
        <v>249.37</v>
      </c>
      <c r="AQ235" s="26">
        <f>IFERROR(__xludf.DUMMYFUNCTION("""COMPUTED_VALUE"""),28.59)</f>
        <v>28.59</v>
      </c>
      <c r="AR235" s="26">
        <f>IFERROR(__xludf.DUMMYFUNCTION("""COMPUTED_VALUE"""),82.7)</f>
        <v>82.7</v>
      </c>
      <c r="AS235" s="26">
        <f>IFERROR(__xludf.DUMMYFUNCTION("""COMPUTED_VALUE"""),71.7)</f>
        <v>71.7</v>
      </c>
      <c r="AT235" s="26">
        <f>IFERROR(__xludf.DUMMYFUNCTION("""COMPUTED_VALUE"""),371.61)</f>
        <v>371.61</v>
      </c>
      <c r="AU235" s="26">
        <f>IFERROR(__xludf.DUMMYFUNCTION("""COMPUTED_VALUE"""),65.64)</f>
        <v>65.64</v>
      </c>
      <c r="AV235" s="26">
        <f>IFERROR(__xludf.DUMMYFUNCTION("""COMPUTED_VALUE"""),104.49)</f>
        <v>104.49</v>
      </c>
      <c r="AW235" s="26">
        <f>IFERROR(__xludf.DUMMYFUNCTION("""COMPUTED_VALUE"""),96.78)</f>
        <v>96.78</v>
      </c>
      <c r="AX235" s="26">
        <f>IFERROR(__xludf.DUMMYFUNCTION("""COMPUTED_VALUE"""),41.75)</f>
        <v>41.75</v>
      </c>
      <c r="AY235" s="26">
        <f>IFERROR(__xludf.DUMMYFUNCTION("""COMPUTED_VALUE"""),92.71)</f>
        <v>92.71</v>
      </c>
      <c r="AZ235" s="26">
        <f>IFERROR(__xludf.DUMMYFUNCTION("""COMPUTED_VALUE"""),60.24)</f>
        <v>60.24</v>
      </c>
      <c r="BA235" s="26">
        <f>IFERROR(__xludf.DUMMYFUNCTION("""COMPUTED_VALUE"""),22.04)</f>
        <v>22.04</v>
      </c>
      <c r="BB235" s="26">
        <f>IFERROR(__xludf.DUMMYFUNCTION("""COMPUTED_VALUE"""),129.25)</f>
        <v>129.25</v>
      </c>
      <c r="BC235" s="26">
        <f>IFERROR(__xludf.DUMMYFUNCTION("""COMPUTED_VALUE"""),259.64)</f>
        <v>259.64</v>
      </c>
      <c r="BD235" s="26">
        <f>IFERROR(__xludf.DUMMYFUNCTION("""COMPUTED_VALUE"""),436.79)</f>
        <v>436.79</v>
      </c>
      <c r="BE235" s="26">
        <f>IFERROR(__xludf.DUMMYFUNCTION("""COMPUTED_VALUE"""),175.1)</f>
        <v>175.1</v>
      </c>
      <c r="BF235" s="26">
        <f>IFERROR(__xludf.DUMMYFUNCTION("""COMPUTED_VALUE"""),85.38)</f>
        <v>85.38</v>
      </c>
      <c r="BG235" s="26">
        <f>IFERROR(__xludf.DUMMYFUNCTION("""COMPUTED_VALUE"""),5.56)</f>
        <v>5.56</v>
      </c>
      <c r="BH235" s="26">
        <f>IFERROR(__xludf.DUMMYFUNCTION("""COMPUTED_VALUE"""),216.6)</f>
        <v>216.6</v>
      </c>
      <c r="BI235" s="26">
        <f>IFERROR(__xludf.DUMMYFUNCTION("""COMPUTED_VALUE"""),585.04)</f>
        <v>585.04</v>
      </c>
      <c r="BJ235" s="26">
        <f>IFERROR(__xludf.DUMMYFUNCTION("""COMPUTED_VALUE"""),49.7)</f>
        <v>49.7</v>
      </c>
      <c r="BK235" s="26">
        <f>IFERROR(__xludf.DUMMYFUNCTION("""COMPUTED_VALUE"""),7.39)</f>
        <v>7.39</v>
      </c>
      <c r="BL235" s="26">
        <f>IFERROR(__xludf.DUMMYFUNCTION("""COMPUTED_VALUE"""),229.57)</f>
        <v>229.57</v>
      </c>
      <c r="BM235" s="26">
        <f>IFERROR(__xludf.DUMMYFUNCTION("""COMPUTED_VALUE"""),82.77)</f>
        <v>82.77</v>
      </c>
    </row>
    <row r="236">
      <c r="A236" s="25">
        <v>45768.66666666667</v>
      </c>
      <c r="B236" s="17">
        <f>IFERROR(__xludf.DUMMYFUNCTION("""COMPUTED_VALUE"""),5282.7)</f>
        <v>5282.7</v>
      </c>
      <c r="C236" s="17">
        <f>IFERROR(__xludf.DUMMYFUNCTION("""COMPUTED_VALUE"""),16286.45)</f>
        <v>16286.45</v>
      </c>
      <c r="D236" s="17">
        <f>IFERROR(__xludf.DUMMYFUNCTION("""COMPUTED_VALUE"""),39142.23)</f>
        <v>39142.23</v>
      </c>
      <c r="E236" s="17">
        <f>IFERROR(__xludf.DUMMYFUNCTION("""COMPUTED_VALUE"""),1880.62)</f>
        <v>1880.62</v>
      </c>
      <c r="F236" s="26">
        <f>IFERROR(__xludf.DUMMYFUNCTION("""COMPUTED_VALUE"""),348.8)</f>
        <v>348.8</v>
      </c>
      <c r="G236" s="26">
        <f>IFERROR(__xludf.DUMMYFUNCTION("""COMPUTED_VALUE"""),172.61)</f>
        <v>172.61</v>
      </c>
      <c r="H236" s="26">
        <f>IFERROR(__xludf.DUMMYFUNCTION("""COMPUTED_VALUE"""),148.4)</f>
        <v>148.4</v>
      </c>
      <c r="I236" s="26">
        <f>IFERROR(__xludf.DUMMYFUNCTION("""COMPUTED_VALUE"""),196.98)</f>
        <v>196.98</v>
      </c>
      <c r="J236" s="26">
        <f>IFERROR(__xludf.DUMMYFUNCTION("""COMPUTED_VALUE"""),137.46)</f>
        <v>137.46</v>
      </c>
      <c r="K236" s="26">
        <f>IFERROR(__xludf.DUMMYFUNCTION("""COMPUTED_VALUE"""),76.34)</f>
        <v>76.34</v>
      </c>
      <c r="L236" s="26">
        <f>IFERROR(__xludf.DUMMYFUNCTION("""COMPUTED_VALUE"""),14.72)</f>
        <v>14.72</v>
      </c>
      <c r="M236" s="26">
        <f>IFERROR(__xludf.DUMMYFUNCTION("""COMPUTED_VALUE"""),518.21)</f>
        <v>518.21</v>
      </c>
      <c r="N236" s="26">
        <f>IFERROR(__xludf.DUMMYFUNCTION("""COMPUTED_VALUE"""),46.49)</f>
        <v>46.49</v>
      </c>
      <c r="O236" s="26">
        <f>IFERROR(__xludf.DUMMYFUNCTION("""COMPUTED_VALUE"""),118.61)</f>
        <v>118.61</v>
      </c>
      <c r="P236" s="26">
        <f>IFERROR(__xludf.DUMMYFUNCTION("""COMPUTED_VALUE"""),59.9)</f>
        <v>59.9</v>
      </c>
      <c r="Q236" s="26">
        <f>IFERROR(__xludf.DUMMYFUNCTION("""COMPUTED_VALUE"""),294.25)</f>
        <v>294.25</v>
      </c>
      <c r="R236" s="26">
        <f>IFERROR(__xludf.DUMMYFUNCTION("""COMPUTED_VALUE"""),41.18)</f>
        <v>41.18</v>
      </c>
      <c r="S236" s="26">
        <f>IFERROR(__xludf.DUMMYFUNCTION("""COMPUTED_VALUE"""),214.96)</f>
        <v>214.96</v>
      </c>
      <c r="T236" s="26">
        <f>IFERROR(__xludf.DUMMYFUNCTION("""COMPUTED_VALUE"""),137.87)</f>
        <v>137.87</v>
      </c>
      <c r="U236" s="26">
        <f>IFERROR(__xludf.DUMMYFUNCTION("""COMPUTED_VALUE"""),330.13)</f>
        <v>330.13</v>
      </c>
      <c r="V236" s="26">
        <f>IFERROR(__xludf.DUMMYFUNCTION("""COMPUTED_VALUE"""),35.45)</f>
        <v>35.45</v>
      </c>
      <c r="W236" s="26">
        <f>IFERROR(__xludf.DUMMYFUNCTION("""COMPUTED_VALUE"""),73.0)</f>
        <v>73</v>
      </c>
      <c r="X236" s="26">
        <f>IFERROR(__xludf.DUMMYFUNCTION("""COMPUTED_VALUE"""),112.1)</f>
        <v>112.1</v>
      </c>
      <c r="Y236" s="26">
        <f>IFERROR(__xludf.DUMMYFUNCTION("""COMPUTED_VALUE"""),150.75)</f>
        <v>150.75</v>
      </c>
      <c r="Z236" s="26">
        <f>IFERROR(__xludf.DUMMYFUNCTION("""COMPUTED_VALUE"""),79.14)</f>
        <v>79.14</v>
      </c>
      <c r="AA236" s="26">
        <f>IFERROR(__xludf.DUMMYFUNCTION("""COMPUTED_VALUE"""),466.74)</f>
        <v>466.74</v>
      </c>
      <c r="AB236" s="26">
        <f>IFERROR(__xludf.DUMMYFUNCTION("""COMPUTED_VALUE"""),66.26)</f>
        <v>66.26</v>
      </c>
      <c r="AC236" s="26">
        <f>IFERROR(__xludf.DUMMYFUNCTION("""COMPUTED_VALUE"""),106.92)</f>
        <v>106.92</v>
      </c>
      <c r="AD236" s="26">
        <f>IFERROR(__xludf.DUMMYFUNCTION("""COMPUTED_VALUE"""),207.55)</f>
        <v>207.55</v>
      </c>
      <c r="AE236" s="26">
        <f>IFERROR(__xludf.DUMMYFUNCTION("""COMPUTED_VALUE"""),439.97)</f>
        <v>439.97</v>
      </c>
      <c r="AF236" s="26">
        <f>IFERROR(__xludf.DUMMYFUNCTION("""COMPUTED_VALUE"""),276.08)</f>
        <v>276.08</v>
      </c>
      <c r="AG236" s="26">
        <f>IFERROR(__xludf.DUMMYFUNCTION("""COMPUTED_VALUE"""),44.57)</f>
        <v>44.57</v>
      </c>
      <c r="AH236" s="26">
        <f>IFERROR(__xludf.DUMMYFUNCTION("""COMPUTED_VALUE"""),104.54)</f>
        <v>104.54</v>
      </c>
      <c r="AI236" s="26">
        <f>IFERROR(__xludf.DUMMYFUNCTION("""COMPUTED_VALUE"""),509.49)</f>
        <v>509.49</v>
      </c>
      <c r="AJ236" s="26">
        <f>IFERROR(__xludf.DUMMYFUNCTION("""COMPUTED_VALUE"""),355.06)</f>
        <v>355.06</v>
      </c>
      <c r="AK236" s="26">
        <f>IFERROR(__xludf.DUMMYFUNCTION("""COMPUTED_VALUE"""),141.5)</f>
        <v>141.5</v>
      </c>
      <c r="AL236" s="26">
        <f>IFERROR(__xludf.DUMMYFUNCTION("""COMPUTED_VALUE"""),158.64)</f>
        <v>158.64</v>
      </c>
      <c r="AM236" s="26">
        <f>IFERROR(__xludf.DUMMYFUNCTION("""COMPUTED_VALUE"""),482.74)</f>
        <v>482.74</v>
      </c>
      <c r="AN236" s="26">
        <f>IFERROR(__xludf.DUMMYFUNCTION("""COMPUTED_VALUE"""),231.96)</f>
        <v>231.96</v>
      </c>
      <c r="AO236" s="26">
        <f>IFERROR(__xludf.DUMMYFUNCTION("""COMPUTED_VALUE"""),464.08)</f>
        <v>464.08</v>
      </c>
      <c r="AP236" s="26">
        <f>IFERROR(__xludf.DUMMYFUNCTION("""COMPUTED_VALUE"""),251.08)</f>
        <v>251.08</v>
      </c>
      <c r="AQ236" s="26">
        <f>IFERROR(__xludf.DUMMYFUNCTION("""COMPUTED_VALUE"""),28.61)</f>
        <v>28.61</v>
      </c>
      <c r="AR236" s="26">
        <f>IFERROR(__xludf.DUMMYFUNCTION("""COMPUTED_VALUE"""),82.6)</f>
        <v>82.6</v>
      </c>
      <c r="AS236" s="26">
        <f>IFERROR(__xludf.DUMMYFUNCTION("""COMPUTED_VALUE"""),72.55)</f>
        <v>72.55</v>
      </c>
      <c r="AT236" s="26">
        <f>IFERROR(__xludf.DUMMYFUNCTION("""COMPUTED_VALUE"""),367.78)</f>
        <v>367.78</v>
      </c>
      <c r="AU236" s="26">
        <f>IFERROR(__xludf.DUMMYFUNCTION("""COMPUTED_VALUE"""),66.31)</f>
        <v>66.31</v>
      </c>
      <c r="AV236" s="26">
        <f>IFERROR(__xludf.DUMMYFUNCTION("""COMPUTED_VALUE"""),101.49)</f>
        <v>101.49</v>
      </c>
      <c r="AW236" s="26">
        <f>IFERROR(__xludf.DUMMYFUNCTION("""COMPUTED_VALUE"""),98.52)</f>
        <v>98.52</v>
      </c>
      <c r="AX236" s="26">
        <f>IFERROR(__xludf.DUMMYFUNCTION("""COMPUTED_VALUE"""),42.5)</f>
        <v>42.5</v>
      </c>
      <c r="AY236" s="26">
        <f>IFERROR(__xludf.DUMMYFUNCTION("""COMPUTED_VALUE"""),93.78)</f>
        <v>93.78</v>
      </c>
      <c r="AZ236" s="26">
        <f>IFERROR(__xludf.DUMMYFUNCTION("""COMPUTED_VALUE"""),61.0)</f>
        <v>61</v>
      </c>
      <c r="BA236" s="26">
        <f>IFERROR(__xludf.DUMMYFUNCTION("""COMPUTED_VALUE"""),22.14)</f>
        <v>22.14</v>
      </c>
      <c r="BB236" s="26">
        <f>IFERROR(__xludf.DUMMYFUNCTION("""COMPUTED_VALUE"""),128.89)</f>
        <v>128.89</v>
      </c>
      <c r="BC236" s="26">
        <f>IFERROR(__xludf.DUMMYFUNCTION("""COMPUTED_VALUE"""),262.04)</f>
        <v>262.04</v>
      </c>
      <c r="BD236" s="26">
        <f>IFERROR(__xludf.DUMMYFUNCTION("""COMPUTED_VALUE"""),427.5)</f>
        <v>427.5</v>
      </c>
      <c r="BE236" s="26">
        <f>IFERROR(__xludf.DUMMYFUNCTION("""COMPUTED_VALUE"""),176.38)</f>
        <v>176.38</v>
      </c>
      <c r="BF236" s="26">
        <f>IFERROR(__xludf.DUMMYFUNCTION("""COMPUTED_VALUE"""),88.24)</f>
        <v>88.24</v>
      </c>
      <c r="BG236" s="26">
        <f>IFERROR(__xludf.DUMMYFUNCTION("""COMPUTED_VALUE"""),5.83)</f>
        <v>5.83</v>
      </c>
      <c r="BH236" s="26">
        <f>IFERROR(__xludf.DUMMYFUNCTION("""COMPUTED_VALUE"""),220.26)</f>
        <v>220.26</v>
      </c>
      <c r="BI236" s="26">
        <f>IFERROR(__xludf.DUMMYFUNCTION("""COMPUTED_VALUE"""),454.11)</f>
        <v>454.11</v>
      </c>
      <c r="BJ236" s="26">
        <f>IFERROR(__xludf.DUMMYFUNCTION("""COMPUTED_VALUE"""),49.86)</f>
        <v>49.86</v>
      </c>
      <c r="BK236" s="26">
        <f>IFERROR(__xludf.DUMMYFUNCTION("""COMPUTED_VALUE"""),7.56)</f>
        <v>7.56</v>
      </c>
      <c r="BL236" s="26">
        <f>IFERROR(__xludf.DUMMYFUNCTION("""COMPUTED_VALUE"""),230.91)</f>
        <v>230.91</v>
      </c>
      <c r="BM236" s="26">
        <f>IFERROR(__xludf.DUMMYFUNCTION("""COMPUTED_VALUE"""),84.81)</f>
        <v>84.81</v>
      </c>
    </row>
    <row r="237">
      <c r="A237" s="25">
        <v>45769.66666666667</v>
      </c>
      <c r="B237" s="17">
        <f>IFERROR(__xludf.DUMMYFUNCTION("""COMPUTED_VALUE"""),5158.2)</f>
        <v>5158.2</v>
      </c>
      <c r="C237" s="17">
        <f>IFERROR(__xludf.DUMMYFUNCTION("""COMPUTED_VALUE"""),15870.9)</f>
        <v>15870.9</v>
      </c>
      <c r="D237" s="17">
        <f>IFERROR(__xludf.DUMMYFUNCTION("""COMPUTED_VALUE"""),38170.41)</f>
        <v>38170.41</v>
      </c>
      <c r="E237" s="17">
        <f>IFERROR(__xludf.DUMMYFUNCTION("""COMPUTED_VALUE"""),1840.32)</f>
        <v>1840.32</v>
      </c>
      <c r="F237" s="26">
        <f>IFERROR(__xludf.DUMMYFUNCTION("""COMPUTED_VALUE"""),343.22)</f>
        <v>343.22</v>
      </c>
      <c r="G237" s="26">
        <f>IFERROR(__xludf.DUMMYFUNCTION("""COMPUTED_VALUE"""),167.32)</f>
        <v>167.32</v>
      </c>
      <c r="H237" s="26">
        <f>IFERROR(__xludf.DUMMYFUNCTION("""COMPUTED_VALUE"""),147.13)</f>
        <v>147.13</v>
      </c>
      <c r="I237" s="26">
        <f>IFERROR(__xludf.DUMMYFUNCTION("""COMPUTED_VALUE"""),193.16)</f>
        <v>193.16</v>
      </c>
      <c r="J237" s="26">
        <f>IFERROR(__xludf.DUMMYFUNCTION("""COMPUTED_VALUE"""),135.56)</f>
        <v>135.56</v>
      </c>
      <c r="K237" s="26">
        <f>IFERROR(__xludf.DUMMYFUNCTION("""COMPUTED_VALUE"""),74.04)</f>
        <v>74.04</v>
      </c>
      <c r="L237" s="26">
        <f>IFERROR(__xludf.DUMMYFUNCTION("""COMPUTED_VALUE"""),14.5)</f>
        <v>14.5</v>
      </c>
      <c r="M237" s="26">
        <f>IFERROR(__xludf.DUMMYFUNCTION("""COMPUTED_VALUE"""),506.92)</f>
        <v>506.92</v>
      </c>
      <c r="N237" s="26">
        <f>IFERROR(__xludf.DUMMYFUNCTION("""COMPUTED_VALUE"""),46.89)</f>
        <v>46.89</v>
      </c>
      <c r="O237" s="26">
        <f>IFERROR(__xludf.DUMMYFUNCTION("""COMPUTED_VALUE"""),116.49)</f>
        <v>116.49</v>
      </c>
      <c r="P237" s="26">
        <f>IFERROR(__xludf.DUMMYFUNCTION("""COMPUTED_VALUE"""),58.18)</f>
        <v>58.18</v>
      </c>
      <c r="Q237" s="26">
        <f>IFERROR(__xludf.DUMMYFUNCTION("""COMPUTED_VALUE"""),284.74)</f>
        <v>284.74</v>
      </c>
      <c r="R237" s="26">
        <f>IFERROR(__xludf.DUMMYFUNCTION("""COMPUTED_VALUE"""),39.61)</f>
        <v>39.61</v>
      </c>
      <c r="S237" s="26">
        <f>IFERROR(__xludf.DUMMYFUNCTION("""COMPUTED_VALUE"""),207.36)</f>
        <v>207.36</v>
      </c>
      <c r="T237" s="26">
        <f>IFERROR(__xludf.DUMMYFUNCTION("""COMPUTED_VALUE"""),133.73)</f>
        <v>133.73</v>
      </c>
      <c r="U237" s="26">
        <f>IFERROR(__xludf.DUMMYFUNCTION("""COMPUTED_VALUE"""),324.77)</f>
        <v>324.77</v>
      </c>
      <c r="V237" s="26">
        <f>IFERROR(__xludf.DUMMYFUNCTION("""COMPUTED_VALUE"""),34.49)</f>
        <v>34.49</v>
      </c>
      <c r="W237" s="26">
        <f>IFERROR(__xludf.DUMMYFUNCTION("""COMPUTED_VALUE"""),72.77)</f>
        <v>72.77</v>
      </c>
      <c r="X237" s="26">
        <f>IFERROR(__xludf.DUMMYFUNCTION("""COMPUTED_VALUE"""),110.96)</f>
        <v>110.96</v>
      </c>
      <c r="Y237" s="26">
        <f>IFERROR(__xludf.DUMMYFUNCTION("""COMPUTED_VALUE"""),146.34)</f>
        <v>146.34</v>
      </c>
      <c r="Z237" s="26">
        <f>IFERROR(__xludf.DUMMYFUNCTION("""COMPUTED_VALUE"""),79.65)</f>
        <v>79.65</v>
      </c>
      <c r="AA237" s="26">
        <f>IFERROR(__xludf.DUMMYFUNCTION("""COMPUTED_VALUE"""),468.27)</f>
        <v>468.27</v>
      </c>
      <c r="AB237" s="26">
        <f>IFERROR(__xludf.DUMMYFUNCTION("""COMPUTED_VALUE"""),65.63)</f>
        <v>65.63</v>
      </c>
      <c r="AC237" s="26">
        <f>IFERROR(__xludf.DUMMYFUNCTION("""COMPUTED_VALUE"""),105.35)</f>
        <v>105.35</v>
      </c>
      <c r="AD237" s="26">
        <f>IFERROR(__xludf.DUMMYFUNCTION("""COMPUTED_VALUE"""),205.12)</f>
        <v>205.12</v>
      </c>
      <c r="AE237" s="26">
        <f>IFERROR(__xludf.DUMMYFUNCTION("""COMPUTED_VALUE"""),434.76)</f>
        <v>434.76</v>
      </c>
      <c r="AF237" s="26">
        <f>IFERROR(__xludf.DUMMYFUNCTION("""COMPUTED_VALUE"""),273.18)</f>
        <v>273.18</v>
      </c>
      <c r="AG237" s="26">
        <f>IFERROR(__xludf.DUMMYFUNCTION("""COMPUTED_VALUE"""),44.39)</f>
        <v>44.39</v>
      </c>
      <c r="AH237" s="26">
        <f>IFERROR(__xludf.DUMMYFUNCTION("""COMPUTED_VALUE"""),104.33)</f>
        <v>104.33</v>
      </c>
      <c r="AI237" s="26">
        <f>IFERROR(__xludf.DUMMYFUNCTION("""COMPUTED_VALUE"""),501.36)</f>
        <v>501.36</v>
      </c>
      <c r="AJ237" s="26">
        <f>IFERROR(__xludf.DUMMYFUNCTION("""COMPUTED_VALUE"""),346.9)</f>
        <v>346.9</v>
      </c>
      <c r="AK237" s="26">
        <f>IFERROR(__xludf.DUMMYFUNCTION("""COMPUTED_VALUE"""),138.13)</f>
        <v>138.13</v>
      </c>
      <c r="AL237" s="26">
        <f>IFERROR(__xludf.DUMMYFUNCTION("""COMPUTED_VALUE"""),155.03)</f>
        <v>155.03</v>
      </c>
      <c r="AM237" s="26">
        <f>IFERROR(__xludf.DUMMYFUNCTION("""COMPUTED_VALUE"""),468.32)</f>
        <v>468.32</v>
      </c>
      <c r="AN237" s="26">
        <f>IFERROR(__xludf.DUMMYFUNCTION("""COMPUTED_VALUE"""),228.99)</f>
        <v>228.99</v>
      </c>
      <c r="AO237" s="26">
        <f>IFERROR(__xludf.DUMMYFUNCTION("""COMPUTED_VALUE"""),458.33)</f>
        <v>458.33</v>
      </c>
      <c r="AP237" s="26">
        <f>IFERROR(__xludf.DUMMYFUNCTION("""COMPUTED_VALUE"""),253.91)</f>
        <v>253.91</v>
      </c>
      <c r="AQ237" s="26">
        <f>IFERROR(__xludf.DUMMYFUNCTION("""COMPUTED_VALUE"""),28.4)</f>
        <v>28.4</v>
      </c>
      <c r="AR237" s="26">
        <f>IFERROR(__xludf.DUMMYFUNCTION("""COMPUTED_VALUE"""),81.8)</f>
        <v>81.8</v>
      </c>
      <c r="AS237" s="26">
        <f>IFERROR(__xludf.DUMMYFUNCTION("""COMPUTED_VALUE"""),70.4)</f>
        <v>70.4</v>
      </c>
      <c r="AT237" s="26">
        <f>IFERROR(__xludf.DUMMYFUNCTION("""COMPUTED_VALUE"""),359.12)</f>
        <v>359.12</v>
      </c>
      <c r="AU237" s="26">
        <f>IFERROR(__xludf.DUMMYFUNCTION("""COMPUTED_VALUE"""),64.68)</f>
        <v>64.68</v>
      </c>
      <c r="AV237" s="26">
        <f>IFERROR(__xludf.DUMMYFUNCTION("""COMPUTED_VALUE"""),96.91)</f>
        <v>96.91</v>
      </c>
      <c r="AW237" s="26">
        <f>IFERROR(__xludf.DUMMYFUNCTION("""COMPUTED_VALUE"""),97.05)</f>
        <v>97.05</v>
      </c>
      <c r="AX237" s="26">
        <f>IFERROR(__xludf.DUMMYFUNCTION("""COMPUTED_VALUE"""),41.31)</f>
        <v>41.31</v>
      </c>
      <c r="AY237" s="26">
        <f>IFERROR(__xludf.DUMMYFUNCTION("""COMPUTED_VALUE"""),90.8)</f>
        <v>90.8</v>
      </c>
      <c r="AZ237" s="26">
        <f>IFERROR(__xludf.DUMMYFUNCTION("""COMPUTED_VALUE"""),60.29)</f>
        <v>60.29</v>
      </c>
      <c r="BA237" s="26">
        <f>IFERROR(__xludf.DUMMYFUNCTION("""COMPUTED_VALUE"""),22.04)</f>
        <v>22.04</v>
      </c>
      <c r="BB237" s="26">
        <f>IFERROR(__xludf.DUMMYFUNCTION("""COMPUTED_VALUE"""),126.12)</f>
        <v>126.12</v>
      </c>
      <c r="BC237" s="26">
        <f>IFERROR(__xludf.DUMMYFUNCTION("""COMPUTED_VALUE"""),253.48)</f>
        <v>253.48</v>
      </c>
      <c r="BD237" s="26">
        <f>IFERROR(__xludf.DUMMYFUNCTION("""COMPUTED_VALUE"""),421.85)</f>
        <v>421.85</v>
      </c>
      <c r="BE237" s="26">
        <f>IFERROR(__xludf.DUMMYFUNCTION("""COMPUTED_VALUE"""),174.52)</f>
        <v>174.52</v>
      </c>
      <c r="BF237" s="26">
        <f>IFERROR(__xludf.DUMMYFUNCTION("""COMPUTED_VALUE"""),87.72)</f>
        <v>87.72</v>
      </c>
      <c r="BG237" s="26">
        <f>IFERROR(__xludf.DUMMYFUNCTION("""COMPUTED_VALUE"""),5.74)</f>
        <v>5.74</v>
      </c>
      <c r="BH237" s="26">
        <f>IFERROR(__xludf.DUMMYFUNCTION("""COMPUTED_VALUE"""),216.05)</f>
        <v>216.05</v>
      </c>
      <c r="BI237" s="26">
        <f>IFERROR(__xludf.DUMMYFUNCTION("""COMPUTED_VALUE"""),425.33)</f>
        <v>425.33</v>
      </c>
      <c r="BJ237" s="26">
        <f>IFERROR(__xludf.DUMMYFUNCTION("""COMPUTED_VALUE"""),49.79)</f>
        <v>49.79</v>
      </c>
      <c r="BK237" s="26">
        <f>IFERROR(__xludf.DUMMYFUNCTION("""COMPUTED_VALUE"""),7.57)</f>
        <v>7.57</v>
      </c>
      <c r="BL237" s="26">
        <f>IFERROR(__xludf.DUMMYFUNCTION("""COMPUTED_VALUE"""),227.57)</f>
        <v>227.57</v>
      </c>
      <c r="BM237" s="26">
        <f>IFERROR(__xludf.DUMMYFUNCTION("""COMPUTED_VALUE"""),84.0)</f>
        <v>84</v>
      </c>
    </row>
    <row r="238">
      <c r="A238" s="25">
        <v>45770.66666666667</v>
      </c>
      <c r="B238" s="17">
        <f>IFERROR(__xludf.DUMMYFUNCTION("""COMPUTED_VALUE"""),5287.76)</f>
        <v>5287.76</v>
      </c>
      <c r="C238" s="17">
        <f>IFERROR(__xludf.DUMMYFUNCTION("""COMPUTED_VALUE"""),16300.42)</f>
        <v>16300.42</v>
      </c>
      <c r="D238" s="17">
        <f>IFERROR(__xludf.DUMMYFUNCTION("""COMPUTED_VALUE"""),39186.98)</f>
        <v>39186.98</v>
      </c>
      <c r="E238" s="17">
        <f>IFERROR(__xludf.DUMMYFUNCTION("""COMPUTED_VALUE"""),1890.28)</f>
        <v>1890.28</v>
      </c>
      <c r="F238" s="26">
        <f>IFERROR(__xludf.DUMMYFUNCTION("""COMPUTED_VALUE"""),349.91)</f>
        <v>349.91</v>
      </c>
      <c r="G238" s="26">
        <f>IFERROR(__xludf.DUMMYFUNCTION("""COMPUTED_VALUE"""),173.18)</f>
        <v>173.18</v>
      </c>
      <c r="H238" s="26">
        <f>IFERROR(__xludf.DUMMYFUNCTION("""COMPUTED_VALUE"""),149.26)</f>
        <v>149.26</v>
      </c>
      <c r="I238" s="26">
        <f>IFERROR(__xludf.DUMMYFUNCTION("""COMPUTED_VALUE"""),199.74)</f>
        <v>199.74</v>
      </c>
      <c r="J238" s="26">
        <f>IFERROR(__xludf.DUMMYFUNCTION("""COMPUTED_VALUE"""),138.3)</f>
        <v>138.3</v>
      </c>
      <c r="K238" s="26">
        <f>IFERROR(__xludf.DUMMYFUNCTION("""COMPUTED_VALUE"""),76.31)</f>
        <v>76.31</v>
      </c>
      <c r="L238" s="26">
        <f>IFERROR(__xludf.DUMMYFUNCTION("""COMPUTED_VALUE"""),15.23)</f>
        <v>15.23</v>
      </c>
      <c r="M238" s="26">
        <f>IFERROR(__xludf.DUMMYFUNCTION("""COMPUTED_VALUE"""),520.79)</f>
        <v>520.79</v>
      </c>
      <c r="N238" s="26">
        <f>IFERROR(__xludf.DUMMYFUNCTION("""COMPUTED_VALUE"""),47.65)</f>
        <v>47.65</v>
      </c>
      <c r="O238" s="26">
        <f>IFERROR(__xludf.DUMMYFUNCTION("""COMPUTED_VALUE"""),118.89)</f>
        <v>118.89</v>
      </c>
      <c r="P238" s="26">
        <f>IFERROR(__xludf.DUMMYFUNCTION("""COMPUTED_VALUE"""),59.47)</f>
        <v>59.47</v>
      </c>
      <c r="Q238" s="26">
        <f>IFERROR(__xludf.DUMMYFUNCTION("""COMPUTED_VALUE"""),291.17)</f>
        <v>291.17</v>
      </c>
      <c r="R238" s="26">
        <f>IFERROR(__xludf.DUMMYFUNCTION("""COMPUTED_VALUE"""),40.18)</f>
        <v>40.18</v>
      </c>
      <c r="S238" s="26">
        <f>IFERROR(__xludf.DUMMYFUNCTION("""COMPUTED_VALUE"""),212.31)</f>
        <v>212.31</v>
      </c>
      <c r="T238" s="26">
        <f>IFERROR(__xludf.DUMMYFUNCTION("""COMPUTED_VALUE"""),137.3)</f>
        <v>137.3</v>
      </c>
      <c r="U238" s="26">
        <f>IFERROR(__xludf.DUMMYFUNCTION("""COMPUTED_VALUE"""),337.07)</f>
        <v>337.07</v>
      </c>
      <c r="V238" s="26">
        <f>IFERROR(__xludf.DUMMYFUNCTION("""COMPUTED_VALUE"""),35.82)</f>
        <v>35.82</v>
      </c>
      <c r="W238" s="26">
        <f>IFERROR(__xludf.DUMMYFUNCTION("""COMPUTED_VALUE"""),73.9)</f>
        <v>73.9</v>
      </c>
      <c r="X238" s="26">
        <f>IFERROR(__xludf.DUMMYFUNCTION("""COMPUTED_VALUE"""),113.3)</f>
        <v>113.3</v>
      </c>
      <c r="Y238" s="26">
        <f>IFERROR(__xludf.DUMMYFUNCTION("""COMPUTED_VALUE"""),148.89)</f>
        <v>148.89</v>
      </c>
      <c r="Z238" s="26">
        <f>IFERROR(__xludf.DUMMYFUNCTION("""COMPUTED_VALUE"""),82.16)</f>
        <v>82.16</v>
      </c>
      <c r="AA238" s="26">
        <f>IFERROR(__xludf.DUMMYFUNCTION("""COMPUTED_VALUE"""),486.14)</f>
        <v>486.14</v>
      </c>
      <c r="AB238" s="26">
        <f>IFERROR(__xludf.DUMMYFUNCTION("""COMPUTED_VALUE"""),67.05)</f>
        <v>67.05</v>
      </c>
      <c r="AC238" s="26">
        <f>IFERROR(__xludf.DUMMYFUNCTION("""COMPUTED_VALUE"""),108.3)</f>
        <v>108.3</v>
      </c>
      <c r="AD238" s="26">
        <f>IFERROR(__xludf.DUMMYFUNCTION("""COMPUTED_VALUE"""),206.57)</f>
        <v>206.57</v>
      </c>
      <c r="AE238" s="26">
        <f>IFERROR(__xludf.DUMMYFUNCTION("""COMPUTED_VALUE"""),447.16)</f>
        <v>447.16</v>
      </c>
      <c r="AF238" s="26">
        <f>IFERROR(__xludf.DUMMYFUNCTION("""COMPUTED_VALUE"""),274.8)</f>
        <v>274.8</v>
      </c>
      <c r="AG238" s="26">
        <f>IFERROR(__xludf.DUMMYFUNCTION("""COMPUTED_VALUE"""),45.16)</f>
        <v>45.16</v>
      </c>
      <c r="AH238" s="26">
        <f>IFERROR(__xludf.DUMMYFUNCTION("""COMPUTED_VALUE"""),105.51)</f>
        <v>105.51</v>
      </c>
      <c r="AI238" s="26">
        <f>IFERROR(__xludf.DUMMYFUNCTION("""COMPUTED_VALUE"""),519.99)</f>
        <v>519.99</v>
      </c>
      <c r="AJ238" s="26">
        <f>IFERROR(__xludf.DUMMYFUNCTION("""COMPUTED_VALUE"""),354.43)</f>
        <v>354.43</v>
      </c>
      <c r="AK238" s="26">
        <f>IFERROR(__xludf.DUMMYFUNCTION("""COMPUTED_VALUE"""),135.38)</f>
        <v>135.38</v>
      </c>
      <c r="AL238" s="26">
        <f>IFERROR(__xludf.DUMMYFUNCTION("""COMPUTED_VALUE"""),160.68)</f>
        <v>160.68</v>
      </c>
      <c r="AM238" s="26">
        <f>IFERROR(__xludf.DUMMYFUNCTION("""COMPUTED_VALUE"""),478.74)</f>
        <v>478.74</v>
      </c>
      <c r="AN238" s="26">
        <f>IFERROR(__xludf.DUMMYFUNCTION("""COMPUTED_VALUE"""),235.59)</f>
        <v>235.59</v>
      </c>
      <c r="AO238" s="26">
        <f>IFERROR(__xludf.DUMMYFUNCTION("""COMPUTED_VALUE"""),462.08)</f>
        <v>462.08</v>
      </c>
      <c r="AP238" s="26">
        <f>IFERROR(__xludf.DUMMYFUNCTION("""COMPUTED_VALUE"""),261.71)</f>
        <v>261.71</v>
      </c>
      <c r="AQ238" s="26">
        <f>IFERROR(__xludf.DUMMYFUNCTION("""COMPUTED_VALUE"""),29.23)</f>
        <v>29.23</v>
      </c>
      <c r="AR238" s="26">
        <f>IFERROR(__xludf.DUMMYFUNCTION("""COMPUTED_VALUE"""),83.37)</f>
        <v>83.37</v>
      </c>
      <c r="AS238" s="26">
        <f>IFERROR(__xludf.DUMMYFUNCTION("""COMPUTED_VALUE"""),73.09)</f>
        <v>73.09</v>
      </c>
      <c r="AT238" s="26">
        <f>IFERROR(__xludf.DUMMYFUNCTION("""COMPUTED_VALUE"""),366.82)</f>
        <v>366.82</v>
      </c>
      <c r="AU238" s="26">
        <f>IFERROR(__xludf.DUMMYFUNCTION("""COMPUTED_VALUE"""),66.64)</f>
        <v>66.64</v>
      </c>
      <c r="AV238" s="26">
        <f>IFERROR(__xludf.DUMMYFUNCTION("""COMPUTED_VALUE"""),98.89)</f>
        <v>98.89</v>
      </c>
      <c r="AW238" s="26">
        <f>IFERROR(__xludf.DUMMYFUNCTION("""COMPUTED_VALUE"""),98.95)</f>
        <v>98.95</v>
      </c>
      <c r="AX238" s="26">
        <f>IFERROR(__xludf.DUMMYFUNCTION("""COMPUTED_VALUE"""),42.63)</f>
        <v>42.63</v>
      </c>
      <c r="AY238" s="26">
        <f>IFERROR(__xludf.DUMMYFUNCTION("""COMPUTED_VALUE"""),93.99)</f>
        <v>93.99</v>
      </c>
      <c r="AZ238" s="26">
        <f>IFERROR(__xludf.DUMMYFUNCTION("""COMPUTED_VALUE"""),61.42)</f>
        <v>61.42</v>
      </c>
      <c r="BA238" s="26">
        <f>IFERROR(__xludf.DUMMYFUNCTION("""COMPUTED_VALUE"""),22.53)</f>
        <v>22.53</v>
      </c>
      <c r="BB238" s="26">
        <f>IFERROR(__xludf.DUMMYFUNCTION("""COMPUTED_VALUE"""),113.75)</f>
        <v>113.75</v>
      </c>
      <c r="BC238" s="26">
        <f>IFERROR(__xludf.DUMMYFUNCTION("""COMPUTED_VALUE"""),258.3)</f>
        <v>258.3</v>
      </c>
      <c r="BD238" s="26">
        <f>IFERROR(__xludf.DUMMYFUNCTION("""COMPUTED_VALUE"""),434.73)</f>
        <v>434.73</v>
      </c>
      <c r="BE238" s="26">
        <f>IFERROR(__xludf.DUMMYFUNCTION("""COMPUTED_VALUE"""),178.7)</f>
        <v>178.7</v>
      </c>
      <c r="BF238" s="26">
        <f>IFERROR(__xludf.DUMMYFUNCTION("""COMPUTED_VALUE"""),91.21)</f>
        <v>91.21</v>
      </c>
      <c r="BG238" s="26">
        <f>IFERROR(__xludf.DUMMYFUNCTION("""COMPUTED_VALUE"""),5.86)</f>
        <v>5.86</v>
      </c>
      <c r="BH238" s="26">
        <f>IFERROR(__xludf.DUMMYFUNCTION("""COMPUTED_VALUE"""),216.9)</f>
        <v>216.9</v>
      </c>
      <c r="BI238" s="26">
        <f>IFERROR(__xludf.DUMMYFUNCTION("""COMPUTED_VALUE"""),427.18)</f>
        <v>427.18</v>
      </c>
      <c r="BJ238" s="26">
        <f>IFERROR(__xludf.DUMMYFUNCTION("""COMPUTED_VALUE"""),49.87)</f>
        <v>49.87</v>
      </c>
      <c r="BK238" s="26">
        <f>IFERROR(__xludf.DUMMYFUNCTION("""COMPUTED_VALUE"""),7.69)</f>
        <v>7.69</v>
      </c>
      <c r="BL238" s="26">
        <f>IFERROR(__xludf.DUMMYFUNCTION("""COMPUTED_VALUE"""),229.96)</f>
        <v>229.96</v>
      </c>
      <c r="BM238" s="26">
        <f>IFERROR(__xludf.DUMMYFUNCTION("""COMPUTED_VALUE"""),86.09)</f>
        <v>86.09</v>
      </c>
    </row>
    <row r="239">
      <c r="A239" s="25">
        <v>45771.66666666667</v>
      </c>
      <c r="B239" s="17">
        <f>IFERROR(__xludf.DUMMYFUNCTION("""COMPUTED_VALUE"""),5375.86)</f>
        <v>5375.86</v>
      </c>
      <c r="C239" s="17">
        <f>IFERROR(__xludf.DUMMYFUNCTION("""COMPUTED_VALUE"""),16708.05)</f>
        <v>16708.05</v>
      </c>
      <c r="D239" s="17">
        <f>IFERROR(__xludf.DUMMYFUNCTION("""COMPUTED_VALUE"""),39606.57)</f>
        <v>39606.57</v>
      </c>
      <c r="E239" s="17">
        <f>IFERROR(__xludf.DUMMYFUNCTION("""COMPUTED_VALUE"""),1919.14)</f>
        <v>1919.14</v>
      </c>
      <c r="F239" s="26">
        <f>IFERROR(__xludf.DUMMYFUNCTION("""COMPUTED_VALUE"""),351.96)</f>
        <v>351.96</v>
      </c>
      <c r="G239" s="26">
        <f>IFERROR(__xludf.DUMMYFUNCTION("""COMPUTED_VALUE"""),180.6)</f>
        <v>180.6</v>
      </c>
      <c r="H239" s="26">
        <f>IFERROR(__xludf.DUMMYFUNCTION("""COMPUTED_VALUE"""),147.17)</f>
        <v>147.17</v>
      </c>
      <c r="I239" s="26">
        <f>IFERROR(__xludf.DUMMYFUNCTION("""COMPUTED_VALUE"""),204.6)</f>
        <v>204.6</v>
      </c>
      <c r="J239" s="26">
        <f>IFERROR(__xludf.DUMMYFUNCTION("""COMPUTED_VALUE"""),143.58)</f>
        <v>143.58</v>
      </c>
      <c r="K239" s="26">
        <f>IFERROR(__xludf.DUMMYFUNCTION("""COMPUTED_VALUE"""),77.73)</f>
        <v>77.73</v>
      </c>
      <c r="L239" s="26">
        <f>IFERROR(__xludf.DUMMYFUNCTION("""COMPUTED_VALUE"""),15.64)</f>
        <v>15.64</v>
      </c>
      <c r="M239" s="26">
        <f>IFERROR(__xludf.DUMMYFUNCTION("""COMPUTED_VALUE"""),526.81)</f>
        <v>526.81</v>
      </c>
      <c r="N239" s="26">
        <f>IFERROR(__xludf.DUMMYFUNCTION("""COMPUTED_VALUE"""),48.38)</f>
        <v>48.38</v>
      </c>
      <c r="O239" s="26">
        <f>IFERROR(__xludf.DUMMYFUNCTION("""COMPUTED_VALUE"""),118.17)</f>
        <v>118.17</v>
      </c>
      <c r="P239" s="26">
        <f>IFERROR(__xludf.DUMMYFUNCTION("""COMPUTED_VALUE"""),58.6)</f>
        <v>58.6</v>
      </c>
      <c r="Q239" s="26">
        <f>IFERROR(__xludf.DUMMYFUNCTION("""COMPUTED_VALUE"""),295.77)</f>
        <v>295.77</v>
      </c>
      <c r="R239" s="26">
        <f>IFERROR(__xludf.DUMMYFUNCTION("""COMPUTED_VALUE"""),41.97)</f>
        <v>41.97</v>
      </c>
      <c r="S239" s="26">
        <f>IFERROR(__xludf.DUMMYFUNCTION("""COMPUTED_VALUE"""),204.26)</f>
        <v>204.26</v>
      </c>
      <c r="T239" s="26">
        <f>IFERROR(__xludf.DUMMYFUNCTION("""COMPUTED_VALUE"""),136.68)</f>
        <v>136.68</v>
      </c>
      <c r="U239" s="26">
        <f>IFERROR(__xludf.DUMMYFUNCTION("""COMPUTED_VALUE"""),336.69)</f>
        <v>336.69</v>
      </c>
      <c r="V239" s="26">
        <f>IFERROR(__xludf.DUMMYFUNCTION("""COMPUTED_VALUE"""),36.49)</f>
        <v>36.49</v>
      </c>
      <c r="W239" s="26">
        <f>IFERROR(__xludf.DUMMYFUNCTION("""COMPUTED_VALUE"""),73.3)</f>
        <v>73.3</v>
      </c>
      <c r="X239" s="26">
        <f>IFERROR(__xludf.DUMMYFUNCTION("""COMPUTED_VALUE"""),112.52)</f>
        <v>112.52</v>
      </c>
      <c r="Y239" s="26">
        <f>IFERROR(__xludf.DUMMYFUNCTION("""COMPUTED_VALUE"""),151.59)</f>
        <v>151.59</v>
      </c>
      <c r="Z239" s="26">
        <f>IFERROR(__xludf.DUMMYFUNCTION("""COMPUTED_VALUE"""),83.43)</f>
        <v>83.43</v>
      </c>
      <c r="AA239" s="26">
        <f>IFERROR(__xludf.DUMMYFUNCTION("""COMPUTED_VALUE"""),485.88)</f>
        <v>485.88</v>
      </c>
      <c r="AB239" s="26">
        <f>IFERROR(__xludf.DUMMYFUNCTION("""COMPUTED_VALUE"""),66.63)</f>
        <v>66.63</v>
      </c>
      <c r="AC239" s="26">
        <f>IFERROR(__xludf.DUMMYFUNCTION("""COMPUTED_VALUE"""),107.37)</f>
        <v>107.37</v>
      </c>
      <c r="AD239" s="26">
        <f>IFERROR(__xludf.DUMMYFUNCTION("""COMPUTED_VALUE"""),211.04)</f>
        <v>211.04</v>
      </c>
      <c r="AE239" s="26">
        <f>IFERROR(__xludf.DUMMYFUNCTION("""COMPUTED_VALUE"""),441.68)</f>
        <v>441.68</v>
      </c>
      <c r="AF239" s="26">
        <f>IFERROR(__xludf.DUMMYFUNCTION("""COMPUTED_VALUE"""),265.73)</f>
        <v>265.73</v>
      </c>
      <c r="AG239" s="26">
        <f>IFERROR(__xludf.DUMMYFUNCTION("""COMPUTED_VALUE"""),45.84)</f>
        <v>45.84</v>
      </c>
      <c r="AH239" s="26">
        <f>IFERROR(__xludf.DUMMYFUNCTION("""COMPUTED_VALUE"""),106.38)</f>
        <v>106.38</v>
      </c>
      <c r="AI239" s="26">
        <f>IFERROR(__xludf.DUMMYFUNCTION("""COMPUTED_VALUE"""),529.31)</f>
        <v>529.31</v>
      </c>
      <c r="AJ239" s="26">
        <f>IFERROR(__xludf.DUMMYFUNCTION("""COMPUTED_VALUE"""),356.42)</f>
        <v>356.42</v>
      </c>
      <c r="AK239" s="26">
        <f>IFERROR(__xludf.DUMMYFUNCTION("""COMPUTED_VALUE"""),137.21)</f>
        <v>137.21</v>
      </c>
      <c r="AL239" s="26">
        <f>IFERROR(__xludf.DUMMYFUNCTION("""COMPUTED_VALUE"""),160.99)</f>
        <v>160.99</v>
      </c>
      <c r="AM239" s="26">
        <f>IFERROR(__xludf.DUMMYFUNCTION("""COMPUTED_VALUE"""),487.93)</f>
        <v>487.93</v>
      </c>
      <c r="AN239" s="26">
        <f>IFERROR(__xludf.DUMMYFUNCTION("""COMPUTED_VALUE"""),240.88)</f>
        <v>240.88</v>
      </c>
      <c r="AO239" s="26">
        <f>IFERROR(__xludf.DUMMYFUNCTION("""COMPUTED_VALUE"""),463.55)</f>
        <v>463.55</v>
      </c>
      <c r="AP239" s="26">
        <f>IFERROR(__xludf.DUMMYFUNCTION("""COMPUTED_VALUE"""),265.85)</f>
        <v>265.85</v>
      </c>
      <c r="AQ239" s="26">
        <f>IFERROR(__xludf.DUMMYFUNCTION("""COMPUTED_VALUE"""),29.76)</f>
        <v>29.76</v>
      </c>
      <c r="AR239" s="26">
        <f>IFERROR(__xludf.DUMMYFUNCTION("""COMPUTED_VALUE"""),83.75)</f>
        <v>83.75</v>
      </c>
      <c r="AS239" s="26">
        <f>IFERROR(__xludf.DUMMYFUNCTION("""COMPUTED_VALUE"""),74.24)</f>
        <v>74.24</v>
      </c>
      <c r="AT239" s="26">
        <f>IFERROR(__xludf.DUMMYFUNCTION("""COMPUTED_VALUE"""),374.39)</f>
        <v>374.39</v>
      </c>
      <c r="AU239" s="26">
        <f>IFERROR(__xludf.DUMMYFUNCTION("""COMPUTED_VALUE"""),67.27)</f>
        <v>67.27</v>
      </c>
      <c r="AV239" s="26">
        <f>IFERROR(__xludf.DUMMYFUNCTION("""COMPUTED_VALUE"""),102.71)</f>
        <v>102.71</v>
      </c>
      <c r="AW239" s="26">
        <f>IFERROR(__xludf.DUMMYFUNCTION("""COMPUTED_VALUE"""),92.3)</f>
        <v>92.3</v>
      </c>
      <c r="AX239" s="26">
        <f>IFERROR(__xludf.DUMMYFUNCTION("""COMPUTED_VALUE"""),43.93)</f>
        <v>43.93</v>
      </c>
      <c r="AY239" s="26">
        <f>IFERROR(__xludf.DUMMYFUNCTION("""COMPUTED_VALUE"""),100.82)</f>
        <v>100.82</v>
      </c>
      <c r="AZ239" s="26">
        <f>IFERROR(__xludf.DUMMYFUNCTION("""COMPUTED_VALUE"""),62.46)</f>
        <v>62.46</v>
      </c>
      <c r="BA239" s="26">
        <f>IFERROR(__xludf.DUMMYFUNCTION("""COMPUTED_VALUE"""),22.39)</f>
        <v>22.39</v>
      </c>
      <c r="BB239" s="26">
        <f>IFERROR(__xludf.DUMMYFUNCTION("""COMPUTED_VALUE"""),120.28)</f>
        <v>120.28</v>
      </c>
      <c r="BC239" s="26">
        <f>IFERROR(__xludf.DUMMYFUNCTION("""COMPUTED_VALUE"""),259.35)</f>
        <v>259.35</v>
      </c>
      <c r="BD239" s="26">
        <f>IFERROR(__xludf.DUMMYFUNCTION("""COMPUTED_VALUE"""),431.64)</f>
        <v>431.64</v>
      </c>
      <c r="BE239" s="26">
        <f>IFERROR(__xludf.DUMMYFUNCTION("""COMPUTED_VALUE"""),181.43)</f>
        <v>181.43</v>
      </c>
      <c r="BF239" s="26">
        <f>IFERROR(__xludf.DUMMYFUNCTION("""COMPUTED_VALUE"""),92.25)</f>
        <v>92.25</v>
      </c>
      <c r="BG239" s="26">
        <f>IFERROR(__xludf.DUMMYFUNCTION("""COMPUTED_VALUE"""),5.78)</f>
        <v>5.78</v>
      </c>
      <c r="BH239" s="26">
        <f>IFERROR(__xludf.DUMMYFUNCTION("""COMPUTED_VALUE"""),219.78)</f>
        <v>219.78</v>
      </c>
      <c r="BI239" s="26">
        <f>IFERROR(__xludf.DUMMYFUNCTION("""COMPUTED_VALUE"""),427.96)</f>
        <v>427.96</v>
      </c>
      <c r="BJ239" s="26">
        <f>IFERROR(__xludf.DUMMYFUNCTION("""COMPUTED_VALUE"""),49.85)</f>
        <v>49.85</v>
      </c>
      <c r="BK239" s="26">
        <f>IFERROR(__xludf.DUMMYFUNCTION("""COMPUTED_VALUE"""),7.81)</f>
        <v>7.81</v>
      </c>
      <c r="BL239" s="26">
        <f>IFERROR(__xludf.DUMMYFUNCTION("""COMPUTED_VALUE"""),228.63)</f>
        <v>228.63</v>
      </c>
      <c r="BM239" s="26">
        <f>IFERROR(__xludf.DUMMYFUNCTION("""COMPUTED_VALUE"""),87.29)</f>
        <v>87.29</v>
      </c>
    </row>
    <row r="240">
      <c r="A240" s="25">
        <v>45772.66666666667</v>
      </c>
      <c r="B240" s="17">
        <f>IFERROR(__xludf.DUMMYFUNCTION("""COMPUTED_VALUE"""),5484.77)</f>
        <v>5484.77</v>
      </c>
      <c r="C240" s="17">
        <f>IFERROR(__xludf.DUMMYFUNCTION("""COMPUTED_VALUE"""),17166.04)</f>
        <v>17166.04</v>
      </c>
      <c r="D240" s="17">
        <f>IFERROR(__xludf.DUMMYFUNCTION("""COMPUTED_VALUE"""),40093.4)</f>
        <v>40093.4</v>
      </c>
      <c r="E240" s="17">
        <f>IFERROR(__xludf.DUMMYFUNCTION("""COMPUTED_VALUE"""),1957.59)</f>
        <v>1957.59</v>
      </c>
      <c r="F240" s="26">
        <f>IFERROR(__xludf.DUMMYFUNCTION("""COMPUTED_VALUE"""),360.91)</f>
        <v>360.91</v>
      </c>
      <c r="G240" s="26">
        <f>IFERROR(__xludf.DUMMYFUNCTION("""COMPUTED_VALUE"""),186.54)</f>
        <v>186.54</v>
      </c>
      <c r="H240" s="26">
        <f>IFERROR(__xludf.DUMMYFUNCTION("""COMPUTED_VALUE"""),146.04)</f>
        <v>146.04</v>
      </c>
      <c r="I240" s="26">
        <f>IFERROR(__xludf.DUMMYFUNCTION("""COMPUTED_VALUE"""),208.37)</f>
        <v>208.37</v>
      </c>
      <c r="J240" s="26">
        <f>IFERROR(__xludf.DUMMYFUNCTION("""COMPUTED_VALUE"""),150.17)</f>
        <v>150.17</v>
      </c>
      <c r="K240" s="26">
        <f>IFERROR(__xludf.DUMMYFUNCTION("""COMPUTED_VALUE"""),78.72)</f>
        <v>78.72</v>
      </c>
      <c r="L240" s="26">
        <f>IFERROR(__xludf.DUMMYFUNCTION("""COMPUTED_VALUE"""),15.63)</f>
        <v>15.63</v>
      </c>
      <c r="M240" s="26">
        <f>IFERROR(__xludf.DUMMYFUNCTION("""COMPUTED_VALUE"""),531.64)</f>
        <v>531.64</v>
      </c>
      <c r="N240" s="26">
        <f>IFERROR(__xludf.DUMMYFUNCTION("""COMPUTED_VALUE"""),49.31)</f>
        <v>49.31</v>
      </c>
      <c r="O240" s="26">
        <f>IFERROR(__xludf.DUMMYFUNCTION("""COMPUTED_VALUE"""),119.51)</f>
        <v>119.51</v>
      </c>
      <c r="P240" s="26">
        <f>IFERROR(__xludf.DUMMYFUNCTION("""COMPUTED_VALUE"""),60.31)</f>
        <v>60.31</v>
      </c>
      <c r="Q240" s="26">
        <f>IFERROR(__xludf.DUMMYFUNCTION("""COMPUTED_VALUE"""),306.86)</f>
        <v>306.86</v>
      </c>
      <c r="R240" s="26">
        <f>IFERROR(__xludf.DUMMYFUNCTION("""COMPUTED_VALUE"""),43.89)</f>
        <v>43.89</v>
      </c>
      <c r="S240" s="26">
        <f>IFERROR(__xludf.DUMMYFUNCTION("""COMPUTED_VALUE"""),208.88)</f>
        <v>208.88</v>
      </c>
      <c r="T240" s="26">
        <f>IFERROR(__xludf.DUMMYFUNCTION("""COMPUTED_VALUE"""),139.07)</f>
        <v>139.07</v>
      </c>
      <c r="U240" s="26">
        <f>IFERROR(__xludf.DUMMYFUNCTION("""COMPUTED_VALUE"""),335.7)</f>
        <v>335.7</v>
      </c>
      <c r="V240" s="26">
        <f>IFERROR(__xludf.DUMMYFUNCTION("""COMPUTED_VALUE"""),37.44)</f>
        <v>37.44</v>
      </c>
      <c r="W240" s="26">
        <f>IFERROR(__xludf.DUMMYFUNCTION("""COMPUTED_VALUE"""),72.52)</f>
        <v>72.52</v>
      </c>
      <c r="X240" s="26">
        <f>IFERROR(__xludf.DUMMYFUNCTION("""COMPUTED_VALUE"""),111.29)</f>
        <v>111.29</v>
      </c>
      <c r="Y240" s="26">
        <f>IFERROR(__xludf.DUMMYFUNCTION("""COMPUTED_VALUE"""),153.75)</f>
        <v>153.75</v>
      </c>
      <c r="Z240" s="26">
        <f>IFERROR(__xludf.DUMMYFUNCTION("""COMPUTED_VALUE"""),81.23)</f>
        <v>81.23</v>
      </c>
      <c r="AA240" s="26">
        <f>IFERROR(__xludf.DUMMYFUNCTION("""COMPUTED_VALUE"""),487.97)</f>
        <v>487.97</v>
      </c>
      <c r="AB240" s="26">
        <f>IFERROR(__xludf.DUMMYFUNCTION("""COMPUTED_VALUE"""),67.2)</f>
        <v>67.2</v>
      </c>
      <c r="AC240" s="26">
        <f>IFERROR(__xludf.DUMMYFUNCTION("""COMPUTED_VALUE"""),108.63)</f>
        <v>108.63</v>
      </c>
      <c r="AD240" s="26">
        <f>IFERROR(__xludf.DUMMYFUNCTION("""COMPUTED_VALUE"""),215.69)</f>
        <v>215.69</v>
      </c>
      <c r="AE240" s="26">
        <f>IFERROR(__xludf.DUMMYFUNCTION("""COMPUTED_VALUE"""),456.82)</f>
        <v>456.82</v>
      </c>
      <c r="AF240" s="26">
        <f>IFERROR(__xludf.DUMMYFUNCTION("""COMPUTED_VALUE"""),271.71)</f>
        <v>271.71</v>
      </c>
      <c r="AG240" s="26">
        <f>IFERROR(__xludf.DUMMYFUNCTION("""COMPUTED_VALUE"""),46.88)</f>
        <v>46.88</v>
      </c>
      <c r="AH240" s="26">
        <f>IFERROR(__xludf.DUMMYFUNCTION("""COMPUTED_VALUE"""),106.15)</f>
        <v>106.15</v>
      </c>
      <c r="AI240" s="26">
        <f>IFERROR(__xludf.DUMMYFUNCTION("""COMPUTED_VALUE"""),545.37)</f>
        <v>545.37</v>
      </c>
      <c r="AJ240" s="26">
        <f>IFERROR(__xludf.DUMMYFUNCTION("""COMPUTED_VALUE"""),359.64)</f>
        <v>359.64</v>
      </c>
      <c r="AK240" s="26">
        <f>IFERROR(__xludf.DUMMYFUNCTION("""COMPUTED_VALUE"""),134.48)</f>
        <v>134.48</v>
      </c>
      <c r="AL240" s="26">
        <f>IFERROR(__xludf.DUMMYFUNCTION("""COMPUTED_VALUE"""),162.98)</f>
        <v>162.98</v>
      </c>
      <c r="AM240" s="26">
        <f>IFERROR(__xludf.DUMMYFUNCTION("""COMPUTED_VALUE"""),508.13)</f>
        <v>508.13</v>
      </c>
      <c r="AN240" s="26">
        <f>IFERROR(__xludf.DUMMYFUNCTION("""COMPUTED_VALUE"""),244.64)</f>
        <v>244.64</v>
      </c>
      <c r="AO240" s="26">
        <f>IFERROR(__xludf.DUMMYFUNCTION("""COMPUTED_VALUE"""),466.81)</f>
        <v>466.81</v>
      </c>
      <c r="AP240" s="26">
        <f>IFERROR(__xludf.DUMMYFUNCTION("""COMPUTED_VALUE"""),270.64)</f>
        <v>270.64</v>
      </c>
      <c r="AQ240" s="26">
        <f>IFERROR(__xludf.DUMMYFUNCTION("""COMPUTED_VALUE"""),30.21)</f>
        <v>30.21</v>
      </c>
      <c r="AR240" s="26">
        <f>IFERROR(__xludf.DUMMYFUNCTION("""COMPUTED_VALUE"""),84.3)</f>
        <v>84.3</v>
      </c>
      <c r="AS240" s="26">
        <f>IFERROR(__xludf.DUMMYFUNCTION("""COMPUTED_VALUE"""),75.86)</f>
        <v>75.86</v>
      </c>
      <c r="AT240" s="26">
        <f>IFERROR(__xludf.DUMMYFUNCTION("""COMPUTED_VALUE"""),387.3)</f>
        <v>387.3</v>
      </c>
      <c r="AU240" s="26">
        <f>IFERROR(__xludf.DUMMYFUNCTION("""COMPUTED_VALUE"""),66.35)</f>
        <v>66.35</v>
      </c>
      <c r="AV240" s="26">
        <f>IFERROR(__xludf.DUMMYFUNCTION("""COMPUTED_VALUE"""),106.43)</f>
        <v>106.43</v>
      </c>
      <c r="AW240" s="26">
        <f>IFERROR(__xludf.DUMMYFUNCTION("""COMPUTED_VALUE"""),92.74)</f>
        <v>92.74</v>
      </c>
      <c r="AX240" s="26">
        <f>IFERROR(__xludf.DUMMYFUNCTION("""COMPUTED_VALUE"""),44.76)</f>
        <v>44.76</v>
      </c>
      <c r="AY240" s="26">
        <f>IFERROR(__xludf.DUMMYFUNCTION("""COMPUTED_VALUE"""),107.78)</f>
        <v>107.78</v>
      </c>
      <c r="AZ240" s="26">
        <f>IFERROR(__xludf.DUMMYFUNCTION("""COMPUTED_VALUE"""),64.77)</f>
        <v>64.77</v>
      </c>
      <c r="BA240" s="26">
        <f>IFERROR(__xludf.DUMMYFUNCTION("""COMPUTED_VALUE"""),22.78)</f>
        <v>22.78</v>
      </c>
      <c r="BB240" s="26">
        <f>IFERROR(__xludf.DUMMYFUNCTION("""COMPUTED_VALUE"""),121.97)</f>
        <v>121.97</v>
      </c>
      <c r="BC240" s="26">
        <f>IFERROR(__xludf.DUMMYFUNCTION("""COMPUTED_VALUE"""),262.18)</f>
        <v>262.18</v>
      </c>
      <c r="BD240" s="26">
        <f>IFERROR(__xludf.DUMMYFUNCTION("""COMPUTED_VALUE"""),426.66)</f>
        <v>426.66</v>
      </c>
      <c r="BE240" s="26">
        <f>IFERROR(__xludf.DUMMYFUNCTION("""COMPUTED_VALUE"""),186.61)</f>
        <v>186.61</v>
      </c>
      <c r="BF240" s="26">
        <f>IFERROR(__xludf.DUMMYFUNCTION("""COMPUTED_VALUE"""),94.18)</f>
        <v>94.18</v>
      </c>
      <c r="BG240" s="26">
        <f>IFERROR(__xludf.DUMMYFUNCTION("""COMPUTED_VALUE"""),5.8)</f>
        <v>5.8</v>
      </c>
      <c r="BH240" s="26">
        <f>IFERROR(__xludf.DUMMYFUNCTION("""COMPUTED_VALUE"""),215.45)</f>
        <v>215.45</v>
      </c>
      <c r="BI240" s="26">
        <f>IFERROR(__xludf.DUMMYFUNCTION("""COMPUTED_VALUE"""),424.25)</f>
        <v>424.25</v>
      </c>
      <c r="BJ240" s="26">
        <f>IFERROR(__xludf.DUMMYFUNCTION("""COMPUTED_VALUE"""),49.99)</f>
        <v>49.99</v>
      </c>
      <c r="BK240" s="26">
        <f>IFERROR(__xludf.DUMMYFUNCTION("""COMPUTED_VALUE"""),8.03)</f>
        <v>8.03</v>
      </c>
      <c r="BL240" s="26">
        <f>IFERROR(__xludf.DUMMYFUNCTION("""COMPUTED_VALUE"""),227.47)</f>
        <v>227.47</v>
      </c>
      <c r="BM240" s="26">
        <f>IFERROR(__xludf.DUMMYFUNCTION("""COMPUTED_VALUE"""),90.01)</f>
        <v>90.01</v>
      </c>
    </row>
    <row r="241">
      <c r="A241" s="25">
        <v>45775.66666666667</v>
      </c>
      <c r="B241" s="17">
        <f>IFERROR(__xludf.DUMMYFUNCTION("""COMPUTED_VALUE"""),5525.21)</f>
        <v>5525.21</v>
      </c>
      <c r="C241" s="17">
        <f>IFERROR(__xludf.DUMMYFUNCTION("""COMPUTED_VALUE"""),17382.94)</f>
        <v>17382.94</v>
      </c>
      <c r="D241" s="17">
        <f>IFERROR(__xludf.DUMMYFUNCTION("""COMPUTED_VALUE"""),40113.5)</f>
        <v>40113.5</v>
      </c>
      <c r="E241" s="17">
        <f>IFERROR(__xludf.DUMMYFUNCTION("""COMPUTED_VALUE"""),1957.62)</f>
        <v>1957.62</v>
      </c>
      <c r="F241" s="26">
        <f>IFERROR(__xludf.DUMMYFUNCTION("""COMPUTED_VALUE"""),367.72)</f>
        <v>367.72</v>
      </c>
      <c r="G241" s="26">
        <f>IFERROR(__xludf.DUMMYFUNCTION("""COMPUTED_VALUE"""),188.99)</f>
        <v>188.99</v>
      </c>
      <c r="H241" s="26">
        <f>IFERROR(__xludf.DUMMYFUNCTION("""COMPUTED_VALUE"""),143.97)</f>
        <v>143.97</v>
      </c>
      <c r="I241" s="26">
        <f>IFERROR(__xludf.DUMMYFUNCTION("""COMPUTED_VALUE"""),209.28)</f>
        <v>209.28</v>
      </c>
      <c r="J241" s="26">
        <f>IFERROR(__xludf.DUMMYFUNCTION("""COMPUTED_VALUE"""),151.55)</f>
        <v>151.55</v>
      </c>
      <c r="K241" s="26">
        <f>IFERROR(__xludf.DUMMYFUNCTION("""COMPUTED_VALUE"""),78.65)</f>
        <v>78.65</v>
      </c>
      <c r="L241" s="26">
        <f>IFERROR(__xludf.DUMMYFUNCTION("""COMPUTED_VALUE"""),15.82)</f>
        <v>15.82</v>
      </c>
      <c r="M241" s="26">
        <f>IFERROR(__xludf.DUMMYFUNCTION("""COMPUTED_VALUE"""),530.96)</f>
        <v>530.96</v>
      </c>
      <c r="N241" s="26">
        <f>IFERROR(__xludf.DUMMYFUNCTION("""COMPUTED_VALUE"""),48.21)</f>
        <v>48.21</v>
      </c>
      <c r="O241" s="26">
        <f>IFERROR(__xludf.DUMMYFUNCTION("""COMPUTED_VALUE"""),118.84)</f>
        <v>118.84</v>
      </c>
      <c r="P241" s="26">
        <f>IFERROR(__xludf.DUMMYFUNCTION("""COMPUTED_VALUE"""),60.06)</f>
        <v>60.06</v>
      </c>
      <c r="Q241" s="26">
        <f>IFERROR(__xludf.DUMMYFUNCTION("""COMPUTED_VALUE"""),306.45)</f>
        <v>306.45</v>
      </c>
      <c r="R241" s="26">
        <f>IFERROR(__xludf.DUMMYFUNCTION("""COMPUTED_VALUE"""),43.99)</f>
        <v>43.99</v>
      </c>
      <c r="S241" s="26">
        <f>IFERROR(__xludf.DUMMYFUNCTION("""COMPUTED_VALUE"""),206.55)</f>
        <v>206.55</v>
      </c>
      <c r="T241" s="26">
        <f>IFERROR(__xludf.DUMMYFUNCTION("""COMPUTED_VALUE"""),138.73)</f>
        <v>138.73</v>
      </c>
      <c r="U241" s="26">
        <f>IFERROR(__xludf.DUMMYFUNCTION("""COMPUTED_VALUE"""),335.36)</f>
        <v>335.36</v>
      </c>
      <c r="V241" s="26">
        <f>IFERROR(__xludf.DUMMYFUNCTION("""COMPUTED_VALUE"""),37.06)</f>
        <v>37.06</v>
      </c>
      <c r="W241" s="26">
        <f>IFERROR(__xludf.DUMMYFUNCTION("""COMPUTED_VALUE"""),71.91)</f>
        <v>71.91</v>
      </c>
      <c r="X241" s="26">
        <f>IFERROR(__xludf.DUMMYFUNCTION("""COMPUTED_VALUE"""),110.45)</f>
        <v>110.45</v>
      </c>
      <c r="Y241" s="26">
        <f>IFERROR(__xludf.DUMMYFUNCTION("""COMPUTED_VALUE"""),159.88)</f>
        <v>159.88</v>
      </c>
      <c r="Z241" s="26">
        <f>IFERROR(__xludf.DUMMYFUNCTION("""COMPUTED_VALUE"""),80.57)</f>
        <v>80.57</v>
      </c>
      <c r="AA241" s="26">
        <f>IFERROR(__xludf.DUMMYFUNCTION("""COMPUTED_VALUE"""),487.58)</f>
        <v>487.58</v>
      </c>
      <c r="AB241" s="26">
        <f>IFERROR(__xludf.DUMMYFUNCTION("""COMPUTED_VALUE"""),67.83)</f>
        <v>67.83</v>
      </c>
      <c r="AC241" s="26">
        <f>IFERROR(__xludf.DUMMYFUNCTION("""COMPUTED_VALUE"""),108.57)</f>
        <v>108.57</v>
      </c>
      <c r="AD241" s="26">
        <f>IFERROR(__xludf.DUMMYFUNCTION("""COMPUTED_VALUE"""),211.56)</f>
        <v>211.56</v>
      </c>
      <c r="AE241" s="26">
        <f>IFERROR(__xludf.DUMMYFUNCTION("""COMPUTED_VALUE"""),460.8)</f>
        <v>460.8</v>
      </c>
      <c r="AF241" s="26">
        <f>IFERROR(__xludf.DUMMYFUNCTION("""COMPUTED_VALUE"""),271.97)</f>
        <v>271.97</v>
      </c>
      <c r="AG241" s="26">
        <f>IFERROR(__xludf.DUMMYFUNCTION("""COMPUTED_VALUE"""),47.11)</f>
        <v>47.11</v>
      </c>
      <c r="AH241" s="26">
        <f>IFERROR(__xludf.DUMMYFUNCTION("""COMPUTED_VALUE"""),103.17)</f>
        <v>103.17</v>
      </c>
      <c r="AI241" s="26">
        <f>IFERROR(__xludf.DUMMYFUNCTION("""COMPUTED_VALUE"""),544.86)</f>
        <v>544.86</v>
      </c>
      <c r="AJ241" s="26">
        <f>IFERROR(__xludf.DUMMYFUNCTION("""COMPUTED_VALUE"""),357.58)</f>
        <v>357.58</v>
      </c>
      <c r="AK241" s="26">
        <f>IFERROR(__xludf.DUMMYFUNCTION("""COMPUTED_VALUE"""),134.14)</f>
        <v>134.14</v>
      </c>
      <c r="AL241" s="26">
        <f>IFERROR(__xludf.DUMMYFUNCTION("""COMPUTED_VALUE"""),163.23)</f>
        <v>163.23</v>
      </c>
      <c r="AM241" s="26">
        <f>IFERROR(__xludf.DUMMYFUNCTION("""COMPUTED_VALUE"""),514.59)</f>
        <v>514.59</v>
      </c>
      <c r="AN241" s="26">
        <f>IFERROR(__xludf.DUMMYFUNCTION("""COMPUTED_VALUE"""),243.55)</f>
        <v>243.55</v>
      </c>
      <c r="AO241" s="26">
        <f>IFERROR(__xludf.DUMMYFUNCTION("""COMPUTED_VALUE"""),477.64)</f>
        <v>477.64</v>
      </c>
      <c r="AP241" s="26">
        <f>IFERROR(__xludf.DUMMYFUNCTION("""COMPUTED_VALUE"""),267.9)</f>
        <v>267.9</v>
      </c>
      <c r="AQ241" s="26">
        <f>IFERROR(__xludf.DUMMYFUNCTION("""COMPUTED_VALUE"""),30.24)</f>
        <v>30.24</v>
      </c>
      <c r="AR241" s="26">
        <f>IFERROR(__xludf.DUMMYFUNCTION("""COMPUTED_VALUE"""),84.16)</f>
        <v>84.16</v>
      </c>
      <c r="AS241" s="26">
        <f>IFERROR(__xludf.DUMMYFUNCTION("""COMPUTED_VALUE"""),75.19)</f>
        <v>75.19</v>
      </c>
      <c r="AT241" s="26">
        <f>IFERROR(__xludf.DUMMYFUNCTION("""COMPUTED_VALUE"""),391.85)</f>
        <v>391.85</v>
      </c>
      <c r="AU241" s="26">
        <f>IFERROR(__xludf.DUMMYFUNCTION("""COMPUTED_VALUE"""),66.09)</f>
        <v>66.09</v>
      </c>
      <c r="AV241" s="26">
        <f>IFERROR(__xludf.DUMMYFUNCTION("""COMPUTED_VALUE"""),111.01)</f>
        <v>111.01</v>
      </c>
      <c r="AW241" s="26">
        <f>IFERROR(__xludf.DUMMYFUNCTION("""COMPUTED_VALUE"""),92.93)</f>
        <v>92.93</v>
      </c>
      <c r="AX241" s="26">
        <f>IFERROR(__xludf.DUMMYFUNCTION("""COMPUTED_VALUE"""),45.03)</f>
        <v>45.03</v>
      </c>
      <c r="AY241" s="26">
        <f>IFERROR(__xludf.DUMMYFUNCTION("""COMPUTED_VALUE"""),112.78)</f>
        <v>112.78</v>
      </c>
      <c r="AZ241" s="26">
        <f>IFERROR(__xludf.DUMMYFUNCTION("""COMPUTED_VALUE"""),65.34)</f>
        <v>65.34</v>
      </c>
      <c r="BA241" s="26">
        <f>IFERROR(__xludf.DUMMYFUNCTION("""COMPUTED_VALUE"""),22.92)</f>
        <v>22.92</v>
      </c>
      <c r="BB241" s="26">
        <f>IFERROR(__xludf.DUMMYFUNCTION("""COMPUTED_VALUE"""),125.22)</f>
        <v>125.22</v>
      </c>
      <c r="BC241" s="26">
        <f>IFERROR(__xludf.DUMMYFUNCTION("""COMPUTED_VALUE"""),232.77)</f>
        <v>232.77</v>
      </c>
      <c r="BD241" s="26">
        <f>IFERROR(__xludf.DUMMYFUNCTION("""COMPUTED_VALUE"""),424.24)</f>
        <v>424.24</v>
      </c>
      <c r="BE241" s="26">
        <f>IFERROR(__xludf.DUMMYFUNCTION("""COMPUTED_VALUE"""),188.21)</f>
        <v>188.21</v>
      </c>
      <c r="BF241" s="26">
        <f>IFERROR(__xludf.DUMMYFUNCTION("""COMPUTED_VALUE"""),93.5)</f>
        <v>93.5</v>
      </c>
      <c r="BG241" s="26">
        <f>IFERROR(__xludf.DUMMYFUNCTION("""COMPUTED_VALUE"""),5.71)</f>
        <v>5.71</v>
      </c>
      <c r="BH241" s="26">
        <f>IFERROR(__xludf.DUMMYFUNCTION("""COMPUTED_VALUE"""),213.29)</f>
        <v>213.29</v>
      </c>
      <c r="BI241" s="26">
        <f>IFERROR(__xludf.DUMMYFUNCTION("""COMPUTED_VALUE"""),418.64)</f>
        <v>418.64</v>
      </c>
      <c r="BJ241" s="26">
        <f>IFERROR(__xludf.DUMMYFUNCTION("""COMPUTED_VALUE"""),50.02)</f>
        <v>50.02</v>
      </c>
      <c r="BK241" s="26">
        <f>IFERROR(__xludf.DUMMYFUNCTION("""COMPUTED_VALUE"""),8.13)</f>
        <v>8.13</v>
      </c>
      <c r="BL241" s="26">
        <f>IFERROR(__xludf.DUMMYFUNCTION("""COMPUTED_VALUE"""),228.31)</f>
        <v>228.31</v>
      </c>
      <c r="BM241" s="26">
        <f>IFERROR(__xludf.DUMMYFUNCTION("""COMPUTED_VALUE"""),90.28)</f>
        <v>90.28</v>
      </c>
    </row>
    <row r="242">
      <c r="A242" s="25">
        <v>45776.66666666667</v>
      </c>
      <c r="B242" s="17">
        <f>IFERROR(__xludf.DUMMYFUNCTION("""COMPUTED_VALUE"""),5528.75)</f>
        <v>5528.75</v>
      </c>
      <c r="C242" s="17">
        <f>IFERROR(__xludf.DUMMYFUNCTION("""COMPUTED_VALUE"""),17366.13)</f>
        <v>17366.13</v>
      </c>
      <c r="D242" s="17">
        <f>IFERROR(__xludf.DUMMYFUNCTION("""COMPUTED_VALUE"""),40227.59)</f>
        <v>40227.59</v>
      </c>
      <c r="E242" s="17">
        <f>IFERROR(__xludf.DUMMYFUNCTION("""COMPUTED_VALUE"""),1965.55)</f>
        <v>1965.55</v>
      </c>
      <c r="F242" s="26">
        <f>IFERROR(__xludf.DUMMYFUNCTION("""COMPUTED_VALUE"""),368.62)</f>
        <v>368.62</v>
      </c>
      <c r="G242" s="26">
        <f>IFERROR(__xludf.DUMMYFUNCTION("""COMPUTED_VALUE"""),187.7)</f>
        <v>187.7</v>
      </c>
      <c r="H242" s="26">
        <f>IFERROR(__xludf.DUMMYFUNCTION("""COMPUTED_VALUE"""),144.27)</f>
        <v>144.27</v>
      </c>
      <c r="I242" s="26">
        <f>IFERROR(__xludf.DUMMYFUNCTION("""COMPUTED_VALUE"""),210.14)</f>
        <v>210.14</v>
      </c>
      <c r="J242" s="26">
        <f>IFERROR(__xludf.DUMMYFUNCTION("""COMPUTED_VALUE"""),150.79)</f>
        <v>150.79</v>
      </c>
      <c r="K242" s="26">
        <f>IFERROR(__xludf.DUMMYFUNCTION("""COMPUTED_VALUE"""),78.91)</f>
        <v>78.91</v>
      </c>
      <c r="L242" s="26">
        <f>IFERROR(__xludf.DUMMYFUNCTION("""COMPUTED_VALUE"""),15.97)</f>
        <v>15.97</v>
      </c>
      <c r="M242" s="26">
        <f>IFERROR(__xludf.DUMMYFUNCTION("""COMPUTED_VALUE"""),530.94)</f>
        <v>530.94</v>
      </c>
      <c r="N242" s="26">
        <f>IFERROR(__xludf.DUMMYFUNCTION("""COMPUTED_VALUE"""),48.42)</f>
        <v>48.42</v>
      </c>
      <c r="O242" s="26">
        <f>IFERROR(__xludf.DUMMYFUNCTION("""COMPUTED_VALUE"""),119.12)</f>
        <v>119.12</v>
      </c>
      <c r="P242" s="26">
        <f>IFERROR(__xludf.DUMMYFUNCTION("""COMPUTED_VALUE"""),60.49)</f>
        <v>60.49</v>
      </c>
      <c r="Q242" s="26">
        <f>IFERROR(__xludf.DUMMYFUNCTION("""COMPUTED_VALUE"""),307.06)</f>
        <v>307.06</v>
      </c>
      <c r="R242" s="26">
        <f>IFERROR(__xludf.DUMMYFUNCTION("""COMPUTED_VALUE"""),45.32)</f>
        <v>45.32</v>
      </c>
      <c r="S242" s="26">
        <f>IFERROR(__xludf.DUMMYFUNCTION("""COMPUTED_VALUE"""),212.41)</f>
        <v>212.41</v>
      </c>
      <c r="T242" s="26">
        <f>IFERROR(__xludf.DUMMYFUNCTION("""COMPUTED_VALUE"""),140.1)</f>
        <v>140.1</v>
      </c>
      <c r="U242" s="26">
        <f>IFERROR(__xludf.DUMMYFUNCTION("""COMPUTED_VALUE"""),334.82)</f>
        <v>334.82</v>
      </c>
      <c r="V242" s="26">
        <f>IFERROR(__xludf.DUMMYFUNCTION("""COMPUTED_VALUE"""),37.34)</f>
        <v>37.34</v>
      </c>
      <c r="W242" s="26">
        <f>IFERROR(__xludf.DUMMYFUNCTION("""COMPUTED_VALUE"""),71.79)</f>
        <v>71.79</v>
      </c>
      <c r="X242" s="26">
        <f>IFERROR(__xludf.DUMMYFUNCTION("""COMPUTED_VALUE"""),111.13)</f>
        <v>111.13</v>
      </c>
      <c r="Y242" s="26">
        <f>IFERROR(__xludf.DUMMYFUNCTION("""COMPUTED_VALUE"""),160.35)</f>
        <v>160.35</v>
      </c>
      <c r="Z242" s="26">
        <f>IFERROR(__xludf.DUMMYFUNCTION("""COMPUTED_VALUE"""),80.17)</f>
        <v>80.17</v>
      </c>
      <c r="AA242" s="26">
        <f>IFERROR(__xludf.DUMMYFUNCTION("""COMPUTED_VALUE"""),490.64)</f>
        <v>490.64</v>
      </c>
      <c r="AB242" s="26">
        <f>IFERROR(__xludf.DUMMYFUNCTION("""COMPUTED_VALUE"""),66.32)</f>
        <v>66.32</v>
      </c>
      <c r="AC242" s="26">
        <f>IFERROR(__xludf.DUMMYFUNCTION("""COMPUTED_VALUE"""),108.63)</f>
        <v>108.63</v>
      </c>
      <c r="AD242" s="26">
        <f>IFERROR(__xludf.DUMMYFUNCTION("""COMPUTED_VALUE"""),211.5)</f>
        <v>211.5</v>
      </c>
      <c r="AE242" s="26">
        <f>IFERROR(__xludf.DUMMYFUNCTION("""COMPUTED_VALUE"""),458.2)</f>
        <v>458.2</v>
      </c>
      <c r="AF242" s="26">
        <f>IFERROR(__xludf.DUMMYFUNCTION("""COMPUTED_VALUE"""),271.94)</f>
        <v>271.94</v>
      </c>
      <c r="AG242" s="26">
        <f>IFERROR(__xludf.DUMMYFUNCTION("""COMPUTED_VALUE"""),47.24)</f>
        <v>47.24</v>
      </c>
      <c r="AH242" s="26">
        <f>IFERROR(__xludf.DUMMYFUNCTION("""COMPUTED_VALUE"""),106.34)</f>
        <v>106.34</v>
      </c>
      <c r="AI242" s="26">
        <f>IFERROR(__xludf.DUMMYFUNCTION("""COMPUTED_VALUE"""),546.4)</f>
        <v>546.4</v>
      </c>
      <c r="AJ242" s="26">
        <f>IFERROR(__xludf.DUMMYFUNCTION("""COMPUTED_VALUE"""),356.92)</f>
        <v>356.92</v>
      </c>
      <c r="AK242" s="26">
        <f>IFERROR(__xludf.DUMMYFUNCTION("""COMPUTED_VALUE"""),135.26)</f>
        <v>135.26</v>
      </c>
      <c r="AL242" s="26">
        <f>IFERROR(__xludf.DUMMYFUNCTION("""COMPUTED_VALUE"""),163.48)</f>
        <v>163.48</v>
      </c>
      <c r="AM242" s="26">
        <f>IFERROR(__xludf.DUMMYFUNCTION("""COMPUTED_VALUE"""),514.01)</f>
        <v>514.01</v>
      </c>
      <c r="AN242" s="26">
        <f>IFERROR(__xludf.DUMMYFUNCTION("""COMPUTED_VALUE"""),243.22)</f>
        <v>243.22</v>
      </c>
      <c r="AO242" s="26">
        <f>IFERROR(__xludf.DUMMYFUNCTION("""COMPUTED_VALUE"""),476.29)</f>
        <v>476.29</v>
      </c>
      <c r="AP242" s="26">
        <f>IFERROR(__xludf.DUMMYFUNCTION("""COMPUTED_VALUE"""),268.52)</f>
        <v>268.52</v>
      </c>
      <c r="AQ242" s="26">
        <f>IFERROR(__xludf.DUMMYFUNCTION("""COMPUTED_VALUE"""),30.5)</f>
        <v>30.5</v>
      </c>
      <c r="AR242" s="26">
        <f>IFERROR(__xludf.DUMMYFUNCTION("""COMPUTED_VALUE"""),84.04)</f>
        <v>84.04</v>
      </c>
      <c r="AS242" s="26">
        <f>IFERROR(__xludf.DUMMYFUNCTION("""COMPUTED_VALUE"""),75.94)</f>
        <v>75.94</v>
      </c>
      <c r="AT242" s="26">
        <f>IFERROR(__xludf.DUMMYFUNCTION("""COMPUTED_VALUE"""),391.16)</f>
        <v>391.16</v>
      </c>
      <c r="AU242" s="26">
        <f>IFERROR(__xludf.DUMMYFUNCTION("""COMPUTED_VALUE"""),66.19)</f>
        <v>66.19</v>
      </c>
      <c r="AV242" s="26">
        <f>IFERROR(__xludf.DUMMYFUNCTION("""COMPUTED_VALUE"""),108.73)</f>
        <v>108.73</v>
      </c>
      <c r="AW242" s="26">
        <f>IFERROR(__xludf.DUMMYFUNCTION("""COMPUTED_VALUE"""),93.65)</f>
        <v>93.65</v>
      </c>
      <c r="AX242" s="26">
        <f>IFERROR(__xludf.DUMMYFUNCTION("""COMPUTED_VALUE"""),46.59)</f>
        <v>46.59</v>
      </c>
      <c r="AY242" s="26">
        <f>IFERROR(__xludf.DUMMYFUNCTION("""COMPUTED_VALUE"""),114.65)</f>
        <v>114.65</v>
      </c>
      <c r="AZ242" s="26">
        <f>IFERROR(__xludf.DUMMYFUNCTION("""COMPUTED_VALUE"""),64.93)</f>
        <v>64.93</v>
      </c>
      <c r="BA242" s="26">
        <f>IFERROR(__xludf.DUMMYFUNCTION("""COMPUTED_VALUE"""),23.05)</f>
        <v>23.05</v>
      </c>
      <c r="BB242" s="26">
        <f>IFERROR(__xludf.DUMMYFUNCTION("""COMPUTED_VALUE"""),124.8)</f>
        <v>124.8</v>
      </c>
      <c r="BC242" s="26">
        <f>IFERROR(__xludf.DUMMYFUNCTION("""COMPUTED_VALUE"""),236.77)</f>
        <v>236.77</v>
      </c>
      <c r="BD242" s="26">
        <f>IFERROR(__xludf.DUMMYFUNCTION("""COMPUTED_VALUE"""),421.34)</f>
        <v>421.34</v>
      </c>
      <c r="BE242" s="26">
        <f>IFERROR(__xludf.DUMMYFUNCTION("""COMPUTED_VALUE"""),193.13)</f>
        <v>193.13</v>
      </c>
      <c r="BF242" s="26">
        <f>IFERROR(__xludf.DUMMYFUNCTION("""COMPUTED_VALUE"""),90.19)</f>
        <v>90.19</v>
      </c>
      <c r="BG242" s="26">
        <f>IFERROR(__xludf.DUMMYFUNCTION("""COMPUTED_VALUE"""),5.79)</f>
        <v>5.79</v>
      </c>
      <c r="BH242" s="26">
        <f>IFERROR(__xludf.DUMMYFUNCTION("""COMPUTED_VALUE"""),212.61)</f>
        <v>212.61</v>
      </c>
      <c r="BI242" s="26">
        <f>IFERROR(__xludf.DUMMYFUNCTION("""COMPUTED_VALUE"""),420.0)</f>
        <v>420</v>
      </c>
      <c r="BJ242" s="26">
        <f>IFERROR(__xludf.DUMMYFUNCTION("""COMPUTED_VALUE"""),50.13)</f>
        <v>50.13</v>
      </c>
      <c r="BK242" s="26">
        <f>IFERROR(__xludf.DUMMYFUNCTION("""COMPUTED_VALUE"""),8.25)</f>
        <v>8.25</v>
      </c>
      <c r="BL242" s="26">
        <f>IFERROR(__xludf.DUMMYFUNCTION("""COMPUTED_VALUE"""),229.08)</f>
        <v>229.08</v>
      </c>
      <c r="BM242" s="26">
        <f>IFERROR(__xludf.DUMMYFUNCTION("""COMPUTED_VALUE"""),90.16)</f>
        <v>90.16</v>
      </c>
    </row>
    <row r="243">
      <c r="A243" s="25">
        <v>45777.66666666667</v>
      </c>
      <c r="B243" s="17">
        <f>IFERROR(__xludf.DUMMYFUNCTION("""COMPUTED_VALUE"""),5560.83)</f>
        <v>5560.83</v>
      </c>
      <c r="C243" s="17">
        <f>IFERROR(__xludf.DUMMYFUNCTION("""COMPUTED_VALUE"""),17461.32)</f>
        <v>17461.32</v>
      </c>
      <c r="D243" s="17">
        <f>IFERROR(__xludf.DUMMYFUNCTION("""COMPUTED_VALUE"""),40527.62)</f>
        <v>40527.62</v>
      </c>
      <c r="E243" s="17">
        <f>IFERROR(__xludf.DUMMYFUNCTION("""COMPUTED_VALUE"""),1976.52)</f>
        <v>1976.52</v>
      </c>
      <c r="F243" s="26">
        <f>IFERROR(__xludf.DUMMYFUNCTION("""COMPUTED_VALUE"""),370.98)</f>
        <v>370.98</v>
      </c>
      <c r="G243" s="26">
        <f>IFERROR(__xludf.DUMMYFUNCTION("""COMPUTED_VALUE"""),187.39)</f>
        <v>187.39</v>
      </c>
      <c r="H243" s="26">
        <f>IFERROR(__xludf.DUMMYFUNCTION("""COMPUTED_VALUE"""),145.86)</f>
        <v>145.86</v>
      </c>
      <c r="I243" s="26">
        <f>IFERROR(__xludf.DUMMYFUNCTION("""COMPUTED_VALUE"""),211.21)</f>
        <v>211.21</v>
      </c>
      <c r="J243" s="26">
        <f>IFERROR(__xludf.DUMMYFUNCTION("""COMPUTED_VALUE"""),149.55)</f>
        <v>149.55</v>
      </c>
      <c r="K243" s="26">
        <f>IFERROR(__xludf.DUMMYFUNCTION("""COMPUTED_VALUE"""),80.04)</f>
        <v>80.04</v>
      </c>
      <c r="L243" s="26">
        <f>IFERROR(__xludf.DUMMYFUNCTION("""COMPUTED_VALUE"""),16.13)</f>
        <v>16.13</v>
      </c>
      <c r="M243" s="26">
        <f>IFERROR(__xludf.DUMMYFUNCTION("""COMPUTED_VALUE"""),534.57)</f>
        <v>534.57</v>
      </c>
      <c r="N243" s="26">
        <f>IFERROR(__xludf.DUMMYFUNCTION("""COMPUTED_VALUE"""),48.6)</f>
        <v>48.6</v>
      </c>
      <c r="O243" s="26">
        <f>IFERROR(__xludf.DUMMYFUNCTION("""COMPUTED_VALUE"""),120.17)</f>
        <v>120.17</v>
      </c>
      <c r="P243" s="26">
        <f>IFERROR(__xludf.DUMMYFUNCTION("""COMPUTED_VALUE"""),60.82)</f>
        <v>60.82</v>
      </c>
      <c r="Q243" s="26">
        <f>IFERROR(__xludf.DUMMYFUNCTION("""COMPUTED_VALUE"""),307.4)</f>
        <v>307.4</v>
      </c>
      <c r="R243" s="26">
        <f>IFERROR(__xludf.DUMMYFUNCTION("""COMPUTED_VALUE"""),45.42)</f>
        <v>45.42</v>
      </c>
      <c r="S243" s="26">
        <f>IFERROR(__xludf.DUMMYFUNCTION("""COMPUTED_VALUE"""),215.3)</f>
        <v>215.3</v>
      </c>
      <c r="T243" s="26">
        <f>IFERROR(__xludf.DUMMYFUNCTION("""COMPUTED_VALUE"""),139.3)</f>
        <v>139.3</v>
      </c>
      <c r="U243" s="26">
        <f>IFERROR(__xludf.DUMMYFUNCTION("""COMPUTED_VALUE"""),337.21)</f>
        <v>337.21</v>
      </c>
      <c r="V243" s="26">
        <f>IFERROR(__xludf.DUMMYFUNCTION("""COMPUTED_VALUE"""),37.55)</f>
        <v>37.55</v>
      </c>
      <c r="W243" s="26">
        <f>IFERROR(__xludf.DUMMYFUNCTION("""COMPUTED_VALUE"""),72.35)</f>
        <v>72.35</v>
      </c>
      <c r="X243" s="26">
        <f>IFERROR(__xludf.DUMMYFUNCTION("""COMPUTED_VALUE"""),112.13)</f>
        <v>112.13</v>
      </c>
      <c r="Y243" s="26">
        <f>IFERROR(__xludf.DUMMYFUNCTION("""COMPUTED_VALUE"""),159.87)</f>
        <v>159.87</v>
      </c>
      <c r="Z243" s="26">
        <f>IFERROR(__xludf.DUMMYFUNCTION("""COMPUTED_VALUE"""),80.89)</f>
        <v>80.89</v>
      </c>
      <c r="AA243" s="26">
        <f>IFERROR(__xludf.DUMMYFUNCTION("""COMPUTED_VALUE"""),493.43)</f>
        <v>493.43</v>
      </c>
      <c r="AB243" s="26">
        <f>IFERROR(__xludf.DUMMYFUNCTION("""COMPUTED_VALUE"""),67.2)</f>
        <v>67.2</v>
      </c>
      <c r="AC243" s="26">
        <f>IFERROR(__xludf.DUMMYFUNCTION("""COMPUTED_VALUE"""),108.36)</f>
        <v>108.36</v>
      </c>
      <c r="AD243" s="26">
        <f>IFERROR(__xludf.DUMMYFUNCTION("""COMPUTED_VALUE"""),209.85)</f>
        <v>209.85</v>
      </c>
      <c r="AE243" s="26">
        <f>IFERROR(__xludf.DUMMYFUNCTION("""COMPUTED_VALUE"""),462.74)</f>
        <v>462.74</v>
      </c>
      <c r="AF243" s="26">
        <f>IFERROR(__xludf.DUMMYFUNCTION("""COMPUTED_VALUE"""),272.08)</f>
        <v>272.08</v>
      </c>
      <c r="AG243" s="26">
        <f>IFERROR(__xludf.DUMMYFUNCTION("""COMPUTED_VALUE"""),46.94)</f>
        <v>46.94</v>
      </c>
      <c r="AH243" s="26">
        <f>IFERROR(__xludf.DUMMYFUNCTION("""COMPUTED_VALUE"""),104.21)</f>
        <v>104.21</v>
      </c>
      <c r="AI243" s="26">
        <f>IFERROR(__xludf.DUMMYFUNCTION("""COMPUTED_VALUE"""),548.92)</f>
        <v>548.92</v>
      </c>
      <c r="AJ243" s="26">
        <f>IFERROR(__xludf.DUMMYFUNCTION("""COMPUTED_VALUE"""),359.0)</f>
        <v>359</v>
      </c>
      <c r="AK243" s="26">
        <f>IFERROR(__xludf.DUMMYFUNCTION("""COMPUTED_VALUE"""),135.94)</f>
        <v>135.94</v>
      </c>
      <c r="AL243" s="26">
        <f>IFERROR(__xludf.DUMMYFUNCTION("""COMPUTED_VALUE"""),166.33)</f>
        <v>166.33</v>
      </c>
      <c r="AM243" s="26">
        <f>IFERROR(__xludf.DUMMYFUNCTION("""COMPUTED_VALUE"""),514.89)</f>
        <v>514.89</v>
      </c>
      <c r="AN243" s="26">
        <f>IFERROR(__xludf.DUMMYFUNCTION("""COMPUTED_VALUE"""),244.62)</f>
        <v>244.62</v>
      </c>
      <c r="AO243" s="26">
        <f>IFERROR(__xludf.DUMMYFUNCTION("""COMPUTED_VALUE"""),475.88)</f>
        <v>475.88</v>
      </c>
      <c r="AP243" s="26">
        <f>IFERROR(__xludf.DUMMYFUNCTION("""COMPUTED_VALUE"""),271.27)</f>
        <v>271.27</v>
      </c>
      <c r="AQ243" s="26">
        <f>IFERROR(__xludf.DUMMYFUNCTION("""COMPUTED_VALUE"""),30.71)</f>
        <v>30.71</v>
      </c>
      <c r="AR243" s="26">
        <f>IFERROR(__xludf.DUMMYFUNCTION("""COMPUTED_VALUE"""),84.6)</f>
        <v>84.6</v>
      </c>
      <c r="AS243" s="26">
        <f>IFERROR(__xludf.DUMMYFUNCTION("""COMPUTED_VALUE"""),76.42)</f>
        <v>76.42</v>
      </c>
      <c r="AT243" s="26">
        <f>IFERROR(__xludf.DUMMYFUNCTION("""COMPUTED_VALUE"""),394.04)</f>
        <v>394.04</v>
      </c>
      <c r="AU243" s="26">
        <f>IFERROR(__xludf.DUMMYFUNCTION("""COMPUTED_VALUE"""),67.25)</f>
        <v>67.25</v>
      </c>
      <c r="AV243" s="26">
        <f>IFERROR(__xludf.DUMMYFUNCTION("""COMPUTED_VALUE"""),109.02)</f>
        <v>109.02</v>
      </c>
      <c r="AW243" s="26">
        <f>IFERROR(__xludf.DUMMYFUNCTION("""COMPUTED_VALUE"""),94.9)</f>
        <v>94.9</v>
      </c>
      <c r="AX243" s="26">
        <f>IFERROR(__xludf.DUMMYFUNCTION("""COMPUTED_VALUE"""),47.9)</f>
        <v>47.9</v>
      </c>
      <c r="AY243" s="26">
        <f>IFERROR(__xludf.DUMMYFUNCTION("""COMPUTED_VALUE"""),116.08)</f>
        <v>116.08</v>
      </c>
      <c r="AZ243" s="26">
        <f>IFERROR(__xludf.DUMMYFUNCTION("""COMPUTED_VALUE"""),66.32)</f>
        <v>66.32</v>
      </c>
      <c r="BA243" s="26">
        <f>IFERROR(__xludf.DUMMYFUNCTION("""COMPUTED_VALUE"""),23.79)</f>
        <v>23.79</v>
      </c>
      <c r="BB243" s="26">
        <f>IFERROR(__xludf.DUMMYFUNCTION("""COMPUTED_VALUE"""),125.73)</f>
        <v>125.73</v>
      </c>
      <c r="BC243" s="26">
        <f>IFERROR(__xludf.DUMMYFUNCTION("""COMPUTED_VALUE"""),241.59)</f>
        <v>241.59</v>
      </c>
      <c r="BD243" s="26">
        <f>IFERROR(__xludf.DUMMYFUNCTION("""COMPUTED_VALUE"""),427.53)</f>
        <v>427.53</v>
      </c>
      <c r="BE243" s="26">
        <f>IFERROR(__xludf.DUMMYFUNCTION("""COMPUTED_VALUE"""),195.39)</f>
        <v>195.39</v>
      </c>
      <c r="BF243" s="26">
        <f>IFERROR(__xludf.DUMMYFUNCTION("""COMPUTED_VALUE"""),92.43)</f>
        <v>92.43</v>
      </c>
      <c r="BG243" s="26">
        <f>IFERROR(__xludf.DUMMYFUNCTION("""COMPUTED_VALUE"""),5.81)</f>
        <v>5.81</v>
      </c>
      <c r="BH243" s="26">
        <f>IFERROR(__xludf.DUMMYFUNCTION("""COMPUTED_VALUE"""),214.54)</f>
        <v>214.54</v>
      </c>
      <c r="BI243" s="26">
        <f>IFERROR(__xludf.DUMMYFUNCTION("""COMPUTED_VALUE"""),409.23)</f>
        <v>409.23</v>
      </c>
      <c r="BJ243" s="26">
        <f>IFERROR(__xludf.DUMMYFUNCTION("""COMPUTED_VALUE"""),50.14)</f>
        <v>50.14</v>
      </c>
      <c r="BK243" s="26">
        <f>IFERROR(__xludf.DUMMYFUNCTION("""COMPUTED_VALUE"""),8.34)</f>
        <v>8.34</v>
      </c>
      <c r="BL243" s="26">
        <f>IFERROR(__xludf.DUMMYFUNCTION("""COMPUTED_VALUE"""),228.8)</f>
        <v>228.8</v>
      </c>
      <c r="BM243" s="26">
        <f>IFERROR(__xludf.DUMMYFUNCTION("""COMPUTED_VALUE"""),91.17)</f>
        <v>91.17</v>
      </c>
    </row>
    <row r="244">
      <c r="A244" s="25">
        <v>45778.66666666667</v>
      </c>
      <c r="B244" s="17">
        <f>IFERROR(__xludf.DUMMYFUNCTION("""COMPUTED_VALUE"""),5569.06)</f>
        <v>5569.06</v>
      </c>
      <c r="C244" s="17">
        <f>IFERROR(__xludf.DUMMYFUNCTION("""COMPUTED_VALUE"""),17446.34)</f>
        <v>17446.34</v>
      </c>
      <c r="D244" s="17">
        <f>IFERROR(__xludf.DUMMYFUNCTION("""COMPUTED_VALUE"""),40669.36)</f>
        <v>40669.36</v>
      </c>
      <c r="E244" s="17">
        <f>IFERROR(__xludf.DUMMYFUNCTION("""COMPUTED_VALUE"""),1964.12)</f>
        <v>1964.12</v>
      </c>
      <c r="F244" s="26">
        <f>IFERROR(__xludf.DUMMYFUNCTION("""COMPUTED_VALUE"""),374.98)</f>
        <v>374.98</v>
      </c>
      <c r="G244" s="26">
        <f>IFERROR(__xludf.DUMMYFUNCTION("""COMPUTED_VALUE"""),184.42)</f>
        <v>184.42</v>
      </c>
      <c r="H244" s="26">
        <f>IFERROR(__xludf.DUMMYFUNCTION("""COMPUTED_VALUE"""),147.01)</f>
        <v>147.01</v>
      </c>
      <c r="I244" s="26">
        <f>IFERROR(__xludf.DUMMYFUNCTION("""COMPUTED_VALUE"""),212.5)</f>
        <v>212.5</v>
      </c>
      <c r="J244" s="26">
        <f>IFERROR(__xludf.DUMMYFUNCTION("""COMPUTED_VALUE"""),150.71)</f>
        <v>150.71</v>
      </c>
      <c r="K244" s="26">
        <f>IFERROR(__xludf.DUMMYFUNCTION("""COMPUTED_VALUE"""),80.41)</f>
        <v>80.41</v>
      </c>
      <c r="L244" s="26">
        <f>IFERROR(__xludf.DUMMYFUNCTION("""COMPUTED_VALUE"""),16.06)</f>
        <v>16.06</v>
      </c>
      <c r="M244" s="26">
        <f>IFERROR(__xludf.DUMMYFUNCTION("""COMPUTED_VALUE"""),533.25)</f>
        <v>533.25</v>
      </c>
      <c r="N244" s="26">
        <f>IFERROR(__xludf.DUMMYFUNCTION("""COMPUTED_VALUE"""),47.55)</f>
        <v>47.55</v>
      </c>
      <c r="O244" s="26">
        <f>IFERROR(__xludf.DUMMYFUNCTION("""COMPUTED_VALUE"""),121.08)</f>
        <v>121.08</v>
      </c>
      <c r="P244" s="26">
        <f>IFERROR(__xludf.DUMMYFUNCTION("""COMPUTED_VALUE"""),62.54)</f>
        <v>62.54</v>
      </c>
      <c r="Q244" s="26">
        <f>IFERROR(__xludf.DUMMYFUNCTION("""COMPUTED_VALUE"""),309.27)</f>
        <v>309.27</v>
      </c>
      <c r="R244" s="26">
        <f>IFERROR(__xludf.DUMMYFUNCTION("""COMPUTED_VALUE"""),45.15)</f>
        <v>45.15</v>
      </c>
      <c r="S244" s="26">
        <f>IFERROR(__xludf.DUMMYFUNCTION("""COMPUTED_VALUE"""),219.56)</f>
        <v>219.56</v>
      </c>
      <c r="T244" s="26">
        <f>IFERROR(__xludf.DUMMYFUNCTION("""COMPUTED_VALUE"""),136.06)</f>
        <v>136.06</v>
      </c>
      <c r="U244" s="26">
        <f>IFERROR(__xludf.DUMMYFUNCTION("""COMPUTED_VALUE"""),340.04)</f>
        <v>340.04</v>
      </c>
      <c r="V244" s="26">
        <f>IFERROR(__xludf.DUMMYFUNCTION("""COMPUTED_VALUE"""),36.89)</f>
        <v>36.89</v>
      </c>
      <c r="W244" s="26">
        <f>IFERROR(__xludf.DUMMYFUNCTION("""COMPUTED_VALUE"""),72.55)</f>
        <v>72.55</v>
      </c>
      <c r="X244" s="26">
        <f>IFERROR(__xludf.DUMMYFUNCTION("""COMPUTED_VALUE"""),112.75)</f>
        <v>112.75</v>
      </c>
      <c r="Y244" s="26">
        <f>IFERROR(__xludf.DUMMYFUNCTION("""COMPUTED_VALUE"""),160.54)</f>
        <v>160.54</v>
      </c>
      <c r="Z244" s="26">
        <f>IFERROR(__xludf.DUMMYFUNCTION("""COMPUTED_VALUE"""),81.77)</f>
        <v>81.77</v>
      </c>
      <c r="AA244" s="26">
        <f>IFERROR(__xludf.DUMMYFUNCTION("""COMPUTED_VALUE"""),490.37)</f>
        <v>490.37</v>
      </c>
      <c r="AB244" s="26">
        <f>IFERROR(__xludf.DUMMYFUNCTION("""COMPUTED_VALUE"""),68.16)</f>
        <v>68.16</v>
      </c>
      <c r="AC244" s="26">
        <f>IFERROR(__xludf.DUMMYFUNCTION("""COMPUTED_VALUE"""),105.63)</f>
        <v>105.63</v>
      </c>
      <c r="AD244" s="26">
        <f>IFERROR(__xludf.DUMMYFUNCTION("""COMPUTED_VALUE"""),210.33)</f>
        <v>210.33</v>
      </c>
      <c r="AE244" s="26">
        <f>IFERROR(__xludf.DUMMYFUNCTION("""COMPUTED_VALUE"""),461.78)</f>
        <v>461.78</v>
      </c>
      <c r="AF244" s="26">
        <f>IFERROR(__xludf.DUMMYFUNCTION("""COMPUTED_VALUE"""),272.12)</f>
        <v>272.12</v>
      </c>
      <c r="AG244" s="26">
        <f>IFERROR(__xludf.DUMMYFUNCTION("""COMPUTED_VALUE"""),45.24)</f>
        <v>45.24</v>
      </c>
      <c r="AH244" s="26">
        <f>IFERROR(__xludf.DUMMYFUNCTION("""COMPUTED_VALUE"""),106.54)</f>
        <v>106.54</v>
      </c>
      <c r="AI244" s="26">
        <f>IFERROR(__xludf.DUMMYFUNCTION("""COMPUTED_VALUE"""),547.55)</f>
        <v>547.55</v>
      </c>
      <c r="AJ244" s="26">
        <f>IFERROR(__xludf.DUMMYFUNCTION("""COMPUTED_VALUE"""),360.49)</f>
        <v>360.49</v>
      </c>
      <c r="AK244" s="26">
        <f>IFERROR(__xludf.DUMMYFUNCTION("""COMPUTED_VALUE"""),134.79)</f>
        <v>134.79</v>
      </c>
      <c r="AL244" s="26">
        <f>IFERROR(__xludf.DUMMYFUNCTION("""COMPUTED_VALUE"""),167.97)</f>
        <v>167.97</v>
      </c>
      <c r="AM244" s="26">
        <f>IFERROR(__xludf.DUMMYFUNCTION("""COMPUTED_VALUE"""),515.8)</f>
        <v>515.8</v>
      </c>
      <c r="AN244" s="26">
        <f>IFERROR(__xludf.DUMMYFUNCTION("""COMPUTED_VALUE"""),244.62)</f>
        <v>244.62</v>
      </c>
      <c r="AO244" s="26">
        <f>IFERROR(__xludf.DUMMYFUNCTION("""COMPUTED_VALUE"""),477.75)</f>
        <v>477.75</v>
      </c>
      <c r="AP244" s="26">
        <f>IFERROR(__xludf.DUMMYFUNCTION("""COMPUTED_VALUE"""),270.77)</f>
        <v>270.77</v>
      </c>
      <c r="AQ244" s="26">
        <f>IFERROR(__xludf.DUMMYFUNCTION("""COMPUTED_VALUE"""),30.62)</f>
        <v>30.62</v>
      </c>
      <c r="AR244" s="26">
        <f>IFERROR(__xludf.DUMMYFUNCTION("""COMPUTED_VALUE"""),84.76)</f>
        <v>84.76</v>
      </c>
      <c r="AS244" s="26">
        <f>IFERROR(__xludf.DUMMYFUNCTION("""COMPUTED_VALUE"""),75.37)</f>
        <v>75.37</v>
      </c>
      <c r="AT244" s="26">
        <f>IFERROR(__xludf.DUMMYFUNCTION("""COMPUTED_VALUE"""),395.26)</f>
        <v>395.26</v>
      </c>
      <c r="AU244" s="26">
        <f>IFERROR(__xludf.DUMMYFUNCTION("""COMPUTED_VALUE"""),66.88)</f>
        <v>66.88</v>
      </c>
      <c r="AV244" s="26">
        <f>IFERROR(__xludf.DUMMYFUNCTION("""COMPUTED_VALUE"""),108.92)</f>
        <v>108.92</v>
      </c>
      <c r="AW244" s="26">
        <f>IFERROR(__xludf.DUMMYFUNCTION("""COMPUTED_VALUE"""),96.27)</f>
        <v>96.27</v>
      </c>
      <c r="AX244" s="26">
        <f>IFERROR(__xludf.DUMMYFUNCTION("""COMPUTED_VALUE"""),48.11)</f>
        <v>48.11</v>
      </c>
      <c r="AY244" s="26">
        <f>IFERROR(__xludf.DUMMYFUNCTION("""COMPUTED_VALUE"""),118.44)</f>
        <v>118.44</v>
      </c>
      <c r="AZ244" s="26">
        <f>IFERROR(__xludf.DUMMYFUNCTION("""COMPUTED_VALUE"""),65.84)</f>
        <v>65.84</v>
      </c>
      <c r="BA244" s="26">
        <f>IFERROR(__xludf.DUMMYFUNCTION("""COMPUTED_VALUE"""),24.41)</f>
        <v>24.41</v>
      </c>
      <c r="BB244" s="26">
        <f>IFERROR(__xludf.DUMMYFUNCTION("""COMPUTED_VALUE"""),126.13)</f>
        <v>126.13</v>
      </c>
      <c r="BC244" s="26">
        <f>IFERROR(__xludf.DUMMYFUNCTION("""COMPUTED_VALUE"""),246.95)</f>
        <v>246.95</v>
      </c>
      <c r="BD244" s="26">
        <f>IFERROR(__xludf.DUMMYFUNCTION("""COMPUTED_VALUE"""),429.0)</f>
        <v>429</v>
      </c>
      <c r="BE244" s="26">
        <f>IFERROR(__xludf.DUMMYFUNCTION("""COMPUTED_VALUE"""),191.22)</f>
        <v>191.22</v>
      </c>
      <c r="BF244" s="26">
        <f>IFERROR(__xludf.DUMMYFUNCTION("""COMPUTED_VALUE"""),92.01)</f>
        <v>92.01</v>
      </c>
      <c r="BG244" s="26">
        <f>IFERROR(__xludf.DUMMYFUNCTION("""COMPUTED_VALUE"""),5.72)</f>
        <v>5.72</v>
      </c>
      <c r="BH244" s="26">
        <f>IFERROR(__xludf.DUMMYFUNCTION("""COMPUTED_VALUE"""),215.66)</f>
        <v>215.66</v>
      </c>
      <c r="BI244" s="26">
        <f>IFERROR(__xludf.DUMMYFUNCTION("""COMPUTED_VALUE"""),411.44)</f>
        <v>411.44</v>
      </c>
      <c r="BJ244" s="26">
        <f>IFERROR(__xludf.DUMMYFUNCTION("""COMPUTED_VALUE"""),50.21)</f>
        <v>50.21</v>
      </c>
      <c r="BK244" s="26">
        <f>IFERROR(__xludf.DUMMYFUNCTION("""COMPUTED_VALUE"""),8.42)</f>
        <v>8.42</v>
      </c>
      <c r="BL244" s="26">
        <f>IFERROR(__xludf.DUMMYFUNCTION("""COMPUTED_VALUE"""),233.36)</f>
        <v>233.36</v>
      </c>
      <c r="BM244" s="26">
        <f>IFERROR(__xludf.DUMMYFUNCTION("""COMPUTED_VALUE"""),90.95)</f>
        <v>90.95</v>
      </c>
    </row>
    <row r="245">
      <c r="A245" s="25">
        <v>45779.66666666667</v>
      </c>
      <c r="B245" s="17">
        <f>IFERROR(__xludf.DUMMYFUNCTION("""COMPUTED_VALUE"""),5604.14)</f>
        <v>5604.14</v>
      </c>
      <c r="C245" s="17">
        <f>IFERROR(__xludf.DUMMYFUNCTION("""COMPUTED_VALUE"""),17710.74)</f>
        <v>17710.74</v>
      </c>
      <c r="D245" s="17">
        <f>IFERROR(__xludf.DUMMYFUNCTION("""COMPUTED_VALUE"""),40752.96)</f>
        <v>40752.96</v>
      </c>
      <c r="E245" s="17">
        <f>IFERROR(__xludf.DUMMYFUNCTION("""COMPUTED_VALUE"""),1975.86)</f>
        <v>1975.86</v>
      </c>
      <c r="F245" s="26">
        <f>IFERROR(__xludf.DUMMYFUNCTION("""COMPUTED_VALUE"""),374.63)</f>
        <v>374.63</v>
      </c>
      <c r="G245" s="26">
        <f>IFERROR(__xludf.DUMMYFUNCTION("""COMPUTED_VALUE"""),190.2)</f>
        <v>190.2</v>
      </c>
      <c r="H245" s="26">
        <f>IFERROR(__xludf.DUMMYFUNCTION("""COMPUTED_VALUE"""),146.43)</f>
        <v>146.43</v>
      </c>
      <c r="I245" s="26">
        <f>IFERROR(__xludf.DUMMYFUNCTION("""COMPUTED_VALUE"""),213.32)</f>
        <v>213.32</v>
      </c>
      <c r="J245" s="26">
        <f>IFERROR(__xludf.DUMMYFUNCTION("""COMPUTED_VALUE"""),148.96)</f>
        <v>148.96</v>
      </c>
      <c r="K245" s="26">
        <f>IFERROR(__xludf.DUMMYFUNCTION("""COMPUTED_VALUE"""),80.91)</f>
        <v>80.91</v>
      </c>
      <c r="L245" s="26">
        <f>IFERROR(__xludf.DUMMYFUNCTION("""COMPUTED_VALUE"""),15.82)</f>
        <v>15.82</v>
      </c>
      <c r="M245" s="26">
        <f>IFERROR(__xludf.DUMMYFUNCTION("""COMPUTED_VALUE"""),530.23)</f>
        <v>530.23</v>
      </c>
      <c r="N245" s="26">
        <f>IFERROR(__xludf.DUMMYFUNCTION("""COMPUTED_VALUE"""),47.71)</f>
        <v>47.71</v>
      </c>
      <c r="O245" s="26">
        <f>IFERROR(__xludf.DUMMYFUNCTION("""COMPUTED_VALUE"""),120.93)</f>
        <v>120.93</v>
      </c>
      <c r="P245" s="26">
        <f>IFERROR(__xludf.DUMMYFUNCTION("""COMPUTED_VALUE"""),69.8)</f>
        <v>69.8</v>
      </c>
      <c r="Q245" s="26">
        <f>IFERROR(__xludf.DUMMYFUNCTION("""COMPUTED_VALUE"""),313.96)</f>
        <v>313.96</v>
      </c>
      <c r="R245" s="26">
        <f>IFERROR(__xludf.DUMMYFUNCTION("""COMPUTED_VALUE"""),45.51)</f>
        <v>45.51</v>
      </c>
      <c r="S245" s="26">
        <f>IFERROR(__xludf.DUMMYFUNCTION("""COMPUTED_VALUE"""),214.03)</f>
        <v>214.03</v>
      </c>
      <c r="T245" s="26">
        <f>IFERROR(__xludf.DUMMYFUNCTION("""COMPUTED_VALUE"""),136.26)</f>
        <v>136.26</v>
      </c>
      <c r="U245" s="26">
        <f>IFERROR(__xludf.DUMMYFUNCTION("""COMPUTED_VALUE"""),335.18)</f>
        <v>335.18</v>
      </c>
      <c r="V245" s="26">
        <f>IFERROR(__xludf.DUMMYFUNCTION("""COMPUTED_VALUE"""),37.29)</f>
        <v>37.29</v>
      </c>
      <c r="W245" s="26">
        <f>IFERROR(__xludf.DUMMYFUNCTION("""COMPUTED_VALUE"""),71.29)</f>
        <v>71.29</v>
      </c>
      <c r="X245" s="26">
        <f>IFERROR(__xludf.DUMMYFUNCTION("""COMPUTED_VALUE"""),112.56)</f>
        <v>112.56</v>
      </c>
      <c r="Y245" s="26">
        <f>IFERROR(__xludf.DUMMYFUNCTION("""COMPUTED_VALUE"""),161.88)</f>
        <v>161.88</v>
      </c>
      <c r="Z245" s="26">
        <f>IFERROR(__xludf.DUMMYFUNCTION("""COMPUTED_VALUE"""),81.27)</f>
        <v>81.27</v>
      </c>
      <c r="AA245" s="26">
        <f>IFERROR(__xludf.DUMMYFUNCTION("""COMPUTED_VALUE"""),481.39)</f>
        <v>481.39</v>
      </c>
      <c r="AB245" s="26">
        <f>IFERROR(__xludf.DUMMYFUNCTION("""COMPUTED_VALUE"""),67.67)</f>
        <v>67.67</v>
      </c>
      <c r="AC245" s="26">
        <f>IFERROR(__xludf.DUMMYFUNCTION("""COMPUTED_VALUE"""),105.78)</f>
        <v>105.78</v>
      </c>
      <c r="AD245" s="26">
        <f>IFERROR(__xludf.DUMMYFUNCTION("""COMPUTED_VALUE"""),210.06)</f>
        <v>210.06</v>
      </c>
      <c r="AE245" s="26">
        <f>IFERROR(__xludf.DUMMYFUNCTION("""COMPUTED_VALUE"""),460.12)</f>
        <v>460.12</v>
      </c>
      <c r="AF245" s="26">
        <f>IFERROR(__xludf.DUMMYFUNCTION("""COMPUTED_VALUE"""),271.51)</f>
        <v>271.51</v>
      </c>
      <c r="AG245" s="26">
        <f>IFERROR(__xludf.DUMMYFUNCTION("""COMPUTED_VALUE"""),45.05)</f>
        <v>45.05</v>
      </c>
      <c r="AH245" s="26">
        <f>IFERROR(__xludf.DUMMYFUNCTION("""COMPUTED_VALUE"""),103.25)</f>
        <v>103.25</v>
      </c>
      <c r="AI245" s="26">
        <f>IFERROR(__xludf.DUMMYFUNCTION("""COMPUTED_VALUE"""),553.83)</f>
        <v>553.83</v>
      </c>
      <c r="AJ245" s="26">
        <f>IFERROR(__xludf.DUMMYFUNCTION("""COMPUTED_VALUE"""),358.3)</f>
        <v>358.3</v>
      </c>
      <c r="AK245" s="26">
        <f>IFERROR(__xludf.DUMMYFUNCTION("""COMPUTED_VALUE"""),140.92)</f>
        <v>140.92</v>
      </c>
      <c r="AL245" s="26">
        <f>IFERROR(__xludf.DUMMYFUNCTION("""COMPUTED_VALUE"""),170.84)</f>
        <v>170.84</v>
      </c>
      <c r="AM245" s="26">
        <f>IFERROR(__xludf.DUMMYFUNCTION("""COMPUTED_VALUE"""),517.18)</f>
        <v>517.18</v>
      </c>
      <c r="AN245" s="26">
        <f>IFERROR(__xludf.DUMMYFUNCTION("""COMPUTED_VALUE"""),246.89)</f>
        <v>246.89</v>
      </c>
      <c r="AO245" s="26">
        <f>IFERROR(__xludf.DUMMYFUNCTION("""COMPUTED_VALUE"""),477.72)</f>
        <v>477.72</v>
      </c>
      <c r="AP245" s="26">
        <f>IFERROR(__xludf.DUMMYFUNCTION("""COMPUTED_VALUE"""),268.6)</f>
        <v>268.6</v>
      </c>
      <c r="AQ245" s="26">
        <f>IFERROR(__xludf.DUMMYFUNCTION("""COMPUTED_VALUE"""),30.84)</f>
        <v>30.84</v>
      </c>
      <c r="AR245" s="26">
        <f>IFERROR(__xludf.DUMMYFUNCTION("""COMPUTED_VALUE"""),83.56)</f>
        <v>83.56</v>
      </c>
      <c r="AS245" s="26">
        <f>IFERROR(__xludf.DUMMYFUNCTION("""COMPUTED_VALUE"""),75.77)</f>
        <v>75.77</v>
      </c>
      <c r="AT245" s="26">
        <f>IFERROR(__xludf.DUMMYFUNCTION("""COMPUTED_VALUE"""),425.4)</f>
        <v>425.4</v>
      </c>
      <c r="AU245" s="26">
        <f>IFERROR(__xludf.DUMMYFUNCTION("""COMPUTED_VALUE"""),66.05)</f>
        <v>66.05</v>
      </c>
      <c r="AV245" s="26">
        <f>IFERROR(__xludf.DUMMYFUNCTION("""COMPUTED_VALUE"""),111.61)</f>
        <v>111.61</v>
      </c>
      <c r="AW245" s="26">
        <f>IFERROR(__xludf.DUMMYFUNCTION("""COMPUTED_VALUE"""),96.39)</f>
        <v>96.39</v>
      </c>
      <c r="AX245" s="26">
        <f>IFERROR(__xludf.DUMMYFUNCTION("""COMPUTED_VALUE"""),47.72)</f>
        <v>47.72</v>
      </c>
      <c r="AY245" s="26">
        <f>IFERROR(__xludf.DUMMYFUNCTION("""COMPUTED_VALUE"""),116.2)</f>
        <v>116.2</v>
      </c>
      <c r="AZ245" s="26">
        <f>IFERROR(__xludf.DUMMYFUNCTION("""COMPUTED_VALUE"""),65.41)</f>
        <v>65.41</v>
      </c>
      <c r="BA245" s="26">
        <f>IFERROR(__xludf.DUMMYFUNCTION("""COMPUTED_VALUE"""),23.93)</f>
        <v>23.93</v>
      </c>
      <c r="BB245" s="26">
        <f>IFERROR(__xludf.DUMMYFUNCTION("""COMPUTED_VALUE"""),127.41)</f>
        <v>127.41</v>
      </c>
      <c r="BC245" s="26">
        <f>IFERROR(__xludf.DUMMYFUNCTION("""COMPUTED_VALUE"""),247.0)</f>
        <v>247</v>
      </c>
      <c r="BD245" s="26">
        <f>IFERROR(__xludf.DUMMYFUNCTION("""COMPUTED_VALUE"""),419.89)</f>
        <v>419.89</v>
      </c>
      <c r="BE245" s="26">
        <f>IFERROR(__xludf.DUMMYFUNCTION("""COMPUTED_VALUE"""),190.58)</f>
        <v>190.58</v>
      </c>
      <c r="BF245" s="26">
        <f>IFERROR(__xludf.DUMMYFUNCTION("""COMPUTED_VALUE"""),90.45)</f>
        <v>90.45</v>
      </c>
      <c r="BG245" s="26">
        <f>IFERROR(__xludf.DUMMYFUNCTION("""COMPUTED_VALUE"""),5.8)</f>
        <v>5.8</v>
      </c>
      <c r="BH245" s="26">
        <f>IFERROR(__xludf.DUMMYFUNCTION("""COMPUTED_VALUE"""),214.08)</f>
        <v>214.08</v>
      </c>
      <c r="BI245" s="26">
        <f>IFERROR(__xludf.DUMMYFUNCTION("""COMPUTED_VALUE"""),400.68)</f>
        <v>400.68</v>
      </c>
      <c r="BJ245" s="26">
        <f>IFERROR(__xludf.DUMMYFUNCTION("""COMPUTED_VALUE"""),50.13)</f>
        <v>50.13</v>
      </c>
      <c r="BK245" s="26">
        <f>IFERROR(__xludf.DUMMYFUNCTION("""COMPUTED_VALUE"""),8.47)</f>
        <v>8.47</v>
      </c>
      <c r="BL245" s="26">
        <f>IFERROR(__xludf.DUMMYFUNCTION("""COMPUTED_VALUE"""),233.4)</f>
        <v>233.4</v>
      </c>
      <c r="BM245" s="26">
        <f>IFERROR(__xludf.DUMMYFUNCTION("""COMPUTED_VALUE"""),90.81)</f>
        <v>90.81</v>
      </c>
    </row>
    <row r="246">
      <c r="A246" s="25">
        <v>45782.66666666667</v>
      </c>
      <c r="B246" s="17">
        <f>IFERROR(__xludf.DUMMYFUNCTION("""COMPUTED_VALUE"""),5686.67)</f>
        <v>5686.67</v>
      </c>
      <c r="C246" s="17">
        <f>IFERROR(__xludf.DUMMYFUNCTION("""COMPUTED_VALUE"""),17977.73)</f>
        <v>17977.73</v>
      </c>
      <c r="D246" s="17">
        <f>IFERROR(__xludf.DUMMYFUNCTION("""COMPUTED_VALUE"""),41317.43)</f>
        <v>41317.43</v>
      </c>
      <c r="E246" s="17">
        <f>IFERROR(__xludf.DUMMYFUNCTION("""COMPUTED_VALUE"""),2020.74)</f>
        <v>2020.74</v>
      </c>
      <c r="F246" s="26">
        <f>IFERROR(__xludf.DUMMYFUNCTION("""COMPUTED_VALUE"""),380.87)</f>
        <v>380.87</v>
      </c>
      <c r="G246" s="26">
        <f>IFERROR(__xludf.DUMMYFUNCTION("""COMPUTED_VALUE"""),189.98)</f>
        <v>189.98</v>
      </c>
      <c r="H246" s="26">
        <f>IFERROR(__xludf.DUMMYFUNCTION("""COMPUTED_VALUE"""),147.11)</f>
        <v>147.11</v>
      </c>
      <c r="I246" s="26">
        <f>IFERROR(__xludf.DUMMYFUNCTION("""COMPUTED_VALUE"""),205.35)</f>
        <v>205.35</v>
      </c>
      <c r="J246" s="26">
        <f>IFERROR(__xludf.DUMMYFUNCTION("""COMPUTED_VALUE"""),155.1)</f>
        <v>155.1</v>
      </c>
      <c r="K246" s="26">
        <f>IFERROR(__xludf.DUMMYFUNCTION("""COMPUTED_VALUE"""),82.14)</f>
        <v>82.14</v>
      </c>
      <c r="L246" s="26">
        <f>IFERROR(__xludf.DUMMYFUNCTION("""COMPUTED_VALUE"""),16.25)</f>
        <v>16.25</v>
      </c>
      <c r="M246" s="26">
        <f>IFERROR(__xludf.DUMMYFUNCTION("""COMPUTED_VALUE"""),539.8)</f>
        <v>539.8</v>
      </c>
      <c r="N246" s="26">
        <f>IFERROR(__xludf.DUMMYFUNCTION("""COMPUTED_VALUE"""),48.83)</f>
        <v>48.83</v>
      </c>
      <c r="O246" s="26">
        <f>IFERROR(__xludf.DUMMYFUNCTION("""COMPUTED_VALUE"""),123.53)</f>
        <v>123.53</v>
      </c>
      <c r="P246" s="26">
        <f>IFERROR(__xludf.DUMMYFUNCTION("""COMPUTED_VALUE"""),71.53)</f>
        <v>71.53</v>
      </c>
      <c r="Q246" s="26">
        <f>IFERROR(__xludf.DUMMYFUNCTION("""COMPUTED_VALUE"""),323.68)</f>
        <v>323.68</v>
      </c>
      <c r="R246" s="26">
        <f>IFERROR(__xludf.DUMMYFUNCTION("""COMPUTED_VALUE"""),47.01)</f>
        <v>47.01</v>
      </c>
      <c r="S246" s="26">
        <f>IFERROR(__xludf.DUMMYFUNCTION("""COMPUTED_VALUE"""),217.55)</f>
        <v>217.55</v>
      </c>
      <c r="T246" s="26">
        <f>IFERROR(__xludf.DUMMYFUNCTION("""COMPUTED_VALUE"""),138.5)</f>
        <v>138.5</v>
      </c>
      <c r="U246" s="26">
        <f>IFERROR(__xludf.DUMMYFUNCTION("""COMPUTED_VALUE"""),334.75)</f>
        <v>334.75</v>
      </c>
      <c r="V246" s="26">
        <f>IFERROR(__xludf.DUMMYFUNCTION("""COMPUTED_VALUE"""),38.65)</f>
        <v>38.65</v>
      </c>
      <c r="W246" s="26">
        <f>IFERROR(__xludf.DUMMYFUNCTION("""COMPUTED_VALUE"""),71.65)</f>
        <v>71.65</v>
      </c>
      <c r="X246" s="26">
        <f>IFERROR(__xludf.DUMMYFUNCTION("""COMPUTED_VALUE"""),110.03)</f>
        <v>110.03</v>
      </c>
      <c r="Y246" s="26">
        <f>IFERROR(__xludf.DUMMYFUNCTION("""COMPUTED_VALUE"""),164.55)</f>
        <v>164.55</v>
      </c>
      <c r="Z246" s="26">
        <f>IFERROR(__xludf.DUMMYFUNCTION("""COMPUTED_VALUE"""),84.29)</f>
        <v>84.29</v>
      </c>
      <c r="AA246" s="26">
        <f>IFERROR(__xludf.DUMMYFUNCTION("""COMPUTED_VALUE"""),484.61)</f>
        <v>484.61</v>
      </c>
      <c r="AB246" s="26">
        <f>IFERROR(__xludf.DUMMYFUNCTION("""COMPUTED_VALUE"""),68.6)</f>
        <v>68.6</v>
      </c>
      <c r="AC246" s="26">
        <f>IFERROR(__xludf.DUMMYFUNCTION("""COMPUTED_VALUE"""),106.21)</f>
        <v>106.21</v>
      </c>
      <c r="AD246" s="26">
        <f>IFERROR(__xludf.DUMMYFUNCTION("""COMPUTED_VALUE"""),219.72)</f>
        <v>219.72</v>
      </c>
      <c r="AE246" s="26">
        <f>IFERROR(__xludf.DUMMYFUNCTION("""COMPUTED_VALUE"""),462.84)</f>
        <v>462.84</v>
      </c>
      <c r="AF246" s="26">
        <f>IFERROR(__xludf.DUMMYFUNCTION("""COMPUTED_VALUE"""),273.03)</f>
        <v>273.03</v>
      </c>
      <c r="AG246" s="26">
        <f>IFERROR(__xludf.DUMMYFUNCTION("""COMPUTED_VALUE"""),45.3)</f>
        <v>45.3</v>
      </c>
      <c r="AH246" s="26">
        <f>IFERROR(__xludf.DUMMYFUNCTION("""COMPUTED_VALUE"""),103.68)</f>
        <v>103.68</v>
      </c>
      <c r="AI246" s="26">
        <f>IFERROR(__xludf.DUMMYFUNCTION("""COMPUTED_VALUE"""),566.1)</f>
        <v>566.1</v>
      </c>
      <c r="AJ246" s="26">
        <f>IFERROR(__xludf.DUMMYFUNCTION("""COMPUTED_VALUE"""),364.52)</f>
        <v>364.52</v>
      </c>
      <c r="AK246" s="26">
        <f>IFERROR(__xludf.DUMMYFUNCTION("""COMPUTED_VALUE"""),147.36)</f>
        <v>147.36</v>
      </c>
      <c r="AL246" s="26">
        <f>IFERROR(__xludf.DUMMYFUNCTION("""COMPUTED_VALUE"""),173.45)</f>
        <v>173.45</v>
      </c>
      <c r="AM246" s="26">
        <f>IFERROR(__xludf.DUMMYFUNCTION("""COMPUTED_VALUE"""),529.42)</f>
        <v>529.42</v>
      </c>
      <c r="AN246" s="26">
        <f>IFERROR(__xludf.DUMMYFUNCTION("""COMPUTED_VALUE"""),252.51)</f>
        <v>252.51</v>
      </c>
      <c r="AO246" s="26">
        <f>IFERROR(__xludf.DUMMYFUNCTION("""COMPUTED_VALUE"""),472.8)</f>
        <v>472.8</v>
      </c>
      <c r="AP246" s="26">
        <f>IFERROR(__xludf.DUMMYFUNCTION("""COMPUTED_VALUE"""),277.36)</f>
        <v>277.36</v>
      </c>
      <c r="AQ246" s="26">
        <f>IFERROR(__xludf.DUMMYFUNCTION("""COMPUTED_VALUE"""),31.57)</f>
        <v>31.57</v>
      </c>
      <c r="AR246" s="26">
        <f>IFERROR(__xludf.DUMMYFUNCTION("""COMPUTED_VALUE"""),84.85)</f>
        <v>84.85</v>
      </c>
      <c r="AS246" s="26">
        <f>IFERROR(__xludf.DUMMYFUNCTION("""COMPUTED_VALUE"""),77.81)</f>
        <v>77.81</v>
      </c>
      <c r="AT246" s="26">
        <f>IFERROR(__xludf.DUMMYFUNCTION("""COMPUTED_VALUE"""),435.28)</f>
        <v>435.28</v>
      </c>
      <c r="AU246" s="26">
        <f>IFERROR(__xludf.DUMMYFUNCTION("""COMPUTED_VALUE"""),67.09)</f>
        <v>67.09</v>
      </c>
      <c r="AV246" s="26">
        <f>IFERROR(__xludf.DUMMYFUNCTION("""COMPUTED_VALUE"""),114.5)</f>
        <v>114.5</v>
      </c>
      <c r="AW246" s="26">
        <f>IFERROR(__xludf.DUMMYFUNCTION("""COMPUTED_VALUE"""),97.32)</f>
        <v>97.32</v>
      </c>
      <c r="AX246" s="26">
        <f>IFERROR(__xludf.DUMMYFUNCTION("""COMPUTED_VALUE"""),48.91)</f>
        <v>48.91</v>
      </c>
      <c r="AY246" s="26">
        <f>IFERROR(__xludf.DUMMYFUNCTION("""COMPUTED_VALUE"""),124.28)</f>
        <v>124.28</v>
      </c>
      <c r="AZ246" s="26">
        <f>IFERROR(__xludf.DUMMYFUNCTION("""COMPUTED_VALUE"""),67.24)</f>
        <v>67.24</v>
      </c>
      <c r="BA246" s="26">
        <f>IFERROR(__xludf.DUMMYFUNCTION("""COMPUTED_VALUE"""),24.2)</f>
        <v>24.2</v>
      </c>
      <c r="BB246" s="26">
        <f>IFERROR(__xludf.DUMMYFUNCTION("""COMPUTED_VALUE"""),130.21)</f>
        <v>130.21</v>
      </c>
      <c r="BC246" s="26">
        <f>IFERROR(__xludf.DUMMYFUNCTION("""COMPUTED_VALUE"""),248.88)</f>
        <v>248.88</v>
      </c>
      <c r="BD246" s="26">
        <f>IFERROR(__xludf.DUMMYFUNCTION("""COMPUTED_VALUE"""),423.55)</f>
        <v>423.55</v>
      </c>
      <c r="BE246" s="26">
        <f>IFERROR(__xludf.DUMMYFUNCTION("""COMPUTED_VALUE"""),192.24)</f>
        <v>192.24</v>
      </c>
      <c r="BF246" s="26">
        <f>IFERROR(__xludf.DUMMYFUNCTION("""COMPUTED_VALUE"""),89.98)</f>
        <v>89.98</v>
      </c>
      <c r="BG246" s="26">
        <f>IFERROR(__xludf.DUMMYFUNCTION("""COMPUTED_VALUE"""),5.99)</f>
        <v>5.99</v>
      </c>
      <c r="BH246" s="26">
        <f>IFERROR(__xludf.DUMMYFUNCTION("""COMPUTED_VALUE"""),218.29)</f>
        <v>218.29</v>
      </c>
      <c r="BI246" s="26">
        <f>IFERROR(__xludf.DUMMYFUNCTION("""COMPUTED_VALUE"""),399.92)</f>
        <v>399.92</v>
      </c>
      <c r="BJ246" s="26">
        <f>IFERROR(__xludf.DUMMYFUNCTION("""COMPUTED_VALUE"""),49.96)</f>
        <v>49.96</v>
      </c>
      <c r="BK246" s="26">
        <f>IFERROR(__xludf.DUMMYFUNCTION("""COMPUTED_VALUE"""),8.65)</f>
        <v>8.65</v>
      </c>
      <c r="BL246" s="26">
        <f>IFERROR(__xludf.DUMMYFUNCTION("""COMPUTED_VALUE"""),233.94)</f>
        <v>233.94</v>
      </c>
      <c r="BM246" s="26">
        <f>IFERROR(__xludf.DUMMYFUNCTION("""COMPUTED_VALUE"""),92.49)</f>
        <v>92.49</v>
      </c>
    </row>
    <row r="247">
      <c r="A247" s="25">
        <v>45783.66666666667</v>
      </c>
      <c r="B247" s="17">
        <f>IFERROR(__xludf.DUMMYFUNCTION("""COMPUTED_VALUE"""),5650.38)</f>
        <v>5650.38</v>
      </c>
      <c r="C247" s="17">
        <f>IFERROR(__xludf.DUMMYFUNCTION("""COMPUTED_VALUE"""),17844.24)</f>
        <v>17844.24</v>
      </c>
      <c r="D247" s="17">
        <f>IFERROR(__xludf.DUMMYFUNCTION("""COMPUTED_VALUE"""),41218.83)</f>
        <v>41218.83</v>
      </c>
      <c r="E247" s="17">
        <f>IFERROR(__xludf.DUMMYFUNCTION("""COMPUTED_VALUE"""),2004.26)</f>
        <v>2004.26</v>
      </c>
      <c r="F247" s="26">
        <f>IFERROR(__xludf.DUMMYFUNCTION("""COMPUTED_VALUE"""),381.06)</f>
        <v>381.06</v>
      </c>
      <c r="G247" s="26">
        <f>IFERROR(__xludf.DUMMYFUNCTION("""COMPUTED_VALUE"""),186.35)</f>
        <v>186.35</v>
      </c>
      <c r="H247" s="26">
        <f>IFERROR(__xludf.DUMMYFUNCTION("""COMPUTED_VALUE"""),148.15)</f>
        <v>148.15</v>
      </c>
      <c r="I247" s="26">
        <f>IFERROR(__xludf.DUMMYFUNCTION("""COMPUTED_VALUE"""),198.89)</f>
        <v>198.89</v>
      </c>
      <c r="J247" s="26">
        <f>IFERROR(__xludf.DUMMYFUNCTION("""COMPUTED_VALUE"""),154.61)</f>
        <v>154.61</v>
      </c>
      <c r="K247" s="26">
        <f>IFERROR(__xludf.DUMMYFUNCTION("""COMPUTED_VALUE"""),82.18)</f>
        <v>82.18</v>
      </c>
      <c r="L247" s="26">
        <f>IFERROR(__xludf.DUMMYFUNCTION("""COMPUTED_VALUE"""),16.38)</f>
        <v>16.38</v>
      </c>
      <c r="M247" s="26">
        <f>IFERROR(__xludf.DUMMYFUNCTION("""COMPUTED_VALUE"""),512.15)</f>
        <v>512.15</v>
      </c>
      <c r="N247" s="26">
        <f>IFERROR(__xludf.DUMMYFUNCTION("""COMPUTED_VALUE"""),48.62)</f>
        <v>48.62</v>
      </c>
      <c r="O247" s="26">
        <f>IFERROR(__xludf.DUMMYFUNCTION("""COMPUTED_VALUE"""),121.8)</f>
        <v>121.8</v>
      </c>
      <c r="P247" s="26">
        <f>IFERROR(__xludf.DUMMYFUNCTION("""COMPUTED_VALUE"""),70.81)</f>
        <v>70.81</v>
      </c>
      <c r="Q247" s="26">
        <f>IFERROR(__xludf.DUMMYFUNCTION("""COMPUTED_VALUE"""),323.11)</f>
        <v>323.11</v>
      </c>
      <c r="R247" s="26">
        <f>IFERROR(__xludf.DUMMYFUNCTION("""COMPUTED_VALUE"""),46.41)</f>
        <v>46.41</v>
      </c>
      <c r="S247" s="26">
        <f>IFERROR(__xludf.DUMMYFUNCTION("""COMPUTED_VALUE"""),220.16)</f>
        <v>220.16</v>
      </c>
      <c r="T247" s="26">
        <f>IFERROR(__xludf.DUMMYFUNCTION("""COMPUTED_VALUE"""),135.5)</f>
        <v>135.5</v>
      </c>
      <c r="U247" s="26">
        <f>IFERROR(__xludf.DUMMYFUNCTION("""COMPUTED_VALUE"""),333.01)</f>
        <v>333.01</v>
      </c>
      <c r="V247" s="26">
        <f>IFERROR(__xludf.DUMMYFUNCTION("""COMPUTED_VALUE"""),38.71)</f>
        <v>38.71</v>
      </c>
      <c r="W247" s="26">
        <f>IFERROR(__xludf.DUMMYFUNCTION("""COMPUTED_VALUE"""),71.7)</f>
        <v>71.7</v>
      </c>
      <c r="X247" s="26">
        <f>IFERROR(__xludf.DUMMYFUNCTION("""COMPUTED_VALUE"""),109.52)</f>
        <v>109.52</v>
      </c>
      <c r="Y247" s="26">
        <f>IFERROR(__xludf.DUMMYFUNCTION("""COMPUTED_VALUE"""),166.64)</f>
        <v>166.64</v>
      </c>
      <c r="Z247" s="26">
        <f>IFERROR(__xludf.DUMMYFUNCTION("""COMPUTED_VALUE"""),83.95)</f>
        <v>83.95</v>
      </c>
      <c r="AA247" s="26">
        <f>IFERROR(__xludf.DUMMYFUNCTION("""COMPUTED_VALUE"""),477.84)</f>
        <v>477.84</v>
      </c>
      <c r="AB247" s="26">
        <f>IFERROR(__xludf.DUMMYFUNCTION("""COMPUTED_VALUE"""),70.31)</f>
        <v>70.31</v>
      </c>
      <c r="AC247" s="26">
        <f>IFERROR(__xludf.DUMMYFUNCTION("""COMPUTED_VALUE"""),103.27)</f>
        <v>103.27</v>
      </c>
      <c r="AD247" s="26">
        <f>IFERROR(__xludf.DUMMYFUNCTION("""COMPUTED_VALUE"""),216.99)</f>
        <v>216.99</v>
      </c>
      <c r="AE247" s="26">
        <f>IFERROR(__xludf.DUMMYFUNCTION("""COMPUTED_VALUE"""),466.46)</f>
        <v>466.46</v>
      </c>
      <c r="AF247" s="26">
        <f>IFERROR(__xludf.DUMMYFUNCTION("""COMPUTED_VALUE"""),272.14)</f>
        <v>272.14</v>
      </c>
      <c r="AG247" s="26">
        <f>IFERROR(__xludf.DUMMYFUNCTION("""COMPUTED_VALUE"""),45.38)</f>
        <v>45.38</v>
      </c>
      <c r="AH247" s="26">
        <f>IFERROR(__xludf.DUMMYFUNCTION("""COMPUTED_VALUE"""),102.81)</f>
        <v>102.81</v>
      </c>
      <c r="AI247" s="26">
        <f>IFERROR(__xludf.DUMMYFUNCTION("""COMPUTED_VALUE"""),559.56)</f>
        <v>559.56</v>
      </c>
      <c r="AJ247" s="26">
        <f>IFERROR(__xludf.DUMMYFUNCTION("""COMPUTED_VALUE"""),361.73)</f>
        <v>361.73</v>
      </c>
      <c r="AK247" s="26">
        <f>IFERROR(__xludf.DUMMYFUNCTION("""COMPUTED_VALUE"""),148.31)</f>
        <v>148.31</v>
      </c>
      <c r="AL247" s="26">
        <f>IFERROR(__xludf.DUMMYFUNCTION("""COMPUTED_VALUE"""),173.98)</f>
        <v>173.98</v>
      </c>
      <c r="AM247" s="26">
        <f>IFERROR(__xludf.DUMMYFUNCTION("""COMPUTED_VALUE"""),531.82)</f>
        <v>531.82</v>
      </c>
      <c r="AN247" s="26">
        <f>IFERROR(__xludf.DUMMYFUNCTION("""COMPUTED_VALUE"""),252.56)</f>
        <v>252.56</v>
      </c>
      <c r="AO247" s="26">
        <f>IFERROR(__xludf.DUMMYFUNCTION("""COMPUTED_VALUE"""),471.56)</f>
        <v>471.56</v>
      </c>
      <c r="AP247" s="26">
        <f>IFERROR(__xludf.DUMMYFUNCTION("""COMPUTED_VALUE"""),278.55)</f>
        <v>278.55</v>
      </c>
      <c r="AQ247" s="26">
        <f>IFERROR(__xludf.DUMMYFUNCTION("""COMPUTED_VALUE"""),31.31)</f>
        <v>31.31</v>
      </c>
      <c r="AR247" s="26">
        <f>IFERROR(__xludf.DUMMYFUNCTION("""COMPUTED_VALUE"""),83.45)</f>
        <v>83.45</v>
      </c>
      <c r="AS247" s="26">
        <f>IFERROR(__xludf.DUMMYFUNCTION("""COMPUTED_VALUE"""),77.41)</f>
        <v>77.41</v>
      </c>
      <c r="AT247" s="26">
        <f>IFERROR(__xludf.DUMMYFUNCTION("""COMPUTED_VALUE"""),436.17)</f>
        <v>436.17</v>
      </c>
      <c r="AU247" s="26">
        <f>IFERROR(__xludf.DUMMYFUNCTION("""COMPUTED_VALUE"""),66.1)</f>
        <v>66.1</v>
      </c>
      <c r="AV247" s="26">
        <f>IFERROR(__xludf.DUMMYFUNCTION("""COMPUTED_VALUE"""),113.82)</f>
        <v>113.82</v>
      </c>
      <c r="AW247" s="26">
        <f>IFERROR(__xludf.DUMMYFUNCTION("""COMPUTED_VALUE"""),97.41)</f>
        <v>97.41</v>
      </c>
      <c r="AX247" s="26">
        <f>IFERROR(__xludf.DUMMYFUNCTION("""COMPUTED_VALUE"""),48.89)</f>
        <v>48.89</v>
      </c>
      <c r="AY247" s="26">
        <f>IFERROR(__xludf.DUMMYFUNCTION("""COMPUTED_VALUE"""),123.77)</f>
        <v>123.77</v>
      </c>
      <c r="AZ247" s="26">
        <f>IFERROR(__xludf.DUMMYFUNCTION("""COMPUTED_VALUE"""),68.54)</f>
        <v>68.54</v>
      </c>
      <c r="BA247" s="26">
        <f>IFERROR(__xludf.DUMMYFUNCTION("""COMPUTED_VALUE"""),23.87)</f>
        <v>23.87</v>
      </c>
      <c r="BB247" s="26">
        <f>IFERROR(__xludf.DUMMYFUNCTION("""COMPUTED_VALUE"""),128.59)</f>
        <v>128.59</v>
      </c>
      <c r="BC247" s="26">
        <f>IFERROR(__xludf.DUMMYFUNCTION("""COMPUTED_VALUE"""),248.3)</f>
        <v>248.3</v>
      </c>
      <c r="BD247" s="26">
        <f>IFERROR(__xludf.DUMMYFUNCTION("""COMPUTED_VALUE"""),422.27)</f>
        <v>422.27</v>
      </c>
      <c r="BE247" s="26">
        <f>IFERROR(__xludf.DUMMYFUNCTION("""COMPUTED_VALUE"""),192.48)</f>
        <v>192.48</v>
      </c>
      <c r="BF247" s="26">
        <f>IFERROR(__xludf.DUMMYFUNCTION("""COMPUTED_VALUE"""),92.21)</f>
        <v>92.21</v>
      </c>
      <c r="BG247" s="26">
        <f>IFERROR(__xludf.DUMMYFUNCTION("""COMPUTED_VALUE"""),5.9)</f>
        <v>5.9</v>
      </c>
      <c r="BH247" s="26">
        <f>IFERROR(__xludf.DUMMYFUNCTION("""COMPUTED_VALUE"""),216.53)</f>
        <v>216.53</v>
      </c>
      <c r="BI247" s="26">
        <f>IFERROR(__xludf.DUMMYFUNCTION("""COMPUTED_VALUE"""),404.81)</f>
        <v>404.81</v>
      </c>
      <c r="BJ247" s="26">
        <f>IFERROR(__xludf.DUMMYFUNCTION("""COMPUTED_VALUE"""),49.95)</f>
        <v>49.95</v>
      </c>
      <c r="BK247" s="26">
        <f>IFERROR(__xludf.DUMMYFUNCTION("""COMPUTED_VALUE"""),8.59)</f>
        <v>8.59</v>
      </c>
      <c r="BL247" s="26">
        <f>IFERROR(__xludf.DUMMYFUNCTION("""COMPUTED_VALUE"""),234.79)</f>
        <v>234.79</v>
      </c>
      <c r="BM247" s="26">
        <f>IFERROR(__xludf.DUMMYFUNCTION("""COMPUTED_VALUE"""),92.11)</f>
        <v>92.11</v>
      </c>
    </row>
    <row r="248">
      <c r="A248" s="25">
        <v>45784.66666666667</v>
      </c>
      <c r="B248" s="17">
        <f>IFERROR(__xludf.DUMMYFUNCTION("""COMPUTED_VALUE"""),5606.91)</f>
        <v>5606.91</v>
      </c>
      <c r="C248" s="17">
        <f>IFERROR(__xludf.DUMMYFUNCTION("""COMPUTED_VALUE"""),17689.66)</f>
        <v>17689.66</v>
      </c>
      <c r="D248" s="17">
        <f>IFERROR(__xludf.DUMMYFUNCTION("""COMPUTED_VALUE"""),40829.0)</f>
        <v>40829</v>
      </c>
      <c r="E248" s="17">
        <f>IFERROR(__xludf.DUMMYFUNCTION("""COMPUTED_VALUE"""),1983.19)</f>
        <v>1983.19</v>
      </c>
      <c r="F248" s="26">
        <f>IFERROR(__xludf.DUMMYFUNCTION("""COMPUTED_VALUE"""),382.98)</f>
        <v>382.98</v>
      </c>
      <c r="G248" s="26">
        <f>IFERROR(__xludf.DUMMYFUNCTION("""COMPUTED_VALUE"""),185.01)</f>
        <v>185.01</v>
      </c>
      <c r="H248" s="26">
        <f>IFERROR(__xludf.DUMMYFUNCTION("""COMPUTED_VALUE"""),149.2)</f>
        <v>149.2</v>
      </c>
      <c r="I248" s="26">
        <f>IFERROR(__xludf.DUMMYFUNCTION("""COMPUTED_VALUE"""),198.51)</f>
        <v>198.51</v>
      </c>
      <c r="J248" s="26">
        <f>IFERROR(__xludf.DUMMYFUNCTION("""COMPUTED_VALUE"""),153.03)</f>
        <v>153.03</v>
      </c>
      <c r="K248" s="26">
        <f>IFERROR(__xludf.DUMMYFUNCTION("""COMPUTED_VALUE"""),82.91)</f>
        <v>82.91</v>
      </c>
      <c r="L248" s="26">
        <f>IFERROR(__xludf.DUMMYFUNCTION("""COMPUTED_VALUE"""),16.11)</f>
        <v>16.11</v>
      </c>
      <c r="M248" s="26">
        <f>IFERROR(__xludf.DUMMYFUNCTION("""COMPUTED_VALUE"""),512.33)</f>
        <v>512.33</v>
      </c>
      <c r="N248" s="26">
        <f>IFERROR(__xludf.DUMMYFUNCTION("""COMPUTED_VALUE"""),48.83)</f>
        <v>48.83</v>
      </c>
      <c r="O248" s="26">
        <f>IFERROR(__xludf.DUMMYFUNCTION("""COMPUTED_VALUE"""),116.82)</f>
        <v>116.82</v>
      </c>
      <c r="P248" s="26">
        <f>IFERROR(__xludf.DUMMYFUNCTION("""COMPUTED_VALUE"""),70.19)</f>
        <v>70.19</v>
      </c>
      <c r="Q248" s="26">
        <f>IFERROR(__xludf.DUMMYFUNCTION("""COMPUTED_VALUE"""),320.89)</f>
        <v>320.89</v>
      </c>
      <c r="R248" s="26">
        <f>IFERROR(__xludf.DUMMYFUNCTION("""COMPUTED_VALUE"""),48.15)</f>
        <v>48.15</v>
      </c>
      <c r="S248" s="26">
        <f>IFERROR(__xludf.DUMMYFUNCTION("""COMPUTED_VALUE"""),220.84)</f>
        <v>220.84</v>
      </c>
      <c r="T248" s="26">
        <f>IFERROR(__xludf.DUMMYFUNCTION("""COMPUTED_VALUE"""),135.6)</f>
        <v>135.6</v>
      </c>
      <c r="U248" s="26">
        <f>IFERROR(__xludf.DUMMYFUNCTION("""COMPUTED_VALUE"""),333.82)</f>
        <v>333.82</v>
      </c>
      <c r="V248" s="26">
        <f>IFERROR(__xludf.DUMMYFUNCTION("""COMPUTED_VALUE"""),38.2)</f>
        <v>38.2</v>
      </c>
      <c r="W248" s="26">
        <f>IFERROR(__xludf.DUMMYFUNCTION("""COMPUTED_VALUE"""),71.72)</f>
        <v>71.72</v>
      </c>
      <c r="X248" s="26">
        <f>IFERROR(__xludf.DUMMYFUNCTION("""COMPUTED_VALUE"""),110.47)</f>
        <v>110.47</v>
      </c>
      <c r="Y248" s="26">
        <f>IFERROR(__xludf.DUMMYFUNCTION("""COMPUTED_VALUE"""),166.63)</f>
        <v>166.63</v>
      </c>
      <c r="Z248" s="26">
        <f>IFERROR(__xludf.DUMMYFUNCTION("""COMPUTED_VALUE"""),83.79)</f>
        <v>83.79</v>
      </c>
      <c r="AA248" s="26">
        <f>IFERROR(__xludf.DUMMYFUNCTION("""COMPUTED_VALUE"""),479.49)</f>
        <v>479.49</v>
      </c>
      <c r="AB248" s="26">
        <f>IFERROR(__xludf.DUMMYFUNCTION("""COMPUTED_VALUE"""),70.36)</f>
        <v>70.36</v>
      </c>
      <c r="AC248" s="26">
        <f>IFERROR(__xludf.DUMMYFUNCTION("""COMPUTED_VALUE"""),104.71)</f>
        <v>104.71</v>
      </c>
      <c r="AD248" s="26">
        <f>IFERROR(__xludf.DUMMYFUNCTION("""COMPUTED_VALUE"""),213.41)</f>
        <v>213.41</v>
      </c>
      <c r="AE248" s="26">
        <f>IFERROR(__xludf.DUMMYFUNCTION("""COMPUTED_VALUE"""),474.14)</f>
        <v>474.14</v>
      </c>
      <c r="AF248" s="26">
        <f>IFERROR(__xludf.DUMMYFUNCTION("""COMPUTED_VALUE"""),270.61)</f>
        <v>270.61</v>
      </c>
      <c r="AG248" s="26">
        <f>IFERROR(__xludf.DUMMYFUNCTION("""COMPUTED_VALUE"""),45.46)</f>
        <v>45.46</v>
      </c>
      <c r="AH248" s="26">
        <f>IFERROR(__xludf.DUMMYFUNCTION("""COMPUTED_VALUE"""),97.88)</f>
        <v>97.88</v>
      </c>
      <c r="AI248" s="26">
        <f>IFERROR(__xludf.DUMMYFUNCTION("""COMPUTED_VALUE"""),549.36)</f>
        <v>549.36</v>
      </c>
      <c r="AJ248" s="26">
        <f>IFERROR(__xludf.DUMMYFUNCTION("""COMPUTED_VALUE"""),359.38)</f>
        <v>359.38</v>
      </c>
      <c r="AK248" s="26">
        <f>IFERROR(__xludf.DUMMYFUNCTION("""COMPUTED_VALUE"""),149.27)</f>
        <v>149.27</v>
      </c>
      <c r="AL248" s="26">
        <f>IFERROR(__xludf.DUMMYFUNCTION("""COMPUTED_VALUE"""),175.19)</f>
        <v>175.19</v>
      </c>
      <c r="AM248" s="26">
        <f>IFERROR(__xludf.DUMMYFUNCTION("""COMPUTED_VALUE"""),530.46)</f>
        <v>530.46</v>
      </c>
      <c r="AN248" s="26">
        <f>IFERROR(__xludf.DUMMYFUNCTION("""COMPUTED_VALUE"""),249.25)</f>
        <v>249.25</v>
      </c>
      <c r="AO248" s="26">
        <f>IFERROR(__xludf.DUMMYFUNCTION("""COMPUTED_VALUE"""),468.21)</f>
        <v>468.21</v>
      </c>
      <c r="AP248" s="26">
        <f>IFERROR(__xludf.DUMMYFUNCTION("""COMPUTED_VALUE"""),270.8)</f>
        <v>270.8</v>
      </c>
      <c r="AQ248" s="26">
        <f>IFERROR(__xludf.DUMMYFUNCTION("""COMPUTED_VALUE"""),31.29)</f>
        <v>31.29</v>
      </c>
      <c r="AR248" s="26">
        <f>IFERROR(__xludf.DUMMYFUNCTION("""COMPUTED_VALUE"""),82.32)</f>
        <v>82.32</v>
      </c>
      <c r="AS248" s="26">
        <f>IFERROR(__xludf.DUMMYFUNCTION("""COMPUTED_VALUE"""),76.42)</f>
        <v>76.42</v>
      </c>
      <c r="AT248" s="26">
        <f>IFERROR(__xludf.DUMMYFUNCTION("""COMPUTED_VALUE"""),433.31)</f>
        <v>433.31</v>
      </c>
      <c r="AU248" s="26">
        <f>IFERROR(__xludf.DUMMYFUNCTION("""COMPUTED_VALUE"""),66.54)</f>
        <v>66.54</v>
      </c>
      <c r="AV248" s="26">
        <f>IFERROR(__xludf.DUMMYFUNCTION("""COMPUTED_VALUE"""),113.54)</f>
        <v>113.54</v>
      </c>
      <c r="AW248" s="26">
        <f>IFERROR(__xludf.DUMMYFUNCTION("""COMPUTED_VALUE"""),96.19)</f>
        <v>96.19</v>
      </c>
      <c r="AX248" s="26">
        <f>IFERROR(__xludf.DUMMYFUNCTION("""COMPUTED_VALUE"""),48.2)</f>
        <v>48.2</v>
      </c>
      <c r="AY248" s="26">
        <f>IFERROR(__xludf.DUMMYFUNCTION("""COMPUTED_VALUE"""),108.86)</f>
        <v>108.86</v>
      </c>
      <c r="AZ248" s="26">
        <f>IFERROR(__xludf.DUMMYFUNCTION("""COMPUTED_VALUE"""),68.05)</f>
        <v>68.05</v>
      </c>
      <c r="BA248" s="26">
        <f>IFERROR(__xludf.DUMMYFUNCTION("""COMPUTED_VALUE"""),22.88)</f>
        <v>22.88</v>
      </c>
      <c r="BB248" s="26">
        <f>IFERROR(__xludf.DUMMYFUNCTION("""COMPUTED_VALUE"""),128.16)</f>
        <v>128.16</v>
      </c>
      <c r="BC248" s="26">
        <f>IFERROR(__xludf.DUMMYFUNCTION("""COMPUTED_VALUE"""),253.8)</f>
        <v>253.8</v>
      </c>
      <c r="BD248" s="26">
        <f>IFERROR(__xludf.DUMMYFUNCTION("""COMPUTED_VALUE"""),407.02)</f>
        <v>407.02</v>
      </c>
      <c r="BE248" s="26">
        <f>IFERROR(__xludf.DUMMYFUNCTION("""COMPUTED_VALUE"""),192.43)</f>
        <v>192.43</v>
      </c>
      <c r="BF248" s="26">
        <f>IFERROR(__xludf.DUMMYFUNCTION("""COMPUTED_VALUE"""),93.38)</f>
        <v>93.38</v>
      </c>
      <c r="BG248" s="26">
        <f>IFERROR(__xludf.DUMMYFUNCTION("""COMPUTED_VALUE"""),5.7)</f>
        <v>5.7</v>
      </c>
      <c r="BH248" s="26">
        <f>IFERROR(__xludf.DUMMYFUNCTION("""COMPUTED_VALUE"""),213.2)</f>
        <v>213.2</v>
      </c>
      <c r="BI248" s="26">
        <f>IFERROR(__xludf.DUMMYFUNCTION("""COMPUTED_VALUE"""),394.51)</f>
        <v>394.51</v>
      </c>
      <c r="BJ248" s="26">
        <f>IFERROR(__xludf.DUMMYFUNCTION("""COMPUTED_VALUE"""),50.02)</f>
        <v>50.02</v>
      </c>
      <c r="BK248" s="26">
        <f>IFERROR(__xludf.DUMMYFUNCTION("""COMPUTED_VALUE"""),8.48)</f>
        <v>8.48</v>
      </c>
      <c r="BL248" s="26">
        <f>IFERROR(__xludf.DUMMYFUNCTION("""COMPUTED_VALUE"""),234.07)</f>
        <v>234.07</v>
      </c>
      <c r="BM248" s="26">
        <f>IFERROR(__xludf.DUMMYFUNCTION("""COMPUTED_VALUE"""),92.17)</f>
        <v>92.17</v>
      </c>
    </row>
    <row r="249">
      <c r="A249" s="25">
        <v>45785.66666666667</v>
      </c>
      <c r="B249" s="17">
        <f>IFERROR(__xludf.DUMMYFUNCTION("""COMPUTED_VALUE"""),5631.28)</f>
        <v>5631.28</v>
      </c>
      <c r="C249" s="17">
        <f>IFERROR(__xludf.DUMMYFUNCTION("""COMPUTED_VALUE"""),17738.16)</f>
        <v>17738.16</v>
      </c>
      <c r="D249" s="17">
        <f>IFERROR(__xludf.DUMMYFUNCTION("""COMPUTED_VALUE"""),41113.97)</f>
        <v>41113.97</v>
      </c>
      <c r="E249" s="17">
        <f>IFERROR(__xludf.DUMMYFUNCTION("""COMPUTED_VALUE"""),1989.66)</f>
        <v>1989.66</v>
      </c>
      <c r="F249" s="26">
        <f>IFERROR(__xludf.DUMMYFUNCTION("""COMPUTED_VALUE"""),384.97)</f>
        <v>384.97</v>
      </c>
      <c r="G249" s="26">
        <f>IFERROR(__xludf.DUMMYFUNCTION("""COMPUTED_VALUE"""),188.71)</f>
        <v>188.71</v>
      </c>
      <c r="H249" s="26">
        <f>IFERROR(__xludf.DUMMYFUNCTION("""COMPUTED_VALUE"""),148.08)</f>
        <v>148.08</v>
      </c>
      <c r="I249" s="26">
        <f>IFERROR(__xludf.DUMMYFUNCTION("""COMPUTED_VALUE"""),196.25)</f>
        <v>196.25</v>
      </c>
      <c r="J249" s="26">
        <f>IFERROR(__xludf.DUMMYFUNCTION("""COMPUTED_VALUE"""),155.81)</f>
        <v>155.81</v>
      </c>
      <c r="K249" s="26">
        <f>IFERROR(__xludf.DUMMYFUNCTION("""COMPUTED_VALUE"""),83.95)</f>
        <v>83.95</v>
      </c>
      <c r="L249" s="26">
        <f>IFERROR(__xludf.DUMMYFUNCTION("""COMPUTED_VALUE"""),15.95)</f>
        <v>15.95</v>
      </c>
      <c r="M249" s="26">
        <f>IFERROR(__xludf.DUMMYFUNCTION("""COMPUTED_VALUE"""),518.22)</f>
        <v>518.22</v>
      </c>
      <c r="N249" s="26">
        <f>IFERROR(__xludf.DUMMYFUNCTION("""COMPUTED_VALUE"""),48.37)</f>
        <v>48.37</v>
      </c>
      <c r="O249" s="26">
        <f>IFERROR(__xludf.DUMMYFUNCTION("""COMPUTED_VALUE"""),117.21)</f>
        <v>117.21</v>
      </c>
      <c r="P249" s="26">
        <f>IFERROR(__xludf.DUMMYFUNCTION("""COMPUTED_VALUE"""),69.99)</f>
        <v>69.99</v>
      </c>
      <c r="Q249" s="26">
        <f>IFERROR(__xludf.DUMMYFUNCTION("""COMPUTED_VALUE"""),320.29)</f>
        <v>320.29</v>
      </c>
      <c r="R249" s="26">
        <f>IFERROR(__xludf.DUMMYFUNCTION("""COMPUTED_VALUE"""),49.74)</f>
        <v>49.74</v>
      </c>
      <c r="S249" s="26">
        <f>IFERROR(__xludf.DUMMYFUNCTION("""COMPUTED_VALUE"""),220.87)</f>
        <v>220.87</v>
      </c>
      <c r="T249" s="26">
        <f>IFERROR(__xludf.DUMMYFUNCTION("""COMPUTED_VALUE"""),135.79)</f>
        <v>135.79</v>
      </c>
      <c r="U249" s="26">
        <f>IFERROR(__xludf.DUMMYFUNCTION("""COMPUTED_VALUE"""),334.44)</f>
        <v>334.44</v>
      </c>
      <c r="V249" s="26">
        <f>IFERROR(__xludf.DUMMYFUNCTION("""COMPUTED_VALUE"""),38.08)</f>
        <v>38.08</v>
      </c>
      <c r="W249" s="26">
        <f>IFERROR(__xludf.DUMMYFUNCTION("""COMPUTED_VALUE"""),72.4)</f>
        <v>72.4</v>
      </c>
      <c r="X249" s="26">
        <f>IFERROR(__xludf.DUMMYFUNCTION("""COMPUTED_VALUE"""),111.04)</f>
        <v>111.04</v>
      </c>
      <c r="Y249" s="26">
        <f>IFERROR(__xludf.DUMMYFUNCTION("""COMPUTED_VALUE"""),167.18)</f>
        <v>167.18</v>
      </c>
      <c r="Z249" s="26">
        <f>IFERROR(__xludf.DUMMYFUNCTION("""COMPUTED_VALUE"""),84.44)</f>
        <v>84.44</v>
      </c>
      <c r="AA249" s="26">
        <f>IFERROR(__xludf.DUMMYFUNCTION("""COMPUTED_VALUE"""),476.68)</f>
        <v>476.68</v>
      </c>
      <c r="AB249" s="26">
        <f>IFERROR(__xludf.DUMMYFUNCTION("""COMPUTED_VALUE"""),69.76)</f>
        <v>69.76</v>
      </c>
      <c r="AC249" s="26">
        <f>IFERROR(__xludf.DUMMYFUNCTION("""COMPUTED_VALUE"""),104.61)</f>
        <v>104.61</v>
      </c>
      <c r="AD249" s="26">
        <f>IFERROR(__xludf.DUMMYFUNCTION("""COMPUTED_VALUE"""),215.56)</f>
        <v>215.56</v>
      </c>
      <c r="AE249" s="26">
        <f>IFERROR(__xludf.DUMMYFUNCTION("""COMPUTED_VALUE"""),476.74)</f>
        <v>476.74</v>
      </c>
      <c r="AF249" s="26">
        <f>IFERROR(__xludf.DUMMYFUNCTION("""COMPUTED_VALUE"""),269.45)</f>
        <v>269.45</v>
      </c>
      <c r="AG249" s="26">
        <f>IFERROR(__xludf.DUMMYFUNCTION("""COMPUTED_VALUE"""),45.47)</f>
        <v>45.47</v>
      </c>
      <c r="AH249" s="26">
        <f>IFERROR(__xludf.DUMMYFUNCTION("""COMPUTED_VALUE"""),98.9)</f>
        <v>98.9</v>
      </c>
      <c r="AI249" s="26">
        <f>IFERROR(__xludf.DUMMYFUNCTION("""COMPUTED_VALUE"""),551.92)</f>
        <v>551.92</v>
      </c>
      <c r="AJ249" s="26">
        <f>IFERROR(__xludf.DUMMYFUNCTION("""COMPUTED_VALUE"""),362.75)</f>
        <v>362.75</v>
      </c>
      <c r="AK249" s="26">
        <f>IFERROR(__xludf.DUMMYFUNCTION("""COMPUTED_VALUE"""),150.79)</f>
        <v>150.79</v>
      </c>
      <c r="AL249" s="26">
        <f>IFERROR(__xludf.DUMMYFUNCTION("""COMPUTED_VALUE"""),176.53)</f>
        <v>176.53</v>
      </c>
      <c r="AM249" s="26">
        <f>IFERROR(__xludf.DUMMYFUNCTION("""COMPUTED_VALUE"""),536.15)</f>
        <v>536.15</v>
      </c>
      <c r="AN249" s="26">
        <f>IFERROR(__xludf.DUMMYFUNCTION("""COMPUTED_VALUE"""),249.39)</f>
        <v>249.39</v>
      </c>
      <c r="AO249" s="26">
        <f>IFERROR(__xludf.DUMMYFUNCTION("""COMPUTED_VALUE"""),471.32)</f>
        <v>471.32</v>
      </c>
      <c r="AP249" s="26">
        <f>IFERROR(__xludf.DUMMYFUNCTION("""COMPUTED_VALUE"""),275.69)</f>
        <v>275.69</v>
      </c>
      <c r="AQ249" s="26">
        <f>IFERROR(__xludf.DUMMYFUNCTION("""COMPUTED_VALUE"""),31.37)</f>
        <v>31.37</v>
      </c>
      <c r="AR249" s="26">
        <f>IFERROR(__xludf.DUMMYFUNCTION("""COMPUTED_VALUE"""),83.16)</f>
        <v>83.16</v>
      </c>
      <c r="AS249" s="26">
        <f>IFERROR(__xludf.DUMMYFUNCTION("""COMPUTED_VALUE"""),76.74)</f>
        <v>76.74</v>
      </c>
      <c r="AT249" s="26">
        <f>IFERROR(__xludf.DUMMYFUNCTION("""COMPUTED_VALUE"""),433.35)</f>
        <v>433.35</v>
      </c>
      <c r="AU249" s="26">
        <f>IFERROR(__xludf.DUMMYFUNCTION("""COMPUTED_VALUE"""),67.36)</f>
        <v>67.36</v>
      </c>
      <c r="AV249" s="26">
        <f>IFERROR(__xludf.DUMMYFUNCTION("""COMPUTED_VALUE"""),117.06)</f>
        <v>117.06</v>
      </c>
      <c r="AW249" s="26">
        <f>IFERROR(__xludf.DUMMYFUNCTION("""COMPUTED_VALUE"""),97.32)</f>
        <v>97.32</v>
      </c>
      <c r="AX249" s="26">
        <f>IFERROR(__xludf.DUMMYFUNCTION("""COMPUTED_VALUE"""),48.53)</f>
        <v>48.53</v>
      </c>
      <c r="AY249" s="26">
        <f>IFERROR(__xludf.DUMMYFUNCTION("""COMPUTED_VALUE"""),110.48)</f>
        <v>110.48</v>
      </c>
      <c r="AZ249" s="26">
        <f>IFERROR(__xludf.DUMMYFUNCTION("""COMPUTED_VALUE"""),68.69)</f>
        <v>68.69</v>
      </c>
      <c r="BA249" s="26">
        <f>IFERROR(__xludf.DUMMYFUNCTION("""COMPUTED_VALUE"""),22.79)</f>
        <v>22.79</v>
      </c>
      <c r="BB249" s="26">
        <f>IFERROR(__xludf.DUMMYFUNCTION("""COMPUTED_VALUE"""),127.5)</f>
        <v>127.5</v>
      </c>
      <c r="BC249" s="26">
        <f>IFERROR(__xludf.DUMMYFUNCTION("""COMPUTED_VALUE"""),251.26)</f>
        <v>251.26</v>
      </c>
      <c r="BD249" s="26">
        <f>IFERROR(__xludf.DUMMYFUNCTION("""COMPUTED_VALUE"""),407.85)</f>
        <v>407.85</v>
      </c>
      <c r="BE249" s="26">
        <f>IFERROR(__xludf.DUMMYFUNCTION("""COMPUTED_VALUE"""),188.9)</f>
        <v>188.9</v>
      </c>
      <c r="BF249" s="26">
        <f>IFERROR(__xludf.DUMMYFUNCTION("""COMPUTED_VALUE"""),95.81)</f>
        <v>95.81</v>
      </c>
      <c r="BG249" s="26">
        <f>IFERROR(__xludf.DUMMYFUNCTION("""COMPUTED_VALUE"""),5.72)</f>
        <v>5.72</v>
      </c>
      <c r="BH249" s="26">
        <f>IFERROR(__xludf.DUMMYFUNCTION("""COMPUTED_VALUE"""),213.85)</f>
        <v>213.85</v>
      </c>
      <c r="BI249" s="26">
        <f>IFERROR(__xludf.DUMMYFUNCTION("""COMPUTED_VALUE"""),391.06)</f>
        <v>391.06</v>
      </c>
      <c r="BJ249" s="26">
        <f>IFERROR(__xludf.DUMMYFUNCTION("""COMPUTED_VALUE"""),50.05)</f>
        <v>50.05</v>
      </c>
      <c r="BK249" s="26">
        <f>IFERROR(__xludf.DUMMYFUNCTION("""COMPUTED_VALUE"""),8.6)</f>
        <v>8.6</v>
      </c>
      <c r="BL249" s="26">
        <f>IFERROR(__xludf.DUMMYFUNCTION("""COMPUTED_VALUE"""),235.51)</f>
        <v>235.51</v>
      </c>
      <c r="BM249" s="26">
        <f>IFERROR(__xludf.DUMMYFUNCTION("""COMPUTED_VALUE"""),102.09)</f>
        <v>102.09</v>
      </c>
    </row>
    <row r="250">
      <c r="A250" s="25">
        <v>45786.66666666667</v>
      </c>
      <c r="B250" s="17">
        <f>IFERROR(__xludf.DUMMYFUNCTION("""COMPUTED_VALUE"""),5663.94)</f>
        <v>5663.94</v>
      </c>
      <c r="C250" s="17">
        <f>IFERROR(__xludf.DUMMYFUNCTION("""COMPUTED_VALUE"""),17928.14)</f>
        <v>17928.14</v>
      </c>
      <c r="D250" s="17">
        <f>IFERROR(__xludf.DUMMYFUNCTION("""COMPUTED_VALUE"""),41368.45)</f>
        <v>41368.45</v>
      </c>
      <c r="E250" s="17">
        <f>IFERROR(__xludf.DUMMYFUNCTION("""COMPUTED_VALUE"""),2026.41)</f>
        <v>2026.41</v>
      </c>
      <c r="F250" s="26">
        <f>IFERROR(__xludf.DUMMYFUNCTION("""COMPUTED_VALUE"""),383.99)</f>
        <v>383.99</v>
      </c>
      <c r="G250" s="26">
        <f>IFERROR(__xludf.DUMMYFUNCTION("""COMPUTED_VALUE"""),192.08)</f>
        <v>192.08</v>
      </c>
      <c r="H250" s="26">
        <f>IFERROR(__xludf.DUMMYFUNCTION("""COMPUTED_VALUE"""),145.4)</f>
        <v>145.4</v>
      </c>
      <c r="I250" s="26">
        <f>IFERROR(__xludf.DUMMYFUNCTION("""COMPUTED_VALUE"""),197.49)</f>
        <v>197.49</v>
      </c>
      <c r="J250" s="26">
        <f>IFERROR(__xludf.DUMMYFUNCTION("""COMPUTED_VALUE"""),156.0)</f>
        <v>156</v>
      </c>
      <c r="K250" s="26">
        <f>IFERROR(__xludf.DUMMYFUNCTION("""COMPUTED_VALUE"""),85.5)</f>
        <v>85.5</v>
      </c>
      <c r="L250" s="26">
        <f>IFERROR(__xludf.DUMMYFUNCTION("""COMPUTED_VALUE"""),16.35)</f>
        <v>16.35</v>
      </c>
      <c r="M250" s="26">
        <f>IFERROR(__xludf.DUMMYFUNCTION("""COMPUTED_VALUE"""),513.25)</f>
        <v>513.25</v>
      </c>
      <c r="N250" s="26">
        <f>IFERROR(__xludf.DUMMYFUNCTION("""COMPUTED_VALUE"""),48.17)</f>
        <v>48.17</v>
      </c>
      <c r="O250" s="26">
        <f>IFERROR(__xludf.DUMMYFUNCTION("""COMPUTED_VALUE"""),118.39)</f>
        <v>118.39</v>
      </c>
      <c r="P250" s="26">
        <f>IFERROR(__xludf.DUMMYFUNCTION("""COMPUTED_VALUE"""),70.5)</f>
        <v>70.5</v>
      </c>
      <c r="Q250" s="26">
        <f>IFERROR(__xludf.DUMMYFUNCTION("""COMPUTED_VALUE"""),324.25)</f>
        <v>324.25</v>
      </c>
      <c r="R250" s="26">
        <f>IFERROR(__xludf.DUMMYFUNCTION("""COMPUTED_VALUE"""),49.24)</f>
        <v>49.24</v>
      </c>
      <c r="S250" s="26">
        <f>IFERROR(__xludf.DUMMYFUNCTION("""COMPUTED_VALUE"""),220.67)</f>
        <v>220.67</v>
      </c>
      <c r="T250" s="26">
        <f>IFERROR(__xludf.DUMMYFUNCTION("""COMPUTED_VALUE"""),137.04)</f>
        <v>137.04</v>
      </c>
      <c r="U250" s="26">
        <f>IFERROR(__xludf.DUMMYFUNCTION("""COMPUTED_VALUE"""),333.11)</f>
        <v>333.11</v>
      </c>
      <c r="V250" s="26">
        <f>IFERROR(__xludf.DUMMYFUNCTION("""COMPUTED_VALUE"""),39.0)</f>
        <v>39</v>
      </c>
      <c r="W250" s="26">
        <f>IFERROR(__xludf.DUMMYFUNCTION("""COMPUTED_VALUE"""),71.17)</f>
        <v>71.17</v>
      </c>
      <c r="X250" s="26">
        <f>IFERROR(__xludf.DUMMYFUNCTION("""COMPUTED_VALUE"""),107.75)</f>
        <v>107.75</v>
      </c>
      <c r="Y250" s="26">
        <f>IFERROR(__xludf.DUMMYFUNCTION("""COMPUTED_VALUE"""),166.7)</f>
        <v>166.7</v>
      </c>
      <c r="Z250" s="26">
        <f>IFERROR(__xludf.DUMMYFUNCTION("""COMPUTED_VALUE"""),85.38)</f>
        <v>85.38</v>
      </c>
      <c r="AA250" s="26">
        <f>IFERROR(__xludf.DUMMYFUNCTION("""COMPUTED_VALUE"""),476.82)</f>
        <v>476.82</v>
      </c>
      <c r="AB250" s="26">
        <f>IFERROR(__xludf.DUMMYFUNCTION("""COMPUTED_VALUE"""),70.56)</f>
        <v>70.56</v>
      </c>
      <c r="AC250" s="26">
        <f>IFERROR(__xludf.DUMMYFUNCTION("""COMPUTED_VALUE"""),106.07)</f>
        <v>106.07</v>
      </c>
      <c r="AD250" s="26">
        <f>IFERROR(__xludf.DUMMYFUNCTION("""COMPUTED_VALUE"""),219.21)</f>
        <v>219.21</v>
      </c>
      <c r="AE250" s="26">
        <f>IFERROR(__xludf.DUMMYFUNCTION("""COMPUTED_VALUE"""),480.71)</f>
        <v>480.71</v>
      </c>
      <c r="AF250" s="26">
        <f>IFERROR(__xludf.DUMMYFUNCTION("""COMPUTED_VALUE"""),271.98)</f>
        <v>271.98</v>
      </c>
      <c r="AG250" s="26">
        <f>IFERROR(__xludf.DUMMYFUNCTION("""COMPUTED_VALUE"""),47.35)</f>
        <v>47.35</v>
      </c>
      <c r="AH250" s="26">
        <f>IFERROR(__xludf.DUMMYFUNCTION("""COMPUTED_VALUE"""),98.16)</f>
        <v>98.16</v>
      </c>
      <c r="AI250" s="26">
        <f>IFERROR(__xludf.DUMMYFUNCTION("""COMPUTED_VALUE"""),565.7)</f>
        <v>565.7</v>
      </c>
      <c r="AJ250" s="26">
        <f>IFERROR(__xludf.DUMMYFUNCTION("""COMPUTED_VALUE"""),364.86)</f>
        <v>364.86</v>
      </c>
      <c r="AK250" s="26">
        <f>IFERROR(__xludf.DUMMYFUNCTION("""COMPUTED_VALUE"""),152.26)</f>
        <v>152.26</v>
      </c>
      <c r="AL250" s="26">
        <f>IFERROR(__xludf.DUMMYFUNCTION("""COMPUTED_VALUE"""),176.47)</f>
        <v>176.47</v>
      </c>
      <c r="AM250" s="26">
        <f>IFERROR(__xludf.DUMMYFUNCTION("""COMPUTED_VALUE"""),538.16)</f>
        <v>538.16</v>
      </c>
      <c r="AN250" s="26">
        <f>IFERROR(__xludf.DUMMYFUNCTION("""COMPUTED_VALUE"""),253.47)</f>
        <v>253.47</v>
      </c>
      <c r="AO250" s="26">
        <f>IFERROR(__xludf.DUMMYFUNCTION("""COMPUTED_VALUE"""),474.53)</f>
        <v>474.53</v>
      </c>
      <c r="AP250" s="26">
        <f>IFERROR(__xludf.DUMMYFUNCTION("""COMPUTED_VALUE"""),282.43)</f>
        <v>282.43</v>
      </c>
      <c r="AQ250" s="26">
        <f>IFERROR(__xludf.DUMMYFUNCTION("""COMPUTED_VALUE"""),31.15)</f>
        <v>31.15</v>
      </c>
      <c r="AR250" s="26">
        <f>IFERROR(__xludf.DUMMYFUNCTION("""COMPUTED_VALUE"""),83.62)</f>
        <v>83.62</v>
      </c>
      <c r="AS250" s="26">
        <f>IFERROR(__xludf.DUMMYFUNCTION("""COMPUTED_VALUE"""),77.59)</f>
        <v>77.59</v>
      </c>
      <c r="AT250" s="26">
        <f>IFERROR(__xludf.DUMMYFUNCTION("""COMPUTED_VALUE"""),438.17)</f>
        <v>438.17</v>
      </c>
      <c r="AU250" s="26">
        <f>IFERROR(__xludf.DUMMYFUNCTION("""COMPUTED_VALUE"""),68.32)</f>
        <v>68.32</v>
      </c>
      <c r="AV250" s="26">
        <f>IFERROR(__xludf.DUMMYFUNCTION("""COMPUTED_VALUE"""),117.37)</f>
        <v>117.37</v>
      </c>
      <c r="AW250" s="26">
        <f>IFERROR(__xludf.DUMMYFUNCTION("""COMPUTED_VALUE"""),97.32)</f>
        <v>97.32</v>
      </c>
      <c r="AX250" s="26">
        <f>IFERROR(__xludf.DUMMYFUNCTION("""COMPUTED_VALUE"""),49.72)</f>
        <v>49.72</v>
      </c>
      <c r="AY250" s="26">
        <f>IFERROR(__xludf.DUMMYFUNCTION("""COMPUTED_VALUE"""),119.15)</f>
        <v>119.15</v>
      </c>
      <c r="AZ250" s="26">
        <f>IFERROR(__xludf.DUMMYFUNCTION("""COMPUTED_VALUE"""),70.48)</f>
        <v>70.48</v>
      </c>
      <c r="BA250" s="26">
        <f>IFERROR(__xludf.DUMMYFUNCTION("""COMPUTED_VALUE"""),22.97)</f>
        <v>22.97</v>
      </c>
      <c r="BB250" s="26">
        <f>IFERROR(__xludf.DUMMYFUNCTION("""COMPUTED_VALUE"""),128.67)</f>
        <v>128.67</v>
      </c>
      <c r="BC250" s="26">
        <f>IFERROR(__xludf.DUMMYFUNCTION("""COMPUTED_VALUE"""),247.49)</f>
        <v>247.49</v>
      </c>
      <c r="BD250" s="26">
        <f>IFERROR(__xludf.DUMMYFUNCTION("""COMPUTED_VALUE"""),410.78)</f>
        <v>410.78</v>
      </c>
      <c r="BE250" s="26">
        <f>IFERROR(__xludf.DUMMYFUNCTION("""COMPUTED_VALUE"""),187.92)</f>
        <v>187.92</v>
      </c>
      <c r="BF250" s="26">
        <f>IFERROR(__xludf.DUMMYFUNCTION("""COMPUTED_VALUE"""),93.2)</f>
        <v>93.2</v>
      </c>
      <c r="BG250" s="26">
        <f>IFERROR(__xludf.DUMMYFUNCTION("""COMPUTED_VALUE"""),5.94)</f>
        <v>5.94</v>
      </c>
      <c r="BH250" s="26">
        <f>IFERROR(__xludf.DUMMYFUNCTION("""COMPUTED_VALUE"""),216.84)</f>
        <v>216.84</v>
      </c>
      <c r="BI250" s="26">
        <f>IFERROR(__xludf.DUMMYFUNCTION("""COMPUTED_VALUE"""),385.55)</f>
        <v>385.55</v>
      </c>
      <c r="BJ250" s="26">
        <f>IFERROR(__xludf.DUMMYFUNCTION("""COMPUTED_VALUE"""),49.99)</f>
        <v>49.99</v>
      </c>
      <c r="BK250" s="26">
        <f>IFERROR(__xludf.DUMMYFUNCTION("""COMPUTED_VALUE"""),9.09)</f>
        <v>9.09</v>
      </c>
      <c r="BL250" s="26">
        <f>IFERROR(__xludf.DUMMYFUNCTION("""COMPUTED_VALUE"""),233.13)</f>
        <v>233.13</v>
      </c>
      <c r="BM250" s="26">
        <f>IFERROR(__xludf.DUMMYFUNCTION("""COMPUTED_VALUE"""),105.12)</f>
        <v>105.12</v>
      </c>
    </row>
    <row r="251">
      <c r="A251" s="25">
        <v>45789.66666666667</v>
      </c>
      <c r="B251" s="17">
        <f>IFERROR(__xludf.DUMMYFUNCTION("""COMPUTED_VALUE"""),5659.91)</f>
        <v>5659.91</v>
      </c>
      <c r="C251" s="17">
        <f>IFERROR(__xludf.DUMMYFUNCTION("""COMPUTED_VALUE"""),17928.92)</f>
        <v>17928.92</v>
      </c>
      <c r="D251" s="17">
        <f>IFERROR(__xludf.DUMMYFUNCTION("""COMPUTED_VALUE"""),41249.38)</f>
        <v>41249.38</v>
      </c>
      <c r="E251" s="17">
        <f>IFERROR(__xludf.DUMMYFUNCTION("""COMPUTED_VALUE"""),2023.07)</f>
        <v>2023.07</v>
      </c>
      <c r="F251" s="26">
        <f>IFERROR(__xludf.DUMMYFUNCTION("""COMPUTED_VALUE"""),383.28)</f>
        <v>383.28</v>
      </c>
      <c r="G251" s="26">
        <f>IFERROR(__xludf.DUMMYFUNCTION("""COMPUTED_VALUE"""),193.06)</f>
        <v>193.06</v>
      </c>
      <c r="H251" s="26">
        <f>IFERROR(__xludf.DUMMYFUNCTION("""COMPUTED_VALUE"""),146.94)</f>
        <v>146.94</v>
      </c>
      <c r="I251" s="26">
        <f>IFERROR(__xludf.DUMMYFUNCTION("""COMPUTED_VALUE"""),198.53)</f>
        <v>198.53</v>
      </c>
      <c r="J251" s="26">
        <f>IFERROR(__xludf.DUMMYFUNCTION("""COMPUTED_VALUE"""),155.61)</f>
        <v>155.61</v>
      </c>
      <c r="K251" s="26">
        <f>IFERROR(__xludf.DUMMYFUNCTION("""COMPUTED_VALUE"""),85.91)</f>
        <v>85.91</v>
      </c>
      <c r="L251" s="26">
        <f>IFERROR(__xludf.DUMMYFUNCTION("""COMPUTED_VALUE"""),16.53)</f>
        <v>16.53</v>
      </c>
      <c r="M251" s="26">
        <f>IFERROR(__xludf.DUMMYFUNCTION("""COMPUTED_VALUE"""),513.74)</f>
        <v>513.74</v>
      </c>
      <c r="N251" s="26">
        <f>IFERROR(__xludf.DUMMYFUNCTION("""COMPUTED_VALUE"""),48.67)</f>
        <v>48.67</v>
      </c>
      <c r="O251" s="26">
        <f>IFERROR(__xludf.DUMMYFUNCTION("""COMPUTED_VALUE"""),118.17)</f>
        <v>118.17</v>
      </c>
      <c r="P251" s="26">
        <f>IFERROR(__xludf.DUMMYFUNCTION("""COMPUTED_VALUE"""),71.44)</f>
        <v>71.44</v>
      </c>
      <c r="Q251" s="26">
        <f>IFERROR(__xludf.DUMMYFUNCTION("""COMPUTED_VALUE"""),325.62)</f>
        <v>325.62</v>
      </c>
      <c r="R251" s="26">
        <f>IFERROR(__xludf.DUMMYFUNCTION("""COMPUTED_VALUE"""),50.73)</f>
        <v>50.73</v>
      </c>
      <c r="S251" s="26">
        <f>IFERROR(__xludf.DUMMYFUNCTION("""COMPUTED_VALUE"""),218.33)</f>
        <v>218.33</v>
      </c>
      <c r="T251" s="26">
        <f>IFERROR(__xludf.DUMMYFUNCTION("""COMPUTED_VALUE"""),138.49)</f>
        <v>138.49</v>
      </c>
      <c r="U251" s="26">
        <f>IFERROR(__xludf.DUMMYFUNCTION("""COMPUTED_VALUE"""),333.46)</f>
        <v>333.46</v>
      </c>
      <c r="V251" s="26">
        <f>IFERROR(__xludf.DUMMYFUNCTION("""COMPUTED_VALUE"""),39.12)</f>
        <v>39.12</v>
      </c>
      <c r="W251" s="26">
        <f>IFERROR(__xludf.DUMMYFUNCTION("""COMPUTED_VALUE"""),70.52)</f>
        <v>70.52</v>
      </c>
      <c r="X251" s="26">
        <f>IFERROR(__xludf.DUMMYFUNCTION("""COMPUTED_VALUE"""),107.68)</f>
        <v>107.68</v>
      </c>
      <c r="Y251" s="26">
        <f>IFERROR(__xludf.DUMMYFUNCTION("""COMPUTED_VALUE"""),166.57)</f>
        <v>166.57</v>
      </c>
      <c r="Z251" s="26">
        <f>IFERROR(__xludf.DUMMYFUNCTION("""COMPUTED_VALUE"""),85.47)</f>
        <v>85.47</v>
      </c>
      <c r="AA251" s="26">
        <f>IFERROR(__xludf.DUMMYFUNCTION("""COMPUTED_VALUE"""),478.9)</f>
        <v>478.9</v>
      </c>
      <c r="AB251" s="26">
        <f>IFERROR(__xludf.DUMMYFUNCTION("""COMPUTED_VALUE"""),69.51)</f>
        <v>69.51</v>
      </c>
      <c r="AC251" s="26">
        <f>IFERROR(__xludf.DUMMYFUNCTION("""COMPUTED_VALUE"""),107.31)</f>
        <v>107.31</v>
      </c>
      <c r="AD251" s="26">
        <f>IFERROR(__xludf.DUMMYFUNCTION("""COMPUTED_VALUE"""),217.83)</f>
        <v>217.83</v>
      </c>
      <c r="AE251" s="26">
        <f>IFERROR(__xludf.DUMMYFUNCTION("""COMPUTED_VALUE"""),488.28)</f>
        <v>488.28</v>
      </c>
      <c r="AF251" s="26">
        <f>IFERROR(__xludf.DUMMYFUNCTION("""COMPUTED_VALUE"""),271.56)</f>
        <v>271.56</v>
      </c>
      <c r="AG251" s="26">
        <f>IFERROR(__xludf.DUMMYFUNCTION("""COMPUTED_VALUE"""),47.5)</f>
        <v>47.5</v>
      </c>
      <c r="AH251" s="26">
        <f>IFERROR(__xludf.DUMMYFUNCTION("""COMPUTED_VALUE"""),96.91)</f>
        <v>96.91</v>
      </c>
      <c r="AI251" s="26">
        <f>IFERROR(__xludf.DUMMYFUNCTION("""COMPUTED_VALUE"""),567.1)</f>
        <v>567.1</v>
      </c>
      <c r="AJ251" s="26">
        <f>IFERROR(__xludf.DUMMYFUNCTION("""COMPUTED_VALUE"""),362.71)</f>
        <v>362.71</v>
      </c>
      <c r="AK251" s="26">
        <f>IFERROR(__xludf.DUMMYFUNCTION("""COMPUTED_VALUE"""),150.46)</f>
        <v>150.46</v>
      </c>
      <c r="AL251" s="26">
        <f>IFERROR(__xludf.DUMMYFUNCTION("""COMPUTED_VALUE"""),178.33)</f>
        <v>178.33</v>
      </c>
      <c r="AM251" s="26">
        <f>IFERROR(__xludf.DUMMYFUNCTION("""COMPUTED_VALUE"""),536.51)</f>
        <v>536.51</v>
      </c>
      <c r="AN251" s="26">
        <f>IFERROR(__xludf.DUMMYFUNCTION("""COMPUTED_VALUE"""),253.08)</f>
        <v>253.08</v>
      </c>
      <c r="AO251" s="26">
        <f>IFERROR(__xludf.DUMMYFUNCTION("""COMPUTED_VALUE"""),473.52)</f>
        <v>473.52</v>
      </c>
      <c r="AP251" s="26">
        <f>IFERROR(__xludf.DUMMYFUNCTION("""COMPUTED_VALUE"""),279.77)</f>
        <v>279.77</v>
      </c>
      <c r="AQ251" s="26">
        <f>IFERROR(__xludf.DUMMYFUNCTION("""COMPUTED_VALUE"""),30.75)</f>
        <v>30.75</v>
      </c>
      <c r="AR251" s="26">
        <f>IFERROR(__xludf.DUMMYFUNCTION("""COMPUTED_VALUE"""),83.48)</f>
        <v>83.48</v>
      </c>
      <c r="AS251" s="26">
        <f>IFERROR(__xludf.DUMMYFUNCTION("""COMPUTED_VALUE"""),77.85)</f>
        <v>77.85</v>
      </c>
      <c r="AT251" s="26">
        <f>IFERROR(__xludf.DUMMYFUNCTION("""COMPUTED_VALUE"""),438.73)</f>
        <v>438.73</v>
      </c>
      <c r="AU251" s="26">
        <f>IFERROR(__xludf.DUMMYFUNCTION("""COMPUTED_VALUE"""),70.31)</f>
        <v>70.31</v>
      </c>
      <c r="AV251" s="26">
        <f>IFERROR(__xludf.DUMMYFUNCTION("""COMPUTED_VALUE"""),116.65)</f>
        <v>116.65</v>
      </c>
      <c r="AW251" s="26">
        <f>IFERROR(__xludf.DUMMYFUNCTION("""COMPUTED_VALUE"""),97.0)</f>
        <v>97</v>
      </c>
      <c r="AX251" s="26">
        <f>IFERROR(__xludf.DUMMYFUNCTION("""COMPUTED_VALUE"""),49.42)</f>
        <v>49.42</v>
      </c>
      <c r="AY251" s="26">
        <f>IFERROR(__xludf.DUMMYFUNCTION("""COMPUTED_VALUE"""),117.3)</f>
        <v>117.3</v>
      </c>
      <c r="AZ251" s="26">
        <f>IFERROR(__xludf.DUMMYFUNCTION("""COMPUTED_VALUE"""),70.26)</f>
        <v>70.26</v>
      </c>
      <c r="BA251" s="26">
        <f>IFERROR(__xludf.DUMMYFUNCTION("""COMPUTED_VALUE"""),22.28)</f>
        <v>22.28</v>
      </c>
      <c r="BB251" s="26">
        <f>IFERROR(__xludf.DUMMYFUNCTION("""COMPUTED_VALUE"""),128.67)</f>
        <v>128.67</v>
      </c>
      <c r="BC251" s="26">
        <f>IFERROR(__xludf.DUMMYFUNCTION("""COMPUTED_VALUE"""),243.81)</f>
        <v>243.81</v>
      </c>
      <c r="BD251" s="26">
        <f>IFERROR(__xludf.DUMMYFUNCTION("""COMPUTED_VALUE"""),403.13)</f>
        <v>403.13</v>
      </c>
      <c r="BE251" s="26">
        <f>IFERROR(__xludf.DUMMYFUNCTION("""COMPUTED_VALUE"""),187.53)</f>
        <v>187.53</v>
      </c>
      <c r="BF251" s="26">
        <f>IFERROR(__xludf.DUMMYFUNCTION("""COMPUTED_VALUE"""),111.5)</f>
        <v>111.5</v>
      </c>
      <c r="BG251" s="26">
        <f>IFERROR(__xludf.DUMMYFUNCTION("""COMPUTED_VALUE"""),5.84)</f>
        <v>5.84</v>
      </c>
      <c r="BH251" s="26">
        <f>IFERROR(__xludf.DUMMYFUNCTION("""COMPUTED_VALUE"""),216.32)</f>
        <v>216.32</v>
      </c>
      <c r="BI251" s="26">
        <f>IFERROR(__xludf.DUMMYFUNCTION("""COMPUTED_VALUE"""),380.64)</f>
        <v>380.64</v>
      </c>
      <c r="BJ251" s="26">
        <f>IFERROR(__xludf.DUMMYFUNCTION("""COMPUTED_VALUE"""),50.02)</f>
        <v>50.02</v>
      </c>
      <c r="BK251" s="26">
        <f>IFERROR(__xludf.DUMMYFUNCTION("""COMPUTED_VALUE"""),8.77)</f>
        <v>8.77</v>
      </c>
      <c r="BL251" s="26">
        <f>IFERROR(__xludf.DUMMYFUNCTION("""COMPUTED_VALUE"""),232.75)</f>
        <v>232.75</v>
      </c>
      <c r="BM251" s="26">
        <f>IFERROR(__xludf.DUMMYFUNCTION("""COMPUTED_VALUE"""),105.94)</f>
        <v>105.94</v>
      </c>
    </row>
    <row r="252">
      <c r="A252" s="25">
        <v>45790.66666666667</v>
      </c>
      <c r="B252" s="17">
        <f>IFERROR(__xludf.DUMMYFUNCTION("""COMPUTED_VALUE"""),5844.19)</f>
        <v>5844.19</v>
      </c>
      <c r="C252" s="17">
        <f>IFERROR(__xludf.DUMMYFUNCTION("""COMPUTED_VALUE"""),18708.34)</f>
        <v>18708.34</v>
      </c>
      <c r="D252" s="17">
        <f>IFERROR(__xludf.DUMMYFUNCTION("""COMPUTED_VALUE"""),42410.1)</f>
        <v>42410.1</v>
      </c>
      <c r="E252" s="17">
        <f>IFERROR(__xludf.DUMMYFUNCTION("""COMPUTED_VALUE"""),2092.2)</f>
        <v>2092.2</v>
      </c>
      <c r="F252" s="26">
        <f>IFERROR(__xludf.DUMMYFUNCTION("""COMPUTED_VALUE"""),395.94)</f>
        <v>395.94</v>
      </c>
      <c r="G252" s="26">
        <f>IFERROR(__xludf.DUMMYFUNCTION("""COMPUTED_VALUE"""),208.64)</f>
        <v>208.64</v>
      </c>
      <c r="H252" s="26">
        <f>IFERROR(__xludf.DUMMYFUNCTION("""COMPUTED_VALUE"""),138.64)</f>
        <v>138.64</v>
      </c>
      <c r="I252" s="26">
        <f>IFERROR(__xludf.DUMMYFUNCTION("""COMPUTED_VALUE"""),210.79)</f>
        <v>210.79</v>
      </c>
      <c r="J252" s="26">
        <f>IFERROR(__xludf.DUMMYFUNCTION("""COMPUTED_VALUE"""),167.99)</f>
        <v>167.99</v>
      </c>
      <c r="K252" s="26">
        <f>IFERROR(__xludf.DUMMYFUNCTION("""COMPUTED_VALUE"""),87.1)</f>
        <v>87.1</v>
      </c>
      <c r="L252" s="26">
        <f>IFERROR(__xludf.DUMMYFUNCTION("""COMPUTED_VALUE"""),16.7)</f>
        <v>16.7</v>
      </c>
      <c r="M252" s="26">
        <f>IFERROR(__xludf.DUMMYFUNCTION("""COMPUTED_VALUE"""),514.3)</f>
        <v>514.3</v>
      </c>
      <c r="N252" s="26">
        <f>IFERROR(__xludf.DUMMYFUNCTION("""COMPUTED_VALUE"""),49.9)</f>
        <v>49.9</v>
      </c>
      <c r="O252" s="26">
        <f>IFERROR(__xludf.DUMMYFUNCTION("""COMPUTED_VALUE"""),124.4)</f>
        <v>124.4</v>
      </c>
      <c r="P252" s="26">
        <f>IFERROR(__xludf.DUMMYFUNCTION("""COMPUTED_VALUE"""),73.44)</f>
        <v>73.44</v>
      </c>
      <c r="Q252" s="26">
        <f>IFERROR(__xludf.DUMMYFUNCTION("""COMPUTED_VALUE"""),342.55)</f>
        <v>342.55</v>
      </c>
      <c r="R252" s="26">
        <f>IFERROR(__xludf.DUMMYFUNCTION("""COMPUTED_VALUE"""),51.16)</f>
        <v>51.16</v>
      </c>
      <c r="S252" s="26">
        <f>IFERROR(__xludf.DUMMYFUNCTION("""COMPUTED_VALUE"""),217.23)</f>
        <v>217.23</v>
      </c>
      <c r="T252" s="26">
        <f>IFERROR(__xludf.DUMMYFUNCTION("""COMPUTED_VALUE"""),141.62)</f>
        <v>141.62</v>
      </c>
      <c r="U252" s="26">
        <f>IFERROR(__xludf.DUMMYFUNCTION("""COMPUTED_VALUE"""),315.74)</f>
        <v>315.74</v>
      </c>
      <c r="V252" s="26">
        <f>IFERROR(__xludf.DUMMYFUNCTION("""COMPUTED_VALUE"""),41.59)</f>
        <v>41.59</v>
      </c>
      <c r="W252" s="26">
        <f>IFERROR(__xludf.DUMMYFUNCTION("""COMPUTED_VALUE"""),69.53)</f>
        <v>69.53</v>
      </c>
      <c r="X252" s="26">
        <f>IFERROR(__xludf.DUMMYFUNCTION("""COMPUTED_VALUE"""),103.54)</f>
        <v>103.54</v>
      </c>
      <c r="Y252" s="26">
        <f>IFERROR(__xludf.DUMMYFUNCTION("""COMPUTED_VALUE"""),166.0)</f>
        <v>166</v>
      </c>
      <c r="Z252" s="26">
        <f>IFERROR(__xludf.DUMMYFUNCTION("""COMPUTED_VALUE"""),89.0)</f>
        <v>89</v>
      </c>
      <c r="AA252" s="26">
        <f>IFERROR(__xludf.DUMMYFUNCTION("""COMPUTED_VALUE"""),482.11)</f>
        <v>482.11</v>
      </c>
      <c r="AB252" s="26">
        <f>IFERROR(__xludf.DUMMYFUNCTION("""COMPUTED_VALUE"""),69.16)</f>
        <v>69.16</v>
      </c>
      <c r="AC252" s="26">
        <f>IFERROR(__xludf.DUMMYFUNCTION("""COMPUTED_VALUE"""),109.16)</f>
        <v>109.16</v>
      </c>
      <c r="AD252" s="26">
        <f>IFERROR(__xludf.DUMMYFUNCTION("""COMPUTED_VALUE"""),232.95)</f>
        <v>232.95</v>
      </c>
      <c r="AE252" s="26">
        <f>IFERROR(__xludf.DUMMYFUNCTION("""COMPUTED_VALUE"""),486.76)</f>
        <v>486.76</v>
      </c>
      <c r="AF252" s="26">
        <f>IFERROR(__xludf.DUMMYFUNCTION("""COMPUTED_VALUE"""),276.24)</f>
        <v>276.24</v>
      </c>
      <c r="AG252" s="26">
        <f>IFERROR(__xludf.DUMMYFUNCTION("""COMPUTED_VALUE"""),49.61)</f>
        <v>49.61</v>
      </c>
      <c r="AH252" s="26">
        <f>IFERROR(__xludf.DUMMYFUNCTION("""COMPUTED_VALUE"""),103.82)</f>
        <v>103.82</v>
      </c>
      <c r="AI252" s="26">
        <f>IFERROR(__xludf.DUMMYFUNCTION("""COMPUTED_VALUE"""),591.34)</f>
        <v>591.34</v>
      </c>
      <c r="AJ252" s="26">
        <f>IFERROR(__xludf.DUMMYFUNCTION("""COMPUTED_VALUE"""),376.59)</f>
        <v>376.59</v>
      </c>
      <c r="AK252" s="26">
        <f>IFERROR(__xludf.DUMMYFUNCTION("""COMPUTED_VALUE"""),153.2)</f>
        <v>153.2</v>
      </c>
      <c r="AL252" s="26">
        <f>IFERROR(__xludf.DUMMYFUNCTION("""COMPUTED_VALUE"""),173.44)</f>
        <v>173.44</v>
      </c>
      <c r="AM252" s="26">
        <f>IFERROR(__xludf.DUMMYFUNCTION("""COMPUTED_VALUE"""),561.43)</f>
        <v>561.43</v>
      </c>
      <c r="AN252" s="26">
        <f>IFERROR(__xludf.DUMMYFUNCTION("""COMPUTED_VALUE"""),260.05)</f>
        <v>260.05</v>
      </c>
      <c r="AO252" s="26">
        <f>IFERROR(__xludf.DUMMYFUNCTION("""COMPUTED_VALUE"""),473.16)</f>
        <v>473.16</v>
      </c>
      <c r="AP252" s="26">
        <f>IFERROR(__xludf.DUMMYFUNCTION("""COMPUTED_VALUE"""),304.2)</f>
        <v>304.2</v>
      </c>
      <c r="AQ252" s="26">
        <f>IFERROR(__xludf.DUMMYFUNCTION("""COMPUTED_VALUE"""),31.6)</f>
        <v>31.6</v>
      </c>
      <c r="AR252" s="26">
        <f>IFERROR(__xludf.DUMMYFUNCTION("""COMPUTED_VALUE"""),85.81)</f>
        <v>85.81</v>
      </c>
      <c r="AS252" s="26">
        <f>IFERROR(__xludf.DUMMYFUNCTION("""COMPUTED_VALUE"""),80.64)</f>
        <v>80.64</v>
      </c>
      <c r="AT252" s="26">
        <f>IFERROR(__xludf.DUMMYFUNCTION("""COMPUTED_VALUE"""),449.26)</f>
        <v>449.26</v>
      </c>
      <c r="AU252" s="26">
        <f>IFERROR(__xludf.DUMMYFUNCTION("""COMPUTED_VALUE"""),69.69)</f>
        <v>69.69</v>
      </c>
      <c r="AV252" s="26">
        <f>IFERROR(__xludf.DUMMYFUNCTION("""COMPUTED_VALUE"""),123.0)</f>
        <v>123</v>
      </c>
      <c r="AW252" s="26">
        <f>IFERROR(__xludf.DUMMYFUNCTION("""COMPUTED_VALUE"""),98.0)</f>
        <v>98</v>
      </c>
      <c r="AX252" s="26">
        <f>IFERROR(__xludf.DUMMYFUNCTION("""COMPUTED_VALUE"""),51.31)</f>
        <v>51.31</v>
      </c>
      <c r="AY252" s="26">
        <f>IFERROR(__xludf.DUMMYFUNCTION("""COMPUTED_VALUE"""),118.46)</f>
        <v>118.46</v>
      </c>
      <c r="AZ252" s="26">
        <f>IFERROR(__xludf.DUMMYFUNCTION("""COMPUTED_VALUE"""),72.31)</f>
        <v>72.31</v>
      </c>
      <c r="BA252" s="26">
        <f>IFERROR(__xludf.DUMMYFUNCTION("""COMPUTED_VALUE"""),23.09)</f>
        <v>23.09</v>
      </c>
      <c r="BB252" s="26">
        <f>IFERROR(__xludf.DUMMYFUNCTION("""COMPUTED_VALUE"""),130.56)</f>
        <v>130.56</v>
      </c>
      <c r="BC252" s="26">
        <f>IFERROR(__xludf.DUMMYFUNCTION("""COMPUTED_VALUE"""),240.32)</f>
        <v>240.32</v>
      </c>
      <c r="BD252" s="26">
        <f>IFERROR(__xludf.DUMMYFUNCTION("""COMPUTED_VALUE"""),432.59)</f>
        <v>432.59</v>
      </c>
      <c r="BE252" s="26">
        <f>IFERROR(__xludf.DUMMYFUNCTION("""COMPUTED_VALUE"""),192.32)</f>
        <v>192.32</v>
      </c>
      <c r="BF252" s="26">
        <f>IFERROR(__xludf.DUMMYFUNCTION("""COMPUTED_VALUE"""),118.73)</f>
        <v>118.73</v>
      </c>
      <c r="BG252" s="26">
        <f>IFERROR(__xludf.DUMMYFUNCTION("""COMPUTED_VALUE"""),6.21)</f>
        <v>6.21</v>
      </c>
      <c r="BH252" s="26">
        <f>IFERROR(__xludf.DUMMYFUNCTION("""COMPUTED_VALUE"""),230.87)</f>
        <v>230.87</v>
      </c>
      <c r="BI252" s="26">
        <f>IFERROR(__xludf.DUMMYFUNCTION("""COMPUTED_VALUE"""),378.75)</f>
        <v>378.75</v>
      </c>
      <c r="BJ252" s="26">
        <f>IFERROR(__xludf.DUMMYFUNCTION("""COMPUTED_VALUE"""),49.73)</f>
        <v>49.73</v>
      </c>
      <c r="BK252" s="26">
        <f>IFERROR(__xludf.DUMMYFUNCTION("""COMPUTED_VALUE"""),8.96)</f>
        <v>8.96</v>
      </c>
      <c r="BL252" s="26">
        <f>IFERROR(__xludf.DUMMYFUNCTION("""COMPUTED_VALUE"""),225.57)</f>
        <v>225.57</v>
      </c>
      <c r="BM252" s="26">
        <f>IFERROR(__xludf.DUMMYFUNCTION("""COMPUTED_VALUE"""),110.49)</f>
        <v>110.49</v>
      </c>
    </row>
    <row r="253">
      <c r="A253" s="25">
        <v>45791.66666666667</v>
      </c>
      <c r="B253" s="17">
        <f>IFERROR(__xludf.DUMMYFUNCTION("""COMPUTED_VALUE"""),5886.55)</f>
        <v>5886.55</v>
      </c>
      <c r="C253" s="17">
        <f>IFERROR(__xludf.DUMMYFUNCTION("""COMPUTED_VALUE"""),19010.09)</f>
        <v>19010.09</v>
      </c>
      <c r="D253" s="17">
        <f>IFERROR(__xludf.DUMMYFUNCTION("""COMPUTED_VALUE"""),42140.43)</f>
        <v>42140.43</v>
      </c>
      <c r="E253" s="17">
        <f>IFERROR(__xludf.DUMMYFUNCTION("""COMPUTED_VALUE"""),2102.35)</f>
        <v>2102.35</v>
      </c>
      <c r="F253" s="26">
        <f>IFERROR(__xludf.DUMMYFUNCTION("""COMPUTED_VALUE"""),397.4)</f>
        <v>397.4</v>
      </c>
      <c r="G253" s="26">
        <f>IFERROR(__xludf.DUMMYFUNCTION("""COMPUTED_VALUE"""),211.37)</f>
        <v>211.37</v>
      </c>
      <c r="H253" s="26">
        <f>IFERROR(__xludf.DUMMYFUNCTION("""COMPUTED_VALUE"""),133.84)</f>
        <v>133.84</v>
      </c>
      <c r="I253" s="26">
        <f>IFERROR(__xludf.DUMMYFUNCTION("""COMPUTED_VALUE"""),212.93)</f>
        <v>212.93</v>
      </c>
      <c r="J253" s="26">
        <f>IFERROR(__xludf.DUMMYFUNCTION("""COMPUTED_VALUE"""),173.03)</f>
        <v>173.03</v>
      </c>
      <c r="K253" s="26">
        <f>IFERROR(__xludf.DUMMYFUNCTION("""COMPUTED_VALUE"""),87.93)</f>
        <v>87.93</v>
      </c>
      <c r="L253" s="26">
        <f>IFERROR(__xludf.DUMMYFUNCTION("""COMPUTED_VALUE"""),17.0)</f>
        <v>17</v>
      </c>
      <c r="M253" s="26">
        <f>IFERROR(__xludf.DUMMYFUNCTION("""COMPUTED_VALUE"""),511.88)</f>
        <v>511.88</v>
      </c>
      <c r="N253" s="26">
        <f>IFERROR(__xludf.DUMMYFUNCTION("""COMPUTED_VALUE"""),50.81)</f>
        <v>50.81</v>
      </c>
      <c r="O253" s="26">
        <f>IFERROR(__xludf.DUMMYFUNCTION("""COMPUTED_VALUE"""),123.16)</f>
        <v>123.16</v>
      </c>
      <c r="P253" s="26">
        <f>IFERROR(__xludf.DUMMYFUNCTION("""COMPUTED_VALUE"""),74.65)</f>
        <v>74.65</v>
      </c>
      <c r="Q253" s="26">
        <f>IFERROR(__xludf.DUMMYFUNCTION("""COMPUTED_VALUE"""),352.54)</f>
        <v>352.54</v>
      </c>
      <c r="R253" s="26">
        <f>IFERROR(__xludf.DUMMYFUNCTION("""COMPUTED_VALUE"""),51.96)</f>
        <v>51.96</v>
      </c>
      <c r="S253" s="26">
        <f>IFERROR(__xludf.DUMMYFUNCTION("""COMPUTED_VALUE"""),217.87)</f>
        <v>217.87</v>
      </c>
      <c r="T253" s="26">
        <f>IFERROR(__xludf.DUMMYFUNCTION("""COMPUTED_VALUE"""),142.35)</f>
        <v>142.35</v>
      </c>
      <c r="U253" s="26">
        <f>IFERROR(__xludf.DUMMYFUNCTION("""COMPUTED_VALUE"""),301.89)</f>
        <v>301.89</v>
      </c>
      <c r="V253" s="26">
        <f>IFERROR(__xludf.DUMMYFUNCTION("""COMPUTED_VALUE"""),41.87)</f>
        <v>41.87</v>
      </c>
      <c r="W253" s="26">
        <f>IFERROR(__xludf.DUMMYFUNCTION("""COMPUTED_VALUE"""),68.96)</f>
        <v>68.96</v>
      </c>
      <c r="X253" s="26">
        <f>IFERROR(__xludf.DUMMYFUNCTION("""COMPUTED_VALUE"""),100.58)</f>
        <v>100.58</v>
      </c>
      <c r="Y253" s="26">
        <f>IFERROR(__xludf.DUMMYFUNCTION("""COMPUTED_VALUE"""),165.8)</f>
        <v>165.8</v>
      </c>
      <c r="Z253" s="26">
        <f>IFERROR(__xludf.DUMMYFUNCTION("""COMPUTED_VALUE"""),85.71)</f>
        <v>85.71</v>
      </c>
      <c r="AA253" s="26">
        <f>IFERROR(__xludf.DUMMYFUNCTION("""COMPUTED_VALUE"""),484.4)</f>
        <v>484.4</v>
      </c>
      <c r="AB253" s="26">
        <f>IFERROR(__xludf.DUMMYFUNCTION("""COMPUTED_VALUE"""),69.17)</f>
        <v>69.17</v>
      </c>
      <c r="AC253" s="26">
        <f>IFERROR(__xludf.DUMMYFUNCTION("""COMPUTED_VALUE"""),109.46)</f>
        <v>109.46</v>
      </c>
      <c r="AD253" s="26">
        <f>IFERROR(__xludf.DUMMYFUNCTION("""COMPUTED_VALUE"""),231.15)</f>
        <v>231.15</v>
      </c>
      <c r="AE253" s="26">
        <f>IFERROR(__xludf.DUMMYFUNCTION("""COMPUTED_VALUE"""),490.88)</f>
        <v>490.88</v>
      </c>
      <c r="AF253" s="26">
        <f>IFERROR(__xludf.DUMMYFUNCTION("""COMPUTED_VALUE"""),273.02)</f>
        <v>273.02</v>
      </c>
      <c r="AG253" s="26">
        <f>IFERROR(__xludf.DUMMYFUNCTION("""COMPUTED_VALUE"""),50.46)</f>
        <v>50.46</v>
      </c>
      <c r="AH253" s="26">
        <f>IFERROR(__xludf.DUMMYFUNCTION("""COMPUTED_VALUE"""),101.43)</f>
        <v>101.43</v>
      </c>
      <c r="AI253" s="26">
        <f>IFERROR(__xludf.DUMMYFUNCTION("""COMPUTED_VALUE"""),603.81)</f>
        <v>603.81</v>
      </c>
      <c r="AJ253" s="26">
        <f>IFERROR(__xludf.DUMMYFUNCTION("""COMPUTED_VALUE"""),373.6)</f>
        <v>373.6</v>
      </c>
      <c r="AK253" s="26">
        <f>IFERROR(__xludf.DUMMYFUNCTION("""COMPUTED_VALUE"""),149.8)</f>
        <v>149.8</v>
      </c>
      <c r="AL253" s="26">
        <f>IFERROR(__xludf.DUMMYFUNCTION("""COMPUTED_VALUE"""),172.84)</f>
        <v>172.84</v>
      </c>
      <c r="AM253" s="26">
        <f>IFERROR(__xludf.DUMMYFUNCTION("""COMPUTED_VALUE"""),563.95)</f>
        <v>563.95</v>
      </c>
      <c r="AN253" s="26">
        <f>IFERROR(__xludf.DUMMYFUNCTION("""COMPUTED_VALUE"""),263.01)</f>
        <v>263.01</v>
      </c>
      <c r="AO253" s="26">
        <f>IFERROR(__xludf.DUMMYFUNCTION("""COMPUTED_VALUE"""),459.83)</f>
        <v>459.83</v>
      </c>
      <c r="AP253" s="26">
        <f>IFERROR(__xludf.DUMMYFUNCTION("""COMPUTED_VALUE"""),310.61)</f>
        <v>310.61</v>
      </c>
      <c r="AQ253" s="26">
        <f>IFERROR(__xludf.DUMMYFUNCTION("""COMPUTED_VALUE"""),31.75)</f>
        <v>31.75</v>
      </c>
      <c r="AR253" s="26">
        <f>IFERROR(__xludf.DUMMYFUNCTION("""COMPUTED_VALUE"""),85.11)</f>
        <v>85.11</v>
      </c>
      <c r="AS253" s="26">
        <f>IFERROR(__xludf.DUMMYFUNCTION("""COMPUTED_VALUE"""),81.16)</f>
        <v>81.16</v>
      </c>
      <c r="AT253" s="26">
        <f>IFERROR(__xludf.DUMMYFUNCTION("""COMPUTED_VALUE"""),449.14)</f>
        <v>449.14</v>
      </c>
      <c r="AU253" s="26">
        <f>IFERROR(__xludf.DUMMYFUNCTION("""COMPUTED_VALUE"""),72.11)</f>
        <v>72.11</v>
      </c>
      <c r="AV253" s="26">
        <f>IFERROR(__xludf.DUMMYFUNCTION("""COMPUTED_VALUE"""),129.93)</f>
        <v>129.93</v>
      </c>
      <c r="AW253" s="26">
        <f>IFERROR(__xludf.DUMMYFUNCTION("""COMPUTED_VALUE"""),96.99)</f>
        <v>96.99</v>
      </c>
      <c r="AX253" s="26">
        <f>IFERROR(__xludf.DUMMYFUNCTION("""COMPUTED_VALUE"""),57.38)</f>
        <v>57.38</v>
      </c>
      <c r="AY253" s="26">
        <f>IFERROR(__xludf.DUMMYFUNCTION("""COMPUTED_VALUE"""),128.1)</f>
        <v>128.1</v>
      </c>
      <c r="AZ253" s="26">
        <f>IFERROR(__xludf.DUMMYFUNCTION("""COMPUTED_VALUE"""),72.29)</f>
        <v>72.29</v>
      </c>
      <c r="BA253" s="26">
        <f>IFERROR(__xludf.DUMMYFUNCTION("""COMPUTED_VALUE"""),22.87)</f>
        <v>22.87</v>
      </c>
      <c r="BB253" s="26">
        <f>IFERROR(__xludf.DUMMYFUNCTION("""COMPUTED_VALUE"""),130.72)</f>
        <v>130.72</v>
      </c>
      <c r="BC253" s="26">
        <f>IFERROR(__xludf.DUMMYFUNCTION("""COMPUTED_VALUE"""),237.34)</f>
        <v>237.34</v>
      </c>
      <c r="BD253" s="26">
        <f>IFERROR(__xludf.DUMMYFUNCTION("""COMPUTED_VALUE"""),428.95)</f>
        <v>428.95</v>
      </c>
      <c r="BE253" s="26">
        <f>IFERROR(__xludf.DUMMYFUNCTION("""COMPUTED_VALUE"""),193.97)</f>
        <v>193.97</v>
      </c>
      <c r="BF253" s="26">
        <f>IFERROR(__xludf.DUMMYFUNCTION("""COMPUTED_VALUE"""),122.11)</f>
        <v>122.11</v>
      </c>
      <c r="BG253" s="26">
        <f>IFERROR(__xludf.DUMMYFUNCTION("""COMPUTED_VALUE"""),6.27)</f>
        <v>6.27</v>
      </c>
      <c r="BH253" s="26">
        <f>IFERROR(__xludf.DUMMYFUNCTION("""COMPUTED_VALUE"""),228.25)</f>
        <v>228.25</v>
      </c>
      <c r="BI253" s="26">
        <f>IFERROR(__xludf.DUMMYFUNCTION("""COMPUTED_VALUE"""),311.38)</f>
        <v>311.38</v>
      </c>
      <c r="BJ253" s="26">
        <f>IFERROR(__xludf.DUMMYFUNCTION("""COMPUTED_VALUE"""),49.77)</f>
        <v>49.77</v>
      </c>
      <c r="BK253" s="26">
        <f>IFERROR(__xludf.DUMMYFUNCTION("""COMPUTED_VALUE"""),8.79)</f>
        <v>8.79</v>
      </c>
      <c r="BL253" s="26">
        <f>IFERROR(__xludf.DUMMYFUNCTION("""COMPUTED_VALUE"""),222.38)</f>
        <v>222.38</v>
      </c>
      <c r="BM253" s="26">
        <f>IFERROR(__xludf.DUMMYFUNCTION("""COMPUTED_VALUE"""),111.38)</f>
        <v>111.38</v>
      </c>
    </row>
    <row r="254">
      <c r="A254" s="25">
        <v>45792.66666666667</v>
      </c>
      <c r="B254" s="17">
        <f>IFERROR(__xludf.DUMMYFUNCTION("""COMPUTED_VALUE"""),5892.58)</f>
        <v>5892.58</v>
      </c>
      <c r="C254" s="17">
        <f>IFERROR(__xludf.DUMMYFUNCTION("""COMPUTED_VALUE"""),19146.81)</f>
        <v>19146.81</v>
      </c>
      <c r="D254" s="17">
        <f>IFERROR(__xludf.DUMMYFUNCTION("""COMPUTED_VALUE"""),42051.06)</f>
        <v>42051.06</v>
      </c>
      <c r="E254" s="17">
        <f>IFERROR(__xludf.DUMMYFUNCTION("""COMPUTED_VALUE"""),2083.8)</f>
        <v>2083.8</v>
      </c>
      <c r="F254" s="26">
        <f>IFERROR(__xludf.DUMMYFUNCTION("""COMPUTED_VALUE"""),399.47)</f>
        <v>399.47</v>
      </c>
      <c r="G254" s="26">
        <f>IFERROR(__xludf.DUMMYFUNCTION("""COMPUTED_VALUE"""),210.25)</f>
        <v>210.25</v>
      </c>
      <c r="H254" s="26">
        <f>IFERROR(__xludf.DUMMYFUNCTION("""COMPUTED_VALUE"""),133.82)</f>
        <v>133.82</v>
      </c>
      <c r="I254" s="26">
        <f>IFERROR(__xludf.DUMMYFUNCTION("""COMPUTED_VALUE"""),212.33)</f>
        <v>212.33</v>
      </c>
      <c r="J254" s="26">
        <f>IFERROR(__xludf.DUMMYFUNCTION("""COMPUTED_VALUE"""),174.14)</f>
        <v>174.14</v>
      </c>
      <c r="K254" s="26">
        <f>IFERROR(__xludf.DUMMYFUNCTION("""COMPUTED_VALUE"""),87.94)</f>
        <v>87.94</v>
      </c>
      <c r="L254" s="26">
        <f>IFERROR(__xludf.DUMMYFUNCTION("""COMPUTED_VALUE"""),17.23)</f>
        <v>17.23</v>
      </c>
      <c r="M254" s="26">
        <f>IFERROR(__xludf.DUMMYFUNCTION("""COMPUTED_VALUE"""),503.4)</f>
        <v>503.4</v>
      </c>
      <c r="N254" s="26">
        <f>IFERROR(__xludf.DUMMYFUNCTION("""COMPUTED_VALUE"""),50.3)</f>
        <v>50.3</v>
      </c>
      <c r="O254" s="26">
        <f>IFERROR(__xludf.DUMMYFUNCTION("""COMPUTED_VALUE"""),120.37)</f>
        <v>120.37</v>
      </c>
      <c r="P254" s="26">
        <f>IFERROR(__xludf.DUMMYFUNCTION("""COMPUTED_VALUE"""),73.36)</f>
        <v>73.36</v>
      </c>
      <c r="Q254" s="26">
        <f>IFERROR(__xludf.DUMMYFUNCTION("""COMPUTED_VALUE"""),349.66)</f>
        <v>349.66</v>
      </c>
      <c r="R254" s="26">
        <f>IFERROR(__xludf.DUMMYFUNCTION("""COMPUTED_VALUE"""),53.3)</f>
        <v>53.3</v>
      </c>
      <c r="S254" s="26">
        <f>IFERROR(__xludf.DUMMYFUNCTION("""COMPUTED_VALUE"""),214.49)</f>
        <v>214.49</v>
      </c>
      <c r="T254" s="26">
        <f>IFERROR(__xludf.DUMMYFUNCTION("""COMPUTED_VALUE"""),141.67)</f>
        <v>141.67</v>
      </c>
      <c r="U254" s="26">
        <f>IFERROR(__xludf.DUMMYFUNCTION("""COMPUTED_VALUE"""),303.35)</f>
        <v>303.35</v>
      </c>
      <c r="V254" s="26">
        <f>IFERROR(__xludf.DUMMYFUNCTION("""COMPUTED_VALUE"""),41.59)</f>
        <v>41.59</v>
      </c>
      <c r="W254" s="26">
        <f>IFERROR(__xludf.DUMMYFUNCTION("""COMPUTED_VALUE"""),69.16)</f>
        <v>69.16</v>
      </c>
      <c r="X254" s="26">
        <f>IFERROR(__xludf.DUMMYFUNCTION("""COMPUTED_VALUE"""),99.27)</f>
        <v>99.27</v>
      </c>
      <c r="Y254" s="26">
        <f>IFERROR(__xludf.DUMMYFUNCTION("""COMPUTED_VALUE"""),165.67)</f>
        <v>165.67</v>
      </c>
      <c r="Z254" s="26">
        <f>IFERROR(__xludf.DUMMYFUNCTION("""COMPUTED_VALUE"""),86.06)</f>
        <v>86.06</v>
      </c>
      <c r="AA254" s="26">
        <f>IFERROR(__xludf.DUMMYFUNCTION("""COMPUTED_VALUE"""),483.23)</f>
        <v>483.23</v>
      </c>
      <c r="AB254" s="26">
        <f>IFERROR(__xludf.DUMMYFUNCTION("""COMPUTED_VALUE"""),69.15)</f>
        <v>69.15</v>
      </c>
      <c r="AC254" s="26">
        <f>IFERROR(__xludf.DUMMYFUNCTION("""COMPUTED_VALUE"""),108.48)</f>
        <v>108.48</v>
      </c>
      <c r="AD254" s="26">
        <f>IFERROR(__xludf.DUMMYFUNCTION("""COMPUTED_VALUE"""),231.8)</f>
        <v>231.8</v>
      </c>
      <c r="AE254" s="26">
        <f>IFERROR(__xludf.DUMMYFUNCTION("""COMPUTED_VALUE"""),495.65)</f>
        <v>495.65</v>
      </c>
      <c r="AF254" s="26">
        <f>IFERROR(__xludf.DUMMYFUNCTION("""COMPUTED_VALUE"""),270.69)</f>
        <v>270.69</v>
      </c>
      <c r="AG254" s="26">
        <f>IFERROR(__xludf.DUMMYFUNCTION("""COMPUTED_VALUE"""),50.31)</f>
        <v>50.31</v>
      </c>
      <c r="AH254" s="26">
        <f>IFERROR(__xludf.DUMMYFUNCTION("""COMPUTED_VALUE"""),98.38)</f>
        <v>98.38</v>
      </c>
      <c r="AI254" s="26">
        <f>IFERROR(__xludf.DUMMYFUNCTION("""COMPUTED_VALUE"""),611.6)</f>
        <v>611.6</v>
      </c>
      <c r="AJ254" s="26">
        <f>IFERROR(__xludf.DUMMYFUNCTION("""COMPUTED_VALUE"""),372.81)</f>
        <v>372.81</v>
      </c>
      <c r="AK254" s="26">
        <f>IFERROR(__xludf.DUMMYFUNCTION("""COMPUTED_VALUE"""),146.54)</f>
        <v>146.54</v>
      </c>
      <c r="AL254" s="26">
        <f>IFERROR(__xludf.DUMMYFUNCTION("""COMPUTED_VALUE"""),171.94)</f>
        <v>171.94</v>
      </c>
      <c r="AM254" s="26">
        <f>IFERROR(__xludf.DUMMYFUNCTION("""COMPUTED_VALUE"""),565.94)</f>
        <v>565.94</v>
      </c>
      <c r="AN254" s="26">
        <f>IFERROR(__xludf.DUMMYFUNCTION("""COMPUTED_VALUE"""),265.64)</f>
        <v>265.64</v>
      </c>
      <c r="AO254" s="26">
        <f>IFERROR(__xludf.DUMMYFUNCTION("""COMPUTED_VALUE"""),449.18)</f>
        <v>449.18</v>
      </c>
      <c r="AP254" s="26">
        <f>IFERROR(__xludf.DUMMYFUNCTION("""COMPUTED_VALUE"""),315.84)</f>
        <v>315.84</v>
      </c>
      <c r="AQ254" s="26">
        <f>IFERROR(__xludf.DUMMYFUNCTION("""COMPUTED_VALUE"""),31.74)</f>
        <v>31.74</v>
      </c>
      <c r="AR254" s="26">
        <f>IFERROR(__xludf.DUMMYFUNCTION("""COMPUTED_VALUE"""),84.25)</f>
        <v>84.25</v>
      </c>
      <c r="AS254" s="26">
        <f>IFERROR(__xludf.DUMMYFUNCTION("""COMPUTED_VALUE"""),79.95)</f>
        <v>79.95</v>
      </c>
      <c r="AT254" s="26">
        <f>IFERROR(__xludf.DUMMYFUNCTION("""COMPUTED_VALUE"""),452.94)</f>
        <v>452.94</v>
      </c>
      <c r="AU254" s="26">
        <f>IFERROR(__xludf.DUMMYFUNCTION("""COMPUTED_VALUE"""),72.19)</f>
        <v>72.19</v>
      </c>
      <c r="AV254" s="26">
        <f>IFERROR(__xludf.DUMMYFUNCTION("""COMPUTED_VALUE"""),135.34)</f>
        <v>135.34</v>
      </c>
      <c r="AW254" s="26">
        <f>IFERROR(__xludf.DUMMYFUNCTION("""COMPUTED_VALUE"""),96.04)</f>
        <v>96.04</v>
      </c>
      <c r="AX254" s="26">
        <f>IFERROR(__xludf.DUMMYFUNCTION("""COMPUTED_VALUE"""),57.59)</f>
        <v>57.59</v>
      </c>
      <c r="AY254" s="26">
        <f>IFERROR(__xludf.DUMMYFUNCTION("""COMPUTED_VALUE"""),130.18)</f>
        <v>130.18</v>
      </c>
      <c r="AZ254" s="26">
        <f>IFERROR(__xludf.DUMMYFUNCTION("""COMPUTED_VALUE"""),72.68)</f>
        <v>72.68</v>
      </c>
      <c r="BA254" s="26">
        <f>IFERROR(__xludf.DUMMYFUNCTION("""COMPUTED_VALUE"""),22.02)</f>
        <v>22.02</v>
      </c>
      <c r="BB254" s="26">
        <f>IFERROR(__xludf.DUMMYFUNCTION("""COMPUTED_VALUE"""),130.79)</f>
        <v>130.79</v>
      </c>
      <c r="BC254" s="26">
        <f>IFERROR(__xludf.DUMMYFUNCTION("""COMPUTED_VALUE"""),235.29)</f>
        <v>235.29</v>
      </c>
      <c r="BD254" s="26">
        <f>IFERROR(__xludf.DUMMYFUNCTION("""COMPUTED_VALUE"""),406.05)</f>
        <v>406.05</v>
      </c>
      <c r="BE254" s="26">
        <f>IFERROR(__xludf.DUMMYFUNCTION("""COMPUTED_VALUE"""),187.0)</f>
        <v>187</v>
      </c>
      <c r="BF254" s="26">
        <f>IFERROR(__xludf.DUMMYFUNCTION("""COMPUTED_VALUE"""),122.36)</f>
        <v>122.36</v>
      </c>
      <c r="BG254" s="26">
        <f>IFERROR(__xludf.DUMMYFUNCTION("""COMPUTED_VALUE"""),6.27)</f>
        <v>6.27</v>
      </c>
      <c r="BH254" s="26">
        <f>IFERROR(__xludf.DUMMYFUNCTION("""COMPUTED_VALUE"""),228.34)</f>
        <v>228.34</v>
      </c>
      <c r="BI254" s="26">
        <f>IFERROR(__xludf.DUMMYFUNCTION("""COMPUTED_VALUE"""),308.01)</f>
        <v>308.01</v>
      </c>
      <c r="BJ254" s="26">
        <f>IFERROR(__xludf.DUMMYFUNCTION("""COMPUTED_VALUE"""),49.77)</f>
        <v>49.77</v>
      </c>
      <c r="BK254" s="26">
        <f>IFERROR(__xludf.DUMMYFUNCTION("""COMPUTED_VALUE"""),8.42)</f>
        <v>8.42</v>
      </c>
      <c r="BL254" s="26">
        <f>IFERROR(__xludf.DUMMYFUNCTION("""COMPUTED_VALUE"""),222.47)</f>
        <v>222.47</v>
      </c>
      <c r="BM254" s="26">
        <f>IFERROR(__xludf.DUMMYFUNCTION("""COMPUTED_VALUE"""),112.94)</f>
        <v>112.94</v>
      </c>
    </row>
    <row r="255">
      <c r="A255" s="25">
        <v>45793.66666666667</v>
      </c>
      <c r="B255" s="17">
        <f>IFERROR(__xludf.DUMMYFUNCTION("""COMPUTED_VALUE"""),5916.93)</f>
        <v>5916.93</v>
      </c>
      <c r="C255" s="17">
        <f>IFERROR(__xludf.DUMMYFUNCTION("""COMPUTED_VALUE"""),19112.32)</f>
        <v>19112.32</v>
      </c>
      <c r="D255" s="17">
        <f>IFERROR(__xludf.DUMMYFUNCTION("""COMPUTED_VALUE"""),42322.75)</f>
        <v>42322.75</v>
      </c>
      <c r="E255" s="17">
        <f>IFERROR(__xludf.DUMMYFUNCTION("""COMPUTED_VALUE"""),2094.69)</f>
        <v>2094.69</v>
      </c>
      <c r="F255" s="26">
        <f>IFERROR(__xludf.DUMMYFUNCTION("""COMPUTED_VALUE"""),404.69)</f>
        <v>404.69</v>
      </c>
      <c r="G255" s="26">
        <f>IFERROR(__xludf.DUMMYFUNCTION("""COMPUTED_VALUE"""),205.17)</f>
        <v>205.17</v>
      </c>
      <c r="H255" s="26">
        <f>IFERROR(__xludf.DUMMYFUNCTION("""COMPUTED_VALUE"""),140.37)</f>
        <v>140.37</v>
      </c>
      <c r="I255" s="26">
        <f>IFERROR(__xludf.DUMMYFUNCTION("""COMPUTED_VALUE"""),211.45)</f>
        <v>211.45</v>
      </c>
      <c r="J255" s="26">
        <f>IFERROR(__xludf.DUMMYFUNCTION("""COMPUTED_VALUE"""),174.75)</f>
        <v>174.75</v>
      </c>
      <c r="K255" s="26">
        <f>IFERROR(__xludf.DUMMYFUNCTION("""COMPUTED_VALUE"""),89.39)</f>
        <v>89.39</v>
      </c>
      <c r="L255" s="26">
        <f>IFERROR(__xludf.DUMMYFUNCTION("""COMPUTED_VALUE"""),17.34)</f>
        <v>17.34</v>
      </c>
      <c r="M255" s="26">
        <f>IFERROR(__xludf.DUMMYFUNCTION("""COMPUTED_VALUE"""),507.33)</f>
        <v>507.33</v>
      </c>
      <c r="N255" s="26">
        <f>IFERROR(__xludf.DUMMYFUNCTION("""COMPUTED_VALUE"""),50.53)</f>
        <v>50.53</v>
      </c>
      <c r="O255" s="26">
        <f>IFERROR(__xludf.DUMMYFUNCTION("""COMPUTED_VALUE"""),123.7)</f>
        <v>123.7</v>
      </c>
      <c r="P255" s="26">
        <f>IFERROR(__xludf.DUMMYFUNCTION("""COMPUTED_VALUE"""),73.48)</f>
        <v>73.48</v>
      </c>
      <c r="Q255" s="26">
        <f>IFERROR(__xludf.DUMMYFUNCTION("""COMPUTED_VALUE"""),349.81)</f>
        <v>349.81</v>
      </c>
      <c r="R255" s="26">
        <f>IFERROR(__xludf.DUMMYFUNCTION("""COMPUTED_VALUE"""),51.59)</f>
        <v>51.59</v>
      </c>
      <c r="S255" s="26">
        <f>IFERROR(__xludf.DUMMYFUNCTION("""COMPUTED_VALUE"""),216.1)</f>
        <v>216.1</v>
      </c>
      <c r="T255" s="26">
        <f>IFERROR(__xludf.DUMMYFUNCTION("""COMPUTED_VALUE"""),142.26)</f>
        <v>142.26</v>
      </c>
      <c r="U255" s="26">
        <f>IFERROR(__xludf.DUMMYFUNCTION("""COMPUTED_VALUE"""),308.86)</f>
        <v>308.86</v>
      </c>
      <c r="V255" s="26">
        <f>IFERROR(__xludf.DUMMYFUNCTION("""COMPUTED_VALUE"""),41.72)</f>
        <v>41.72</v>
      </c>
      <c r="W255" s="26">
        <f>IFERROR(__xludf.DUMMYFUNCTION("""COMPUTED_VALUE"""),71.61)</f>
        <v>71.61</v>
      </c>
      <c r="X255" s="26">
        <f>IFERROR(__xludf.DUMMYFUNCTION("""COMPUTED_VALUE"""),102.01)</f>
        <v>102.01</v>
      </c>
      <c r="Y255" s="26">
        <f>IFERROR(__xludf.DUMMYFUNCTION("""COMPUTED_VALUE"""),167.79)</f>
        <v>167.79</v>
      </c>
      <c r="Z255" s="26">
        <f>IFERROR(__xludf.DUMMYFUNCTION("""COMPUTED_VALUE"""),86.58)</f>
        <v>86.58</v>
      </c>
      <c r="AA255" s="26">
        <f>IFERROR(__xludf.DUMMYFUNCTION("""COMPUTED_VALUE"""),485.91)</f>
        <v>485.91</v>
      </c>
      <c r="AB255" s="26">
        <f>IFERROR(__xludf.DUMMYFUNCTION("""COMPUTED_VALUE"""),70.6)</f>
        <v>70.6</v>
      </c>
      <c r="AC255" s="26">
        <f>IFERROR(__xludf.DUMMYFUNCTION("""COMPUTED_VALUE"""),108.58)</f>
        <v>108.58</v>
      </c>
      <c r="AD255" s="26">
        <f>IFERROR(__xludf.DUMMYFUNCTION("""COMPUTED_VALUE"""),231.11)</f>
        <v>231.11</v>
      </c>
      <c r="AE255" s="26">
        <f>IFERROR(__xludf.DUMMYFUNCTION("""COMPUTED_VALUE"""),494.79)</f>
        <v>494.79</v>
      </c>
      <c r="AF255" s="26">
        <f>IFERROR(__xludf.DUMMYFUNCTION("""COMPUTED_VALUE"""),278.51)</f>
        <v>278.51</v>
      </c>
      <c r="AG255" s="26">
        <f>IFERROR(__xludf.DUMMYFUNCTION("""COMPUTED_VALUE"""),50.12)</f>
        <v>50.12</v>
      </c>
      <c r="AH255" s="26">
        <f>IFERROR(__xludf.DUMMYFUNCTION("""COMPUTED_VALUE"""),100.34)</f>
        <v>100.34</v>
      </c>
      <c r="AI255" s="26">
        <f>IFERROR(__xludf.DUMMYFUNCTION("""COMPUTED_VALUE"""),615.9)</f>
        <v>615.9</v>
      </c>
      <c r="AJ255" s="26">
        <f>IFERROR(__xludf.DUMMYFUNCTION("""COMPUTED_VALUE"""),378.63)</f>
        <v>378.63</v>
      </c>
      <c r="AK255" s="26">
        <f>IFERROR(__xludf.DUMMYFUNCTION("""COMPUTED_VALUE"""),148.05)</f>
        <v>148.05</v>
      </c>
      <c r="AL255" s="26">
        <f>IFERROR(__xludf.DUMMYFUNCTION("""COMPUTED_VALUE"""),174.85)</f>
        <v>174.85</v>
      </c>
      <c r="AM255" s="26">
        <f>IFERROR(__xludf.DUMMYFUNCTION("""COMPUTED_VALUE"""),560.28)</f>
        <v>560.28</v>
      </c>
      <c r="AN255" s="26">
        <f>IFERROR(__xludf.DUMMYFUNCTION("""COMPUTED_VALUE"""),267.49)</f>
        <v>267.49</v>
      </c>
      <c r="AO255" s="26">
        <f>IFERROR(__xludf.DUMMYFUNCTION("""COMPUTED_VALUE"""),465.14)</f>
        <v>465.14</v>
      </c>
      <c r="AP255" s="26">
        <f>IFERROR(__xludf.DUMMYFUNCTION("""COMPUTED_VALUE"""),318.96)</f>
        <v>318.96</v>
      </c>
      <c r="AQ255" s="26">
        <f>IFERROR(__xludf.DUMMYFUNCTION("""COMPUTED_VALUE"""),31.87)</f>
        <v>31.87</v>
      </c>
      <c r="AR255" s="26">
        <f>IFERROR(__xludf.DUMMYFUNCTION("""COMPUTED_VALUE"""),86.11)</f>
        <v>86.11</v>
      </c>
      <c r="AS255" s="26">
        <f>IFERROR(__xludf.DUMMYFUNCTION("""COMPUTED_VALUE"""),80.46)</f>
        <v>80.46</v>
      </c>
      <c r="AT255" s="26">
        <f>IFERROR(__xludf.DUMMYFUNCTION("""COMPUTED_VALUE"""),453.13)</f>
        <v>453.13</v>
      </c>
      <c r="AU255" s="26">
        <f>IFERROR(__xludf.DUMMYFUNCTION("""COMPUTED_VALUE"""),74.55)</f>
        <v>74.55</v>
      </c>
      <c r="AV255" s="26">
        <f>IFERROR(__xludf.DUMMYFUNCTION("""COMPUTED_VALUE"""),134.83)</f>
        <v>134.83</v>
      </c>
      <c r="AW255" s="26">
        <f>IFERROR(__xludf.DUMMYFUNCTION("""COMPUTED_VALUE"""),97.86)</f>
        <v>97.86</v>
      </c>
      <c r="AX255" s="26">
        <f>IFERROR(__xludf.DUMMYFUNCTION("""COMPUTED_VALUE"""),60.25)</f>
        <v>60.25</v>
      </c>
      <c r="AY255" s="26">
        <f>IFERROR(__xludf.DUMMYFUNCTION("""COMPUTED_VALUE"""),128.12)</f>
        <v>128.12</v>
      </c>
      <c r="AZ255" s="26">
        <f>IFERROR(__xludf.DUMMYFUNCTION("""COMPUTED_VALUE"""),71.57)</f>
        <v>71.57</v>
      </c>
      <c r="BA255" s="26">
        <f>IFERROR(__xludf.DUMMYFUNCTION("""COMPUTED_VALUE"""),22.6)</f>
        <v>22.6</v>
      </c>
      <c r="BB255" s="26">
        <f>IFERROR(__xludf.DUMMYFUNCTION("""COMPUTED_VALUE"""),135.52)</f>
        <v>135.52</v>
      </c>
      <c r="BC255" s="26">
        <f>IFERROR(__xludf.DUMMYFUNCTION("""COMPUTED_VALUE"""),240.16)</f>
        <v>240.16</v>
      </c>
      <c r="BD255" s="26">
        <f>IFERROR(__xludf.DUMMYFUNCTION("""COMPUTED_VALUE"""),404.93)</f>
        <v>404.93</v>
      </c>
      <c r="BE255" s="26">
        <f>IFERROR(__xludf.DUMMYFUNCTION("""COMPUTED_VALUE"""),183.45)</f>
        <v>183.45</v>
      </c>
      <c r="BF255" s="26">
        <f>IFERROR(__xludf.DUMMYFUNCTION("""COMPUTED_VALUE"""),121.81)</f>
        <v>121.81</v>
      </c>
      <c r="BG255" s="26">
        <f>IFERROR(__xludf.DUMMYFUNCTION("""COMPUTED_VALUE"""),6.54)</f>
        <v>6.54</v>
      </c>
      <c r="BH255" s="26">
        <f>IFERROR(__xludf.DUMMYFUNCTION("""COMPUTED_VALUE"""),230.85)</f>
        <v>230.85</v>
      </c>
      <c r="BI255" s="26">
        <f>IFERROR(__xludf.DUMMYFUNCTION("""COMPUTED_VALUE"""),274.35)</f>
        <v>274.35</v>
      </c>
      <c r="BJ255" s="26">
        <f>IFERROR(__xludf.DUMMYFUNCTION("""COMPUTED_VALUE"""),49.85)</f>
        <v>49.85</v>
      </c>
      <c r="BK255" s="26">
        <f>IFERROR(__xludf.DUMMYFUNCTION("""COMPUTED_VALUE"""),8.79)</f>
        <v>8.79</v>
      </c>
      <c r="BL255" s="26">
        <f>IFERROR(__xludf.DUMMYFUNCTION("""COMPUTED_VALUE"""),228.02)</f>
        <v>228.02</v>
      </c>
      <c r="BM255" s="26">
        <f>IFERROR(__xludf.DUMMYFUNCTION("""COMPUTED_VALUE"""),112.22)</f>
        <v>112.22</v>
      </c>
    </row>
    <row r="256">
      <c r="A256" s="25">
        <v>45796.66666666667</v>
      </c>
      <c r="B256" s="17">
        <f>IFERROR(__xludf.DUMMYFUNCTION("""COMPUTED_VALUE"""),5958.38)</f>
        <v>5958.38</v>
      </c>
      <c r="C256" s="17">
        <f>IFERROR(__xludf.DUMMYFUNCTION("""COMPUTED_VALUE"""),19211.1)</f>
        <v>19211.1</v>
      </c>
      <c r="D256" s="17">
        <f>IFERROR(__xludf.DUMMYFUNCTION("""COMPUTED_VALUE"""),42654.74)</f>
        <v>42654.74</v>
      </c>
      <c r="E256" s="17">
        <f>IFERROR(__xludf.DUMMYFUNCTION("""COMPUTED_VALUE"""),2113.25)</f>
        <v>2113.25</v>
      </c>
      <c r="F256" s="26">
        <f>IFERROR(__xludf.DUMMYFUNCTION("""COMPUTED_VALUE"""),417.13)</f>
        <v>417.13</v>
      </c>
      <c r="G256" s="26">
        <f>IFERROR(__xludf.DUMMYFUNCTION("""COMPUTED_VALUE"""),205.59)</f>
        <v>205.59</v>
      </c>
      <c r="H256" s="26">
        <f>IFERROR(__xludf.DUMMYFUNCTION("""COMPUTED_VALUE"""),142.56)</f>
        <v>142.56</v>
      </c>
      <c r="I256" s="26">
        <f>IFERROR(__xludf.DUMMYFUNCTION("""COMPUTED_VALUE"""),211.26)</f>
        <v>211.26</v>
      </c>
      <c r="J256" s="26">
        <f>IFERROR(__xludf.DUMMYFUNCTION("""COMPUTED_VALUE"""),165.57)</f>
        <v>165.57</v>
      </c>
      <c r="K256" s="26">
        <f>IFERROR(__xludf.DUMMYFUNCTION("""COMPUTED_VALUE"""),90.07)</f>
        <v>90.07</v>
      </c>
      <c r="L256" s="26">
        <f>IFERROR(__xludf.DUMMYFUNCTION("""COMPUTED_VALUE"""),17.42)</f>
        <v>17.42</v>
      </c>
      <c r="M256" s="26">
        <f>IFERROR(__xludf.DUMMYFUNCTION("""COMPUTED_VALUE"""),514.31)</f>
        <v>514.31</v>
      </c>
      <c r="N256" s="26">
        <f>IFERROR(__xludf.DUMMYFUNCTION("""COMPUTED_VALUE"""),50.51)</f>
        <v>50.51</v>
      </c>
      <c r="O256" s="26">
        <f>IFERROR(__xludf.DUMMYFUNCTION("""COMPUTED_VALUE"""),125.59)</f>
        <v>125.59</v>
      </c>
      <c r="P256" s="26">
        <f>IFERROR(__xludf.DUMMYFUNCTION("""COMPUTED_VALUE"""),75.62)</f>
        <v>75.62</v>
      </c>
      <c r="Q256" s="26">
        <f>IFERROR(__xludf.DUMMYFUNCTION("""COMPUTED_VALUE"""),353.58)</f>
        <v>353.58</v>
      </c>
      <c r="R256" s="26">
        <f>IFERROR(__xludf.DUMMYFUNCTION("""COMPUTED_VALUE"""),51.27)</f>
        <v>51.27</v>
      </c>
      <c r="S256" s="26">
        <f>IFERROR(__xludf.DUMMYFUNCTION("""COMPUTED_VALUE"""),218.68)</f>
        <v>218.68</v>
      </c>
      <c r="T256" s="26">
        <f>IFERROR(__xludf.DUMMYFUNCTION("""COMPUTED_VALUE"""),142.1)</f>
        <v>142.1</v>
      </c>
      <c r="U256" s="26">
        <f>IFERROR(__xludf.DUMMYFUNCTION("""COMPUTED_VALUE"""),320.94)</f>
        <v>320.94</v>
      </c>
      <c r="V256" s="26">
        <f>IFERROR(__xludf.DUMMYFUNCTION("""COMPUTED_VALUE"""),41.82)</f>
        <v>41.82</v>
      </c>
      <c r="W256" s="26">
        <f>IFERROR(__xludf.DUMMYFUNCTION("""COMPUTED_VALUE"""),72.0)</f>
        <v>72</v>
      </c>
      <c r="X256" s="26">
        <f>IFERROR(__xludf.DUMMYFUNCTION("""COMPUTED_VALUE"""),104.29)</f>
        <v>104.29</v>
      </c>
      <c r="Y256" s="26">
        <f>IFERROR(__xludf.DUMMYFUNCTION("""COMPUTED_VALUE"""),170.05)</f>
        <v>170.05</v>
      </c>
      <c r="Z256" s="26">
        <f>IFERROR(__xludf.DUMMYFUNCTION("""COMPUTED_VALUE"""),86.51)</f>
        <v>86.51</v>
      </c>
      <c r="AA256" s="26">
        <f>IFERROR(__xludf.DUMMYFUNCTION("""COMPUTED_VALUE"""),495.05)</f>
        <v>495.05</v>
      </c>
      <c r="AB256" s="26">
        <f>IFERROR(__xludf.DUMMYFUNCTION("""COMPUTED_VALUE"""),71.84)</f>
        <v>71.84</v>
      </c>
      <c r="AC256" s="26">
        <f>IFERROR(__xludf.DUMMYFUNCTION("""COMPUTED_VALUE"""),108.19)</f>
        <v>108.19</v>
      </c>
      <c r="AD256" s="26">
        <f>IFERROR(__xludf.DUMMYFUNCTION("""COMPUTED_VALUE"""),229.51)</f>
        <v>229.51</v>
      </c>
      <c r="AE256" s="26">
        <f>IFERROR(__xludf.DUMMYFUNCTION("""COMPUTED_VALUE"""),498.74)</f>
        <v>498.74</v>
      </c>
      <c r="AF256" s="26">
        <f>IFERROR(__xludf.DUMMYFUNCTION("""COMPUTED_VALUE"""),280.71)</f>
        <v>280.71</v>
      </c>
      <c r="AG256" s="26">
        <f>IFERROR(__xludf.DUMMYFUNCTION("""COMPUTED_VALUE"""),50.37)</f>
        <v>50.37</v>
      </c>
      <c r="AH256" s="26">
        <f>IFERROR(__xludf.DUMMYFUNCTION("""COMPUTED_VALUE"""),102.5)</f>
        <v>102.5</v>
      </c>
      <c r="AI256" s="26">
        <f>IFERROR(__xludf.DUMMYFUNCTION("""COMPUTED_VALUE"""),619.03)</f>
        <v>619.03</v>
      </c>
      <c r="AJ256" s="26">
        <f>IFERROR(__xludf.DUMMYFUNCTION("""COMPUTED_VALUE"""),380.78)</f>
        <v>380.78</v>
      </c>
      <c r="AK256" s="26">
        <f>IFERROR(__xludf.DUMMYFUNCTION("""COMPUTED_VALUE"""),152.93)</f>
        <v>152.93</v>
      </c>
      <c r="AL256" s="26">
        <f>IFERROR(__xludf.DUMMYFUNCTION("""COMPUTED_VALUE"""),176.25)</f>
        <v>176.25</v>
      </c>
      <c r="AM256" s="26">
        <f>IFERROR(__xludf.DUMMYFUNCTION("""COMPUTED_VALUE"""),563.6)</f>
        <v>563.6</v>
      </c>
      <c r="AN256" s="26">
        <f>IFERROR(__xludf.DUMMYFUNCTION("""COMPUTED_VALUE"""),267.56)</f>
        <v>267.56</v>
      </c>
      <c r="AO256" s="26">
        <f>IFERROR(__xludf.DUMMYFUNCTION("""COMPUTED_VALUE"""),468.32)</f>
        <v>468.32</v>
      </c>
      <c r="AP256" s="26">
        <f>IFERROR(__xludf.DUMMYFUNCTION("""COMPUTED_VALUE"""),321.44)</f>
        <v>321.44</v>
      </c>
      <c r="AQ256" s="26">
        <f>IFERROR(__xludf.DUMMYFUNCTION("""COMPUTED_VALUE"""),32.0)</f>
        <v>32</v>
      </c>
      <c r="AR256" s="26">
        <f>IFERROR(__xludf.DUMMYFUNCTION("""COMPUTED_VALUE"""),86.44)</f>
        <v>86.44</v>
      </c>
      <c r="AS256" s="26">
        <f>IFERROR(__xludf.DUMMYFUNCTION("""COMPUTED_VALUE"""),80.83)</f>
        <v>80.83</v>
      </c>
      <c r="AT256" s="26">
        <f>IFERROR(__xludf.DUMMYFUNCTION("""COMPUTED_VALUE"""),454.27)</f>
        <v>454.27</v>
      </c>
      <c r="AU256" s="26">
        <f>IFERROR(__xludf.DUMMYFUNCTION("""COMPUTED_VALUE"""),75.0)</f>
        <v>75</v>
      </c>
      <c r="AV256" s="26">
        <f>IFERROR(__xludf.DUMMYFUNCTION("""COMPUTED_VALUE"""),135.4)</f>
        <v>135.4</v>
      </c>
      <c r="AW256" s="26">
        <f>IFERROR(__xludf.DUMMYFUNCTION("""COMPUTED_VALUE"""),98.89)</f>
        <v>98.89</v>
      </c>
      <c r="AX256" s="26">
        <f>IFERROR(__xludf.DUMMYFUNCTION("""COMPUTED_VALUE"""),59.9)</f>
        <v>59.9</v>
      </c>
      <c r="AY256" s="26">
        <f>IFERROR(__xludf.DUMMYFUNCTION("""COMPUTED_VALUE"""),129.52)</f>
        <v>129.52</v>
      </c>
      <c r="AZ256" s="26">
        <f>IFERROR(__xludf.DUMMYFUNCTION("""COMPUTED_VALUE"""),72.18)</f>
        <v>72.18</v>
      </c>
      <c r="BA256" s="26">
        <f>IFERROR(__xludf.DUMMYFUNCTION("""COMPUTED_VALUE"""),22.83)</f>
        <v>22.83</v>
      </c>
      <c r="BB256" s="26">
        <f>IFERROR(__xludf.DUMMYFUNCTION("""COMPUTED_VALUE"""),135.48)</f>
        <v>135.48</v>
      </c>
      <c r="BC256" s="26">
        <f>IFERROR(__xludf.DUMMYFUNCTION("""COMPUTED_VALUE"""),242.66)</f>
        <v>242.66</v>
      </c>
      <c r="BD256" s="26">
        <f>IFERROR(__xludf.DUMMYFUNCTION("""COMPUTED_VALUE"""),412.06)</f>
        <v>412.06</v>
      </c>
      <c r="BE256" s="26">
        <f>IFERROR(__xludf.DUMMYFUNCTION("""COMPUTED_VALUE"""),183.19)</f>
        <v>183.19</v>
      </c>
      <c r="BF256" s="26">
        <f>IFERROR(__xludf.DUMMYFUNCTION("""COMPUTED_VALUE"""),121.58)</f>
        <v>121.58</v>
      </c>
      <c r="BG256" s="26">
        <f>IFERROR(__xludf.DUMMYFUNCTION("""COMPUTED_VALUE"""),6.71)</f>
        <v>6.71</v>
      </c>
      <c r="BH256" s="26">
        <f>IFERROR(__xludf.DUMMYFUNCTION("""COMPUTED_VALUE"""),231.42)</f>
        <v>231.42</v>
      </c>
      <c r="BI256" s="26">
        <f>IFERROR(__xludf.DUMMYFUNCTION("""COMPUTED_VALUE"""),291.91)</f>
        <v>291.91</v>
      </c>
      <c r="BJ256" s="26">
        <f>IFERROR(__xludf.DUMMYFUNCTION("""COMPUTED_VALUE"""),49.88)</f>
        <v>49.88</v>
      </c>
      <c r="BK256" s="26">
        <f>IFERROR(__xludf.DUMMYFUNCTION("""COMPUTED_VALUE"""),8.84)</f>
        <v>8.84</v>
      </c>
      <c r="BL256" s="26">
        <f>IFERROR(__xludf.DUMMYFUNCTION("""COMPUTED_VALUE"""),229.87)</f>
        <v>229.87</v>
      </c>
      <c r="BM256" s="26">
        <f>IFERROR(__xludf.DUMMYFUNCTION("""COMPUTED_VALUE"""),113.42)</f>
        <v>113.42</v>
      </c>
    </row>
    <row r="257">
      <c r="A257" s="25">
        <v>45797.66666666667</v>
      </c>
      <c r="B257" s="17">
        <f>IFERROR(__xludf.DUMMYFUNCTION("""COMPUTED_VALUE"""),5963.6)</f>
        <v>5963.6</v>
      </c>
      <c r="C257" s="17">
        <f>IFERROR(__xludf.DUMMYFUNCTION("""COMPUTED_VALUE"""),19215.46)</f>
        <v>19215.46</v>
      </c>
      <c r="D257" s="17">
        <f>IFERROR(__xludf.DUMMYFUNCTION("""COMPUTED_VALUE"""),42792.07)</f>
        <v>42792.07</v>
      </c>
      <c r="E257" s="17">
        <f>IFERROR(__xludf.DUMMYFUNCTION("""COMPUTED_VALUE"""),2104.43)</f>
        <v>2104.43</v>
      </c>
      <c r="F257" s="26">
        <f>IFERROR(__xludf.DUMMYFUNCTION("""COMPUTED_VALUE"""),420.68)</f>
        <v>420.68</v>
      </c>
      <c r="G257" s="26">
        <f>IFERROR(__xludf.DUMMYFUNCTION("""COMPUTED_VALUE"""),206.16)</f>
        <v>206.16</v>
      </c>
      <c r="H257" s="26">
        <f>IFERROR(__xludf.DUMMYFUNCTION("""COMPUTED_VALUE"""),143.71)</f>
        <v>143.71</v>
      </c>
      <c r="I257" s="26">
        <f>IFERROR(__xludf.DUMMYFUNCTION("""COMPUTED_VALUE"""),208.78)</f>
        <v>208.78</v>
      </c>
      <c r="J257" s="26">
        <f>IFERROR(__xludf.DUMMYFUNCTION("""COMPUTED_VALUE"""),165.94)</f>
        <v>165.94</v>
      </c>
      <c r="K257" s="26">
        <f>IFERROR(__xludf.DUMMYFUNCTION("""COMPUTED_VALUE"""),90.33)</f>
        <v>90.33</v>
      </c>
      <c r="L257" s="26">
        <f>IFERROR(__xludf.DUMMYFUNCTION("""COMPUTED_VALUE"""),17.73)</f>
        <v>17.73</v>
      </c>
      <c r="M257" s="26">
        <f>IFERROR(__xludf.DUMMYFUNCTION("""COMPUTED_VALUE"""),512.39)</f>
        <v>512.39</v>
      </c>
      <c r="N257" s="26">
        <f>IFERROR(__xludf.DUMMYFUNCTION("""COMPUTED_VALUE"""),50.35)</f>
        <v>50.35</v>
      </c>
      <c r="O257" s="26">
        <f>IFERROR(__xludf.DUMMYFUNCTION("""COMPUTED_VALUE"""),129.44)</f>
        <v>129.44</v>
      </c>
      <c r="P257" s="26">
        <f>IFERROR(__xludf.DUMMYFUNCTION("""COMPUTED_VALUE"""),75.83)</f>
        <v>75.83</v>
      </c>
      <c r="Q257" s="26">
        <f>IFERROR(__xludf.DUMMYFUNCTION("""COMPUTED_VALUE"""),352.57)</f>
        <v>352.57</v>
      </c>
      <c r="R257" s="26">
        <f>IFERROR(__xludf.DUMMYFUNCTION("""COMPUTED_VALUE"""),51.18)</f>
        <v>51.18</v>
      </c>
      <c r="S257" s="26">
        <f>IFERROR(__xludf.DUMMYFUNCTION("""COMPUTED_VALUE"""),218.91)</f>
        <v>218.91</v>
      </c>
      <c r="T257" s="26">
        <f>IFERROR(__xludf.DUMMYFUNCTION("""COMPUTED_VALUE"""),138.49)</f>
        <v>138.49</v>
      </c>
      <c r="U257" s="26">
        <f>IFERROR(__xludf.DUMMYFUNCTION("""COMPUTED_VALUE"""),321.96)</f>
        <v>321.96</v>
      </c>
      <c r="V257" s="26">
        <f>IFERROR(__xludf.DUMMYFUNCTION("""COMPUTED_VALUE"""),41.58)</f>
        <v>41.58</v>
      </c>
      <c r="W257" s="26">
        <f>IFERROR(__xludf.DUMMYFUNCTION("""COMPUTED_VALUE"""),71.93)</f>
        <v>71.93</v>
      </c>
      <c r="X257" s="26">
        <f>IFERROR(__xludf.DUMMYFUNCTION("""COMPUTED_VALUE"""),105.38)</f>
        <v>105.38</v>
      </c>
      <c r="Y257" s="26">
        <f>IFERROR(__xludf.DUMMYFUNCTION("""COMPUTED_VALUE"""),170.79)</f>
        <v>170.79</v>
      </c>
      <c r="Z257" s="26">
        <f>IFERROR(__xludf.DUMMYFUNCTION("""COMPUTED_VALUE"""),86.61)</f>
        <v>86.61</v>
      </c>
      <c r="AA257" s="26">
        <f>IFERROR(__xludf.DUMMYFUNCTION("""COMPUTED_VALUE"""),497.52)</f>
        <v>497.52</v>
      </c>
      <c r="AB257" s="26">
        <f>IFERROR(__xludf.DUMMYFUNCTION("""COMPUTED_VALUE"""),72.43)</f>
        <v>72.43</v>
      </c>
      <c r="AC257" s="26">
        <f>IFERROR(__xludf.DUMMYFUNCTION("""COMPUTED_VALUE"""),106.47)</f>
        <v>106.47</v>
      </c>
      <c r="AD257" s="26">
        <f>IFERROR(__xludf.DUMMYFUNCTION("""COMPUTED_VALUE"""),226.12)</f>
        <v>226.12</v>
      </c>
      <c r="AE257" s="26">
        <f>IFERROR(__xludf.DUMMYFUNCTION("""COMPUTED_VALUE"""),497.63)</f>
        <v>497.63</v>
      </c>
      <c r="AF257" s="26">
        <f>IFERROR(__xludf.DUMMYFUNCTION("""COMPUTED_VALUE"""),281.37)</f>
        <v>281.37</v>
      </c>
      <c r="AG257" s="26">
        <f>IFERROR(__xludf.DUMMYFUNCTION("""COMPUTED_VALUE"""),50.03)</f>
        <v>50.03</v>
      </c>
      <c r="AH257" s="26">
        <f>IFERROR(__xludf.DUMMYFUNCTION("""COMPUTED_VALUE"""),106.16)</f>
        <v>106.16</v>
      </c>
      <c r="AI257" s="26">
        <f>IFERROR(__xludf.DUMMYFUNCTION("""COMPUTED_VALUE"""),612.3)</f>
        <v>612.3</v>
      </c>
      <c r="AJ257" s="26">
        <f>IFERROR(__xludf.DUMMYFUNCTION("""COMPUTED_VALUE"""),379.38)</f>
        <v>379.38</v>
      </c>
      <c r="AK257" s="26">
        <f>IFERROR(__xludf.DUMMYFUNCTION("""COMPUTED_VALUE"""),152.95)</f>
        <v>152.95</v>
      </c>
      <c r="AL257" s="26">
        <f>IFERROR(__xludf.DUMMYFUNCTION("""COMPUTED_VALUE"""),176.75)</f>
        <v>176.75</v>
      </c>
      <c r="AM257" s="26">
        <f>IFERROR(__xludf.DUMMYFUNCTION("""COMPUTED_VALUE"""),561.63)</f>
        <v>561.63</v>
      </c>
      <c r="AN257" s="26">
        <f>IFERROR(__xludf.DUMMYFUNCTION("""COMPUTED_VALUE"""),264.88)</f>
        <v>264.88</v>
      </c>
      <c r="AO257" s="26">
        <f>IFERROR(__xludf.DUMMYFUNCTION("""COMPUTED_VALUE"""),473.06)</f>
        <v>473.06</v>
      </c>
      <c r="AP257" s="26">
        <f>IFERROR(__xludf.DUMMYFUNCTION("""COMPUTED_VALUE"""),323.7)</f>
        <v>323.7</v>
      </c>
      <c r="AQ257" s="26">
        <f>IFERROR(__xludf.DUMMYFUNCTION("""COMPUTED_VALUE"""),32.07)</f>
        <v>32.07</v>
      </c>
      <c r="AR257" s="26">
        <f>IFERROR(__xludf.DUMMYFUNCTION("""COMPUTED_VALUE"""),86.97)</f>
        <v>86.97</v>
      </c>
      <c r="AS257" s="26">
        <f>IFERROR(__xludf.DUMMYFUNCTION("""COMPUTED_VALUE"""),80.87)</f>
        <v>80.87</v>
      </c>
      <c r="AT257" s="26">
        <f>IFERROR(__xludf.DUMMYFUNCTION("""COMPUTED_VALUE"""),458.87)</f>
        <v>458.87</v>
      </c>
      <c r="AU257" s="26">
        <f>IFERROR(__xludf.DUMMYFUNCTION("""COMPUTED_VALUE"""),73.86)</f>
        <v>73.86</v>
      </c>
      <c r="AV257" s="26">
        <f>IFERROR(__xludf.DUMMYFUNCTION("""COMPUTED_VALUE"""),135.57)</f>
        <v>135.57</v>
      </c>
      <c r="AW257" s="26">
        <f>IFERROR(__xludf.DUMMYFUNCTION("""COMPUTED_VALUE"""),98.54)</f>
        <v>98.54</v>
      </c>
      <c r="AX257" s="26">
        <f>IFERROR(__xludf.DUMMYFUNCTION("""COMPUTED_VALUE"""),59.99)</f>
        <v>59.99</v>
      </c>
      <c r="AY257" s="26">
        <f>IFERROR(__xludf.DUMMYFUNCTION("""COMPUTED_VALUE"""),126.33)</f>
        <v>126.33</v>
      </c>
      <c r="AZ257" s="26">
        <f>IFERROR(__xludf.DUMMYFUNCTION("""COMPUTED_VALUE"""),72.32)</f>
        <v>72.32</v>
      </c>
      <c r="BA257" s="26">
        <f>IFERROR(__xludf.DUMMYFUNCTION("""COMPUTED_VALUE"""),23.0)</f>
        <v>23</v>
      </c>
      <c r="BB257" s="26">
        <f>IFERROR(__xludf.DUMMYFUNCTION("""COMPUTED_VALUE"""),137.2)</f>
        <v>137.2</v>
      </c>
      <c r="BC257" s="26">
        <f>IFERROR(__xludf.DUMMYFUNCTION("""COMPUTED_VALUE"""),244.25)</f>
        <v>244.25</v>
      </c>
      <c r="BD257" s="26">
        <f>IFERROR(__xludf.DUMMYFUNCTION("""COMPUTED_VALUE"""),413.92)</f>
        <v>413.92</v>
      </c>
      <c r="BE257" s="26">
        <f>IFERROR(__xludf.DUMMYFUNCTION("""COMPUTED_VALUE"""),185.32)</f>
        <v>185.32</v>
      </c>
      <c r="BF257" s="26">
        <f>IFERROR(__xludf.DUMMYFUNCTION("""COMPUTED_VALUE"""),122.1)</f>
        <v>122.1</v>
      </c>
      <c r="BG257" s="26">
        <f>IFERROR(__xludf.DUMMYFUNCTION("""COMPUTED_VALUE"""),6.55)</f>
        <v>6.55</v>
      </c>
      <c r="BH257" s="26">
        <f>IFERROR(__xludf.DUMMYFUNCTION("""COMPUTED_VALUE"""),229.5)</f>
        <v>229.5</v>
      </c>
      <c r="BI257" s="26">
        <f>IFERROR(__xludf.DUMMYFUNCTION("""COMPUTED_VALUE"""),315.89)</f>
        <v>315.89</v>
      </c>
      <c r="BJ257" s="26">
        <f>IFERROR(__xludf.DUMMYFUNCTION("""COMPUTED_VALUE"""),49.92)</f>
        <v>49.92</v>
      </c>
      <c r="BK257" s="26">
        <f>IFERROR(__xludf.DUMMYFUNCTION("""COMPUTED_VALUE"""),8.76)</f>
        <v>8.76</v>
      </c>
      <c r="BL257" s="26">
        <f>IFERROR(__xludf.DUMMYFUNCTION("""COMPUTED_VALUE"""),231.95)</f>
        <v>231.95</v>
      </c>
      <c r="BM257" s="26">
        <f>IFERROR(__xludf.DUMMYFUNCTION("""COMPUTED_VALUE"""),112.66)</f>
        <v>112.66</v>
      </c>
    </row>
    <row r="258">
      <c r="A258" s="25">
        <v>45798.66666666667</v>
      </c>
      <c r="B258" s="17">
        <f>IFERROR(__xludf.DUMMYFUNCTION("""COMPUTED_VALUE"""),5940.46)</f>
        <v>5940.46</v>
      </c>
      <c r="C258" s="17">
        <f>IFERROR(__xludf.DUMMYFUNCTION("""COMPUTED_VALUE"""),19142.71)</f>
        <v>19142.71</v>
      </c>
      <c r="D258" s="17">
        <f>IFERROR(__xludf.DUMMYFUNCTION("""COMPUTED_VALUE"""),42677.24)</f>
        <v>42677.24</v>
      </c>
      <c r="E258" s="17">
        <f>IFERROR(__xludf.DUMMYFUNCTION("""COMPUTED_VALUE"""),2105.58)</f>
        <v>2105.58</v>
      </c>
      <c r="F258" s="26">
        <f>IFERROR(__xludf.DUMMYFUNCTION("""COMPUTED_VALUE"""),417.61)</f>
        <v>417.61</v>
      </c>
      <c r="G258" s="26">
        <f>IFERROR(__xludf.DUMMYFUNCTION("""COMPUTED_VALUE"""),204.07)</f>
        <v>204.07</v>
      </c>
      <c r="H258" s="26">
        <f>IFERROR(__xludf.DUMMYFUNCTION("""COMPUTED_VALUE"""),143.82)</f>
        <v>143.82</v>
      </c>
      <c r="I258" s="26">
        <f>IFERROR(__xludf.DUMMYFUNCTION("""COMPUTED_VALUE"""),206.86)</f>
        <v>206.86</v>
      </c>
      <c r="J258" s="26">
        <f>IFERROR(__xludf.DUMMYFUNCTION("""COMPUTED_VALUE"""),165.73)</f>
        <v>165.73</v>
      </c>
      <c r="K258" s="26">
        <f>IFERROR(__xludf.DUMMYFUNCTION("""COMPUTED_VALUE"""),90.1)</f>
        <v>90.1</v>
      </c>
      <c r="L258" s="26">
        <f>IFERROR(__xludf.DUMMYFUNCTION("""COMPUTED_VALUE"""),17.85)</f>
        <v>17.85</v>
      </c>
      <c r="M258" s="26">
        <f>IFERROR(__xludf.DUMMYFUNCTION("""COMPUTED_VALUE"""),508.74)</f>
        <v>508.74</v>
      </c>
      <c r="N258" s="26">
        <f>IFERROR(__xludf.DUMMYFUNCTION("""COMPUTED_VALUE"""),49.72)</f>
        <v>49.72</v>
      </c>
      <c r="O258" s="26">
        <f>IFERROR(__xludf.DUMMYFUNCTION("""COMPUTED_VALUE"""),130.55)</f>
        <v>130.55</v>
      </c>
      <c r="P258" s="26">
        <f>IFERROR(__xludf.DUMMYFUNCTION("""COMPUTED_VALUE"""),74.95)</f>
        <v>74.95</v>
      </c>
      <c r="Q258" s="26">
        <f>IFERROR(__xludf.DUMMYFUNCTION("""COMPUTED_VALUE"""),349.49)</f>
        <v>349.49</v>
      </c>
      <c r="R258" s="26">
        <f>IFERROR(__xludf.DUMMYFUNCTION("""COMPUTED_VALUE"""),52.4)</f>
        <v>52.4</v>
      </c>
      <c r="S258" s="26">
        <f>IFERROR(__xludf.DUMMYFUNCTION("""COMPUTED_VALUE"""),220.92)</f>
        <v>220.92</v>
      </c>
      <c r="T258" s="26">
        <f>IFERROR(__xludf.DUMMYFUNCTION("""COMPUTED_VALUE"""),137.27)</f>
        <v>137.27</v>
      </c>
      <c r="U258" s="26">
        <f>IFERROR(__xludf.DUMMYFUNCTION("""COMPUTED_VALUE"""),325.0)</f>
        <v>325</v>
      </c>
      <c r="V258" s="26">
        <f>IFERROR(__xludf.DUMMYFUNCTION("""COMPUTED_VALUE"""),41.3)</f>
        <v>41.3</v>
      </c>
      <c r="W258" s="26">
        <f>IFERROR(__xludf.DUMMYFUNCTION("""COMPUTED_VALUE"""),71.69)</f>
        <v>71.69</v>
      </c>
      <c r="X258" s="26">
        <f>IFERROR(__xludf.DUMMYFUNCTION("""COMPUTED_VALUE"""),105.71)</f>
        <v>105.71</v>
      </c>
      <c r="Y258" s="26">
        <f>IFERROR(__xludf.DUMMYFUNCTION("""COMPUTED_VALUE"""),170.13)</f>
        <v>170.13</v>
      </c>
      <c r="Z258" s="26">
        <f>IFERROR(__xludf.DUMMYFUNCTION("""COMPUTED_VALUE"""),90.62)</f>
        <v>90.62</v>
      </c>
      <c r="AA258" s="26">
        <f>IFERROR(__xludf.DUMMYFUNCTION("""COMPUTED_VALUE"""),493.07)</f>
        <v>493.07</v>
      </c>
      <c r="AB258" s="26">
        <f>IFERROR(__xludf.DUMMYFUNCTION("""COMPUTED_VALUE"""),72.59)</f>
        <v>72.59</v>
      </c>
      <c r="AC258" s="26">
        <f>IFERROR(__xludf.DUMMYFUNCTION("""COMPUTED_VALUE"""),104.95)</f>
        <v>104.95</v>
      </c>
      <c r="AD258" s="26">
        <f>IFERROR(__xludf.DUMMYFUNCTION("""COMPUTED_VALUE"""),221.14)</f>
        <v>221.14</v>
      </c>
      <c r="AE258" s="26">
        <f>IFERROR(__xludf.DUMMYFUNCTION("""COMPUTED_VALUE"""),499.02)</f>
        <v>499.02</v>
      </c>
      <c r="AF258" s="26">
        <f>IFERROR(__xludf.DUMMYFUNCTION("""COMPUTED_VALUE"""),281.57)</f>
        <v>281.57</v>
      </c>
      <c r="AG258" s="26">
        <f>IFERROR(__xludf.DUMMYFUNCTION("""COMPUTED_VALUE"""),50.21)</f>
        <v>50.21</v>
      </c>
      <c r="AH258" s="26">
        <f>IFERROR(__xludf.DUMMYFUNCTION("""COMPUTED_VALUE"""),109.11)</f>
        <v>109.11</v>
      </c>
      <c r="AI258" s="26">
        <f>IFERROR(__xludf.DUMMYFUNCTION("""COMPUTED_VALUE"""),606.52)</f>
        <v>606.52</v>
      </c>
      <c r="AJ258" s="26">
        <f>IFERROR(__xludf.DUMMYFUNCTION("""COMPUTED_VALUE"""),377.05)</f>
        <v>377.05</v>
      </c>
      <c r="AK258" s="26">
        <f>IFERROR(__xludf.DUMMYFUNCTION("""COMPUTED_VALUE"""),152.04)</f>
        <v>152.04</v>
      </c>
      <c r="AL258" s="26">
        <f>IFERROR(__xludf.DUMMYFUNCTION("""COMPUTED_VALUE"""),176.29)</f>
        <v>176.29</v>
      </c>
      <c r="AM258" s="26">
        <f>IFERROR(__xludf.DUMMYFUNCTION("""COMPUTED_VALUE"""),557.16)</f>
        <v>557.16</v>
      </c>
      <c r="AN258" s="26">
        <f>IFERROR(__xludf.DUMMYFUNCTION("""COMPUTED_VALUE"""),265.68)</f>
        <v>265.68</v>
      </c>
      <c r="AO258" s="26">
        <f>IFERROR(__xludf.DUMMYFUNCTION("""COMPUTED_VALUE"""),475.82)</f>
        <v>475.82</v>
      </c>
      <c r="AP258" s="26">
        <f>IFERROR(__xludf.DUMMYFUNCTION("""COMPUTED_VALUE"""),327.17)</f>
        <v>327.17</v>
      </c>
      <c r="AQ258" s="26">
        <f>IFERROR(__xludf.DUMMYFUNCTION("""COMPUTED_VALUE"""),31.8)</f>
        <v>31.8</v>
      </c>
      <c r="AR258" s="26">
        <f>IFERROR(__xludf.DUMMYFUNCTION("""COMPUTED_VALUE"""),86.37)</f>
        <v>86.37</v>
      </c>
      <c r="AS258" s="26">
        <f>IFERROR(__xludf.DUMMYFUNCTION("""COMPUTED_VALUE"""),80.33)</f>
        <v>80.33</v>
      </c>
      <c r="AT258" s="26">
        <f>IFERROR(__xludf.DUMMYFUNCTION("""COMPUTED_VALUE"""),458.17)</f>
        <v>458.17</v>
      </c>
      <c r="AU258" s="26">
        <f>IFERROR(__xludf.DUMMYFUNCTION("""COMPUTED_VALUE"""),74.41)</f>
        <v>74.41</v>
      </c>
      <c r="AV258" s="26">
        <f>IFERROR(__xludf.DUMMYFUNCTION("""COMPUTED_VALUE"""),134.38)</f>
        <v>134.38</v>
      </c>
      <c r="AW258" s="26">
        <f>IFERROR(__xludf.DUMMYFUNCTION("""COMPUTED_VALUE"""),98.21)</f>
        <v>98.21</v>
      </c>
      <c r="AX258" s="26">
        <f>IFERROR(__xludf.DUMMYFUNCTION("""COMPUTED_VALUE"""),59.67)</f>
        <v>59.67</v>
      </c>
      <c r="AY258" s="26">
        <f>IFERROR(__xludf.DUMMYFUNCTION("""COMPUTED_VALUE"""),125.59)</f>
        <v>125.59</v>
      </c>
      <c r="AZ258" s="26">
        <f>IFERROR(__xludf.DUMMYFUNCTION("""COMPUTED_VALUE"""),72.61)</f>
        <v>72.61</v>
      </c>
      <c r="BA258" s="26">
        <f>IFERROR(__xludf.DUMMYFUNCTION("""COMPUTED_VALUE"""),23.52)</f>
        <v>23.52</v>
      </c>
      <c r="BB258" s="26">
        <f>IFERROR(__xludf.DUMMYFUNCTION("""COMPUTED_VALUE"""),137.18)</f>
        <v>137.18</v>
      </c>
      <c r="BC258" s="26">
        <f>IFERROR(__xludf.DUMMYFUNCTION("""COMPUTED_VALUE"""),241.21)</f>
        <v>241.21</v>
      </c>
      <c r="BD258" s="26">
        <f>IFERROR(__xludf.DUMMYFUNCTION("""COMPUTED_VALUE"""),413.75)</f>
        <v>413.75</v>
      </c>
      <c r="BE258" s="26">
        <f>IFERROR(__xludf.DUMMYFUNCTION("""COMPUTED_VALUE"""),186.36)</f>
        <v>186.36</v>
      </c>
      <c r="BF258" s="26">
        <f>IFERROR(__xludf.DUMMYFUNCTION("""COMPUTED_VALUE"""),124.71)</f>
        <v>124.71</v>
      </c>
      <c r="BG258" s="26">
        <f>IFERROR(__xludf.DUMMYFUNCTION("""COMPUTED_VALUE"""),6.67)</f>
        <v>6.67</v>
      </c>
      <c r="BH258" s="26">
        <f>IFERROR(__xludf.DUMMYFUNCTION("""COMPUTED_VALUE"""),228.33)</f>
        <v>228.33</v>
      </c>
      <c r="BI258" s="26">
        <f>IFERROR(__xludf.DUMMYFUNCTION("""COMPUTED_VALUE"""),321.58)</f>
        <v>321.58</v>
      </c>
      <c r="BJ258" s="26">
        <f>IFERROR(__xludf.DUMMYFUNCTION("""COMPUTED_VALUE"""),49.94)</f>
        <v>49.94</v>
      </c>
      <c r="BK258" s="26">
        <f>IFERROR(__xludf.DUMMYFUNCTION("""COMPUTED_VALUE"""),8.88)</f>
        <v>8.88</v>
      </c>
      <c r="BL258" s="26">
        <f>IFERROR(__xludf.DUMMYFUNCTION("""COMPUTED_VALUE"""),233.89)</f>
        <v>233.89</v>
      </c>
      <c r="BM258" s="26">
        <f>IFERROR(__xludf.DUMMYFUNCTION("""COMPUTED_VALUE"""),112.36)</f>
        <v>112.36</v>
      </c>
    </row>
    <row r="259">
      <c r="A259" s="25">
        <v>45799.66666666667</v>
      </c>
      <c r="B259" s="17">
        <f>IFERROR(__xludf.DUMMYFUNCTION("""COMPUTED_VALUE"""),5844.61)</f>
        <v>5844.61</v>
      </c>
      <c r="C259" s="17">
        <f>IFERROR(__xludf.DUMMYFUNCTION("""COMPUTED_VALUE"""),18872.64)</f>
        <v>18872.64</v>
      </c>
      <c r="D259" s="17">
        <f>IFERROR(__xludf.DUMMYFUNCTION("""COMPUTED_VALUE"""),41860.44)</f>
        <v>41860.44</v>
      </c>
      <c r="E259" s="17">
        <f>IFERROR(__xludf.DUMMYFUNCTION("""COMPUTED_VALUE"""),2046.56)</f>
        <v>2046.56</v>
      </c>
      <c r="F259" s="26">
        <f>IFERROR(__xludf.DUMMYFUNCTION("""COMPUTED_VALUE"""),414.03)</f>
        <v>414.03</v>
      </c>
      <c r="G259" s="26">
        <f>IFERROR(__xludf.DUMMYFUNCTION("""COMPUTED_VALUE"""),201.12)</f>
        <v>201.12</v>
      </c>
      <c r="H259" s="26">
        <f>IFERROR(__xludf.DUMMYFUNCTION("""COMPUTED_VALUE"""),143.48)</f>
        <v>143.48</v>
      </c>
      <c r="I259" s="26">
        <f>IFERROR(__xludf.DUMMYFUNCTION("""COMPUTED_VALUE"""),202.09)</f>
        <v>202.09</v>
      </c>
      <c r="J259" s="26">
        <f>IFERROR(__xludf.DUMMYFUNCTION("""COMPUTED_VALUE"""),162.23)</f>
        <v>162.23</v>
      </c>
      <c r="K259" s="26">
        <f>IFERROR(__xludf.DUMMYFUNCTION("""COMPUTED_VALUE"""),88.9)</f>
        <v>88.9</v>
      </c>
      <c r="L259" s="26">
        <f>IFERROR(__xludf.DUMMYFUNCTION("""COMPUTED_VALUE"""),17.57)</f>
        <v>17.57</v>
      </c>
      <c r="M259" s="26">
        <f>IFERROR(__xludf.DUMMYFUNCTION("""COMPUTED_VALUE"""),507.03)</f>
        <v>507.03</v>
      </c>
      <c r="N259" s="26">
        <f>IFERROR(__xludf.DUMMYFUNCTION("""COMPUTED_VALUE"""),49.34)</f>
        <v>49.34</v>
      </c>
      <c r="O259" s="26">
        <f>IFERROR(__xludf.DUMMYFUNCTION("""COMPUTED_VALUE"""),126.82)</f>
        <v>126.82</v>
      </c>
      <c r="P259" s="26">
        <f>IFERROR(__xludf.DUMMYFUNCTION("""COMPUTED_VALUE"""),72.09)</f>
        <v>72.09</v>
      </c>
      <c r="Q259" s="26">
        <f>IFERROR(__xludf.DUMMYFUNCTION("""COMPUTED_VALUE"""),342.51)</f>
        <v>342.51</v>
      </c>
      <c r="R259" s="26">
        <f>IFERROR(__xludf.DUMMYFUNCTION("""COMPUTED_VALUE"""),52.17)</f>
        <v>52.17</v>
      </c>
      <c r="S259" s="26">
        <f>IFERROR(__xludf.DUMMYFUNCTION("""COMPUTED_VALUE"""),220.95)</f>
        <v>220.95</v>
      </c>
      <c r="T259" s="26">
        <f>IFERROR(__xludf.DUMMYFUNCTION("""COMPUTED_VALUE"""),135.56)</f>
        <v>135.56</v>
      </c>
      <c r="U259" s="26">
        <f>IFERROR(__xludf.DUMMYFUNCTION("""COMPUTED_VALUE"""),317.09)</f>
        <v>317.09</v>
      </c>
      <c r="V259" s="26">
        <f>IFERROR(__xludf.DUMMYFUNCTION("""COMPUTED_VALUE"""),39.64)</f>
        <v>39.64</v>
      </c>
      <c r="W259" s="26">
        <f>IFERROR(__xludf.DUMMYFUNCTION("""COMPUTED_VALUE"""),71.85)</f>
        <v>71.85</v>
      </c>
      <c r="X259" s="26">
        <f>IFERROR(__xludf.DUMMYFUNCTION("""COMPUTED_VALUE"""),105.22)</f>
        <v>105.22</v>
      </c>
      <c r="Y259" s="26">
        <f>IFERROR(__xludf.DUMMYFUNCTION("""COMPUTED_VALUE"""),167.29)</f>
        <v>167.29</v>
      </c>
      <c r="Z259" s="26">
        <f>IFERROR(__xludf.DUMMYFUNCTION("""COMPUTED_VALUE"""),88.92)</f>
        <v>88.92</v>
      </c>
      <c r="AA259" s="26">
        <f>IFERROR(__xludf.DUMMYFUNCTION("""COMPUTED_VALUE"""),480.49)</f>
        <v>480.49</v>
      </c>
      <c r="AB259" s="26">
        <f>IFERROR(__xludf.DUMMYFUNCTION("""COMPUTED_VALUE"""),71.58)</f>
        <v>71.58</v>
      </c>
      <c r="AC259" s="26">
        <f>IFERROR(__xludf.DUMMYFUNCTION("""COMPUTED_VALUE"""),103.66)</f>
        <v>103.66</v>
      </c>
      <c r="AD259" s="26">
        <f>IFERROR(__xludf.DUMMYFUNCTION("""COMPUTED_VALUE"""),216.81)</f>
        <v>216.81</v>
      </c>
      <c r="AE259" s="26">
        <f>IFERROR(__xludf.DUMMYFUNCTION("""COMPUTED_VALUE"""),496.12)</f>
        <v>496.12</v>
      </c>
      <c r="AF259" s="26">
        <f>IFERROR(__xludf.DUMMYFUNCTION("""COMPUTED_VALUE"""),277.7)</f>
        <v>277.7</v>
      </c>
      <c r="AG259" s="26">
        <f>IFERROR(__xludf.DUMMYFUNCTION("""COMPUTED_VALUE"""),49.37)</f>
        <v>49.37</v>
      </c>
      <c r="AH259" s="26">
        <f>IFERROR(__xludf.DUMMYFUNCTION("""COMPUTED_VALUE"""),107.72)</f>
        <v>107.72</v>
      </c>
      <c r="AI259" s="26">
        <f>IFERROR(__xludf.DUMMYFUNCTION("""COMPUTED_VALUE"""),593.46)</f>
        <v>593.46</v>
      </c>
      <c r="AJ259" s="26">
        <f>IFERROR(__xludf.DUMMYFUNCTION("""COMPUTED_VALUE"""),370.84)</f>
        <v>370.84</v>
      </c>
      <c r="AK259" s="26">
        <f>IFERROR(__xludf.DUMMYFUNCTION("""COMPUTED_VALUE"""),150.47)</f>
        <v>150.47</v>
      </c>
      <c r="AL259" s="26">
        <f>IFERROR(__xludf.DUMMYFUNCTION("""COMPUTED_VALUE"""),174.72)</f>
        <v>174.72</v>
      </c>
      <c r="AM259" s="26">
        <f>IFERROR(__xludf.DUMMYFUNCTION("""COMPUTED_VALUE"""),547.07)</f>
        <v>547.07</v>
      </c>
      <c r="AN259" s="26">
        <f>IFERROR(__xludf.DUMMYFUNCTION("""COMPUTED_VALUE"""),261.04)</f>
        <v>261.04</v>
      </c>
      <c r="AO259" s="26">
        <f>IFERROR(__xludf.DUMMYFUNCTION("""COMPUTED_VALUE"""),470.28)</f>
        <v>470.28</v>
      </c>
      <c r="AP259" s="26">
        <f>IFERROR(__xludf.DUMMYFUNCTION("""COMPUTED_VALUE"""),317.56)</f>
        <v>317.56</v>
      </c>
      <c r="AQ259" s="26">
        <f>IFERROR(__xludf.DUMMYFUNCTION("""COMPUTED_VALUE"""),30.77)</f>
        <v>30.77</v>
      </c>
      <c r="AR259" s="26">
        <f>IFERROR(__xludf.DUMMYFUNCTION("""COMPUTED_VALUE"""),84.41)</f>
        <v>84.41</v>
      </c>
      <c r="AS259" s="26">
        <f>IFERROR(__xludf.DUMMYFUNCTION("""COMPUTED_VALUE"""),77.9)</f>
        <v>77.9</v>
      </c>
      <c r="AT259" s="26">
        <f>IFERROR(__xludf.DUMMYFUNCTION("""COMPUTED_VALUE"""),452.57)</f>
        <v>452.57</v>
      </c>
      <c r="AU259" s="26">
        <f>IFERROR(__xludf.DUMMYFUNCTION("""COMPUTED_VALUE"""),71.54)</f>
        <v>71.54</v>
      </c>
      <c r="AV259" s="26">
        <f>IFERROR(__xludf.DUMMYFUNCTION("""COMPUTED_VALUE"""),131.8)</f>
        <v>131.8</v>
      </c>
      <c r="AW259" s="26">
        <f>IFERROR(__xludf.DUMMYFUNCTION("""COMPUTED_VALUE"""),97.63)</f>
        <v>97.63</v>
      </c>
      <c r="AX259" s="26">
        <f>IFERROR(__xludf.DUMMYFUNCTION("""COMPUTED_VALUE"""),59.14)</f>
        <v>59.14</v>
      </c>
      <c r="AY259" s="26">
        <f>IFERROR(__xludf.DUMMYFUNCTION("""COMPUTED_VALUE"""),120.58)</f>
        <v>120.58</v>
      </c>
      <c r="AZ259" s="26">
        <f>IFERROR(__xludf.DUMMYFUNCTION("""COMPUTED_VALUE"""),71.65)</f>
        <v>71.65</v>
      </c>
      <c r="BA259" s="26">
        <f>IFERROR(__xludf.DUMMYFUNCTION("""COMPUTED_VALUE"""),23.04)</f>
        <v>23.04</v>
      </c>
      <c r="BB259" s="26">
        <f>IFERROR(__xludf.DUMMYFUNCTION("""COMPUTED_VALUE"""),134.95)</f>
        <v>134.95</v>
      </c>
      <c r="BC259" s="26">
        <f>IFERROR(__xludf.DUMMYFUNCTION("""COMPUTED_VALUE"""),240.76)</f>
        <v>240.76</v>
      </c>
      <c r="BD259" s="26">
        <f>IFERROR(__xludf.DUMMYFUNCTION("""COMPUTED_VALUE"""),398.28)</f>
        <v>398.28</v>
      </c>
      <c r="BE259" s="26">
        <f>IFERROR(__xludf.DUMMYFUNCTION("""COMPUTED_VALUE"""),184.47)</f>
        <v>184.47</v>
      </c>
      <c r="BF259" s="26">
        <f>IFERROR(__xludf.DUMMYFUNCTION("""COMPUTED_VALUE"""),121.31)</f>
        <v>121.31</v>
      </c>
      <c r="BG259" s="26">
        <f>IFERROR(__xludf.DUMMYFUNCTION("""COMPUTED_VALUE"""),6.52)</f>
        <v>6.52</v>
      </c>
      <c r="BH259" s="26">
        <f>IFERROR(__xludf.DUMMYFUNCTION("""COMPUTED_VALUE"""),223.62)</f>
        <v>223.62</v>
      </c>
      <c r="BI259" s="26">
        <f>IFERROR(__xludf.DUMMYFUNCTION("""COMPUTED_VALUE"""),302.98)</f>
        <v>302.98</v>
      </c>
      <c r="BJ259" s="26">
        <f>IFERROR(__xludf.DUMMYFUNCTION("""COMPUTED_VALUE"""),49.87)</f>
        <v>49.87</v>
      </c>
      <c r="BK259" s="26">
        <f>IFERROR(__xludf.DUMMYFUNCTION("""COMPUTED_VALUE"""),8.48)</f>
        <v>8.48</v>
      </c>
      <c r="BL259" s="26">
        <f>IFERROR(__xludf.DUMMYFUNCTION("""COMPUTED_VALUE"""),234.11)</f>
        <v>234.11</v>
      </c>
      <c r="BM259" s="26">
        <f>IFERROR(__xludf.DUMMYFUNCTION("""COMPUTED_VALUE"""),110.46)</f>
        <v>110.46</v>
      </c>
    </row>
    <row r="260">
      <c r="A260" s="25">
        <v>45800.66666666667</v>
      </c>
      <c r="B260" s="17">
        <f>IFERROR(__xludf.DUMMYFUNCTION("""COMPUTED_VALUE"""),5842.01)</f>
        <v>5842.01</v>
      </c>
      <c r="C260" s="17">
        <f>IFERROR(__xludf.DUMMYFUNCTION("""COMPUTED_VALUE"""),18925.74)</f>
        <v>18925.74</v>
      </c>
      <c r="D260" s="17">
        <f>IFERROR(__xludf.DUMMYFUNCTION("""COMPUTED_VALUE"""),41859.09)</f>
        <v>41859.09</v>
      </c>
      <c r="E260" s="17">
        <f>IFERROR(__xludf.DUMMYFUNCTION("""COMPUTED_VALUE"""),2045.56)</f>
        <v>2045.56</v>
      </c>
      <c r="F260" s="26">
        <f>IFERROR(__xludf.DUMMYFUNCTION("""COMPUTED_VALUE"""),414.03)</f>
        <v>414.03</v>
      </c>
      <c r="G260" s="26">
        <f>IFERROR(__xludf.DUMMYFUNCTION("""COMPUTED_VALUE"""),201.12)</f>
        <v>201.12</v>
      </c>
      <c r="H260" s="26">
        <f>IFERROR(__xludf.DUMMYFUNCTION("""COMPUTED_VALUE"""),141.85)</f>
        <v>141.85</v>
      </c>
      <c r="I260" s="26">
        <f>IFERROR(__xludf.DUMMYFUNCTION("""COMPUTED_VALUE"""),202.09)</f>
        <v>202.09</v>
      </c>
      <c r="J260" s="26">
        <f>IFERROR(__xludf.DUMMYFUNCTION("""COMPUTED_VALUE"""),162.23)</f>
        <v>162.23</v>
      </c>
      <c r="K260" s="26">
        <f>IFERROR(__xludf.DUMMYFUNCTION("""COMPUTED_VALUE"""),89.18)</f>
        <v>89.18</v>
      </c>
      <c r="L260" s="26">
        <f>IFERROR(__xludf.DUMMYFUNCTION("""COMPUTED_VALUE"""),17.57)</f>
        <v>17.57</v>
      </c>
      <c r="M260" s="26">
        <f>IFERROR(__xludf.DUMMYFUNCTION("""COMPUTED_VALUE"""),507.03)</f>
        <v>507.03</v>
      </c>
      <c r="N260" s="26">
        <f>IFERROR(__xludf.DUMMYFUNCTION("""COMPUTED_VALUE"""),49.15)</f>
        <v>49.15</v>
      </c>
      <c r="O260" s="26">
        <f>IFERROR(__xludf.DUMMYFUNCTION("""COMPUTED_VALUE"""),126.3)</f>
        <v>126.3</v>
      </c>
      <c r="P260" s="26">
        <f>IFERROR(__xludf.DUMMYFUNCTION("""COMPUTED_VALUE"""),72.09)</f>
        <v>72.09</v>
      </c>
      <c r="Q260" s="26">
        <f>IFERROR(__xludf.DUMMYFUNCTION("""COMPUTED_VALUE"""),342.51)</f>
        <v>342.51</v>
      </c>
      <c r="R260" s="26">
        <f>IFERROR(__xludf.DUMMYFUNCTION("""COMPUTED_VALUE"""),52.81)</f>
        <v>52.81</v>
      </c>
      <c r="S260" s="26">
        <f>IFERROR(__xludf.DUMMYFUNCTION("""COMPUTED_VALUE"""),224.86)</f>
        <v>224.86</v>
      </c>
      <c r="T260" s="26">
        <f>IFERROR(__xludf.DUMMYFUNCTION("""COMPUTED_VALUE"""),135.56)</f>
        <v>135.56</v>
      </c>
      <c r="U260" s="26">
        <f>IFERROR(__xludf.DUMMYFUNCTION("""COMPUTED_VALUE"""),317.09)</f>
        <v>317.09</v>
      </c>
      <c r="V260" s="26">
        <f>IFERROR(__xludf.DUMMYFUNCTION("""COMPUTED_VALUE"""),39.64)</f>
        <v>39.64</v>
      </c>
      <c r="W260" s="26">
        <f>IFERROR(__xludf.DUMMYFUNCTION("""COMPUTED_VALUE"""),71.85)</f>
        <v>71.85</v>
      </c>
      <c r="X260" s="26">
        <f>IFERROR(__xludf.DUMMYFUNCTION("""COMPUTED_VALUE"""),103.42)</f>
        <v>103.42</v>
      </c>
      <c r="Y260" s="26">
        <f>IFERROR(__xludf.DUMMYFUNCTION("""COMPUTED_VALUE"""),167.29)</f>
        <v>167.29</v>
      </c>
      <c r="Z260" s="26">
        <f>IFERROR(__xludf.DUMMYFUNCTION("""COMPUTED_VALUE"""),88.92)</f>
        <v>88.92</v>
      </c>
      <c r="AA260" s="26">
        <f>IFERROR(__xludf.DUMMYFUNCTION("""COMPUTED_VALUE"""),482.26)</f>
        <v>482.26</v>
      </c>
      <c r="AB260" s="26">
        <f>IFERROR(__xludf.DUMMYFUNCTION("""COMPUTED_VALUE"""),72.15)</f>
        <v>72.15</v>
      </c>
      <c r="AC260" s="26">
        <f>IFERROR(__xludf.DUMMYFUNCTION("""COMPUTED_VALUE"""),103.66)</f>
        <v>103.66</v>
      </c>
      <c r="AD260" s="26">
        <f>IFERROR(__xludf.DUMMYFUNCTION("""COMPUTED_VALUE"""),218.81)</f>
        <v>218.81</v>
      </c>
      <c r="AE260" s="26">
        <f>IFERROR(__xludf.DUMMYFUNCTION("""COMPUTED_VALUE"""),496.12)</f>
        <v>496.12</v>
      </c>
      <c r="AF260" s="26">
        <f>IFERROR(__xludf.DUMMYFUNCTION("""COMPUTED_VALUE"""),277.7)</f>
        <v>277.7</v>
      </c>
      <c r="AG260" s="26">
        <f>IFERROR(__xludf.DUMMYFUNCTION("""COMPUTED_VALUE"""),49.37)</f>
        <v>49.37</v>
      </c>
      <c r="AH260" s="26">
        <f>IFERROR(__xludf.DUMMYFUNCTION("""COMPUTED_VALUE"""),107.72)</f>
        <v>107.72</v>
      </c>
      <c r="AI260" s="26">
        <f>IFERROR(__xludf.DUMMYFUNCTION("""COMPUTED_VALUE"""),593.46)</f>
        <v>593.46</v>
      </c>
      <c r="AJ260" s="26">
        <f>IFERROR(__xludf.DUMMYFUNCTION("""COMPUTED_VALUE"""),370.84)</f>
        <v>370.84</v>
      </c>
      <c r="AK260" s="26">
        <f>IFERROR(__xludf.DUMMYFUNCTION("""COMPUTED_VALUE"""),150.47)</f>
        <v>150.47</v>
      </c>
      <c r="AL260" s="26">
        <f>IFERROR(__xludf.DUMMYFUNCTION("""COMPUTED_VALUE"""),174.0)</f>
        <v>174</v>
      </c>
      <c r="AM260" s="26">
        <f>IFERROR(__xludf.DUMMYFUNCTION("""COMPUTED_VALUE"""),547.07)</f>
        <v>547.07</v>
      </c>
      <c r="AN260" s="26">
        <f>IFERROR(__xludf.DUMMYFUNCTION("""COMPUTED_VALUE"""),261.04)</f>
        <v>261.04</v>
      </c>
      <c r="AO260" s="26">
        <f>IFERROR(__xludf.DUMMYFUNCTION("""COMPUTED_VALUE"""),470.28)</f>
        <v>470.28</v>
      </c>
      <c r="AP260" s="26">
        <f>IFERROR(__xludf.DUMMYFUNCTION("""COMPUTED_VALUE"""),320.46)</f>
        <v>320.46</v>
      </c>
      <c r="AQ260" s="26">
        <f>IFERROR(__xludf.DUMMYFUNCTION("""COMPUTED_VALUE"""),30.77)</f>
        <v>30.77</v>
      </c>
      <c r="AR260" s="26">
        <f>IFERROR(__xludf.DUMMYFUNCTION("""COMPUTED_VALUE"""),80.91)</f>
        <v>80.91</v>
      </c>
      <c r="AS260" s="26">
        <f>IFERROR(__xludf.DUMMYFUNCTION("""COMPUTED_VALUE"""),77.9)</f>
        <v>77.9</v>
      </c>
      <c r="AT260" s="26">
        <f>IFERROR(__xludf.DUMMYFUNCTION("""COMPUTED_VALUE"""),454.86)</f>
        <v>454.86</v>
      </c>
      <c r="AU260" s="26">
        <f>IFERROR(__xludf.DUMMYFUNCTION("""COMPUTED_VALUE"""),71.54)</f>
        <v>71.54</v>
      </c>
      <c r="AV260" s="26">
        <f>IFERROR(__xludf.DUMMYFUNCTION("""COMPUTED_VALUE"""),131.8)</f>
        <v>131.8</v>
      </c>
      <c r="AW260" s="26">
        <f>IFERROR(__xludf.DUMMYFUNCTION("""COMPUTED_VALUE"""),97.63)</f>
        <v>97.63</v>
      </c>
      <c r="AX260" s="26">
        <f>IFERROR(__xludf.DUMMYFUNCTION("""COMPUTED_VALUE"""),58.82)</f>
        <v>58.82</v>
      </c>
      <c r="AY260" s="26">
        <f>IFERROR(__xludf.DUMMYFUNCTION("""COMPUTED_VALUE"""),122.29)</f>
        <v>122.29</v>
      </c>
      <c r="AZ260" s="26">
        <f>IFERROR(__xludf.DUMMYFUNCTION("""COMPUTED_VALUE"""),71.65)</f>
        <v>71.65</v>
      </c>
      <c r="BA260" s="26">
        <f>IFERROR(__xludf.DUMMYFUNCTION("""COMPUTED_VALUE"""),23.04)</f>
        <v>23.04</v>
      </c>
      <c r="BB260" s="26">
        <f>IFERROR(__xludf.DUMMYFUNCTION("""COMPUTED_VALUE"""),134.95)</f>
        <v>134.95</v>
      </c>
      <c r="BC260" s="26">
        <f>IFERROR(__xludf.DUMMYFUNCTION("""COMPUTED_VALUE"""),240.76)</f>
        <v>240.76</v>
      </c>
      <c r="BD260" s="26">
        <f>IFERROR(__xludf.DUMMYFUNCTION("""COMPUTED_VALUE"""),398.28)</f>
        <v>398.28</v>
      </c>
      <c r="BE260" s="26">
        <f>IFERROR(__xludf.DUMMYFUNCTION("""COMPUTED_VALUE"""),184.47)</f>
        <v>184.47</v>
      </c>
      <c r="BF260" s="26">
        <f>IFERROR(__xludf.DUMMYFUNCTION("""COMPUTED_VALUE"""),123.34)</f>
        <v>123.34</v>
      </c>
      <c r="BG260" s="26">
        <f>IFERROR(__xludf.DUMMYFUNCTION("""COMPUTED_VALUE"""),6.52)</f>
        <v>6.52</v>
      </c>
      <c r="BH260" s="26">
        <f>IFERROR(__xludf.DUMMYFUNCTION("""COMPUTED_VALUE"""),222.87)</f>
        <v>222.87</v>
      </c>
      <c r="BI260" s="26">
        <f>IFERROR(__xludf.DUMMYFUNCTION("""COMPUTED_VALUE"""),296.67)</f>
        <v>296.67</v>
      </c>
      <c r="BJ260" s="26">
        <f>IFERROR(__xludf.DUMMYFUNCTION("""COMPUTED_VALUE"""),49.91)</f>
        <v>49.91</v>
      </c>
      <c r="BK260" s="26">
        <f>IFERROR(__xludf.DUMMYFUNCTION("""COMPUTED_VALUE"""),8.5)</f>
        <v>8.5</v>
      </c>
      <c r="BL260" s="26">
        <f>IFERROR(__xludf.DUMMYFUNCTION("""COMPUTED_VALUE"""),233.32)</f>
        <v>233.32</v>
      </c>
      <c r="BM260" s="26">
        <f>IFERROR(__xludf.DUMMYFUNCTION("""COMPUTED_VALUE"""),110.46)</f>
        <v>110.46</v>
      </c>
    </row>
    <row r="261">
      <c r="A261" s="25">
        <v>45804.66666666667</v>
      </c>
      <c r="B261" s="17">
        <f>IFERROR(__xludf.DUMMYFUNCTION("""COMPUTED_VALUE"""),5802.82)</f>
        <v>5802.82</v>
      </c>
      <c r="C261" s="17">
        <f>IFERROR(__xludf.DUMMYFUNCTION("""COMPUTED_VALUE"""),18737.21)</f>
        <v>18737.21</v>
      </c>
      <c r="D261" s="17">
        <f>IFERROR(__xludf.DUMMYFUNCTION("""COMPUTED_VALUE"""),41603.07)</f>
        <v>41603.07</v>
      </c>
      <c r="E261" s="17">
        <f>IFERROR(__xludf.DUMMYFUNCTION("""COMPUTED_VALUE"""),2039.85)</f>
        <v>2039.85</v>
      </c>
      <c r="F261" s="26">
        <f>IFERROR(__xludf.DUMMYFUNCTION("""COMPUTED_VALUE"""),407.69)</f>
        <v>407.69</v>
      </c>
      <c r="G261" s="26">
        <f>IFERROR(__xludf.DUMMYFUNCTION("""COMPUTED_VALUE"""),200.99)</f>
        <v>200.99</v>
      </c>
      <c r="H261" s="26">
        <f>IFERROR(__xludf.DUMMYFUNCTION("""COMPUTED_VALUE"""),143.61)</f>
        <v>143.61</v>
      </c>
      <c r="I261" s="26">
        <f>IFERROR(__xludf.DUMMYFUNCTION("""COMPUTED_VALUE"""),195.27)</f>
        <v>195.27</v>
      </c>
      <c r="J261" s="26">
        <f>IFERROR(__xludf.DUMMYFUNCTION("""COMPUTED_VALUE"""),157.51)</f>
        <v>157.51</v>
      </c>
      <c r="K261" s="26">
        <f>IFERROR(__xludf.DUMMYFUNCTION("""COMPUTED_VALUE"""),89.09)</f>
        <v>89.09</v>
      </c>
      <c r="L261" s="26">
        <f>IFERROR(__xludf.DUMMYFUNCTION("""COMPUTED_VALUE"""),17.65)</f>
        <v>17.65</v>
      </c>
      <c r="M261" s="26">
        <f>IFERROR(__xludf.DUMMYFUNCTION("""COMPUTED_VALUE"""),503.46)</f>
        <v>503.46</v>
      </c>
      <c r="N261" s="26">
        <f>IFERROR(__xludf.DUMMYFUNCTION("""COMPUTED_VALUE"""),49.89)</f>
        <v>49.89</v>
      </c>
      <c r="O261" s="26">
        <f>IFERROR(__xludf.DUMMYFUNCTION("""COMPUTED_VALUE"""),125.81)</f>
        <v>125.81</v>
      </c>
      <c r="P261" s="26">
        <f>IFERROR(__xludf.DUMMYFUNCTION("""COMPUTED_VALUE"""),70.98)</f>
        <v>70.98</v>
      </c>
      <c r="Q261" s="26">
        <f>IFERROR(__xludf.DUMMYFUNCTION("""COMPUTED_VALUE"""),343.39)</f>
        <v>343.39</v>
      </c>
      <c r="R261" s="26">
        <f>IFERROR(__xludf.DUMMYFUNCTION("""COMPUTED_VALUE"""),58.69)</f>
        <v>58.69</v>
      </c>
      <c r="S261" s="26">
        <f>IFERROR(__xludf.DUMMYFUNCTION("""COMPUTED_VALUE"""),227.86)</f>
        <v>227.86</v>
      </c>
      <c r="T261" s="26">
        <f>IFERROR(__xludf.DUMMYFUNCTION("""COMPUTED_VALUE"""),136.54)</f>
        <v>136.54</v>
      </c>
      <c r="U261" s="26">
        <f>IFERROR(__xludf.DUMMYFUNCTION("""COMPUTED_VALUE"""),315.99)</f>
        <v>315.99</v>
      </c>
      <c r="V261" s="26">
        <f>IFERROR(__xludf.DUMMYFUNCTION("""COMPUTED_VALUE"""),39.57)</f>
        <v>39.57</v>
      </c>
      <c r="W261" s="26">
        <f>IFERROR(__xludf.DUMMYFUNCTION("""COMPUTED_VALUE"""),71.77)</f>
        <v>71.77</v>
      </c>
      <c r="X261" s="26">
        <f>IFERROR(__xludf.DUMMYFUNCTION("""COMPUTED_VALUE"""),104.1)</f>
        <v>104.1</v>
      </c>
      <c r="Y261" s="26">
        <f>IFERROR(__xludf.DUMMYFUNCTION("""COMPUTED_VALUE"""),168.12)</f>
        <v>168.12</v>
      </c>
      <c r="Z261" s="26">
        <f>IFERROR(__xludf.DUMMYFUNCTION("""COMPUTED_VALUE"""),88.17)</f>
        <v>88.17</v>
      </c>
      <c r="AA261" s="26">
        <f>IFERROR(__xludf.DUMMYFUNCTION("""COMPUTED_VALUE"""),480.43)</f>
        <v>480.43</v>
      </c>
      <c r="AB261" s="26">
        <f>IFERROR(__xludf.DUMMYFUNCTION("""COMPUTED_VALUE"""),71.92)</f>
        <v>71.92</v>
      </c>
      <c r="AC261" s="26">
        <f>IFERROR(__xludf.DUMMYFUNCTION("""COMPUTED_VALUE"""),103.03)</f>
        <v>103.03</v>
      </c>
      <c r="AD261" s="26">
        <f>IFERROR(__xludf.DUMMYFUNCTION("""COMPUTED_VALUE"""),216.61)</f>
        <v>216.61</v>
      </c>
      <c r="AE261" s="26">
        <f>IFERROR(__xludf.DUMMYFUNCTION("""COMPUTED_VALUE"""),476.22)</f>
        <v>476.22</v>
      </c>
      <c r="AF261" s="26">
        <f>IFERROR(__xludf.DUMMYFUNCTION("""COMPUTED_VALUE"""),274.75)</f>
        <v>274.75</v>
      </c>
      <c r="AG261" s="26">
        <f>IFERROR(__xludf.DUMMYFUNCTION("""COMPUTED_VALUE"""),48.69)</f>
        <v>48.69</v>
      </c>
      <c r="AH261" s="26">
        <f>IFERROR(__xludf.DUMMYFUNCTION("""COMPUTED_VALUE"""),107.37)</f>
        <v>107.37</v>
      </c>
      <c r="AI261" s="26">
        <f>IFERROR(__xludf.DUMMYFUNCTION("""COMPUTED_VALUE"""),598.54)</f>
        <v>598.54</v>
      </c>
      <c r="AJ261" s="26">
        <f>IFERROR(__xludf.DUMMYFUNCTION("""COMPUTED_VALUE"""),362.71)</f>
        <v>362.71</v>
      </c>
      <c r="AK261" s="26">
        <f>IFERROR(__xludf.DUMMYFUNCTION("""COMPUTED_VALUE"""),148.96)</f>
        <v>148.96</v>
      </c>
      <c r="AL261" s="26">
        <f>IFERROR(__xludf.DUMMYFUNCTION("""COMPUTED_VALUE"""),176.12)</f>
        <v>176.12</v>
      </c>
      <c r="AM261" s="26">
        <f>IFERROR(__xludf.DUMMYFUNCTION("""COMPUTED_VALUE"""),539.54)</f>
        <v>539.54</v>
      </c>
      <c r="AN261" s="26">
        <f>IFERROR(__xludf.DUMMYFUNCTION("""COMPUTED_VALUE"""),260.71)</f>
        <v>260.71</v>
      </c>
      <c r="AO261" s="26">
        <f>IFERROR(__xludf.DUMMYFUNCTION("""COMPUTED_VALUE"""),468.88)</f>
        <v>468.88</v>
      </c>
      <c r="AP261" s="26">
        <f>IFERROR(__xludf.DUMMYFUNCTION("""COMPUTED_VALUE"""),310.76)</f>
        <v>310.76</v>
      </c>
      <c r="AQ261" s="26">
        <f>IFERROR(__xludf.DUMMYFUNCTION("""COMPUTED_VALUE"""),31.21)</f>
        <v>31.21</v>
      </c>
      <c r="AR261" s="26">
        <f>IFERROR(__xludf.DUMMYFUNCTION("""COMPUTED_VALUE"""),80.68)</f>
        <v>80.68</v>
      </c>
      <c r="AS261" s="26">
        <f>IFERROR(__xludf.DUMMYFUNCTION("""COMPUTED_VALUE"""),77.21)</f>
        <v>77.21</v>
      </c>
      <c r="AT261" s="26">
        <f>IFERROR(__xludf.DUMMYFUNCTION("""COMPUTED_VALUE"""),450.18)</f>
        <v>450.18</v>
      </c>
      <c r="AU261" s="26">
        <f>IFERROR(__xludf.DUMMYFUNCTION("""COMPUTED_VALUE"""),67.76)</f>
        <v>67.76</v>
      </c>
      <c r="AV261" s="26">
        <f>IFERROR(__xludf.DUMMYFUNCTION("""COMPUTED_VALUE"""),131.29)</f>
        <v>131.29</v>
      </c>
      <c r="AW261" s="26">
        <f>IFERROR(__xludf.DUMMYFUNCTION("""COMPUTED_VALUE"""),96.78)</f>
        <v>96.78</v>
      </c>
      <c r="AX261" s="26">
        <f>IFERROR(__xludf.DUMMYFUNCTION("""COMPUTED_VALUE"""),58.44)</f>
        <v>58.44</v>
      </c>
      <c r="AY261" s="26">
        <f>IFERROR(__xludf.DUMMYFUNCTION("""COMPUTED_VALUE"""),123.31)</f>
        <v>123.31</v>
      </c>
      <c r="AZ261" s="26">
        <f>IFERROR(__xludf.DUMMYFUNCTION("""COMPUTED_VALUE"""),69.85)</f>
        <v>69.85</v>
      </c>
      <c r="BA261" s="26">
        <f>IFERROR(__xludf.DUMMYFUNCTION("""COMPUTED_VALUE"""),23.32)</f>
        <v>23.32</v>
      </c>
      <c r="BB261" s="26">
        <f>IFERROR(__xludf.DUMMYFUNCTION("""COMPUTED_VALUE"""),132.35)</f>
        <v>132.35</v>
      </c>
      <c r="BC261" s="26">
        <f>IFERROR(__xludf.DUMMYFUNCTION("""COMPUTED_VALUE"""),242.88)</f>
        <v>242.88</v>
      </c>
      <c r="BD261" s="26">
        <f>IFERROR(__xludf.DUMMYFUNCTION("""COMPUTED_VALUE"""),393.66)</f>
        <v>393.66</v>
      </c>
      <c r="BE261" s="26">
        <f>IFERROR(__xludf.DUMMYFUNCTION("""COMPUTED_VALUE"""),182.3)</f>
        <v>182.3</v>
      </c>
      <c r="BF261" s="26">
        <f>IFERROR(__xludf.DUMMYFUNCTION("""COMPUTED_VALUE"""),124.25)</f>
        <v>124.25</v>
      </c>
      <c r="BG261" s="26">
        <f>IFERROR(__xludf.DUMMYFUNCTION("""COMPUTED_VALUE"""),6.69)</f>
        <v>6.69</v>
      </c>
      <c r="BH261" s="26">
        <f>IFERROR(__xludf.DUMMYFUNCTION("""COMPUTED_VALUE"""),222.11)</f>
        <v>222.11</v>
      </c>
      <c r="BI261" s="26">
        <f>IFERROR(__xludf.DUMMYFUNCTION("""COMPUTED_VALUE"""),295.57)</f>
        <v>295.57</v>
      </c>
      <c r="BJ261" s="26">
        <f>IFERROR(__xludf.DUMMYFUNCTION("""COMPUTED_VALUE"""),49.95)</f>
        <v>49.95</v>
      </c>
      <c r="BK261" s="26">
        <f>IFERROR(__xludf.DUMMYFUNCTION("""COMPUTED_VALUE"""),8.29)</f>
        <v>8.29</v>
      </c>
      <c r="BL261" s="26">
        <f>IFERROR(__xludf.DUMMYFUNCTION("""COMPUTED_VALUE"""),236.81)</f>
        <v>236.81</v>
      </c>
      <c r="BM261" s="26">
        <f>IFERROR(__xludf.DUMMYFUNCTION("""COMPUTED_VALUE"""),109.72)</f>
        <v>109.72</v>
      </c>
    </row>
    <row r="262">
      <c r="A262" s="25">
        <v>45805.66666666667</v>
      </c>
      <c r="B262" s="17">
        <f>IFERROR(__xludf.DUMMYFUNCTION("""COMPUTED_VALUE"""),5921.54)</f>
        <v>5921.54</v>
      </c>
      <c r="C262" s="17">
        <f>IFERROR(__xludf.DUMMYFUNCTION("""COMPUTED_VALUE"""),19199.16)</f>
        <v>19199.16</v>
      </c>
      <c r="D262" s="17">
        <f>IFERROR(__xludf.DUMMYFUNCTION("""COMPUTED_VALUE"""),42343.65)</f>
        <v>42343.65</v>
      </c>
      <c r="E262" s="17">
        <f>IFERROR(__xludf.DUMMYFUNCTION("""COMPUTED_VALUE"""),2090.4)</f>
        <v>2090.4</v>
      </c>
      <c r="F262" s="26">
        <f>IFERROR(__xludf.DUMMYFUNCTION("""COMPUTED_VALUE"""),413.1)</f>
        <v>413.1</v>
      </c>
      <c r="G262" s="26">
        <f>IFERROR(__xludf.DUMMYFUNCTION("""COMPUTED_VALUE"""),206.02)</f>
        <v>206.02</v>
      </c>
      <c r="H262" s="26">
        <f>IFERROR(__xludf.DUMMYFUNCTION("""COMPUTED_VALUE"""),143.14)</f>
        <v>143.14</v>
      </c>
      <c r="I262" s="26">
        <f>IFERROR(__xludf.DUMMYFUNCTION("""COMPUTED_VALUE"""),200.21)</f>
        <v>200.21</v>
      </c>
      <c r="J262" s="26">
        <f>IFERROR(__xludf.DUMMYFUNCTION("""COMPUTED_VALUE"""),161.83)</f>
        <v>161.83</v>
      </c>
      <c r="K262" s="26">
        <f>IFERROR(__xludf.DUMMYFUNCTION("""COMPUTED_VALUE"""),90.23)</f>
        <v>90.23</v>
      </c>
      <c r="L262" s="26">
        <f>IFERROR(__xludf.DUMMYFUNCTION("""COMPUTED_VALUE"""),17.91)</f>
        <v>17.91</v>
      </c>
      <c r="M262" s="26">
        <f>IFERROR(__xludf.DUMMYFUNCTION("""COMPUTED_VALUE"""),509.16)</f>
        <v>509.16</v>
      </c>
      <c r="N262" s="26">
        <f>IFERROR(__xludf.DUMMYFUNCTION("""COMPUTED_VALUE"""),49.8)</f>
        <v>49.8</v>
      </c>
      <c r="O262" s="26">
        <f>IFERROR(__xludf.DUMMYFUNCTION("""COMPUTED_VALUE"""),128.39)</f>
        <v>128.39</v>
      </c>
      <c r="P262" s="26">
        <f>IFERROR(__xludf.DUMMYFUNCTION("""COMPUTED_VALUE"""),72.33)</f>
        <v>72.33</v>
      </c>
      <c r="Q262" s="26">
        <f>IFERROR(__xludf.DUMMYFUNCTION("""COMPUTED_VALUE"""),351.51)</f>
        <v>351.51</v>
      </c>
      <c r="R262" s="26">
        <f>IFERROR(__xludf.DUMMYFUNCTION("""COMPUTED_VALUE"""),60.47)</f>
        <v>60.47</v>
      </c>
      <c r="S262" s="26">
        <f>IFERROR(__xludf.DUMMYFUNCTION("""COMPUTED_VALUE"""),228.62)</f>
        <v>228.62</v>
      </c>
      <c r="T262" s="26">
        <f>IFERROR(__xludf.DUMMYFUNCTION("""COMPUTED_VALUE"""),137.83)</f>
        <v>137.83</v>
      </c>
      <c r="U262" s="26">
        <f>IFERROR(__xludf.DUMMYFUNCTION("""COMPUTED_VALUE"""),315.28)</f>
        <v>315.28</v>
      </c>
      <c r="V262" s="26">
        <f>IFERROR(__xludf.DUMMYFUNCTION("""COMPUTED_VALUE"""),40.42)</f>
        <v>40.42</v>
      </c>
      <c r="W262" s="26">
        <f>IFERROR(__xludf.DUMMYFUNCTION("""COMPUTED_VALUE"""),71.78)</f>
        <v>71.78</v>
      </c>
      <c r="X262" s="26">
        <f>IFERROR(__xludf.DUMMYFUNCTION("""COMPUTED_VALUE"""),103.97)</f>
        <v>103.97</v>
      </c>
      <c r="Y262" s="26">
        <f>IFERROR(__xludf.DUMMYFUNCTION("""COMPUTED_VALUE"""),170.68)</f>
        <v>170.68</v>
      </c>
      <c r="Z262" s="26">
        <f>IFERROR(__xludf.DUMMYFUNCTION("""COMPUTED_VALUE"""),90.36)</f>
        <v>90.36</v>
      </c>
      <c r="AA262" s="26">
        <f>IFERROR(__xludf.DUMMYFUNCTION("""COMPUTED_VALUE"""),484.56)</f>
        <v>484.56</v>
      </c>
      <c r="AB262" s="26">
        <f>IFERROR(__xludf.DUMMYFUNCTION("""COMPUTED_VALUE"""),72.44)</f>
        <v>72.44</v>
      </c>
      <c r="AC262" s="26">
        <f>IFERROR(__xludf.DUMMYFUNCTION("""COMPUTED_VALUE"""),103.52)</f>
        <v>103.52</v>
      </c>
      <c r="AD262" s="26">
        <f>IFERROR(__xludf.DUMMYFUNCTION("""COMPUTED_VALUE"""),219.76)</f>
        <v>219.76</v>
      </c>
      <c r="AE262" s="26">
        <f>IFERROR(__xludf.DUMMYFUNCTION("""COMPUTED_VALUE"""),483.47)</f>
        <v>483.47</v>
      </c>
      <c r="AF262" s="26">
        <f>IFERROR(__xludf.DUMMYFUNCTION("""COMPUTED_VALUE"""),279.23)</f>
        <v>279.23</v>
      </c>
      <c r="AG262" s="26">
        <f>IFERROR(__xludf.DUMMYFUNCTION("""COMPUTED_VALUE"""),49.09)</f>
        <v>49.09</v>
      </c>
      <c r="AH262" s="26">
        <f>IFERROR(__xludf.DUMMYFUNCTION("""COMPUTED_VALUE"""),109.09)</f>
        <v>109.09</v>
      </c>
      <c r="AI262" s="26">
        <f>IFERROR(__xludf.DUMMYFUNCTION("""COMPUTED_VALUE"""),615.73)</f>
        <v>615.73</v>
      </c>
      <c r="AJ262" s="26">
        <f>IFERROR(__xludf.DUMMYFUNCTION("""COMPUTED_VALUE"""),370.4)</f>
        <v>370.4</v>
      </c>
      <c r="AK262" s="26">
        <f>IFERROR(__xludf.DUMMYFUNCTION("""COMPUTED_VALUE"""),153.61)</f>
        <v>153.61</v>
      </c>
      <c r="AL262" s="26">
        <f>IFERROR(__xludf.DUMMYFUNCTION("""COMPUTED_VALUE"""),178.54)</f>
        <v>178.54</v>
      </c>
      <c r="AM262" s="26">
        <f>IFERROR(__xludf.DUMMYFUNCTION("""COMPUTED_VALUE"""),550.19)</f>
        <v>550.19</v>
      </c>
      <c r="AN262" s="26">
        <f>IFERROR(__xludf.DUMMYFUNCTION("""COMPUTED_VALUE"""),265.29)</f>
        <v>265.29</v>
      </c>
      <c r="AO262" s="26">
        <f>IFERROR(__xludf.DUMMYFUNCTION("""COMPUTED_VALUE"""),476.85)</f>
        <v>476.85</v>
      </c>
      <c r="AP262" s="26">
        <f>IFERROR(__xludf.DUMMYFUNCTION("""COMPUTED_VALUE"""),321.2)</f>
        <v>321.2</v>
      </c>
      <c r="AQ262" s="26">
        <f>IFERROR(__xludf.DUMMYFUNCTION("""COMPUTED_VALUE"""),31.76)</f>
        <v>31.76</v>
      </c>
      <c r="AR262" s="26">
        <f>IFERROR(__xludf.DUMMYFUNCTION("""COMPUTED_VALUE"""),81.18)</f>
        <v>81.18</v>
      </c>
      <c r="AS262" s="26">
        <f>IFERROR(__xludf.DUMMYFUNCTION("""COMPUTED_VALUE"""),79.03)</f>
        <v>79.03</v>
      </c>
      <c r="AT262" s="26">
        <f>IFERROR(__xludf.DUMMYFUNCTION("""COMPUTED_VALUE"""),460.69)</f>
        <v>460.69</v>
      </c>
      <c r="AU262" s="26">
        <f>IFERROR(__xludf.DUMMYFUNCTION("""COMPUTED_VALUE"""),68.04)</f>
        <v>68.04</v>
      </c>
      <c r="AV262" s="26">
        <f>IFERROR(__xludf.DUMMYFUNCTION("""COMPUTED_VALUE"""),135.5)</f>
        <v>135.5</v>
      </c>
      <c r="AW262" s="26">
        <f>IFERROR(__xludf.DUMMYFUNCTION("""COMPUTED_VALUE"""),97.09)</f>
        <v>97.09</v>
      </c>
      <c r="AX262" s="26">
        <f>IFERROR(__xludf.DUMMYFUNCTION("""COMPUTED_VALUE"""),60.68)</f>
        <v>60.68</v>
      </c>
      <c r="AY262" s="26">
        <f>IFERROR(__xludf.DUMMYFUNCTION("""COMPUTED_VALUE"""),123.39)</f>
        <v>123.39</v>
      </c>
      <c r="AZ262" s="26">
        <f>IFERROR(__xludf.DUMMYFUNCTION("""COMPUTED_VALUE"""),71.48)</f>
        <v>71.48</v>
      </c>
      <c r="BA262" s="26">
        <f>IFERROR(__xludf.DUMMYFUNCTION("""COMPUTED_VALUE"""),23.61)</f>
        <v>23.61</v>
      </c>
      <c r="BB262" s="26">
        <f>IFERROR(__xludf.DUMMYFUNCTION("""COMPUTED_VALUE"""),134.19)</f>
        <v>134.19</v>
      </c>
      <c r="BC262" s="26">
        <f>IFERROR(__xludf.DUMMYFUNCTION("""COMPUTED_VALUE"""),243.36)</f>
        <v>243.36</v>
      </c>
      <c r="BD262" s="26">
        <f>IFERROR(__xludf.DUMMYFUNCTION("""COMPUTED_VALUE"""),403.55)</f>
        <v>403.55</v>
      </c>
      <c r="BE262" s="26">
        <f>IFERROR(__xludf.DUMMYFUNCTION("""COMPUTED_VALUE"""),186.68)</f>
        <v>186.68</v>
      </c>
      <c r="BF262" s="26">
        <f>IFERROR(__xludf.DUMMYFUNCTION("""COMPUTED_VALUE"""),128.53)</f>
        <v>128.53</v>
      </c>
      <c r="BG262" s="26">
        <f>IFERROR(__xludf.DUMMYFUNCTION("""COMPUTED_VALUE"""),6.96)</f>
        <v>6.96</v>
      </c>
      <c r="BH262" s="26">
        <f>IFERROR(__xludf.DUMMYFUNCTION("""COMPUTED_VALUE"""),224.35)</f>
        <v>224.35</v>
      </c>
      <c r="BI262" s="26">
        <f>IFERROR(__xludf.DUMMYFUNCTION("""COMPUTED_VALUE"""),295.0)</f>
        <v>295</v>
      </c>
      <c r="BJ262" s="26">
        <f>IFERROR(__xludf.DUMMYFUNCTION("""COMPUTED_VALUE"""),49.97)</f>
        <v>49.97</v>
      </c>
      <c r="BK262" s="26">
        <f>IFERROR(__xludf.DUMMYFUNCTION("""COMPUTED_VALUE"""),8.6)</f>
        <v>8.6</v>
      </c>
      <c r="BL262" s="26">
        <f>IFERROR(__xludf.DUMMYFUNCTION("""COMPUTED_VALUE"""),238.03)</f>
        <v>238.03</v>
      </c>
      <c r="BM262" s="26">
        <f>IFERROR(__xludf.DUMMYFUNCTION("""COMPUTED_VALUE"""),112.36)</f>
        <v>112.36</v>
      </c>
    </row>
    <row r="263">
      <c r="A263" s="25">
        <v>45806.66666666667</v>
      </c>
      <c r="B263" s="17">
        <f>IFERROR(__xludf.DUMMYFUNCTION("""COMPUTED_VALUE"""),5888.55)</f>
        <v>5888.55</v>
      </c>
      <c r="C263" s="17">
        <f>IFERROR(__xludf.DUMMYFUNCTION("""COMPUTED_VALUE"""),19100.94)</f>
        <v>19100.94</v>
      </c>
      <c r="D263" s="17">
        <f>IFERROR(__xludf.DUMMYFUNCTION("""COMPUTED_VALUE"""),42098.7)</f>
        <v>42098.7</v>
      </c>
      <c r="E263" s="17">
        <f>IFERROR(__xludf.DUMMYFUNCTION("""COMPUTED_VALUE"""),2067.8)</f>
        <v>2067.8</v>
      </c>
      <c r="F263" s="26">
        <f>IFERROR(__xludf.DUMMYFUNCTION("""COMPUTED_VALUE"""),412.23)</f>
        <v>412.23</v>
      </c>
      <c r="G263" s="26">
        <f>IFERROR(__xludf.DUMMYFUNCTION("""COMPUTED_VALUE"""),204.72)</f>
        <v>204.72</v>
      </c>
      <c r="H263" s="26">
        <f>IFERROR(__xludf.DUMMYFUNCTION("""COMPUTED_VALUE"""),140.87)</f>
        <v>140.87</v>
      </c>
      <c r="I263" s="26">
        <f>IFERROR(__xludf.DUMMYFUNCTION("""COMPUTED_VALUE"""),200.42)</f>
        <v>200.42</v>
      </c>
      <c r="J263" s="26">
        <f>IFERROR(__xludf.DUMMYFUNCTION("""COMPUTED_VALUE"""),161.59)</f>
        <v>161.59</v>
      </c>
      <c r="K263" s="26">
        <f>IFERROR(__xludf.DUMMYFUNCTION("""COMPUTED_VALUE"""),88.8)</f>
        <v>88.8</v>
      </c>
      <c r="L263" s="26">
        <f>IFERROR(__xludf.DUMMYFUNCTION("""COMPUTED_VALUE"""),17.65)</f>
        <v>17.65</v>
      </c>
      <c r="M263" s="26">
        <f>IFERROR(__xludf.DUMMYFUNCTION("""COMPUTED_VALUE"""),503.11)</f>
        <v>503.11</v>
      </c>
      <c r="N263" s="26">
        <f>IFERROR(__xludf.DUMMYFUNCTION("""COMPUTED_VALUE"""),49.2)</f>
        <v>49.2</v>
      </c>
      <c r="O263" s="26">
        <f>IFERROR(__xludf.DUMMYFUNCTION("""COMPUTED_VALUE"""),127.53)</f>
        <v>127.53</v>
      </c>
      <c r="P263" s="26">
        <f>IFERROR(__xludf.DUMMYFUNCTION("""COMPUTED_VALUE"""),71.04)</f>
        <v>71.04</v>
      </c>
      <c r="Q263" s="26">
        <f>IFERROR(__xludf.DUMMYFUNCTION("""COMPUTED_VALUE"""),349.49)</f>
        <v>349.49</v>
      </c>
      <c r="R263" s="26">
        <f>IFERROR(__xludf.DUMMYFUNCTION("""COMPUTED_VALUE"""),60.41)</f>
        <v>60.41</v>
      </c>
      <c r="S263" s="26">
        <f>IFERROR(__xludf.DUMMYFUNCTION("""COMPUTED_VALUE"""),223.95)</f>
        <v>223.95</v>
      </c>
      <c r="T263" s="26">
        <f>IFERROR(__xludf.DUMMYFUNCTION("""COMPUTED_VALUE"""),136.02)</f>
        <v>136.02</v>
      </c>
      <c r="U263" s="26">
        <f>IFERROR(__xludf.DUMMYFUNCTION("""COMPUTED_VALUE"""),310.86)</f>
        <v>310.86</v>
      </c>
      <c r="V263" s="26">
        <f>IFERROR(__xludf.DUMMYFUNCTION("""COMPUTED_VALUE"""),39.73)</f>
        <v>39.73</v>
      </c>
      <c r="W263" s="26">
        <f>IFERROR(__xludf.DUMMYFUNCTION("""COMPUTED_VALUE"""),71.15)</f>
        <v>71.15</v>
      </c>
      <c r="X263" s="26">
        <f>IFERROR(__xludf.DUMMYFUNCTION("""COMPUTED_VALUE"""),102.11)</f>
        <v>102.11</v>
      </c>
      <c r="Y263" s="26">
        <f>IFERROR(__xludf.DUMMYFUNCTION("""COMPUTED_VALUE"""),169.58)</f>
        <v>169.58</v>
      </c>
      <c r="Z263" s="26">
        <f>IFERROR(__xludf.DUMMYFUNCTION("""COMPUTED_VALUE"""),89.34)</f>
        <v>89.34</v>
      </c>
      <c r="AA263" s="26">
        <f>IFERROR(__xludf.DUMMYFUNCTION("""COMPUTED_VALUE"""),483.11)</f>
        <v>483.11</v>
      </c>
      <c r="AB263" s="26">
        <f>IFERROR(__xludf.DUMMYFUNCTION("""COMPUTED_VALUE"""),72.4)</f>
        <v>72.4</v>
      </c>
      <c r="AC263" s="26">
        <f>IFERROR(__xludf.DUMMYFUNCTION("""COMPUTED_VALUE"""),102.11)</f>
        <v>102.11</v>
      </c>
      <c r="AD263" s="26">
        <f>IFERROR(__xludf.DUMMYFUNCTION("""COMPUTED_VALUE"""),217.15)</f>
        <v>217.15</v>
      </c>
      <c r="AE263" s="26">
        <f>IFERROR(__xludf.DUMMYFUNCTION("""COMPUTED_VALUE"""),475.4)</f>
        <v>475.4</v>
      </c>
      <c r="AF263" s="26">
        <f>IFERROR(__xludf.DUMMYFUNCTION("""COMPUTED_VALUE"""),273.64)</f>
        <v>273.64</v>
      </c>
      <c r="AG263" s="26">
        <f>IFERROR(__xludf.DUMMYFUNCTION("""COMPUTED_VALUE"""),48.13)</f>
        <v>48.13</v>
      </c>
      <c r="AH263" s="26">
        <f>IFERROR(__xludf.DUMMYFUNCTION("""COMPUTED_VALUE"""),108.44)</f>
        <v>108.44</v>
      </c>
      <c r="AI263" s="26">
        <f>IFERROR(__xludf.DUMMYFUNCTION("""COMPUTED_VALUE"""),608.44)</f>
        <v>608.44</v>
      </c>
      <c r="AJ263" s="26">
        <f>IFERROR(__xludf.DUMMYFUNCTION("""COMPUTED_VALUE"""),368.06)</f>
        <v>368.06</v>
      </c>
      <c r="AK263" s="26">
        <f>IFERROR(__xludf.DUMMYFUNCTION("""COMPUTED_VALUE"""),139.23)</f>
        <v>139.23</v>
      </c>
      <c r="AL263" s="26">
        <f>IFERROR(__xludf.DUMMYFUNCTION("""COMPUTED_VALUE"""),177.8)</f>
        <v>177.8</v>
      </c>
      <c r="AM263" s="26">
        <f>IFERROR(__xludf.DUMMYFUNCTION("""COMPUTED_VALUE"""),552.41)</f>
        <v>552.41</v>
      </c>
      <c r="AN263" s="26">
        <f>IFERROR(__xludf.DUMMYFUNCTION("""COMPUTED_VALUE"""),263.49)</f>
        <v>263.49</v>
      </c>
      <c r="AO263" s="26">
        <f>IFERROR(__xludf.DUMMYFUNCTION("""COMPUTED_VALUE"""),469.98)</f>
        <v>469.98</v>
      </c>
      <c r="AP263" s="26">
        <f>IFERROR(__xludf.DUMMYFUNCTION("""COMPUTED_VALUE"""),315.75)</f>
        <v>315.75</v>
      </c>
      <c r="AQ263" s="26">
        <f>IFERROR(__xludf.DUMMYFUNCTION("""COMPUTED_VALUE"""),31.51)</f>
        <v>31.51</v>
      </c>
      <c r="AR263" s="26">
        <f>IFERROR(__xludf.DUMMYFUNCTION("""COMPUTED_VALUE"""),81.24)</f>
        <v>81.24</v>
      </c>
      <c r="AS263" s="26">
        <f>IFERROR(__xludf.DUMMYFUNCTION("""COMPUTED_VALUE"""),77.99)</f>
        <v>77.99</v>
      </c>
      <c r="AT263" s="26">
        <f>IFERROR(__xludf.DUMMYFUNCTION("""COMPUTED_VALUE"""),457.36)</f>
        <v>457.36</v>
      </c>
      <c r="AU263" s="26">
        <f>IFERROR(__xludf.DUMMYFUNCTION("""COMPUTED_VALUE"""),67.21)</f>
        <v>67.21</v>
      </c>
      <c r="AV263" s="26">
        <f>IFERROR(__xludf.DUMMYFUNCTION("""COMPUTED_VALUE"""),134.81)</f>
        <v>134.81</v>
      </c>
      <c r="AW263" s="26">
        <f>IFERROR(__xludf.DUMMYFUNCTION("""COMPUTED_VALUE"""),95.16)</f>
        <v>95.16</v>
      </c>
      <c r="AX263" s="26">
        <f>IFERROR(__xludf.DUMMYFUNCTION("""COMPUTED_VALUE"""),59.78)</f>
        <v>59.78</v>
      </c>
      <c r="AY263" s="26">
        <f>IFERROR(__xludf.DUMMYFUNCTION("""COMPUTED_VALUE"""),123.76)</f>
        <v>123.76</v>
      </c>
      <c r="AZ263" s="26">
        <f>IFERROR(__xludf.DUMMYFUNCTION("""COMPUTED_VALUE"""),71.44)</f>
        <v>71.44</v>
      </c>
      <c r="BA263" s="26">
        <f>IFERROR(__xludf.DUMMYFUNCTION("""COMPUTED_VALUE"""),23.18)</f>
        <v>23.18</v>
      </c>
      <c r="BB263" s="26">
        <f>IFERROR(__xludf.DUMMYFUNCTION("""COMPUTED_VALUE"""),132.85)</f>
        <v>132.85</v>
      </c>
      <c r="BC263" s="26">
        <f>IFERROR(__xludf.DUMMYFUNCTION("""COMPUTED_VALUE"""),241.51)</f>
        <v>241.51</v>
      </c>
      <c r="BD263" s="26">
        <f>IFERROR(__xludf.DUMMYFUNCTION("""COMPUTED_VALUE"""),402.13)</f>
        <v>402.13</v>
      </c>
      <c r="BE263" s="26">
        <f>IFERROR(__xludf.DUMMYFUNCTION("""COMPUTED_VALUE"""),182.88)</f>
        <v>182.88</v>
      </c>
      <c r="BF263" s="26">
        <f>IFERROR(__xludf.DUMMYFUNCTION("""COMPUTED_VALUE"""),128.62)</f>
        <v>128.62</v>
      </c>
      <c r="BG263" s="26">
        <f>IFERROR(__xludf.DUMMYFUNCTION("""COMPUTED_VALUE"""),6.97)</f>
        <v>6.97</v>
      </c>
      <c r="BH263" s="26">
        <f>IFERROR(__xludf.DUMMYFUNCTION("""COMPUTED_VALUE"""),222.18)</f>
        <v>222.18</v>
      </c>
      <c r="BI263" s="26">
        <f>IFERROR(__xludf.DUMMYFUNCTION("""COMPUTED_VALUE"""),298.11)</f>
        <v>298.11</v>
      </c>
      <c r="BJ263" s="26">
        <f>IFERROR(__xludf.DUMMYFUNCTION("""COMPUTED_VALUE"""),49.93)</f>
        <v>49.93</v>
      </c>
      <c r="BK263" s="26">
        <f>IFERROR(__xludf.DUMMYFUNCTION("""COMPUTED_VALUE"""),8.59)</f>
        <v>8.59</v>
      </c>
      <c r="BL263" s="26">
        <f>IFERROR(__xludf.DUMMYFUNCTION("""COMPUTED_VALUE"""),237.15)</f>
        <v>237.15</v>
      </c>
      <c r="BM263" s="26">
        <f>IFERROR(__xludf.DUMMYFUNCTION("""COMPUTED_VALUE"""),111.52)</f>
        <v>111.52</v>
      </c>
    </row>
    <row r="264">
      <c r="A264" s="25">
        <v>45807.66666666667</v>
      </c>
      <c r="B264" s="17">
        <f>IFERROR(__xludf.DUMMYFUNCTION("""COMPUTED_VALUE"""),5912.17)</f>
        <v>5912.17</v>
      </c>
      <c r="C264" s="17">
        <f>IFERROR(__xludf.DUMMYFUNCTION("""COMPUTED_VALUE"""),19175.87)</f>
        <v>19175.87</v>
      </c>
      <c r="D264" s="17">
        <f>IFERROR(__xludf.DUMMYFUNCTION("""COMPUTED_VALUE"""),42215.73)</f>
        <v>42215.73</v>
      </c>
      <c r="E264" s="17">
        <f>IFERROR(__xludf.DUMMYFUNCTION("""COMPUTED_VALUE"""),2074.78)</f>
        <v>2074.78</v>
      </c>
      <c r="F264" s="26">
        <f>IFERROR(__xludf.DUMMYFUNCTION("""COMPUTED_VALUE"""),413.36)</f>
        <v>413.36</v>
      </c>
      <c r="G264" s="26">
        <f>IFERROR(__xludf.DUMMYFUNCTION("""COMPUTED_VALUE"""),205.7)</f>
        <v>205.7</v>
      </c>
      <c r="H264" s="26">
        <f>IFERROR(__xludf.DUMMYFUNCTION("""COMPUTED_VALUE"""),141.54)</f>
        <v>141.54</v>
      </c>
      <c r="I264" s="26">
        <f>IFERROR(__xludf.DUMMYFUNCTION("""COMPUTED_VALUE"""),199.95)</f>
        <v>199.95</v>
      </c>
      <c r="J264" s="26">
        <f>IFERROR(__xludf.DUMMYFUNCTION("""COMPUTED_VALUE"""),159.48)</f>
        <v>159.48</v>
      </c>
      <c r="K264" s="26">
        <f>IFERROR(__xludf.DUMMYFUNCTION("""COMPUTED_VALUE"""),89.07)</f>
        <v>89.07</v>
      </c>
      <c r="L264" s="26">
        <f>IFERROR(__xludf.DUMMYFUNCTION("""COMPUTED_VALUE"""),17.8)</f>
        <v>17.8</v>
      </c>
      <c r="M264" s="26">
        <f>IFERROR(__xludf.DUMMYFUNCTION("""COMPUTED_VALUE"""),506.18)</f>
        <v>506.18</v>
      </c>
      <c r="N264" s="26">
        <f>IFERROR(__xludf.DUMMYFUNCTION("""COMPUTED_VALUE"""),49.27)</f>
        <v>49.27</v>
      </c>
      <c r="O264" s="26">
        <f>IFERROR(__xludf.DUMMYFUNCTION("""COMPUTED_VALUE"""),132.75)</f>
        <v>132.75</v>
      </c>
      <c r="P264" s="26">
        <f>IFERROR(__xludf.DUMMYFUNCTION("""COMPUTED_VALUE"""),71.41)</f>
        <v>71.41</v>
      </c>
      <c r="Q264" s="26">
        <f>IFERROR(__xludf.DUMMYFUNCTION("""COMPUTED_VALUE"""),351.79)</f>
        <v>351.79</v>
      </c>
      <c r="R264" s="26">
        <f>IFERROR(__xludf.DUMMYFUNCTION("""COMPUTED_VALUE"""),59.15)</f>
        <v>59.15</v>
      </c>
      <c r="S264" s="26">
        <f>IFERROR(__xludf.DUMMYFUNCTION("""COMPUTED_VALUE"""),224.39)</f>
        <v>224.39</v>
      </c>
      <c r="T264" s="26">
        <f>IFERROR(__xludf.DUMMYFUNCTION("""COMPUTED_VALUE"""),137.91)</f>
        <v>137.91</v>
      </c>
      <c r="U264" s="26">
        <f>IFERROR(__xludf.DUMMYFUNCTION("""COMPUTED_VALUE"""),312.05)</f>
        <v>312.05</v>
      </c>
      <c r="V264" s="26">
        <f>IFERROR(__xludf.DUMMYFUNCTION("""COMPUTED_VALUE"""),40.26)</f>
        <v>40.26</v>
      </c>
      <c r="W264" s="26">
        <f>IFERROR(__xludf.DUMMYFUNCTION("""COMPUTED_VALUE"""),71.49)</f>
        <v>71.49</v>
      </c>
      <c r="X264" s="26">
        <f>IFERROR(__xludf.DUMMYFUNCTION("""COMPUTED_VALUE"""),103.38)</f>
        <v>103.38</v>
      </c>
      <c r="Y264" s="26">
        <f>IFERROR(__xludf.DUMMYFUNCTION("""COMPUTED_VALUE"""),172.26)</f>
        <v>172.26</v>
      </c>
      <c r="Z264" s="26">
        <f>IFERROR(__xludf.DUMMYFUNCTION("""COMPUTED_VALUE"""),90.58)</f>
        <v>90.58</v>
      </c>
      <c r="AA264" s="26">
        <f>IFERROR(__xludf.DUMMYFUNCTION("""COMPUTED_VALUE"""),474.52)</f>
        <v>474.52</v>
      </c>
      <c r="AB264" s="26">
        <f>IFERROR(__xludf.DUMMYFUNCTION("""COMPUTED_VALUE"""),72.74)</f>
        <v>72.74</v>
      </c>
      <c r="AC264" s="26">
        <f>IFERROR(__xludf.DUMMYFUNCTION("""COMPUTED_VALUE"""),102.69)</f>
        <v>102.69</v>
      </c>
      <c r="AD264" s="26">
        <f>IFERROR(__xludf.DUMMYFUNCTION("""COMPUTED_VALUE"""),220.26)</f>
        <v>220.26</v>
      </c>
      <c r="AE264" s="26">
        <f>IFERROR(__xludf.DUMMYFUNCTION("""COMPUTED_VALUE"""),479.02)</f>
        <v>479.02</v>
      </c>
      <c r="AF264" s="26">
        <f>IFERROR(__xludf.DUMMYFUNCTION("""COMPUTED_VALUE"""),275.2)</f>
        <v>275.2</v>
      </c>
      <c r="AG264" s="26">
        <f>IFERROR(__xludf.DUMMYFUNCTION("""COMPUTED_VALUE"""),48.59)</f>
        <v>48.59</v>
      </c>
      <c r="AH264" s="26">
        <f>IFERROR(__xludf.DUMMYFUNCTION("""COMPUTED_VALUE"""),111.11)</f>
        <v>111.11</v>
      </c>
      <c r="AI264" s="26">
        <f>IFERROR(__xludf.DUMMYFUNCTION("""COMPUTED_VALUE"""),604.86)</f>
        <v>604.86</v>
      </c>
      <c r="AJ264" s="26">
        <f>IFERROR(__xludf.DUMMYFUNCTION("""COMPUTED_VALUE"""),368.29)</f>
        <v>368.29</v>
      </c>
      <c r="AK264" s="26">
        <f>IFERROR(__xludf.DUMMYFUNCTION("""COMPUTED_VALUE"""),141.68)</f>
        <v>141.68</v>
      </c>
      <c r="AL264" s="26">
        <f>IFERROR(__xludf.DUMMYFUNCTION("""COMPUTED_VALUE"""),178.53)</f>
        <v>178.53</v>
      </c>
      <c r="AM264" s="26">
        <f>IFERROR(__xludf.DUMMYFUNCTION("""COMPUTED_VALUE"""),555.75)</f>
        <v>555.75</v>
      </c>
      <c r="AN264" s="26">
        <f>IFERROR(__xludf.DUMMYFUNCTION("""COMPUTED_VALUE"""),264.37)</f>
        <v>264.37</v>
      </c>
      <c r="AO264" s="26">
        <f>IFERROR(__xludf.DUMMYFUNCTION("""COMPUTED_VALUE"""),473.69)</f>
        <v>473.69</v>
      </c>
      <c r="AP264" s="26">
        <f>IFERROR(__xludf.DUMMYFUNCTION("""COMPUTED_VALUE"""),317.09)</f>
        <v>317.09</v>
      </c>
      <c r="AQ264" s="26">
        <f>IFERROR(__xludf.DUMMYFUNCTION("""COMPUTED_VALUE"""),31.74)</f>
        <v>31.74</v>
      </c>
      <c r="AR264" s="26">
        <f>IFERROR(__xludf.DUMMYFUNCTION("""COMPUTED_VALUE"""),82.41)</f>
        <v>82.41</v>
      </c>
      <c r="AS264" s="26">
        <f>IFERROR(__xludf.DUMMYFUNCTION("""COMPUTED_VALUE"""),78.86)</f>
        <v>78.86</v>
      </c>
      <c r="AT264" s="26">
        <f>IFERROR(__xludf.DUMMYFUNCTION("""COMPUTED_VALUE"""),458.68)</f>
        <v>458.68</v>
      </c>
      <c r="AU264" s="26">
        <f>IFERROR(__xludf.DUMMYFUNCTION("""COMPUTED_VALUE"""),68.99)</f>
        <v>68.99</v>
      </c>
      <c r="AV264" s="26">
        <f>IFERROR(__xludf.DUMMYFUNCTION("""COMPUTED_VALUE"""),139.19)</f>
        <v>139.19</v>
      </c>
      <c r="AW264" s="26">
        <f>IFERROR(__xludf.DUMMYFUNCTION("""COMPUTED_VALUE"""),95.16)</f>
        <v>95.16</v>
      </c>
      <c r="AX264" s="26">
        <f>IFERROR(__xludf.DUMMYFUNCTION("""COMPUTED_VALUE"""),58.84)</f>
        <v>58.84</v>
      </c>
      <c r="AY264" s="26">
        <f>IFERROR(__xludf.DUMMYFUNCTION("""COMPUTED_VALUE"""),122.32)</f>
        <v>122.32</v>
      </c>
      <c r="AZ264" s="26">
        <f>IFERROR(__xludf.DUMMYFUNCTION("""COMPUTED_VALUE"""),70.93)</f>
        <v>70.93</v>
      </c>
      <c r="BA264" s="26">
        <f>IFERROR(__xludf.DUMMYFUNCTION("""COMPUTED_VALUE"""),23.45)</f>
        <v>23.45</v>
      </c>
      <c r="BB264" s="26">
        <f>IFERROR(__xludf.DUMMYFUNCTION("""COMPUTED_VALUE"""),134.8)</f>
        <v>134.8</v>
      </c>
      <c r="BC264" s="26">
        <f>IFERROR(__xludf.DUMMYFUNCTION("""COMPUTED_VALUE"""),239.3)</f>
        <v>239.3</v>
      </c>
      <c r="BD264" s="26">
        <f>IFERROR(__xludf.DUMMYFUNCTION("""COMPUTED_VALUE"""),403.75)</f>
        <v>403.75</v>
      </c>
      <c r="BE264" s="26">
        <f>IFERROR(__xludf.DUMMYFUNCTION("""COMPUTED_VALUE"""),186.11)</f>
        <v>186.11</v>
      </c>
      <c r="BF264" s="26">
        <f>IFERROR(__xludf.DUMMYFUNCTION("""COMPUTED_VALUE"""),127.69)</f>
        <v>127.69</v>
      </c>
      <c r="BG264" s="26">
        <f>IFERROR(__xludf.DUMMYFUNCTION("""COMPUTED_VALUE"""),6.72)</f>
        <v>6.72</v>
      </c>
      <c r="BH264" s="26">
        <f>IFERROR(__xludf.DUMMYFUNCTION("""COMPUTED_VALUE"""),222.51)</f>
        <v>222.51</v>
      </c>
      <c r="BI264" s="26">
        <f>IFERROR(__xludf.DUMMYFUNCTION("""COMPUTED_VALUE"""),298.17)</f>
        <v>298.17</v>
      </c>
      <c r="BJ264" s="26">
        <f>IFERROR(__xludf.DUMMYFUNCTION("""COMPUTED_VALUE"""),49.96)</f>
        <v>49.96</v>
      </c>
      <c r="BK264" s="26">
        <f>IFERROR(__xludf.DUMMYFUNCTION("""COMPUTED_VALUE"""),8.83)</f>
        <v>8.83</v>
      </c>
      <c r="BL264" s="26">
        <f>IFERROR(__xludf.DUMMYFUNCTION("""COMPUTED_VALUE"""),237.76)</f>
        <v>237.76</v>
      </c>
      <c r="BM264" s="26">
        <f>IFERROR(__xludf.DUMMYFUNCTION("""COMPUTED_VALUE"""),112.02)</f>
        <v>112.02</v>
      </c>
    </row>
    <row r="265">
      <c r="A265" s="25">
        <v>45810.66666666667</v>
      </c>
      <c r="B265" s="17">
        <f>IFERROR(__xludf.DUMMYFUNCTION("""COMPUTED_VALUE"""),5911.69)</f>
        <v>5911.69</v>
      </c>
      <c r="C265" s="17">
        <f>IFERROR(__xludf.DUMMYFUNCTION("""COMPUTED_VALUE"""),19113.77)</f>
        <v>19113.77</v>
      </c>
      <c r="D265" s="17">
        <f>IFERROR(__xludf.DUMMYFUNCTION("""COMPUTED_VALUE"""),42270.07)</f>
        <v>42270.07</v>
      </c>
      <c r="E265" s="17">
        <f>IFERROR(__xludf.DUMMYFUNCTION("""COMPUTED_VALUE"""),2066.29)</f>
        <v>2066.29</v>
      </c>
      <c r="F265" s="26">
        <f>IFERROR(__xludf.DUMMYFUNCTION("""COMPUTED_VALUE"""),415.09)</f>
        <v>415.09</v>
      </c>
      <c r="G265" s="26">
        <f>IFERROR(__xludf.DUMMYFUNCTION("""COMPUTED_VALUE"""),205.01)</f>
        <v>205.01</v>
      </c>
      <c r="H265" s="26">
        <f>IFERROR(__xludf.DUMMYFUNCTION("""COMPUTED_VALUE"""),142.97)</f>
        <v>142.97</v>
      </c>
      <c r="I265" s="26">
        <f>IFERROR(__xludf.DUMMYFUNCTION("""COMPUTED_VALUE"""),200.85)</f>
        <v>200.85</v>
      </c>
      <c r="J265" s="26">
        <f>IFERROR(__xludf.DUMMYFUNCTION("""COMPUTED_VALUE"""),156.75)</f>
        <v>156.75</v>
      </c>
      <c r="K265" s="26">
        <f>IFERROR(__xludf.DUMMYFUNCTION("""COMPUTED_VALUE"""),88.61)</f>
        <v>88.61</v>
      </c>
      <c r="L265" s="26">
        <f>IFERROR(__xludf.DUMMYFUNCTION("""COMPUTED_VALUE"""),17.83)</f>
        <v>17.83</v>
      </c>
      <c r="M265" s="26">
        <f>IFERROR(__xludf.DUMMYFUNCTION("""COMPUTED_VALUE"""),503.96)</f>
        <v>503.96</v>
      </c>
      <c r="N265" s="26">
        <f>IFERROR(__xludf.DUMMYFUNCTION("""COMPUTED_VALUE"""),48.99)</f>
        <v>48.99</v>
      </c>
      <c r="O265" s="26">
        <f>IFERROR(__xludf.DUMMYFUNCTION("""COMPUTED_VALUE"""),129.79)</f>
        <v>129.79</v>
      </c>
      <c r="P265" s="26">
        <f>IFERROR(__xludf.DUMMYFUNCTION("""COMPUTED_VALUE"""),71.2)</f>
        <v>71.2</v>
      </c>
      <c r="Q265" s="26">
        <f>IFERROR(__xludf.DUMMYFUNCTION("""COMPUTED_VALUE"""),348.03)</f>
        <v>348.03</v>
      </c>
      <c r="R265" s="26">
        <f>IFERROR(__xludf.DUMMYFUNCTION("""COMPUTED_VALUE"""),58.53)</f>
        <v>58.53</v>
      </c>
      <c r="S265" s="26">
        <f>IFERROR(__xludf.DUMMYFUNCTION("""COMPUTED_VALUE"""),228.88)</f>
        <v>228.88</v>
      </c>
      <c r="T265" s="26">
        <f>IFERROR(__xludf.DUMMYFUNCTION("""COMPUTED_VALUE"""),136.7)</f>
        <v>136.7</v>
      </c>
      <c r="U265" s="26">
        <f>IFERROR(__xludf.DUMMYFUNCTION("""COMPUTED_VALUE"""),316.64)</f>
        <v>316.64</v>
      </c>
      <c r="V265" s="26">
        <f>IFERROR(__xludf.DUMMYFUNCTION("""COMPUTED_VALUE"""),40.35)</f>
        <v>40.35</v>
      </c>
      <c r="W265" s="26">
        <f>IFERROR(__xludf.DUMMYFUNCTION("""COMPUTED_VALUE"""),72.1)</f>
        <v>72.1</v>
      </c>
      <c r="X265" s="26">
        <f>IFERROR(__xludf.DUMMYFUNCTION("""COMPUTED_VALUE"""),104.49)</f>
        <v>104.49</v>
      </c>
      <c r="Y265" s="26">
        <f>IFERROR(__xludf.DUMMYFUNCTION("""COMPUTED_VALUE"""),171.52)</f>
        <v>171.52</v>
      </c>
      <c r="Z265" s="26">
        <f>IFERROR(__xludf.DUMMYFUNCTION("""COMPUTED_VALUE"""),90.26)</f>
        <v>90.26</v>
      </c>
      <c r="AA265" s="26">
        <f>IFERROR(__xludf.DUMMYFUNCTION("""COMPUTED_VALUE"""),473.82)</f>
        <v>473.82</v>
      </c>
      <c r="AB265" s="26">
        <f>IFERROR(__xludf.DUMMYFUNCTION("""COMPUTED_VALUE"""),73.17)</f>
        <v>73.17</v>
      </c>
      <c r="AC265" s="26">
        <f>IFERROR(__xludf.DUMMYFUNCTION("""COMPUTED_VALUE"""),102.3)</f>
        <v>102.3</v>
      </c>
      <c r="AD265" s="26">
        <f>IFERROR(__xludf.DUMMYFUNCTION("""COMPUTED_VALUE"""),218.1)</f>
        <v>218.1</v>
      </c>
      <c r="AE265" s="26">
        <f>IFERROR(__xludf.DUMMYFUNCTION("""COMPUTED_VALUE"""),478.76)</f>
        <v>478.76</v>
      </c>
      <c r="AF265" s="26">
        <f>IFERROR(__xludf.DUMMYFUNCTION("""COMPUTED_VALUE"""),278.49)</f>
        <v>278.49</v>
      </c>
      <c r="AG265" s="26">
        <f>IFERROR(__xludf.DUMMYFUNCTION("""COMPUTED_VALUE"""),49.61)</f>
        <v>49.61</v>
      </c>
      <c r="AH265" s="26">
        <f>IFERROR(__xludf.DUMMYFUNCTION("""COMPUTED_VALUE"""),110.08)</f>
        <v>110.08</v>
      </c>
      <c r="AI265" s="26">
        <f>IFERROR(__xludf.DUMMYFUNCTION("""COMPUTED_VALUE"""),600.45)</f>
        <v>600.45</v>
      </c>
      <c r="AJ265" s="26">
        <f>IFERROR(__xludf.DUMMYFUNCTION("""COMPUTED_VALUE"""),368.29)</f>
        <v>368.29</v>
      </c>
      <c r="AK265" s="26">
        <f>IFERROR(__xludf.DUMMYFUNCTION("""COMPUTED_VALUE"""),142.83)</f>
        <v>142.83</v>
      </c>
      <c r="AL265" s="26">
        <f>IFERROR(__xludf.DUMMYFUNCTION("""COMPUTED_VALUE"""),179.8)</f>
        <v>179.8</v>
      </c>
      <c r="AM265" s="26">
        <f>IFERROR(__xludf.DUMMYFUNCTION("""COMPUTED_VALUE"""),552.34)</f>
        <v>552.34</v>
      </c>
      <c r="AN265" s="26">
        <f>IFERROR(__xludf.DUMMYFUNCTION("""COMPUTED_VALUE"""),264.0)</f>
        <v>264</v>
      </c>
      <c r="AO265" s="26">
        <f>IFERROR(__xludf.DUMMYFUNCTION("""COMPUTED_VALUE"""),482.38)</f>
        <v>482.38</v>
      </c>
      <c r="AP265" s="26">
        <f>IFERROR(__xludf.DUMMYFUNCTION("""COMPUTED_VALUE"""),316.67)</f>
        <v>316.67</v>
      </c>
      <c r="AQ265" s="26">
        <f>IFERROR(__xludf.DUMMYFUNCTION("""COMPUTED_VALUE"""),31.84)</f>
        <v>31.84</v>
      </c>
      <c r="AR265" s="26">
        <f>IFERROR(__xludf.DUMMYFUNCTION("""COMPUTED_VALUE"""),82.98)</f>
        <v>82.98</v>
      </c>
      <c r="AS265" s="26">
        <f>IFERROR(__xludf.DUMMYFUNCTION("""COMPUTED_VALUE"""),78.58)</f>
        <v>78.58</v>
      </c>
      <c r="AT265" s="26">
        <f>IFERROR(__xludf.DUMMYFUNCTION("""COMPUTED_VALUE"""),460.36)</f>
        <v>460.36</v>
      </c>
      <c r="AU265" s="26">
        <f>IFERROR(__xludf.DUMMYFUNCTION("""COMPUTED_VALUE"""),70.64)</f>
        <v>70.64</v>
      </c>
      <c r="AV265" s="26">
        <f>IFERROR(__xludf.DUMMYFUNCTION("""COMPUTED_VALUE"""),135.13)</f>
        <v>135.13</v>
      </c>
      <c r="AW265" s="26">
        <f>IFERROR(__xludf.DUMMYFUNCTION("""COMPUTED_VALUE"""),95.35)</f>
        <v>95.35</v>
      </c>
      <c r="AX265" s="26">
        <f>IFERROR(__xludf.DUMMYFUNCTION("""COMPUTED_VALUE"""),59.39)</f>
        <v>59.39</v>
      </c>
      <c r="AY265" s="26">
        <f>IFERROR(__xludf.DUMMYFUNCTION("""COMPUTED_VALUE"""),131.78)</f>
        <v>131.78</v>
      </c>
      <c r="AZ265" s="26">
        <f>IFERROR(__xludf.DUMMYFUNCTION("""COMPUTED_VALUE"""),70.28)</f>
        <v>70.28</v>
      </c>
      <c r="BA265" s="26">
        <f>IFERROR(__xludf.DUMMYFUNCTION("""COMPUTED_VALUE"""),23.49)</f>
        <v>23.49</v>
      </c>
      <c r="BB265" s="26">
        <f>IFERROR(__xludf.DUMMYFUNCTION("""COMPUTED_VALUE"""),136.48)</f>
        <v>136.48</v>
      </c>
      <c r="BC265" s="26">
        <f>IFERROR(__xludf.DUMMYFUNCTION("""COMPUTED_VALUE"""),242.2)</f>
        <v>242.2</v>
      </c>
      <c r="BD265" s="26">
        <f>IFERROR(__xludf.DUMMYFUNCTION("""COMPUTED_VALUE"""),402.82)</f>
        <v>402.82</v>
      </c>
      <c r="BE265" s="26">
        <f>IFERROR(__xludf.DUMMYFUNCTION("""COMPUTED_VALUE"""),190.57)</f>
        <v>190.57</v>
      </c>
      <c r="BF265" s="26">
        <f>IFERROR(__xludf.DUMMYFUNCTION("""COMPUTED_VALUE"""),127.12)</f>
        <v>127.12</v>
      </c>
      <c r="BG265" s="26">
        <f>IFERROR(__xludf.DUMMYFUNCTION("""COMPUTED_VALUE"""),6.71)</f>
        <v>6.71</v>
      </c>
      <c r="BH265" s="26">
        <f>IFERROR(__xludf.DUMMYFUNCTION("""COMPUTED_VALUE"""),221.66)</f>
        <v>221.66</v>
      </c>
      <c r="BI265" s="26">
        <f>IFERROR(__xludf.DUMMYFUNCTION("""COMPUTED_VALUE"""),301.91)</f>
        <v>301.91</v>
      </c>
      <c r="BJ265" s="26">
        <f>IFERROR(__xludf.DUMMYFUNCTION("""COMPUTED_VALUE"""),50.02)</f>
        <v>50.02</v>
      </c>
      <c r="BK265" s="26">
        <f>IFERROR(__xludf.DUMMYFUNCTION("""COMPUTED_VALUE"""),8.79)</f>
        <v>8.79</v>
      </c>
      <c r="BL265" s="26">
        <f>IFERROR(__xludf.DUMMYFUNCTION("""COMPUTED_VALUE"""),240.97)</f>
        <v>240.97</v>
      </c>
      <c r="BM265" s="26">
        <f>IFERROR(__xludf.DUMMYFUNCTION("""COMPUTED_VALUE"""),113.04)</f>
        <v>113.04</v>
      </c>
    </row>
    <row r="266">
      <c r="A266" s="25">
        <v>45811.66666666667</v>
      </c>
      <c r="B266" s="17">
        <f>IFERROR(__xludf.DUMMYFUNCTION("""COMPUTED_VALUE"""),5935.94)</f>
        <v>5935.94</v>
      </c>
      <c r="C266" s="17">
        <f>IFERROR(__xludf.DUMMYFUNCTION("""COMPUTED_VALUE"""),19242.61)</f>
        <v>19242.61</v>
      </c>
      <c r="D266" s="17">
        <f>IFERROR(__xludf.DUMMYFUNCTION("""COMPUTED_VALUE"""),42305.48)</f>
        <v>42305.48</v>
      </c>
      <c r="E266" s="17">
        <f>IFERROR(__xludf.DUMMYFUNCTION("""COMPUTED_VALUE"""),2070.16)</f>
        <v>2070.16</v>
      </c>
      <c r="F266" s="26">
        <f>IFERROR(__xludf.DUMMYFUNCTION("""COMPUTED_VALUE"""),403.4)</f>
        <v>403.4</v>
      </c>
      <c r="G266" s="26">
        <f>IFERROR(__xludf.DUMMYFUNCTION("""COMPUTED_VALUE"""),206.65)</f>
        <v>206.65</v>
      </c>
      <c r="H266" s="26">
        <f>IFERROR(__xludf.DUMMYFUNCTION("""COMPUTED_VALUE"""),142.42)</f>
        <v>142.42</v>
      </c>
      <c r="I266" s="26">
        <f>IFERROR(__xludf.DUMMYFUNCTION("""COMPUTED_VALUE"""),201.7)</f>
        <v>201.7</v>
      </c>
      <c r="J266" s="26">
        <f>IFERROR(__xludf.DUMMYFUNCTION("""COMPUTED_VALUE"""),157.27)</f>
        <v>157.27</v>
      </c>
      <c r="K266" s="26">
        <f>IFERROR(__xludf.DUMMYFUNCTION("""COMPUTED_VALUE"""),88.98)</f>
        <v>88.98</v>
      </c>
      <c r="L266" s="26">
        <f>IFERROR(__xludf.DUMMYFUNCTION("""COMPUTED_VALUE"""),17.93)</f>
        <v>17.93</v>
      </c>
      <c r="M266" s="26">
        <f>IFERROR(__xludf.DUMMYFUNCTION("""COMPUTED_VALUE"""),502.81)</f>
        <v>502.81</v>
      </c>
      <c r="N266" s="26">
        <f>IFERROR(__xludf.DUMMYFUNCTION("""COMPUTED_VALUE"""),49.43)</f>
        <v>49.43</v>
      </c>
      <c r="O266" s="26">
        <f>IFERROR(__xludf.DUMMYFUNCTION("""COMPUTED_VALUE"""),131.14)</f>
        <v>131.14</v>
      </c>
      <c r="P266" s="26">
        <f>IFERROR(__xludf.DUMMYFUNCTION("""COMPUTED_VALUE"""),70.34)</f>
        <v>70.34</v>
      </c>
      <c r="Q266" s="26">
        <f>IFERROR(__xludf.DUMMYFUNCTION("""COMPUTED_VALUE"""),344.67)</f>
        <v>344.67</v>
      </c>
      <c r="R266" s="26">
        <f>IFERROR(__xludf.DUMMYFUNCTION("""COMPUTED_VALUE"""),58.18)</f>
        <v>58.18</v>
      </c>
      <c r="S266" s="26">
        <f>IFERROR(__xludf.DUMMYFUNCTION("""COMPUTED_VALUE"""),229.89)</f>
        <v>229.89</v>
      </c>
      <c r="T266" s="26">
        <f>IFERROR(__xludf.DUMMYFUNCTION("""COMPUTED_VALUE"""),137.84)</f>
        <v>137.84</v>
      </c>
      <c r="U266" s="26">
        <f>IFERROR(__xludf.DUMMYFUNCTION("""COMPUTED_VALUE"""),314.99)</f>
        <v>314.99</v>
      </c>
      <c r="V266" s="26">
        <f>IFERROR(__xludf.DUMMYFUNCTION("""COMPUTED_VALUE"""),40.06)</f>
        <v>40.06</v>
      </c>
      <c r="W266" s="26">
        <f>IFERROR(__xludf.DUMMYFUNCTION("""COMPUTED_VALUE"""),72.0)</f>
        <v>72</v>
      </c>
      <c r="X266" s="26">
        <f>IFERROR(__xludf.DUMMYFUNCTION("""COMPUTED_VALUE"""),103.86)</f>
        <v>103.86</v>
      </c>
      <c r="Y266" s="26">
        <f>IFERROR(__xludf.DUMMYFUNCTION("""COMPUTED_VALUE"""),172.72)</f>
        <v>172.72</v>
      </c>
      <c r="Z266" s="26">
        <f>IFERROR(__xludf.DUMMYFUNCTION("""COMPUTED_VALUE"""),91.24)</f>
        <v>91.24</v>
      </c>
      <c r="AA266" s="26">
        <f>IFERROR(__xludf.DUMMYFUNCTION("""COMPUTED_VALUE"""),466.0)</f>
        <v>466</v>
      </c>
      <c r="AB266" s="26">
        <f>IFERROR(__xludf.DUMMYFUNCTION("""COMPUTED_VALUE"""),74.53)</f>
        <v>74.53</v>
      </c>
      <c r="AC266" s="26">
        <f>IFERROR(__xludf.DUMMYFUNCTION("""COMPUTED_VALUE"""),103.05)</f>
        <v>103.05</v>
      </c>
      <c r="AD266" s="26">
        <f>IFERROR(__xludf.DUMMYFUNCTION("""COMPUTED_VALUE"""),217.89)</f>
        <v>217.89</v>
      </c>
      <c r="AE266" s="26">
        <f>IFERROR(__xludf.DUMMYFUNCTION("""COMPUTED_VALUE"""),480.08)</f>
        <v>480.08</v>
      </c>
      <c r="AF266" s="26">
        <f>IFERROR(__xludf.DUMMYFUNCTION("""COMPUTED_VALUE"""),275.71)</f>
        <v>275.71</v>
      </c>
      <c r="AG266" s="26">
        <f>IFERROR(__xludf.DUMMYFUNCTION("""COMPUTED_VALUE"""),47.69)</f>
        <v>47.69</v>
      </c>
      <c r="AH266" s="26">
        <f>IFERROR(__xludf.DUMMYFUNCTION("""COMPUTED_VALUE"""),108.91)</f>
        <v>108.91</v>
      </c>
      <c r="AI266" s="26">
        <f>IFERROR(__xludf.DUMMYFUNCTION("""COMPUTED_VALUE"""),598.72)</f>
        <v>598.72</v>
      </c>
      <c r="AJ266" s="26">
        <f>IFERROR(__xludf.DUMMYFUNCTION("""COMPUTED_VALUE"""),367.96)</f>
        <v>367.96</v>
      </c>
      <c r="AK266" s="26">
        <f>IFERROR(__xludf.DUMMYFUNCTION("""COMPUTED_VALUE"""),144.52)</f>
        <v>144.52</v>
      </c>
      <c r="AL266" s="26">
        <f>IFERROR(__xludf.DUMMYFUNCTION("""COMPUTED_VALUE"""),180.32)</f>
        <v>180.32</v>
      </c>
      <c r="AM266" s="26">
        <f>IFERROR(__xludf.DUMMYFUNCTION("""COMPUTED_VALUE"""),553.29)</f>
        <v>553.29</v>
      </c>
      <c r="AN266" s="26">
        <f>IFERROR(__xludf.DUMMYFUNCTION("""COMPUTED_VALUE"""),264.66)</f>
        <v>264.66</v>
      </c>
      <c r="AO266" s="26">
        <f>IFERROR(__xludf.DUMMYFUNCTION("""COMPUTED_VALUE"""),478.82)</f>
        <v>478.82</v>
      </c>
      <c r="AP266" s="26">
        <f>IFERROR(__xludf.DUMMYFUNCTION("""COMPUTED_VALUE"""),322.95)</f>
        <v>322.95</v>
      </c>
      <c r="AQ266" s="26">
        <f>IFERROR(__xludf.DUMMYFUNCTION("""COMPUTED_VALUE"""),31.97)</f>
        <v>31.97</v>
      </c>
      <c r="AR266" s="26">
        <f>IFERROR(__xludf.DUMMYFUNCTION("""COMPUTED_VALUE"""),83.74)</f>
        <v>83.74</v>
      </c>
      <c r="AS266" s="26">
        <f>IFERROR(__xludf.DUMMYFUNCTION("""COMPUTED_VALUE"""),78.68)</f>
        <v>78.68</v>
      </c>
      <c r="AT266" s="26">
        <f>IFERROR(__xludf.DUMMYFUNCTION("""COMPUTED_VALUE"""),461.97)</f>
        <v>461.97</v>
      </c>
      <c r="AU266" s="26">
        <f>IFERROR(__xludf.DUMMYFUNCTION("""COMPUTED_VALUE"""),70.15)</f>
        <v>70.15</v>
      </c>
      <c r="AV266" s="26">
        <f>IFERROR(__xludf.DUMMYFUNCTION("""COMPUTED_VALUE"""),137.38)</f>
        <v>137.38</v>
      </c>
      <c r="AW266" s="26">
        <f>IFERROR(__xludf.DUMMYFUNCTION("""COMPUTED_VALUE"""),94.21)</f>
        <v>94.21</v>
      </c>
      <c r="AX266" s="26">
        <f>IFERROR(__xludf.DUMMYFUNCTION("""COMPUTED_VALUE"""),59.14)</f>
        <v>59.14</v>
      </c>
      <c r="AY266" s="26">
        <f>IFERROR(__xludf.DUMMYFUNCTION("""COMPUTED_VALUE"""),132.04)</f>
        <v>132.04</v>
      </c>
      <c r="AZ266" s="26">
        <f>IFERROR(__xludf.DUMMYFUNCTION("""COMPUTED_VALUE"""),70.93)</f>
        <v>70.93</v>
      </c>
      <c r="BA266" s="26">
        <f>IFERROR(__xludf.DUMMYFUNCTION("""COMPUTED_VALUE"""),23.46)</f>
        <v>23.46</v>
      </c>
      <c r="BB266" s="26">
        <f>IFERROR(__xludf.DUMMYFUNCTION("""COMPUTED_VALUE"""),137.46)</f>
        <v>137.46</v>
      </c>
      <c r="BC266" s="26">
        <f>IFERROR(__xludf.DUMMYFUNCTION("""COMPUTED_VALUE"""),243.06)</f>
        <v>243.06</v>
      </c>
      <c r="BD266" s="26">
        <f>IFERROR(__xludf.DUMMYFUNCTION("""COMPUTED_VALUE"""),396.47)</f>
        <v>396.47</v>
      </c>
      <c r="BE266" s="26">
        <f>IFERROR(__xludf.DUMMYFUNCTION("""COMPUTED_VALUE"""),189.14)</f>
        <v>189.14</v>
      </c>
      <c r="BF266" s="26">
        <f>IFERROR(__xludf.DUMMYFUNCTION("""COMPUTED_VALUE"""),123.94)</f>
        <v>123.94</v>
      </c>
      <c r="BG266" s="26">
        <f>IFERROR(__xludf.DUMMYFUNCTION("""COMPUTED_VALUE"""),6.51)</f>
        <v>6.51</v>
      </c>
      <c r="BH266" s="26">
        <f>IFERROR(__xludf.DUMMYFUNCTION("""COMPUTED_VALUE"""),218.89)</f>
        <v>218.89</v>
      </c>
      <c r="BI266" s="26">
        <f>IFERROR(__xludf.DUMMYFUNCTION("""COMPUTED_VALUE"""),304.72)</f>
        <v>304.72</v>
      </c>
      <c r="BJ266" s="26">
        <f>IFERROR(__xludf.DUMMYFUNCTION("""COMPUTED_VALUE"""),49.99)</f>
        <v>49.99</v>
      </c>
      <c r="BK266" s="26">
        <f>IFERROR(__xludf.DUMMYFUNCTION("""COMPUTED_VALUE"""),8.69)</f>
        <v>8.69</v>
      </c>
      <c r="BL266" s="26">
        <f>IFERROR(__xludf.DUMMYFUNCTION("""COMPUTED_VALUE"""),242.1)</f>
        <v>242.1</v>
      </c>
      <c r="BM266" s="26">
        <f>IFERROR(__xludf.DUMMYFUNCTION("""COMPUTED_VALUE"""),112.95)</f>
        <v>112.95</v>
      </c>
    </row>
    <row r="267">
      <c r="A267" s="25">
        <v>45812.66666666667</v>
      </c>
      <c r="B267" s="17">
        <f>IFERROR(__xludf.DUMMYFUNCTION("""COMPUTED_VALUE"""),5970.37)</f>
        <v>5970.37</v>
      </c>
      <c r="C267" s="17">
        <f>IFERROR(__xludf.DUMMYFUNCTION("""COMPUTED_VALUE"""),19398.96)</f>
        <v>19398.96</v>
      </c>
      <c r="D267" s="17">
        <f>IFERROR(__xludf.DUMMYFUNCTION("""COMPUTED_VALUE"""),42519.64)</f>
        <v>42519.64</v>
      </c>
      <c r="E267" s="17">
        <f>IFERROR(__xludf.DUMMYFUNCTION("""COMPUTED_VALUE"""),2102.98)</f>
        <v>2102.98</v>
      </c>
      <c r="F267" s="26">
        <f>IFERROR(__xludf.DUMMYFUNCTION("""COMPUTED_VALUE"""),412.49)</f>
        <v>412.49</v>
      </c>
      <c r="G267" s="26">
        <f>IFERROR(__xludf.DUMMYFUNCTION("""COMPUTED_VALUE"""),205.71)</f>
        <v>205.71</v>
      </c>
      <c r="H267" s="26">
        <f>IFERROR(__xludf.DUMMYFUNCTION("""COMPUTED_VALUE"""),141.86)</f>
        <v>141.86</v>
      </c>
      <c r="I267" s="26">
        <f>IFERROR(__xludf.DUMMYFUNCTION("""COMPUTED_VALUE"""),203.27)</f>
        <v>203.27</v>
      </c>
      <c r="J267" s="26">
        <f>IFERROR(__xludf.DUMMYFUNCTION("""COMPUTED_VALUE"""),161.74)</f>
        <v>161.74</v>
      </c>
      <c r="K267" s="26">
        <f>IFERROR(__xludf.DUMMYFUNCTION("""COMPUTED_VALUE"""),89.32)</f>
        <v>89.32</v>
      </c>
      <c r="L267" s="26">
        <f>IFERROR(__xludf.DUMMYFUNCTION("""COMPUTED_VALUE"""),17.99)</f>
        <v>17.99</v>
      </c>
      <c r="M267" s="26">
        <f>IFERROR(__xludf.DUMMYFUNCTION("""COMPUTED_VALUE"""),497.83)</f>
        <v>497.83</v>
      </c>
      <c r="N267" s="26">
        <f>IFERROR(__xludf.DUMMYFUNCTION("""COMPUTED_VALUE"""),48.6)</f>
        <v>48.6</v>
      </c>
      <c r="O267" s="26">
        <f>IFERROR(__xludf.DUMMYFUNCTION("""COMPUTED_VALUE"""),131.84)</f>
        <v>131.84</v>
      </c>
      <c r="P267" s="26">
        <f>IFERROR(__xludf.DUMMYFUNCTION("""COMPUTED_VALUE"""),70.8)</f>
        <v>70.8</v>
      </c>
      <c r="Q267" s="26">
        <f>IFERROR(__xludf.DUMMYFUNCTION("""COMPUTED_VALUE"""),349.4)</f>
        <v>349.4</v>
      </c>
      <c r="R267" s="26">
        <f>IFERROR(__xludf.DUMMYFUNCTION("""COMPUTED_VALUE"""),59.68)</f>
        <v>59.68</v>
      </c>
      <c r="S267" s="26">
        <f>IFERROR(__xludf.DUMMYFUNCTION("""COMPUTED_VALUE"""),229.88)</f>
        <v>229.88</v>
      </c>
      <c r="T267" s="26">
        <f>IFERROR(__xludf.DUMMYFUNCTION("""COMPUTED_VALUE"""),139.55)</f>
        <v>139.55</v>
      </c>
      <c r="U267" s="26">
        <f>IFERROR(__xludf.DUMMYFUNCTION("""COMPUTED_VALUE"""),311.67)</f>
        <v>311.67</v>
      </c>
      <c r="V267" s="26">
        <f>IFERROR(__xludf.DUMMYFUNCTION("""COMPUTED_VALUE"""),40.83)</f>
        <v>40.83</v>
      </c>
      <c r="W267" s="26">
        <f>IFERROR(__xludf.DUMMYFUNCTION("""COMPUTED_VALUE"""),71.16)</f>
        <v>71.16</v>
      </c>
      <c r="X267" s="26">
        <f>IFERROR(__xludf.DUMMYFUNCTION("""COMPUTED_VALUE"""),103.24)</f>
        <v>103.24</v>
      </c>
      <c r="Y267" s="26">
        <f>IFERROR(__xludf.DUMMYFUNCTION("""COMPUTED_VALUE"""),173.74)</f>
        <v>173.74</v>
      </c>
      <c r="Z267" s="26">
        <f>IFERROR(__xludf.DUMMYFUNCTION("""COMPUTED_VALUE"""),96.72)</f>
        <v>96.72</v>
      </c>
      <c r="AA267" s="26">
        <f>IFERROR(__xludf.DUMMYFUNCTION("""COMPUTED_VALUE"""),464.53)</f>
        <v>464.53</v>
      </c>
      <c r="AB267" s="26">
        <f>IFERROR(__xludf.DUMMYFUNCTION("""COMPUTED_VALUE"""),75.95)</f>
        <v>75.95</v>
      </c>
      <c r="AC267" s="26">
        <f>IFERROR(__xludf.DUMMYFUNCTION("""COMPUTED_VALUE"""),103.8)</f>
        <v>103.8</v>
      </c>
      <c r="AD267" s="26">
        <f>IFERROR(__xludf.DUMMYFUNCTION("""COMPUTED_VALUE"""),219.78)</f>
        <v>219.78</v>
      </c>
      <c r="AE267" s="26">
        <f>IFERROR(__xludf.DUMMYFUNCTION("""COMPUTED_VALUE"""),475.74)</f>
        <v>475.74</v>
      </c>
      <c r="AF267" s="26">
        <f>IFERROR(__xludf.DUMMYFUNCTION("""COMPUTED_VALUE"""),276.04)</f>
        <v>276.04</v>
      </c>
      <c r="AG267" s="26">
        <f>IFERROR(__xludf.DUMMYFUNCTION("""COMPUTED_VALUE"""),49.06)</f>
        <v>49.06</v>
      </c>
      <c r="AH267" s="26">
        <f>IFERROR(__xludf.DUMMYFUNCTION("""COMPUTED_VALUE"""),109.33)</f>
        <v>109.33</v>
      </c>
      <c r="AI267" s="26">
        <f>IFERROR(__xludf.DUMMYFUNCTION("""COMPUTED_VALUE"""),603.83)</f>
        <v>603.83</v>
      </c>
      <c r="AJ267" s="26">
        <f>IFERROR(__xludf.DUMMYFUNCTION("""COMPUTED_VALUE"""),373.08)</f>
        <v>373.08</v>
      </c>
      <c r="AK267" s="26">
        <f>IFERROR(__xludf.DUMMYFUNCTION("""COMPUTED_VALUE"""),145.25)</f>
        <v>145.25</v>
      </c>
      <c r="AL267" s="26">
        <f>IFERROR(__xludf.DUMMYFUNCTION("""COMPUTED_VALUE"""),179.34)</f>
        <v>179.34</v>
      </c>
      <c r="AM267" s="26">
        <f>IFERROR(__xludf.DUMMYFUNCTION("""COMPUTED_VALUE"""),551.85)</f>
        <v>551.85</v>
      </c>
      <c r="AN267" s="26">
        <f>IFERROR(__xludf.DUMMYFUNCTION("""COMPUTED_VALUE"""),266.27)</f>
        <v>266.27</v>
      </c>
      <c r="AO267" s="26">
        <f>IFERROR(__xludf.DUMMYFUNCTION("""COMPUTED_VALUE"""),480.17)</f>
        <v>480.17</v>
      </c>
      <c r="AP267" s="26">
        <f>IFERROR(__xludf.DUMMYFUNCTION("""COMPUTED_VALUE"""),334.91)</f>
        <v>334.91</v>
      </c>
      <c r="AQ267" s="26">
        <f>IFERROR(__xludf.DUMMYFUNCTION("""COMPUTED_VALUE"""),31.94)</f>
        <v>31.94</v>
      </c>
      <c r="AR267" s="26">
        <f>IFERROR(__xludf.DUMMYFUNCTION("""COMPUTED_VALUE"""),85.54)</f>
        <v>85.54</v>
      </c>
      <c r="AS267" s="26">
        <f>IFERROR(__xludf.DUMMYFUNCTION("""COMPUTED_VALUE"""),79.32)</f>
        <v>79.32</v>
      </c>
      <c r="AT267" s="26">
        <f>IFERROR(__xludf.DUMMYFUNCTION("""COMPUTED_VALUE"""),462.97)</f>
        <v>462.97</v>
      </c>
      <c r="AU267" s="26">
        <f>IFERROR(__xludf.DUMMYFUNCTION("""COMPUTED_VALUE"""),70.95)</f>
        <v>70.95</v>
      </c>
      <c r="AV267" s="26">
        <f>IFERROR(__xludf.DUMMYFUNCTION("""COMPUTED_VALUE"""),141.22)</f>
        <v>141.22</v>
      </c>
      <c r="AW267" s="26">
        <f>IFERROR(__xludf.DUMMYFUNCTION("""COMPUTED_VALUE"""),94.89)</f>
        <v>94.89</v>
      </c>
      <c r="AX267" s="26">
        <f>IFERROR(__xludf.DUMMYFUNCTION("""COMPUTED_VALUE"""),58.53)</f>
        <v>58.53</v>
      </c>
      <c r="AY267" s="26">
        <f>IFERROR(__xludf.DUMMYFUNCTION("""COMPUTED_VALUE"""),133.17)</f>
        <v>133.17</v>
      </c>
      <c r="AZ267" s="26">
        <f>IFERROR(__xludf.DUMMYFUNCTION("""COMPUTED_VALUE"""),71.33)</f>
        <v>71.33</v>
      </c>
      <c r="BA267" s="26">
        <f>IFERROR(__xludf.DUMMYFUNCTION("""COMPUTED_VALUE"""),23.35)</f>
        <v>23.35</v>
      </c>
      <c r="BB267" s="26">
        <f>IFERROR(__xludf.DUMMYFUNCTION("""COMPUTED_VALUE"""),137.5)</f>
        <v>137.5</v>
      </c>
      <c r="BC267" s="26">
        <f>IFERROR(__xludf.DUMMYFUNCTION("""COMPUTED_VALUE"""),243.88)</f>
        <v>243.88</v>
      </c>
      <c r="BD267" s="26">
        <f>IFERROR(__xludf.DUMMYFUNCTION("""COMPUTED_VALUE"""),399.93)</f>
        <v>399.93</v>
      </c>
      <c r="BE267" s="26">
        <f>IFERROR(__xludf.DUMMYFUNCTION("""COMPUTED_VALUE"""),191.4)</f>
        <v>191.4</v>
      </c>
      <c r="BF267" s="26">
        <f>IFERROR(__xludf.DUMMYFUNCTION("""COMPUTED_VALUE"""),128.74)</f>
        <v>128.74</v>
      </c>
      <c r="BG267" s="26">
        <f>IFERROR(__xludf.DUMMYFUNCTION("""COMPUTED_VALUE"""),6.54)</f>
        <v>6.54</v>
      </c>
      <c r="BH267" s="26">
        <f>IFERROR(__xludf.DUMMYFUNCTION("""COMPUTED_VALUE"""),221.78)</f>
        <v>221.78</v>
      </c>
      <c r="BI267" s="26">
        <f>IFERROR(__xludf.DUMMYFUNCTION("""COMPUTED_VALUE"""),301.22)</f>
        <v>301.22</v>
      </c>
      <c r="BJ267" s="26">
        <f>IFERROR(__xludf.DUMMYFUNCTION("""COMPUTED_VALUE"""),49.96)</f>
        <v>49.96</v>
      </c>
      <c r="BK267" s="26">
        <f>IFERROR(__xludf.DUMMYFUNCTION("""COMPUTED_VALUE"""),8.71)</f>
        <v>8.71</v>
      </c>
      <c r="BL267" s="26">
        <f>IFERROR(__xludf.DUMMYFUNCTION("""COMPUTED_VALUE"""),240.19)</f>
        <v>240.19</v>
      </c>
      <c r="BM267" s="26">
        <f>IFERROR(__xludf.DUMMYFUNCTION("""COMPUTED_VALUE"""),113.6)</f>
        <v>113.6</v>
      </c>
    </row>
    <row r="268">
      <c r="A268" s="25">
        <v>45813.66666666667</v>
      </c>
      <c r="B268" s="17">
        <f>IFERROR(__xludf.DUMMYFUNCTION("""COMPUTED_VALUE"""),5970.81)</f>
        <v>5970.81</v>
      </c>
      <c r="C268" s="17">
        <f>IFERROR(__xludf.DUMMYFUNCTION("""COMPUTED_VALUE"""),19460.49)</f>
        <v>19460.49</v>
      </c>
      <c r="D268" s="17">
        <f>IFERROR(__xludf.DUMMYFUNCTION("""COMPUTED_VALUE"""),42427.74)</f>
        <v>42427.74</v>
      </c>
      <c r="E268" s="17">
        <f>IFERROR(__xludf.DUMMYFUNCTION("""COMPUTED_VALUE"""),2098.48)</f>
        <v>2098.48</v>
      </c>
      <c r="F268" s="26">
        <f>IFERROR(__xludf.DUMMYFUNCTION("""COMPUTED_VALUE"""),413.91)</f>
        <v>413.91</v>
      </c>
      <c r="G268" s="26">
        <f>IFERROR(__xludf.DUMMYFUNCTION("""COMPUTED_VALUE"""),207.23)</f>
        <v>207.23</v>
      </c>
      <c r="H268" s="26">
        <f>IFERROR(__xludf.DUMMYFUNCTION("""COMPUTED_VALUE"""),138.84)</f>
        <v>138.84</v>
      </c>
      <c r="I268" s="26">
        <f>IFERROR(__xludf.DUMMYFUNCTION("""COMPUTED_VALUE"""),202.82)</f>
        <v>202.82</v>
      </c>
      <c r="J268" s="26">
        <f>IFERROR(__xludf.DUMMYFUNCTION("""COMPUTED_VALUE"""),161.93)</f>
        <v>161.93</v>
      </c>
      <c r="K268" s="26">
        <f>IFERROR(__xludf.DUMMYFUNCTION("""COMPUTED_VALUE"""),88.33)</f>
        <v>88.33</v>
      </c>
      <c r="L268" s="26">
        <f>IFERROR(__xludf.DUMMYFUNCTION("""COMPUTED_VALUE"""),17.69)</f>
        <v>17.69</v>
      </c>
      <c r="M268" s="26">
        <f>IFERROR(__xludf.DUMMYFUNCTION("""COMPUTED_VALUE"""),491.0)</f>
        <v>491</v>
      </c>
      <c r="N268" s="26">
        <f>IFERROR(__xludf.DUMMYFUNCTION("""COMPUTED_VALUE"""),49.1)</f>
        <v>49.1</v>
      </c>
      <c r="O268" s="26">
        <f>IFERROR(__xludf.DUMMYFUNCTION("""COMPUTED_VALUE"""),131.86)</f>
        <v>131.86</v>
      </c>
      <c r="P268" s="26">
        <f>IFERROR(__xludf.DUMMYFUNCTION("""COMPUTED_VALUE"""),71.39)</f>
        <v>71.39</v>
      </c>
      <c r="Q268" s="26">
        <f>IFERROR(__xludf.DUMMYFUNCTION("""COMPUTED_VALUE"""),349.33)</f>
        <v>349.33</v>
      </c>
      <c r="R268" s="26">
        <f>IFERROR(__xludf.DUMMYFUNCTION("""COMPUTED_VALUE"""),59.95)</f>
        <v>59.95</v>
      </c>
      <c r="S268" s="26">
        <f>IFERROR(__xludf.DUMMYFUNCTION("""COMPUTED_VALUE"""),230.91)</f>
        <v>230.91</v>
      </c>
      <c r="T268" s="26">
        <f>IFERROR(__xludf.DUMMYFUNCTION("""COMPUTED_VALUE"""),137.37)</f>
        <v>137.37</v>
      </c>
      <c r="U268" s="26">
        <f>IFERROR(__xludf.DUMMYFUNCTION("""COMPUTED_VALUE"""),310.12)</f>
        <v>310.12</v>
      </c>
      <c r="V268" s="26">
        <f>IFERROR(__xludf.DUMMYFUNCTION("""COMPUTED_VALUE"""),40.17)</f>
        <v>40.17</v>
      </c>
      <c r="W268" s="26">
        <f>IFERROR(__xludf.DUMMYFUNCTION("""COMPUTED_VALUE"""),71.37)</f>
        <v>71.37</v>
      </c>
      <c r="X268" s="26">
        <f>IFERROR(__xludf.DUMMYFUNCTION("""COMPUTED_VALUE"""),102.21)</f>
        <v>102.21</v>
      </c>
      <c r="Y268" s="26">
        <f>IFERROR(__xludf.DUMMYFUNCTION("""COMPUTED_VALUE"""),176.0)</f>
        <v>176</v>
      </c>
      <c r="Z268" s="26">
        <f>IFERROR(__xludf.DUMMYFUNCTION("""COMPUTED_VALUE"""),88.62)</f>
        <v>88.62</v>
      </c>
      <c r="AA268" s="26">
        <f>IFERROR(__xludf.DUMMYFUNCTION("""COMPUTED_VALUE"""),465.91)</f>
        <v>465.91</v>
      </c>
      <c r="AB268" s="26">
        <f>IFERROR(__xludf.DUMMYFUNCTION("""COMPUTED_VALUE"""),77.1)</f>
        <v>77.1</v>
      </c>
      <c r="AC268" s="26">
        <f>IFERROR(__xludf.DUMMYFUNCTION("""COMPUTED_VALUE"""),102.3)</f>
        <v>102.3</v>
      </c>
      <c r="AD268" s="26">
        <f>IFERROR(__xludf.DUMMYFUNCTION("""COMPUTED_VALUE"""),218.89)</f>
        <v>218.89</v>
      </c>
      <c r="AE268" s="26">
        <f>IFERROR(__xludf.DUMMYFUNCTION("""COMPUTED_VALUE"""),480.96)</f>
        <v>480.96</v>
      </c>
      <c r="AF268" s="26">
        <f>IFERROR(__xludf.DUMMYFUNCTION("""COMPUTED_VALUE"""),275.03)</f>
        <v>275.03</v>
      </c>
      <c r="AG268" s="26">
        <f>IFERROR(__xludf.DUMMYFUNCTION("""COMPUTED_VALUE"""),47.67)</f>
        <v>47.67</v>
      </c>
      <c r="AH268" s="26">
        <f>IFERROR(__xludf.DUMMYFUNCTION("""COMPUTED_VALUE"""),109.02)</f>
        <v>109.02</v>
      </c>
      <c r="AI268" s="26">
        <f>IFERROR(__xludf.DUMMYFUNCTION("""COMPUTED_VALUE"""),599.21)</f>
        <v>599.21</v>
      </c>
      <c r="AJ268" s="26">
        <f>IFERROR(__xludf.DUMMYFUNCTION("""COMPUTED_VALUE"""),372.4)</f>
        <v>372.4</v>
      </c>
      <c r="AK268" s="26">
        <f>IFERROR(__xludf.DUMMYFUNCTION("""COMPUTED_VALUE"""),144.88)</f>
        <v>144.88</v>
      </c>
      <c r="AL268" s="26">
        <f>IFERROR(__xludf.DUMMYFUNCTION("""COMPUTED_VALUE"""),179.13)</f>
        <v>179.13</v>
      </c>
      <c r="AM268" s="26">
        <f>IFERROR(__xludf.DUMMYFUNCTION("""COMPUTED_VALUE"""),557.95)</f>
        <v>557.95</v>
      </c>
      <c r="AN268" s="26">
        <f>IFERROR(__xludf.DUMMYFUNCTION("""COMPUTED_VALUE"""),264.22)</f>
        <v>264.22</v>
      </c>
      <c r="AO268" s="26">
        <f>IFERROR(__xludf.DUMMYFUNCTION("""COMPUTED_VALUE"""),482.21)</f>
        <v>482.21</v>
      </c>
      <c r="AP268" s="26">
        <f>IFERROR(__xludf.DUMMYFUNCTION("""COMPUTED_VALUE"""),335.19)</f>
        <v>335.19</v>
      </c>
      <c r="AQ268" s="26">
        <f>IFERROR(__xludf.DUMMYFUNCTION("""COMPUTED_VALUE"""),31.94)</f>
        <v>31.94</v>
      </c>
      <c r="AR268" s="26">
        <f>IFERROR(__xludf.DUMMYFUNCTION("""COMPUTED_VALUE"""),85.6)</f>
        <v>85.6</v>
      </c>
      <c r="AS268" s="26">
        <f>IFERROR(__xludf.DUMMYFUNCTION("""COMPUTED_VALUE"""),78.81)</f>
        <v>78.81</v>
      </c>
      <c r="AT268" s="26">
        <f>IFERROR(__xludf.DUMMYFUNCTION("""COMPUTED_VALUE"""),463.87)</f>
        <v>463.87</v>
      </c>
      <c r="AU268" s="26">
        <f>IFERROR(__xludf.DUMMYFUNCTION("""COMPUTED_VALUE"""),69.88)</f>
        <v>69.88</v>
      </c>
      <c r="AV268" s="26">
        <f>IFERROR(__xludf.DUMMYFUNCTION("""COMPUTED_VALUE"""),141.92)</f>
        <v>141.92</v>
      </c>
      <c r="AW268" s="26">
        <f>IFERROR(__xludf.DUMMYFUNCTION("""COMPUTED_VALUE"""),95.27)</f>
        <v>95.27</v>
      </c>
      <c r="AX268" s="26">
        <f>IFERROR(__xludf.DUMMYFUNCTION("""COMPUTED_VALUE"""),58.03)</f>
        <v>58.03</v>
      </c>
      <c r="AY268" s="26">
        <f>IFERROR(__xludf.DUMMYFUNCTION("""COMPUTED_VALUE"""),130.01)</f>
        <v>130.01</v>
      </c>
      <c r="AZ268" s="26">
        <f>IFERROR(__xludf.DUMMYFUNCTION("""COMPUTED_VALUE"""),72.8)</f>
        <v>72.8</v>
      </c>
      <c r="BA268" s="26">
        <f>IFERROR(__xludf.DUMMYFUNCTION("""COMPUTED_VALUE"""),23.39)</f>
        <v>23.39</v>
      </c>
      <c r="BB268" s="26">
        <f>IFERROR(__xludf.DUMMYFUNCTION("""COMPUTED_VALUE"""),138.55)</f>
        <v>138.55</v>
      </c>
      <c r="BC268" s="26">
        <f>IFERROR(__xludf.DUMMYFUNCTION("""COMPUTED_VALUE"""),241.96)</f>
        <v>241.96</v>
      </c>
      <c r="BD268" s="26">
        <f>IFERROR(__xludf.DUMMYFUNCTION("""COMPUTED_VALUE"""),403.66)</f>
        <v>403.66</v>
      </c>
      <c r="BE268" s="26">
        <f>IFERROR(__xludf.DUMMYFUNCTION("""COMPUTED_VALUE"""),187.96)</f>
        <v>187.96</v>
      </c>
      <c r="BF268" s="26">
        <f>IFERROR(__xludf.DUMMYFUNCTION("""COMPUTED_VALUE"""),129.81)</f>
        <v>129.81</v>
      </c>
      <c r="BG268" s="26">
        <f>IFERROR(__xludf.DUMMYFUNCTION("""COMPUTED_VALUE"""),6.6)</f>
        <v>6.6</v>
      </c>
      <c r="BH268" s="26">
        <f>IFERROR(__xludf.DUMMYFUNCTION("""COMPUTED_VALUE"""),220.87)</f>
        <v>220.87</v>
      </c>
      <c r="BI268" s="26">
        <f>IFERROR(__xludf.DUMMYFUNCTION("""COMPUTED_VALUE"""),300.38)</f>
        <v>300.38</v>
      </c>
      <c r="BJ268" s="26">
        <f>IFERROR(__xludf.DUMMYFUNCTION("""COMPUTED_VALUE"""),50.01)</f>
        <v>50.01</v>
      </c>
      <c r="BK268" s="26">
        <f>IFERROR(__xludf.DUMMYFUNCTION("""COMPUTED_VALUE"""),8.59)</f>
        <v>8.59</v>
      </c>
      <c r="BL268" s="26">
        <f>IFERROR(__xludf.DUMMYFUNCTION("""COMPUTED_VALUE"""),238.89)</f>
        <v>238.89</v>
      </c>
      <c r="BM268" s="26">
        <f>IFERROR(__xludf.DUMMYFUNCTION("""COMPUTED_VALUE"""),113.49)</f>
        <v>113.49</v>
      </c>
    </row>
    <row r="269">
      <c r="A269" s="25">
        <v>45814.66666666667</v>
      </c>
      <c r="B269" s="17">
        <f>IFERROR(__xludf.DUMMYFUNCTION("""COMPUTED_VALUE"""),5939.3)</f>
        <v>5939.3</v>
      </c>
      <c r="C269" s="17">
        <f>IFERROR(__xludf.DUMMYFUNCTION("""COMPUTED_VALUE"""),19298.45)</f>
        <v>19298.45</v>
      </c>
      <c r="D269" s="17">
        <f>IFERROR(__xludf.DUMMYFUNCTION("""COMPUTED_VALUE"""),42319.74)</f>
        <v>42319.74</v>
      </c>
      <c r="E269" s="17">
        <f>IFERROR(__xludf.DUMMYFUNCTION("""COMPUTED_VALUE"""),2097.35)</f>
        <v>2097.35</v>
      </c>
      <c r="F269" s="26">
        <f>IFERROR(__xludf.DUMMYFUNCTION("""COMPUTED_VALUE"""),415.2)</f>
        <v>415.2</v>
      </c>
      <c r="G269" s="26">
        <f>IFERROR(__xludf.DUMMYFUNCTION("""COMPUTED_VALUE"""),207.91)</f>
        <v>207.91</v>
      </c>
      <c r="H269" s="26">
        <f>IFERROR(__xludf.DUMMYFUNCTION("""COMPUTED_VALUE"""),140.02)</f>
        <v>140.02</v>
      </c>
      <c r="I269" s="26">
        <f>IFERROR(__xludf.DUMMYFUNCTION("""COMPUTED_VALUE"""),200.63)</f>
        <v>200.63</v>
      </c>
      <c r="J269" s="26">
        <f>IFERROR(__xludf.DUMMYFUNCTION("""COMPUTED_VALUE"""),164.19)</f>
        <v>164.19</v>
      </c>
      <c r="K269" s="26">
        <f>IFERROR(__xludf.DUMMYFUNCTION("""COMPUTED_VALUE"""),88.58)</f>
        <v>88.58</v>
      </c>
      <c r="L269" s="26">
        <f>IFERROR(__xludf.DUMMYFUNCTION("""COMPUTED_VALUE"""),17.87)</f>
        <v>17.87</v>
      </c>
      <c r="M269" s="26">
        <f>IFERROR(__xludf.DUMMYFUNCTION("""COMPUTED_VALUE"""),488.74)</f>
        <v>488.74</v>
      </c>
      <c r="N269" s="26">
        <f>IFERROR(__xludf.DUMMYFUNCTION("""COMPUTED_VALUE"""),49.83)</f>
        <v>49.83</v>
      </c>
      <c r="O269" s="26">
        <f>IFERROR(__xludf.DUMMYFUNCTION("""COMPUTED_VALUE"""),130.36)</f>
        <v>130.36</v>
      </c>
      <c r="P269" s="26">
        <f>IFERROR(__xludf.DUMMYFUNCTION("""COMPUTED_VALUE"""),71.4)</f>
        <v>71.4</v>
      </c>
      <c r="Q269" s="26">
        <f>IFERROR(__xludf.DUMMYFUNCTION("""COMPUTED_VALUE"""),348.96)</f>
        <v>348.96</v>
      </c>
      <c r="R269" s="26">
        <f>IFERROR(__xludf.DUMMYFUNCTION("""COMPUTED_VALUE"""),60.03)</f>
        <v>60.03</v>
      </c>
      <c r="S269" s="26">
        <f>IFERROR(__xludf.DUMMYFUNCTION("""COMPUTED_VALUE"""),231.11)</f>
        <v>231.11</v>
      </c>
      <c r="T269" s="26">
        <f>IFERROR(__xludf.DUMMYFUNCTION("""COMPUTED_VALUE"""),136.9)</f>
        <v>136.9</v>
      </c>
      <c r="U269" s="26">
        <f>IFERROR(__xludf.DUMMYFUNCTION("""COMPUTED_VALUE"""),311.02)</f>
        <v>311.02</v>
      </c>
      <c r="V269" s="26">
        <f>IFERROR(__xludf.DUMMYFUNCTION("""COMPUTED_VALUE"""),40.27)</f>
        <v>40.27</v>
      </c>
      <c r="W269" s="26">
        <f>IFERROR(__xludf.DUMMYFUNCTION("""COMPUTED_VALUE"""),70.91)</f>
        <v>70.91</v>
      </c>
      <c r="X269" s="26">
        <f>IFERROR(__xludf.DUMMYFUNCTION("""COMPUTED_VALUE"""),102.27)</f>
        <v>102.27</v>
      </c>
      <c r="Y269" s="26">
        <f>IFERROR(__xludf.DUMMYFUNCTION("""COMPUTED_VALUE"""),175.91)</f>
        <v>175.91</v>
      </c>
      <c r="Z269" s="26">
        <f>IFERROR(__xludf.DUMMYFUNCTION("""COMPUTED_VALUE"""),96.67)</f>
        <v>96.67</v>
      </c>
      <c r="AA269" s="26">
        <f>IFERROR(__xludf.DUMMYFUNCTION("""COMPUTED_VALUE"""),460.03)</f>
        <v>460.03</v>
      </c>
      <c r="AB269" s="26">
        <f>IFERROR(__xludf.DUMMYFUNCTION("""COMPUTED_VALUE"""),77.74)</f>
        <v>77.74</v>
      </c>
      <c r="AC269" s="26">
        <f>IFERROR(__xludf.DUMMYFUNCTION("""COMPUTED_VALUE"""),101.83)</f>
        <v>101.83</v>
      </c>
      <c r="AD269" s="26">
        <f>IFERROR(__xludf.DUMMYFUNCTION("""COMPUTED_VALUE"""),216.73)</f>
        <v>216.73</v>
      </c>
      <c r="AE269" s="26">
        <f>IFERROR(__xludf.DUMMYFUNCTION("""COMPUTED_VALUE"""),480.36)</f>
        <v>480.36</v>
      </c>
      <c r="AF269" s="26">
        <f>IFERROR(__xludf.DUMMYFUNCTION("""COMPUTED_VALUE"""),274.42)</f>
        <v>274.42</v>
      </c>
      <c r="AG269" s="26">
        <f>IFERROR(__xludf.DUMMYFUNCTION("""COMPUTED_VALUE"""),47.25)</f>
        <v>47.25</v>
      </c>
      <c r="AH269" s="26">
        <f>IFERROR(__xludf.DUMMYFUNCTION("""COMPUTED_VALUE"""),110.46)</f>
        <v>110.46</v>
      </c>
      <c r="AI269" s="26">
        <f>IFERROR(__xludf.DUMMYFUNCTION("""COMPUTED_VALUE"""),605.88)</f>
        <v>605.88</v>
      </c>
      <c r="AJ269" s="26">
        <f>IFERROR(__xludf.DUMMYFUNCTION("""COMPUTED_VALUE"""),369.28)</f>
        <v>369.28</v>
      </c>
      <c r="AK269" s="26">
        <f>IFERROR(__xludf.DUMMYFUNCTION("""COMPUTED_VALUE"""),142.09)</f>
        <v>142.09</v>
      </c>
      <c r="AL269" s="26">
        <f>IFERROR(__xludf.DUMMYFUNCTION("""COMPUTED_VALUE"""),178.56)</f>
        <v>178.56</v>
      </c>
      <c r="AM269" s="26">
        <f>IFERROR(__xludf.DUMMYFUNCTION("""COMPUTED_VALUE"""),558.06)</f>
        <v>558.06</v>
      </c>
      <c r="AN269" s="26">
        <f>IFERROR(__xludf.DUMMYFUNCTION("""COMPUTED_VALUE"""),261.95)</f>
        <v>261.95</v>
      </c>
      <c r="AO269" s="26">
        <f>IFERROR(__xludf.DUMMYFUNCTION("""COMPUTED_VALUE"""),478.03)</f>
        <v>478.03</v>
      </c>
      <c r="AP269" s="26">
        <f>IFERROR(__xludf.DUMMYFUNCTION("""COMPUTED_VALUE"""),330.78)</f>
        <v>330.78</v>
      </c>
      <c r="AQ269" s="26">
        <f>IFERROR(__xludf.DUMMYFUNCTION("""COMPUTED_VALUE"""),32.05)</f>
        <v>32.05</v>
      </c>
      <c r="AR269" s="26">
        <f>IFERROR(__xludf.DUMMYFUNCTION("""COMPUTED_VALUE"""),87.0)</f>
        <v>87</v>
      </c>
      <c r="AS269" s="26">
        <f>IFERROR(__xludf.DUMMYFUNCTION("""COMPUTED_VALUE"""),78.56)</f>
        <v>78.56</v>
      </c>
      <c r="AT269" s="26">
        <f>IFERROR(__xludf.DUMMYFUNCTION("""COMPUTED_VALUE"""),467.68)</f>
        <v>467.68</v>
      </c>
      <c r="AU269" s="26">
        <f>IFERROR(__xludf.DUMMYFUNCTION("""COMPUTED_VALUE"""),71.5)</f>
        <v>71.5</v>
      </c>
      <c r="AV269" s="26">
        <f>IFERROR(__xludf.DUMMYFUNCTION("""COMPUTED_VALUE"""),139.99)</f>
        <v>139.99</v>
      </c>
      <c r="AW269" s="26">
        <f>IFERROR(__xludf.DUMMYFUNCTION("""COMPUTED_VALUE"""),95.28)</f>
        <v>95.28</v>
      </c>
      <c r="AX269" s="26">
        <f>IFERROR(__xludf.DUMMYFUNCTION("""COMPUTED_VALUE"""),56.95)</f>
        <v>56.95</v>
      </c>
      <c r="AY269" s="26">
        <f>IFERROR(__xludf.DUMMYFUNCTION("""COMPUTED_VALUE"""),119.91)</f>
        <v>119.91</v>
      </c>
      <c r="AZ269" s="26">
        <f>IFERROR(__xludf.DUMMYFUNCTION("""COMPUTED_VALUE"""),72.47)</f>
        <v>72.47</v>
      </c>
      <c r="BA269" s="26">
        <f>IFERROR(__xludf.DUMMYFUNCTION("""COMPUTED_VALUE"""),23.12)</f>
        <v>23.12</v>
      </c>
      <c r="BB269" s="26">
        <f>IFERROR(__xludf.DUMMYFUNCTION("""COMPUTED_VALUE"""),139.07)</f>
        <v>139.07</v>
      </c>
      <c r="BC269" s="26">
        <f>IFERROR(__xludf.DUMMYFUNCTION("""COMPUTED_VALUE"""),244.9)</f>
        <v>244.9</v>
      </c>
      <c r="BD269" s="26">
        <f>IFERROR(__xludf.DUMMYFUNCTION("""COMPUTED_VALUE"""),398.36)</f>
        <v>398.36</v>
      </c>
      <c r="BE269" s="26">
        <f>IFERROR(__xludf.DUMMYFUNCTION("""COMPUTED_VALUE"""),184.4)</f>
        <v>184.4</v>
      </c>
      <c r="BF269" s="26">
        <f>IFERROR(__xludf.DUMMYFUNCTION("""COMPUTED_VALUE"""),135.59)</f>
        <v>135.59</v>
      </c>
      <c r="BG269" s="26">
        <f>IFERROR(__xludf.DUMMYFUNCTION("""COMPUTED_VALUE"""),6.57)</f>
        <v>6.57</v>
      </c>
      <c r="BH269" s="26">
        <f>IFERROR(__xludf.DUMMYFUNCTION("""COMPUTED_VALUE"""),220.65)</f>
        <v>220.65</v>
      </c>
      <c r="BI269" s="26">
        <f>IFERROR(__xludf.DUMMYFUNCTION("""COMPUTED_VALUE"""),295.84)</f>
        <v>295.84</v>
      </c>
      <c r="BJ269" s="26">
        <f>IFERROR(__xludf.DUMMYFUNCTION("""COMPUTED_VALUE"""),49.94)</f>
        <v>49.94</v>
      </c>
      <c r="BK269" s="26">
        <f>IFERROR(__xludf.DUMMYFUNCTION("""COMPUTED_VALUE"""),8.46)</f>
        <v>8.46</v>
      </c>
      <c r="BL269" s="26">
        <f>IFERROR(__xludf.DUMMYFUNCTION("""COMPUTED_VALUE"""),238.64)</f>
        <v>238.64</v>
      </c>
      <c r="BM269" s="26">
        <f>IFERROR(__xludf.DUMMYFUNCTION("""COMPUTED_VALUE"""),112.53)</f>
        <v>112.53</v>
      </c>
    </row>
    <row r="270">
      <c r="A270" s="25">
        <v>45817.66666666667</v>
      </c>
      <c r="B270" s="17">
        <f>IFERROR(__xludf.DUMMYFUNCTION("""COMPUTED_VALUE"""),6000.36)</f>
        <v>6000.36</v>
      </c>
      <c r="C270" s="17">
        <f>IFERROR(__xludf.DUMMYFUNCTION("""COMPUTED_VALUE"""),19529.95)</f>
        <v>19529.95</v>
      </c>
      <c r="D270" s="17">
        <f>IFERROR(__xludf.DUMMYFUNCTION("""COMPUTED_VALUE"""),42762.87)</f>
        <v>42762.87</v>
      </c>
      <c r="E270" s="17">
        <f>IFERROR(__xludf.DUMMYFUNCTION("""COMPUTED_VALUE"""),2132.25)</f>
        <v>2132.25</v>
      </c>
      <c r="F270" s="26">
        <f>IFERROR(__xludf.DUMMYFUNCTION("""COMPUTED_VALUE"""),416.92)</f>
        <v>416.92</v>
      </c>
      <c r="G270" s="26">
        <f>IFERROR(__xludf.DUMMYFUNCTION("""COMPUTED_VALUE"""),213.57)</f>
        <v>213.57</v>
      </c>
      <c r="H270" s="26">
        <f>IFERROR(__xludf.DUMMYFUNCTION("""COMPUTED_VALUE"""),140.05)</f>
        <v>140.05</v>
      </c>
      <c r="I270" s="26">
        <f>IFERROR(__xludf.DUMMYFUNCTION("""COMPUTED_VALUE"""),203.92)</f>
        <v>203.92</v>
      </c>
      <c r="J270" s="26">
        <f>IFERROR(__xludf.DUMMYFUNCTION("""COMPUTED_VALUE"""),166.74)</f>
        <v>166.74</v>
      </c>
      <c r="K270" s="26">
        <f>IFERROR(__xludf.DUMMYFUNCTION("""COMPUTED_VALUE"""),90.32)</f>
        <v>90.32</v>
      </c>
      <c r="L270" s="26">
        <f>IFERROR(__xludf.DUMMYFUNCTION("""COMPUTED_VALUE"""),18.21)</f>
        <v>18.21</v>
      </c>
      <c r="M270" s="26">
        <f>IFERROR(__xludf.DUMMYFUNCTION("""COMPUTED_VALUE"""),493.53)</f>
        <v>493.53</v>
      </c>
      <c r="N270" s="26">
        <f>IFERROR(__xludf.DUMMYFUNCTION("""COMPUTED_VALUE"""),49.58)</f>
        <v>49.58</v>
      </c>
      <c r="O270" s="26">
        <f>IFERROR(__xludf.DUMMYFUNCTION("""COMPUTED_VALUE"""),133.13)</f>
        <v>133.13</v>
      </c>
      <c r="P270" s="26">
        <f>IFERROR(__xludf.DUMMYFUNCTION("""COMPUTED_VALUE"""),71.04)</f>
        <v>71.04</v>
      </c>
      <c r="Q270" s="26">
        <f>IFERROR(__xludf.DUMMYFUNCTION("""COMPUTED_VALUE"""),353.35)</f>
        <v>353.35</v>
      </c>
      <c r="R270" s="26">
        <f>IFERROR(__xludf.DUMMYFUNCTION("""COMPUTED_VALUE"""),60.42)</f>
        <v>60.42</v>
      </c>
      <c r="S270" s="26">
        <f>IFERROR(__xludf.DUMMYFUNCTION("""COMPUTED_VALUE"""),233.47)</f>
        <v>233.47</v>
      </c>
      <c r="T270" s="26">
        <f>IFERROR(__xludf.DUMMYFUNCTION("""COMPUTED_VALUE"""),140.21)</f>
        <v>140.21</v>
      </c>
      <c r="U270" s="26">
        <f>IFERROR(__xludf.DUMMYFUNCTION("""COMPUTED_VALUE"""),312.18)</f>
        <v>312.18</v>
      </c>
      <c r="V270" s="26">
        <f>IFERROR(__xludf.DUMMYFUNCTION("""COMPUTED_VALUE"""),41.37)</f>
        <v>41.37</v>
      </c>
      <c r="W270" s="26">
        <f>IFERROR(__xludf.DUMMYFUNCTION("""COMPUTED_VALUE"""),71.35)</f>
        <v>71.35</v>
      </c>
      <c r="X270" s="26">
        <f>IFERROR(__xludf.DUMMYFUNCTION("""COMPUTED_VALUE"""),101.61)</f>
        <v>101.61</v>
      </c>
      <c r="Y270" s="26">
        <f>IFERROR(__xludf.DUMMYFUNCTION("""COMPUTED_VALUE"""),176.84)</f>
        <v>176.84</v>
      </c>
      <c r="Z270" s="26">
        <f>IFERROR(__xludf.DUMMYFUNCTION("""COMPUTED_VALUE"""),94.5)</f>
        <v>94.5</v>
      </c>
      <c r="AA270" s="26">
        <f>IFERROR(__xludf.DUMMYFUNCTION("""COMPUTED_VALUE"""),468.21)</f>
        <v>468.21</v>
      </c>
      <c r="AB270" s="26">
        <f>IFERROR(__xludf.DUMMYFUNCTION("""COMPUTED_VALUE"""),78.61)</f>
        <v>78.61</v>
      </c>
      <c r="AC270" s="26">
        <f>IFERROR(__xludf.DUMMYFUNCTION("""COMPUTED_VALUE"""),104.27)</f>
        <v>104.27</v>
      </c>
      <c r="AD270" s="26">
        <f>IFERROR(__xludf.DUMMYFUNCTION("""COMPUTED_VALUE"""),219.61)</f>
        <v>219.61</v>
      </c>
      <c r="AE270" s="26">
        <f>IFERROR(__xludf.DUMMYFUNCTION("""COMPUTED_VALUE"""),482.61)</f>
        <v>482.61</v>
      </c>
      <c r="AF270" s="26">
        <f>IFERROR(__xludf.DUMMYFUNCTION("""COMPUTED_VALUE"""),276.48)</f>
        <v>276.48</v>
      </c>
      <c r="AG270" s="26">
        <f>IFERROR(__xludf.DUMMYFUNCTION("""COMPUTED_VALUE"""),47.47)</f>
        <v>47.47</v>
      </c>
      <c r="AH270" s="26">
        <f>IFERROR(__xludf.DUMMYFUNCTION("""COMPUTED_VALUE"""),112.46)</f>
        <v>112.46</v>
      </c>
      <c r="AI270" s="26">
        <f>IFERROR(__xludf.DUMMYFUNCTION("""COMPUTED_VALUE"""),614.0)</f>
        <v>614</v>
      </c>
      <c r="AJ270" s="26">
        <f>IFERROR(__xludf.DUMMYFUNCTION("""COMPUTED_VALUE"""),367.33)</f>
        <v>367.33</v>
      </c>
      <c r="AK270" s="26">
        <f>IFERROR(__xludf.DUMMYFUNCTION("""COMPUTED_VALUE"""),142.98)</f>
        <v>142.98</v>
      </c>
      <c r="AL270" s="26">
        <f>IFERROR(__xludf.DUMMYFUNCTION("""COMPUTED_VALUE"""),178.68)</f>
        <v>178.68</v>
      </c>
      <c r="AM270" s="26">
        <f>IFERROR(__xludf.DUMMYFUNCTION("""COMPUTED_VALUE"""),557.08)</f>
        <v>557.08</v>
      </c>
      <c r="AN270" s="26">
        <f>IFERROR(__xludf.DUMMYFUNCTION("""COMPUTED_VALUE"""),265.73)</f>
        <v>265.73</v>
      </c>
      <c r="AO270" s="26">
        <f>IFERROR(__xludf.DUMMYFUNCTION("""COMPUTED_VALUE"""),481.69)</f>
        <v>481.69</v>
      </c>
      <c r="AP270" s="26">
        <f>IFERROR(__xludf.DUMMYFUNCTION("""COMPUTED_VALUE"""),265.27)</f>
        <v>265.27</v>
      </c>
      <c r="AQ270" s="26">
        <f>IFERROR(__xludf.DUMMYFUNCTION("""COMPUTED_VALUE"""),32.44)</f>
        <v>32.44</v>
      </c>
      <c r="AR270" s="26">
        <f>IFERROR(__xludf.DUMMYFUNCTION("""COMPUTED_VALUE"""),87.44)</f>
        <v>87.44</v>
      </c>
      <c r="AS270" s="26">
        <f>IFERROR(__xludf.DUMMYFUNCTION("""COMPUTED_VALUE"""),79.93)</f>
        <v>79.93</v>
      </c>
      <c r="AT270" s="26">
        <f>IFERROR(__xludf.DUMMYFUNCTION("""COMPUTED_VALUE"""),470.38)</f>
        <v>470.38</v>
      </c>
      <c r="AU270" s="26">
        <f>IFERROR(__xludf.DUMMYFUNCTION("""COMPUTED_VALUE"""),72.16)</f>
        <v>72.16</v>
      </c>
      <c r="AV270" s="26">
        <f>IFERROR(__xludf.DUMMYFUNCTION("""COMPUTED_VALUE"""),141.72)</f>
        <v>141.72</v>
      </c>
      <c r="AW270" s="26">
        <f>IFERROR(__xludf.DUMMYFUNCTION("""COMPUTED_VALUE"""),96.06)</f>
        <v>96.06</v>
      </c>
      <c r="AX270" s="26">
        <f>IFERROR(__xludf.DUMMYFUNCTION("""COMPUTED_VALUE"""),56.56)</f>
        <v>56.56</v>
      </c>
      <c r="AY270" s="26">
        <f>IFERROR(__xludf.DUMMYFUNCTION("""COMPUTED_VALUE"""),127.72)</f>
        <v>127.72</v>
      </c>
      <c r="AZ270" s="26">
        <f>IFERROR(__xludf.DUMMYFUNCTION("""COMPUTED_VALUE"""),73.43)</f>
        <v>73.43</v>
      </c>
      <c r="BA270" s="26">
        <f>IFERROR(__xludf.DUMMYFUNCTION("""COMPUTED_VALUE"""),23.35)</f>
        <v>23.35</v>
      </c>
      <c r="BB270" s="26">
        <f>IFERROR(__xludf.DUMMYFUNCTION("""COMPUTED_VALUE"""),139.1)</f>
        <v>139.1</v>
      </c>
      <c r="BC270" s="26">
        <f>IFERROR(__xludf.DUMMYFUNCTION("""COMPUTED_VALUE"""),245.86)</f>
        <v>245.86</v>
      </c>
      <c r="BD270" s="26">
        <f>IFERROR(__xludf.DUMMYFUNCTION("""COMPUTED_VALUE"""),401.9)</f>
        <v>401.9</v>
      </c>
      <c r="BE270" s="26">
        <f>IFERROR(__xludf.DUMMYFUNCTION("""COMPUTED_VALUE"""),185.14)</f>
        <v>185.14</v>
      </c>
      <c r="BF270" s="26">
        <f>IFERROR(__xludf.DUMMYFUNCTION("""COMPUTED_VALUE"""),139.05)</f>
        <v>139.05</v>
      </c>
      <c r="BG270" s="26">
        <f>IFERROR(__xludf.DUMMYFUNCTION("""COMPUTED_VALUE"""),6.74)</f>
        <v>6.74</v>
      </c>
      <c r="BH270" s="26">
        <f>IFERROR(__xludf.DUMMYFUNCTION("""COMPUTED_VALUE"""),223.43)</f>
        <v>223.43</v>
      </c>
      <c r="BI270" s="26">
        <f>IFERROR(__xludf.DUMMYFUNCTION("""COMPUTED_VALUE"""),303.22)</f>
        <v>303.22</v>
      </c>
      <c r="BJ270" s="26">
        <f>IFERROR(__xludf.DUMMYFUNCTION("""COMPUTED_VALUE"""),49.85)</f>
        <v>49.85</v>
      </c>
      <c r="BK270" s="26">
        <f>IFERROR(__xludf.DUMMYFUNCTION("""COMPUTED_VALUE"""),8.71)</f>
        <v>8.71</v>
      </c>
      <c r="BL270" s="26">
        <f>IFERROR(__xludf.DUMMYFUNCTION("""COMPUTED_VALUE"""),236.33)</f>
        <v>236.33</v>
      </c>
      <c r="BM270" s="26">
        <f>IFERROR(__xludf.DUMMYFUNCTION("""COMPUTED_VALUE"""),113.9)</f>
        <v>113.9</v>
      </c>
    </row>
    <row r="271">
      <c r="A271" s="25">
        <v>45818.66666666667</v>
      </c>
      <c r="B271" s="17">
        <f>IFERROR(__xludf.DUMMYFUNCTION("""COMPUTED_VALUE"""),6005.88)</f>
        <v>6005.88</v>
      </c>
      <c r="C271" s="17">
        <f>IFERROR(__xludf.DUMMYFUNCTION("""COMPUTED_VALUE"""),19591.24)</f>
        <v>19591.24</v>
      </c>
      <c r="D271" s="17">
        <f>IFERROR(__xludf.DUMMYFUNCTION("""COMPUTED_VALUE"""),42761.76)</f>
        <v>42761.76</v>
      </c>
      <c r="E271" s="17">
        <f>IFERROR(__xludf.DUMMYFUNCTION("""COMPUTED_VALUE"""),2144.45)</f>
        <v>2144.45</v>
      </c>
      <c r="F271" s="26">
        <f>IFERROR(__xludf.DUMMYFUNCTION("""COMPUTED_VALUE"""),416.26)</f>
        <v>416.26</v>
      </c>
      <c r="G271" s="26">
        <f>IFERROR(__xludf.DUMMYFUNCTION("""COMPUTED_VALUE"""),216.98)</f>
        <v>216.98</v>
      </c>
      <c r="H271" s="26">
        <f>IFERROR(__xludf.DUMMYFUNCTION("""COMPUTED_VALUE"""),139.81)</f>
        <v>139.81</v>
      </c>
      <c r="I271" s="26">
        <f>IFERROR(__xludf.DUMMYFUNCTION("""COMPUTED_VALUE"""),201.45)</f>
        <v>201.45</v>
      </c>
      <c r="J271" s="26">
        <f>IFERROR(__xludf.DUMMYFUNCTION("""COMPUTED_VALUE"""),169.79)</f>
        <v>169.79</v>
      </c>
      <c r="K271" s="26">
        <f>IFERROR(__xludf.DUMMYFUNCTION("""COMPUTED_VALUE"""),90.01)</f>
        <v>90.01</v>
      </c>
      <c r="L271" s="26">
        <f>IFERROR(__xludf.DUMMYFUNCTION("""COMPUTED_VALUE"""),18.13)</f>
        <v>18.13</v>
      </c>
      <c r="M271" s="26">
        <f>IFERROR(__xludf.DUMMYFUNCTION("""COMPUTED_VALUE"""),493.33)</f>
        <v>493.33</v>
      </c>
      <c r="N271" s="26">
        <f>IFERROR(__xludf.DUMMYFUNCTION("""COMPUTED_VALUE"""),50.18)</f>
        <v>50.18</v>
      </c>
      <c r="O271" s="26">
        <f>IFERROR(__xludf.DUMMYFUNCTION("""COMPUTED_VALUE"""),134.15)</f>
        <v>134.15</v>
      </c>
      <c r="P271" s="26">
        <f>IFERROR(__xludf.DUMMYFUNCTION("""COMPUTED_VALUE"""),71.65)</f>
        <v>71.65</v>
      </c>
      <c r="Q271" s="26">
        <f>IFERROR(__xludf.DUMMYFUNCTION("""COMPUTED_VALUE"""),358.07)</f>
        <v>358.07</v>
      </c>
      <c r="R271" s="26">
        <f>IFERROR(__xludf.DUMMYFUNCTION("""COMPUTED_VALUE"""),66.91)</f>
        <v>66.91</v>
      </c>
      <c r="S271" s="26">
        <f>IFERROR(__xludf.DUMMYFUNCTION("""COMPUTED_VALUE"""),227.8)</f>
        <v>227.8</v>
      </c>
      <c r="T271" s="26">
        <f>IFERROR(__xludf.DUMMYFUNCTION("""COMPUTED_VALUE"""),140.76)</f>
        <v>140.76</v>
      </c>
      <c r="U271" s="26">
        <f>IFERROR(__xludf.DUMMYFUNCTION("""COMPUTED_VALUE"""),311.4)</f>
        <v>311.4</v>
      </c>
      <c r="V271" s="26">
        <f>IFERROR(__xludf.DUMMYFUNCTION("""COMPUTED_VALUE"""),41.35)</f>
        <v>41.35</v>
      </c>
      <c r="W271" s="26">
        <f>IFERROR(__xludf.DUMMYFUNCTION("""COMPUTED_VALUE"""),71.77)</f>
        <v>71.77</v>
      </c>
      <c r="X271" s="26">
        <f>IFERROR(__xludf.DUMMYFUNCTION("""COMPUTED_VALUE"""),101.11)</f>
        <v>101.11</v>
      </c>
      <c r="Y271" s="26">
        <f>IFERROR(__xludf.DUMMYFUNCTION("""COMPUTED_VALUE"""),176.68)</f>
        <v>176.68</v>
      </c>
      <c r="Z271" s="26">
        <f>IFERROR(__xludf.DUMMYFUNCTION("""COMPUTED_VALUE"""),93.85)</f>
        <v>93.85</v>
      </c>
      <c r="AA271" s="26">
        <f>IFERROR(__xludf.DUMMYFUNCTION("""COMPUTED_VALUE"""),467.95)</f>
        <v>467.95</v>
      </c>
      <c r="AB271" s="26">
        <f>IFERROR(__xludf.DUMMYFUNCTION("""COMPUTED_VALUE"""),79.36)</f>
        <v>79.36</v>
      </c>
      <c r="AC271" s="26">
        <f>IFERROR(__xludf.DUMMYFUNCTION("""COMPUTED_VALUE"""),104.97)</f>
        <v>104.97</v>
      </c>
      <c r="AD271" s="26">
        <f>IFERROR(__xludf.DUMMYFUNCTION("""COMPUTED_VALUE"""),222.18)</f>
        <v>222.18</v>
      </c>
      <c r="AE271" s="26">
        <f>IFERROR(__xludf.DUMMYFUNCTION("""COMPUTED_VALUE"""),479.12)</f>
        <v>479.12</v>
      </c>
      <c r="AF271" s="26">
        <f>IFERROR(__xludf.DUMMYFUNCTION("""COMPUTED_VALUE"""),277.31)</f>
        <v>277.31</v>
      </c>
      <c r="AG271" s="26">
        <f>IFERROR(__xludf.DUMMYFUNCTION("""COMPUTED_VALUE"""),47.93)</f>
        <v>47.93</v>
      </c>
      <c r="AH271" s="26">
        <f>IFERROR(__xludf.DUMMYFUNCTION("""COMPUTED_VALUE"""),113.0)</f>
        <v>113</v>
      </c>
      <c r="AI271" s="26">
        <f>IFERROR(__xludf.DUMMYFUNCTION("""COMPUTED_VALUE"""),613.52)</f>
        <v>613.52</v>
      </c>
      <c r="AJ271" s="26">
        <f>IFERROR(__xludf.DUMMYFUNCTION("""COMPUTED_VALUE"""),365.2)</f>
        <v>365.2</v>
      </c>
      <c r="AK271" s="26">
        <f>IFERROR(__xludf.DUMMYFUNCTION("""COMPUTED_VALUE"""),140.02)</f>
        <v>140.02</v>
      </c>
      <c r="AL271" s="26">
        <f>IFERROR(__xludf.DUMMYFUNCTION("""COMPUTED_VALUE"""),175.97)</f>
        <v>175.97</v>
      </c>
      <c r="AM271" s="26">
        <f>IFERROR(__xludf.DUMMYFUNCTION("""COMPUTED_VALUE"""),526.15)</f>
        <v>526.15</v>
      </c>
      <c r="AN271" s="26">
        <f>IFERROR(__xludf.DUMMYFUNCTION("""COMPUTED_VALUE"""),266.74)</f>
        <v>266.74</v>
      </c>
      <c r="AO271" s="26">
        <f>IFERROR(__xludf.DUMMYFUNCTION("""COMPUTED_VALUE"""),480.83)</f>
        <v>480.83</v>
      </c>
      <c r="AP271" s="26">
        <f>IFERROR(__xludf.DUMMYFUNCTION("""COMPUTED_VALUE"""),259.04)</f>
        <v>259.04</v>
      </c>
      <c r="AQ271" s="26">
        <f>IFERROR(__xludf.DUMMYFUNCTION("""COMPUTED_VALUE"""),32.33)</f>
        <v>32.33</v>
      </c>
      <c r="AR271" s="26">
        <f>IFERROR(__xludf.DUMMYFUNCTION("""COMPUTED_VALUE"""),87.45)</f>
        <v>87.45</v>
      </c>
      <c r="AS271" s="26">
        <f>IFERROR(__xludf.DUMMYFUNCTION("""COMPUTED_VALUE"""),79.62)</f>
        <v>79.62</v>
      </c>
      <c r="AT271" s="26">
        <f>IFERROR(__xludf.DUMMYFUNCTION("""COMPUTED_VALUE"""),472.75)</f>
        <v>472.75</v>
      </c>
      <c r="AU271" s="26">
        <f>IFERROR(__xludf.DUMMYFUNCTION("""COMPUTED_VALUE"""),71.9)</f>
        <v>71.9</v>
      </c>
      <c r="AV271" s="26">
        <f>IFERROR(__xludf.DUMMYFUNCTION("""COMPUTED_VALUE"""),142.63)</f>
        <v>142.63</v>
      </c>
      <c r="AW271" s="26">
        <f>IFERROR(__xludf.DUMMYFUNCTION("""COMPUTED_VALUE"""),95.32)</f>
        <v>95.32</v>
      </c>
      <c r="AX271" s="26">
        <f>IFERROR(__xludf.DUMMYFUNCTION("""COMPUTED_VALUE"""),56.46)</f>
        <v>56.46</v>
      </c>
      <c r="AY271" s="26">
        <f>IFERROR(__xludf.DUMMYFUNCTION("""COMPUTED_VALUE"""),132.06)</f>
        <v>132.06</v>
      </c>
      <c r="AZ271" s="26">
        <f>IFERROR(__xludf.DUMMYFUNCTION("""COMPUTED_VALUE"""),73.55)</f>
        <v>73.55</v>
      </c>
      <c r="BA271" s="26">
        <f>IFERROR(__xludf.DUMMYFUNCTION("""COMPUTED_VALUE"""),23.97)</f>
        <v>23.97</v>
      </c>
      <c r="BB271" s="26">
        <f>IFERROR(__xludf.DUMMYFUNCTION("""COMPUTED_VALUE"""),140.98)</f>
        <v>140.98</v>
      </c>
      <c r="BC271" s="26">
        <f>IFERROR(__xludf.DUMMYFUNCTION("""COMPUTED_VALUE"""),237.95)</f>
        <v>237.95</v>
      </c>
      <c r="BD271" s="26">
        <f>IFERROR(__xludf.DUMMYFUNCTION("""COMPUTED_VALUE"""),408.53)</f>
        <v>408.53</v>
      </c>
      <c r="BE271" s="26">
        <f>IFERROR(__xludf.DUMMYFUNCTION("""COMPUTED_VALUE"""),183.94)</f>
        <v>183.94</v>
      </c>
      <c r="BF271" s="26">
        <f>IFERROR(__xludf.DUMMYFUNCTION("""COMPUTED_VALUE"""),139.4)</f>
        <v>139.4</v>
      </c>
      <c r="BG271" s="26">
        <f>IFERROR(__xludf.DUMMYFUNCTION("""COMPUTED_VALUE"""),6.75)</f>
        <v>6.75</v>
      </c>
      <c r="BH271" s="26">
        <f>IFERROR(__xludf.DUMMYFUNCTION("""COMPUTED_VALUE"""),224.14)</f>
        <v>224.14</v>
      </c>
      <c r="BI271" s="26">
        <f>IFERROR(__xludf.DUMMYFUNCTION("""COMPUTED_VALUE"""),303.19)</f>
        <v>303.19</v>
      </c>
      <c r="BJ271" s="26">
        <f>IFERROR(__xludf.DUMMYFUNCTION("""COMPUTED_VALUE"""),49.87)</f>
        <v>49.87</v>
      </c>
      <c r="BK271" s="26">
        <f>IFERROR(__xludf.DUMMYFUNCTION("""COMPUTED_VALUE"""),8.81)</f>
        <v>8.81</v>
      </c>
      <c r="BL271" s="26">
        <f>IFERROR(__xludf.DUMMYFUNCTION("""COMPUTED_VALUE"""),233.99)</f>
        <v>233.99</v>
      </c>
      <c r="BM271" s="26">
        <f>IFERROR(__xludf.DUMMYFUNCTION("""COMPUTED_VALUE"""),115.66)</f>
        <v>115.66</v>
      </c>
    </row>
    <row r="272">
      <c r="A272" s="25">
        <v>45819.66666666667</v>
      </c>
      <c r="B272" s="17">
        <f>IFERROR(__xludf.DUMMYFUNCTION("""COMPUTED_VALUE"""),6038.81)</f>
        <v>6038.81</v>
      </c>
      <c r="C272" s="17">
        <f>IFERROR(__xludf.DUMMYFUNCTION("""COMPUTED_VALUE"""),19714.99)</f>
        <v>19714.99</v>
      </c>
      <c r="D272" s="17">
        <f>IFERROR(__xludf.DUMMYFUNCTION("""COMPUTED_VALUE"""),42866.87)</f>
        <v>42866.87</v>
      </c>
      <c r="E272" s="17">
        <f>IFERROR(__xludf.DUMMYFUNCTION("""COMPUTED_VALUE"""),2156.41)</f>
        <v>2156.41</v>
      </c>
      <c r="F272" s="26">
        <f>IFERROR(__xludf.DUMMYFUNCTION("""COMPUTED_VALUE"""),416.06)</f>
        <v>416.06</v>
      </c>
      <c r="G272" s="26">
        <f>IFERROR(__xludf.DUMMYFUNCTION("""COMPUTED_VALUE"""),217.61)</f>
        <v>217.61</v>
      </c>
      <c r="H272" s="26">
        <f>IFERROR(__xludf.DUMMYFUNCTION("""COMPUTED_VALUE"""),141.27)</f>
        <v>141.27</v>
      </c>
      <c r="I272" s="26">
        <f>IFERROR(__xludf.DUMMYFUNCTION("""COMPUTED_VALUE"""),202.67)</f>
        <v>202.67</v>
      </c>
      <c r="J272" s="26">
        <f>IFERROR(__xludf.DUMMYFUNCTION("""COMPUTED_VALUE"""),173.77)</f>
        <v>173.77</v>
      </c>
      <c r="K272" s="26">
        <f>IFERROR(__xludf.DUMMYFUNCTION("""COMPUTED_VALUE"""),90.0)</f>
        <v>90</v>
      </c>
      <c r="L272" s="26">
        <f>IFERROR(__xludf.DUMMYFUNCTION("""COMPUTED_VALUE"""),17.58)</f>
        <v>17.58</v>
      </c>
      <c r="M272" s="26">
        <f>IFERROR(__xludf.DUMMYFUNCTION("""COMPUTED_VALUE"""),491.13)</f>
        <v>491.13</v>
      </c>
      <c r="N272" s="26">
        <f>IFERROR(__xludf.DUMMYFUNCTION("""COMPUTED_VALUE"""),50.88)</f>
        <v>50.88</v>
      </c>
      <c r="O272" s="26">
        <f>IFERROR(__xludf.DUMMYFUNCTION("""COMPUTED_VALUE"""),135.49)</f>
        <v>135.49</v>
      </c>
      <c r="P272" s="26">
        <f>IFERROR(__xludf.DUMMYFUNCTION("""COMPUTED_VALUE"""),71.75)</f>
        <v>71.75</v>
      </c>
      <c r="Q272" s="26">
        <f>IFERROR(__xludf.DUMMYFUNCTION("""COMPUTED_VALUE"""),358.57)</f>
        <v>358.57</v>
      </c>
      <c r="R272" s="26">
        <f>IFERROR(__xludf.DUMMYFUNCTION("""COMPUTED_VALUE"""),63.83)</f>
        <v>63.83</v>
      </c>
      <c r="S272" s="26">
        <f>IFERROR(__xludf.DUMMYFUNCTION("""COMPUTED_VALUE"""),229.65)</f>
        <v>229.65</v>
      </c>
      <c r="T272" s="26">
        <f>IFERROR(__xludf.DUMMYFUNCTION("""COMPUTED_VALUE"""),143.35)</f>
        <v>143.35</v>
      </c>
      <c r="U272" s="26">
        <f>IFERROR(__xludf.DUMMYFUNCTION("""COMPUTED_VALUE"""),313.62)</f>
        <v>313.62</v>
      </c>
      <c r="V272" s="26">
        <f>IFERROR(__xludf.DUMMYFUNCTION("""COMPUTED_VALUE"""),41.97)</f>
        <v>41.97</v>
      </c>
      <c r="W272" s="26">
        <f>IFERROR(__xludf.DUMMYFUNCTION("""COMPUTED_VALUE"""),72.35)</f>
        <v>72.35</v>
      </c>
      <c r="X272" s="26">
        <f>IFERROR(__xludf.DUMMYFUNCTION("""COMPUTED_VALUE"""),102.4)</f>
        <v>102.4</v>
      </c>
      <c r="Y272" s="26">
        <f>IFERROR(__xludf.DUMMYFUNCTION("""COMPUTED_VALUE"""),177.69)</f>
        <v>177.69</v>
      </c>
      <c r="Z272" s="26">
        <f>IFERROR(__xludf.DUMMYFUNCTION("""COMPUTED_VALUE"""),93.12)</f>
        <v>93.12</v>
      </c>
      <c r="AA272" s="26">
        <f>IFERROR(__xludf.DUMMYFUNCTION("""COMPUTED_VALUE"""),455.49)</f>
        <v>455.49</v>
      </c>
      <c r="AB272" s="26">
        <f>IFERROR(__xludf.DUMMYFUNCTION("""COMPUTED_VALUE"""),78.77)</f>
        <v>78.77</v>
      </c>
      <c r="AC272" s="26">
        <f>IFERROR(__xludf.DUMMYFUNCTION("""COMPUTED_VALUE"""),107.22)</f>
        <v>107.22</v>
      </c>
      <c r="AD272" s="26">
        <f>IFERROR(__xludf.DUMMYFUNCTION("""COMPUTED_VALUE"""),227.96)</f>
        <v>227.96</v>
      </c>
      <c r="AE272" s="26">
        <f>IFERROR(__xludf.DUMMYFUNCTION("""COMPUTED_VALUE"""),486.39)</f>
        <v>486.39</v>
      </c>
      <c r="AF272" s="26">
        <f>IFERROR(__xludf.DUMMYFUNCTION("""COMPUTED_VALUE"""),277.37)</f>
        <v>277.37</v>
      </c>
      <c r="AG272" s="26">
        <f>IFERROR(__xludf.DUMMYFUNCTION("""COMPUTED_VALUE"""),48.93)</f>
        <v>48.93</v>
      </c>
      <c r="AH272" s="26">
        <f>IFERROR(__xludf.DUMMYFUNCTION("""COMPUTED_VALUE"""),110.09)</f>
        <v>110.09</v>
      </c>
      <c r="AI272" s="26">
        <f>IFERROR(__xludf.DUMMYFUNCTION("""COMPUTED_VALUE"""),614.87)</f>
        <v>614.87</v>
      </c>
      <c r="AJ272" s="26">
        <f>IFERROR(__xludf.DUMMYFUNCTION("""COMPUTED_VALUE"""),367.91)</f>
        <v>367.91</v>
      </c>
      <c r="AK272" s="26">
        <f>IFERROR(__xludf.DUMMYFUNCTION("""COMPUTED_VALUE"""),140.09)</f>
        <v>140.09</v>
      </c>
      <c r="AL272" s="26">
        <f>IFERROR(__xludf.DUMMYFUNCTION("""COMPUTED_VALUE"""),175.53)</f>
        <v>175.53</v>
      </c>
      <c r="AM272" s="26">
        <f>IFERROR(__xludf.DUMMYFUNCTION("""COMPUTED_VALUE"""),529.6)</f>
        <v>529.6</v>
      </c>
      <c r="AN272" s="26">
        <f>IFERROR(__xludf.DUMMYFUNCTION("""COMPUTED_VALUE"""),268.6)</f>
        <v>268.6</v>
      </c>
      <c r="AO272" s="26">
        <f>IFERROR(__xludf.DUMMYFUNCTION("""COMPUTED_VALUE"""),476.9)</f>
        <v>476.9</v>
      </c>
      <c r="AP272" s="26">
        <f>IFERROR(__xludf.DUMMYFUNCTION("""COMPUTED_VALUE"""),258.5)</f>
        <v>258.5</v>
      </c>
      <c r="AQ272" s="26">
        <f>IFERROR(__xludf.DUMMYFUNCTION("""COMPUTED_VALUE"""),32.05)</f>
        <v>32.05</v>
      </c>
      <c r="AR272" s="26">
        <f>IFERROR(__xludf.DUMMYFUNCTION("""COMPUTED_VALUE"""),87.96)</f>
        <v>87.96</v>
      </c>
      <c r="AS272" s="26">
        <f>IFERROR(__xludf.DUMMYFUNCTION("""COMPUTED_VALUE"""),79.43)</f>
        <v>79.43</v>
      </c>
      <c r="AT272" s="26">
        <f>IFERROR(__xludf.DUMMYFUNCTION("""COMPUTED_VALUE"""),470.92)</f>
        <v>470.92</v>
      </c>
      <c r="AU272" s="26">
        <f>IFERROR(__xludf.DUMMYFUNCTION("""COMPUTED_VALUE"""),72.81)</f>
        <v>72.81</v>
      </c>
      <c r="AV272" s="26">
        <f>IFERROR(__xludf.DUMMYFUNCTION("""COMPUTED_VALUE"""),143.96)</f>
        <v>143.96</v>
      </c>
      <c r="AW272" s="26">
        <f>IFERROR(__xludf.DUMMYFUNCTION("""COMPUTED_VALUE"""),95.32)</f>
        <v>95.32</v>
      </c>
      <c r="AX272" s="26">
        <f>IFERROR(__xludf.DUMMYFUNCTION("""COMPUTED_VALUE"""),56.93)</f>
        <v>56.93</v>
      </c>
      <c r="AY272" s="26">
        <f>IFERROR(__xludf.DUMMYFUNCTION("""COMPUTED_VALUE"""),132.81)</f>
        <v>132.81</v>
      </c>
      <c r="AZ272" s="26">
        <f>IFERROR(__xludf.DUMMYFUNCTION("""COMPUTED_VALUE"""),74.76)</f>
        <v>74.76</v>
      </c>
      <c r="BA272" s="26">
        <f>IFERROR(__xludf.DUMMYFUNCTION("""COMPUTED_VALUE"""),24.3)</f>
        <v>24.3</v>
      </c>
      <c r="BB272" s="26">
        <f>IFERROR(__xludf.DUMMYFUNCTION("""COMPUTED_VALUE"""),138.52)</f>
        <v>138.52</v>
      </c>
      <c r="BC272" s="26">
        <f>IFERROR(__xludf.DUMMYFUNCTION("""COMPUTED_VALUE"""),236.98)</f>
        <v>236.98</v>
      </c>
      <c r="BD272" s="26">
        <f>IFERROR(__xludf.DUMMYFUNCTION("""COMPUTED_VALUE"""),414.54)</f>
        <v>414.54</v>
      </c>
      <c r="BE272" s="26">
        <f>IFERROR(__xludf.DUMMYFUNCTION("""COMPUTED_VALUE"""),185.25)</f>
        <v>185.25</v>
      </c>
      <c r="BF272" s="26">
        <f>IFERROR(__xludf.DUMMYFUNCTION("""COMPUTED_VALUE"""),140.86)</f>
        <v>140.86</v>
      </c>
      <c r="BG272" s="26">
        <f>IFERROR(__xludf.DUMMYFUNCTION("""COMPUTED_VALUE"""),6.92)</f>
        <v>6.92</v>
      </c>
      <c r="BH272" s="26">
        <f>IFERROR(__xludf.DUMMYFUNCTION("""COMPUTED_VALUE"""),226.6)</f>
        <v>226.6</v>
      </c>
      <c r="BI272" s="26">
        <f>IFERROR(__xludf.DUMMYFUNCTION("""COMPUTED_VALUE"""),303.79)</f>
        <v>303.79</v>
      </c>
      <c r="BJ272" s="26">
        <f>IFERROR(__xludf.DUMMYFUNCTION("""COMPUTED_VALUE"""),49.86)</f>
        <v>49.86</v>
      </c>
      <c r="BK272" s="26">
        <f>IFERROR(__xludf.DUMMYFUNCTION("""COMPUTED_VALUE"""),9.04)</f>
        <v>9.04</v>
      </c>
      <c r="BL272" s="26">
        <f>IFERROR(__xludf.DUMMYFUNCTION("""COMPUTED_VALUE"""),233.99)</f>
        <v>233.99</v>
      </c>
      <c r="BM272" s="26">
        <f>IFERROR(__xludf.DUMMYFUNCTION("""COMPUTED_VALUE"""),118.73)</f>
        <v>118.73</v>
      </c>
    </row>
    <row r="273">
      <c r="A273" s="25">
        <v>45820.66666666667</v>
      </c>
      <c r="B273" s="17">
        <f>IFERROR(__xludf.DUMMYFUNCTION("""COMPUTED_VALUE"""),6022.24)</f>
        <v>6022.24</v>
      </c>
      <c r="C273" s="17">
        <f>IFERROR(__xludf.DUMMYFUNCTION("""COMPUTED_VALUE"""),19615.88)</f>
        <v>19615.88</v>
      </c>
      <c r="D273" s="17">
        <f>IFERROR(__xludf.DUMMYFUNCTION("""COMPUTED_VALUE"""),42865.77)</f>
        <v>42865.77</v>
      </c>
      <c r="E273" s="17">
        <f>IFERROR(__xludf.DUMMYFUNCTION("""COMPUTED_VALUE"""),2148.23)</f>
        <v>2148.23</v>
      </c>
      <c r="F273" s="26">
        <f>IFERROR(__xludf.DUMMYFUNCTION("""COMPUTED_VALUE"""),412.84)</f>
        <v>412.84</v>
      </c>
      <c r="G273" s="26">
        <f>IFERROR(__xludf.DUMMYFUNCTION("""COMPUTED_VALUE"""),213.2)</f>
        <v>213.2</v>
      </c>
      <c r="H273" s="26">
        <f>IFERROR(__xludf.DUMMYFUNCTION("""COMPUTED_VALUE"""),140.61)</f>
        <v>140.61</v>
      </c>
      <c r="I273" s="26">
        <f>IFERROR(__xludf.DUMMYFUNCTION("""COMPUTED_VALUE"""),198.78)</f>
        <v>198.78</v>
      </c>
      <c r="J273" s="26">
        <f>IFERROR(__xludf.DUMMYFUNCTION("""COMPUTED_VALUE"""),172.79)</f>
        <v>172.79</v>
      </c>
      <c r="K273" s="26">
        <f>IFERROR(__xludf.DUMMYFUNCTION("""COMPUTED_VALUE"""),89.56)</f>
        <v>89.56</v>
      </c>
      <c r="L273" s="26">
        <f>IFERROR(__xludf.DUMMYFUNCTION("""COMPUTED_VALUE"""),17.55)</f>
        <v>17.55</v>
      </c>
      <c r="M273" s="26">
        <f>IFERROR(__xludf.DUMMYFUNCTION("""COMPUTED_VALUE"""),488.14)</f>
        <v>488.14</v>
      </c>
      <c r="N273" s="26">
        <f>IFERROR(__xludf.DUMMYFUNCTION("""COMPUTED_VALUE"""),50.61)</f>
        <v>50.61</v>
      </c>
      <c r="O273" s="26">
        <f>IFERROR(__xludf.DUMMYFUNCTION("""COMPUTED_VALUE"""),133.06)</f>
        <v>133.06</v>
      </c>
      <c r="P273" s="26">
        <f>IFERROR(__xludf.DUMMYFUNCTION("""COMPUTED_VALUE"""),72.48)</f>
        <v>72.48</v>
      </c>
      <c r="Q273" s="26">
        <f>IFERROR(__xludf.DUMMYFUNCTION("""COMPUTED_VALUE"""),363.14)</f>
        <v>363.14</v>
      </c>
      <c r="R273" s="26">
        <f>IFERROR(__xludf.DUMMYFUNCTION("""COMPUTED_VALUE"""),66.33)</f>
        <v>66.33</v>
      </c>
      <c r="S273" s="26">
        <f>IFERROR(__xludf.DUMMYFUNCTION("""COMPUTED_VALUE"""),222.67)</f>
        <v>222.67</v>
      </c>
      <c r="T273" s="26">
        <f>IFERROR(__xludf.DUMMYFUNCTION("""COMPUTED_VALUE"""),144.78)</f>
        <v>144.78</v>
      </c>
      <c r="U273" s="26">
        <f>IFERROR(__xludf.DUMMYFUNCTION("""COMPUTED_VALUE"""),310.2)</f>
        <v>310.2</v>
      </c>
      <c r="V273" s="26">
        <f>IFERROR(__xludf.DUMMYFUNCTION("""COMPUTED_VALUE"""),41.4)</f>
        <v>41.4</v>
      </c>
      <c r="W273" s="26">
        <f>IFERROR(__xludf.DUMMYFUNCTION("""COMPUTED_VALUE"""),72.07)</f>
        <v>72.07</v>
      </c>
      <c r="X273" s="26">
        <f>IFERROR(__xludf.DUMMYFUNCTION("""COMPUTED_VALUE"""),102.55)</f>
        <v>102.55</v>
      </c>
      <c r="Y273" s="26">
        <f>IFERROR(__xludf.DUMMYFUNCTION("""COMPUTED_VALUE"""),175.84)</f>
        <v>175.84</v>
      </c>
      <c r="Z273" s="26">
        <f>IFERROR(__xludf.DUMMYFUNCTION("""COMPUTED_VALUE"""),94.21)</f>
        <v>94.21</v>
      </c>
      <c r="AA273" s="26">
        <f>IFERROR(__xludf.DUMMYFUNCTION("""COMPUTED_VALUE"""),446.9)</f>
        <v>446.9</v>
      </c>
      <c r="AB273" s="26">
        <f>IFERROR(__xludf.DUMMYFUNCTION("""COMPUTED_VALUE"""),77.88)</f>
        <v>77.88</v>
      </c>
      <c r="AC273" s="26">
        <f>IFERROR(__xludf.DUMMYFUNCTION("""COMPUTED_VALUE"""),109.31)</f>
        <v>109.31</v>
      </c>
      <c r="AD273" s="26">
        <f>IFERROR(__xludf.DUMMYFUNCTION("""COMPUTED_VALUE"""),224.0)</f>
        <v>224</v>
      </c>
      <c r="AE273" s="26">
        <f>IFERROR(__xludf.DUMMYFUNCTION("""COMPUTED_VALUE"""),482.39)</f>
        <v>482.39</v>
      </c>
      <c r="AF273" s="26">
        <f>IFERROR(__xludf.DUMMYFUNCTION("""COMPUTED_VALUE"""),275.83)</f>
        <v>275.83</v>
      </c>
      <c r="AG273" s="26">
        <f>IFERROR(__xludf.DUMMYFUNCTION("""COMPUTED_VALUE"""),49.87)</f>
        <v>49.87</v>
      </c>
      <c r="AH273" s="26">
        <f>IFERROR(__xludf.DUMMYFUNCTION("""COMPUTED_VALUE"""),109.3)</f>
        <v>109.3</v>
      </c>
      <c r="AI273" s="26">
        <f>IFERROR(__xludf.DUMMYFUNCTION("""COMPUTED_VALUE"""),624.17)</f>
        <v>624.17</v>
      </c>
      <c r="AJ273" s="26">
        <f>IFERROR(__xludf.DUMMYFUNCTION("""COMPUTED_VALUE"""),360.46)</f>
        <v>360.46</v>
      </c>
      <c r="AK273" s="26">
        <f>IFERROR(__xludf.DUMMYFUNCTION("""COMPUTED_VALUE"""),134.96)</f>
        <v>134.96</v>
      </c>
      <c r="AL273" s="26">
        <f>IFERROR(__xludf.DUMMYFUNCTION("""COMPUTED_VALUE"""),177.5)</f>
        <v>177.5</v>
      </c>
      <c r="AM273" s="26">
        <f>IFERROR(__xludf.DUMMYFUNCTION("""COMPUTED_VALUE"""),522.41)</f>
        <v>522.41</v>
      </c>
      <c r="AN273" s="26">
        <f>IFERROR(__xludf.DUMMYFUNCTION("""COMPUTED_VALUE"""),268.15)</f>
        <v>268.15</v>
      </c>
      <c r="AO273" s="26">
        <f>IFERROR(__xludf.DUMMYFUNCTION("""COMPUTED_VALUE"""),456.6)</f>
        <v>456.6</v>
      </c>
      <c r="AP273" s="26">
        <f>IFERROR(__xludf.DUMMYFUNCTION("""COMPUTED_VALUE"""),252.28)</f>
        <v>252.28</v>
      </c>
      <c r="AQ273" s="26">
        <f>IFERROR(__xludf.DUMMYFUNCTION("""COMPUTED_VALUE"""),32.01)</f>
        <v>32.01</v>
      </c>
      <c r="AR273" s="26">
        <f>IFERROR(__xludf.DUMMYFUNCTION("""COMPUTED_VALUE"""),88.06)</f>
        <v>88.06</v>
      </c>
      <c r="AS273" s="26">
        <f>IFERROR(__xludf.DUMMYFUNCTION("""COMPUTED_VALUE"""),78.91)</f>
        <v>78.91</v>
      </c>
      <c r="AT273" s="26">
        <f>IFERROR(__xludf.DUMMYFUNCTION("""COMPUTED_VALUE"""),472.62)</f>
        <v>472.62</v>
      </c>
      <c r="AU273" s="26">
        <f>IFERROR(__xludf.DUMMYFUNCTION("""COMPUTED_VALUE"""),73.0)</f>
        <v>73</v>
      </c>
      <c r="AV273" s="26">
        <f>IFERROR(__xludf.DUMMYFUNCTION("""COMPUTED_VALUE"""),142.83)</f>
        <v>142.83</v>
      </c>
      <c r="AW273" s="26">
        <f>IFERROR(__xludf.DUMMYFUNCTION("""COMPUTED_VALUE"""),95.4)</f>
        <v>95.4</v>
      </c>
      <c r="AX273" s="26">
        <f>IFERROR(__xludf.DUMMYFUNCTION("""COMPUTED_VALUE"""),56.79)</f>
        <v>56.79</v>
      </c>
      <c r="AY273" s="26">
        <f>IFERROR(__xludf.DUMMYFUNCTION("""COMPUTED_VALUE"""),136.39)</f>
        <v>136.39</v>
      </c>
      <c r="AZ273" s="26">
        <f>IFERROR(__xludf.DUMMYFUNCTION("""COMPUTED_VALUE"""),74.61)</f>
        <v>74.61</v>
      </c>
      <c r="BA273" s="26">
        <f>IFERROR(__xludf.DUMMYFUNCTION("""COMPUTED_VALUE"""),24.48)</f>
        <v>24.48</v>
      </c>
      <c r="BB273" s="26">
        <f>IFERROR(__xludf.DUMMYFUNCTION("""COMPUTED_VALUE"""),141.81)</f>
        <v>141.81</v>
      </c>
      <c r="BC273" s="26">
        <f>IFERROR(__xludf.DUMMYFUNCTION("""COMPUTED_VALUE"""),230.94)</f>
        <v>230.94</v>
      </c>
      <c r="BD273" s="26">
        <f>IFERROR(__xludf.DUMMYFUNCTION("""COMPUTED_VALUE"""),415.15)</f>
        <v>415.15</v>
      </c>
      <c r="BE273" s="26">
        <f>IFERROR(__xludf.DUMMYFUNCTION("""COMPUTED_VALUE"""),182.61)</f>
        <v>182.61</v>
      </c>
      <c r="BF273" s="26">
        <f>IFERROR(__xludf.DUMMYFUNCTION("""COMPUTED_VALUE"""),142.88)</f>
        <v>142.88</v>
      </c>
      <c r="BG273" s="26">
        <f>IFERROR(__xludf.DUMMYFUNCTION("""COMPUTED_VALUE"""),7.01)</f>
        <v>7.01</v>
      </c>
      <c r="BH273" s="26">
        <f>IFERROR(__xludf.DUMMYFUNCTION("""COMPUTED_VALUE"""),225.72)</f>
        <v>225.72</v>
      </c>
      <c r="BI273" s="26">
        <f>IFERROR(__xludf.DUMMYFUNCTION("""COMPUTED_VALUE"""),310.56)</f>
        <v>310.56</v>
      </c>
      <c r="BJ273" s="26">
        <f>IFERROR(__xludf.DUMMYFUNCTION("""COMPUTED_VALUE"""),49.89)</f>
        <v>49.89</v>
      </c>
      <c r="BK273" s="26">
        <f>IFERROR(__xludf.DUMMYFUNCTION("""COMPUTED_VALUE"""),8.98)</f>
        <v>8.98</v>
      </c>
      <c r="BL273" s="26">
        <f>IFERROR(__xludf.DUMMYFUNCTION("""COMPUTED_VALUE"""),234.29)</f>
        <v>234.29</v>
      </c>
      <c r="BM273" s="26">
        <f>IFERROR(__xludf.DUMMYFUNCTION("""COMPUTED_VALUE"""),119.52)</f>
        <v>119.52</v>
      </c>
    </row>
    <row r="274">
      <c r="A274" s="25">
        <v>45821.66666666667</v>
      </c>
      <c r="B274" s="17">
        <f>IFERROR(__xludf.DUMMYFUNCTION("""COMPUTED_VALUE"""),6045.26)</f>
        <v>6045.26</v>
      </c>
      <c r="C274" s="17">
        <f>IFERROR(__xludf.DUMMYFUNCTION("""COMPUTED_VALUE"""),19662.49)</f>
        <v>19662.49</v>
      </c>
      <c r="D274" s="17">
        <f>IFERROR(__xludf.DUMMYFUNCTION("""COMPUTED_VALUE"""),42967.62)</f>
        <v>42967.62</v>
      </c>
      <c r="E274" s="17">
        <f>IFERROR(__xludf.DUMMYFUNCTION("""COMPUTED_VALUE"""),2140.09)</f>
        <v>2140.09</v>
      </c>
      <c r="F274" s="26">
        <f>IFERROR(__xludf.DUMMYFUNCTION("""COMPUTED_VALUE"""),413.68)</f>
        <v>413.68</v>
      </c>
      <c r="G274" s="26">
        <f>IFERROR(__xludf.DUMMYFUNCTION("""COMPUTED_VALUE"""),213.24)</f>
        <v>213.24</v>
      </c>
      <c r="H274" s="26">
        <f>IFERROR(__xludf.DUMMYFUNCTION("""COMPUTED_VALUE"""),141.32)</f>
        <v>141.32</v>
      </c>
      <c r="I274" s="26">
        <f>IFERROR(__xludf.DUMMYFUNCTION("""COMPUTED_VALUE"""),199.2)</f>
        <v>199.2</v>
      </c>
      <c r="J274" s="26">
        <f>IFERROR(__xludf.DUMMYFUNCTION("""COMPUTED_VALUE"""),175.0)</f>
        <v>175</v>
      </c>
      <c r="K274" s="26">
        <f>IFERROR(__xludf.DUMMYFUNCTION("""COMPUTED_VALUE"""),89.71)</f>
        <v>89.71</v>
      </c>
      <c r="L274" s="26">
        <f>IFERROR(__xludf.DUMMYFUNCTION("""COMPUTED_VALUE"""),17.76)</f>
        <v>17.76</v>
      </c>
      <c r="M274" s="26">
        <f>IFERROR(__xludf.DUMMYFUNCTION("""COMPUTED_VALUE"""),490.34)</f>
        <v>490.34</v>
      </c>
      <c r="N274" s="26">
        <f>IFERROR(__xludf.DUMMYFUNCTION("""COMPUTED_VALUE"""),49.81)</f>
        <v>49.81</v>
      </c>
      <c r="O274" s="26">
        <f>IFERROR(__xludf.DUMMYFUNCTION("""COMPUTED_VALUE"""),132.31)</f>
        <v>132.31</v>
      </c>
      <c r="P274" s="26">
        <f>IFERROR(__xludf.DUMMYFUNCTION("""COMPUTED_VALUE"""),72.48)</f>
        <v>72.48</v>
      </c>
      <c r="Q274" s="26">
        <f>IFERROR(__xludf.DUMMYFUNCTION("""COMPUTED_VALUE"""),360.96)</f>
        <v>360.96</v>
      </c>
      <c r="R274" s="26">
        <f>IFERROR(__xludf.DUMMYFUNCTION("""COMPUTED_VALUE"""),66.14)</f>
        <v>66.14</v>
      </c>
      <c r="S274" s="26">
        <f>IFERROR(__xludf.DUMMYFUNCTION("""COMPUTED_VALUE"""),222.95)</f>
        <v>222.95</v>
      </c>
      <c r="T274" s="26">
        <f>IFERROR(__xludf.DUMMYFUNCTION("""COMPUTED_VALUE"""),144.97)</f>
        <v>144.97</v>
      </c>
      <c r="U274" s="26">
        <f>IFERROR(__xludf.DUMMYFUNCTION("""COMPUTED_VALUE"""),315.37)</f>
        <v>315.37</v>
      </c>
      <c r="V274" s="26">
        <f>IFERROR(__xludf.DUMMYFUNCTION("""COMPUTED_VALUE"""),41.17)</f>
        <v>41.17</v>
      </c>
      <c r="W274" s="26">
        <f>IFERROR(__xludf.DUMMYFUNCTION("""COMPUTED_VALUE"""),72.24)</f>
        <v>72.24</v>
      </c>
      <c r="X274" s="26">
        <f>IFERROR(__xludf.DUMMYFUNCTION("""COMPUTED_VALUE"""),103.76)</f>
        <v>103.76</v>
      </c>
      <c r="Y274" s="26">
        <f>IFERROR(__xludf.DUMMYFUNCTION("""COMPUTED_VALUE"""),176.53)</f>
        <v>176.53</v>
      </c>
      <c r="Z274" s="26">
        <f>IFERROR(__xludf.DUMMYFUNCTION("""COMPUTED_VALUE"""),96.09)</f>
        <v>96.09</v>
      </c>
      <c r="AA274" s="26">
        <f>IFERROR(__xludf.DUMMYFUNCTION("""COMPUTED_VALUE"""),451.0)</f>
        <v>451</v>
      </c>
      <c r="AB274" s="26">
        <f>IFERROR(__xludf.DUMMYFUNCTION("""COMPUTED_VALUE"""),77.44)</f>
        <v>77.44</v>
      </c>
      <c r="AC274" s="26">
        <f>IFERROR(__xludf.DUMMYFUNCTION("""COMPUTED_VALUE"""),109.73)</f>
        <v>109.73</v>
      </c>
      <c r="AD274" s="26">
        <f>IFERROR(__xludf.DUMMYFUNCTION("""COMPUTED_VALUE"""),225.0)</f>
        <v>225</v>
      </c>
      <c r="AE274" s="26">
        <f>IFERROR(__xludf.DUMMYFUNCTION("""COMPUTED_VALUE"""),472.66)</f>
        <v>472.66</v>
      </c>
      <c r="AF274" s="26">
        <f>IFERROR(__xludf.DUMMYFUNCTION("""COMPUTED_VALUE"""),279.93)</f>
        <v>279.93</v>
      </c>
      <c r="AG274" s="26">
        <f>IFERROR(__xludf.DUMMYFUNCTION("""COMPUTED_VALUE"""),49.26)</f>
        <v>49.26</v>
      </c>
      <c r="AH274" s="26">
        <f>IFERROR(__xludf.DUMMYFUNCTION("""COMPUTED_VALUE"""),112.05)</f>
        <v>112.05</v>
      </c>
      <c r="AI274" s="26">
        <f>IFERROR(__xludf.DUMMYFUNCTION("""COMPUTED_VALUE"""),625.11)</f>
        <v>625.11</v>
      </c>
      <c r="AJ274" s="26">
        <f>IFERROR(__xludf.DUMMYFUNCTION("""COMPUTED_VALUE"""),363.16)</f>
        <v>363.16</v>
      </c>
      <c r="AK274" s="26">
        <f>IFERROR(__xludf.DUMMYFUNCTION("""COMPUTED_VALUE"""),136.56)</f>
        <v>136.56</v>
      </c>
      <c r="AL274" s="26">
        <f>IFERROR(__xludf.DUMMYFUNCTION("""COMPUTED_VALUE"""),179.08)</f>
        <v>179.08</v>
      </c>
      <c r="AM274" s="26">
        <f>IFERROR(__xludf.DUMMYFUNCTION("""COMPUTED_VALUE"""),513.0)</f>
        <v>513</v>
      </c>
      <c r="AN274" s="26">
        <f>IFERROR(__xludf.DUMMYFUNCTION("""COMPUTED_VALUE"""),268.24)</f>
        <v>268.24</v>
      </c>
      <c r="AO274" s="26">
        <f>IFERROR(__xludf.DUMMYFUNCTION("""COMPUTED_VALUE"""),469.27)</f>
        <v>469.27</v>
      </c>
      <c r="AP274" s="26">
        <f>IFERROR(__xludf.DUMMYFUNCTION("""COMPUTED_VALUE"""),247.03)</f>
        <v>247.03</v>
      </c>
      <c r="AQ274" s="26">
        <f>IFERROR(__xludf.DUMMYFUNCTION("""COMPUTED_VALUE"""),32.14)</f>
        <v>32.14</v>
      </c>
      <c r="AR274" s="26">
        <f>IFERROR(__xludf.DUMMYFUNCTION("""COMPUTED_VALUE"""),88.49)</f>
        <v>88.49</v>
      </c>
      <c r="AS274" s="26">
        <f>IFERROR(__xludf.DUMMYFUNCTION("""COMPUTED_VALUE"""),78.99)</f>
        <v>78.99</v>
      </c>
      <c r="AT274" s="26">
        <f>IFERROR(__xludf.DUMMYFUNCTION("""COMPUTED_VALUE"""),478.87)</f>
        <v>478.87</v>
      </c>
      <c r="AU274" s="26">
        <f>IFERROR(__xludf.DUMMYFUNCTION("""COMPUTED_VALUE"""),73.84)</f>
        <v>73.84</v>
      </c>
      <c r="AV274" s="26">
        <f>IFERROR(__xludf.DUMMYFUNCTION("""COMPUTED_VALUE"""),145.0)</f>
        <v>145</v>
      </c>
      <c r="AW274" s="26">
        <f>IFERROR(__xludf.DUMMYFUNCTION("""COMPUTED_VALUE"""),96.95)</f>
        <v>96.95</v>
      </c>
      <c r="AX274" s="26">
        <f>IFERROR(__xludf.DUMMYFUNCTION("""COMPUTED_VALUE"""),55.73)</f>
        <v>55.73</v>
      </c>
      <c r="AY274" s="26">
        <f>IFERROR(__xludf.DUMMYFUNCTION("""COMPUTED_VALUE"""),135.19)</f>
        <v>135.19</v>
      </c>
      <c r="AZ274" s="26">
        <f>IFERROR(__xludf.DUMMYFUNCTION("""COMPUTED_VALUE"""),74.81)</f>
        <v>74.81</v>
      </c>
      <c r="BA274" s="26">
        <f>IFERROR(__xludf.DUMMYFUNCTION("""COMPUTED_VALUE"""),24.84)</f>
        <v>24.84</v>
      </c>
      <c r="BB274" s="26">
        <f>IFERROR(__xludf.DUMMYFUNCTION("""COMPUTED_VALUE"""),140.98)</f>
        <v>140.98</v>
      </c>
      <c r="BC274" s="26">
        <f>IFERROR(__xludf.DUMMYFUNCTION("""COMPUTED_VALUE"""),228.7)</f>
        <v>228.7</v>
      </c>
      <c r="BD274" s="26">
        <f>IFERROR(__xludf.DUMMYFUNCTION("""COMPUTED_VALUE"""),415.33)</f>
        <v>415.33</v>
      </c>
      <c r="BE274" s="26">
        <f>IFERROR(__xludf.DUMMYFUNCTION("""COMPUTED_VALUE"""),181.99)</f>
        <v>181.99</v>
      </c>
      <c r="BF274" s="26">
        <f>IFERROR(__xludf.DUMMYFUNCTION("""COMPUTED_VALUE"""),143.04)</f>
        <v>143.04</v>
      </c>
      <c r="BG274" s="26">
        <f>IFERROR(__xludf.DUMMYFUNCTION("""COMPUTED_VALUE"""),6.84)</f>
        <v>6.84</v>
      </c>
      <c r="BH274" s="26">
        <f>IFERROR(__xludf.DUMMYFUNCTION("""COMPUTED_VALUE"""),225.49)</f>
        <v>225.49</v>
      </c>
      <c r="BI274" s="26">
        <f>IFERROR(__xludf.DUMMYFUNCTION("""COMPUTED_VALUE"""),318.5)</f>
        <v>318.5</v>
      </c>
      <c r="BJ274" s="26">
        <f>IFERROR(__xludf.DUMMYFUNCTION("""COMPUTED_VALUE"""),49.92)</f>
        <v>49.92</v>
      </c>
      <c r="BK274" s="26">
        <f>IFERROR(__xludf.DUMMYFUNCTION("""COMPUTED_VALUE"""),9.09)</f>
        <v>9.09</v>
      </c>
      <c r="BL274" s="26">
        <f>IFERROR(__xludf.DUMMYFUNCTION("""COMPUTED_VALUE"""),237.15)</f>
        <v>237.15</v>
      </c>
      <c r="BM274" s="26">
        <f>IFERROR(__xludf.DUMMYFUNCTION("""COMPUTED_VALUE"""),118.61)</f>
        <v>118.61</v>
      </c>
    </row>
    <row r="275">
      <c r="A275" s="25">
        <v>45824.66666666667</v>
      </c>
      <c r="B275" s="17">
        <f>IFERROR(__xludf.DUMMYFUNCTION("""COMPUTED_VALUE"""),5976.97)</f>
        <v>5976.97</v>
      </c>
      <c r="C275" s="17">
        <f>IFERROR(__xludf.DUMMYFUNCTION("""COMPUTED_VALUE"""),19406.83)</f>
        <v>19406.83</v>
      </c>
      <c r="D275" s="17">
        <f>IFERROR(__xludf.DUMMYFUNCTION("""COMPUTED_VALUE"""),42197.79)</f>
        <v>42197.79</v>
      </c>
      <c r="E275" s="17">
        <f>IFERROR(__xludf.DUMMYFUNCTION("""COMPUTED_VALUE"""),2100.51)</f>
        <v>2100.51</v>
      </c>
      <c r="F275" s="26">
        <f>IFERROR(__xludf.DUMMYFUNCTION("""COMPUTED_VALUE"""),391.68)</f>
        <v>391.68</v>
      </c>
      <c r="G275" s="26">
        <f>IFERROR(__xludf.DUMMYFUNCTION("""COMPUTED_VALUE"""),212.1)</f>
        <v>212.1</v>
      </c>
      <c r="H275" s="26">
        <f>IFERROR(__xludf.DUMMYFUNCTION("""COMPUTED_VALUE"""),141.44)</f>
        <v>141.44</v>
      </c>
      <c r="I275" s="26">
        <f>IFERROR(__xludf.DUMMYFUNCTION("""COMPUTED_VALUE"""),196.45)</f>
        <v>196.45</v>
      </c>
      <c r="J275" s="26">
        <f>IFERROR(__xludf.DUMMYFUNCTION("""COMPUTED_VALUE"""),170.59)</f>
        <v>170.59</v>
      </c>
      <c r="K275" s="26">
        <f>IFERROR(__xludf.DUMMYFUNCTION("""COMPUTED_VALUE"""),88.6)</f>
        <v>88.6</v>
      </c>
      <c r="L275" s="26">
        <f>IFERROR(__xludf.DUMMYFUNCTION("""COMPUTED_VALUE"""),17.38)</f>
        <v>17.38</v>
      </c>
      <c r="M275" s="26">
        <f>IFERROR(__xludf.DUMMYFUNCTION("""COMPUTED_VALUE"""),487.54)</f>
        <v>487.54</v>
      </c>
      <c r="N275" s="26">
        <f>IFERROR(__xludf.DUMMYFUNCTION("""COMPUTED_VALUE"""),48.55)</f>
        <v>48.55</v>
      </c>
      <c r="O275" s="26">
        <f>IFERROR(__xludf.DUMMYFUNCTION("""COMPUTED_VALUE"""),130.65)</f>
        <v>130.65</v>
      </c>
      <c r="P275" s="26">
        <f>IFERROR(__xludf.DUMMYFUNCTION("""COMPUTED_VALUE"""),71.24)</f>
        <v>71.24</v>
      </c>
      <c r="Q275" s="26">
        <f>IFERROR(__xludf.DUMMYFUNCTION("""COMPUTED_VALUE"""),357.05)</f>
        <v>357.05</v>
      </c>
      <c r="R275" s="26">
        <f>IFERROR(__xludf.DUMMYFUNCTION("""COMPUTED_VALUE"""),66.66)</f>
        <v>66.66</v>
      </c>
      <c r="S275" s="26">
        <f>IFERROR(__xludf.DUMMYFUNCTION("""COMPUTED_VALUE"""),218.93)</f>
        <v>218.93</v>
      </c>
      <c r="T275" s="26">
        <f>IFERROR(__xludf.DUMMYFUNCTION("""COMPUTED_VALUE"""),145.91)</f>
        <v>145.91</v>
      </c>
      <c r="U275" s="26">
        <f>IFERROR(__xludf.DUMMYFUNCTION("""COMPUTED_VALUE"""),317.4)</f>
        <v>317.4</v>
      </c>
      <c r="V275" s="26">
        <f>IFERROR(__xludf.DUMMYFUNCTION("""COMPUTED_VALUE"""),40.33)</f>
        <v>40.33</v>
      </c>
      <c r="W275" s="26">
        <f>IFERROR(__xludf.DUMMYFUNCTION("""COMPUTED_VALUE"""),71.02)</f>
        <v>71.02</v>
      </c>
      <c r="X275" s="26">
        <f>IFERROR(__xludf.DUMMYFUNCTION("""COMPUTED_VALUE"""),103.96)</f>
        <v>103.96</v>
      </c>
      <c r="Y275" s="26">
        <f>IFERROR(__xludf.DUMMYFUNCTION("""COMPUTED_VALUE"""),174.47)</f>
        <v>174.47</v>
      </c>
      <c r="Z275" s="26">
        <f>IFERROR(__xludf.DUMMYFUNCTION("""COMPUTED_VALUE"""),95.19)</f>
        <v>95.19</v>
      </c>
      <c r="AA275" s="26">
        <f>IFERROR(__xludf.DUMMYFUNCTION("""COMPUTED_VALUE"""),452.15)</f>
        <v>452.15</v>
      </c>
      <c r="AB275" s="26">
        <f>IFERROR(__xludf.DUMMYFUNCTION("""COMPUTED_VALUE"""),77.36)</f>
        <v>77.36</v>
      </c>
      <c r="AC275" s="26">
        <f>IFERROR(__xludf.DUMMYFUNCTION("""COMPUTED_VALUE"""),112.12)</f>
        <v>112.12</v>
      </c>
      <c r="AD275" s="26">
        <f>IFERROR(__xludf.DUMMYFUNCTION("""COMPUTED_VALUE"""),224.38)</f>
        <v>224.38</v>
      </c>
      <c r="AE275" s="26">
        <f>IFERROR(__xludf.DUMMYFUNCTION("""COMPUTED_VALUE"""),463.44)</f>
        <v>463.44</v>
      </c>
      <c r="AF275" s="26">
        <f>IFERROR(__xludf.DUMMYFUNCTION("""COMPUTED_VALUE"""),283.0)</f>
        <v>283</v>
      </c>
      <c r="AG275" s="26">
        <f>IFERROR(__xludf.DUMMYFUNCTION("""COMPUTED_VALUE"""),48.65)</f>
        <v>48.65</v>
      </c>
      <c r="AH275" s="26">
        <f>IFERROR(__xludf.DUMMYFUNCTION("""COMPUTED_VALUE"""),109.98)</f>
        <v>109.98</v>
      </c>
      <c r="AI275" s="26">
        <f>IFERROR(__xludf.DUMMYFUNCTION("""COMPUTED_VALUE"""),613.54)</f>
        <v>613.54</v>
      </c>
      <c r="AJ275" s="26">
        <f>IFERROR(__xludf.DUMMYFUNCTION("""COMPUTED_VALUE"""),354.66)</f>
        <v>354.66</v>
      </c>
      <c r="AK275" s="26">
        <f>IFERROR(__xludf.DUMMYFUNCTION("""COMPUTED_VALUE"""),134.7)</f>
        <v>134.7</v>
      </c>
      <c r="AL275" s="26">
        <f>IFERROR(__xludf.DUMMYFUNCTION("""COMPUTED_VALUE"""),178.44)</f>
        <v>178.44</v>
      </c>
      <c r="AM275" s="26">
        <f>IFERROR(__xludf.DUMMYFUNCTION("""COMPUTED_VALUE"""),512.18)</f>
        <v>512.18</v>
      </c>
      <c r="AN275" s="26">
        <f>IFERROR(__xludf.DUMMYFUNCTION("""COMPUTED_VALUE"""),264.95)</f>
        <v>264.95</v>
      </c>
      <c r="AO275" s="26">
        <f>IFERROR(__xludf.DUMMYFUNCTION("""COMPUTED_VALUE"""),486.45)</f>
        <v>486.45</v>
      </c>
      <c r="AP275" s="26">
        <f>IFERROR(__xludf.DUMMYFUNCTION("""COMPUTED_VALUE"""),239.11)</f>
        <v>239.11</v>
      </c>
      <c r="AQ275" s="26">
        <f>IFERROR(__xludf.DUMMYFUNCTION("""COMPUTED_VALUE"""),31.18)</f>
        <v>31.18</v>
      </c>
      <c r="AR275" s="26">
        <f>IFERROR(__xludf.DUMMYFUNCTION("""COMPUTED_VALUE"""),87.27)</f>
        <v>87.27</v>
      </c>
      <c r="AS275" s="26">
        <f>IFERROR(__xludf.DUMMYFUNCTION("""COMPUTED_VALUE"""),77.35)</f>
        <v>77.35</v>
      </c>
      <c r="AT275" s="26">
        <f>IFERROR(__xludf.DUMMYFUNCTION("""COMPUTED_VALUE"""),474.96)</f>
        <v>474.96</v>
      </c>
      <c r="AU275" s="26">
        <f>IFERROR(__xludf.DUMMYFUNCTION("""COMPUTED_VALUE"""),74.78)</f>
        <v>74.78</v>
      </c>
      <c r="AV275" s="26">
        <f>IFERROR(__xludf.DUMMYFUNCTION("""COMPUTED_VALUE"""),141.97)</f>
        <v>141.97</v>
      </c>
      <c r="AW275" s="26">
        <f>IFERROR(__xludf.DUMMYFUNCTION("""COMPUTED_VALUE"""),95.82)</f>
        <v>95.82</v>
      </c>
      <c r="AX275" s="26">
        <f>IFERROR(__xludf.DUMMYFUNCTION("""COMPUTED_VALUE"""),52.26)</f>
        <v>52.26</v>
      </c>
      <c r="AY275" s="26">
        <f>IFERROR(__xludf.DUMMYFUNCTION("""COMPUTED_VALUE"""),137.4)</f>
        <v>137.4</v>
      </c>
      <c r="AZ275" s="26">
        <f>IFERROR(__xludf.DUMMYFUNCTION("""COMPUTED_VALUE"""),70.83)</f>
        <v>70.83</v>
      </c>
      <c r="BA275" s="26">
        <f>IFERROR(__xludf.DUMMYFUNCTION("""COMPUTED_VALUE"""),24.54)</f>
        <v>24.54</v>
      </c>
      <c r="BB275" s="26">
        <f>IFERROR(__xludf.DUMMYFUNCTION("""COMPUTED_VALUE"""),145.69)</f>
        <v>145.69</v>
      </c>
      <c r="BC275" s="26">
        <f>IFERROR(__xludf.DUMMYFUNCTION("""COMPUTED_VALUE"""),228.0)</f>
        <v>228</v>
      </c>
      <c r="BD275" s="26">
        <f>IFERROR(__xludf.DUMMYFUNCTION("""COMPUTED_VALUE"""),402.76)</f>
        <v>402.76</v>
      </c>
      <c r="BE275" s="26">
        <f>IFERROR(__xludf.DUMMYFUNCTION("""COMPUTED_VALUE"""),178.75)</f>
        <v>178.75</v>
      </c>
      <c r="BF275" s="26">
        <f>IFERROR(__xludf.DUMMYFUNCTION("""COMPUTED_VALUE"""),142.88)</f>
        <v>142.88</v>
      </c>
      <c r="BG275" s="26">
        <f>IFERROR(__xludf.DUMMYFUNCTION("""COMPUTED_VALUE"""),6.6)</f>
        <v>6.6</v>
      </c>
      <c r="BH275" s="26">
        <f>IFERROR(__xludf.DUMMYFUNCTION("""COMPUTED_VALUE"""),223.37)</f>
        <v>223.37</v>
      </c>
      <c r="BI275" s="26">
        <f>IFERROR(__xludf.DUMMYFUNCTION("""COMPUTED_VALUE"""),313.53)</f>
        <v>313.53</v>
      </c>
      <c r="BJ275" s="26">
        <f>IFERROR(__xludf.DUMMYFUNCTION("""COMPUTED_VALUE"""),49.95)</f>
        <v>49.95</v>
      </c>
      <c r="BK275" s="26">
        <f>IFERROR(__xludf.DUMMYFUNCTION("""COMPUTED_VALUE"""),8.92)</f>
        <v>8.92</v>
      </c>
      <c r="BL275" s="26">
        <f>IFERROR(__xludf.DUMMYFUNCTION("""COMPUTED_VALUE"""),236.5)</f>
        <v>236.5</v>
      </c>
      <c r="BM275" s="26">
        <f>IFERROR(__xludf.DUMMYFUNCTION("""COMPUTED_VALUE"""),117.94)</f>
        <v>117.94</v>
      </c>
    </row>
    <row r="276">
      <c r="A276" s="25">
        <v>45825.66666666667</v>
      </c>
      <c r="B276" s="17">
        <f>IFERROR(__xludf.DUMMYFUNCTION("""COMPUTED_VALUE"""),6033.11)</f>
        <v>6033.11</v>
      </c>
      <c r="C276" s="17">
        <f>IFERROR(__xludf.DUMMYFUNCTION("""COMPUTED_VALUE"""),19701.21)</f>
        <v>19701.21</v>
      </c>
      <c r="D276" s="17">
        <f>IFERROR(__xludf.DUMMYFUNCTION("""COMPUTED_VALUE"""),42515.09)</f>
        <v>42515.09</v>
      </c>
      <c r="E276" s="17">
        <f>IFERROR(__xludf.DUMMYFUNCTION("""COMPUTED_VALUE"""),2124.13)</f>
        <v>2124.13</v>
      </c>
      <c r="F276" s="26">
        <f>IFERROR(__xludf.DUMMYFUNCTION("""COMPUTED_VALUE"""),401.73)</f>
        <v>401.73</v>
      </c>
      <c r="G276" s="26">
        <f>IFERROR(__xludf.DUMMYFUNCTION("""COMPUTED_VALUE"""),216.1)</f>
        <v>216.1</v>
      </c>
      <c r="H276" s="26">
        <f>IFERROR(__xludf.DUMMYFUNCTION("""COMPUTED_VALUE"""),140.47)</f>
        <v>140.47</v>
      </c>
      <c r="I276" s="26">
        <f>IFERROR(__xludf.DUMMYFUNCTION("""COMPUTED_VALUE"""),198.42)</f>
        <v>198.42</v>
      </c>
      <c r="J276" s="26">
        <f>IFERROR(__xludf.DUMMYFUNCTION("""COMPUTED_VALUE"""),176.55)</f>
        <v>176.55</v>
      </c>
      <c r="K276" s="26">
        <f>IFERROR(__xludf.DUMMYFUNCTION("""COMPUTED_VALUE"""),90.49)</f>
        <v>90.49</v>
      </c>
      <c r="L276" s="26">
        <f>IFERROR(__xludf.DUMMYFUNCTION("""COMPUTED_VALUE"""),17.73)</f>
        <v>17.73</v>
      </c>
      <c r="M276" s="26">
        <f>IFERROR(__xludf.DUMMYFUNCTION("""COMPUTED_VALUE"""),490.23)</f>
        <v>490.23</v>
      </c>
      <c r="N276" s="26">
        <f>IFERROR(__xludf.DUMMYFUNCTION("""COMPUTED_VALUE"""),48.9)</f>
        <v>48.9</v>
      </c>
      <c r="O276" s="26">
        <f>IFERROR(__xludf.DUMMYFUNCTION("""COMPUTED_VALUE"""),131.04)</f>
        <v>131.04</v>
      </c>
      <c r="P276" s="26">
        <f>IFERROR(__xludf.DUMMYFUNCTION("""COMPUTED_VALUE"""),71.04)</f>
        <v>71.04</v>
      </c>
      <c r="Q276" s="26">
        <f>IFERROR(__xludf.DUMMYFUNCTION("""COMPUTED_VALUE"""),362.44)</f>
        <v>362.44</v>
      </c>
      <c r="R276" s="26">
        <f>IFERROR(__xludf.DUMMYFUNCTION("""COMPUTED_VALUE"""),69.36)</f>
        <v>69.36</v>
      </c>
      <c r="S276" s="26">
        <f>IFERROR(__xludf.DUMMYFUNCTION("""COMPUTED_VALUE"""),221.22)</f>
        <v>221.22</v>
      </c>
      <c r="T276" s="26">
        <f>IFERROR(__xludf.DUMMYFUNCTION("""COMPUTED_VALUE"""),146.03)</f>
        <v>146.03</v>
      </c>
      <c r="U276" s="26">
        <f>IFERROR(__xludf.DUMMYFUNCTION("""COMPUTED_VALUE"""),314.44)</f>
        <v>314.44</v>
      </c>
      <c r="V276" s="26">
        <f>IFERROR(__xludf.DUMMYFUNCTION("""COMPUTED_VALUE"""),41.01)</f>
        <v>41.01</v>
      </c>
      <c r="W276" s="26">
        <f>IFERROR(__xludf.DUMMYFUNCTION("""COMPUTED_VALUE"""),70.52)</f>
        <v>70.52</v>
      </c>
      <c r="X276" s="26">
        <f>IFERROR(__xludf.DUMMYFUNCTION("""COMPUTED_VALUE"""),101.63)</f>
        <v>101.63</v>
      </c>
      <c r="Y276" s="26">
        <f>IFERROR(__xludf.DUMMYFUNCTION("""COMPUTED_VALUE"""),176.06)</f>
        <v>176.06</v>
      </c>
      <c r="Z276" s="26">
        <f>IFERROR(__xludf.DUMMYFUNCTION("""COMPUTED_VALUE"""),99.0)</f>
        <v>99</v>
      </c>
      <c r="AA276" s="26">
        <f>IFERROR(__xludf.DUMMYFUNCTION("""COMPUTED_VALUE"""),454.45)</f>
        <v>454.45</v>
      </c>
      <c r="AB276" s="26">
        <f>IFERROR(__xludf.DUMMYFUNCTION("""COMPUTED_VALUE"""),77.71)</f>
        <v>77.71</v>
      </c>
      <c r="AC276" s="26">
        <f>IFERROR(__xludf.DUMMYFUNCTION("""COMPUTED_VALUE"""),112.48)</f>
        <v>112.48</v>
      </c>
      <c r="AD276" s="26">
        <f>IFERROR(__xludf.DUMMYFUNCTION("""COMPUTED_VALUE"""),226.77)</f>
        <v>226.77</v>
      </c>
      <c r="AE276" s="26">
        <f>IFERROR(__xludf.DUMMYFUNCTION("""COMPUTED_VALUE"""),464.81)</f>
        <v>464.81</v>
      </c>
      <c r="AF276" s="26">
        <f>IFERROR(__xludf.DUMMYFUNCTION("""COMPUTED_VALUE"""),279.29)</f>
        <v>279.29</v>
      </c>
      <c r="AG276" s="26">
        <f>IFERROR(__xludf.DUMMYFUNCTION("""COMPUTED_VALUE"""),49.27)</f>
        <v>49.27</v>
      </c>
      <c r="AH276" s="26">
        <f>IFERROR(__xludf.DUMMYFUNCTION("""COMPUTED_VALUE"""),110.83)</f>
        <v>110.83</v>
      </c>
      <c r="AI276" s="26">
        <f>IFERROR(__xludf.DUMMYFUNCTION("""COMPUTED_VALUE"""),627.85)</f>
        <v>627.85</v>
      </c>
      <c r="AJ276" s="26">
        <f>IFERROR(__xludf.DUMMYFUNCTION("""COMPUTED_VALUE"""),353.56)</f>
        <v>353.56</v>
      </c>
      <c r="AK276" s="26">
        <f>IFERROR(__xludf.DUMMYFUNCTION("""COMPUTED_VALUE"""),135.41)</f>
        <v>135.41</v>
      </c>
      <c r="AL276" s="26">
        <f>IFERROR(__xludf.DUMMYFUNCTION("""COMPUTED_VALUE"""),179.8)</f>
        <v>179.8</v>
      </c>
      <c r="AM276" s="26">
        <f>IFERROR(__xludf.DUMMYFUNCTION("""COMPUTED_VALUE"""),519.04)</f>
        <v>519.04</v>
      </c>
      <c r="AN276" s="26">
        <f>IFERROR(__xludf.DUMMYFUNCTION("""COMPUTED_VALUE"""),270.36)</f>
        <v>270.36</v>
      </c>
      <c r="AO276" s="26">
        <f>IFERROR(__xludf.DUMMYFUNCTION("""COMPUTED_VALUE"""),467.06)</f>
        <v>467.06</v>
      </c>
      <c r="AP276" s="26">
        <f>IFERROR(__xludf.DUMMYFUNCTION("""COMPUTED_VALUE"""),241.29)</f>
        <v>241.29</v>
      </c>
      <c r="AQ276" s="26">
        <f>IFERROR(__xludf.DUMMYFUNCTION("""COMPUTED_VALUE"""),31.23)</f>
        <v>31.23</v>
      </c>
      <c r="AR276" s="26">
        <f>IFERROR(__xludf.DUMMYFUNCTION("""COMPUTED_VALUE"""),87.92)</f>
        <v>87.92</v>
      </c>
      <c r="AS276" s="26">
        <f>IFERROR(__xludf.DUMMYFUNCTION("""COMPUTED_VALUE"""),78.4)</f>
        <v>78.4</v>
      </c>
      <c r="AT276" s="26">
        <f>IFERROR(__xludf.DUMMYFUNCTION("""COMPUTED_VALUE"""),479.14)</f>
        <v>479.14</v>
      </c>
      <c r="AU276" s="26">
        <f>IFERROR(__xludf.DUMMYFUNCTION("""COMPUTED_VALUE"""),73.78)</f>
        <v>73.78</v>
      </c>
      <c r="AV276" s="26">
        <f>IFERROR(__xludf.DUMMYFUNCTION("""COMPUTED_VALUE"""),144.69)</f>
        <v>144.69</v>
      </c>
      <c r="AW276" s="26">
        <f>IFERROR(__xludf.DUMMYFUNCTION("""COMPUTED_VALUE"""),96.45)</f>
        <v>96.45</v>
      </c>
      <c r="AX276" s="26">
        <f>IFERROR(__xludf.DUMMYFUNCTION("""COMPUTED_VALUE"""),53.01)</f>
        <v>53.01</v>
      </c>
      <c r="AY276" s="26">
        <f>IFERROR(__xludf.DUMMYFUNCTION("""COMPUTED_VALUE"""),141.41)</f>
        <v>141.41</v>
      </c>
      <c r="AZ276" s="26">
        <f>IFERROR(__xludf.DUMMYFUNCTION("""COMPUTED_VALUE"""),72.26)</f>
        <v>72.26</v>
      </c>
      <c r="BA276" s="26">
        <f>IFERROR(__xludf.DUMMYFUNCTION("""COMPUTED_VALUE"""),24.4)</f>
        <v>24.4</v>
      </c>
      <c r="BB276" s="26">
        <f>IFERROR(__xludf.DUMMYFUNCTION("""COMPUTED_VALUE"""),146.46)</f>
        <v>146.46</v>
      </c>
      <c r="BC276" s="26">
        <f>IFERROR(__xludf.DUMMYFUNCTION("""COMPUTED_VALUE"""),230.99)</f>
        <v>230.99</v>
      </c>
      <c r="BD276" s="26">
        <f>IFERROR(__xludf.DUMMYFUNCTION("""COMPUTED_VALUE"""),405.08)</f>
        <v>405.08</v>
      </c>
      <c r="BE276" s="26">
        <f>IFERROR(__xludf.DUMMYFUNCTION("""COMPUTED_VALUE"""),177.67)</f>
        <v>177.67</v>
      </c>
      <c r="BF276" s="26">
        <f>IFERROR(__xludf.DUMMYFUNCTION("""COMPUTED_VALUE"""),141.96)</f>
        <v>141.96</v>
      </c>
      <c r="BG276" s="26">
        <f>IFERROR(__xludf.DUMMYFUNCTION("""COMPUTED_VALUE"""),6.64)</f>
        <v>6.64</v>
      </c>
      <c r="BH276" s="26">
        <f>IFERROR(__xludf.DUMMYFUNCTION("""COMPUTED_VALUE"""),224.65)</f>
        <v>224.65</v>
      </c>
      <c r="BI276" s="26">
        <f>IFERROR(__xludf.DUMMYFUNCTION("""COMPUTED_VALUE"""),307.66)</f>
        <v>307.66</v>
      </c>
      <c r="BJ276" s="26">
        <f>IFERROR(__xludf.DUMMYFUNCTION("""COMPUTED_VALUE"""),49.92)</f>
        <v>49.92</v>
      </c>
      <c r="BK276" s="26">
        <f>IFERROR(__xludf.DUMMYFUNCTION("""COMPUTED_VALUE"""),8.99)</f>
        <v>8.99</v>
      </c>
      <c r="BL276" s="26">
        <f>IFERROR(__xludf.DUMMYFUNCTION("""COMPUTED_VALUE"""),234.66)</f>
        <v>234.66</v>
      </c>
      <c r="BM276" s="26">
        <f>IFERROR(__xludf.DUMMYFUNCTION("""COMPUTED_VALUE"""),119.48)</f>
        <v>119.48</v>
      </c>
    </row>
    <row r="277">
      <c r="A277" s="25">
        <v>45826.66666666667</v>
      </c>
      <c r="B277" s="17">
        <f>IFERROR(__xludf.DUMMYFUNCTION("""COMPUTED_VALUE"""),5982.72)</f>
        <v>5982.72</v>
      </c>
      <c r="C277" s="17">
        <f>IFERROR(__xludf.DUMMYFUNCTION("""COMPUTED_VALUE"""),19521.09)</f>
        <v>19521.09</v>
      </c>
      <c r="D277" s="17">
        <f>IFERROR(__xludf.DUMMYFUNCTION("""COMPUTED_VALUE"""),42215.8)</f>
        <v>42215.8</v>
      </c>
      <c r="E277" s="17">
        <f>IFERROR(__xludf.DUMMYFUNCTION("""COMPUTED_VALUE"""),2101.96)</f>
        <v>2101.96</v>
      </c>
      <c r="F277" s="26">
        <f>IFERROR(__xludf.DUMMYFUNCTION("""COMPUTED_VALUE"""),382.68)</f>
        <v>382.68</v>
      </c>
      <c r="G277" s="26">
        <f>IFERROR(__xludf.DUMMYFUNCTION("""COMPUTED_VALUE"""),214.82)</f>
        <v>214.82</v>
      </c>
      <c r="H277" s="26">
        <f>IFERROR(__xludf.DUMMYFUNCTION("""COMPUTED_VALUE"""),140.92)</f>
        <v>140.92</v>
      </c>
      <c r="I277" s="26">
        <f>IFERROR(__xludf.DUMMYFUNCTION("""COMPUTED_VALUE"""),195.64)</f>
        <v>195.64</v>
      </c>
      <c r="J277" s="26">
        <f>IFERROR(__xludf.DUMMYFUNCTION("""COMPUTED_VALUE"""),174.09)</f>
        <v>174.09</v>
      </c>
      <c r="K277" s="26">
        <f>IFERROR(__xludf.DUMMYFUNCTION("""COMPUTED_VALUE"""),89.77)</f>
        <v>89.77</v>
      </c>
      <c r="L277" s="26">
        <f>IFERROR(__xludf.DUMMYFUNCTION("""COMPUTED_VALUE"""),17.5)</f>
        <v>17.5</v>
      </c>
      <c r="M277" s="26">
        <f>IFERROR(__xludf.DUMMYFUNCTION("""COMPUTED_VALUE"""),483.48)</f>
        <v>483.48</v>
      </c>
      <c r="N277" s="26">
        <f>IFERROR(__xludf.DUMMYFUNCTION("""COMPUTED_VALUE"""),47.78)</f>
        <v>47.78</v>
      </c>
      <c r="O277" s="26">
        <f>IFERROR(__xludf.DUMMYFUNCTION("""COMPUTED_VALUE"""),126.56)</f>
        <v>126.56</v>
      </c>
      <c r="P277" s="26">
        <f>IFERROR(__xludf.DUMMYFUNCTION("""COMPUTED_VALUE"""),69.78)</f>
        <v>69.78</v>
      </c>
      <c r="Q277" s="26">
        <f>IFERROR(__xludf.DUMMYFUNCTION("""COMPUTED_VALUE"""),357.68)</f>
        <v>357.68</v>
      </c>
      <c r="R277" s="26">
        <f>IFERROR(__xludf.DUMMYFUNCTION("""COMPUTED_VALUE"""),69.25)</f>
        <v>69.25</v>
      </c>
      <c r="S277" s="26">
        <f>IFERROR(__xludf.DUMMYFUNCTION("""COMPUTED_VALUE"""),219.23)</f>
        <v>219.23</v>
      </c>
      <c r="T277" s="26">
        <f>IFERROR(__xludf.DUMMYFUNCTION("""COMPUTED_VALUE"""),148.85)</f>
        <v>148.85</v>
      </c>
      <c r="U277" s="26">
        <f>IFERROR(__xludf.DUMMYFUNCTION("""COMPUTED_VALUE"""),312.51)</f>
        <v>312.51</v>
      </c>
      <c r="V277" s="26">
        <f>IFERROR(__xludf.DUMMYFUNCTION("""COMPUTED_VALUE"""),40.45)</f>
        <v>40.45</v>
      </c>
      <c r="W277" s="26">
        <f>IFERROR(__xludf.DUMMYFUNCTION("""COMPUTED_VALUE"""),69.62)</f>
        <v>69.62</v>
      </c>
      <c r="X277" s="26">
        <f>IFERROR(__xludf.DUMMYFUNCTION("""COMPUTED_VALUE"""),101.35)</f>
        <v>101.35</v>
      </c>
      <c r="Y277" s="26">
        <f>IFERROR(__xludf.DUMMYFUNCTION("""COMPUTED_VALUE"""),176.06)</f>
        <v>176.06</v>
      </c>
      <c r="Z277" s="26">
        <f>IFERROR(__xludf.DUMMYFUNCTION("""COMPUTED_VALUE"""),98.35)</f>
        <v>98.35</v>
      </c>
      <c r="AA277" s="26">
        <f>IFERROR(__xludf.DUMMYFUNCTION("""COMPUTED_VALUE"""),458.78)</f>
        <v>458.78</v>
      </c>
      <c r="AB277" s="26">
        <f>IFERROR(__xludf.DUMMYFUNCTION("""COMPUTED_VALUE"""),77.4)</f>
        <v>77.4</v>
      </c>
      <c r="AC277" s="26">
        <f>IFERROR(__xludf.DUMMYFUNCTION("""COMPUTED_VALUE"""),114.0)</f>
        <v>114</v>
      </c>
      <c r="AD277" s="26">
        <f>IFERROR(__xludf.DUMMYFUNCTION("""COMPUTED_VALUE"""),222.53)</f>
        <v>222.53</v>
      </c>
      <c r="AE277" s="26">
        <f>IFERROR(__xludf.DUMMYFUNCTION("""COMPUTED_VALUE"""),460.65)</f>
        <v>460.65</v>
      </c>
      <c r="AF277" s="26">
        <f>IFERROR(__xludf.DUMMYFUNCTION("""COMPUTED_VALUE"""),281.3)</f>
        <v>281.3</v>
      </c>
      <c r="AG277" s="26">
        <f>IFERROR(__xludf.DUMMYFUNCTION("""COMPUTED_VALUE"""),48.28)</f>
        <v>48.28</v>
      </c>
      <c r="AH277" s="26">
        <f>IFERROR(__xludf.DUMMYFUNCTION("""COMPUTED_VALUE"""),108.0)</f>
        <v>108</v>
      </c>
      <c r="AI277" s="26">
        <f>IFERROR(__xludf.DUMMYFUNCTION("""COMPUTED_VALUE"""),624.64)</f>
        <v>624.64</v>
      </c>
      <c r="AJ277" s="26">
        <f>IFERROR(__xludf.DUMMYFUNCTION("""COMPUTED_VALUE"""),348.78)</f>
        <v>348.78</v>
      </c>
      <c r="AK277" s="26">
        <f>IFERROR(__xludf.DUMMYFUNCTION("""COMPUTED_VALUE"""),136.08)</f>
        <v>136.08</v>
      </c>
      <c r="AL277" s="26">
        <f>IFERROR(__xludf.DUMMYFUNCTION("""COMPUTED_VALUE"""),180.99)</f>
        <v>180.99</v>
      </c>
      <c r="AM277" s="26">
        <f>IFERROR(__xludf.DUMMYFUNCTION("""COMPUTED_VALUE"""),512.11)</f>
        <v>512.11</v>
      </c>
      <c r="AN277" s="26">
        <f>IFERROR(__xludf.DUMMYFUNCTION("""COMPUTED_VALUE"""),269.52)</f>
        <v>269.52</v>
      </c>
      <c r="AO277" s="26">
        <f>IFERROR(__xludf.DUMMYFUNCTION("""COMPUTED_VALUE"""),479.34)</f>
        <v>479.34</v>
      </c>
      <c r="AP277" s="26">
        <f>IFERROR(__xludf.DUMMYFUNCTION("""COMPUTED_VALUE"""),235.2)</f>
        <v>235.2</v>
      </c>
      <c r="AQ277" s="26">
        <f>IFERROR(__xludf.DUMMYFUNCTION("""COMPUTED_VALUE"""),30.88)</f>
        <v>30.88</v>
      </c>
      <c r="AR277" s="26">
        <f>IFERROR(__xludf.DUMMYFUNCTION("""COMPUTED_VALUE"""),86.17)</f>
        <v>86.17</v>
      </c>
      <c r="AS277" s="26">
        <f>IFERROR(__xludf.DUMMYFUNCTION("""COMPUTED_VALUE"""),77.85)</f>
        <v>77.85</v>
      </c>
      <c r="AT277" s="26">
        <f>IFERROR(__xludf.DUMMYFUNCTION("""COMPUTED_VALUE"""),478.04)</f>
        <v>478.04</v>
      </c>
      <c r="AU277" s="26">
        <f>IFERROR(__xludf.DUMMYFUNCTION("""COMPUTED_VALUE"""),71.86)</f>
        <v>71.86</v>
      </c>
      <c r="AV277" s="26">
        <f>IFERROR(__xludf.DUMMYFUNCTION("""COMPUTED_VALUE"""),144.12)</f>
        <v>144.12</v>
      </c>
      <c r="AW277" s="26">
        <f>IFERROR(__xludf.DUMMYFUNCTION("""COMPUTED_VALUE"""),95.35)</f>
        <v>95.35</v>
      </c>
      <c r="AX277" s="26">
        <f>IFERROR(__xludf.DUMMYFUNCTION("""COMPUTED_VALUE"""),52.08)</f>
        <v>52.08</v>
      </c>
      <c r="AY277" s="26">
        <f>IFERROR(__xludf.DUMMYFUNCTION("""COMPUTED_VALUE"""),138.2)</f>
        <v>138.2</v>
      </c>
      <c r="AZ277" s="26">
        <f>IFERROR(__xludf.DUMMYFUNCTION("""COMPUTED_VALUE"""),70.67)</f>
        <v>70.67</v>
      </c>
      <c r="BA277" s="26">
        <f>IFERROR(__xludf.DUMMYFUNCTION("""COMPUTED_VALUE"""),24.0)</f>
        <v>24</v>
      </c>
      <c r="BB277" s="26">
        <f>IFERROR(__xludf.DUMMYFUNCTION("""COMPUTED_VALUE"""),148.48)</f>
        <v>148.48</v>
      </c>
      <c r="BC277" s="26">
        <f>IFERROR(__xludf.DUMMYFUNCTION("""COMPUTED_VALUE"""),221.43)</f>
        <v>221.43</v>
      </c>
      <c r="BD277" s="26">
        <f>IFERROR(__xludf.DUMMYFUNCTION("""COMPUTED_VALUE"""),390.26)</f>
        <v>390.26</v>
      </c>
      <c r="BE277" s="26">
        <f>IFERROR(__xludf.DUMMYFUNCTION("""COMPUTED_VALUE"""),173.95)</f>
        <v>173.95</v>
      </c>
      <c r="BF277" s="26">
        <f>IFERROR(__xludf.DUMMYFUNCTION("""COMPUTED_VALUE"""),136.2)</f>
        <v>136.2</v>
      </c>
      <c r="BG277" s="26">
        <f>IFERROR(__xludf.DUMMYFUNCTION("""COMPUTED_VALUE"""),6.33)</f>
        <v>6.33</v>
      </c>
      <c r="BH277" s="26">
        <f>IFERROR(__xludf.DUMMYFUNCTION("""COMPUTED_VALUE"""),220.59)</f>
        <v>220.59</v>
      </c>
      <c r="BI277" s="26">
        <f>IFERROR(__xludf.DUMMYFUNCTION("""COMPUTED_VALUE"""),308.87)</f>
        <v>308.87</v>
      </c>
      <c r="BJ277" s="26">
        <f>IFERROR(__xludf.DUMMYFUNCTION("""COMPUTED_VALUE"""),50.02)</f>
        <v>50.02</v>
      </c>
      <c r="BK277" s="26">
        <f>IFERROR(__xludf.DUMMYFUNCTION("""COMPUTED_VALUE"""),8.76)</f>
        <v>8.76</v>
      </c>
      <c r="BL277" s="26">
        <f>IFERROR(__xludf.DUMMYFUNCTION("""COMPUTED_VALUE"""),234.3)</f>
        <v>234.3</v>
      </c>
      <c r="BM277" s="26">
        <f>IFERROR(__xludf.DUMMYFUNCTION("""COMPUTED_VALUE"""),118.13)</f>
        <v>118.13</v>
      </c>
    </row>
    <row r="278">
      <c r="A278" s="25">
        <v>45828.66666666667</v>
      </c>
      <c r="B278" s="17">
        <f>IFERROR(__xludf.DUMMYFUNCTION("""COMPUTED_VALUE"""),5980.87)</f>
        <v>5980.87</v>
      </c>
      <c r="C278" s="17">
        <f>IFERROR(__xludf.DUMMYFUNCTION("""COMPUTED_VALUE"""),19546.27)</f>
        <v>19546.27</v>
      </c>
      <c r="D278" s="17">
        <f>IFERROR(__xludf.DUMMYFUNCTION("""COMPUTED_VALUE"""),42171.66)</f>
        <v>42171.66</v>
      </c>
      <c r="E278" s="17">
        <f>IFERROR(__xludf.DUMMYFUNCTION("""COMPUTED_VALUE"""),2112.96)</f>
        <v>2112.96</v>
      </c>
      <c r="F278" s="26">
        <f>IFERROR(__xludf.DUMMYFUNCTION("""COMPUTED_VALUE"""),378.04)</f>
        <v>378.04</v>
      </c>
      <c r="G278" s="26">
        <f>IFERROR(__xludf.DUMMYFUNCTION("""COMPUTED_VALUE"""),212.52)</f>
        <v>212.52</v>
      </c>
      <c r="H278" s="26">
        <f>IFERROR(__xludf.DUMMYFUNCTION("""COMPUTED_VALUE"""),141.1)</f>
        <v>141.1</v>
      </c>
      <c r="I278" s="26">
        <f>IFERROR(__xludf.DUMMYFUNCTION("""COMPUTED_VALUE"""),196.58)</f>
        <v>196.58</v>
      </c>
      <c r="J278" s="26">
        <f>IFERROR(__xludf.DUMMYFUNCTION("""COMPUTED_VALUE"""),172.84)</f>
        <v>172.84</v>
      </c>
      <c r="K278" s="26">
        <f>IFERROR(__xludf.DUMMYFUNCTION("""COMPUTED_VALUE"""),91.6)</f>
        <v>91.6</v>
      </c>
      <c r="L278" s="26">
        <f>IFERROR(__xludf.DUMMYFUNCTION("""COMPUTED_VALUE"""),17.66)</f>
        <v>17.66</v>
      </c>
      <c r="M278" s="26">
        <f>IFERROR(__xludf.DUMMYFUNCTION("""COMPUTED_VALUE"""),485.14)</f>
        <v>485.14</v>
      </c>
      <c r="N278" s="26">
        <f>IFERROR(__xludf.DUMMYFUNCTION("""COMPUTED_VALUE"""),47.62)</f>
        <v>47.62</v>
      </c>
      <c r="O278" s="26">
        <f>IFERROR(__xludf.DUMMYFUNCTION("""COMPUTED_VALUE"""),126.54)</f>
        <v>126.54</v>
      </c>
      <c r="P278" s="26">
        <f>IFERROR(__xludf.DUMMYFUNCTION("""COMPUTED_VALUE"""),69.86)</f>
        <v>69.86</v>
      </c>
      <c r="Q278" s="26">
        <f>IFERROR(__xludf.DUMMYFUNCTION("""COMPUTED_VALUE"""),359.8)</f>
        <v>359.8</v>
      </c>
      <c r="R278" s="26">
        <f>IFERROR(__xludf.DUMMYFUNCTION("""COMPUTED_VALUE"""),69.67)</f>
        <v>69.67</v>
      </c>
      <c r="S278" s="26">
        <f>IFERROR(__xludf.DUMMYFUNCTION("""COMPUTED_VALUE"""),218.42)</f>
        <v>218.42</v>
      </c>
      <c r="T278" s="26">
        <f>IFERROR(__xludf.DUMMYFUNCTION("""COMPUTED_VALUE"""),148.19)</f>
        <v>148.19</v>
      </c>
      <c r="U278" s="26">
        <f>IFERROR(__xludf.DUMMYFUNCTION("""COMPUTED_VALUE"""),314.4)</f>
        <v>314.4</v>
      </c>
      <c r="V278" s="26">
        <f>IFERROR(__xludf.DUMMYFUNCTION("""COMPUTED_VALUE"""),41.32)</f>
        <v>41.32</v>
      </c>
      <c r="W278" s="26">
        <f>IFERROR(__xludf.DUMMYFUNCTION("""COMPUTED_VALUE"""),69.21)</f>
        <v>69.21</v>
      </c>
      <c r="X278" s="26">
        <f>IFERROR(__xludf.DUMMYFUNCTION("""COMPUTED_VALUE"""),100.73)</f>
        <v>100.73</v>
      </c>
      <c r="Y278" s="26">
        <f>IFERROR(__xludf.DUMMYFUNCTION("""COMPUTED_VALUE"""),176.6)</f>
        <v>176.6</v>
      </c>
      <c r="Z278" s="26">
        <f>IFERROR(__xludf.DUMMYFUNCTION("""COMPUTED_VALUE"""),97.53)</f>
        <v>97.53</v>
      </c>
      <c r="AA278" s="26">
        <f>IFERROR(__xludf.DUMMYFUNCTION("""COMPUTED_VALUE"""),446.77)</f>
        <v>446.77</v>
      </c>
      <c r="AB278" s="26">
        <f>IFERROR(__xludf.DUMMYFUNCTION("""COMPUTED_VALUE"""),77.53)</f>
        <v>77.53</v>
      </c>
      <c r="AC278" s="26">
        <f>IFERROR(__xludf.DUMMYFUNCTION("""COMPUTED_VALUE"""),113.19)</f>
        <v>113.19</v>
      </c>
      <c r="AD278" s="26">
        <f>IFERROR(__xludf.DUMMYFUNCTION("""COMPUTED_VALUE"""),223.3)</f>
        <v>223.3</v>
      </c>
      <c r="AE278" s="26">
        <f>IFERROR(__xludf.DUMMYFUNCTION("""COMPUTED_VALUE"""),460.51)</f>
        <v>460.51</v>
      </c>
      <c r="AF278" s="26">
        <f>IFERROR(__xludf.DUMMYFUNCTION("""COMPUTED_VALUE"""),278.53)</f>
        <v>278.53</v>
      </c>
      <c r="AG278" s="26">
        <f>IFERROR(__xludf.DUMMYFUNCTION("""COMPUTED_VALUE"""),48.09)</f>
        <v>48.09</v>
      </c>
      <c r="AH278" s="26">
        <f>IFERROR(__xludf.DUMMYFUNCTION("""COMPUTED_VALUE"""),108.0)</f>
        <v>108</v>
      </c>
      <c r="AI278" s="26">
        <f>IFERROR(__xludf.DUMMYFUNCTION("""COMPUTED_VALUE"""),635.24)</f>
        <v>635.24</v>
      </c>
      <c r="AJ278" s="26">
        <f>IFERROR(__xludf.DUMMYFUNCTION("""COMPUTED_VALUE"""),347.03)</f>
        <v>347.03</v>
      </c>
      <c r="AK278" s="26">
        <f>IFERROR(__xludf.DUMMYFUNCTION("""COMPUTED_VALUE"""),132.95)</f>
        <v>132.95</v>
      </c>
      <c r="AL278" s="26">
        <f>IFERROR(__xludf.DUMMYFUNCTION("""COMPUTED_VALUE"""),179.76)</f>
        <v>179.76</v>
      </c>
      <c r="AM278" s="26">
        <f>IFERROR(__xludf.DUMMYFUNCTION("""COMPUTED_VALUE"""),509.49)</f>
        <v>509.49</v>
      </c>
      <c r="AN278" s="26">
        <f>IFERROR(__xludf.DUMMYFUNCTION("""COMPUTED_VALUE"""),273.96)</f>
        <v>273.96</v>
      </c>
      <c r="AO278" s="26">
        <f>IFERROR(__xludf.DUMMYFUNCTION("""COMPUTED_VALUE"""),468.6)</f>
        <v>468.6</v>
      </c>
      <c r="AP278" s="26">
        <f>IFERROR(__xludf.DUMMYFUNCTION("""COMPUTED_VALUE"""),228.65)</f>
        <v>228.65</v>
      </c>
      <c r="AQ278" s="26">
        <f>IFERROR(__xludf.DUMMYFUNCTION("""COMPUTED_VALUE"""),30.63)</f>
        <v>30.63</v>
      </c>
      <c r="AR278" s="26">
        <f>IFERROR(__xludf.DUMMYFUNCTION("""COMPUTED_VALUE"""),85.73)</f>
        <v>85.73</v>
      </c>
      <c r="AS278" s="26">
        <f>IFERROR(__xludf.DUMMYFUNCTION("""COMPUTED_VALUE"""),78.55)</f>
        <v>78.55</v>
      </c>
      <c r="AT278" s="26">
        <f>IFERROR(__xludf.DUMMYFUNCTION("""COMPUTED_VALUE"""),480.24)</f>
        <v>480.24</v>
      </c>
      <c r="AU278" s="26">
        <f>IFERROR(__xludf.DUMMYFUNCTION("""COMPUTED_VALUE"""),71.57)</f>
        <v>71.57</v>
      </c>
      <c r="AV278" s="26">
        <f>IFERROR(__xludf.DUMMYFUNCTION("""COMPUTED_VALUE"""),145.48)</f>
        <v>145.48</v>
      </c>
      <c r="AW278" s="26">
        <f>IFERROR(__xludf.DUMMYFUNCTION("""COMPUTED_VALUE"""),95.67)</f>
        <v>95.67</v>
      </c>
      <c r="AX278" s="26">
        <f>IFERROR(__xludf.DUMMYFUNCTION("""COMPUTED_VALUE"""),51.87)</f>
        <v>51.87</v>
      </c>
      <c r="AY278" s="26">
        <f>IFERROR(__xludf.DUMMYFUNCTION("""COMPUTED_VALUE"""),139.96)</f>
        <v>139.96</v>
      </c>
      <c r="AZ278" s="26">
        <f>IFERROR(__xludf.DUMMYFUNCTION("""COMPUTED_VALUE"""),68.57)</f>
        <v>68.57</v>
      </c>
      <c r="BA278" s="26">
        <f>IFERROR(__xludf.DUMMYFUNCTION("""COMPUTED_VALUE"""),23.88)</f>
        <v>23.88</v>
      </c>
      <c r="BB278" s="26">
        <f>IFERROR(__xludf.DUMMYFUNCTION("""COMPUTED_VALUE"""),145.87)</f>
        <v>145.87</v>
      </c>
      <c r="BC278" s="26">
        <f>IFERROR(__xludf.DUMMYFUNCTION("""COMPUTED_VALUE"""),220.99)</f>
        <v>220.99</v>
      </c>
      <c r="BD278" s="26">
        <f>IFERROR(__xludf.DUMMYFUNCTION("""COMPUTED_VALUE"""),392.56)</f>
        <v>392.56</v>
      </c>
      <c r="BE278" s="26">
        <f>IFERROR(__xludf.DUMMYFUNCTION("""COMPUTED_VALUE"""),175.59)</f>
        <v>175.59</v>
      </c>
      <c r="BF278" s="26">
        <f>IFERROR(__xludf.DUMMYFUNCTION("""COMPUTED_VALUE"""),124.0)</f>
        <v>124</v>
      </c>
      <c r="BG278" s="26">
        <f>IFERROR(__xludf.DUMMYFUNCTION("""COMPUTED_VALUE"""),6.17)</f>
        <v>6.17</v>
      </c>
      <c r="BH278" s="26">
        <f>IFERROR(__xludf.DUMMYFUNCTION("""COMPUTED_VALUE"""),222.01)</f>
        <v>222.01</v>
      </c>
      <c r="BI278" s="26">
        <f>IFERROR(__xludf.DUMMYFUNCTION("""COMPUTED_VALUE"""),307.2)</f>
        <v>307.2</v>
      </c>
      <c r="BJ278" s="26">
        <f>IFERROR(__xludf.DUMMYFUNCTION("""COMPUTED_VALUE"""),50.05)</f>
        <v>50.05</v>
      </c>
      <c r="BK278" s="26">
        <f>IFERROR(__xludf.DUMMYFUNCTION("""COMPUTED_VALUE"""),8.77)</f>
        <v>8.77</v>
      </c>
      <c r="BL278" s="26">
        <f>IFERROR(__xludf.DUMMYFUNCTION("""COMPUTED_VALUE"""),233.22)</f>
        <v>233.22</v>
      </c>
      <c r="BM278" s="26">
        <f>IFERROR(__xludf.DUMMYFUNCTION("""COMPUTED_VALUE"""),117.86)</f>
        <v>117.86</v>
      </c>
    </row>
    <row r="279">
      <c r="A279" s="25">
        <v>45831.66666666667</v>
      </c>
      <c r="B279" s="17">
        <f>IFERROR(__xludf.DUMMYFUNCTION("""COMPUTED_VALUE"""),5967.84)</f>
        <v>5967.84</v>
      </c>
      <c r="C279" s="17">
        <f>IFERROR(__xludf.DUMMYFUNCTION("""COMPUTED_VALUE"""),19447.41)</f>
        <v>19447.41</v>
      </c>
      <c r="D279" s="17">
        <f>IFERROR(__xludf.DUMMYFUNCTION("""COMPUTED_VALUE"""),42206.82)</f>
        <v>42206.82</v>
      </c>
      <c r="E279" s="17">
        <f>IFERROR(__xludf.DUMMYFUNCTION("""COMPUTED_VALUE"""),2109.27)</f>
        <v>2109.27</v>
      </c>
      <c r="F279" s="26">
        <f>IFERROR(__xludf.DUMMYFUNCTION("""COMPUTED_VALUE"""),376.92)</f>
        <v>376.92</v>
      </c>
      <c r="G279" s="26">
        <f>IFERROR(__xludf.DUMMYFUNCTION("""COMPUTED_VALUE"""),209.69)</f>
        <v>209.69</v>
      </c>
      <c r="H279" s="26">
        <f>IFERROR(__xludf.DUMMYFUNCTION("""COMPUTED_VALUE"""),141.25)</f>
        <v>141.25</v>
      </c>
      <c r="I279" s="26">
        <f>IFERROR(__xludf.DUMMYFUNCTION("""COMPUTED_VALUE"""),201.0)</f>
        <v>201</v>
      </c>
      <c r="J279" s="26">
        <f>IFERROR(__xludf.DUMMYFUNCTION("""COMPUTED_VALUE"""),169.46)</f>
        <v>169.46</v>
      </c>
      <c r="K279" s="26">
        <f>IFERROR(__xludf.DUMMYFUNCTION("""COMPUTED_VALUE"""),91.62)</f>
        <v>91.62</v>
      </c>
      <c r="L279" s="26">
        <f>IFERROR(__xludf.DUMMYFUNCTION("""COMPUTED_VALUE"""),17.58)</f>
        <v>17.58</v>
      </c>
      <c r="M279" s="26">
        <f>IFERROR(__xludf.DUMMYFUNCTION("""COMPUTED_VALUE"""),484.85)</f>
        <v>484.85</v>
      </c>
      <c r="N279" s="26">
        <f>IFERROR(__xludf.DUMMYFUNCTION("""COMPUTED_VALUE"""),46.14)</f>
        <v>46.14</v>
      </c>
      <c r="O279" s="26">
        <f>IFERROR(__xludf.DUMMYFUNCTION("""COMPUTED_VALUE"""),127.04)</f>
        <v>127.04</v>
      </c>
      <c r="P279" s="26">
        <f>IFERROR(__xludf.DUMMYFUNCTION("""COMPUTED_VALUE"""),70.47)</f>
        <v>70.47</v>
      </c>
      <c r="Q279" s="26">
        <f>IFERROR(__xludf.DUMMYFUNCTION("""COMPUTED_VALUE"""),360.52)</f>
        <v>360.52</v>
      </c>
      <c r="R279" s="26">
        <f>IFERROR(__xludf.DUMMYFUNCTION("""COMPUTED_VALUE"""),68.27)</f>
        <v>68.27</v>
      </c>
      <c r="S279" s="26">
        <f>IFERROR(__xludf.DUMMYFUNCTION("""COMPUTED_VALUE"""),218.21)</f>
        <v>218.21</v>
      </c>
      <c r="T279" s="26">
        <f>IFERROR(__xludf.DUMMYFUNCTION("""COMPUTED_VALUE"""),149.55)</f>
        <v>149.55</v>
      </c>
      <c r="U279" s="26">
        <f>IFERROR(__xludf.DUMMYFUNCTION("""COMPUTED_VALUE"""),314.35)</f>
        <v>314.35</v>
      </c>
      <c r="V279" s="26">
        <f>IFERROR(__xludf.DUMMYFUNCTION("""COMPUTED_VALUE"""),41.71)</f>
        <v>41.71</v>
      </c>
      <c r="W279" s="26">
        <f>IFERROR(__xludf.DUMMYFUNCTION("""COMPUTED_VALUE"""),68.84)</f>
        <v>68.84</v>
      </c>
      <c r="X279" s="26">
        <f>IFERROR(__xludf.DUMMYFUNCTION("""COMPUTED_VALUE"""),100.97)</f>
        <v>100.97</v>
      </c>
      <c r="Y279" s="26">
        <f>IFERROR(__xludf.DUMMYFUNCTION("""COMPUTED_VALUE"""),175.42)</f>
        <v>175.42</v>
      </c>
      <c r="Z279" s="26">
        <f>IFERROR(__xludf.DUMMYFUNCTION("""COMPUTED_VALUE"""),98.71)</f>
        <v>98.71</v>
      </c>
      <c r="AA279" s="26">
        <f>IFERROR(__xludf.DUMMYFUNCTION("""COMPUTED_VALUE"""),447.28)</f>
        <v>447.28</v>
      </c>
      <c r="AB279" s="26">
        <f>IFERROR(__xludf.DUMMYFUNCTION("""COMPUTED_VALUE"""),77.62)</f>
        <v>77.62</v>
      </c>
      <c r="AC279" s="26">
        <f>IFERROR(__xludf.DUMMYFUNCTION("""COMPUTED_VALUE"""),114.7)</f>
        <v>114.7</v>
      </c>
      <c r="AD279" s="26">
        <f>IFERROR(__xludf.DUMMYFUNCTION("""COMPUTED_VALUE"""),226.04)</f>
        <v>226.04</v>
      </c>
      <c r="AE279" s="26">
        <f>IFERROR(__xludf.DUMMYFUNCTION("""COMPUTED_VALUE"""),459.05)</f>
        <v>459.05</v>
      </c>
      <c r="AF279" s="26">
        <f>IFERROR(__xludf.DUMMYFUNCTION("""COMPUTED_VALUE"""),278.78)</f>
        <v>278.78</v>
      </c>
      <c r="AG279" s="26">
        <f>IFERROR(__xludf.DUMMYFUNCTION("""COMPUTED_VALUE"""),48.2)</f>
        <v>48.2</v>
      </c>
      <c r="AH279" s="26">
        <f>IFERROR(__xludf.DUMMYFUNCTION("""COMPUTED_VALUE"""),108.5)</f>
        <v>108.5</v>
      </c>
      <c r="AI279" s="26">
        <f>IFERROR(__xludf.DUMMYFUNCTION("""COMPUTED_VALUE"""),640.8)</f>
        <v>640.8</v>
      </c>
      <c r="AJ279" s="26">
        <f>IFERROR(__xludf.DUMMYFUNCTION("""COMPUTED_VALUE"""),349.62)</f>
        <v>349.62</v>
      </c>
      <c r="AK279" s="26">
        <f>IFERROR(__xludf.DUMMYFUNCTION("""COMPUTED_VALUE"""),132.14)</f>
        <v>132.14</v>
      </c>
      <c r="AL279" s="26">
        <f>IFERROR(__xludf.DUMMYFUNCTION("""COMPUTED_VALUE"""),178.43)</f>
        <v>178.43</v>
      </c>
      <c r="AM279" s="26">
        <f>IFERROR(__xludf.DUMMYFUNCTION("""COMPUTED_VALUE"""),509.36)</f>
        <v>509.36</v>
      </c>
      <c r="AN279" s="26">
        <f>IFERROR(__xludf.DUMMYFUNCTION("""COMPUTED_VALUE"""),275.0)</f>
        <v>275</v>
      </c>
      <c r="AO279" s="26">
        <f>IFERROR(__xludf.DUMMYFUNCTION("""COMPUTED_VALUE"""),470.56)</f>
        <v>470.56</v>
      </c>
      <c r="AP279" s="26">
        <f>IFERROR(__xludf.DUMMYFUNCTION("""COMPUTED_VALUE"""),227.47)</f>
        <v>227.47</v>
      </c>
      <c r="AQ279" s="26">
        <f>IFERROR(__xludf.DUMMYFUNCTION("""COMPUTED_VALUE"""),30.67)</f>
        <v>30.67</v>
      </c>
      <c r="AR279" s="26">
        <f>IFERROR(__xludf.DUMMYFUNCTION("""COMPUTED_VALUE"""),86.34)</f>
        <v>86.34</v>
      </c>
      <c r="AS279" s="26">
        <f>IFERROR(__xludf.DUMMYFUNCTION("""COMPUTED_VALUE"""),79.21)</f>
        <v>79.21</v>
      </c>
      <c r="AT279" s="26">
        <f>IFERROR(__xludf.DUMMYFUNCTION("""COMPUTED_VALUE"""),477.4)</f>
        <v>477.4</v>
      </c>
      <c r="AU279" s="26">
        <f>IFERROR(__xludf.DUMMYFUNCTION("""COMPUTED_VALUE"""),71.53)</f>
        <v>71.53</v>
      </c>
      <c r="AV279" s="26">
        <f>IFERROR(__xludf.DUMMYFUNCTION("""COMPUTED_VALUE"""),143.85)</f>
        <v>143.85</v>
      </c>
      <c r="AW279" s="26">
        <f>IFERROR(__xludf.DUMMYFUNCTION("""COMPUTED_VALUE"""),94.09)</f>
        <v>94.09</v>
      </c>
      <c r="AX279" s="26">
        <f>IFERROR(__xludf.DUMMYFUNCTION("""COMPUTED_VALUE"""),52.67)</f>
        <v>52.67</v>
      </c>
      <c r="AY279" s="26">
        <f>IFERROR(__xludf.DUMMYFUNCTION("""COMPUTED_VALUE"""),137.3)</f>
        <v>137.3</v>
      </c>
      <c r="AZ279" s="26">
        <f>IFERROR(__xludf.DUMMYFUNCTION("""COMPUTED_VALUE"""),70.05)</f>
        <v>70.05</v>
      </c>
      <c r="BA279" s="26">
        <f>IFERROR(__xludf.DUMMYFUNCTION("""COMPUTED_VALUE"""),23.97)</f>
        <v>23.97</v>
      </c>
      <c r="BB279" s="26">
        <f>IFERROR(__xludf.DUMMYFUNCTION("""COMPUTED_VALUE"""),146.64)</f>
        <v>146.64</v>
      </c>
      <c r="BC279" s="26">
        <f>IFERROR(__xludf.DUMMYFUNCTION("""COMPUTED_VALUE"""),221.52)</f>
        <v>221.52</v>
      </c>
      <c r="BD279" s="26">
        <f>IFERROR(__xludf.DUMMYFUNCTION("""COMPUTED_VALUE"""),397.88)</f>
        <v>397.88</v>
      </c>
      <c r="BE279" s="26">
        <f>IFERROR(__xludf.DUMMYFUNCTION("""COMPUTED_VALUE"""),172.4)</f>
        <v>172.4</v>
      </c>
      <c r="BF279" s="26">
        <f>IFERROR(__xludf.DUMMYFUNCTION("""COMPUTED_VALUE"""),123.56)</f>
        <v>123.56</v>
      </c>
      <c r="BG279" s="26">
        <f>IFERROR(__xludf.DUMMYFUNCTION("""COMPUTED_VALUE"""),7.03)</f>
        <v>7.03</v>
      </c>
      <c r="BH279" s="26">
        <f>IFERROR(__xludf.DUMMYFUNCTION("""COMPUTED_VALUE"""),222.51)</f>
        <v>222.51</v>
      </c>
      <c r="BI279" s="26">
        <f>IFERROR(__xludf.DUMMYFUNCTION("""COMPUTED_VALUE"""),302.01)</f>
        <v>302.01</v>
      </c>
      <c r="BJ279" s="26">
        <f>IFERROR(__xludf.DUMMYFUNCTION("""COMPUTED_VALUE"""),50.12)</f>
        <v>50.12</v>
      </c>
      <c r="BK279" s="26">
        <f>IFERROR(__xludf.DUMMYFUNCTION("""COMPUTED_VALUE"""),8.87)</f>
        <v>8.87</v>
      </c>
      <c r="BL279" s="26">
        <f>IFERROR(__xludf.DUMMYFUNCTION("""COMPUTED_VALUE"""),231.94)</f>
        <v>231.94</v>
      </c>
      <c r="BM279" s="26">
        <f>IFERROR(__xludf.DUMMYFUNCTION("""COMPUTED_VALUE"""),117.63)</f>
        <v>117.63</v>
      </c>
    </row>
    <row r="280">
      <c r="A280" s="25">
        <v>45832.66666666667</v>
      </c>
      <c r="B280" s="17">
        <f>IFERROR(__xludf.DUMMYFUNCTION("""COMPUTED_VALUE"""),6025.17)</f>
        <v>6025.17</v>
      </c>
      <c r="C280" s="17">
        <f>IFERROR(__xludf.DUMMYFUNCTION("""COMPUTED_VALUE"""),19630.97)</f>
        <v>19630.97</v>
      </c>
      <c r="D280" s="17">
        <f>IFERROR(__xludf.DUMMYFUNCTION("""COMPUTED_VALUE"""),42581.78)</f>
        <v>42581.78</v>
      </c>
      <c r="E280" s="17">
        <f>IFERROR(__xludf.DUMMYFUNCTION("""COMPUTED_VALUE"""),2132.68)</f>
        <v>2132.68</v>
      </c>
      <c r="F280" s="26">
        <f>IFERROR(__xludf.DUMMYFUNCTION("""COMPUTED_VALUE"""),380.12)</f>
        <v>380.12</v>
      </c>
      <c r="G280" s="26">
        <f>IFERROR(__xludf.DUMMYFUNCTION("""COMPUTED_VALUE"""),208.47)</f>
        <v>208.47</v>
      </c>
      <c r="H280" s="26">
        <f>IFERROR(__xludf.DUMMYFUNCTION("""COMPUTED_VALUE"""),143.99)</f>
        <v>143.99</v>
      </c>
      <c r="I280" s="26">
        <f>IFERROR(__xludf.DUMMYFUNCTION("""COMPUTED_VALUE"""),201.5)</f>
        <v>201.5</v>
      </c>
      <c r="J280" s="26">
        <f>IFERROR(__xludf.DUMMYFUNCTION("""COMPUTED_VALUE"""),171.96)</f>
        <v>171.96</v>
      </c>
      <c r="K280" s="26">
        <f>IFERROR(__xludf.DUMMYFUNCTION("""COMPUTED_VALUE"""),89.63)</f>
        <v>89.63</v>
      </c>
      <c r="L280" s="26">
        <f>IFERROR(__xludf.DUMMYFUNCTION("""COMPUTED_VALUE"""),17.6)</f>
        <v>17.6</v>
      </c>
      <c r="M280" s="26">
        <f>IFERROR(__xludf.DUMMYFUNCTION("""COMPUTED_VALUE"""),487.77)</f>
        <v>487.77</v>
      </c>
      <c r="N280" s="26">
        <f>IFERROR(__xludf.DUMMYFUNCTION("""COMPUTED_VALUE"""),46.83)</f>
        <v>46.83</v>
      </c>
      <c r="O280" s="26">
        <f>IFERROR(__xludf.DUMMYFUNCTION("""COMPUTED_VALUE"""),124.76)</f>
        <v>124.76</v>
      </c>
      <c r="P280" s="26">
        <f>IFERROR(__xludf.DUMMYFUNCTION("""COMPUTED_VALUE"""),71.78)</f>
        <v>71.78</v>
      </c>
      <c r="Q280" s="26">
        <f>IFERROR(__xludf.DUMMYFUNCTION("""COMPUTED_VALUE"""),366.23)</f>
        <v>366.23</v>
      </c>
      <c r="R280" s="26">
        <f>IFERROR(__xludf.DUMMYFUNCTION("""COMPUTED_VALUE"""),69.72)</f>
        <v>69.72</v>
      </c>
      <c r="S280" s="26">
        <f>IFERROR(__xludf.DUMMYFUNCTION("""COMPUTED_VALUE"""),223.37)</f>
        <v>223.37</v>
      </c>
      <c r="T280" s="26">
        <f>IFERROR(__xludf.DUMMYFUNCTION("""COMPUTED_VALUE"""),146.86)</f>
        <v>146.86</v>
      </c>
      <c r="U280" s="26">
        <f>IFERROR(__xludf.DUMMYFUNCTION("""COMPUTED_VALUE"""),316.97)</f>
        <v>316.97</v>
      </c>
      <c r="V280" s="26">
        <f>IFERROR(__xludf.DUMMYFUNCTION("""COMPUTED_VALUE"""),42.5)</f>
        <v>42.5</v>
      </c>
      <c r="W280" s="26">
        <f>IFERROR(__xludf.DUMMYFUNCTION("""COMPUTED_VALUE"""),69.74)</f>
        <v>69.74</v>
      </c>
      <c r="X280" s="26">
        <f>IFERROR(__xludf.DUMMYFUNCTION("""COMPUTED_VALUE"""),101.15)</f>
        <v>101.15</v>
      </c>
      <c r="Y280" s="26">
        <f>IFERROR(__xludf.DUMMYFUNCTION("""COMPUTED_VALUE"""),177.34)</f>
        <v>177.34</v>
      </c>
      <c r="Z280" s="26">
        <f>IFERROR(__xludf.DUMMYFUNCTION("""COMPUTED_VALUE"""),100.51)</f>
        <v>100.51</v>
      </c>
      <c r="AA280" s="26">
        <f>IFERROR(__xludf.DUMMYFUNCTION("""COMPUTED_VALUE"""),457.61)</f>
        <v>457.61</v>
      </c>
      <c r="AB280" s="26">
        <f>IFERROR(__xludf.DUMMYFUNCTION("""COMPUTED_VALUE"""),76.86)</f>
        <v>76.86</v>
      </c>
      <c r="AC280" s="26">
        <f>IFERROR(__xludf.DUMMYFUNCTION("""COMPUTED_VALUE"""),111.74)</f>
        <v>111.74</v>
      </c>
      <c r="AD280" s="26">
        <f>IFERROR(__xludf.DUMMYFUNCTION("""COMPUTED_VALUE"""),229.23)</f>
        <v>229.23</v>
      </c>
      <c r="AE280" s="26">
        <f>IFERROR(__xludf.DUMMYFUNCTION("""COMPUTED_VALUE"""),461.08)</f>
        <v>461.08</v>
      </c>
      <c r="AF280" s="26">
        <f>IFERROR(__xludf.DUMMYFUNCTION("""COMPUTED_VALUE"""),282.32)</f>
        <v>282.32</v>
      </c>
      <c r="AG280" s="26">
        <f>IFERROR(__xludf.DUMMYFUNCTION("""COMPUTED_VALUE"""),48.52)</f>
        <v>48.52</v>
      </c>
      <c r="AH280" s="26">
        <f>IFERROR(__xludf.DUMMYFUNCTION("""COMPUTED_VALUE"""),106.19)</f>
        <v>106.19</v>
      </c>
      <c r="AI280" s="26">
        <f>IFERROR(__xludf.DUMMYFUNCTION("""COMPUTED_VALUE"""),646.88)</f>
        <v>646.88</v>
      </c>
      <c r="AJ280" s="26">
        <f>IFERROR(__xludf.DUMMYFUNCTION("""COMPUTED_VALUE"""),356.96)</f>
        <v>356.96</v>
      </c>
      <c r="AK280" s="26">
        <f>IFERROR(__xludf.DUMMYFUNCTION("""COMPUTED_VALUE"""),133.87)</f>
        <v>133.87</v>
      </c>
      <c r="AL280" s="26">
        <f>IFERROR(__xludf.DUMMYFUNCTION("""COMPUTED_VALUE"""),179.73)</f>
        <v>179.73</v>
      </c>
      <c r="AM280" s="26">
        <f>IFERROR(__xludf.DUMMYFUNCTION("""COMPUTED_VALUE"""),515.09)</f>
        <v>515.09</v>
      </c>
      <c r="AN280" s="26">
        <f>IFERROR(__xludf.DUMMYFUNCTION("""COMPUTED_VALUE"""),278.27)</f>
        <v>278.27</v>
      </c>
      <c r="AO280" s="26">
        <f>IFERROR(__xludf.DUMMYFUNCTION("""COMPUTED_VALUE"""),472.46)</f>
        <v>472.46</v>
      </c>
      <c r="AP280" s="26">
        <f>IFERROR(__xludf.DUMMYFUNCTION("""COMPUTED_VALUE"""),225.56)</f>
        <v>225.56</v>
      </c>
      <c r="AQ280" s="26">
        <f>IFERROR(__xludf.DUMMYFUNCTION("""COMPUTED_VALUE"""),31.31)</f>
        <v>31.31</v>
      </c>
      <c r="AR280" s="26">
        <f>IFERROR(__xludf.DUMMYFUNCTION("""COMPUTED_VALUE"""),85.96)</f>
        <v>85.96</v>
      </c>
      <c r="AS280" s="26">
        <f>IFERROR(__xludf.DUMMYFUNCTION("""COMPUTED_VALUE"""),79.63)</f>
        <v>79.63</v>
      </c>
      <c r="AT280" s="26">
        <f>IFERROR(__xludf.DUMMYFUNCTION("""COMPUTED_VALUE"""),486.0)</f>
        <v>486</v>
      </c>
      <c r="AU280" s="26">
        <f>IFERROR(__xludf.DUMMYFUNCTION("""COMPUTED_VALUE"""),70.73)</f>
        <v>70.73</v>
      </c>
      <c r="AV280" s="26">
        <f>IFERROR(__xludf.DUMMYFUNCTION("""COMPUTED_VALUE"""),144.17)</f>
        <v>144.17</v>
      </c>
      <c r="AW280" s="26">
        <f>IFERROR(__xludf.DUMMYFUNCTION("""COMPUTED_VALUE"""),95.98)</f>
        <v>95.98</v>
      </c>
      <c r="AX280" s="26">
        <f>IFERROR(__xludf.DUMMYFUNCTION("""COMPUTED_VALUE"""),53.07)</f>
        <v>53.07</v>
      </c>
      <c r="AY280" s="26">
        <f>IFERROR(__xludf.DUMMYFUNCTION("""COMPUTED_VALUE"""),139.92)</f>
        <v>139.92</v>
      </c>
      <c r="AZ280" s="26">
        <f>IFERROR(__xludf.DUMMYFUNCTION("""COMPUTED_VALUE"""),72.01)</f>
        <v>72.01</v>
      </c>
      <c r="BA280" s="26">
        <f>IFERROR(__xludf.DUMMYFUNCTION("""COMPUTED_VALUE"""),24.03)</f>
        <v>24.03</v>
      </c>
      <c r="BB280" s="26">
        <f>IFERROR(__xludf.DUMMYFUNCTION("""COMPUTED_VALUE"""),145.81)</f>
        <v>145.81</v>
      </c>
      <c r="BC280" s="26">
        <f>IFERROR(__xludf.DUMMYFUNCTION("""COMPUTED_VALUE"""),226.98)</f>
        <v>226.98</v>
      </c>
      <c r="BD280" s="26">
        <f>IFERROR(__xludf.DUMMYFUNCTION("""COMPUTED_VALUE"""),400.21)</f>
        <v>400.21</v>
      </c>
      <c r="BE280" s="26">
        <f>IFERROR(__xludf.DUMMYFUNCTION("""COMPUTED_VALUE"""),170.88)</f>
        <v>170.88</v>
      </c>
      <c r="BF280" s="26">
        <f>IFERROR(__xludf.DUMMYFUNCTION("""COMPUTED_VALUE"""),127.53)</f>
        <v>127.53</v>
      </c>
      <c r="BG280" s="26">
        <f>IFERROR(__xludf.DUMMYFUNCTION("""COMPUTED_VALUE"""),6.87)</f>
        <v>6.87</v>
      </c>
      <c r="BH280" s="26">
        <f>IFERROR(__xludf.DUMMYFUNCTION("""COMPUTED_VALUE"""),225.88)</f>
        <v>225.88</v>
      </c>
      <c r="BI280" s="26">
        <f>IFERROR(__xludf.DUMMYFUNCTION("""COMPUTED_VALUE"""),300.68)</f>
        <v>300.68</v>
      </c>
      <c r="BJ280" s="26">
        <f>IFERROR(__xludf.DUMMYFUNCTION("""COMPUTED_VALUE"""),50.16)</f>
        <v>50.16</v>
      </c>
      <c r="BK280" s="26">
        <f>IFERROR(__xludf.DUMMYFUNCTION("""COMPUTED_VALUE"""),8.85)</f>
        <v>8.85</v>
      </c>
      <c r="BL280" s="26">
        <f>IFERROR(__xludf.DUMMYFUNCTION("""COMPUTED_VALUE"""),234.71)</f>
        <v>234.71</v>
      </c>
      <c r="BM280" s="26">
        <f>IFERROR(__xludf.DUMMYFUNCTION("""COMPUTED_VALUE"""),117.75)</f>
        <v>117.75</v>
      </c>
    </row>
    <row r="281">
      <c r="A281" s="25">
        <v>45833.66666666667</v>
      </c>
      <c r="B281" s="17">
        <f>IFERROR(__xludf.DUMMYFUNCTION("""COMPUTED_VALUE"""),6092.18)</f>
        <v>6092.18</v>
      </c>
      <c r="C281" s="17">
        <f>IFERROR(__xludf.DUMMYFUNCTION("""COMPUTED_VALUE"""),19912.53)</f>
        <v>19912.53</v>
      </c>
      <c r="D281" s="17">
        <f>IFERROR(__xludf.DUMMYFUNCTION("""COMPUTED_VALUE"""),43089.02)</f>
        <v>43089.02</v>
      </c>
      <c r="E281" s="17">
        <f>IFERROR(__xludf.DUMMYFUNCTION("""COMPUTED_VALUE"""),2161.21)</f>
        <v>2161.21</v>
      </c>
      <c r="F281" s="26">
        <f>IFERROR(__xludf.DUMMYFUNCTION("""COMPUTED_VALUE"""),382.34)</f>
        <v>382.34</v>
      </c>
      <c r="G281" s="26">
        <f>IFERROR(__xludf.DUMMYFUNCTION("""COMPUTED_VALUE"""),212.77)</f>
        <v>212.77</v>
      </c>
      <c r="H281" s="26">
        <f>IFERROR(__xludf.DUMMYFUNCTION("""COMPUTED_VALUE"""),142.18)</f>
        <v>142.18</v>
      </c>
      <c r="I281" s="26">
        <f>IFERROR(__xludf.DUMMYFUNCTION("""COMPUTED_VALUE"""),200.3)</f>
        <v>200.3</v>
      </c>
      <c r="J281" s="26">
        <f>IFERROR(__xludf.DUMMYFUNCTION("""COMPUTED_VALUE"""),180.18)</f>
        <v>180.18</v>
      </c>
      <c r="K281" s="26">
        <f>IFERROR(__xludf.DUMMYFUNCTION("""COMPUTED_VALUE"""),91.2)</f>
        <v>91.2</v>
      </c>
      <c r="L281" s="26">
        <f>IFERROR(__xludf.DUMMYFUNCTION("""COMPUTED_VALUE"""),18.26)</f>
        <v>18.26</v>
      </c>
      <c r="M281" s="26">
        <f>IFERROR(__xludf.DUMMYFUNCTION("""COMPUTED_VALUE"""),493.48)</f>
        <v>493.48</v>
      </c>
      <c r="N281" s="26">
        <f>IFERROR(__xludf.DUMMYFUNCTION("""COMPUTED_VALUE"""),47.29)</f>
        <v>47.29</v>
      </c>
      <c r="O281" s="26">
        <f>IFERROR(__xludf.DUMMYFUNCTION("""COMPUTED_VALUE"""),126.31)</f>
        <v>126.31</v>
      </c>
      <c r="P281" s="26">
        <f>IFERROR(__xludf.DUMMYFUNCTION("""COMPUTED_VALUE"""),72.46)</f>
        <v>72.46</v>
      </c>
      <c r="Q281" s="26">
        <f>IFERROR(__xludf.DUMMYFUNCTION("""COMPUTED_VALUE"""),373.02)</f>
        <v>373.02</v>
      </c>
      <c r="R281" s="26">
        <f>IFERROR(__xludf.DUMMYFUNCTION("""COMPUTED_VALUE"""),72.34)</f>
        <v>72.34</v>
      </c>
      <c r="S281" s="26">
        <f>IFERROR(__xludf.DUMMYFUNCTION("""COMPUTED_VALUE"""),219.56)</f>
        <v>219.56</v>
      </c>
      <c r="T281" s="26">
        <f>IFERROR(__xludf.DUMMYFUNCTION("""COMPUTED_VALUE"""),143.55)</f>
        <v>143.55</v>
      </c>
      <c r="U281" s="26">
        <f>IFERROR(__xludf.DUMMYFUNCTION("""COMPUTED_VALUE"""),316.83)</f>
        <v>316.83</v>
      </c>
      <c r="V281" s="26">
        <f>IFERROR(__xludf.DUMMYFUNCTION("""COMPUTED_VALUE"""),42.92)</f>
        <v>42.92</v>
      </c>
      <c r="W281" s="26">
        <f>IFERROR(__xludf.DUMMYFUNCTION("""COMPUTED_VALUE"""),70.21)</f>
        <v>70.21</v>
      </c>
      <c r="X281" s="26">
        <f>IFERROR(__xludf.DUMMYFUNCTION("""COMPUTED_VALUE"""),100.19)</f>
        <v>100.19</v>
      </c>
      <c r="Y281" s="26">
        <f>IFERROR(__xludf.DUMMYFUNCTION("""COMPUTED_VALUE"""),177.66)</f>
        <v>177.66</v>
      </c>
      <c r="Z281" s="26">
        <f>IFERROR(__xludf.DUMMYFUNCTION("""COMPUTED_VALUE"""),98.68)</f>
        <v>98.68</v>
      </c>
      <c r="AA281" s="26">
        <f>IFERROR(__xludf.DUMMYFUNCTION("""COMPUTED_VALUE"""),459.97)</f>
        <v>459.97</v>
      </c>
      <c r="AB281" s="26">
        <f>IFERROR(__xludf.DUMMYFUNCTION("""COMPUTED_VALUE"""),74.35)</f>
        <v>74.35</v>
      </c>
      <c r="AC281" s="26">
        <f>IFERROR(__xludf.DUMMYFUNCTION("""COMPUTED_VALUE"""),108.34)</f>
        <v>108.34</v>
      </c>
      <c r="AD281" s="26">
        <f>IFERROR(__xludf.DUMMYFUNCTION("""COMPUTED_VALUE"""),229.51)</f>
        <v>229.51</v>
      </c>
      <c r="AE281" s="26">
        <f>IFERROR(__xludf.DUMMYFUNCTION("""COMPUTED_VALUE"""),472.42)</f>
        <v>472.42</v>
      </c>
      <c r="AF281" s="26">
        <f>IFERROR(__xludf.DUMMYFUNCTION("""COMPUTED_VALUE"""),281.05)</f>
        <v>281.05</v>
      </c>
      <c r="AG281" s="26">
        <f>IFERROR(__xludf.DUMMYFUNCTION("""COMPUTED_VALUE"""),49.0)</f>
        <v>49</v>
      </c>
      <c r="AH281" s="26">
        <f>IFERROR(__xludf.DUMMYFUNCTION("""COMPUTED_VALUE"""),107.2)</f>
        <v>107.2</v>
      </c>
      <c r="AI281" s="26">
        <f>IFERROR(__xludf.DUMMYFUNCTION("""COMPUTED_VALUE"""),662.11)</f>
        <v>662.11</v>
      </c>
      <c r="AJ281" s="26">
        <f>IFERROR(__xludf.DUMMYFUNCTION("""COMPUTED_VALUE"""),360.42)</f>
        <v>360.42</v>
      </c>
      <c r="AK281" s="26">
        <f>IFERROR(__xludf.DUMMYFUNCTION("""COMPUTED_VALUE"""),134.73)</f>
        <v>134.73</v>
      </c>
      <c r="AL281" s="26">
        <f>IFERROR(__xludf.DUMMYFUNCTION("""COMPUTED_VALUE"""),180.85)</f>
        <v>180.85</v>
      </c>
      <c r="AM281" s="26">
        <f>IFERROR(__xludf.DUMMYFUNCTION("""COMPUTED_VALUE"""),523.08)</f>
        <v>523.08</v>
      </c>
      <c r="AN281" s="26">
        <f>IFERROR(__xludf.DUMMYFUNCTION("""COMPUTED_VALUE"""),281.26)</f>
        <v>281.26</v>
      </c>
      <c r="AO281" s="26">
        <f>IFERROR(__xludf.DUMMYFUNCTION("""COMPUTED_VALUE"""),460.2)</f>
        <v>460.2</v>
      </c>
      <c r="AP281" s="26">
        <f>IFERROR(__xludf.DUMMYFUNCTION("""COMPUTED_VALUE"""),232.93)</f>
        <v>232.93</v>
      </c>
      <c r="AQ281" s="26">
        <f>IFERROR(__xludf.DUMMYFUNCTION("""COMPUTED_VALUE"""),31.52)</f>
        <v>31.52</v>
      </c>
      <c r="AR281" s="26">
        <f>IFERROR(__xludf.DUMMYFUNCTION("""COMPUTED_VALUE"""),86.08)</f>
        <v>86.08</v>
      </c>
      <c r="AS281" s="26">
        <f>IFERROR(__xludf.DUMMYFUNCTION("""COMPUTED_VALUE"""),79.66)</f>
        <v>79.66</v>
      </c>
      <c r="AT281" s="26">
        <f>IFERROR(__xludf.DUMMYFUNCTION("""COMPUTED_VALUE"""),490.11)</f>
        <v>490.11</v>
      </c>
      <c r="AU281" s="26">
        <f>IFERROR(__xludf.DUMMYFUNCTION("""COMPUTED_VALUE"""),71.4)</f>
        <v>71.4</v>
      </c>
      <c r="AV281" s="26">
        <f>IFERROR(__xludf.DUMMYFUNCTION("""COMPUTED_VALUE"""),147.9)</f>
        <v>147.9</v>
      </c>
      <c r="AW281" s="26">
        <f>IFERROR(__xludf.DUMMYFUNCTION("""COMPUTED_VALUE"""),97.41)</f>
        <v>97.41</v>
      </c>
      <c r="AX281" s="26">
        <f>IFERROR(__xludf.DUMMYFUNCTION("""COMPUTED_VALUE"""),52.46)</f>
        <v>52.46</v>
      </c>
      <c r="AY281" s="26">
        <f>IFERROR(__xludf.DUMMYFUNCTION("""COMPUTED_VALUE"""),143.23)</f>
        <v>143.23</v>
      </c>
      <c r="AZ281" s="26">
        <f>IFERROR(__xludf.DUMMYFUNCTION("""COMPUTED_VALUE"""),73.58)</f>
        <v>73.58</v>
      </c>
      <c r="BA281" s="26">
        <f>IFERROR(__xludf.DUMMYFUNCTION("""COMPUTED_VALUE"""),24.31)</f>
        <v>24.31</v>
      </c>
      <c r="BB281" s="26">
        <f>IFERROR(__xludf.DUMMYFUNCTION("""COMPUTED_VALUE"""),141.85)</f>
        <v>141.85</v>
      </c>
      <c r="BC281" s="26">
        <f>IFERROR(__xludf.DUMMYFUNCTION("""COMPUTED_VALUE"""),229.82)</f>
        <v>229.82</v>
      </c>
      <c r="BD281" s="26">
        <f>IFERROR(__xludf.DUMMYFUNCTION("""COMPUTED_VALUE"""),404.37)</f>
        <v>404.37</v>
      </c>
      <c r="BE281" s="26">
        <f>IFERROR(__xludf.DUMMYFUNCTION("""COMPUTED_VALUE"""),171.58)</f>
        <v>171.58</v>
      </c>
      <c r="BF281" s="26">
        <f>IFERROR(__xludf.DUMMYFUNCTION("""COMPUTED_VALUE"""),132.64)</f>
        <v>132.64</v>
      </c>
      <c r="BG281" s="26">
        <f>IFERROR(__xludf.DUMMYFUNCTION("""COMPUTED_VALUE"""),6.91)</f>
        <v>6.91</v>
      </c>
      <c r="BH281" s="26">
        <f>IFERROR(__xludf.DUMMYFUNCTION("""COMPUTED_VALUE"""),227.91)</f>
        <v>227.91</v>
      </c>
      <c r="BI281" s="26">
        <f>IFERROR(__xludf.DUMMYFUNCTION("""COMPUTED_VALUE"""),305.62)</f>
        <v>305.62</v>
      </c>
      <c r="BJ281" s="26">
        <f>IFERROR(__xludf.DUMMYFUNCTION("""COMPUTED_VALUE"""),50.16)</f>
        <v>50.16</v>
      </c>
      <c r="BK281" s="26">
        <f>IFERROR(__xludf.DUMMYFUNCTION("""COMPUTED_VALUE"""),8.95)</f>
        <v>8.95</v>
      </c>
      <c r="BL281" s="26">
        <f>IFERROR(__xludf.DUMMYFUNCTION("""COMPUTED_VALUE"""),234.14)</f>
        <v>234.14</v>
      </c>
      <c r="BM281" s="26">
        <f>IFERROR(__xludf.DUMMYFUNCTION("""COMPUTED_VALUE"""),118.65)</f>
        <v>118.65</v>
      </c>
    </row>
    <row r="282">
      <c r="A282" s="25">
        <v>45834.66666666667</v>
      </c>
      <c r="B282" s="17">
        <f>IFERROR(__xludf.DUMMYFUNCTION("""COMPUTED_VALUE"""),6092.16)</f>
        <v>6092.16</v>
      </c>
      <c r="C282" s="17">
        <f>IFERROR(__xludf.DUMMYFUNCTION("""COMPUTED_VALUE"""),19973.55)</f>
        <v>19973.55</v>
      </c>
      <c r="D282" s="17">
        <f>IFERROR(__xludf.DUMMYFUNCTION("""COMPUTED_VALUE"""),42982.43)</f>
        <v>42982.43</v>
      </c>
      <c r="E282" s="17">
        <f>IFERROR(__xludf.DUMMYFUNCTION("""COMPUTED_VALUE"""),2136.18)</f>
        <v>2136.18</v>
      </c>
      <c r="F282" s="26">
        <f>IFERROR(__xludf.DUMMYFUNCTION("""COMPUTED_VALUE"""),387.55)</f>
        <v>387.55</v>
      </c>
      <c r="G282" s="26">
        <f>IFERROR(__xludf.DUMMYFUNCTION("""COMPUTED_VALUE"""),211.99)</f>
        <v>211.99</v>
      </c>
      <c r="H282" s="26">
        <f>IFERROR(__xludf.DUMMYFUNCTION("""COMPUTED_VALUE"""),140.05)</f>
        <v>140.05</v>
      </c>
      <c r="I282" s="26">
        <f>IFERROR(__xludf.DUMMYFUNCTION("""COMPUTED_VALUE"""),201.56)</f>
        <v>201.56</v>
      </c>
      <c r="J282" s="26">
        <f>IFERROR(__xludf.DUMMYFUNCTION("""COMPUTED_VALUE"""),183.07)</f>
        <v>183.07</v>
      </c>
      <c r="K282" s="26">
        <f>IFERROR(__xludf.DUMMYFUNCTION("""COMPUTED_VALUE"""),90.0)</f>
        <v>90</v>
      </c>
      <c r="L282" s="26">
        <f>IFERROR(__xludf.DUMMYFUNCTION("""COMPUTED_VALUE"""),18.17)</f>
        <v>18.17</v>
      </c>
      <c r="M282" s="26">
        <f>IFERROR(__xludf.DUMMYFUNCTION("""COMPUTED_VALUE"""),486.21)</f>
        <v>486.21</v>
      </c>
      <c r="N282" s="26">
        <f>IFERROR(__xludf.DUMMYFUNCTION("""COMPUTED_VALUE"""),46.74)</f>
        <v>46.74</v>
      </c>
      <c r="O282" s="26">
        <f>IFERROR(__xludf.DUMMYFUNCTION("""COMPUTED_VALUE"""),127.31)</f>
        <v>127.31</v>
      </c>
      <c r="P282" s="26">
        <f>IFERROR(__xludf.DUMMYFUNCTION("""COMPUTED_VALUE"""),72.43)</f>
        <v>72.43</v>
      </c>
      <c r="Q282" s="26">
        <f>IFERROR(__xludf.DUMMYFUNCTION("""COMPUTED_VALUE"""),371.58)</f>
        <v>371.58</v>
      </c>
      <c r="R282" s="26">
        <f>IFERROR(__xludf.DUMMYFUNCTION("""COMPUTED_VALUE"""),71.43)</f>
        <v>71.43</v>
      </c>
      <c r="S282" s="26">
        <f>IFERROR(__xludf.DUMMYFUNCTION("""COMPUTED_VALUE"""),218.93)</f>
        <v>218.93</v>
      </c>
      <c r="T282" s="26">
        <f>IFERROR(__xludf.DUMMYFUNCTION("""COMPUTED_VALUE"""),143.23)</f>
        <v>143.23</v>
      </c>
      <c r="U282" s="26">
        <f>IFERROR(__xludf.DUMMYFUNCTION("""COMPUTED_VALUE"""),316.0)</f>
        <v>316</v>
      </c>
      <c r="V282" s="26">
        <f>IFERROR(__xludf.DUMMYFUNCTION("""COMPUTED_VALUE"""),43.12)</f>
        <v>43.12</v>
      </c>
      <c r="W282" s="26">
        <f>IFERROR(__xludf.DUMMYFUNCTION("""COMPUTED_VALUE"""),69.63)</f>
        <v>69.63</v>
      </c>
      <c r="X282" s="26">
        <f>IFERROR(__xludf.DUMMYFUNCTION("""COMPUTED_VALUE"""),98.05)</f>
        <v>98.05</v>
      </c>
      <c r="Y282" s="26">
        <f>IFERROR(__xludf.DUMMYFUNCTION("""COMPUTED_VALUE"""),172.25)</f>
        <v>172.25</v>
      </c>
      <c r="Z282" s="26">
        <f>IFERROR(__xludf.DUMMYFUNCTION("""COMPUTED_VALUE"""),99.45)</f>
        <v>99.45</v>
      </c>
      <c r="AA282" s="26">
        <f>IFERROR(__xludf.DUMMYFUNCTION("""COMPUTED_VALUE"""),453.13)</f>
        <v>453.13</v>
      </c>
      <c r="AB282" s="26">
        <f>IFERROR(__xludf.DUMMYFUNCTION("""COMPUTED_VALUE"""),74.52)</f>
        <v>74.52</v>
      </c>
      <c r="AC282" s="26">
        <f>IFERROR(__xludf.DUMMYFUNCTION("""COMPUTED_VALUE"""),108.37)</f>
        <v>108.37</v>
      </c>
      <c r="AD282" s="26">
        <f>IFERROR(__xludf.DUMMYFUNCTION("""COMPUTED_VALUE"""),222.0)</f>
        <v>222</v>
      </c>
      <c r="AE282" s="26">
        <f>IFERROR(__xludf.DUMMYFUNCTION("""COMPUTED_VALUE"""),475.12)</f>
        <v>475.12</v>
      </c>
      <c r="AF282" s="26">
        <f>IFERROR(__xludf.DUMMYFUNCTION("""COMPUTED_VALUE"""),285.91)</f>
        <v>285.91</v>
      </c>
      <c r="AG282" s="26">
        <f>IFERROR(__xludf.DUMMYFUNCTION("""COMPUTED_VALUE"""),48.13)</f>
        <v>48.13</v>
      </c>
      <c r="AH282" s="26">
        <f>IFERROR(__xludf.DUMMYFUNCTION("""COMPUTED_VALUE"""),105.93)</f>
        <v>105.93</v>
      </c>
      <c r="AI282" s="26">
        <f>IFERROR(__xludf.DUMMYFUNCTION("""COMPUTED_VALUE"""),669.87)</f>
        <v>669.87</v>
      </c>
      <c r="AJ282" s="26">
        <f>IFERROR(__xludf.DUMMYFUNCTION("""COMPUTED_VALUE"""),361.86)</f>
        <v>361.86</v>
      </c>
      <c r="AK282" s="26">
        <f>IFERROR(__xludf.DUMMYFUNCTION("""COMPUTED_VALUE"""),133.08)</f>
        <v>133.08</v>
      </c>
      <c r="AL282" s="26">
        <f>IFERROR(__xludf.DUMMYFUNCTION("""COMPUTED_VALUE"""),180.53)</f>
        <v>180.53</v>
      </c>
      <c r="AM282" s="26">
        <f>IFERROR(__xludf.DUMMYFUNCTION("""COMPUTED_VALUE"""),521.63)</f>
        <v>521.63</v>
      </c>
      <c r="AN282" s="26">
        <f>IFERROR(__xludf.DUMMYFUNCTION("""COMPUTED_VALUE"""),284.06)</f>
        <v>284.06</v>
      </c>
      <c r="AO282" s="26">
        <f>IFERROR(__xludf.DUMMYFUNCTION("""COMPUTED_VALUE"""),458.39)</f>
        <v>458.39</v>
      </c>
      <c r="AP282" s="26">
        <f>IFERROR(__xludf.DUMMYFUNCTION("""COMPUTED_VALUE"""),231.52)</f>
        <v>231.52</v>
      </c>
      <c r="AQ282" s="26">
        <f>IFERROR(__xludf.DUMMYFUNCTION("""COMPUTED_VALUE"""),31.28)</f>
        <v>31.28</v>
      </c>
      <c r="AR282" s="26">
        <f>IFERROR(__xludf.DUMMYFUNCTION("""COMPUTED_VALUE"""),85.97)</f>
        <v>85.97</v>
      </c>
      <c r="AS282" s="26">
        <f>IFERROR(__xludf.DUMMYFUNCTION("""COMPUTED_VALUE"""),79.11)</f>
        <v>79.11</v>
      </c>
      <c r="AT282" s="26">
        <f>IFERROR(__xludf.DUMMYFUNCTION("""COMPUTED_VALUE"""),492.27)</f>
        <v>492.27</v>
      </c>
      <c r="AU282" s="26">
        <f>IFERROR(__xludf.DUMMYFUNCTION("""COMPUTED_VALUE"""),70.34)</f>
        <v>70.34</v>
      </c>
      <c r="AV282" s="26">
        <f>IFERROR(__xludf.DUMMYFUNCTION("""COMPUTED_VALUE"""),154.31)</f>
        <v>154.31</v>
      </c>
      <c r="AW282" s="26">
        <f>IFERROR(__xludf.DUMMYFUNCTION("""COMPUTED_VALUE"""),96.63)</f>
        <v>96.63</v>
      </c>
      <c r="AX282" s="26">
        <f>IFERROR(__xludf.DUMMYFUNCTION("""COMPUTED_VALUE"""),51.48)</f>
        <v>51.48</v>
      </c>
      <c r="AY282" s="26">
        <f>IFERROR(__xludf.DUMMYFUNCTION("""COMPUTED_VALUE"""),142.9)</f>
        <v>142.9</v>
      </c>
      <c r="AZ282" s="26">
        <f>IFERROR(__xludf.DUMMYFUNCTION("""COMPUTED_VALUE"""),73.07)</f>
        <v>73.07</v>
      </c>
      <c r="BA282" s="26">
        <f>IFERROR(__xludf.DUMMYFUNCTION("""COMPUTED_VALUE"""),24.26)</f>
        <v>24.26</v>
      </c>
      <c r="BB282" s="26">
        <f>IFERROR(__xludf.DUMMYFUNCTION("""COMPUTED_VALUE"""),141.38)</f>
        <v>141.38</v>
      </c>
      <c r="BC282" s="26">
        <f>IFERROR(__xludf.DUMMYFUNCTION("""COMPUTED_VALUE"""),230.9)</f>
        <v>230.9</v>
      </c>
      <c r="BD282" s="26">
        <f>IFERROR(__xludf.DUMMYFUNCTION("""COMPUTED_VALUE"""),410.65)</f>
        <v>410.65</v>
      </c>
      <c r="BE282" s="26">
        <f>IFERROR(__xludf.DUMMYFUNCTION("""COMPUTED_VALUE"""),169.15)</f>
        <v>169.15</v>
      </c>
      <c r="BF282" s="26">
        <f>IFERROR(__xludf.DUMMYFUNCTION("""COMPUTED_VALUE"""),128.58)</f>
        <v>128.58</v>
      </c>
      <c r="BG282" s="26">
        <f>IFERROR(__xludf.DUMMYFUNCTION("""COMPUTED_VALUE"""),6.7)</f>
        <v>6.7</v>
      </c>
      <c r="BH282" s="26">
        <f>IFERROR(__xludf.DUMMYFUNCTION("""COMPUTED_VALUE"""),226.81)</f>
        <v>226.81</v>
      </c>
      <c r="BI282" s="26">
        <f>IFERROR(__xludf.DUMMYFUNCTION("""COMPUTED_VALUE"""),302.02)</f>
        <v>302.02</v>
      </c>
      <c r="BJ282" s="26">
        <f>IFERROR(__xludf.DUMMYFUNCTION("""COMPUTED_VALUE"""),50.18)</f>
        <v>50.18</v>
      </c>
      <c r="BK282" s="26">
        <f>IFERROR(__xludf.DUMMYFUNCTION("""COMPUTED_VALUE"""),8.89)</f>
        <v>8.89</v>
      </c>
      <c r="BL282" s="26">
        <f>IFERROR(__xludf.DUMMYFUNCTION("""COMPUTED_VALUE"""),228.58)</f>
        <v>228.58</v>
      </c>
      <c r="BM282" s="26">
        <f>IFERROR(__xludf.DUMMYFUNCTION("""COMPUTED_VALUE"""),119.42)</f>
        <v>119.42</v>
      </c>
    </row>
    <row r="283">
      <c r="A283" s="25">
        <v>45835.66666666667</v>
      </c>
      <c r="B283" s="17">
        <f>IFERROR(__xludf.DUMMYFUNCTION("""COMPUTED_VALUE"""),6141.02)</f>
        <v>6141.02</v>
      </c>
      <c r="C283" s="17">
        <f>IFERROR(__xludf.DUMMYFUNCTION("""COMPUTED_VALUE"""),20167.91)</f>
        <v>20167.91</v>
      </c>
      <c r="D283" s="17">
        <f>IFERROR(__xludf.DUMMYFUNCTION("""COMPUTED_VALUE"""),43386.84)</f>
        <v>43386.84</v>
      </c>
      <c r="E283" s="17">
        <f>IFERROR(__xludf.DUMMYFUNCTION("""COMPUTED_VALUE"""),2172.11)</f>
        <v>2172.11</v>
      </c>
      <c r="F283" s="26">
        <f>IFERROR(__xludf.DUMMYFUNCTION("""COMPUTED_VALUE"""),384.95)</f>
        <v>384.95</v>
      </c>
      <c r="G283" s="26">
        <f>IFERROR(__xludf.DUMMYFUNCTION("""COMPUTED_VALUE"""),217.12)</f>
        <v>217.12</v>
      </c>
      <c r="H283" s="26">
        <f>IFERROR(__xludf.DUMMYFUNCTION("""COMPUTED_VALUE"""),138.42)</f>
        <v>138.42</v>
      </c>
      <c r="I283" s="26">
        <f>IFERROR(__xludf.DUMMYFUNCTION("""COMPUTED_VALUE"""),201.0)</f>
        <v>201</v>
      </c>
      <c r="J283" s="26">
        <f>IFERROR(__xludf.DUMMYFUNCTION("""COMPUTED_VALUE"""),183.52)</f>
        <v>183.52</v>
      </c>
      <c r="K283" s="26">
        <f>IFERROR(__xludf.DUMMYFUNCTION("""COMPUTED_VALUE"""),90.04)</f>
        <v>90.04</v>
      </c>
      <c r="L283" s="26">
        <f>IFERROR(__xludf.DUMMYFUNCTION("""COMPUTED_VALUE"""),18.33)</f>
        <v>18.33</v>
      </c>
      <c r="M283" s="26">
        <f>IFERROR(__xludf.DUMMYFUNCTION("""COMPUTED_VALUE"""),485.05)</f>
        <v>485.05</v>
      </c>
      <c r="N283" s="26">
        <f>IFERROR(__xludf.DUMMYFUNCTION("""COMPUTED_VALUE"""),48.34)</f>
        <v>48.34</v>
      </c>
      <c r="O283" s="26">
        <f>IFERROR(__xludf.DUMMYFUNCTION("""COMPUTED_VALUE"""),126.92)</f>
        <v>126.92</v>
      </c>
      <c r="P283" s="26">
        <f>IFERROR(__xludf.DUMMYFUNCTION("""COMPUTED_VALUE"""),72.59)</f>
        <v>72.59</v>
      </c>
      <c r="Q283" s="26">
        <f>IFERROR(__xludf.DUMMYFUNCTION("""COMPUTED_VALUE"""),381.88)</f>
        <v>381.88</v>
      </c>
      <c r="R283" s="26">
        <f>IFERROR(__xludf.DUMMYFUNCTION("""COMPUTED_VALUE"""),74.46)</f>
        <v>74.46</v>
      </c>
      <c r="S283" s="26">
        <f>IFERROR(__xludf.DUMMYFUNCTION("""COMPUTED_VALUE"""),218.88)</f>
        <v>218.88</v>
      </c>
      <c r="T283" s="26">
        <f>IFERROR(__xludf.DUMMYFUNCTION("""COMPUTED_VALUE"""),144.44)</f>
        <v>144.44</v>
      </c>
      <c r="U283" s="26">
        <f>IFERROR(__xludf.DUMMYFUNCTION("""COMPUTED_VALUE"""),330.0)</f>
        <v>330</v>
      </c>
      <c r="V283" s="26">
        <f>IFERROR(__xludf.DUMMYFUNCTION("""COMPUTED_VALUE"""),44.12)</f>
        <v>44.12</v>
      </c>
      <c r="W283" s="26">
        <f>IFERROR(__xludf.DUMMYFUNCTION("""COMPUTED_VALUE"""),69.47)</f>
        <v>69.47</v>
      </c>
      <c r="X283" s="26">
        <f>IFERROR(__xludf.DUMMYFUNCTION("""COMPUTED_VALUE"""),98.41)</f>
        <v>98.41</v>
      </c>
      <c r="Y283" s="26">
        <f>IFERROR(__xludf.DUMMYFUNCTION("""COMPUTED_VALUE"""),169.59)</f>
        <v>169.59</v>
      </c>
      <c r="Z283" s="26">
        <f>IFERROR(__xludf.DUMMYFUNCTION("""COMPUTED_VALUE"""),99.44)</f>
        <v>99.44</v>
      </c>
      <c r="AA283" s="26">
        <f>IFERROR(__xludf.DUMMYFUNCTION("""COMPUTED_VALUE"""),454.72)</f>
        <v>454.72</v>
      </c>
      <c r="AB283" s="26">
        <f>IFERROR(__xludf.DUMMYFUNCTION("""COMPUTED_VALUE"""),73.68)</f>
        <v>73.68</v>
      </c>
      <c r="AC283" s="26">
        <f>IFERROR(__xludf.DUMMYFUNCTION("""COMPUTED_VALUE"""),109.99)</f>
        <v>109.99</v>
      </c>
      <c r="AD283" s="26">
        <f>IFERROR(__xludf.DUMMYFUNCTION("""COMPUTED_VALUE"""),221.07)</f>
        <v>221.07</v>
      </c>
      <c r="AE283" s="26">
        <f>IFERROR(__xludf.DUMMYFUNCTION("""COMPUTED_VALUE"""),477.54)</f>
        <v>477.54</v>
      </c>
      <c r="AF283" s="26">
        <f>IFERROR(__xludf.DUMMYFUNCTION("""COMPUTED_VALUE"""),291.39)</f>
        <v>291.39</v>
      </c>
      <c r="AG283" s="26">
        <f>IFERROR(__xludf.DUMMYFUNCTION("""COMPUTED_VALUE"""),49.16)</f>
        <v>49.16</v>
      </c>
      <c r="AH283" s="26">
        <f>IFERROR(__xludf.DUMMYFUNCTION("""COMPUTED_VALUE"""),107.62)</f>
        <v>107.62</v>
      </c>
      <c r="AI283" s="26">
        <f>IFERROR(__xludf.DUMMYFUNCTION("""COMPUTED_VALUE"""),687.16)</f>
        <v>687.16</v>
      </c>
      <c r="AJ283" s="26">
        <f>IFERROR(__xludf.DUMMYFUNCTION("""COMPUTED_VALUE"""),363.5)</f>
        <v>363.5</v>
      </c>
      <c r="AK283" s="26">
        <f>IFERROR(__xludf.DUMMYFUNCTION("""COMPUTED_VALUE"""),134.19)</f>
        <v>134.19</v>
      </c>
      <c r="AL283" s="26">
        <f>IFERROR(__xludf.DUMMYFUNCTION("""COMPUTED_VALUE"""),180.8)</f>
        <v>180.8</v>
      </c>
      <c r="AM283" s="26">
        <f>IFERROR(__xludf.DUMMYFUNCTION("""COMPUTED_VALUE"""),534.19)</f>
        <v>534.19</v>
      </c>
      <c r="AN283" s="26">
        <f>IFERROR(__xludf.DUMMYFUNCTION("""COMPUTED_VALUE"""),288.75)</f>
        <v>288.75</v>
      </c>
      <c r="AO283" s="26">
        <f>IFERROR(__xludf.DUMMYFUNCTION("""COMPUTED_VALUE"""),457.9)</f>
        <v>457.9</v>
      </c>
      <c r="AP283" s="26">
        <f>IFERROR(__xludf.DUMMYFUNCTION("""COMPUTED_VALUE"""),231.58)</f>
        <v>231.58</v>
      </c>
      <c r="AQ283" s="26">
        <f>IFERROR(__xludf.DUMMYFUNCTION("""COMPUTED_VALUE"""),32.08)</f>
        <v>32.08</v>
      </c>
      <c r="AR283" s="26">
        <f>IFERROR(__xludf.DUMMYFUNCTION("""COMPUTED_VALUE"""),86.18)</f>
        <v>86.18</v>
      </c>
      <c r="AS283" s="26">
        <f>IFERROR(__xludf.DUMMYFUNCTION("""COMPUTED_VALUE"""),79.96)</f>
        <v>79.96</v>
      </c>
      <c r="AT283" s="26">
        <f>IFERROR(__xludf.DUMMYFUNCTION("""COMPUTED_VALUE"""),497.45)</f>
        <v>497.45</v>
      </c>
      <c r="AU283" s="26">
        <f>IFERROR(__xludf.DUMMYFUNCTION("""COMPUTED_VALUE"""),70.99)</f>
        <v>70.99</v>
      </c>
      <c r="AV283" s="26">
        <f>IFERROR(__xludf.DUMMYFUNCTION("""COMPUTED_VALUE"""),155.02)</f>
        <v>155.02</v>
      </c>
      <c r="AW283" s="26">
        <f>IFERROR(__xludf.DUMMYFUNCTION("""COMPUTED_VALUE"""),97.52)</f>
        <v>97.52</v>
      </c>
      <c r="AX283" s="26">
        <f>IFERROR(__xludf.DUMMYFUNCTION("""COMPUTED_VALUE"""),51.59)</f>
        <v>51.59</v>
      </c>
      <c r="AY283" s="26">
        <f>IFERROR(__xludf.DUMMYFUNCTION("""COMPUTED_VALUE"""),144.25)</f>
        <v>144.25</v>
      </c>
      <c r="AZ283" s="26">
        <f>IFERROR(__xludf.DUMMYFUNCTION("""COMPUTED_VALUE"""),73.17)</f>
        <v>73.17</v>
      </c>
      <c r="BA283" s="26">
        <f>IFERROR(__xludf.DUMMYFUNCTION("""COMPUTED_VALUE"""),24.24)</f>
        <v>24.24</v>
      </c>
      <c r="BB283" s="26">
        <f>IFERROR(__xludf.DUMMYFUNCTION("""COMPUTED_VALUE"""),142.67)</f>
        <v>142.67</v>
      </c>
      <c r="BC283" s="26">
        <f>IFERROR(__xludf.DUMMYFUNCTION("""COMPUTED_VALUE"""),231.42)</f>
        <v>231.42</v>
      </c>
      <c r="BD283" s="26">
        <f>IFERROR(__xludf.DUMMYFUNCTION("""COMPUTED_VALUE"""),412.12)</f>
        <v>412.12</v>
      </c>
      <c r="BE283" s="26">
        <f>IFERROR(__xludf.DUMMYFUNCTION("""COMPUTED_VALUE"""),170.63)</f>
        <v>170.63</v>
      </c>
      <c r="BF283" s="26">
        <f>IFERROR(__xludf.DUMMYFUNCTION("""COMPUTED_VALUE"""),130.06)</f>
        <v>130.06</v>
      </c>
      <c r="BG283" s="26">
        <f>IFERROR(__xludf.DUMMYFUNCTION("""COMPUTED_VALUE"""),6.83)</f>
        <v>6.83</v>
      </c>
      <c r="BH283" s="26">
        <f>IFERROR(__xludf.DUMMYFUNCTION("""COMPUTED_VALUE"""),229.39)</f>
        <v>229.39</v>
      </c>
      <c r="BI283" s="26">
        <f>IFERROR(__xludf.DUMMYFUNCTION("""COMPUTED_VALUE"""),302.62)</f>
        <v>302.62</v>
      </c>
      <c r="BJ283" s="26">
        <f>IFERROR(__xludf.DUMMYFUNCTION("""COMPUTED_VALUE"""),50.26)</f>
        <v>50.26</v>
      </c>
      <c r="BK283" s="26">
        <f>IFERROR(__xludf.DUMMYFUNCTION("""COMPUTED_VALUE"""),9.12)</f>
        <v>9.12</v>
      </c>
      <c r="BL283" s="26">
        <f>IFERROR(__xludf.DUMMYFUNCTION("""COMPUTED_VALUE"""),226.72)</f>
        <v>226.72</v>
      </c>
      <c r="BM283" s="26">
        <f>IFERROR(__xludf.DUMMYFUNCTION("""COMPUTED_VALUE"""),121.46)</f>
        <v>121.46</v>
      </c>
    </row>
    <row r="284">
      <c r="A284" s="25">
        <v>45838.66666666667</v>
      </c>
      <c r="B284" s="17">
        <f>IFERROR(__xludf.DUMMYFUNCTION("""COMPUTED_VALUE"""),6173.07)</f>
        <v>6173.07</v>
      </c>
      <c r="C284" s="17">
        <f>IFERROR(__xludf.DUMMYFUNCTION("""COMPUTED_VALUE"""),20273.46)</f>
        <v>20273.46</v>
      </c>
      <c r="D284" s="17">
        <f>IFERROR(__xludf.DUMMYFUNCTION("""COMPUTED_VALUE"""),43819.27)</f>
        <v>43819.27</v>
      </c>
      <c r="E284" s="17">
        <f>IFERROR(__xludf.DUMMYFUNCTION("""COMPUTED_VALUE"""),2172.53)</f>
        <v>2172.53</v>
      </c>
      <c r="F284" s="26">
        <f>IFERROR(__xludf.DUMMYFUNCTION("""COMPUTED_VALUE"""),385.83)</f>
        <v>385.83</v>
      </c>
      <c r="G284" s="26">
        <f>IFERROR(__xludf.DUMMYFUNCTION("""COMPUTED_VALUE"""),223.3)</f>
        <v>223.3</v>
      </c>
      <c r="H284" s="26">
        <f>IFERROR(__xludf.DUMMYFUNCTION("""COMPUTED_VALUE"""),137.92)</f>
        <v>137.92</v>
      </c>
      <c r="I284" s="26">
        <f>IFERROR(__xludf.DUMMYFUNCTION("""COMPUTED_VALUE"""),201.08)</f>
        <v>201.08</v>
      </c>
      <c r="J284" s="26">
        <f>IFERROR(__xludf.DUMMYFUNCTION("""COMPUTED_VALUE"""),183.21)</f>
        <v>183.21</v>
      </c>
      <c r="K284" s="26">
        <f>IFERROR(__xludf.DUMMYFUNCTION("""COMPUTED_VALUE"""),91.18)</f>
        <v>91.18</v>
      </c>
      <c r="L284" s="26">
        <f>IFERROR(__xludf.DUMMYFUNCTION("""COMPUTED_VALUE"""),18.61)</f>
        <v>18.61</v>
      </c>
      <c r="M284" s="26">
        <f>IFERROR(__xludf.DUMMYFUNCTION("""COMPUTED_VALUE"""),485.68)</f>
        <v>485.68</v>
      </c>
      <c r="N284" s="26">
        <f>IFERROR(__xludf.DUMMYFUNCTION("""COMPUTED_VALUE"""),48.62)</f>
        <v>48.62</v>
      </c>
      <c r="O284" s="26">
        <f>IFERROR(__xludf.DUMMYFUNCTION("""COMPUTED_VALUE"""),126.08)</f>
        <v>126.08</v>
      </c>
      <c r="P284" s="26">
        <f>IFERROR(__xludf.DUMMYFUNCTION("""COMPUTED_VALUE"""),73.67)</f>
        <v>73.67</v>
      </c>
      <c r="Q284" s="26">
        <f>IFERROR(__xludf.DUMMYFUNCTION("""COMPUTED_VALUE"""),384.71)</f>
        <v>384.71</v>
      </c>
      <c r="R284" s="26">
        <f>IFERROR(__xludf.DUMMYFUNCTION("""COMPUTED_VALUE"""),73.27)</f>
        <v>73.27</v>
      </c>
      <c r="S284" s="26">
        <f>IFERROR(__xludf.DUMMYFUNCTION("""COMPUTED_VALUE"""),216.45)</f>
        <v>216.45</v>
      </c>
      <c r="T284" s="26">
        <f>IFERROR(__xludf.DUMMYFUNCTION("""COMPUTED_VALUE"""),143.79)</f>
        <v>143.79</v>
      </c>
      <c r="U284" s="26">
        <f>IFERROR(__xludf.DUMMYFUNCTION("""COMPUTED_VALUE"""),326.31)</f>
        <v>326.31</v>
      </c>
      <c r="V284" s="26">
        <f>IFERROR(__xludf.DUMMYFUNCTION("""COMPUTED_VALUE"""),44.43)</f>
        <v>44.43</v>
      </c>
      <c r="W284" s="26">
        <f>IFERROR(__xludf.DUMMYFUNCTION("""COMPUTED_VALUE"""),70.33)</f>
        <v>70.33</v>
      </c>
      <c r="X284" s="26">
        <f>IFERROR(__xludf.DUMMYFUNCTION("""COMPUTED_VALUE"""),98.15)</f>
        <v>98.15</v>
      </c>
      <c r="Y284" s="26">
        <f>IFERROR(__xludf.DUMMYFUNCTION("""COMPUTED_VALUE"""),171.36)</f>
        <v>171.36</v>
      </c>
      <c r="Z284" s="26">
        <f>IFERROR(__xludf.DUMMYFUNCTION("""COMPUTED_VALUE"""),98.7)</f>
        <v>98.7</v>
      </c>
      <c r="AA284" s="26">
        <f>IFERROR(__xludf.DUMMYFUNCTION("""COMPUTED_VALUE"""),446.39)</f>
        <v>446.39</v>
      </c>
      <c r="AB284" s="26">
        <f>IFERROR(__xludf.DUMMYFUNCTION("""COMPUTED_VALUE"""),73.76)</f>
        <v>73.76</v>
      </c>
      <c r="AC284" s="26">
        <f>IFERROR(__xludf.DUMMYFUNCTION("""COMPUTED_VALUE"""),109.38)</f>
        <v>109.38</v>
      </c>
      <c r="AD284" s="26">
        <f>IFERROR(__xludf.DUMMYFUNCTION("""COMPUTED_VALUE"""),228.91)</f>
        <v>228.91</v>
      </c>
      <c r="AE284" s="26">
        <f>IFERROR(__xludf.DUMMYFUNCTION("""COMPUTED_VALUE"""),491.1)</f>
        <v>491.1</v>
      </c>
      <c r="AF284" s="26">
        <f>IFERROR(__xludf.DUMMYFUNCTION("""COMPUTED_VALUE"""),290.74)</f>
        <v>290.74</v>
      </c>
      <c r="AG284" s="26">
        <f>IFERROR(__xludf.DUMMYFUNCTION("""COMPUTED_VALUE"""),49.68)</f>
        <v>49.68</v>
      </c>
      <c r="AH284" s="26">
        <f>IFERROR(__xludf.DUMMYFUNCTION("""COMPUTED_VALUE"""),110.67)</f>
        <v>110.67</v>
      </c>
      <c r="AI284" s="26">
        <f>IFERROR(__xludf.DUMMYFUNCTION("""COMPUTED_VALUE"""),690.81)</f>
        <v>690.81</v>
      </c>
      <c r="AJ284" s="26">
        <f>IFERROR(__xludf.DUMMYFUNCTION("""COMPUTED_VALUE"""),368.74)</f>
        <v>368.74</v>
      </c>
      <c r="AK284" s="26">
        <f>IFERROR(__xludf.DUMMYFUNCTION("""COMPUTED_VALUE"""),135.43)</f>
        <v>135.43</v>
      </c>
      <c r="AL284" s="26">
        <f>IFERROR(__xludf.DUMMYFUNCTION("""COMPUTED_VALUE"""),181.75)</f>
        <v>181.75</v>
      </c>
      <c r="AM284" s="26">
        <f>IFERROR(__xludf.DUMMYFUNCTION("""COMPUTED_VALUE"""),533.71)</f>
        <v>533.71</v>
      </c>
      <c r="AN284" s="26">
        <f>IFERROR(__xludf.DUMMYFUNCTION("""COMPUTED_VALUE"""),287.11)</f>
        <v>287.11</v>
      </c>
      <c r="AO284" s="26">
        <f>IFERROR(__xludf.DUMMYFUNCTION("""COMPUTED_VALUE"""),458.59)</f>
        <v>458.59</v>
      </c>
      <c r="AP284" s="26">
        <f>IFERROR(__xludf.DUMMYFUNCTION("""COMPUTED_VALUE"""),235.02)</f>
        <v>235.02</v>
      </c>
      <c r="AQ284" s="26">
        <f>IFERROR(__xludf.DUMMYFUNCTION("""COMPUTED_VALUE"""),31.99)</f>
        <v>31.99</v>
      </c>
      <c r="AR284" s="26">
        <f>IFERROR(__xludf.DUMMYFUNCTION("""COMPUTED_VALUE"""),86.02)</f>
        <v>86.02</v>
      </c>
      <c r="AS284" s="26">
        <f>IFERROR(__xludf.DUMMYFUNCTION("""COMPUTED_VALUE"""),80.37)</f>
        <v>80.37</v>
      </c>
      <c r="AT284" s="26">
        <f>IFERROR(__xludf.DUMMYFUNCTION("""COMPUTED_VALUE"""),495.94)</f>
        <v>495.94</v>
      </c>
      <c r="AU284" s="26">
        <f>IFERROR(__xludf.DUMMYFUNCTION("""COMPUTED_VALUE"""),70.89)</f>
        <v>70.89</v>
      </c>
      <c r="AV284" s="26">
        <f>IFERROR(__xludf.DUMMYFUNCTION("""COMPUTED_VALUE"""),157.75)</f>
        <v>157.75</v>
      </c>
      <c r="AW284" s="26">
        <f>IFERROR(__xludf.DUMMYFUNCTION("""COMPUTED_VALUE"""),97.6)</f>
        <v>97.6</v>
      </c>
      <c r="AX284" s="26">
        <f>IFERROR(__xludf.DUMMYFUNCTION("""COMPUTED_VALUE"""),52.49)</f>
        <v>52.49</v>
      </c>
      <c r="AY284" s="26">
        <f>IFERROR(__xludf.DUMMYFUNCTION("""COMPUTED_VALUE"""),130.74)</f>
        <v>130.74</v>
      </c>
      <c r="AZ284" s="26">
        <f>IFERROR(__xludf.DUMMYFUNCTION("""COMPUTED_VALUE"""),73.64)</f>
        <v>73.64</v>
      </c>
      <c r="BA284" s="26">
        <f>IFERROR(__xludf.DUMMYFUNCTION("""COMPUTED_VALUE"""),24.19)</f>
        <v>24.19</v>
      </c>
      <c r="BB284" s="26">
        <f>IFERROR(__xludf.DUMMYFUNCTION("""COMPUTED_VALUE"""),144.66)</f>
        <v>144.66</v>
      </c>
      <c r="BC284" s="26">
        <f>IFERROR(__xludf.DUMMYFUNCTION("""COMPUTED_VALUE"""),235.25)</f>
        <v>235.25</v>
      </c>
      <c r="BD284" s="26">
        <f>IFERROR(__xludf.DUMMYFUNCTION("""COMPUTED_VALUE"""),408.28)</f>
        <v>408.28</v>
      </c>
      <c r="BE284" s="26">
        <f>IFERROR(__xludf.DUMMYFUNCTION("""COMPUTED_VALUE"""),175.74)</f>
        <v>175.74</v>
      </c>
      <c r="BF284" s="26">
        <f>IFERROR(__xludf.DUMMYFUNCTION("""COMPUTED_VALUE"""),131.45)</f>
        <v>131.45</v>
      </c>
      <c r="BG284" s="26">
        <f>IFERROR(__xludf.DUMMYFUNCTION("""COMPUTED_VALUE"""),6.89)</f>
        <v>6.89</v>
      </c>
      <c r="BH284" s="26">
        <f>IFERROR(__xludf.DUMMYFUNCTION("""COMPUTED_VALUE"""),231.41)</f>
        <v>231.41</v>
      </c>
      <c r="BI284" s="26">
        <f>IFERROR(__xludf.DUMMYFUNCTION("""COMPUTED_VALUE"""),309.11)</f>
        <v>309.11</v>
      </c>
      <c r="BJ284" s="26">
        <f>IFERROR(__xludf.DUMMYFUNCTION("""COMPUTED_VALUE"""),50.23)</f>
        <v>50.23</v>
      </c>
      <c r="BK284" s="26">
        <f>IFERROR(__xludf.DUMMYFUNCTION("""COMPUTED_VALUE"""),9.01)</f>
        <v>9.01</v>
      </c>
      <c r="BL284" s="26">
        <f>IFERROR(__xludf.DUMMYFUNCTION("""COMPUTED_VALUE"""),228.26)</f>
        <v>228.26</v>
      </c>
      <c r="BM284" s="26">
        <f>IFERROR(__xludf.DUMMYFUNCTION("""COMPUTED_VALUE"""),122.34)</f>
        <v>122.34</v>
      </c>
    </row>
    <row r="285">
      <c r="A285" s="25">
        <v>45839.66666666667</v>
      </c>
      <c r="B285" s="17">
        <f>IFERROR(__xludf.DUMMYFUNCTION("""COMPUTED_VALUE"""),6204.95)</f>
        <v>6204.95</v>
      </c>
      <c r="C285" s="17">
        <f>IFERROR(__xludf.DUMMYFUNCTION("""COMPUTED_VALUE"""),20369.73)</f>
        <v>20369.73</v>
      </c>
      <c r="D285" s="17">
        <f>IFERROR(__xludf.DUMMYFUNCTION("""COMPUTED_VALUE"""),44094.77)</f>
        <v>44094.77</v>
      </c>
      <c r="E285" s="17">
        <f>IFERROR(__xludf.DUMMYFUNCTION("""COMPUTED_VALUE"""),2175.04)</f>
        <v>2175.04</v>
      </c>
      <c r="F285" s="26">
        <f>IFERROR(__xludf.DUMMYFUNCTION("""COMPUTED_VALUE"""),386.88)</f>
        <v>386.88</v>
      </c>
      <c r="G285" s="26">
        <f>IFERROR(__xludf.DUMMYFUNCTION("""COMPUTED_VALUE"""),219.39)</f>
        <v>219.39</v>
      </c>
      <c r="H285" s="26">
        <f>IFERROR(__xludf.DUMMYFUNCTION("""COMPUTED_VALUE"""),139.11)</f>
        <v>139.11</v>
      </c>
      <c r="I285" s="26">
        <f>IFERROR(__xludf.DUMMYFUNCTION("""COMPUTED_VALUE"""),205.17)</f>
        <v>205.17</v>
      </c>
      <c r="J285" s="26">
        <f>IFERROR(__xludf.DUMMYFUNCTION("""COMPUTED_VALUE"""),183.07)</f>
        <v>183.07</v>
      </c>
      <c r="K285" s="26">
        <f>IFERROR(__xludf.DUMMYFUNCTION("""COMPUTED_VALUE"""),91.11)</f>
        <v>91.11</v>
      </c>
      <c r="L285" s="26">
        <f>IFERROR(__xludf.DUMMYFUNCTION("""COMPUTED_VALUE"""),18.59)</f>
        <v>18.59</v>
      </c>
      <c r="M285" s="26">
        <f>IFERROR(__xludf.DUMMYFUNCTION("""COMPUTED_VALUE"""),485.77)</f>
        <v>485.77</v>
      </c>
      <c r="N285" s="26">
        <f>IFERROR(__xludf.DUMMYFUNCTION("""COMPUTED_VALUE"""),48.09)</f>
        <v>48.09</v>
      </c>
      <c r="O285" s="26">
        <f>IFERROR(__xludf.DUMMYFUNCTION("""COMPUTED_VALUE"""),125.59)</f>
        <v>125.59</v>
      </c>
      <c r="P285" s="26">
        <f>IFERROR(__xludf.DUMMYFUNCTION("""COMPUTED_VALUE"""),73.19)</f>
        <v>73.19</v>
      </c>
      <c r="Q285" s="26">
        <f>IFERROR(__xludf.DUMMYFUNCTION("""COMPUTED_VALUE"""),388.21)</f>
        <v>388.21</v>
      </c>
      <c r="R285" s="26">
        <f>IFERROR(__xludf.DUMMYFUNCTION("""COMPUTED_VALUE"""),74.23)</f>
        <v>74.23</v>
      </c>
      <c r="S285" s="26">
        <f>IFERROR(__xludf.DUMMYFUNCTION("""COMPUTED_VALUE"""),221.25)</f>
        <v>221.25</v>
      </c>
      <c r="T285" s="26">
        <f>IFERROR(__xludf.DUMMYFUNCTION("""COMPUTED_VALUE"""),143.19)</f>
        <v>143.19</v>
      </c>
      <c r="U285" s="26">
        <f>IFERROR(__xludf.DUMMYFUNCTION("""COMPUTED_VALUE"""),330.58)</f>
        <v>330.58</v>
      </c>
      <c r="V285" s="26">
        <f>IFERROR(__xludf.DUMMYFUNCTION("""COMPUTED_VALUE"""),44.75)</f>
        <v>44.75</v>
      </c>
      <c r="W285" s="26">
        <f>IFERROR(__xludf.DUMMYFUNCTION("""COMPUTED_VALUE"""),70.75)</f>
        <v>70.75</v>
      </c>
      <c r="X285" s="26">
        <f>IFERROR(__xludf.DUMMYFUNCTION("""COMPUTED_VALUE"""),100.35)</f>
        <v>100.35</v>
      </c>
      <c r="Y285" s="26">
        <f>IFERROR(__xludf.DUMMYFUNCTION("""COMPUTED_VALUE"""),174.33)</f>
        <v>174.33</v>
      </c>
      <c r="Z285" s="26">
        <f>IFERROR(__xludf.DUMMYFUNCTION("""COMPUTED_VALUE"""),99.04)</f>
        <v>99.04</v>
      </c>
      <c r="AA285" s="26">
        <f>IFERROR(__xludf.DUMMYFUNCTION("""COMPUTED_VALUE"""),450.6)</f>
        <v>450.6</v>
      </c>
      <c r="AB285" s="26">
        <f>IFERROR(__xludf.DUMMYFUNCTION("""COMPUTED_VALUE"""),74.46)</f>
        <v>74.46</v>
      </c>
      <c r="AC285" s="26">
        <f>IFERROR(__xludf.DUMMYFUNCTION("""COMPUTED_VALUE"""),107.8)</f>
        <v>107.8</v>
      </c>
      <c r="AD285" s="26">
        <f>IFERROR(__xludf.DUMMYFUNCTION("""COMPUTED_VALUE"""),227.31)</f>
        <v>227.31</v>
      </c>
      <c r="AE285" s="26">
        <f>IFERROR(__xludf.DUMMYFUNCTION("""COMPUTED_VALUE"""),490.74)</f>
        <v>490.74</v>
      </c>
      <c r="AF285" s="26">
        <f>IFERROR(__xludf.DUMMYFUNCTION("""COMPUTED_VALUE"""),291.66)</f>
        <v>291.66</v>
      </c>
      <c r="AG285" s="26">
        <f>IFERROR(__xludf.DUMMYFUNCTION("""COMPUTED_VALUE"""),49.21)</f>
        <v>49.21</v>
      </c>
      <c r="AH285" s="26">
        <f>IFERROR(__xludf.DUMMYFUNCTION("""COMPUTED_VALUE"""),110.87)</f>
        <v>110.87</v>
      </c>
      <c r="AI285" s="26">
        <f>IFERROR(__xludf.DUMMYFUNCTION("""COMPUTED_VALUE"""),707.75)</f>
        <v>707.75</v>
      </c>
      <c r="AJ285" s="26">
        <f>IFERROR(__xludf.DUMMYFUNCTION("""COMPUTED_VALUE"""),366.64)</f>
        <v>366.64</v>
      </c>
      <c r="AK285" s="26">
        <f>IFERROR(__xludf.DUMMYFUNCTION("""COMPUTED_VALUE"""),137.54)</f>
        <v>137.54</v>
      </c>
      <c r="AL285" s="26">
        <f>IFERROR(__xludf.DUMMYFUNCTION("""COMPUTED_VALUE"""),183.47)</f>
        <v>183.47</v>
      </c>
      <c r="AM285" s="26">
        <f>IFERROR(__xludf.DUMMYFUNCTION("""COMPUTED_VALUE"""),543.41)</f>
        <v>543.41</v>
      </c>
      <c r="AN285" s="26">
        <f>IFERROR(__xludf.DUMMYFUNCTION("""COMPUTED_VALUE"""),289.91)</f>
        <v>289.91</v>
      </c>
      <c r="AO285" s="26">
        <f>IFERROR(__xludf.DUMMYFUNCTION("""COMPUTED_VALUE"""),463.14)</f>
        <v>463.14</v>
      </c>
      <c r="AP285" s="26">
        <f>IFERROR(__xludf.DUMMYFUNCTION("""COMPUTED_VALUE"""),237.58)</f>
        <v>237.58</v>
      </c>
      <c r="AQ285" s="26">
        <f>IFERROR(__xludf.DUMMYFUNCTION("""COMPUTED_VALUE"""),31.96)</f>
        <v>31.96</v>
      </c>
      <c r="AR285" s="26">
        <f>IFERROR(__xludf.DUMMYFUNCTION("""COMPUTED_VALUE"""),87.17)</f>
        <v>87.17</v>
      </c>
      <c r="AS285" s="26">
        <f>IFERROR(__xludf.DUMMYFUNCTION("""COMPUTED_VALUE"""),80.42)</f>
        <v>80.42</v>
      </c>
      <c r="AT285" s="26">
        <f>IFERROR(__xludf.DUMMYFUNCTION("""COMPUTED_VALUE"""),497.41)</f>
        <v>497.41</v>
      </c>
      <c r="AU285" s="26">
        <f>IFERROR(__xludf.DUMMYFUNCTION("""COMPUTED_VALUE"""),69.42)</f>
        <v>69.42</v>
      </c>
      <c r="AV285" s="26">
        <f>IFERROR(__xludf.DUMMYFUNCTION("""COMPUTED_VALUE"""),157.99)</f>
        <v>157.99</v>
      </c>
      <c r="AW285" s="26">
        <f>IFERROR(__xludf.DUMMYFUNCTION("""COMPUTED_VALUE"""),99.02)</f>
        <v>99.02</v>
      </c>
      <c r="AX285" s="26">
        <f>IFERROR(__xludf.DUMMYFUNCTION("""COMPUTED_VALUE"""),52.05)</f>
        <v>52.05</v>
      </c>
      <c r="AY285" s="26">
        <f>IFERROR(__xludf.DUMMYFUNCTION("""COMPUTED_VALUE"""),136.32)</f>
        <v>136.32</v>
      </c>
      <c r="AZ285" s="26">
        <f>IFERROR(__xludf.DUMMYFUNCTION("""COMPUTED_VALUE"""),74.32)</f>
        <v>74.32</v>
      </c>
      <c r="BA285" s="26">
        <f>IFERROR(__xludf.DUMMYFUNCTION("""COMPUTED_VALUE"""),24.24)</f>
        <v>24.24</v>
      </c>
      <c r="BB285" s="26">
        <f>IFERROR(__xludf.DUMMYFUNCTION("""COMPUTED_VALUE"""),146.02)</f>
        <v>146.02</v>
      </c>
      <c r="BC285" s="26">
        <f>IFERROR(__xludf.DUMMYFUNCTION("""COMPUTED_VALUE"""),238.26)</f>
        <v>238.26</v>
      </c>
      <c r="BD285" s="26">
        <f>IFERROR(__xludf.DUMMYFUNCTION("""COMPUTED_VALUE"""),405.46)</f>
        <v>405.46</v>
      </c>
      <c r="BE285" s="26">
        <f>IFERROR(__xludf.DUMMYFUNCTION("""COMPUTED_VALUE"""),172.26)</f>
        <v>172.26</v>
      </c>
      <c r="BF285" s="26">
        <f>IFERROR(__xludf.DUMMYFUNCTION("""COMPUTED_VALUE"""),134.01)</f>
        <v>134.01</v>
      </c>
      <c r="BG285" s="26">
        <f>IFERROR(__xludf.DUMMYFUNCTION("""COMPUTED_VALUE"""),6.83)</f>
        <v>6.83</v>
      </c>
      <c r="BH285" s="26">
        <f>IFERROR(__xludf.DUMMYFUNCTION("""COMPUTED_VALUE"""),230.08)</f>
        <v>230.08</v>
      </c>
      <c r="BI285" s="26">
        <f>IFERROR(__xludf.DUMMYFUNCTION("""COMPUTED_VALUE"""),311.97)</f>
        <v>311.97</v>
      </c>
      <c r="BJ285" s="26">
        <f>IFERROR(__xludf.DUMMYFUNCTION("""COMPUTED_VALUE"""),50.27)</f>
        <v>50.27</v>
      </c>
      <c r="BK285" s="26">
        <f>IFERROR(__xludf.DUMMYFUNCTION("""COMPUTED_VALUE"""),8.93)</f>
        <v>8.93</v>
      </c>
      <c r="BL285" s="26">
        <f>IFERROR(__xludf.DUMMYFUNCTION("""COMPUTED_VALUE"""),228.82)</f>
        <v>228.82</v>
      </c>
      <c r="BM285" s="26">
        <f>IFERROR(__xludf.DUMMYFUNCTION("""COMPUTED_VALUE"""),124.01)</f>
        <v>124.01</v>
      </c>
    </row>
    <row r="286">
      <c r="A286" s="25">
        <v>45840.66666666667</v>
      </c>
      <c r="B286" s="17">
        <f>IFERROR(__xludf.DUMMYFUNCTION("""COMPUTED_VALUE"""),6198.01)</f>
        <v>6198.01</v>
      </c>
      <c r="C286" s="17">
        <f>IFERROR(__xludf.DUMMYFUNCTION("""COMPUTED_VALUE"""),20202.89)</f>
        <v>20202.89</v>
      </c>
      <c r="D286" s="17">
        <f>IFERROR(__xludf.DUMMYFUNCTION("""COMPUTED_VALUE"""),44494.94)</f>
        <v>44494.94</v>
      </c>
      <c r="E286" s="17">
        <f>IFERROR(__xludf.DUMMYFUNCTION("""COMPUTED_VALUE"""),2197.54)</f>
        <v>2197.54</v>
      </c>
      <c r="F286" s="26">
        <f>IFERROR(__xludf.DUMMYFUNCTION("""COMPUTED_VALUE"""),392.1)</f>
        <v>392.1</v>
      </c>
      <c r="G286" s="26">
        <f>IFERROR(__xludf.DUMMYFUNCTION("""COMPUTED_VALUE"""),220.46)</f>
        <v>220.46</v>
      </c>
      <c r="H286" s="26">
        <f>IFERROR(__xludf.DUMMYFUNCTION("""COMPUTED_VALUE"""),142.56)</f>
        <v>142.56</v>
      </c>
      <c r="I286" s="26">
        <f>IFERROR(__xludf.DUMMYFUNCTION("""COMPUTED_VALUE"""),207.82)</f>
        <v>207.82</v>
      </c>
      <c r="J286" s="26">
        <f>IFERROR(__xludf.DUMMYFUNCTION("""COMPUTED_VALUE"""),183.76)</f>
        <v>183.76</v>
      </c>
      <c r="K286" s="26">
        <f>IFERROR(__xludf.DUMMYFUNCTION("""COMPUTED_VALUE"""),90.65)</f>
        <v>90.65</v>
      </c>
      <c r="L286" s="26">
        <f>IFERROR(__xludf.DUMMYFUNCTION("""COMPUTED_VALUE"""),18.33)</f>
        <v>18.33</v>
      </c>
      <c r="M286" s="26">
        <f>IFERROR(__xludf.DUMMYFUNCTION("""COMPUTED_VALUE"""),489.61)</f>
        <v>489.61</v>
      </c>
      <c r="N286" s="26">
        <f>IFERROR(__xludf.DUMMYFUNCTION("""COMPUTED_VALUE"""),48.67)</f>
        <v>48.67</v>
      </c>
      <c r="O286" s="26">
        <f>IFERROR(__xludf.DUMMYFUNCTION("""COMPUTED_VALUE"""),130.07)</f>
        <v>130.07</v>
      </c>
      <c r="P286" s="26">
        <f>IFERROR(__xludf.DUMMYFUNCTION("""COMPUTED_VALUE"""),74.3)</f>
        <v>74.3</v>
      </c>
      <c r="Q286" s="26">
        <f>IFERROR(__xludf.DUMMYFUNCTION("""COMPUTED_VALUE"""),390.92)</f>
        <v>390.92</v>
      </c>
      <c r="R286" s="26">
        <f>IFERROR(__xludf.DUMMYFUNCTION("""COMPUTED_VALUE"""),71.67)</f>
        <v>71.67</v>
      </c>
      <c r="S286" s="26">
        <f>IFERROR(__xludf.DUMMYFUNCTION("""COMPUTED_VALUE"""),221.08)</f>
        <v>221.08</v>
      </c>
      <c r="T286" s="26">
        <f>IFERROR(__xludf.DUMMYFUNCTION("""COMPUTED_VALUE"""),145.57)</f>
        <v>145.57</v>
      </c>
      <c r="U286" s="26">
        <f>IFERROR(__xludf.DUMMYFUNCTION("""COMPUTED_VALUE"""),334.39)</f>
        <v>334.39</v>
      </c>
      <c r="V286" s="26">
        <f>IFERROR(__xludf.DUMMYFUNCTION("""COMPUTED_VALUE"""),46.1)</f>
        <v>46.1</v>
      </c>
      <c r="W286" s="26">
        <f>IFERROR(__xludf.DUMMYFUNCTION("""COMPUTED_VALUE"""),71.67)</f>
        <v>71.67</v>
      </c>
      <c r="X286" s="26">
        <f>IFERROR(__xludf.DUMMYFUNCTION("""COMPUTED_VALUE"""),100.78)</f>
        <v>100.78</v>
      </c>
      <c r="Y286" s="26">
        <f>IFERROR(__xludf.DUMMYFUNCTION("""COMPUTED_VALUE"""),171.25)</f>
        <v>171.25</v>
      </c>
      <c r="Z286" s="26">
        <f>IFERROR(__xludf.DUMMYFUNCTION("""COMPUTED_VALUE"""),101.5)</f>
        <v>101.5</v>
      </c>
      <c r="AA286" s="26">
        <f>IFERROR(__xludf.DUMMYFUNCTION("""COMPUTED_VALUE"""),457.53)</f>
        <v>457.53</v>
      </c>
      <c r="AB286" s="26">
        <f>IFERROR(__xludf.DUMMYFUNCTION("""COMPUTED_VALUE"""),76.1)</f>
        <v>76.1</v>
      </c>
      <c r="AC286" s="26">
        <f>IFERROR(__xludf.DUMMYFUNCTION("""COMPUTED_VALUE"""),109.24)</f>
        <v>109.24</v>
      </c>
      <c r="AD286" s="26">
        <f>IFERROR(__xludf.DUMMYFUNCTION("""COMPUTED_VALUE"""),234.33)</f>
        <v>234.33</v>
      </c>
      <c r="AE286" s="26">
        <f>IFERROR(__xludf.DUMMYFUNCTION("""COMPUTED_VALUE"""),489.37)</f>
        <v>489.37</v>
      </c>
      <c r="AF286" s="26">
        <f>IFERROR(__xludf.DUMMYFUNCTION("""COMPUTED_VALUE"""),294.38)</f>
        <v>294.38</v>
      </c>
      <c r="AG286" s="26">
        <f>IFERROR(__xludf.DUMMYFUNCTION("""COMPUTED_VALUE"""),52.03)</f>
        <v>52.03</v>
      </c>
      <c r="AH286" s="26">
        <f>IFERROR(__xludf.DUMMYFUNCTION("""COMPUTED_VALUE"""),111.73)</f>
        <v>111.73</v>
      </c>
      <c r="AI286" s="26">
        <f>IFERROR(__xludf.DUMMYFUNCTION("""COMPUTED_VALUE"""),706.46)</f>
        <v>706.46</v>
      </c>
      <c r="AJ286" s="26">
        <f>IFERROR(__xludf.DUMMYFUNCTION("""COMPUTED_VALUE"""),373.16)</f>
        <v>373.16</v>
      </c>
      <c r="AK286" s="26">
        <f>IFERROR(__xludf.DUMMYFUNCTION("""COMPUTED_VALUE"""),137.28)</f>
        <v>137.28</v>
      </c>
      <c r="AL286" s="26">
        <f>IFERROR(__xludf.DUMMYFUNCTION("""COMPUTED_VALUE"""),181.86)</f>
        <v>181.86</v>
      </c>
      <c r="AM286" s="26">
        <f>IFERROR(__xludf.DUMMYFUNCTION("""COMPUTED_VALUE"""),537.99)</f>
        <v>537.99</v>
      </c>
      <c r="AN286" s="26">
        <f>IFERROR(__xludf.DUMMYFUNCTION("""COMPUTED_VALUE"""),290.41)</f>
        <v>290.41</v>
      </c>
      <c r="AO286" s="26">
        <f>IFERROR(__xludf.DUMMYFUNCTION("""COMPUTED_VALUE"""),465.94)</f>
        <v>465.94</v>
      </c>
      <c r="AP286" s="26">
        <f>IFERROR(__xludf.DUMMYFUNCTION("""COMPUTED_VALUE"""),245.12)</f>
        <v>245.12</v>
      </c>
      <c r="AQ286" s="26">
        <f>IFERROR(__xludf.DUMMYFUNCTION("""COMPUTED_VALUE"""),32.0)</f>
        <v>32</v>
      </c>
      <c r="AR286" s="26">
        <f>IFERROR(__xludf.DUMMYFUNCTION("""COMPUTED_VALUE"""),88.75)</f>
        <v>88.75</v>
      </c>
      <c r="AS286" s="26">
        <f>IFERROR(__xludf.DUMMYFUNCTION("""COMPUTED_VALUE"""),81.09)</f>
        <v>81.09</v>
      </c>
      <c r="AT286" s="26">
        <f>IFERROR(__xludf.DUMMYFUNCTION("""COMPUTED_VALUE"""),492.05)</f>
        <v>492.05</v>
      </c>
      <c r="AU286" s="26">
        <f>IFERROR(__xludf.DUMMYFUNCTION("""COMPUTED_VALUE"""),73.06)</f>
        <v>73.06</v>
      </c>
      <c r="AV286" s="26">
        <f>IFERROR(__xludf.DUMMYFUNCTION("""COMPUTED_VALUE"""),153.3)</f>
        <v>153.3</v>
      </c>
      <c r="AW286" s="26">
        <f>IFERROR(__xludf.DUMMYFUNCTION("""COMPUTED_VALUE"""),100.43)</f>
        <v>100.43</v>
      </c>
      <c r="AX286" s="26">
        <f>IFERROR(__xludf.DUMMYFUNCTION("""COMPUTED_VALUE"""),52.21)</f>
        <v>52.21</v>
      </c>
      <c r="AY286" s="26">
        <f>IFERROR(__xludf.DUMMYFUNCTION("""COMPUTED_VALUE"""),130.68)</f>
        <v>130.68</v>
      </c>
      <c r="AZ286" s="26">
        <f>IFERROR(__xludf.DUMMYFUNCTION("""COMPUTED_VALUE"""),75.29)</f>
        <v>75.29</v>
      </c>
      <c r="BA286" s="26">
        <f>IFERROR(__xludf.DUMMYFUNCTION("""COMPUTED_VALUE"""),25.04)</f>
        <v>25.04</v>
      </c>
      <c r="BB286" s="26">
        <f>IFERROR(__xludf.DUMMYFUNCTION("""COMPUTED_VALUE"""),144.19)</f>
        <v>144.19</v>
      </c>
      <c r="BC286" s="26">
        <f>IFERROR(__xludf.DUMMYFUNCTION("""COMPUTED_VALUE"""),241.51)</f>
        <v>241.51</v>
      </c>
      <c r="BD286" s="26">
        <f>IFERROR(__xludf.DUMMYFUNCTION("""COMPUTED_VALUE"""),421.47)</f>
        <v>421.47</v>
      </c>
      <c r="BE286" s="26">
        <f>IFERROR(__xludf.DUMMYFUNCTION("""COMPUTED_VALUE"""),171.54)</f>
        <v>171.54</v>
      </c>
      <c r="BF286" s="26">
        <f>IFERROR(__xludf.DUMMYFUNCTION("""COMPUTED_VALUE"""),130.1)</f>
        <v>130.1</v>
      </c>
      <c r="BG286" s="26">
        <f>IFERROR(__xludf.DUMMYFUNCTION("""COMPUTED_VALUE"""),7.09)</f>
        <v>7.09</v>
      </c>
      <c r="BH286" s="26">
        <f>IFERROR(__xludf.DUMMYFUNCTION("""COMPUTED_VALUE"""),235.57)</f>
        <v>235.57</v>
      </c>
      <c r="BI286" s="26">
        <f>IFERROR(__xludf.DUMMYFUNCTION("""COMPUTED_VALUE"""),326.14)</f>
        <v>326.14</v>
      </c>
      <c r="BJ286" s="26">
        <f>IFERROR(__xludf.DUMMYFUNCTION("""COMPUTED_VALUE"""),49.82)</f>
        <v>49.82</v>
      </c>
      <c r="BK286" s="26">
        <f>IFERROR(__xludf.DUMMYFUNCTION("""COMPUTED_VALUE"""),9.18)</f>
        <v>9.18</v>
      </c>
      <c r="BL286" s="26">
        <f>IFERROR(__xludf.DUMMYFUNCTION("""COMPUTED_VALUE"""),228.8)</f>
        <v>228.8</v>
      </c>
      <c r="BM286" s="26">
        <f>IFERROR(__xludf.DUMMYFUNCTION("""COMPUTED_VALUE"""),123.49)</f>
        <v>123.49</v>
      </c>
    </row>
    <row r="287">
      <c r="A287" s="25">
        <v>45841.54513888889</v>
      </c>
      <c r="B287" s="17">
        <f>IFERROR(__xludf.DUMMYFUNCTION("""COMPUTED_VALUE"""),6227.42)</f>
        <v>6227.42</v>
      </c>
      <c r="C287" s="17">
        <f>IFERROR(__xludf.DUMMYFUNCTION("""COMPUTED_VALUE"""),20393.13)</f>
        <v>20393.13</v>
      </c>
      <c r="D287" s="17">
        <f>IFERROR(__xludf.DUMMYFUNCTION("""COMPUTED_VALUE"""),44484.42)</f>
        <v>44484.42</v>
      </c>
      <c r="E287" s="17">
        <f>IFERROR(__xludf.DUMMYFUNCTION("""COMPUTED_VALUE"""),2226.38)</f>
        <v>2226.38</v>
      </c>
      <c r="F287" s="26">
        <f>IFERROR(__xludf.DUMMYFUNCTION("""COMPUTED_VALUE"""),378.47)</f>
        <v>378.47</v>
      </c>
      <c r="G287" s="26">
        <f>IFERROR(__xludf.DUMMYFUNCTION("""COMPUTED_VALUE"""),219.92)</f>
        <v>219.92</v>
      </c>
      <c r="H287" s="26">
        <f>IFERROR(__xludf.DUMMYFUNCTION("""COMPUTED_VALUE"""),140.31)</f>
        <v>140.31</v>
      </c>
      <c r="I287" s="26">
        <f>IFERROR(__xludf.DUMMYFUNCTION("""COMPUTED_VALUE"""),212.44)</f>
        <v>212.44</v>
      </c>
      <c r="J287" s="26">
        <f>IFERROR(__xludf.DUMMYFUNCTION("""COMPUTED_VALUE"""),190.01)</f>
        <v>190.01</v>
      </c>
      <c r="K287" s="26">
        <f>IFERROR(__xludf.DUMMYFUNCTION("""COMPUTED_VALUE"""),92.09)</f>
        <v>92.09</v>
      </c>
      <c r="L287" s="26">
        <f>IFERROR(__xludf.DUMMYFUNCTION("""COMPUTED_VALUE"""),17.88)</f>
        <v>17.88</v>
      </c>
      <c r="M287" s="26">
        <f>IFERROR(__xludf.DUMMYFUNCTION("""COMPUTED_VALUE"""),480.48)</f>
        <v>480.48</v>
      </c>
      <c r="N287" s="26">
        <f>IFERROR(__xludf.DUMMYFUNCTION("""COMPUTED_VALUE"""),50.73)</f>
        <v>50.73</v>
      </c>
      <c r="O287" s="26">
        <f>IFERROR(__xludf.DUMMYFUNCTION("""COMPUTED_VALUE"""),133.19)</f>
        <v>133.19</v>
      </c>
      <c r="P287" s="26">
        <f>IFERROR(__xludf.DUMMYFUNCTION("""COMPUTED_VALUE"""),75.26)</f>
        <v>75.26</v>
      </c>
      <c r="Q287" s="26">
        <f>IFERROR(__xludf.DUMMYFUNCTION("""COMPUTED_VALUE"""),398.43)</f>
        <v>398.43</v>
      </c>
      <c r="R287" s="26">
        <f>IFERROR(__xludf.DUMMYFUNCTION("""COMPUTED_VALUE"""),71.66)</f>
        <v>71.66</v>
      </c>
      <c r="S287" s="26">
        <f>IFERROR(__xludf.DUMMYFUNCTION("""COMPUTED_VALUE"""),219.39)</f>
        <v>219.39</v>
      </c>
      <c r="T287" s="26">
        <f>IFERROR(__xludf.DUMMYFUNCTION("""COMPUTED_VALUE"""),147.98)</f>
        <v>147.98</v>
      </c>
      <c r="U287" s="26">
        <f>IFERROR(__xludf.DUMMYFUNCTION("""COMPUTED_VALUE"""),320.39)</f>
        <v>320.39</v>
      </c>
      <c r="V287" s="26">
        <f>IFERROR(__xludf.DUMMYFUNCTION("""COMPUTED_VALUE"""),47.03)</f>
        <v>47.03</v>
      </c>
      <c r="W287" s="26">
        <f>IFERROR(__xludf.DUMMYFUNCTION("""COMPUTED_VALUE"""),70.91)</f>
        <v>70.91</v>
      </c>
      <c r="X287" s="26">
        <f>IFERROR(__xludf.DUMMYFUNCTION("""COMPUTED_VALUE"""),99.92)</f>
        <v>99.92</v>
      </c>
      <c r="Y287" s="26">
        <f>IFERROR(__xludf.DUMMYFUNCTION("""COMPUTED_VALUE"""),172.16)</f>
        <v>172.16</v>
      </c>
      <c r="Z287" s="26">
        <f>IFERROR(__xludf.DUMMYFUNCTION("""COMPUTED_VALUE"""),103.01)</f>
        <v>103.01</v>
      </c>
      <c r="AA287" s="26">
        <f>IFERROR(__xludf.DUMMYFUNCTION("""COMPUTED_VALUE"""),453.94)</f>
        <v>453.94</v>
      </c>
      <c r="AB287" s="26">
        <f>IFERROR(__xludf.DUMMYFUNCTION("""COMPUTED_VALUE"""),75.78)</f>
        <v>75.78</v>
      </c>
      <c r="AC287" s="26">
        <f>IFERROR(__xludf.DUMMYFUNCTION("""COMPUTED_VALUE"""),111.05)</f>
        <v>111.05</v>
      </c>
      <c r="AD287" s="26">
        <f>IFERROR(__xludf.DUMMYFUNCTION("""COMPUTED_VALUE"""),239.14)</f>
        <v>239.14</v>
      </c>
      <c r="AE287" s="26">
        <f>IFERROR(__xludf.DUMMYFUNCTION("""COMPUTED_VALUE"""),491.56)</f>
        <v>491.56</v>
      </c>
      <c r="AF287" s="26">
        <f>IFERROR(__xludf.DUMMYFUNCTION("""COMPUTED_VALUE"""),293.92)</f>
        <v>293.92</v>
      </c>
      <c r="AG287" s="26">
        <f>IFERROR(__xludf.DUMMYFUNCTION("""COMPUTED_VALUE"""),52.68)</f>
        <v>52.68</v>
      </c>
      <c r="AH287" s="26">
        <f>IFERROR(__xludf.DUMMYFUNCTION("""COMPUTED_VALUE"""),111.51)</f>
        <v>111.51</v>
      </c>
      <c r="AI287" s="26">
        <f>IFERROR(__xludf.DUMMYFUNCTION("""COMPUTED_VALUE"""),715.89)</f>
        <v>715.89</v>
      </c>
      <c r="AJ287" s="26">
        <f>IFERROR(__xludf.DUMMYFUNCTION("""COMPUTED_VALUE"""),371.85)</f>
        <v>371.85</v>
      </c>
      <c r="AK287" s="26">
        <f>IFERROR(__xludf.DUMMYFUNCTION("""COMPUTED_VALUE"""),138.39)</f>
        <v>138.39</v>
      </c>
      <c r="AL287" s="26">
        <f>IFERROR(__xludf.DUMMYFUNCTION("""COMPUTED_VALUE"""),181.74)</f>
        <v>181.74</v>
      </c>
      <c r="AM287" s="26">
        <f>IFERROR(__xludf.DUMMYFUNCTION("""COMPUTED_VALUE"""),540.6)</f>
        <v>540.6</v>
      </c>
      <c r="AN287" s="26">
        <f>IFERROR(__xludf.DUMMYFUNCTION("""COMPUTED_VALUE"""),292.0)</f>
        <v>292</v>
      </c>
      <c r="AO287" s="26">
        <f>IFERROR(__xludf.DUMMYFUNCTION("""COMPUTED_VALUE"""),462.55)</f>
        <v>462.55</v>
      </c>
      <c r="AP287" s="26">
        <f>IFERROR(__xludf.DUMMYFUNCTION("""COMPUTED_VALUE"""),246.3)</f>
        <v>246.3</v>
      </c>
      <c r="AQ287" s="26">
        <f>IFERROR(__xludf.DUMMYFUNCTION("""COMPUTED_VALUE"""),31.45)</f>
        <v>31.45</v>
      </c>
      <c r="AR287" s="26">
        <f>IFERROR(__xludf.DUMMYFUNCTION("""COMPUTED_VALUE"""),88.28)</f>
        <v>88.28</v>
      </c>
      <c r="AS287" s="26">
        <f>IFERROR(__xludf.DUMMYFUNCTION("""COMPUTED_VALUE"""),80.15)</f>
        <v>80.15</v>
      </c>
      <c r="AT287" s="26">
        <f>IFERROR(__xludf.DUMMYFUNCTION("""COMPUTED_VALUE"""),491.09)</f>
        <v>491.09</v>
      </c>
      <c r="AU287" s="26">
        <f>IFERROR(__xludf.DUMMYFUNCTION("""COMPUTED_VALUE"""),73.02)</f>
        <v>73.02</v>
      </c>
      <c r="AV287" s="26">
        <f>IFERROR(__xludf.DUMMYFUNCTION("""COMPUTED_VALUE"""),157.25)</f>
        <v>157.25</v>
      </c>
      <c r="AW287" s="26">
        <f>IFERROR(__xludf.DUMMYFUNCTION("""COMPUTED_VALUE"""),99.8)</f>
        <v>99.8</v>
      </c>
      <c r="AX287" s="26">
        <f>IFERROR(__xludf.DUMMYFUNCTION("""COMPUTED_VALUE"""),53.7)</f>
        <v>53.7</v>
      </c>
      <c r="AY287" s="26">
        <f>IFERROR(__xludf.DUMMYFUNCTION("""COMPUTED_VALUE"""),132.12)</f>
        <v>132.12</v>
      </c>
      <c r="AZ287" s="26">
        <f>IFERROR(__xludf.DUMMYFUNCTION("""COMPUTED_VALUE"""),76.31)</f>
        <v>76.31</v>
      </c>
      <c r="BA287" s="26">
        <f>IFERROR(__xludf.DUMMYFUNCTION("""COMPUTED_VALUE"""),25.32)</f>
        <v>25.32</v>
      </c>
      <c r="BB287" s="26">
        <f>IFERROR(__xludf.DUMMYFUNCTION("""COMPUTED_VALUE"""),144.52)</f>
        <v>144.52</v>
      </c>
      <c r="BC287" s="26">
        <f>IFERROR(__xludf.DUMMYFUNCTION("""COMPUTED_VALUE"""),237.42)</f>
        <v>237.42</v>
      </c>
      <c r="BD287" s="26">
        <f>IFERROR(__xludf.DUMMYFUNCTION("""COMPUTED_VALUE"""),427.76)</f>
        <v>427.76</v>
      </c>
      <c r="BE287" s="26">
        <f>IFERROR(__xludf.DUMMYFUNCTION("""COMPUTED_VALUE"""),172.01)</f>
        <v>172.01</v>
      </c>
      <c r="BF287" s="26">
        <f>IFERROR(__xludf.DUMMYFUNCTION("""COMPUTED_VALUE"""),127.69)</f>
        <v>127.69</v>
      </c>
      <c r="BG287" s="26">
        <f>IFERROR(__xludf.DUMMYFUNCTION("""COMPUTED_VALUE"""),7.22)</f>
        <v>7.22</v>
      </c>
      <c r="BH287" s="26">
        <f>IFERROR(__xludf.DUMMYFUNCTION("""COMPUTED_VALUE"""),237.16)</f>
        <v>237.16</v>
      </c>
      <c r="BI287" s="26">
        <f>IFERROR(__xludf.DUMMYFUNCTION("""COMPUTED_VALUE"""),307.56)</f>
        <v>307.56</v>
      </c>
      <c r="BJ287" s="26">
        <f>IFERROR(__xludf.DUMMYFUNCTION("""COMPUTED_VALUE"""),49.84)</f>
        <v>49.84</v>
      </c>
      <c r="BK287" s="26">
        <f>IFERROR(__xludf.DUMMYFUNCTION("""COMPUTED_VALUE"""),9.34)</f>
        <v>9.34</v>
      </c>
      <c r="BL287" s="26">
        <f>IFERROR(__xludf.DUMMYFUNCTION("""COMPUTED_VALUE"""),223.39)</f>
        <v>223.39</v>
      </c>
      <c r="BM287" s="26">
        <f>IFERROR(__xludf.DUMMYFUNCTION("""COMPUTED_VALUE"""),122.98)</f>
        <v>122.98</v>
      </c>
    </row>
    <row r="288">
      <c r="A288" s="25">
        <v>45845.66666666667</v>
      </c>
      <c r="B288" s="17">
        <f>IFERROR(__xludf.DUMMYFUNCTION("""COMPUTED_VALUE"""),6279.35)</f>
        <v>6279.35</v>
      </c>
      <c r="C288" s="17">
        <f>IFERROR(__xludf.DUMMYFUNCTION("""COMPUTED_VALUE"""),20601.1)</f>
        <v>20601.1</v>
      </c>
      <c r="D288" s="17">
        <f>IFERROR(__xludf.DUMMYFUNCTION("""COMPUTED_VALUE"""),44828.53)</f>
        <v>44828.53</v>
      </c>
      <c r="E288" s="17">
        <f>IFERROR(__xludf.DUMMYFUNCTION("""COMPUTED_VALUE"""),2249.04)</f>
        <v>2249.04</v>
      </c>
      <c r="F288" s="26">
        <f>IFERROR(__xludf.DUMMYFUNCTION("""COMPUTED_VALUE"""),379.31)</f>
        <v>379.31</v>
      </c>
      <c r="G288" s="26">
        <f>IFERROR(__xludf.DUMMYFUNCTION("""COMPUTED_VALUE"""),223.41)</f>
        <v>223.41</v>
      </c>
      <c r="H288" s="26">
        <f>IFERROR(__xludf.DUMMYFUNCTION("""COMPUTED_VALUE"""),140.05)</f>
        <v>140.05</v>
      </c>
      <c r="I288" s="26">
        <f>IFERROR(__xludf.DUMMYFUNCTION("""COMPUTED_VALUE"""),213.55)</f>
        <v>213.55</v>
      </c>
      <c r="J288" s="26">
        <f>IFERROR(__xludf.DUMMYFUNCTION("""COMPUTED_VALUE"""),191.05)</f>
        <v>191.05</v>
      </c>
      <c r="K288" s="26">
        <f>IFERROR(__xludf.DUMMYFUNCTION("""COMPUTED_VALUE"""),92.43)</f>
        <v>92.43</v>
      </c>
      <c r="L288" s="26">
        <f>IFERROR(__xludf.DUMMYFUNCTION("""COMPUTED_VALUE"""),18.26)</f>
        <v>18.26</v>
      </c>
      <c r="M288" s="26">
        <f>IFERROR(__xludf.DUMMYFUNCTION("""COMPUTED_VALUE"""),485.0)</f>
        <v>485</v>
      </c>
      <c r="N288" s="26">
        <f>IFERROR(__xludf.DUMMYFUNCTION("""COMPUTED_VALUE"""),50.52)</f>
        <v>50.52</v>
      </c>
      <c r="O288" s="26">
        <f>IFERROR(__xludf.DUMMYFUNCTION("""COMPUTED_VALUE"""),132.87)</f>
        <v>132.87</v>
      </c>
      <c r="P288" s="26">
        <f>IFERROR(__xludf.DUMMYFUNCTION("""COMPUTED_VALUE"""),75.65)</f>
        <v>75.65</v>
      </c>
      <c r="Q288" s="26">
        <f>IFERROR(__xludf.DUMMYFUNCTION("""COMPUTED_VALUE"""),397.86)</f>
        <v>397.86</v>
      </c>
      <c r="R288" s="26">
        <f>IFERROR(__xludf.DUMMYFUNCTION("""COMPUTED_VALUE"""),73.45)</f>
        <v>73.45</v>
      </c>
      <c r="S288" s="26">
        <f>IFERROR(__xludf.DUMMYFUNCTION("""COMPUTED_VALUE"""),223.63)</f>
        <v>223.63</v>
      </c>
      <c r="T288" s="26">
        <f>IFERROR(__xludf.DUMMYFUNCTION("""COMPUTED_VALUE"""),148.37)</f>
        <v>148.37</v>
      </c>
      <c r="U288" s="26">
        <f>IFERROR(__xludf.DUMMYFUNCTION("""COMPUTED_VALUE"""),319.75)</f>
        <v>319.75</v>
      </c>
      <c r="V288" s="26">
        <f>IFERROR(__xludf.DUMMYFUNCTION("""COMPUTED_VALUE"""),47.72)</f>
        <v>47.72</v>
      </c>
      <c r="W288" s="26">
        <f>IFERROR(__xludf.DUMMYFUNCTION("""COMPUTED_VALUE"""),71.35)</f>
        <v>71.35</v>
      </c>
      <c r="X288" s="26">
        <f>IFERROR(__xludf.DUMMYFUNCTION("""COMPUTED_VALUE"""),100.31)</f>
        <v>100.31</v>
      </c>
      <c r="Y288" s="26">
        <f>IFERROR(__xludf.DUMMYFUNCTION("""COMPUTED_VALUE"""),172.6)</f>
        <v>172.6</v>
      </c>
      <c r="Z288" s="26">
        <f>IFERROR(__xludf.DUMMYFUNCTION("""COMPUTED_VALUE"""),101.91)</f>
        <v>101.91</v>
      </c>
      <c r="AA288" s="26">
        <f>IFERROR(__xludf.DUMMYFUNCTION("""COMPUTED_VALUE"""),452.18)</f>
        <v>452.18</v>
      </c>
      <c r="AB288" s="26">
        <f>IFERROR(__xludf.DUMMYFUNCTION("""COMPUTED_VALUE"""),76.36)</f>
        <v>76.36</v>
      </c>
      <c r="AC288" s="26">
        <f>IFERROR(__xludf.DUMMYFUNCTION("""COMPUTED_VALUE"""),112.2)</f>
        <v>112.2</v>
      </c>
      <c r="AD288" s="26">
        <f>IFERROR(__xludf.DUMMYFUNCTION("""COMPUTED_VALUE"""),241.23)</f>
        <v>241.23</v>
      </c>
      <c r="AE288" s="26">
        <f>IFERROR(__xludf.DUMMYFUNCTION("""COMPUTED_VALUE"""),490.2)</f>
        <v>490.2</v>
      </c>
      <c r="AF288" s="26">
        <f>IFERROR(__xludf.DUMMYFUNCTION("""COMPUTED_VALUE"""),294.76)</f>
        <v>294.76</v>
      </c>
      <c r="AG288" s="26">
        <f>IFERROR(__xludf.DUMMYFUNCTION("""COMPUTED_VALUE"""),52.89)</f>
        <v>52.89</v>
      </c>
      <c r="AH288" s="26">
        <f>IFERROR(__xludf.DUMMYFUNCTION("""COMPUTED_VALUE"""),111.75)</f>
        <v>111.75</v>
      </c>
      <c r="AI288" s="26">
        <f>IFERROR(__xludf.DUMMYFUNCTION("""COMPUTED_VALUE"""),723.68)</f>
        <v>723.68</v>
      </c>
      <c r="AJ288" s="26">
        <f>IFERROR(__xludf.DUMMYFUNCTION("""COMPUTED_VALUE"""),371.68)</f>
        <v>371.68</v>
      </c>
      <c r="AK288" s="26">
        <f>IFERROR(__xludf.DUMMYFUNCTION("""COMPUTED_VALUE"""),139.61)</f>
        <v>139.61</v>
      </c>
      <c r="AL288" s="26">
        <f>IFERROR(__xludf.DUMMYFUNCTION("""COMPUTED_VALUE"""),183.11)</f>
        <v>183.11</v>
      </c>
      <c r="AM288" s="26">
        <f>IFERROR(__xludf.DUMMYFUNCTION("""COMPUTED_VALUE"""),544.47)</f>
        <v>544.47</v>
      </c>
      <c r="AN288" s="26">
        <f>IFERROR(__xludf.DUMMYFUNCTION("""COMPUTED_VALUE"""),296.0)</f>
        <v>296</v>
      </c>
      <c r="AO288" s="26">
        <f>IFERROR(__xludf.DUMMYFUNCTION("""COMPUTED_VALUE"""),462.52)</f>
        <v>462.52</v>
      </c>
      <c r="AP288" s="26">
        <f>IFERROR(__xludf.DUMMYFUNCTION("""COMPUTED_VALUE"""),247.68)</f>
        <v>247.68</v>
      </c>
      <c r="AQ288" s="26">
        <f>IFERROR(__xludf.DUMMYFUNCTION("""COMPUTED_VALUE"""),31.88)</f>
        <v>31.88</v>
      </c>
      <c r="AR288" s="26">
        <f>IFERROR(__xludf.DUMMYFUNCTION("""COMPUTED_VALUE"""),88.39)</f>
        <v>88.39</v>
      </c>
      <c r="AS288" s="26">
        <f>IFERROR(__xludf.DUMMYFUNCTION("""COMPUTED_VALUE"""),80.65)</f>
        <v>80.65</v>
      </c>
      <c r="AT288" s="26">
        <f>IFERROR(__xludf.DUMMYFUNCTION("""COMPUTED_VALUE"""),498.84)</f>
        <v>498.84</v>
      </c>
      <c r="AU288" s="26">
        <f>IFERROR(__xludf.DUMMYFUNCTION("""COMPUTED_VALUE"""),73.88)</f>
        <v>73.88</v>
      </c>
      <c r="AV288" s="26">
        <f>IFERROR(__xludf.DUMMYFUNCTION("""COMPUTED_VALUE"""),159.34)</f>
        <v>159.34</v>
      </c>
      <c r="AW288" s="26">
        <f>IFERROR(__xludf.DUMMYFUNCTION("""COMPUTED_VALUE"""),99.51)</f>
        <v>99.51</v>
      </c>
      <c r="AX288" s="26">
        <f>IFERROR(__xludf.DUMMYFUNCTION("""COMPUTED_VALUE"""),54.31)</f>
        <v>54.31</v>
      </c>
      <c r="AY288" s="26">
        <f>IFERROR(__xludf.DUMMYFUNCTION("""COMPUTED_VALUE"""),134.36)</f>
        <v>134.36</v>
      </c>
      <c r="AZ288" s="26">
        <f>IFERROR(__xludf.DUMMYFUNCTION("""COMPUTED_VALUE"""),76.59)</f>
        <v>76.59</v>
      </c>
      <c r="BA288" s="26">
        <f>IFERROR(__xludf.DUMMYFUNCTION("""COMPUTED_VALUE"""),25.38)</f>
        <v>25.38</v>
      </c>
      <c r="BB288" s="26">
        <f>IFERROR(__xludf.DUMMYFUNCTION("""COMPUTED_VALUE"""),145.75)</f>
        <v>145.75</v>
      </c>
      <c r="BC288" s="26">
        <f>IFERROR(__xludf.DUMMYFUNCTION("""COMPUTED_VALUE"""),240.75)</f>
        <v>240.75</v>
      </c>
      <c r="BD288" s="26">
        <f>IFERROR(__xludf.DUMMYFUNCTION("""COMPUTED_VALUE"""),429.33)</f>
        <v>429.33</v>
      </c>
      <c r="BE288" s="26">
        <f>IFERROR(__xludf.DUMMYFUNCTION("""COMPUTED_VALUE"""),174.89)</f>
        <v>174.89</v>
      </c>
      <c r="BF288" s="26">
        <f>IFERROR(__xludf.DUMMYFUNCTION("""COMPUTED_VALUE"""),129.19)</f>
        <v>129.19</v>
      </c>
      <c r="BG288" s="26">
        <f>IFERROR(__xludf.DUMMYFUNCTION("""COMPUTED_VALUE"""),7.11)</f>
        <v>7.11</v>
      </c>
      <c r="BH288" s="26">
        <f>IFERROR(__xludf.DUMMYFUNCTION("""COMPUTED_VALUE"""),236.28)</f>
        <v>236.28</v>
      </c>
      <c r="BI288" s="26">
        <f>IFERROR(__xludf.DUMMYFUNCTION("""COMPUTED_VALUE"""),308.55)</f>
        <v>308.55</v>
      </c>
      <c r="BJ288" s="26">
        <f>IFERROR(__xludf.DUMMYFUNCTION("""COMPUTED_VALUE"""),49.78)</f>
        <v>49.78</v>
      </c>
      <c r="BK288" s="26">
        <f>IFERROR(__xludf.DUMMYFUNCTION("""COMPUTED_VALUE"""),9.32)</f>
        <v>9.32</v>
      </c>
      <c r="BL288" s="26">
        <f>IFERROR(__xludf.DUMMYFUNCTION("""COMPUTED_VALUE"""),227.1)</f>
        <v>227.1</v>
      </c>
      <c r="BM288" s="26">
        <f>IFERROR(__xludf.DUMMYFUNCTION("""COMPUTED_VALUE"""),124.0)</f>
        <v>124</v>
      </c>
    </row>
    <row r="289">
      <c r="A289" s="25">
        <v>45846.66666666667</v>
      </c>
      <c r="B289" s="17">
        <f>IFERROR(__xludf.DUMMYFUNCTION("""COMPUTED_VALUE"""),6229.98)</f>
        <v>6229.98</v>
      </c>
      <c r="C289" s="17">
        <f>IFERROR(__xludf.DUMMYFUNCTION("""COMPUTED_VALUE"""),20412.52)</f>
        <v>20412.52</v>
      </c>
      <c r="D289" s="17">
        <f>IFERROR(__xludf.DUMMYFUNCTION("""COMPUTED_VALUE"""),44406.36)</f>
        <v>44406.36</v>
      </c>
      <c r="E289" s="17">
        <f>IFERROR(__xludf.DUMMYFUNCTION("""COMPUTED_VALUE"""),2214.23)</f>
        <v>2214.23</v>
      </c>
      <c r="F289" s="26">
        <f>IFERROR(__xludf.DUMMYFUNCTION("""COMPUTED_VALUE"""),376.93)</f>
        <v>376.93</v>
      </c>
      <c r="G289" s="26">
        <f>IFERROR(__xludf.DUMMYFUNCTION("""COMPUTED_VALUE"""),223.47)</f>
        <v>223.47</v>
      </c>
      <c r="H289" s="26">
        <f>IFERROR(__xludf.DUMMYFUNCTION("""COMPUTED_VALUE"""),139.96)</f>
        <v>139.96</v>
      </c>
      <c r="I289" s="26">
        <f>IFERROR(__xludf.DUMMYFUNCTION("""COMPUTED_VALUE"""),209.95)</f>
        <v>209.95</v>
      </c>
      <c r="J289" s="26">
        <f>IFERROR(__xludf.DUMMYFUNCTION("""COMPUTED_VALUE"""),190.78)</f>
        <v>190.78</v>
      </c>
      <c r="K289" s="26">
        <f>IFERROR(__xludf.DUMMYFUNCTION("""COMPUTED_VALUE"""),93.25)</f>
        <v>93.25</v>
      </c>
      <c r="L289" s="26">
        <f>IFERROR(__xludf.DUMMYFUNCTION("""COMPUTED_VALUE"""),18.19)</f>
        <v>18.19</v>
      </c>
      <c r="M289" s="26">
        <f>IFERROR(__xludf.DUMMYFUNCTION("""COMPUTED_VALUE"""),478.03)</f>
        <v>478.03</v>
      </c>
      <c r="N289" s="26">
        <f>IFERROR(__xludf.DUMMYFUNCTION("""COMPUTED_VALUE"""),49.39)</f>
        <v>49.39</v>
      </c>
      <c r="O289" s="26">
        <f>IFERROR(__xludf.DUMMYFUNCTION("""COMPUTED_VALUE"""),130.13)</f>
        <v>130.13</v>
      </c>
      <c r="P289" s="26">
        <f>IFERROR(__xludf.DUMMYFUNCTION("""COMPUTED_VALUE"""),74.64)</f>
        <v>74.64</v>
      </c>
      <c r="Q289" s="26">
        <f>IFERROR(__xludf.DUMMYFUNCTION("""COMPUTED_VALUE"""),391.51)</f>
        <v>391.51</v>
      </c>
      <c r="R289" s="26">
        <f>IFERROR(__xludf.DUMMYFUNCTION("""COMPUTED_VALUE"""),75.19)</f>
        <v>75.19</v>
      </c>
      <c r="S289" s="26">
        <f>IFERROR(__xludf.DUMMYFUNCTION("""COMPUTED_VALUE"""),222.99)</f>
        <v>222.99</v>
      </c>
      <c r="T289" s="26">
        <f>IFERROR(__xludf.DUMMYFUNCTION("""COMPUTED_VALUE"""),147.4)</f>
        <v>147.4</v>
      </c>
      <c r="U289" s="26">
        <f>IFERROR(__xludf.DUMMYFUNCTION("""COMPUTED_VALUE"""),313.63)</f>
        <v>313.63</v>
      </c>
      <c r="V289" s="26">
        <f>IFERROR(__xludf.DUMMYFUNCTION("""COMPUTED_VALUE"""),47.06)</f>
        <v>47.06</v>
      </c>
      <c r="W289" s="26">
        <f>IFERROR(__xludf.DUMMYFUNCTION("""COMPUTED_VALUE"""),71.01)</f>
        <v>71.01</v>
      </c>
      <c r="X289" s="26">
        <f>IFERROR(__xludf.DUMMYFUNCTION("""COMPUTED_VALUE"""),99.71)</f>
        <v>99.71</v>
      </c>
      <c r="Y289" s="26">
        <f>IFERROR(__xludf.DUMMYFUNCTION("""COMPUTED_VALUE"""),171.64)</f>
        <v>171.64</v>
      </c>
      <c r="Z289" s="26">
        <f>IFERROR(__xludf.DUMMYFUNCTION("""COMPUTED_VALUE"""),104.23)</f>
        <v>104.23</v>
      </c>
      <c r="AA289" s="26">
        <f>IFERROR(__xludf.DUMMYFUNCTION("""COMPUTED_VALUE"""),453.22)</f>
        <v>453.22</v>
      </c>
      <c r="AB289" s="26">
        <f>IFERROR(__xludf.DUMMYFUNCTION("""COMPUTED_VALUE"""),75.91)</f>
        <v>75.91</v>
      </c>
      <c r="AC289" s="26">
        <f>IFERROR(__xludf.DUMMYFUNCTION("""COMPUTED_VALUE"""),111.11)</f>
        <v>111.11</v>
      </c>
      <c r="AD289" s="26">
        <f>IFERROR(__xludf.DUMMYFUNCTION("""COMPUTED_VALUE"""),235.09)</f>
        <v>235.09</v>
      </c>
      <c r="AE289" s="26">
        <f>IFERROR(__xludf.DUMMYFUNCTION("""COMPUTED_VALUE"""),486.32)</f>
        <v>486.32</v>
      </c>
      <c r="AF289" s="26">
        <f>IFERROR(__xludf.DUMMYFUNCTION("""COMPUTED_VALUE"""),294.65)</f>
        <v>294.65</v>
      </c>
      <c r="AG289" s="26">
        <f>IFERROR(__xludf.DUMMYFUNCTION("""COMPUTED_VALUE"""),51.82)</f>
        <v>51.82</v>
      </c>
      <c r="AH289" s="26">
        <f>IFERROR(__xludf.DUMMYFUNCTION("""COMPUTED_VALUE"""),111.78)</f>
        <v>111.78</v>
      </c>
      <c r="AI289" s="26">
        <f>IFERROR(__xludf.DUMMYFUNCTION("""COMPUTED_VALUE"""),710.93)</f>
        <v>710.93</v>
      </c>
      <c r="AJ289" s="26">
        <f>IFERROR(__xludf.DUMMYFUNCTION("""COMPUTED_VALUE"""),367.64)</f>
        <v>367.64</v>
      </c>
      <c r="AK289" s="26">
        <f>IFERROR(__xludf.DUMMYFUNCTION("""COMPUTED_VALUE"""),138.63)</f>
        <v>138.63</v>
      </c>
      <c r="AL289" s="26">
        <f>IFERROR(__xludf.DUMMYFUNCTION("""COMPUTED_VALUE"""),183.09)</f>
        <v>183.09</v>
      </c>
      <c r="AM289" s="26">
        <f>IFERROR(__xludf.DUMMYFUNCTION("""COMPUTED_VALUE"""),534.71)</f>
        <v>534.71</v>
      </c>
      <c r="AN289" s="26">
        <f>IFERROR(__xludf.DUMMYFUNCTION("""COMPUTED_VALUE"""),291.97)</f>
        <v>291.97</v>
      </c>
      <c r="AO289" s="26">
        <f>IFERROR(__xludf.DUMMYFUNCTION("""COMPUTED_VALUE"""),469.06)</f>
        <v>469.06</v>
      </c>
      <c r="AP289" s="26">
        <f>IFERROR(__xludf.DUMMYFUNCTION("""COMPUTED_VALUE"""),237.57)</f>
        <v>237.57</v>
      </c>
      <c r="AQ289" s="26">
        <f>IFERROR(__xludf.DUMMYFUNCTION("""COMPUTED_VALUE"""),30.64)</f>
        <v>30.64</v>
      </c>
      <c r="AR289" s="26">
        <f>IFERROR(__xludf.DUMMYFUNCTION("""COMPUTED_VALUE"""),87.67)</f>
        <v>87.67</v>
      </c>
      <c r="AS289" s="26">
        <f>IFERROR(__xludf.DUMMYFUNCTION("""COMPUTED_VALUE"""),79.18)</f>
        <v>79.18</v>
      </c>
      <c r="AT289" s="26">
        <f>IFERROR(__xludf.DUMMYFUNCTION("""COMPUTED_VALUE"""),497.72)</f>
        <v>497.72</v>
      </c>
      <c r="AU289" s="26">
        <f>IFERROR(__xludf.DUMMYFUNCTION("""COMPUTED_VALUE"""),74.75)</f>
        <v>74.75</v>
      </c>
      <c r="AV289" s="26">
        <f>IFERROR(__xludf.DUMMYFUNCTION("""COMPUTED_VALUE"""),158.24)</f>
        <v>158.24</v>
      </c>
      <c r="AW289" s="26">
        <f>IFERROR(__xludf.DUMMYFUNCTION("""COMPUTED_VALUE"""),99.78)</f>
        <v>99.78</v>
      </c>
      <c r="AX289" s="26">
        <f>IFERROR(__xludf.DUMMYFUNCTION("""COMPUTED_VALUE"""),54.36)</f>
        <v>54.36</v>
      </c>
      <c r="AY289" s="26">
        <f>IFERROR(__xludf.DUMMYFUNCTION("""COMPUTED_VALUE"""),139.12)</f>
        <v>139.12</v>
      </c>
      <c r="AZ289" s="26">
        <f>IFERROR(__xludf.DUMMYFUNCTION("""COMPUTED_VALUE"""),76.18)</f>
        <v>76.18</v>
      </c>
      <c r="BA289" s="26">
        <f>IFERROR(__xludf.DUMMYFUNCTION("""COMPUTED_VALUE"""),25.24)</f>
        <v>25.24</v>
      </c>
      <c r="BB289" s="26">
        <f>IFERROR(__xludf.DUMMYFUNCTION("""COMPUTED_VALUE"""),145.92)</f>
        <v>145.92</v>
      </c>
      <c r="BC289" s="26">
        <f>IFERROR(__xludf.DUMMYFUNCTION("""COMPUTED_VALUE"""),237.63)</f>
        <v>237.63</v>
      </c>
      <c r="BD289" s="26">
        <f>IFERROR(__xludf.DUMMYFUNCTION("""COMPUTED_VALUE"""),418.7)</f>
        <v>418.7</v>
      </c>
      <c r="BE289" s="26">
        <f>IFERROR(__xludf.DUMMYFUNCTION("""COMPUTED_VALUE"""),167.86)</f>
        <v>167.86</v>
      </c>
      <c r="BF289" s="26">
        <f>IFERROR(__xludf.DUMMYFUNCTION("""COMPUTED_VALUE"""),125.17)</f>
        <v>125.17</v>
      </c>
      <c r="BG289" s="26">
        <f>IFERROR(__xludf.DUMMYFUNCTION("""COMPUTED_VALUE"""),6.98)</f>
        <v>6.98</v>
      </c>
      <c r="BH289" s="26">
        <f>IFERROR(__xludf.DUMMYFUNCTION("""COMPUTED_VALUE"""),235.35)</f>
        <v>235.35</v>
      </c>
      <c r="BI289" s="26">
        <f>IFERROR(__xludf.DUMMYFUNCTION("""COMPUTED_VALUE"""),303.71)</f>
        <v>303.71</v>
      </c>
      <c r="BJ289" s="26">
        <f>IFERROR(__xludf.DUMMYFUNCTION("""COMPUTED_VALUE"""),49.86)</f>
        <v>49.86</v>
      </c>
      <c r="BK289" s="26">
        <f>IFERROR(__xludf.DUMMYFUNCTION("""COMPUTED_VALUE"""),9.2)</f>
        <v>9.2</v>
      </c>
      <c r="BL289" s="26">
        <f>IFERROR(__xludf.DUMMYFUNCTION("""COMPUTED_VALUE"""),226.92)</f>
        <v>226.92</v>
      </c>
      <c r="BM289" s="26">
        <f>IFERROR(__xludf.DUMMYFUNCTION("""COMPUTED_VALUE"""),123.16)</f>
        <v>123.16</v>
      </c>
    </row>
    <row r="290">
      <c r="A290" s="25">
        <v>45847.66666666667</v>
      </c>
      <c r="B290" s="17">
        <f>IFERROR(__xludf.DUMMYFUNCTION("""COMPUTED_VALUE"""),6225.52)</f>
        <v>6225.52</v>
      </c>
      <c r="C290" s="17">
        <f>IFERROR(__xludf.DUMMYFUNCTION("""COMPUTED_VALUE"""),20418.46)</f>
        <v>20418.46</v>
      </c>
      <c r="D290" s="17">
        <f>IFERROR(__xludf.DUMMYFUNCTION("""COMPUTED_VALUE"""),44240.76)</f>
        <v>44240.76</v>
      </c>
      <c r="E290" s="17">
        <f>IFERROR(__xludf.DUMMYFUNCTION("""COMPUTED_VALUE"""),2228.74)</f>
        <v>2228.74</v>
      </c>
      <c r="F290" s="26">
        <f>IFERROR(__xludf.DUMMYFUNCTION("""COMPUTED_VALUE"""),382.24)</f>
        <v>382.24</v>
      </c>
      <c r="G290" s="26">
        <f>IFERROR(__xludf.DUMMYFUNCTION("""COMPUTED_VALUE"""),219.36)</f>
        <v>219.36</v>
      </c>
      <c r="H290" s="26">
        <f>IFERROR(__xludf.DUMMYFUNCTION("""COMPUTED_VALUE"""),141.02)</f>
        <v>141.02</v>
      </c>
      <c r="I290" s="26">
        <f>IFERROR(__xludf.DUMMYFUNCTION("""COMPUTED_VALUE"""),210.01)</f>
        <v>210.01</v>
      </c>
      <c r="J290" s="26">
        <f>IFERROR(__xludf.DUMMYFUNCTION("""COMPUTED_VALUE"""),194.99)</f>
        <v>194.99</v>
      </c>
      <c r="K290" s="26">
        <f>IFERROR(__xludf.DUMMYFUNCTION("""COMPUTED_VALUE"""),92.69)</f>
        <v>92.69</v>
      </c>
      <c r="L290" s="26">
        <f>IFERROR(__xludf.DUMMYFUNCTION("""COMPUTED_VALUE"""),18.31)</f>
        <v>18.31</v>
      </c>
      <c r="M290" s="26">
        <f>IFERROR(__xludf.DUMMYFUNCTION("""COMPUTED_VALUE"""),477.47)</f>
        <v>477.47</v>
      </c>
      <c r="N290" s="26">
        <f>IFERROR(__xludf.DUMMYFUNCTION("""COMPUTED_VALUE"""),49.36)</f>
        <v>49.36</v>
      </c>
      <c r="O290" s="26">
        <f>IFERROR(__xludf.DUMMYFUNCTION("""COMPUTED_VALUE"""),134.46)</f>
        <v>134.46</v>
      </c>
      <c r="P290" s="26">
        <f>IFERROR(__xludf.DUMMYFUNCTION("""COMPUTED_VALUE"""),74.9)</f>
        <v>74.9</v>
      </c>
      <c r="Q290" s="26">
        <f>IFERROR(__xludf.DUMMYFUNCTION("""COMPUTED_VALUE"""),394.29)</f>
        <v>394.29</v>
      </c>
      <c r="R290" s="26">
        <f>IFERROR(__xludf.DUMMYFUNCTION("""COMPUTED_VALUE"""),71.94)</f>
        <v>71.94</v>
      </c>
      <c r="S290" s="26">
        <f>IFERROR(__xludf.DUMMYFUNCTION("""COMPUTED_VALUE"""),226.19)</f>
        <v>226.19</v>
      </c>
      <c r="T290" s="26">
        <f>IFERROR(__xludf.DUMMYFUNCTION("""COMPUTED_VALUE"""),153.24)</f>
        <v>153.24</v>
      </c>
      <c r="U290" s="26">
        <f>IFERROR(__xludf.DUMMYFUNCTION("""COMPUTED_VALUE"""),312.0)</f>
        <v>312</v>
      </c>
      <c r="V290" s="26">
        <f>IFERROR(__xludf.DUMMYFUNCTION("""COMPUTED_VALUE"""),47.53)</f>
        <v>47.53</v>
      </c>
      <c r="W290" s="26">
        <f>IFERROR(__xludf.DUMMYFUNCTION("""COMPUTED_VALUE"""),70.24)</f>
        <v>70.24</v>
      </c>
      <c r="X290" s="26">
        <f>IFERROR(__xludf.DUMMYFUNCTION("""COMPUTED_VALUE"""),99.31)</f>
        <v>99.31</v>
      </c>
      <c r="Y290" s="26">
        <f>IFERROR(__xludf.DUMMYFUNCTION("""COMPUTED_VALUE"""),170.8)</f>
        <v>170.8</v>
      </c>
      <c r="Z290" s="26">
        <f>IFERROR(__xludf.DUMMYFUNCTION("""COMPUTED_VALUE"""),104.39)</f>
        <v>104.39</v>
      </c>
      <c r="AA290" s="26">
        <f>IFERROR(__xludf.DUMMYFUNCTION("""COMPUTED_VALUE"""),459.43)</f>
        <v>459.43</v>
      </c>
      <c r="AB290" s="26">
        <f>IFERROR(__xludf.DUMMYFUNCTION("""COMPUTED_VALUE"""),75.33)</f>
        <v>75.33</v>
      </c>
      <c r="AC290" s="26">
        <f>IFERROR(__xludf.DUMMYFUNCTION("""COMPUTED_VALUE"""),114.19)</f>
        <v>114.19</v>
      </c>
      <c r="AD290" s="26">
        <f>IFERROR(__xludf.DUMMYFUNCTION("""COMPUTED_VALUE"""),238.71)</f>
        <v>238.71</v>
      </c>
      <c r="AE290" s="26">
        <f>IFERROR(__xludf.DUMMYFUNCTION("""COMPUTED_VALUE"""),489.03)</f>
        <v>489.03</v>
      </c>
      <c r="AF290" s="26">
        <f>IFERROR(__xludf.DUMMYFUNCTION("""COMPUTED_VALUE"""),296.65)</f>
        <v>296.65</v>
      </c>
      <c r="AG290" s="26">
        <f>IFERROR(__xludf.DUMMYFUNCTION("""COMPUTED_VALUE"""),52.19)</f>
        <v>52.19</v>
      </c>
      <c r="AH290" s="26">
        <f>IFERROR(__xludf.DUMMYFUNCTION("""COMPUTED_VALUE"""),111.06)</f>
        <v>111.06</v>
      </c>
      <c r="AI290" s="26">
        <f>IFERROR(__xludf.DUMMYFUNCTION("""COMPUTED_VALUE"""),697.28)</f>
        <v>697.28</v>
      </c>
      <c r="AJ290" s="26">
        <f>IFERROR(__xludf.DUMMYFUNCTION("""COMPUTED_VALUE"""),367.5)</f>
        <v>367.5</v>
      </c>
      <c r="AK290" s="26">
        <f>IFERROR(__xludf.DUMMYFUNCTION("""COMPUTED_VALUE"""),136.62)</f>
        <v>136.62</v>
      </c>
      <c r="AL290" s="26">
        <f>IFERROR(__xludf.DUMMYFUNCTION("""COMPUTED_VALUE"""),180.98)</f>
        <v>180.98</v>
      </c>
      <c r="AM290" s="26">
        <f>IFERROR(__xludf.DUMMYFUNCTION("""COMPUTED_VALUE"""),527.3)</f>
        <v>527.3</v>
      </c>
      <c r="AN290" s="26">
        <f>IFERROR(__xludf.DUMMYFUNCTION("""COMPUTED_VALUE"""),282.78)</f>
        <v>282.78</v>
      </c>
      <c r="AO290" s="26">
        <f>IFERROR(__xludf.DUMMYFUNCTION("""COMPUTED_VALUE"""),463.01)</f>
        <v>463.01</v>
      </c>
      <c r="AP290" s="26">
        <f>IFERROR(__xludf.DUMMYFUNCTION("""COMPUTED_VALUE"""),238.54)</f>
        <v>238.54</v>
      </c>
      <c r="AQ290" s="26">
        <f>IFERROR(__xludf.DUMMYFUNCTION("""COMPUTED_VALUE"""),30.5)</f>
        <v>30.5</v>
      </c>
      <c r="AR290" s="26">
        <f>IFERROR(__xludf.DUMMYFUNCTION("""COMPUTED_VALUE"""),88.58)</f>
        <v>88.58</v>
      </c>
      <c r="AS290" s="26">
        <f>IFERROR(__xludf.DUMMYFUNCTION("""COMPUTED_VALUE"""),79.66)</f>
        <v>79.66</v>
      </c>
      <c r="AT290" s="26">
        <f>IFERROR(__xludf.DUMMYFUNCTION("""COMPUTED_VALUE"""),496.62)</f>
        <v>496.62</v>
      </c>
      <c r="AU290" s="26">
        <f>IFERROR(__xludf.DUMMYFUNCTION("""COMPUTED_VALUE"""),72.46)</f>
        <v>72.46</v>
      </c>
      <c r="AV290" s="26">
        <f>IFERROR(__xludf.DUMMYFUNCTION("""COMPUTED_VALUE"""),160.0)</f>
        <v>160</v>
      </c>
      <c r="AW290" s="26">
        <f>IFERROR(__xludf.DUMMYFUNCTION("""COMPUTED_VALUE"""),99.68)</f>
        <v>99.68</v>
      </c>
      <c r="AX290" s="26">
        <f>IFERROR(__xludf.DUMMYFUNCTION("""COMPUTED_VALUE"""),52.6)</f>
        <v>52.6</v>
      </c>
      <c r="AY290" s="26">
        <f>IFERROR(__xludf.DUMMYFUNCTION("""COMPUTED_VALUE"""),139.71)</f>
        <v>139.71</v>
      </c>
      <c r="AZ290" s="26">
        <f>IFERROR(__xludf.DUMMYFUNCTION("""COMPUTED_VALUE"""),75.03)</f>
        <v>75.03</v>
      </c>
      <c r="BA290" s="26">
        <f>IFERROR(__xludf.DUMMYFUNCTION("""COMPUTED_VALUE"""),25.62)</f>
        <v>25.62</v>
      </c>
      <c r="BB290" s="26">
        <f>IFERROR(__xludf.DUMMYFUNCTION("""COMPUTED_VALUE"""),144.91)</f>
        <v>144.91</v>
      </c>
      <c r="BC290" s="26">
        <f>IFERROR(__xludf.DUMMYFUNCTION("""COMPUTED_VALUE"""),235.97)</f>
        <v>235.97</v>
      </c>
      <c r="BD290" s="26">
        <f>IFERROR(__xludf.DUMMYFUNCTION("""COMPUTED_VALUE"""),426.17)</f>
        <v>426.17</v>
      </c>
      <c r="BE290" s="26">
        <f>IFERROR(__xludf.DUMMYFUNCTION("""COMPUTED_VALUE"""),170.2)</f>
        <v>170.2</v>
      </c>
      <c r="BF290" s="26">
        <f>IFERROR(__xludf.DUMMYFUNCTION("""COMPUTED_VALUE"""),124.73)</f>
        <v>124.73</v>
      </c>
      <c r="BG290" s="26">
        <f>IFERROR(__xludf.DUMMYFUNCTION("""COMPUTED_VALUE"""),7.0)</f>
        <v>7</v>
      </c>
      <c r="BH290" s="26">
        <f>IFERROR(__xludf.DUMMYFUNCTION("""COMPUTED_VALUE"""),236.54)</f>
        <v>236.54</v>
      </c>
      <c r="BI290" s="26">
        <f>IFERROR(__xludf.DUMMYFUNCTION("""COMPUTED_VALUE"""),307.7)</f>
        <v>307.7</v>
      </c>
      <c r="BJ290" s="26">
        <f>IFERROR(__xludf.DUMMYFUNCTION("""COMPUTED_VALUE"""),49.84)</f>
        <v>49.84</v>
      </c>
      <c r="BK290" s="26">
        <f>IFERROR(__xludf.DUMMYFUNCTION("""COMPUTED_VALUE"""),9.26)</f>
        <v>9.26</v>
      </c>
      <c r="BL290" s="26">
        <f>IFERROR(__xludf.DUMMYFUNCTION("""COMPUTED_VALUE"""),224.87)</f>
        <v>224.87</v>
      </c>
      <c r="BM290" s="26">
        <f>IFERROR(__xludf.DUMMYFUNCTION("""COMPUTED_VALUE"""),121.82)</f>
        <v>121.82</v>
      </c>
    </row>
    <row r="291">
      <c r="A291" s="25">
        <v>45848.66666666667</v>
      </c>
      <c r="B291" s="17">
        <f>IFERROR(__xludf.DUMMYFUNCTION("""COMPUTED_VALUE"""),6263.26)</f>
        <v>6263.26</v>
      </c>
      <c r="C291" s="17">
        <f>IFERROR(__xludf.DUMMYFUNCTION("""COMPUTED_VALUE"""),20611.34)</f>
        <v>20611.34</v>
      </c>
      <c r="D291" s="17">
        <f>IFERROR(__xludf.DUMMYFUNCTION("""COMPUTED_VALUE"""),44458.3)</f>
        <v>44458.3</v>
      </c>
      <c r="E291" s="17">
        <f>IFERROR(__xludf.DUMMYFUNCTION("""COMPUTED_VALUE"""),2252.49)</f>
        <v>2252.49</v>
      </c>
      <c r="F291" s="26">
        <f>IFERROR(__xludf.DUMMYFUNCTION("""COMPUTED_VALUE"""),373.38)</f>
        <v>373.38</v>
      </c>
      <c r="G291" s="26">
        <f>IFERROR(__xludf.DUMMYFUNCTION("""COMPUTED_VALUE"""),222.54)</f>
        <v>222.54</v>
      </c>
      <c r="H291" s="26">
        <f>IFERROR(__xludf.DUMMYFUNCTION("""COMPUTED_VALUE"""),141.8)</f>
        <v>141.8</v>
      </c>
      <c r="I291" s="26">
        <f>IFERROR(__xludf.DUMMYFUNCTION("""COMPUTED_VALUE"""),211.14)</f>
        <v>211.14</v>
      </c>
      <c r="J291" s="26">
        <f>IFERROR(__xludf.DUMMYFUNCTION("""COMPUTED_VALUE"""),195.39)</f>
        <v>195.39</v>
      </c>
      <c r="K291" s="26">
        <f>IFERROR(__xludf.DUMMYFUNCTION("""COMPUTED_VALUE"""),93.05)</f>
        <v>93.05</v>
      </c>
      <c r="L291" s="26">
        <f>IFERROR(__xludf.DUMMYFUNCTION("""COMPUTED_VALUE"""),18.63)</f>
        <v>18.63</v>
      </c>
      <c r="M291" s="26">
        <f>IFERROR(__xludf.DUMMYFUNCTION("""COMPUTED_VALUE"""),478.91)</f>
        <v>478.91</v>
      </c>
      <c r="N291" s="26">
        <f>IFERROR(__xludf.DUMMYFUNCTION("""COMPUTED_VALUE"""),49.61)</f>
        <v>49.61</v>
      </c>
      <c r="O291" s="26">
        <f>IFERROR(__xludf.DUMMYFUNCTION("""COMPUTED_VALUE"""),133.02)</f>
        <v>133.02</v>
      </c>
      <c r="P291" s="26">
        <f>IFERROR(__xludf.DUMMYFUNCTION("""COMPUTED_VALUE"""),75.89)</f>
        <v>75.89</v>
      </c>
      <c r="Q291" s="26">
        <f>IFERROR(__xludf.DUMMYFUNCTION("""COMPUTED_VALUE"""),402.18)</f>
        <v>402.18</v>
      </c>
      <c r="R291" s="26">
        <f>IFERROR(__xludf.DUMMYFUNCTION("""COMPUTED_VALUE"""),71.55)</f>
        <v>71.55</v>
      </c>
      <c r="S291" s="26">
        <f>IFERROR(__xludf.DUMMYFUNCTION("""COMPUTED_VALUE"""),231.23)</f>
        <v>231.23</v>
      </c>
      <c r="T291" s="26">
        <f>IFERROR(__xludf.DUMMYFUNCTION("""COMPUTED_VALUE"""),153.02)</f>
        <v>153.02</v>
      </c>
      <c r="U291" s="26">
        <f>IFERROR(__xludf.DUMMYFUNCTION("""COMPUTED_VALUE"""),309.78)</f>
        <v>309.78</v>
      </c>
      <c r="V291" s="26">
        <f>IFERROR(__xludf.DUMMYFUNCTION("""COMPUTED_VALUE"""),47.38)</f>
        <v>47.38</v>
      </c>
      <c r="W291" s="26">
        <f>IFERROR(__xludf.DUMMYFUNCTION("""COMPUTED_VALUE"""),69.48)</f>
        <v>69.48</v>
      </c>
      <c r="X291" s="26">
        <f>IFERROR(__xludf.DUMMYFUNCTION("""COMPUTED_VALUE"""),99.97)</f>
        <v>99.97</v>
      </c>
      <c r="Y291" s="26">
        <f>IFERROR(__xludf.DUMMYFUNCTION("""COMPUTED_VALUE"""),171.18)</f>
        <v>171.18</v>
      </c>
      <c r="Z291" s="26">
        <f>IFERROR(__xludf.DUMMYFUNCTION("""COMPUTED_VALUE"""),104.75)</f>
        <v>104.75</v>
      </c>
      <c r="AA291" s="26">
        <f>IFERROR(__xludf.DUMMYFUNCTION("""COMPUTED_VALUE"""),463.48)</f>
        <v>463.48</v>
      </c>
      <c r="AB291" s="26">
        <f>IFERROR(__xludf.DUMMYFUNCTION("""COMPUTED_VALUE"""),76.32)</f>
        <v>76.32</v>
      </c>
      <c r="AC291" s="26">
        <f>IFERROR(__xludf.DUMMYFUNCTION("""COMPUTED_VALUE"""),113.8)</f>
        <v>113.8</v>
      </c>
      <c r="AD291" s="26">
        <f>IFERROR(__xludf.DUMMYFUNCTION("""COMPUTED_VALUE"""),236.51)</f>
        <v>236.51</v>
      </c>
      <c r="AE291" s="26">
        <f>IFERROR(__xludf.DUMMYFUNCTION("""COMPUTED_VALUE"""),491.01)</f>
        <v>491.01</v>
      </c>
      <c r="AF291" s="26">
        <f>IFERROR(__xludf.DUMMYFUNCTION("""COMPUTED_VALUE"""),299.96)</f>
        <v>299.96</v>
      </c>
      <c r="AG291" s="26">
        <f>IFERROR(__xludf.DUMMYFUNCTION("""COMPUTED_VALUE"""),52.57)</f>
        <v>52.57</v>
      </c>
      <c r="AH291" s="26">
        <f>IFERROR(__xludf.DUMMYFUNCTION("""COMPUTED_VALUE"""),113.24)</f>
        <v>113.24</v>
      </c>
      <c r="AI291" s="26">
        <f>IFERROR(__xludf.DUMMYFUNCTION("""COMPUTED_VALUE"""),696.56)</f>
        <v>696.56</v>
      </c>
      <c r="AJ291" s="26">
        <f>IFERROR(__xludf.DUMMYFUNCTION("""COMPUTED_VALUE"""),371.04)</f>
        <v>371.04</v>
      </c>
      <c r="AK291" s="26">
        <f>IFERROR(__xludf.DUMMYFUNCTION("""COMPUTED_VALUE"""),137.87)</f>
        <v>137.87</v>
      </c>
      <c r="AL291" s="26">
        <f>IFERROR(__xludf.DUMMYFUNCTION("""COMPUTED_VALUE"""),182.16)</f>
        <v>182.16</v>
      </c>
      <c r="AM291" s="26">
        <f>IFERROR(__xludf.DUMMYFUNCTION("""COMPUTED_VALUE"""),528.13)</f>
        <v>528.13</v>
      </c>
      <c r="AN291" s="26">
        <f>IFERROR(__xludf.DUMMYFUNCTION("""COMPUTED_VALUE"""),283.16)</f>
        <v>283.16</v>
      </c>
      <c r="AO291" s="26">
        <f>IFERROR(__xludf.DUMMYFUNCTION("""COMPUTED_VALUE"""),463.06)</f>
        <v>463.06</v>
      </c>
      <c r="AP291" s="26">
        <f>IFERROR(__xludf.DUMMYFUNCTION("""COMPUTED_VALUE"""),235.89)</f>
        <v>235.89</v>
      </c>
      <c r="AQ291" s="26">
        <f>IFERROR(__xludf.DUMMYFUNCTION("""COMPUTED_VALUE"""),30.47)</f>
        <v>30.47</v>
      </c>
      <c r="AR291" s="26">
        <f>IFERROR(__xludf.DUMMYFUNCTION("""COMPUTED_VALUE"""),89.0)</f>
        <v>89</v>
      </c>
      <c r="AS291" s="26">
        <f>IFERROR(__xludf.DUMMYFUNCTION("""COMPUTED_VALUE"""),78.24)</f>
        <v>78.24</v>
      </c>
      <c r="AT291" s="26">
        <f>IFERROR(__xludf.DUMMYFUNCTION("""COMPUTED_VALUE"""),503.51)</f>
        <v>503.51</v>
      </c>
      <c r="AU291" s="26">
        <f>IFERROR(__xludf.DUMMYFUNCTION("""COMPUTED_VALUE"""),73.65)</f>
        <v>73.65</v>
      </c>
      <c r="AV291" s="26">
        <f>IFERROR(__xludf.DUMMYFUNCTION("""COMPUTED_VALUE"""),162.88)</f>
        <v>162.88</v>
      </c>
      <c r="AW291" s="26">
        <f>IFERROR(__xludf.DUMMYFUNCTION("""COMPUTED_VALUE"""),99.34)</f>
        <v>99.34</v>
      </c>
      <c r="AX291" s="26">
        <f>IFERROR(__xludf.DUMMYFUNCTION("""COMPUTED_VALUE"""),54.12)</f>
        <v>54.12</v>
      </c>
      <c r="AY291" s="26">
        <f>IFERROR(__xludf.DUMMYFUNCTION("""COMPUTED_VALUE"""),143.13)</f>
        <v>143.13</v>
      </c>
      <c r="AZ291" s="26">
        <f>IFERROR(__xludf.DUMMYFUNCTION("""COMPUTED_VALUE"""),74.83)</f>
        <v>74.83</v>
      </c>
      <c r="BA291" s="26">
        <f>IFERROR(__xludf.DUMMYFUNCTION("""COMPUTED_VALUE"""),25.56)</f>
        <v>25.56</v>
      </c>
      <c r="BB291" s="26">
        <f>IFERROR(__xludf.DUMMYFUNCTION("""COMPUTED_VALUE"""),146.18)</f>
        <v>146.18</v>
      </c>
      <c r="BC291" s="26">
        <f>IFERROR(__xludf.DUMMYFUNCTION("""COMPUTED_VALUE"""),232.31)</f>
        <v>232.31</v>
      </c>
      <c r="BD291" s="26">
        <f>IFERROR(__xludf.DUMMYFUNCTION("""COMPUTED_VALUE"""),419.88)</f>
        <v>419.88</v>
      </c>
      <c r="BE291" s="26">
        <f>IFERROR(__xludf.DUMMYFUNCTION("""COMPUTED_VALUE"""),170.54)</f>
        <v>170.54</v>
      </c>
      <c r="BF291" s="26">
        <f>IFERROR(__xludf.DUMMYFUNCTION("""COMPUTED_VALUE"""),126.41)</f>
        <v>126.41</v>
      </c>
      <c r="BG291" s="26">
        <f>IFERROR(__xludf.DUMMYFUNCTION("""COMPUTED_VALUE"""),6.93)</f>
        <v>6.93</v>
      </c>
      <c r="BH291" s="26">
        <f>IFERROR(__xludf.DUMMYFUNCTION("""COMPUTED_VALUE"""),236.49)</f>
        <v>236.49</v>
      </c>
      <c r="BI291" s="26">
        <f>IFERROR(__xludf.DUMMYFUNCTION("""COMPUTED_VALUE"""),302.91)</f>
        <v>302.91</v>
      </c>
      <c r="BJ291" s="26">
        <f>IFERROR(__xludf.DUMMYFUNCTION("""COMPUTED_VALUE"""),49.88)</f>
        <v>49.88</v>
      </c>
      <c r="BK291" s="26">
        <f>IFERROR(__xludf.DUMMYFUNCTION("""COMPUTED_VALUE"""),9.23)</f>
        <v>9.23</v>
      </c>
      <c r="BL291" s="26">
        <f>IFERROR(__xludf.DUMMYFUNCTION("""COMPUTED_VALUE"""),225.75)</f>
        <v>225.75</v>
      </c>
      <c r="BM291" s="26">
        <f>IFERROR(__xludf.DUMMYFUNCTION("""COMPUTED_VALUE"""),120.61)</f>
        <v>120.61</v>
      </c>
    </row>
    <row r="292">
      <c r="A292" s="25">
        <v>45849.66666666667</v>
      </c>
      <c r="B292" s="17">
        <f>IFERROR(__xludf.DUMMYFUNCTION("""COMPUTED_VALUE"""),6280.46)</f>
        <v>6280.46</v>
      </c>
      <c r="C292" s="17">
        <f>IFERROR(__xludf.DUMMYFUNCTION("""COMPUTED_VALUE"""),20630.67)</f>
        <v>20630.67</v>
      </c>
      <c r="D292" s="17">
        <f>IFERROR(__xludf.DUMMYFUNCTION("""COMPUTED_VALUE"""),44650.64)</f>
        <v>44650.64</v>
      </c>
      <c r="E292" s="17">
        <f>IFERROR(__xludf.DUMMYFUNCTION("""COMPUTED_VALUE"""),2263.41)</f>
        <v>2263.41</v>
      </c>
      <c r="F292" s="26">
        <f>IFERROR(__xludf.DUMMYFUNCTION("""COMPUTED_VALUE"""),371.43)</f>
        <v>371.43</v>
      </c>
      <c r="G292" s="26">
        <f>IFERROR(__xludf.DUMMYFUNCTION("""COMPUTED_VALUE"""),222.26)</f>
        <v>222.26</v>
      </c>
      <c r="H292" s="26">
        <f>IFERROR(__xludf.DUMMYFUNCTION("""COMPUTED_VALUE"""),142.68)</f>
        <v>142.68</v>
      </c>
      <c r="I292" s="26">
        <f>IFERROR(__xludf.DUMMYFUNCTION("""COMPUTED_VALUE"""),212.41)</f>
        <v>212.41</v>
      </c>
      <c r="J292" s="26">
        <f>IFERROR(__xludf.DUMMYFUNCTION("""COMPUTED_VALUE"""),198.03)</f>
        <v>198.03</v>
      </c>
      <c r="K292" s="26">
        <f>IFERROR(__xludf.DUMMYFUNCTION("""COMPUTED_VALUE"""),93.66)</f>
        <v>93.66</v>
      </c>
      <c r="L292" s="26">
        <f>IFERROR(__xludf.DUMMYFUNCTION("""COMPUTED_VALUE"""),18.81)</f>
        <v>18.81</v>
      </c>
      <c r="M292" s="26">
        <f>IFERROR(__xludf.DUMMYFUNCTION("""COMPUTED_VALUE"""),478.27)</f>
        <v>478.27</v>
      </c>
      <c r="N292" s="26">
        <f>IFERROR(__xludf.DUMMYFUNCTION("""COMPUTED_VALUE"""),51.51)</f>
        <v>51.51</v>
      </c>
      <c r="O292" s="26">
        <f>IFERROR(__xludf.DUMMYFUNCTION("""COMPUTED_VALUE"""),135.33)</f>
        <v>135.33</v>
      </c>
      <c r="P292" s="26">
        <f>IFERROR(__xludf.DUMMYFUNCTION("""COMPUTED_VALUE"""),76.77)</f>
        <v>76.77</v>
      </c>
      <c r="Q292" s="26">
        <f>IFERROR(__xludf.DUMMYFUNCTION("""COMPUTED_VALUE"""),408.33)</f>
        <v>408.33</v>
      </c>
      <c r="R292" s="26">
        <f>IFERROR(__xludf.DUMMYFUNCTION("""COMPUTED_VALUE"""),70.82)</f>
        <v>70.82</v>
      </c>
      <c r="S292" s="26">
        <f>IFERROR(__xludf.DUMMYFUNCTION("""COMPUTED_VALUE"""),221.26)</f>
        <v>221.26</v>
      </c>
      <c r="T292" s="26">
        <f>IFERROR(__xludf.DUMMYFUNCTION("""COMPUTED_VALUE"""),154.17)</f>
        <v>154.17</v>
      </c>
      <c r="U292" s="26">
        <f>IFERROR(__xludf.DUMMYFUNCTION("""COMPUTED_VALUE"""),308.78)</f>
        <v>308.78</v>
      </c>
      <c r="V292" s="26">
        <f>IFERROR(__xludf.DUMMYFUNCTION("""COMPUTED_VALUE"""),47.9)</f>
        <v>47.9</v>
      </c>
      <c r="W292" s="26">
        <f>IFERROR(__xludf.DUMMYFUNCTION("""COMPUTED_VALUE"""),69.77)</f>
        <v>69.77</v>
      </c>
      <c r="X292" s="26">
        <f>IFERROR(__xludf.DUMMYFUNCTION("""COMPUTED_VALUE"""),101.07)</f>
        <v>101.07</v>
      </c>
      <c r="Y292" s="26">
        <f>IFERROR(__xludf.DUMMYFUNCTION("""COMPUTED_VALUE"""),170.48)</f>
        <v>170.48</v>
      </c>
      <c r="Z292" s="26">
        <f>IFERROR(__xludf.DUMMYFUNCTION("""COMPUTED_VALUE"""),108.37)</f>
        <v>108.37</v>
      </c>
      <c r="AA292" s="26">
        <f>IFERROR(__xludf.DUMMYFUNCTION("""COMPUTED_VALUE"""),469.92)</f>
        <v>469.92</v>
      </c>
      <c r="AB292" s="26">
        <f>IFERROR(__xludf.DUMMYFUNCTION("""COMPUTED_VALUE"""),77.22)</f>
        <v>77.22</v>
      </c>
      <c r="AC292" s="26">
        <f>IFERROR(__xludf.DUMMYFUNCTION("""COMPUTED_VALUE"""),114.93)</f>
        <v>114.93</v>
      </c>
      <c r="AD292" s="26">
        <f>IFERROR(__xludf.DUMMYFUNCTION("""COMPUTED_VALUE"""),238.73)</f>
        <v>238.73</v>
      </c>
      <c r="AE292" s="26">
        <f>IFERROR(__xludf.DUMMYFUNCTION("""COMPUTED_VALUE"""),497.94)</f>
        <v>497.94</v>
      </c>
      <c r="AF292" s="26">
        <f>IFERROR(__xludf.DUMMYFUNCTION("""COMPUTED_VALUE"""),303.38)</f>
        <v>303.38</v>
      </c>
      <c r="AG292" s="26">
        <f>IFERROR(__xludf.DUMMYFUNCTION("""COMPUTED_VALUE"""),53.15)</f>
        <v>53.15</v>
      </c>
      <c r="AH292" s="26">
        <f>IFERROR(__xludf.DUMMYFUNCTION("""COMPUTED_VALUE"""),114.54)</f>
        <v>114.54</v>
      </c>
      <c r="AI292" s="26">
        <f>IFERROR(__xludf.DUMMYFUNCTION("""COMPUTED_VALUE"""),709.12)</f>
        <v>709.12</v>
      </c>
      <c r="AJ292" s="26">
        <f>IFERROR(__xludf.DUMMYFUNCTION("""COMPUTED_VALUE"""),373.3)</f>
        <v>373.3</v>
      </c>
      <c r="AK292" s="26">
        <f>IFERROR(__xludf.DUMMYFUNCTION("""COMPUTED_VALUE"""),135.16)</f>
        <v>135.16</v>
      </c>
      <c r="AL292" s="26">
        <f>IFERROR(__xludf.DUMMYFUNCTION("""COMPUTED_VALUE"""),181.82)</f>
        <v>181.82</v>
      </c>
      <c r="AM292" s="26">
        <f>IFERROR(__xludf.DUMMYFUNCTION("""COMPUTED_VALUE"""),526.05)</f>
        <v>526.05</v>
      </c>
      <c r="AN292" s="26">
        <f>IFERROR(__xludf.DUMMYFUNCTION("""COMPUTED_VALUE"""),288.19)</f>
        <v>288.19</v>
      </c>
      <c r="AO292" s="26">
        <f>IFERROR(__xludf.DUMMYFUNCTION("""COMPUTED_VALUE"""),464.31)</f>
        <v>464.31</v>
      </c>
      <c r="AP292" s="26">
        <f>IFERROR(__xludf.DUMMYFUNCTION("""COMPUTED_VALUE"""),238.52)</f>
        <v>238.52</v>
      </c>
      <c r="AQ292" s="26">
        <f>IFERROR(__xludf.DUMMYFUNCTION("""COMPUTED_VALUE"""),30.72)</f>
        <v>30.72</v>
      </c>
      <c r="AR292" s="26">
        <f>IFERROR(__xludf.DUMMYFUNCTION("""COMPUTED_VALUE"""),89.4)</f>
        <v>89.4</v>
      </c>
      <c r="AS292" s="26">
        <f>IFERROR(__xludf.DUMMYFUNCTION("""COMPUTED_VALUE"""),78.37)</f>
        <v>78.37</v>
      </c>
      <c r="AT292" s="26">
        <f>IFERROR(__xludf.DUMMYFUNCTION("""COMPUTED_VALUE"""),501.48)</f>
        <v>501.48</v>
      </c>
      <c r="AU292" s="26">
        <f>IFERROR(__xludf.DUMMYFUNCTION("""COMPUTED_VALUE"""),74.64)</f>
        <v>74.64</v>
      </c>
      <c r="AV292" s="26">
        <f>IFERROR(__xludf.DUMMYFUNCTION("""COMPUTED_VALUE"""),164.1)</f>
        <v>164.1</v>
      </c>
      <c r="AW292" s="26">
        <f>IFERROR(__xludf.DUMMYFUNCTION("""COMPUTED_VALUE"""),99.96)</f>
        <v>99.96</v>
      </c>
      <c r="AX292" s="26">
        <f>IFERROR(__xludf.DUMMYFUNCTION("""COMPUTED_VALUE"""),53.31)</f>
        <v>53.31</v>
      </c>
      <c r="AY292" s="26">
        <f>IFERROR(__xludf.DUMMYFUNCTION("""COMPUTED_VALUE"""),142.5)</f>
        <v>142.5</v>
      </c>
      <c r="AZ292" s="26">
        <f>IFERROR(__xludf.DUMMYFUNCTION("""COMPUTED_VALUE"""),75.7)</f>
        <v>75.7</v>
      </c>
      <c r="BA292" s="26">
        <f>IFERROR(__xludf.DUMMYFUNCTION("""COMPUTED_VALUE"""),25.78)</f>
        <v>25.78</v>
      </c>
      <c r="BB292" s="26">
        <f>IFERROR(__xludf.DUMMYFUNCTION("""COMPUTED_VALUE"""),146.4)</f>
        <v>146.4</v>
      </c>
      <c r="BC292" s="26">
        <f>IFERROR(__xludf.DUMMYFUNCTION("""COMPUTED_VALUE"""),228.15)</f>
        <v>228.15</v>
      </c>
      <c r="BD292" s="26">
        <f>IFERROR(__xludf.DUMMYFUNCTION("""COMPUTED_VALUE"""),430.73)</f>
        <v>430.73</v>
      </c>
      <c r="BE292" s="26">
        <f>IFERROR(__xludf.DUMMYFUNCTION("""COMPUTED_VALUE"""),170.39)</f>
        <v>170.39</v>
      </c>
      <c r="BF292" s="26">
        <f>IFERROR(__xludf.DUMMYFUNCTION("""COMPUTED_VALUE"""),124.78)</f>
        <v>124.78</v>
      </c>
      <c r="BG292" s="26">
        <f>IFERROR(__xludf.DUMMYFUNCTION("""COMPUTED_VALUE"""),7.08)</f>
        <v>7.08</v>
      </c>
      <c r="BH292" s="26">
        <f>IFERROR(__xludf.DUMMYFUNCTION("""COMPUTED_VALUE"""),237.0)</f>
        <v>237</v>
      </c>
      <c r="BI292" s="26">
        <f>IFERROR(__xludf.DUMMYFUNCTION("""COMPUTED_VALUE"""),299.51)</f>
        <v>299.51</v>
      </c>
      <c r="BJ292" s="26">
        <f>IFERROR(__xludf.DUMMYFUNCTION("""COMPUTED_VALUE"""),49.88)</f>
        <v>49.88</v>
      </c>
      <c r="BK292" s="26">
        <f>IFERROR(__xludf.DUMMYFUNCTION("""COMPUTED_VALUE"""),9.25)</f>
        <v>9.25</v>
      </c>
      <c r="BL292" s="26">
        <f>IFERROR(__xludf.DUMMYFUNCTION("""COMPUTED_VALUE"""),225.65)</f>
        <v>225.65</v>
      </c>
      <c r="BM292" s="26">
        <f>IFERROR(__xludf.DUMMYFUNCTION("""COMPUTED_VALUE"""),121.56)</f>
        <v>121.56</v>
      </c>
    </row>
    <row r="293">
      <c r="A293" s="25">
        <v>45852.66666666667</v>
      </c>
      <c r="B293" s="17">
        <f>IFERROR(__xludf.DUMMYFUNCTION("""COMPUTED_VALUE"""),6259.75)</f>
        <v>6259.75</v>
      </c>
      <c r="C293" s="17">
        <f>IFERROR(__xludf.DUMMYFUNCTION("""COMPUTED_VALUE"""),20585.53)</f>
        <v>20585.53</v>
      </c>
      <c r="D293" s="17">
        <f>IFERROR(__xludf.DUMMYFUNCTION("""COMPUTED_VALUE"""),44371.51)</f>
        <v>44371.51</v>
      </c>
      <c r="E293" s="17">
        <f>IFERROR(__xludf.DUMMYFUNCTION("""COMPUTED_VALUE"""),2234.83)</f>
        <v>2234.83</v>
      </c>
      <c r="F293" s="26">
        <f>IFERROR(__xludf.DUMMYFUNCTION("""COMPUTED_VALUE"""),363.35)</f>
        <v>363.35</v>
      </c>
      <c r="G293" s="26">
        <f>IFERROR(__xludf.DUMMYFUNCTION("""COMPUTED_VALUE"""),225.02)</f>
        <v>225.02</v>
      </c>
      <c r="H293" s="26">
        <f>IFERROR(__xludf.DUMMYFUNCTION("""COMPUTED_VALUE"""),142.29)</f>
        <v>142.29</v>
      </c>
      <c r="I293" s="26">
        <f>IFERROR(__xludf.DUMMYFUNCTION("""COMPUTED_VALUE"""),211.16)</f>
        <v>211.16</v>
      </c>
      <c r="J293" s="26">
        <f>IFERROR(__xludf.DUMMYFUNCTION("""COMPUTED_VALUE"""),197.93)</f>
        <v>197.93</v>
      </c>
      <c r="K293" s="26">
        <f>IFERROR(__xludf.DUMMYFUNCTION("""COMPUTED_VALUE"""),93.72)</f>
        <v>93.72</v>
      </c>
      <c r="L293" s="26">
        <f>IFERROR(__xludf.DUMMYFUNCTION("""COMPUTED_VALUE"""),18.4)</f>
        <v>18.4</v>
      </c>
      <c r="M293" s="26">
        <f>IFERROR(__xludf.DUMMYFUNCTION("""COMPUTED_VALUE"""),475.86)</f>
        <v>475.86</v>
      </c>
      <c r="N293" s="26">
        <f>IFERROR(__xludf.DUMMYFUNCTION("""COMPUTED_VALUE"""),52.08)</f>
        <v>52.08</v>
      </c>
      <c r="O293" s="26">
        <f>IFERROR(__xludf.DUMMYFUNCTION("""COMPUTED_VALUE"""),134.21)</f>
        <v>134.21</v>
      </c>
      <c r="P293" s="26">
        <f>IFERROR(__xludf.DUMMYFUNCTION("""COMPUTED_VALUE"""),76.62)</f>
        <v>76.62</v>
      </c>
      <c r="Q293" s="26">
        <f>IFERROR(__xludf.DUMMYFUNCTION("""COMPUTED_VALUE"""),405.92)</f>
        <v>405.92</v>
      </c>
      <c r="R293" s="26">
        <f>IFERROR(__xludf.DUMMYFUNCTION("""COMPUTED_VALUE"""),72.7)</f>
        <v>72.7</v>
      </c>
      <c r="S293" s="26">
        <f>IFERROR(__xludf.DUMMYFUNCTION("""COMPUTED_VALUE"""),215.5)</f>
        <v>215.5</v>
      </c>
      <c r="T293" s="26">
        <f>IFERROR(__xludf.DUMMYFUNCTION("""COMPUTED_VALUE"""),155.31)</f>
        <v>155.31</v>
      </c>
      <c r="U293" s="26">
        <f>IFERROR(__xludf.DUMMYFUNCTION("""COMPUTED_VALUE"""),303.27)</f>
        <v>303.27</v>
      </c>
      <c r="V293" s="26">
        <f>IFERROR(__xludf.DUMMYFUNCTION("""COMPUTED_VALUE"""),47.67)</f>
        <v>47.67</v>
      </c>
      <c r="W293" s="26">
        <f>IFERROR(__xludf.DUMMYFUNCTION("""COMPUTED_VALUE"""),69.87)</f>
        <v>69.87</v>
      </c>
      <c r="X293" s="26">
        <f>IFERROR(__xludf.DUMMYFUNCTION("""COMPUTED_VALUE"""),100.59)</f>
        <v>100.59</v>
      </c>
      <c r="Y293" s="26">
        <f>IFERROR(__xludf.DUMMYFUNCTION("""COMPUTED_VALUE"""),168.47)</f>
        <v>168.47</v>
      </c>
      <c r="Z293" s="26">
        <f>IFERROR(__xludf.DUMMYFUNCTION("""COMPUTED_VALUE"""),109.36)</f>
        <v>109.36</v>
      </c>
      <c r="AA293" s="26">
        <f>IFERROR(__xludf.DUMMYFUNCTION("""COMPUTED_VALUE"""),464.48)</f>
        <v>464.48</v>
      </c>
      <c r="AB293" s="26">
        <f>IFERROR(__xludf.DUMMYFUNCTION("""COMPUTED_VALUE"""),77.11)</f>
        <v>77.11</v>
      </c>
      <c r="AC293" s="26">
        <f>IFERROR(__xludf.DUMMYFUNCTION("""COMPUTED_VALUE"""),115.43)</f>
        <v>115.43</v>
      </c>
      <c r="AD293" s="26">
        <f>IFERROR(__xludf.DUMMYFUNCTION("""COMPUTED_VALUE"""),236.06)</f>
        <v>236.06</v>
      </c>
      <c r="AE293" s="26">
        <f>IFERROR(__xludf.DUMMYFUNCTION("""COMPUTED_VALUE"""),490.66)</f>
        <v>490.66</v>
      </c>
      <c r="AF293" s="26">
        <f>IFERROR(__xludf.DUMMYFUNCTION("""COMPUTED_VALUE"""),302.2)</f>
        <v>302.2</v>
      </c>
      <c r="AG293" s="26">
        <f>IFERROR(__xludf.DUMMYFUNCTION("""COMPUTED_VALUE"""),53.39)</f>
        <v>53.39</v>
      </c>
      <c r="AH293" s="26">
        <f>IFERROR(__xludf.DUMMYFUNCTION("""COMPUTED_VALUE"""),109.64)</f>
        <v>109.64</v>
      </c>
      <c r="AI293" s="26">
        <f>IFERROR(__xludf.DUMMYFUNCTION("""COMPUTED_VALUE"""),704.95)</f>
        <v>704.95</v>
      </c>
      <c r="AJ293" s="26">
        <f>IFERROR(__xludf.DUMMYFUNCTION("""COMPUTED_VALUE"""),370.07)</f>
        <v>370.07</v>
      </c>
      <c r="AK293" s="26">
        <f>IFERROR(__xludf.DUMMYFUNCTION("""COMPUTED_VALUE"""),132.5)</f>
        <v>132.5</v>
      </c>
      <c r="AL293" s="26">
        <f>IFERROR(__xludf.DUMMYFUNCTION("""COMPUTED_VALUE"""),180.51)</f>
        <v>180.51</v>
      </c>
      <c r="AM293" s="26">
        <f>IFERROR(__xludf.DUMMYFUNCTION("""COMPUTED_VALUE"""),512.06)</f>
        <v>512.06</v>
      </c>
      <c r="AN293" s="26">
        <f>IFERROR(__xludf.DUMMYFUNCTION("""COMPUTED_VALUE"""),286.86)</f>
        <v>286.86</v>
      </c>
      <c r="AO293" s="26">
        <f>IFERROR(__xludf.DUMMYFUNCTION("""COMPUTED_VALUE"""),467.51)</f>
        <v>467.51</v>
      </c>
      <c r="AP293" s="26">
        <f>IFERROR(__xludf.DUMMYFUNCTION("""COMPUTED_VALUE"""),236.51)</f>
        <v>236.51</v>
      </c>
      <c r="AQ293" s="26">
        <f>IFERROR(__xludf.DUMMYFUNCTION("""COMPUTED_VALUE"""),30.48)</f>
        <v>30.48</v>
      </c>
      <c r="AR293" s="26">
        <f>IFERROR(__xludf.DUMMYFUNCTION("""COMPUTED_VALUE"""),89.92)</f>
        <v>89.92</v>
      </c>
      <c r="AS293" s="26">
        <f>IFERROR(__xludf.DUMMYFUNCTION("""COMPUTED_VALUE"""),77.7)</f>
        <v>77.7</v>
      </c>
      <c r="AT293" s="26">
        <f>IFERROR(__xludf.DUMMYFUNCTION("""COMPUTED_VALUE"""),503.32)</f>
        <v>503.32</v>
      </c>
      <c r="AU293" s="26">
        <f>IFERROR(__xludf.DUMMYFUNCTION("""COMPUTED_VALUE"""),74.4)</f>
        <v>74.4</v>
      </c>
      <c r="AV293" s="26">
        <f>IFERROR(__xludf.DUMMYFUNCTION("""COMPUTED_VALUE"""),164.92)</f>
        <v>164.92</v>
      </c>
      <c r="AW293" s="26">
        <f>IFERROR(__xludf.DUMMYFUNCTION("""COMPUTED_VALUE"""),99.49)</f>
        <v>99.49</v>
      </c>
      <c r="AX293" s="26">
        <f>IFERROR(__xludf.DUMMYFUNCTION("""COMPUTED_VALUE"""),52.44)</f>
        <v>52.44</v>
      </c>
      <c r="AY293" s="26">
        <f>IFERROR(__xludf.DUMMYFUNCTION("""COMPUTED_VALUE"""),142.1)</f>
        <v>142.1</v>
      </c>
      <c r="AZ293" s="26">
        <f>IFERROR(__xludf.DUMMYFUNCTION("""COMPUTED_VALUE"""),71.36)</f>
        <v>71.36</v>
      </c>
      <c r="BA293" s="26">
        <f>IFERROR(__xludf.DUMMYFUNCTION("""COMPUTED_VALUE"""),25.65)</f>
        <v>25.65</v>
      </c>
      <c r="BB293" s="26">
        <f>IFERROR(__xludf.DUMMYFUNCTION("""COMPUTED_VALUE"""),146.87)</f>
        <v>146.87</v>
      </c>
      <c r="BC293" s="26">
        <f>IFERROR(__xludf.DUMMYFUNCTION("""COMPUTED_VALUE"""),227.76)</f>
        <v>227.76</v>
      </c>
      <c r="BD293" s="26">
        <f>IFERROR(__xludf.DUMMYFUNCTION("""COMPUTED_VALUE"""),434.86)</f>
        <v>434.86</v>
      </c>
      <c r="BE293" s="26">
        <f>IFERROR(__xludf.DUMMYFUNCTION("""COMPUTED_VALUE"""),170.26)</f>
        <v>170.26</v>
      </c>
      <c r="BF293" s="26">
        <f>IFERROR(__xludf.DUMMYFUNCTION("""COMPUTED_VALUE"""),112.46)</f>
        <v>112.46</v>
      </c>
      <c r="BG293" s="26">
        <f>IFERROR(__xludf.DUMMYFUNCTION("""COMPUTED_VALUE"""),6.85)</f>
        <v>6.85</v>
      </c>
      <c r="BH293" s="26">
        <f>IFERROR(__xludf.DUMMYFUNCTION("""COMPUTED_VALUE"""),235.1)</f>
        <v>235.1</v>
      </c>
      <c r="BI293" s="26">
        <f>IFERROR(__xludf.DUMMYFUNCTION("""COMPUTED_VALUE"""),304.1)</f>
        <v>304.1</v>
      </c>
      <c r="BJ293" s="26">
        <f>IFERROR(__xludf.DUMMYFUNCTION("""COMPUTED_VALUE"""),49.92)</f>
        <v>49.92</v>
      </c>
      <c r="BK293" s="26">
        <f>IFERROR(__xludf.DUMMYFUNCTION("""COMPUTED_VALUE"""),9.12)</f>
        <v>9.12</v>
      </c>
      <c r="BL293" s="26">
        <f>IFERROR(__xludf.DUMMYFUNCTION("""COMPUTED_VALUE"""),226.01)</f>
        <v>226.01</v>
      </c>
      <c r="BM293" s="26">
        <f>IFERROR(__xludf.DUMMYFUNCTION("""COMPUTED_VALUE"""),119.87)</f>
        <v>119.87</v>
      </c>
    </row>
    <row r="294">
      <c r="A294" s="25">
        <v>45853.66666666667</v>
      </c>
      <c r="B294" s="17">
        <f>IFERROR(__xludf.DUMMYFUNCTION("""COMPUTED_VALUE"""),6268.56)</f>
        <v>6268.56</v>
      </c>
      <c r="C294" s="17">
        <f>IFERROR(__xludf.DUMMYFUNCTION("""COMPUTED_VALUE"""),20640.33)</f>
        <v>20640.33</v>
      </c>
      <c r="D294" s="17">
        <f>IFERROR(__xludf.DUMMYFUNCTION("""COMPUTED_VALUE"""),44459.65)</f>
        <v>44459.65</v>
      </c>
      <c r="E294" s="17">
        <f>IFERROR(__xludf.DUMMYFUNCTION("""COMPUTED_VALUE"""),2249.73)</f>
        <v>2249.73</v>
      </c>
      <c r="F294" s="26">
        <f>IFERROR(__xludf.DUMMYFUNCTION("""COMPUTED_VALUE"""),366.99)</f>
        <v>366.99</v>
      </c>
      <c r="G294" s="26">
        <f>IFERROR(__xludf.DUMMYFUNCTION("""COMPUTED_VALUE"""),225.69)</f>
        <v>225.69</v>
      </c>
      <c r="H294" s="26">
        <f>IFERROR(__xludf.DUMMYFUNCTION("""COMPUTED_VALUE"""),143.35)</f>
        <v>143.35</v>
      </c>
      <c r="I294" s="26">
        <f>IFERROR(__xludf.DUMMYFUNCTION("""COMPUTED_VALUE"""),208.62)</f>
        <v>208.62</v>
      </c>
      <c r="J294" s="26">
        <f>IFERROR(__xludf.DUMMYFUNCTION("""COMPUTED_VALUE"""),197.1)</f>
        <v>197.1</v>
      </c>
      <c r="K294" s="26">
        <f>IFERROR(__xludf.DUMMYFUNCTION("""COMPUTED_VALUE"""),95.25)</f>
        <v>95.25</v>
      </c>
      <c r="L294" s="26">
        <f>IFERROR(__xludf.DUMMYFUNCTION("""COMPUTED_VALUE"""),18.64)</f>
        <v>18.64</v>
      </c>
      <c r="M294" s="26">
        <f>IFERROR(__xludf.DUMMYFUNCTION("""COMPUTED_VALUE"""),476.31)</f>
        <v>476.31</v>
      </c>
      <c r="N294" s="26">
        <f>IFERROR(__xludf.DUMMYFUNCTION("""COMPUTED_VALUE"""),51.92)</f>
        <v>51.92</v>
      </c>
      <c r="O294" s="26">
        <f>IFERROR(__xludf.DUMMYFUNCTION("""COMPUTED_VALUE"""),133.11)</f>
        <v>133.11</v>
      </c>
      <c r="P294" s="26">
        <f>IFERROR(__xludf.DUMMYFUNCTION("""COMPUTED_VALUE"""),76.61)</f>
        <v>76.61</v>
      </c>
      <c r="Q294" s="26">
        <f>IFERROR(__xludf.DUMMYFUNCTION("""COMPUTED_VALUE"""),405.77)</f>
        <v>405.77</v>
      </c>
      <c r="R294" s="26">
        <f>IFERROR(__xludf.DUMMYFUNCTION("""COMPUTED_VALUE"""),75.14)</f>
        <v>75.14</v>
      </c>
      <c r="S294" s="26">
        <f>IFERROR(__xludf.DUMMYFUNCTION("""COMPUTED_VALUE"""),220.68)</f>
        <v>220.68</v>
      </c>
      <c r="T294" s="26">
        <f>IFERROR(__xludf.DUMMYFUNCTION("""COMPUTED_VALUE"""),151.65)</f>
        <v>151.65</v>
      </c>
      <c r="U294" s="26">
        <f>IFERROR(__xludf.DUMMYFUNCTION("""COMPUTED_VALUE"""),303.06)</f>
        <v>303.06</v>
      </c>
      <c r="V294" s="26">
        <f>IFERROR(__xludf.DUMMYFUNCTION("""COMPUTED_VALUE"""),47.88)</f>
        <v>47.88</v>
      </c>
      <c r="W294" s="26">
        <f>IFERROR(__xludf.DUMMYFUNCTION("""COMPUTED_VALUE"""),69.47)</f>
        <v>69.47</v>
      </c>
      <c r="X294" s="26">
        <f>IFERROR(__xludf.DUMMYFUNCTION("""COMPUTED_VALUE"""),101.01)</f>
        <v>101.01</v>
      </c>
      <c r="Y294" s="26">
        <f>IFERROR(__xludf.DUMMYFUNCTION("""COMPUTED_VALUE"""),170.93)</f>
        <v>170.93</v>
      </c>
      <c r="Z294" s="26">
        <f>IFERROR(__xludf.DUMMYFUNCTION("""COMPUTED_VALUE"""),108.63)</f>
        <v>108.63</v>
      </c>
      <c r="AA294" s="26">
        <f>IFERROR(__xludf.DUMMYFUNCTION("""COMPUTED_VALUE"""),472.94)</f>
        <v>472.94</v>
      </c>
      <c r="AB294" s="26">
        <f>IFERROR(__xludf.DUMMYFUNCTION("""COMPUTED_VALUE"""),77.63)</f>
        <v>77.63</v>
      </c>
      <c r="AC294" s="26">
        <f>IFERROR(__xludf.DUMMYFUNCTION("""COMPUTED_VALUE"""),113.92)</f>
        <v>113.92</v>
      </c>
      <c r="AD294" s="26">
        <f>IFERROR(__xludf.DUMMYFUNCTION("""COMPUTED_VALUE"""),233.98)</f>
        <v>233.98</v>
      </c>
      <c r="AE294" s="26">
        <f>IFERROR(__xludf.DUMMYFUNCTION("""COMPUTED_VALUE"""),488.29)</f>
        <v>488.29</v>
      </c>
      <c r="AF294" s="26">
        <f>IFERROR(__xludf.DUMMYFUNCTION("""COMPUTED_VALUE"""),304.85)</f>
        <v>304.85</v>
      </c>
      <c r="AG294" s="26">
        <f>IFERROR(__xludf.DUMMYFUNCTION("""COMPUTED_VALUE"""),53.33)</f>
        <v>53.33</v>
      </c>
      <c r="AH294" s="26">
        <f>IFERROR(__xludf.DUMMYFUNCTION("""COMPUTED_VALUE"""),112.09)</f>
        <v>112.09</v>
      </c>
      <c r="AI294" s="26">
        <f>IFERROR(__xludf.DUMMYFUNCTION("""COMPUTED_VALUE"""),713.3)</f>
        <v>713.3</v>
      </c>
      <c r="AJ294" s="26">
        <f>IFERROR(__xludf.DUMMYFUNCTION("""COMPUTED_VALUE"""),370.11)</f>
        <v>370.11</v>
      </c>
      <c r="AK294" s="26">
        <f>IFERROR(__xludf.DUMMYFUNCTION("""COMPUTED_VALUE"""),133.54)</f>
        <v>133.54</v>
      </c>
      <c r="AL294" s="26">
        <f>IFERROR(__xludf.DUMMYFUNCTION("""COMPUTED_VALUE"""),181.82)</f>
        <v>181.82</v>
      </c>
      <c r="AM294" s="26">
        <f>IFERROR(__xludf.DUMMYFUNCTION("""COMPUTED_VALUE"""),516.44)</f>
        <v>516.44</v>
      </c>
      <c r="AN294" s="26">
        <f>IFERROR(__xludf.DUMMYFUNCTION("""COMPUTED_VALUE"""),288.7)</f>
        <v>288.7</v>
      </c>
      <c r="AO294" s="26">
        <f>IFERROR(__xludf.DUMMYFUNCTION("""COMPUTED_VALUE"""),473.57)</f>
        <v>473.57</v>
      </c>
      <c r="AP294" s="26">
        <f>IFERROR(__xludf.DUMMYFUNCTION("""COMPUTED_VALUE"""),228.89)</f>
        <v>228.89</v>
      </c>
      <c r="AQ294" s="26">
        <f>IFERROR(__xludf.DUMMYFUNCTION("""COMPUTED_VALUE"""),30.48)</f>
        <v>30.48</v>
      </c>
      <c r="AR294" s="26">
        <f>IFERROR(__xludf.DUMMYFUNCTION("""COMPUTED_VALUE"""),89.73)</f>
        <v>89.73</v>
      </c>
      <c r="AS294" s="26">
        <f>IFERROR(__xludf.DUMMYFUNCTION("""COMPUTED_VALUE"""),77.9)</f>
        <v>77.9</v>
      </c>
      <c r="AT294" s="26">
        <f>IFERROR(__xludf.DUMMYFUNCTION("""COMPUTED_VALUE"""),503.02)</f>
        <v>503.02</v>
      </c>
      <c r="AU294" s="26">
        <f>IFERROR(__xludf.DUMMYFUNCTION("""COMPUTED_VALUE"""),75.04)</f>
        <v>75.04</v>
      </c>
      <c r="AV294" s="26">
        <f>IFERROR(__xludf.DUMMYFUNCTION("""COMPUTED_VALUE"""),164.07)</f>
        <v>164.07</v>
      </c>
      <c r="AW294" s="26">
        <f>IFERROR(__xludf.DUMMYFUNCTION("""COMPUTED_VALUE"""),100.04)</f>
        <v>100.04</v>
      </c>
      <c r="AX294" s="26">
        <f>IFERROR(__xludf.DUMMYFUNCTION("""COMPUTED_VALUE"""),53.26)</f>
        <v>53.26</v>
      </c>
      <c r="AY294" s="26">
        <f>IFERROR(__xludf.DUMMYFUNCTION("""COMPUTED_VALUE"""),149.15)</f>
        <v>149.15</v>
      </c>
      <c r="AZ294" s="26">
        <f>IFERROR(__xludf.DUMMYFUNCTION("""COMPUTED_VALUE"""),73.89)</f>
        <v>73.89</v>
      </c>
      <c r="BA294" s="26">
        <f>IFERROR(__xludf.DUMMYFUNCTION("""COMPUTED_VALUE"""),25.35)</f>
        <v>25.35</v>
      </c>
      <c r="BB294" s="26">
        <f>IFERROR(__xludf.DUMMYFUNCTION("""COMPUTED_VALUE"""),149.28)</f>
        <v>149.28</v>
      </c>
      <c r="BC294" s="26">
        <f>IFERROR(__xludf.DUMMYFUNCTION("""COMPUTED_VALUE"""),228.15)</f>
        <v>228.15</v>
      </c>
      <c r="BD294" s="26">
        <f>IFERROR(__xludf.DUMMYFUNCTION("""COMPUTED_VALUE"""),425.34)</f>
        <v>425.34</v>
      </c>
      <c r="BE294" s="26">
        <f>IFERROR(__xludf.DUMMYFUNCTION("""COMPUTED_VALUE"""),172.14)</f>
        <v>172.14</v>
      </c>
      <c r="BF294" s="26">
        <f>IFERROR(__xludf.DUMMYFUNCTION("""COMPUTED_VALUE"""),116.88)</f>
        <v>116.88</v>
      </c>
      <c r="BG294" s="26">
        <f>IFERROR(__xludf.DUMMYFUNCTION("""COMPUTED_VALUE"""),6.99)</f>
        <v>6.99</v>
      </c>
      <c r="BH294" s="26">
        <f>IFERROR(__xludf.DUMMYFUNCTION("""COMPUTED_VALUE"""),233.31)</f>
        <v>233.31</v>
      </c>
      <c r="BI294" s="26">
        <f>IFERROR(__xludf.DUMMYFUNCTION("""COMPUTED_VALUE"""),300.58)</f>
        <v>300.58</v>
      </c>
      <c r="BJ294" s="26">
        <f>IFERROR(__xludf.DUMMYFUNCTION("""COMPUTED_VALUE"""),49.94)</f>
        <v>49.94</v>
      </c>
      <c r="BK294" s="26">
        <f>IFERROR(__xludf.DUMMYFUNCTION("""COMPUTED_VALUE"""),9.14)</f>
        <v>9.14</v>
      </c>
      <c r="BL294" s="26">
        <f>IFERROR(__xludf.DUMMYFUNCTION("""COMPUTED_VALUE"""),229.3)</f>
        <v>229.3</v>
      </c>
      <c r="BM294" s="26">
        <f>IFERROR(__xludf.DUMMYFUNCTION("""COMPUTED_VALUE"""),119.97)</f>
        <v>119.97</v>
      </c>
    </row>
    <row r="295">
      <c r="A295" s="25">
        <v>45854.66666666667</v>
      </c>
      <c r="B295" s="17">
        <f>IFERROR(__xludf.DUMMYFUNCTION("""COMPUTED_VALUE"""),6243.76)</f>
        <v>6243.76</v>
      </c>
      <c r="C295" s="17">
        <f>IFERROR(__xludf.DUMMYFUNCTION("""COMPUTED_VALUE"""),20677.8)</f>
        <v>20677.8</v>
      </c>
      <c r="D295" s="17">
        <f>IFERROR(__xludf.DUMMYFUNCTION("""COMPUTED_VALUE"""),44023.29)</f>
        <v>44023.29</v>
      </c>
      <c r="E295" s="17">
        <f>IFERROR(__xludf.DUMMYFUNCTION("""COMPUTED_VALUE"""),2205.05)</f>
        <v>2205.05</v>
      </c>
      <c r="F295" s="26">
        <f>IFERROR(__xludf.DUMMYFUNCTION("""COMPUTED_VALUE"""),364.18)</f>
        <v>364.18</v>
      </c>
      <c r="G295" s="26">
        <f>IFERROR(__xludf.DUMMYFUNCTION("""COMPUTED_VALUE"""),226.35)</f>
        <v>226.35</v>
      </c>
      <c r="H295" s="26">
        <f>IFERROR(__xludf.DUMMYFUNCTION("""COMPUTED_VALUE"""),140.83)</f>
        <v>140.83</v>
      </c>
      <c r="I295" s="26">
        <f>IFERROR(__xludf.DUMMYFUNCTION("""COMPUTED_VALUE"""),209.11)</f>
        <v>209.11</v>
      </c>
      <c r="J295" s="26">
        <f>IFERROR(__xludf.DUMMYFUNCTION("""COMPUTED_VALUE"""),199.29)</f>
        <v>199.29</v>
      </c>
      <c r="K295" s="26">
        <f>IFERROR(__xludf.DUMMYFUNCTION("""COMPUTED_VALUE"""),95.16)</f>
        <v>95.16</v>
      </c>
      <c r="L295" s="26">
        <f>IFERROR(__xludf.DUMMYFUNCTION("""COMPUTED_VALUE"""),18.48)</f>
        <v>18.48</v>
      </c>
      <c r="M295" s="26">
        <f>IFERROR(__xludf.DUMMYFUNCTION("""COMPUTED_VALUE"""),470.13)</f>
        <v>470.13</v>
      </c>
      <c r="N295" s="26">
        <f>IFERROR(__xludf.DUMMYFUNCTION("""COMPUTED_VALUE"""),50.37)</f>
        <v>50.37</v>
      </c>
      <c r="O295" s="26">
        <f>IFERROR(__xludf.DUMMYFUNCTION("""COMPUTED_VALUE"""),127.5)</f>
        <v>127.5</v>
      </c>
      <c r="P295" s="26">
        <f>IFERROR(__xludf.DUMMYFUNCTION("""COMPUTED_VALUE"""),75.38)</f>
        <v>75.38</v>
      </c>
      <c r="Q295" s="26">
        <f>IFERROR(__xludf.DUMMYFUNCTION("""COMPUTED_VALUE"""),404.64)</f>
        <v>404.64</v>
      </c>
      <c r="R295" s="26">
        <f>IFERROR(__xludf.DUMMYFUNCTION("""COMPUTED_VALUE"""),75.8)</f>
        <v>75.8</v>
      </c>
      <c r="S295" s="26">
        <f>IFERROR(__xludf.DUMMYFUNCTION("""COMPUTED_VALUE"""),218.78)</f>
        <v>218.78</v>
      </c>
      <c r="T295" s="26">
        <f>IFERROR(__xludf.DUMMYFUNCTION("""COMPUTED_VALUE"""),150.69)</f>
        <v>150.69</v>
      </c>
      <c r="U295" s="26">
        <f>IFERROR(__xludf.DUMMYFUNCTION("""COMPUTED_VALUE"""),302.44)</f>
        <v>302.44</v>
      </c>
      <c r="V295" s="26">
        <f>IFERROR(__xludf.DUMMYFUNCTION("""COMPUTED_VALUE"""),46.69)</f>
        <v>46.69</v>
      </c>
      <c r="W295" s="26">
        <f>IFERROR(__xludf.DUMMYFUNCTION("""COMPUTED_VALUE"""),69.36)</f>
        <v>69.36</v>
      </c>
      <c r="X295" s="26">
        <f>IFERROR(__xludf.DUMMYFUNCTION("""COMPUTED_VALUE"""),99.95)</f>
        <v>99.95</v>
      </c>
      <c r="Y295" s="26">
        <f>IFERROR(__xludf.DUMMYFUNCTION("""COMPUTED_VALUE"""),171.13)</f>
        <v>171.13</v>
      </c>
      <c r="Z295" s="26">
        <f>IFERROR(__xludf.DUMMYFUNCTION("""COMPUTED_VALUE"""),106.55)</f>
        <v>106.55</v>
      </c>
      <c r="AA295" s="26">
        <f>IFERROR(__xludf.DUMMYFUNCTION("""COMPUTED_VALUE"""),465.39)</f>
        <v>465.39</v>
      </c>
      <c r="AB295" s="26">
        <f>IFERROR(__xludf.DUMMYFUNCTION("""COMPUTED_VALUE"""),77.22)</f>
        <v>77.22</v>
      </c>
      <c r="AC295" s="26">
        <f>IFERROR(__xludf.DUMMYFUNCTION("""COMPUTED_VALUE"""),112.91)</f>
        <v>112.91</v>
      </c>
      <c r="AD295" s="26">
        <f>IFERROR(__xludf.DUMMYFUNCTION("""COMPUTED_VALUE"""),230.66)</f>
        <v>230.66</v>
      </c>
      <c r="AE295" s="26">
        <f>IFERROR(__xludf.DUMMYFUNCTION("""COMPUTED_VALUE"""),487.11)</f>
        <v>487.11</v>
      </c>
      <c r="AF295" s="26">
        <f>IFERROR(__xludf.DUMMYFUNCTION("""COMPUTED_VALUE"""),300.85)</f>
        <v>300.85</v>
      </c>
      <c r="AG295" s="26">
        <f>IFERROR(__xludf.DUMMYFUNCTION("""COMPUTED_VALUE"""),52.71)</f>
        <v>52.71</v>
      </c>
      <c r="AH295" s="26">
        <f>IFERROR(__xludf.DUMMYFUNCTION("""COMPUTED_VALUE"""),109.06)</f>
        <v>109.06</v>
      </c>
      <c r="AI295" s="26">
        <f>IFERROR(__xludf.DUMMYFUNCTION("""COMPUTED_VALUE"""),702.51)</f>
        <v>702.51</v>
      </c>
      <c r="AJ295" s="26">
        <f>IFERROR(__xludf.DUMMYFUNCTION("""COMPUTED_VALUE"""),358.64)</f>
        <v>358.64</v>
      </c>
      <c r="AK295" s="26">
        <f>IFERROR(__xludf.DUMMYFUNCTION("""COMPUTED_VALUE"""),132.18)</f>
        <v>132.18</v>
      </c>
      <c r="AL295" s="26">
        <f>IFERROR(__xludf.DUMMYFUNCTION("""COMPUTED_VALUE"""),179.79)</f>
        <v>179.79</v>
      </c>
      <c r="AM295" s="26">
        <f>IFERROR(__xludf.DUMMYFUNCTION("""COMPUTED_VALUE"""),512.23)</f>
        <v>512.23</v>
      </c>
      <c r="AN295" s="26">
        <f>IFERROR(__xludf.DUMMYFUNCTION("""COMPUTED_VALUE"""),286.55)</f>
        <v>286.55</v>
      </c>
      <c r="AO295" s="26">
        <f>IFERROR(__xludf.DUMMYFUNCTION("""COMPUTED_VALUE"""),470.12)</f>
        <v>470.12</v>
      </c>
      <c r="AP295" s="26">
        <f>IFERROR(__xludf.DUMMYFUNCTION("""COMPUTED_VALUE"""),222.19)</f>
        <v>222.19</v>
      </c>
      <c r="AQ295" s="26">
        <f>IFERROR(__xludf.DUMMYFUNCTION("""COMPUTED_VALUE"""),30.25)</f>
        <v>30.25</v>
      </c>
      <c r="AR295" s="26">
        <f>IFERROR(__xludf.DUMMYFUNCTION("""COMPUTED_VALUE"""),89.22)</f>
        <v>89.22</v>
      </c>
      <c r="AS295" s="26">
        <f>IFERROR(__xludf.DUMMYFUNCTION("""COMPUTED_VALUE"""),76.21)</f>
        <v>76.21</v>
      </c>
      <c r="AT295" s="26">
        <f>IFERROR(__xludf.DUMMYFUNCTION("""COMPUTED_VALUE"""),505.82)</f>
        <v>505.82</v>
      </c>
      <c r="AU295" s="26">
        <f>IFERROR(__xludf.DUMMYFUNCTION("""COMPUTED_VALUE"""),74.7)</f>
        <v>74.7</v>
      </c>
      <c r="AV295" s="26">
        <f>IFERROR(__xludf.DUMMYFUNCTION("""COMPUTED_VALUE"""),170.7)</f>
        <v>170.7</v>
      </c>
      <c r="AW295" s="26">
        <f>IFERROR(__xludf.DUMMYFUNCTION("""COMPUTED_VALUE"""),99.38)</f>
        <v>99.38</v>
      </c>
      <c r="AX295" s="26">
        <f>IFERROR(__xludf.DUMMYFUNCTION("""COMPUTED_VALUE"""),53.46)</f>
        <v>53.46</v>
      </c>
      <c r="AY295" s="26">
        <f>IFERROR(__xludf.DUMMYFUNCTION("""COMPUTED_VALUE"""),148.58)</f>
        <v>148.58</v>
      </c>
      <c r="AZ295" s="26">
        <f>IFERROR(__xludf.DUMMYFUNCTION("""COMPUTED_VALUE"""),72.96)</f>
        <v>72.96</v>
      </c>
      <c r="BA295" s="26">
        <f>IFERROR(__xludf.DUMMYFUNCTION("""COMPUTED_VALUE"""),24.61)</f>
        <v>24.61</v>
      </c>
      <c r="BB295" s="26">
        <f>IFERROR(__xludf.DUMMYFUNCTION("""COMPUTED_VALUE"""),148.68)</f>
        <v>148.68</v>
      </c>
      <c r="BC295" s="26">
        <f>IFERROR(__xludf.DUMMYFUNCTION("""COMPUTED_VALUE"""),226.02)</f>
        <v>226.02</v>
      </c>
      <c r="BD295" s="26">
        <f>IFERROR(__xludf.DUMMYFUNCTION("""COMPUTED_VALUE"""),417.99)</f>
        <v>417.99</v>
      </c>
      <c r="BE295" s="26">
        <f>IFERROR(__xludf.DUMMYFUNCTION("""COMPUTED_VALUE"""),170.02)</f>
        <v>170.02</v>
      </c>
      <c r="BF295" s="26">
        <f>IFERROR(__xludf.DUMMYFUNCTION("""COMPUTED_VALUE"""),115.68)</f>
        <v>115.68</v>
      </c>
      <c r="BG295" s="26">
        <f>IFERROR(__xludf.DUMMYFUNCTION("""COMPUTED_VALUE"""),6.83)</f>
        <v>6.83</v>
      </c>
      <c r="BH295" s="26">
        <f>IFERROR(__xludf.DUMMYFUNCTION("""COMPUTED_VALUE"""),231.14)</f>
        <v>231.14</v>
      </c>
      <c r="BI295" s="26">
        <f>IFERROR(__xludf.DUMMYFUNCTION("""COMPUTED_VALUE"""),291.71)</f>
        <v>291.71</v>
      </c>
      <c r="BJ295" s="26">
        <f>IFERROR(__xludf.DUMMYFUNCTION("""COMPUTED_VALUE"""),49.91)</f>
        <v>49.91</v>
      </c>
      <c r="BK295" s="26">
        <f>IFERROR(__xludf.DUMMYFUNCTION("""COMPUTED_VALUE"""),8.93)</f>
        <v>8.93</v>
      </c>
      <c r="BL295" s="26">
        <f>IFERROR(__xludf.DUMMYFUNCTION("""COMPUTED_VALUE"""),225.84)</f>
        <v>225.84</v>
      </c>
      <c r="BM295" s="26">
        <f>IFERROR(__xludf.DUMMYFUNCTION("""COMPUTED_VALUE"""),118.98)</f>
        <v>118.98</v>
      </c>
    </row>
    <row r="296">
      <c r="A296" s="25">
        <v>45855.66666666667</v>
      </c>
      <c r="B296" s="17">
        <f>IFERROR(__xludf.DUMMYFUNCTION("""COMPUTED_VALUE"""),6263.7)</f>
        <v>6263.7</v>
      </c>
      <c r="C296" s="17">
        <f>IFERROR(__xludf.DUMMYFUNCTION("""COMPUTED_VALUE"""),20730.49)</f>
        <v>20730.49</v>
      </c>
      <c r="D296" s="17">
        <f>IFERROR(__xludf.DUMMYFUNCTION("""COMPUTED_VALUE"""),44254.78)</f>
        <v>44254.78</v>
      </c>
      <c r="E296" s="17">
        <f>IFERROR(__xludf.DUMMYFUNCTION("""COMPUTED_VALUE"""),2226.98)</f>
        <v>2226.98</v>
      </c>
      <c r="F296" s="26">
        <f>IFERROR(__xludf.DUMMYFUNCTION("""COMPUTED_VALUE"""),361.77)</f>
        <v>361.77</v>
      </c>
      <c r="G296" s="26">
        <f>IFERROR(__xludf.DUMMYFUNCTION("""COMPUTED_VALUE"""),223.19)</f>
        <v>223.19</v>
      </c>
      <c r="H296" s="26">
        <f>IFERROR(__xludf.DUMMYFUNCTION("""COMPUTED_VALUE"""),141.72)</f>
        <v>141.72</v>
      </c>
      <c r="I296" s="26">
        <f>IFERROR(__xludf.DUMMYFUNCTION("""COMPUTED_VALUE"""),210.16)</f>
        <v>210.16</v>
      </c>
      <c r="J296" s="26">
        <f>IFERROR(__xludf.DUMMYFUNCTION("""COMPUTED_VALUE"""),194.81)</f>
        <v>194.81</v>
      </c>
      <c r="K296" s="26">
        <f>IFERROR(__xludf.DUMMYFUNCTION("""COMPUTED_VALUE"""),95.49)</f>
        <v>95.49</v>
      </c>
      <c r="L296" s="26">
        <f>IFERROR(__xludf.DUMMYFUNCTION("""COMPUTED_VALUE"""),18.73)</f>
        <v>18.73</v>
      </c>
      <c r="M296" s="26">
        <f>IFERROR(__xludf.DUMMYFUNCTION("""COMPUTED_VALUE"""),471.31)</f>
        <v>471.31</v>
      </c>
      <c r="N296" s="26">
        <f>IFERROR(__xludf.DUMMYFUNCTION("""COMPUTED_VALUE"""),51.17)</f>
        <v>51.17</v>
      </c>
      <c r="O296" s="26">
        <f>IFERROR(__xludf.DUMMYFUNCTION("""COMPUTED_VALUE"""),128.46)</f>
        <v>128.46</v>
      </c>
      <c r="P296" s="26">
        <f>IFERROR(__xludf.DUMMYFUNCTION("""COMPUTED_VALUE"""),75.43)</f>
        <v>75.43</v>
      </c>
      <c r="Q296" s="26">
        <f>IFERROR(__xludf.DUMMYFUNCTION("""COMPUTED_VALUE"""),412.88)</f>
        <v>412.88</v>
      </c>
      <c r="R296" s="26">
        <f>IFERROR(__xludf.DUMMYFUNCTION("""COMPUTED_VALUE"""),76.19)</f>
        <v>76.19</v>
      </c>
      <c r="S296" s="26">
        <f>IFERROR(__xludf.DUMMYFUNCTION("""COMPUTED_VALUE"""),218.07)</f>
        <v>218.07</v>
      </c>
      <c r="T296" s="26">
        <f>IFERROR(__xludf.DUMMYFUNCTION("""COMPUTED_VALUE"""),149.92)</f>
        <v>149.92</v>
      </c>
      <c r="U296" s="26">
        <f>IFERROR(__xludf.DUMMYFUNCTION("""COMPUTED_VALUE"""),305.82)</f>
        <v>305.82</v>
      </c>
      <c r="V296" s="26">
        <f>IFERROR(__xludf.DUMMYFUNCTION("""COMPUTED_VALUE"""),46.97)</f>
        <v>46.97</v>
      </c>
      <c r="W296" s="26">
        <f>IFERROR(__xludf.DUMMYFUNCTION("""COMPUTED_VALUE"""),69.27)</f>
        <v>69.27</v>
      </c>
      <c r="X296" s="26">
        <f>IFERROR(__xludf.DUMMYFUNCTION("""COMPUTED_VALUE"""),100.46)</f>
        <v>100.46</v>
      </c>
      <c r="Y296" s="26">
        <f>IFERROR(__xludf.DUMMYFUNCTION("""COMPUTED_VALUE"""),172.98)</f>
        <v>172.98</v>
      </c>
      <c r="Z296" s="26">
        <f>IFERROR(__xludf.DUMMYFUNCTION("""COMPUTED_VALUE"""),106.62)</f>
        <v>106.62</v>
      </c>
      <c r="AA296" s="26">
        <f>IFERROR(__xludf.DUMMYFUNCTION("""COMPUTED_VALUE"""),465.3)</f>
        <v>465.3</v>
      </c>
      <c r="AB296" s="26">
        <f>IFERROR(__xludf.DUMMYFUNCTION("""COMPUTED_VALUE"""),76.92)</f>
        <v>76.92</v>
      </c>
      <c r="AC296" s="26">
        <f>IFERROR(__xludf.DUMMYFUNCTION("""COMPUTED_VALUE"""),112.23)</f>
        <v>112.23</v>
      </c>
      <c r="AD296" s="26">
        <f>IFERROR(__xludf.DUMMYFUNCTION("""COMPUTED_VALUE"""),228.75)</f>
        <v>228.75</v>
      </c>
      <c r="AE296" s="26">
        <f>IFERROR(__xludf.DUMMYFUNCTION("""COMPUTED_VALUE"""),505.3)</f>
        <v>505.3</v>
      </c>
      <c r="AF296" s="26">
        <f>IFERROR(__xludf.DUMMYFUNCTION("""COMPUTED_VALUE"""),300.0)</f>
        <v>300</v>
      </c>
      <c r="AG296" s="26">
        <f>IFERROR(__xludf.DUMMYFUNCTION("""COMPUTED_VALUE"""),53.18)</f>
        <v>53.18</v>
      </c>
      <c r="AH296" s="26">
        <f>IFERROR(__xludf.DUMMYFUNCTION("""COMPUTED_VALUE"""),109.85)</f>
        <v>109.85</v>
      </c>
      <c r="AI296" s="26">
        <f>IFERROR(__xludf.DUMMYFUNCTION("""COMPUTED_VALUE"""),708.82)</f>
        <v>708.82</v>
      </c>
      <c r="AJ296" s="26">
        <f>IFERROR(__xludf.DUMMYFUNCTION("""COMPUTED_VALUE"""),357.4)</f>
        <v>357.4</v>
      </c>
      <c r="AK296" s="26">
        <f>IFERROR(__xludf.DUMMYFUNCTION("""COMPUTED_VALUE"""),132.34)</f>
        <v>132.34</v>
      </c>
      <c r="AL296" s="26">
        <f>IFERROR(__xludf.DUMMYFUNCTION("""COMPUTED_VALUE"""),180.8)</f>
        <v>180.8</v>
      </c>
      <c r="AM296" s="26">
        <f>IFERROR(__xludf.DUMMYFUNCTION("""COMPUTED_VALUE"""),512.64)</f>
        <v>512.64</v>
      </c>
      <c r="AN296" s="26">
        <f>IFERROR(__xludf.DUMMYFUNCTION("""COMPUTED_VALUE"""),285.82)</f>
        <v>285.82</v>
      </c>
      <c r="AO296" s="26">
        <f>IFERROR(__xludf.DUMMYFUNCTION("""COMPUTED_VALUE"""),471.47)</f>
        <v>471.47</v>
      </c>
      <c r="AP296" s="26">
        <f>IFERROR(__xludf.DUMMYFUNCTION("""COMPUTED_VALUE"""),226.11)</f>
        <v>226.11</v>
      </c>
      <c r="AQ296" s="26">
        <f>IFERROR(__xludf.DUMMYFUNCTION("""COMPUTED_VALUE"""),30.46)</f>
        <v>30.46</v>
      </c>
      <c r="AR296" s="26">
        <f>IFERROR(__xludf.DUMMYFUNCTION("""COMPUTED_VALUE"""),89.78)</f>
        <v>89.78</v>
      </c>
      <c r="AS296" s="26">
        <f>IFERROR(__xludf.DUMMYFUNCTION("""COMPUTED_VALUE"""),76.59)</f>
        <v>76.59</v>
      </c>
      <c r="AT296" s="26">
        <f>IFERROR(__xludf.DUMMYFUNCTION("""COMPUTED_VALUE"""),505.62)</f>
        <v>505.62</v>
      </c>
      <c r="AU296" s="26">
        <f>IFERROR(__xludf.DUMMYFUNCTION("""COMPUTED_VALUE"""),74.77)</f>
        <v>74.77</v>
      </c>
      <c r="AV296" s="26">
        <f>IFERROR(__xludf.DUMMYFUNCTION("""COMPUTED_VALUE"""),171.37)</f>
        <v>171.37</v>
      </c>
      <c r="AW296" s="26">
        <f>IFERROR(__xludf.DUMMYFUNCTION("""COMPUTED_VALUE"""),100.34)</f>
        <v>100.34</v>
      </c>
      <c r="AX296" s="26">
        <f>IFERROR(__xludf.DUMMYFUNCTION("""COMPUTED_VALUE"""),52.88)</f>
        <v>52.88</v>
      </c>
      <c r="AY296" s="26">
        <f>IFERROR(__xludf.DUMMYFUNCTION("""COMPUTED_VALUE"""),150.91)</f>
        <v>150.91</v>
      </c>
      <c r="AZ296" s="26">
        <f>IFERROR(__xludf.DUMMYFUNCTION("""COMPUTED_VALUE"""),72.97)</f>
        <v>72.97</v>
      </c>
      <c r="BA296" s="26">
        <f>IFERROR(__xludf.DUMMYFUNCTION("""COMPUTED_VALUE"""),24.61)</f>
        <v>24.61</v>
      </c>
      <c r="BB296" s="26">
        <f>IFERROR(__xludf.DUMMYFUNCTION("""COMPUTED_VALUE"""),150.17)</f>
        <v>150.17</v>
      </c>
      <c r="BC296" s="26">
        <f>IFERROR(__xludf.DUMMYFUNCTION("""COMPUTED_VALUE"""),228.74)</f>
        <v>228.74</v>
      </c>
      <c r="BD296" s="26">
        <f>IFERROR(__xludf.DUMMYFUNCTION("""COMPUTED_VALUE"""),416.31)</f>
        <v>416.31</v>
      </c>
      <c r="BE296" s="26">
        <f>IFERROR(__xludf.DUMMYFUNCTION("""COMPUTED_VALUE"""),169.88)</f>
        <v>169.88</v>
      </c>
      <c r="BF296" s="26">
        <f>IFERROR(__xludf.DUMMYFUNCTION("""COMPUTED_VALUE"""),113.32)</f>
        <v>113.32</v>
      </c>
      <c r="BG296" s="26">
        <f>IFERROR(__xludf.DUMMYFUNCTION("""COMPUTED_VALUE"""),6.69)</f>
        <v>6.69</v>
      </c>
      <c r="BH296" s="26">
        <f>IFERROR(__xludf.DUMMYFUNCTION("""COMPUTED_VALUE"""),231.18)</f>
        <v>231.18</v>
      </c>
      <c r="BI296" s="26">
        <f>IFERROR(__xludf.DUMMYFUNCTION("""COMPUTED_VALUE"""),292.49)</f>
        <v>292.49</v>
      </c>
      <c r="BJ296" s="26">
        <f>IFERROR(__xludf.DUMMYFUNCTION("""COMPUTED_VALUE"""),50.01)</f>
        <v>50.01</v>
      </c>
      <c r="BK296" s="26">
        <f>IFERROR(__xludf.DUMMYFUNCTION("""COMPUTED_VALUE"""),9.08)</f>
        <v>9.08</v>
      </c>
      <c r="BL296" s="26">
        <f>IFERROR(__xludf.DUMMYFUNCTION("""COMPUTED_VALUE"""),225.86)</f>
        <v>225.86</v>
      </c>
      <c r="BM296" s="26">
        <f>IFERROR(__xludf.DUMMYFUNCTION("""COMPUTED_VALUE"""),119.82)</f>
        <v>119.82</v>
      </c>
    </row>
    <row r="297">
      <c r="A297" s="25">
        <v>45856.66666666667</v>
      </c>
      <c r="B297" s="17">
        <f>IFERROR(__xludf.DUMMYFUNCTION("""COMPUTED_VALUE"""),6297.36)</f>
        <v>6297.36</v>
      </c>
      <c r="C297" s="17">
        <f>IFERROR(__xludf.DUMMYFUNCTION("""COMPUTED_VALUE"""),20885.65)</f>
        <v>20885.65</v>
      </c>
      <c r="D297" s="17">
        <f>IFERROR(__xludf.DUMMYFUNCTION("""COMPUTED_VALUE"""),44484.49)</f>
        <v>44484.49</v>
      </c>
      <c r="E297" s="17">
        <f>IFERROR(__xludf.DUMMYFUNCTION("""COMPUTED_VALUE"""),2253.68)</f>
        <v>2253.68</v>
      </c>
      <c r="F297" s="26">
        <f>IFERROR(__xludf.DUMMYFUNCTION("""COMPUTED_VALUE"""),366.45)</f>
        <v>366.45</v>
      </c>
      <c r="G297" s="26">
        <f>IFERROR(__xludf.DUMMYFUNCTION("""COMPUTED_VALUE"""),223.88)</f>
        <v>223.88</v>
      </c>
      <c r="H297" s="26">
        <f>IFERROR(__xludf.DUMMYFUNCTION("""COMPUTED_VALUE"""),142.21)</f>
        <v>142.21</v>
      </c>
      <c r="I297" s="26">
        <f>IFERROR(__xludf.DUMMYFUNCTION("""COMPUTED_VALUE"""),210.02)</f>
        <v>210.02</v>
      </c>
      <c r="J297" s="26">
        <f>IFERROR(__xludf.DUMMYFUNCTION("""COMPUTED_VALUE"""),192.52)</f>
        <v>192.52</v>
      </c>
      <c r="K297" s="26">
        <f>IFERROR(__xludf.DUMMYFUNCTION("""COMPUTED_VALUE"""),97.92)</f>
        <v>97.92</v>
      </c>
      <c r="L297" s="26">
        <f>IFERROR(__xludf.DUMMYFUNCTION("""COMPUTED_VALUE"""),19.01)</f>
        <v>19.01</v>
      </c>
      <c r="M297" s="26">
        <f>IFERROR(__xludf.DUMMYFUNCTION("""COMPUTED_VALUE"""),473.4)</f>
        <v>473.4</v>
      </c>
      <c r="N297" s="26">
        <f>IFERROR(__xludf.DUMMYFUNCTION("""COMPUTED_VALUE"""),51.69)</f>
        <v>51.69</v>
      </c>
      <c r="O297" s="26">
        <f>IFERROR(__xludf.DUMMYFUNCTION("""COMPUTED_VALUE"""),128.69)</f>
        <v>128.69</v>
      </c>
      <c r="P297" s="26">
        <f>IFERROR(__xludf.DUMMYFUNCTION("""COMPUTED_VALUE"""),76.93)</f>
        <v>76.93</v>
      </c>
      <c r="Q297" s="26">
        <f>IFERROR(__xludf.DUMMYFUNCTION("""COMPUTED_VALUE"""),418.07)</f>
        <v>418.07</v>
      </c>
      <c r="R297" s="26">
        <f>IFERROR(__xludf.DUMMYFUNCTION("""COMPUTED_VALUE"""),77.91)</f>
        <v>77.91</v>
      </c>
      <c r="S297" s="26">
        <f>IFERROR(__xludf.DUMMYFUNCTION("""COMPUTED_VALUE"""),217.47)</f>
        <v>217.47</v>
      </c>
      <c r="T297" s="26">
        <f>IFERROR(__xludf.DUMMYFUNCTION("""COMPUTED_VALUE"""),151.38)</f>
        <v>151.38</v>
      </c>
      <c r="U297" s="26">
        <f>IFERROR(__xludf.DUMMYFUNCTION("""COMPUTED_VALUE"""),298.28)</f>
        <v>298.28</v>
      </c>
      <c r="V297" s="26">
        <f>IFERROR(__xludf.DUMMYFUNCTION("""COMPUTED_VALUE"""),48.82)</f>
        <v>48.82</v>
      </c>
      <c r="W297" s="26">
        <f>IFERROR(__xludf.DUMMYFUNCTION("""COMPUTED_VALUE"""),70.59)</f>
        <v>70.59</v>
      </c>
      <c r="X297" s="26">
        <f>IFERROR(__xludf.DUMMYFUNCTION("""COMPUTED_VALUE"""),100.6)</f>
        <v>100.6</v>
      </c>
      <c r="Y297" s="26">
        <f>IFERROR(__xludf.DUMMYFUNCTION("""COMPUTED_VALUE"""),176.76)</f>
        <v>176.76</v>
      </c>
      <c r="Z297" s="26">
        <f>IFERROR(__xludf.DUMMYFUNCTION("""COMPUTED_VALUE"""),108.15)</f>
        <v>108.15</v>
      </c>
      <c r="AA297" s="26">
        <f>IFERROR(__xludf.DUMMYFUNCTION("""COMPUTED_VALUE"""),468.71)</f>
        <v>468.71</v>
      </c>
      <c r="AB297" s="26">
        <f>IFERROR(__xludf.DUMMYFUNCTION("""COMPUTED_VALUE"""),76.79)</f>
        <v>76.79</v>
      </c>
      <c r="AC297" s="26">
        <f>IFERROR(__xludf.DUMMYFUNCTION("""COMPUTED_VALUE"""),111.66)</f>
        <v>111.66</v>
      </c>
      <c r="AD297" s="26">
        <f>IFERROR(__xludf.DUMMYFUNCTION("""COMPUTED_VALUE"""),228.37)</f>
        <v>228.37</v>
      </c>
      <c r="AE297" s="26">
        <f>IFERROR(__xludf.DUMMYFUNCTION("""COMPUTED_VALUE"""),506.19)</f>
        <v>506.19</v>
      </c>
      <c r="AF297" s="26">
        <f>IFERROR(__xludf.DUMMYFUNCTION("""COMPUTED_VALUE"""),300.09)</f>
        <v>300.09</v>
      </c>
      <c r="AG297" s="26">
        <f>IFERROR(__xludf.DUMMYFUNCTION("""COMPUTED_VALUE"""),53.21)</f>
        <v>53.21</v>
      </c>
      <c r="AH297" s="26">
        <f>IFERROR(__xludf.DUMMYFUNCTION("""COMPUTED_VALUE"""),108.8)</f>
        <v>108.8</v>
      </c>
      <c r="AI297" s="26">
        <f>IFERROR(__xludf.DUMMYFUNCTION("""COMPUTED_VALUE"""),705.84)</f>
        <v>705.84</v>
      </c>
      <c r="AJ297" s="26">
        <f>IFERROR(__xludf.DUMMYFUNCTION("""COMPUTED_VALUE"""),359.04)</f>
        <v>359.04</v>
      </c>
      <c r="AK297" s="26">
        <f>IFERROR(__xludf.DUMMYFUNCTION("""COMPUTED_VALUE"""),132.3)</f>
        <v>132.3</v>
      </c>
      <c r="AL297" s="26">
        <f>IFERROR(__xludf.DUMMYFUNCTION("""COMPUTED_VALUE"""),181.94)</f>
        <v>181.94</v>
      </c>
      <c r="AM297" s="26">
        <f>IFERROR(__xludf.DUMMYFUNCTION("""COMPUTED_VALUE"""),516.16)</f>
        <v>516.16</v>
      </c>
      <c r="AN297" s="26">
        <f>IFERROR(__xludf.DUMMYFUNCTION("""COMPUTED_VALUE"""),289.9)</f>
        <v>289.9</v>
      </c>
      <c r="AO297" s="26">
        <f>IFERROR(__xludf.DUMMYFUNCTION("""COMPUTED_VALUE"""),469.2)</f>
        <v>469.2</v>
      </c>
      <c r="AP297" s="26">
        <f>IFERROR(__xludf.DUMMYFUNCTION("""COMPUTED_VALUE"""),233.31)</f>
        <v>233.31</v>
      </c>
      <c r="AQ297" s="26">
        <f>IFERROR(__xludf.DUMMYFUNCTION("""COMPUTED_VALUE"""),30.91)</f>
        <v>30.91</v>
      </c>
      <c r="AR297" s="26">
        <f>IFERROR(__xludf.DUMMYFUNCTION("""COMPUTED_VALUE"""),89.53)</f>
        <v>89.53</v>
      </c>
      <c r="AS297" s="26">
        <f>IFERROR(__xludf.DUMMYFUNCTION("""COMPUTED_VALUE"""),77.33)</f>
        <v>77.33</v>
      </c>
      <c r="AT297" s="26">
        <f>IFERROR(__xludf.DUMMYFUNCTION("""COMPUTED_VALUE"""),511.7)</f>
        <v>511.7</v>
      </c>
      <c r="AU297" s="26">
        <f>IFERROR(__xludf.DUMMYFUNCTION("""COMPUTED_VALUE"""),75.18)</f>
        <v>75.18</v>
      </c>
      <c r="AV297" s="26">
        <f>IFERROR(__xludf.DUMMYFUNCTION("""COMPUTED_VALUE"""),173.0)</f>
        <v>173</v>
      </c>
      <c r="AW297" s="26">
        <f>IFERROR(__xludf.DUMMYFUNCTION("""COMPUTED_VALUE"""),101.07)</f>
        <v>101.07</v>
      </c>
      <c r="AX297" s="26">
        <f>IFERROR(__xludf.DUMMYFUNCTION("""COMPUTED_VALUE"""),54.24)</f>
        <v>54.24</v>
      </c>
      <c r="AY297" s="26">
        <f>IFERROR(__xludf.DUMMYFUNCTION("""COMPUTED_VALUE"""),153.99)</f>
        <v>153.99</v>
      </c>
      <c r="AZ297" s="26">
        <f>IFERROR(__xludf.DUMMYFUNCTION("""COMPUTED_VALUE"""),73.86)</f>
        <v>73.86</v>
      </c>
      <c r="BA297" s="26">
        <f>IFERROR(__xludf.DUMMYFUNCTION("""COMPUTED_VALUE"""),24.58)</f>
        <v>24.58</v>
      </c>
      <c r="BB297" s="26">
        <f>IFERROR(__xludf.DUMMYFUNCTION("""COMPUTED_VALUE"""),151.5)</f>
        <v>151.5</v>
      </c>
      <c r="BC297" s="26">
        <f>IFERROR(__xludf.DUMMYFUNCTION("""COMPUTED_VALUE"""),227.03)</f>
        <v>227.03</v>
      </c>
      <c r="BD297" s="26">
        <f>IFERROR(__xludf.DUMMYFUNCTION("""COMPUTED_VALUE"""),424.98)</f>
        <v>424.98</v>
      </c>
      <c r="BE297" s="26">
        <f>IFERROR(__xludf.DUMMYFUNCTION("""COMPUTED_VALUE"""),170.48)</f>
        <v>170.48</v>
      </c>
      <c r="BF297" s="26">
        <f>IFERROR(__xludf.DUMMYFUNCTION("""COMPUTED_VALUE"""),112.52)</f>
        <v>112.52</v>
      </c>
      <c r="BG297" s="26">
        <f>IFERROR(__xludf.DUMMYFUNCTION("""COMPUTED_VALUE"""),6.84)</f>
        <v>6.84</v>
      </c>
      <c r="BH297" s="26">
        <f>IFERROR(__xludf.DUMMYFUNCTION("""COMPUTED_VALUE"""),227.49)</f>
        <v>227.49</v>
      </c>
      <c r="BI297" s="26">
        <f>IFERROR(__xludf.DUMMYFUNCTION("""COMPUTED_VALUE"""),288.07)</f>
        <v>288.07</v>
      </c>
      <c r="BJ297" s="26">
        <f>IFERROR(__xludf.DUMMYFUNCTION("""COMPUTED_VALUE"""),50.03)</f>
        <v>50.03</v>
      </c>
      <c r="BK297" s="26">
        <f>IFERROR(__xludf.DUMMYFUNCTION("""COMPUTED_VALUE"""),9.27)</f>
        <v>9.27</v>
      </c>
      <c r="BL297" s="26">
        <f>IFERROR(__xludf.DUMMYFUNCTION("""COMPUTED_VALUE"""),225.7)</f>
        <v>225.7</v>
      </c>
      <c r="BM297" s="26">
        <f>IFERROR(__xludf.DUMMYFUNCTION("""COMPUTED_VALUE"""),122.21)</f>
        <v>122.21</v>
      </c>
    </row>
    <row r="298">
      <c r="A298" s="25">
        <v>45859.66666666667</v>
      </c>
      <c r="B298" s="17">
        <f>IFERROR(__xludf.DUMMYFUNCTION("""COMPUTED_VALUE"""),6296.79)</f>
        <v>6296.79</v>
      </c>
      <c r="C298" s="17">
        <f>IFERROR(__xludf.DUMMYFUNCTION("""COMPUTED_VALUE"""),20895.66)</f>
        <v>20895.66</v>
      </c>
      <c r="D298" s="17">
        <f>IFERROR(__xludf.DUMMYFUNCTION("""COMPUTED_VALUE"""),44342.19)</f>
        <v>44342.19</v>
      </c>
      <c r="E298" s="17">
        <f>IFERROR(__xludf.DUMMYFUNCTION("""COMPUTED_VALUE"""),2240.01)</f>
        <v>2240.01</v>
      </c>
      <c r="F298" s="26">
        <f>IFERROR(__xludf.DUMMYFUNCTION("""COMPUTED_VALUE"""),365.79)</f>
        <v>365.79</v>
      </c>
      <c r="G298" s="26">
        <f>IFERROR(__xludf.DUMMYFUNCTION("""COMPUTED_VALUE"""),226.13)</f>
        <v>226.13</v>
      </c>
      <c r="H298" s="26">
        <f>IFERROR(__xludf.DUMMYFUNCTION("""COMPUTED_VALUE"""),142.91)</f>
        <v>142.91</v>
      </c>
      <c r="I298" s="26">
        <f>IFERROR(__xludf.DUMMYFUNCTION("""COMPUTED_VALUE"""),211.18)</f>
        <v>211.18</v>
      </c>
      <c r="J298" s="26">
        <f>IFERROR(__xludf.DUMMYFUNCTION("""COMPUTED_VALUE"""),190.44)</f>
        <v>190.44</v>
      </c>
      <c r="K298" s="26">
        <f>IFERROR(__xludf.DUMMYFUNCTION("""COMPUTED_VALUE"""),98.84)</f>
        <v>98.84</v>
      </c>
      <c r="L298" s="26">
        <f>IFERROR(__xludf.DUMMYFUNCTION("""COMPUTED_VALUE"""),18.88)</f>
        <v>18.88</v>
      </c>
      <c r="M298" s="26">
        <f>IFERROR(__xludf.DUMMYFUNCTION("""COMPUTED_VALUE"""),473.8)</f>
        <v>473.8</v>
      </c>
      <c r="N298" s="26">
        <f>IFERROR(__xludf.DUMMYFUNCTION("""COMPUTED_VALUE"""),51.84)</f>
        <v>51.84</v>
      </c>
      <c r="O298" s="26">
        <f>IFERROR(__xludf.DUMMYFUNCTION("""COMPUTED_VALUE"""),124.99)</f>
        <v>124.99</v>
      </c>
      <c r="P298" s="26">
        <f>IFERROR(__xludf.DUMMYFUNCTION("""COMPUTED_VALUE"""),76.63)</f>
        <v>76.63</v>
      </c>
      <c r="Q298" s="26">
        <f>IFERROR(__xludf.DUMMYFUNCTION("""COMPUTED_VALUE"""),413.71)</f>
        <v>413.71</v>
      </c>
      <c r="R298" s="26">
        <f>IFERROR(__xludf.DUMMYFUNCTION("""COMPUTED_VALUE"""),78.97)</f>
        <v>78.97</v>
      </c>
      <c r="S298" s="26">
        <f>IFERROR(__xludf.DUMMYFUNCTION("""COMPUTED_VALUE"""),215.48)</f>
        <v>215.48</v>
      </c>
      <c r="T298" s="26">
        <f>IFERROR(__xludf.DUMMYFUNCTION("""COMPUTED_VALUE"""),150.04)</f>
        <v>150.04</v>
      </c>
      <c r="U298" s="26">
        <f>IFERROR(__xludf.DUMMYFUNCTION("""COMPUTED_VALUE"""),295.71)</f>
        <v>295.71</v>
      </c>
      <c r="V298" s="26">
        <f>IFERROR(__xludf.DUMMYFUNCTION("""COMPUTED_VALUE"""),48.58)</f>
        <v>48.58</v>
      </c>
      <c r="W298" s="26">
        <f>IFERROR(__xludf.DUMMYFUNCTION("""COMPUTED_VALUE"""),69.85)</f>
        <v>69.85</v>
      </c>
      <c r="X298" s="26">
        <f>IFERROR(__xludf.DUMMYFUNCTION("""COMPUTED_VALUE"""),101.08)</f>
        <v>101.08</v>
      </c>
      <c r="Y298" s="26">
        <f>IFERROR(__xludf.DUMMYFUNCTION("""COMPUTED_VALUE"""),177.98)</f>
        <v>177.98</v>
      </c>
      <c r="Z298" s="26">
        <f>IFERROR(__xludf.DUMMYFUNCTION("""COMPUTED_VALUE"""),110.12)</f>
        <v>110.12</v>
      </c>
      <c r="AA298" s="26">
        <f>IFERROR(__xludf.DUMMYFUNCTION("""COMPUTED_VALUE"""),465.95)</f>
        <v>465.95</v>
      </c>
      <c r="AB298" s="26">
        <f>IFERROR(__xludf.DUMMYFUNCTION("""COMPUTED_VALUE"""),78.14)</f>
        <v>78.14</v>
      </c>
      <c r="AC298" s="26">
        <f>IFERROR(__xludf.DUMMYFUNCTION("""COMPUTED_VALUE"""),107.77)</f>
        <v>107.77</v>
      </c>
      <c r="AD298" s="26">
        <f>IFERROR(__xludf.DUMMYFUNCTION("""COMPUTED_VALUE"""),226.62)</f>
        <v>226.62</v>
      </c>
      <c r="AE298" s="26">
        <f>IFERROR(__xludf.DUMMYFUNCTION("""COMPUTED_VALUE"""),505.4)</f>
        <v>505.4</v>
      </c>
      <c r="AF298" s="26">
        <f>IFERROR(__xludf.DUMMYFUNCTION("""COMPUTED_VALUE"""),298.98)</f>
        <v>298.98</v>
      </c>
      <c r="AG298" s="26">
        <f>IFERROR(__xludf.DUMMYFUNCTION("""COMPUTED_VALUE"""),53.22)</f>
        <v>53.22</v>
      </c>
      <c r="AH298" s="26">
        <f>IFERROR(__xludf.DUMMYFUNCTION("""COMPUTED_VALUE"""),108.22)</f>
        <v>108.22</v>
      </c>
      <c r="AI298" s="26">
        <f>IFERROR(__xludf.DUMMYFUNCTION("""COMPUTED_VALUE"""),708.26)</f>
        <v>708.26</v>
      </c>
      <c r="AJ298" s="26">
        <f>IFERROR(__xludf.DUMMYFUNCTION("""COMPUTED_VALUE"""),359.4)</f>
        <v>359.4</v>
      </c>
      <c r="AK298" s="26">
        <f>IFERROR(__xludf.DUMMYFUNCTION("""COMPUTED_VALUE"""),130.27)</f>
        <v>130.27</v>
      </c>
      <c r="AL298" s="26">
        <f>IFERROR(__xludf.DUMMYFUNCTION("""COMPUTED_VALUE"""),180.72)</f>
        <v>180.72</v>
      </c>
      <c r="AM298" s="26">
        <f>IFERROR(__xludf.DUMMYFUNCTION("""COMPUTED_VALUE"""),518.62)</f>
        <v>518.62</v>
      </c>
      <c r="AN298" s="26">
        <f>IFERROR(__xludf.DUMMYFUNCTION("""COMPUTED_VALUE"""),291.27)</f>
        <v>291.27</v>
      </c>
      <c r="AO298" s="26">
        <f>IFERROR(__xludf.DUMMYFUNCTION("""COMPUTED_VALUE"""),463.96)</f>
        <v>463.96</v>
      </c>
      <c r="AP298" s="26">
        <f>IFERROR(__xludf.DUMMYFUNCTION("""COMPUTED_VALUE"""),229.77)</f>
        <v>229.77</v>
      </c>
      <c r="AQ298" s="26">
        <f>IFERROR(__xludf.DUMMYFUNCTION("""COMPUTED_VALUE"""),30.82)</f>
        <v>30.82</v>
      </c>
      <c r="AR298" s="26">
        <f>IFERROR(__xludf.DUMMYFUNCTION("""COMPUTED_VALUE"""),89.61)</f>
        <v>89.61</v>
      </c>
      <c r="AS298" s="26">
        <f>IFERROR(__xludf.DUMMYFUNCTION("""COMPUTED_VALUE"""),77.15)</f>
        <v>77.15</v>
      </c>
      <c r="AT298" s="26">
        <f>IFERROR(__xludf.DUMMYFUNCTION("""COMPUTED_VALUE"""),510.05)</f>
        <v>510.05</v>
      </c>
      <c r="AU298" s="26">
        <f>IFERROR(__xludf.DUMMYFUNCTION("""COMPUTED_VALUE"""),75.95)</f>
        <v>75.95</v>
      </c>
      <c r="AV298" s="26">
        <f>IFERROR(__xludf.DUMMYFUNCTION("""COMPUTED_VALUE"""),172.41)</f>
        <v>172.41</v>
      </c>
      <c r="AW298" s="26">
        <f>IFERROR(__xludf.DUMMYFUNCTION("""COMPUTED_VALUE"""),99.44)</f>
        <v>99.44</v>
      </c>
      <c r="AX298" s="26">
        <f>IFERROR(__xludf.DUMMYFUNCTION("""COMPUTED_VALUE"""),53.12)</f>
        <v>53.12</v>
      </c>
      <c r="AY298" s="26">
        <f>IFERROR(__xludf.DUMMYFUNCTION("""COMPUTED_VALUE"""),153.52)</f>
        <v>153.52</v>
      </c>
      <c r="AZ298" s="26">
        <f>IFERROR(__xludf.DUMMYFUNCTION("""COMPUTED_VALUE"""),74.17)</f>
        <v>74.17</v>
      </c>
      <c r="BA298" s="26">
        <f>IFERROR(__xludf.DUMMYFUNCTION("""COMPUTED_VALUE"""),24.47)</f>
        <v>24.47</v>
      </c>
      <c r="BB298" s="26">
        <f>IFERROR(__xludf.DUMMYFUNCTION("""COMPUTED_VALUE"""),151.5)</f>
        <v>151.5</v>
      </c>
      <c r="BC298" s="26">
        <f>IFERROR(__xludf.DUMMYFUNCTION("""COMPUTED_VALUE"""),227.21)</f>
        <v>227.21</v>
      </c>
      <c r="BD298" s="26">
        <f>IFERROR(__xludf.DUMMYFUNCTION("""COMPUTED_VALUE"""),414.75)</f>
        <v>414.75</v>
      </c>
      <c r="BE298" s="26">
        <f>IFERROR(__xludf.DUMMYFUNCTION("""COMPUTED_VALUE"""),168.65)</f>
        <v>168.65</v>
      </c>
      <c r="BF298" s="26">
        <f>IFERROR(__xludf.DUMMYFUNCTION("""COMPUTED_VALUE"""),109.88)</f>
        <v>109.88</v>
      </c>
      <c r="BG298" s="26">
        <f>IFERROR(__xludf.DUMMYFUNCTION("""COMPUTED_VALUE"""),6.86)</f>
        <v>6.86</v>
      </c>
      <c r="BH298" s="26">
        <f>IFERROR(__xludf.DUMMYFUNCTION("""COMPUTED_VALUE"""),224.87)</f>
        <v>224.87</v>
      </c>
      <c r="BI298" s="26">
        <f>IFERROR(__xludf.DUMMYFUNCTION("""COMPUTED_VALUE"""),282.65)</f>
        <v>282.65</v>
      </c>
      <c r="BJ298" s="26">
        <f>IFERROR(__xludf.DUMMYFUNCTION("""COMPUTED_VALUE"""),50.07)</f>
        <v>50.07</v>
      </c>
      <c r="BK298" s="26">
        <f>IFERROR(__xludf.DUMMYFUNCTION("""COMPUTED_VALUE"""),8.88)</f>
        <v>8.88</v>
      </c>
      <c r="BL298" s="26">
        <f>IFERROR(__xludf.DUMMYFUNCTION("""COMPUTED_VALUE"""),227.32)</f>
        <v>227.32</v>
      </c>
      <c r="BM298" s="26">
        <f>IFERROR(__xludf.DUMMYFUNCTION("""COMPUTED_VALUE"""),121.42)</f>
        <v>121.42</v>
      </c>
    </row>
    <row r="299">
      <c r="A299" s="25">
        <v>45860.66666666667</v>
      </c>
      <c r="B299" s="17">
        <f>IFERROR(__xludf.DUMMYFUNCTION("""COMPUTED_VALUE"""),6305.6)</f>
        <v>6305.6</v>
      </c>
      <c r="C299" s="17">
        <f>IFERROR(__xludf.DUMMYFUNCTION("""COMPUTED_VALUE"""),20974.18)</f>
        <v>20974.18</v>
      </c>
      <c r="D299" s="17">
        <f>IFERROR(__xludf.DUMMYFUNCTION("""COMPUTED_VALUE"""),44323.07)</f>
        <v>44323.07</v>
      </c>
      <c r="E299" s="17">
        <f>IFERROR(__xludf.DUMMYFUNCTION("""COMPUTED_VALUE"""),2231.13)</f>
        <v>2231.13</v>
      </c>
      <c r="F299" s="26">
        <f>IFERROR(__xludf.DUMMYFUNCTION("""COMPUTED_VALUE"""),367.68)</f>
        <v>367.68</v>
      </c>
      <c r="G299" s="26">
        <f>IFERROR(__xludf.DUMMYFUNCTION("""COMPUTED_VALUE"""),229.3)</f>
        <v>229.3</v>
      </c>
      <c r="H299" s="26">
        <f>IFERROR(__xludf.DUMMYFUNCTION("""COMPUTED_VALUE"""),142.84)</f>
        <v>142.84</v>
      </c>
      <c r="I299" s="26">
        <f>IFERROR(__xludf.DUMMYFUNCTION("""COMPUTED_VALUE"""),212.48)</f>
        <v>212.48</v>
      </c>
      <c r="J299" s="26">
        <f>IFERROR(__xludf.DUMMYFUNCTION("""COMPUTED_VALUE"""),192.61)</f>
        <v>192.61</v>
      </c>
      <c r="K299" s="26">
        <f>IFERROR(__xludf.DUMMYFUNCTION("""COMPUTED_VALUE"""),98.6)</f>
        <v>98.6</v>
      </c>
      <c r="L299" s="26">
        <f>IFERROR(__xludf.DUMMYFUNCTION("""COMPUTED_VALUE"""),19.03)</f>
        <v>19.03</v>
      </c>
      <c r="M299" s="26">
        <f>IFERROR(__xludf.DUMMYFUNCTION("""COMPUTED_VALUE"""),474.41)</f>
        <v>474.41</v>
      </c>
      <c r="N299" s="26">
        <f>IFERROR(__xludf.DUMMYFUNCTION("""COMPUTED_VALUE"""),53.18)</f>
        <v>53.18</v>
      </c>
      <c r="O299" s="26">
        <f>IFERROR(__xludf.DUMMYFUNCTION("""COMPUTED_VALUE"""),122.68)</f>
        <v>122.68</v>
      </c>
      <c r="P299" s="26">
        <f>IFERROR(__xludf.DUMMYFUNCTION("""COMPUTED_VALUE"""),75.97)</f>
        <v>75.97</v>
      </c>
      <c r="Q299" s="26">
        <f>IFERROR(__xludf.DUMMYFUNCTION("""COMPUTED_VALUE"""),410.07)</f>
        <v>410.07</v>
      </c>
      <c r="R299" s="26">
        <f>IFERROR(__xludf.DUMMYFUNCTION("""COMPUTED_VALUE"""),77.08)</f>
        <v>77.08</v>
      </c>
      <c r="S299" s="26">
        <f>IFERROR(__xludf.DUMMYFUNCTION("""COMPUTED_VALUE"""),222.64)</f>
        <v>222.64</v>
      </c>
      <c r="T299" s="26">
        <f>IFERROR(__xludf.DUMMYFUNCTION("""COMPUTED_VALUE"""),149.68)</f>
        <v>149.68</v>
      </c>
      <c r="U299" s="26">
        <f>IFERROR(__xludf.DUMMYFUNCTION("""COMPUTED_VALUE"""),294.8)</f>
        <v>294.8</v>
      </c>
      <c r="V299" s="26">
        <f>IFERROR(__xludf.DUMMYFUNCTION("""COMPUTED_VALUE"""),48.6)</f>
        <v>48.6</v>
      </c>
      <c r="W299" s="26">
        <f>IFERROR(__xludf.DUMMYFUNCTION("""COMPUTED_VALUE"""),70.07)</f>
        <v>70.07</v>
      </c>
      <c r="X299" s="26">
        <f>IFERROR(__xludf.DUMMYFUNCTION("""COMPUTED_VALUE"""),102.07)</f>
        <v>102.07</v>
      </c>
      <c r="Y299" s="26">
        <f>IFERROR(__xludf.DUMMYFUNCTION("""COMPUTED_VALUE"""),177.11)</f>
        <v>177.11</v>
      </c>
      <c r="Z299" s="26">
        <f>IFERROR(__xludf.DUMMYFUNCTION("""COMPUTED_VALUE"""),112.31)</f>
        <v>112.31</v>
      </c>
      <c r="AA299" s="26">
        <f>IFERROR(__xludf.DUMMYFUNCTION("""COMPUTED_VALUE"""),462.24)</f>
        <v>462.24</v>
      </c>
      <c r="AB299" s="26">
        <f>IFERROR(__xludf.DUMMYFUNCTION("""COMPUTED_VALUE"""),79.03)</f>
        <v>79.03</v>
      </c>
      <c r="AC299" s="26">
        <f>IFERROR(__xludf.DUMMYFUNCTION("""COMPUTED_VALUE"""),108.05)</f>
        <v>108.05</v>
      </c>
      <c r="AD299" s="26">
        <f>IFERROR(__xludf.DUMMYFUNCTION("""COMPUTED_VALUE"""),225.73)</f>
        <v>225.73</v>
      </c>
      <c r="AE299" s="26">
        <f>IFERROR(__xludf.DUMMYFUNCTION("""COMPUTED_VALUE"""),507.34)</f>
        <v>507.34</v>
      </c>
      <c r="AF299" s="26">
        <f>IFERROR(__xludf.DUMMYFUNCTION("""COMPUTED_VALUE"""),297.05)</f>
        <v>297.05</v>
      </c>
      <c r="AG299" s="26">
        <f>IFERROR(__xludf.DUMMYFUNCTION("""COMPUTED_VALUE"""),53.21)</f>
        <v>53.21</v>
      </c>
      <c r="AH299" s="26">
        <f>IFERROR(__xludf.DUMMYFUNCTION("""COMPUTED_VALUE"""),108.28)</f>
        <v>108.28</v>
      </c>
      <c r="AI299" s="26">
        <f>IFERROR(__xludf.DUMMYFUNCTION("""COMPUTED_VALUE"""),706.0)</f>
        <v>706</v>
      </c>
      <c r="AJ299" s="26">
        <f>IFERROR(__xludf.DUMMYFUNCTION("""COMPUTED_VALUE"""),364.04)</f>
        <v>364.04</v>
      </c>
      <c r="AK299" s="26">
        <f>IFERROR(__xludf.DUMMYFUNCTION("""COMPUTED_VALUE"""),130.22)</f>
        <v>130.22</v>
      </c>
      <c r="AL299" s="26">
        <f>IFERROR(__xludf.DUMMYFUNCTION("""COMPUTED_VALUE"""),180.81)</f>
        <v>180.81</v>
      </c>
      <c r="AM299" s="26">
        <f>IFERROR(__xludf.DUMMYFUNCTION("""COMPUTED_VALUE"""),516.12)</f>
        <v>516.12</v>
      </c>
      <c r="AN299" s="26">
        <f>IFERROR(__xludf.DUMMYFUNCTION("""COMPUTED_VALUE"""),290.97)</f>
        <v>290.97</v>
      </c>
      <c r="AO299" s="26">
        <f>IFERROR(__xludf.DUMMYFUNCTION("""COMPUTED_VALUE"""),460.53)</f>
        <v>460.53</v>
      </c>
      <c r="AP299" s="26">
        <f>IFERROR(__xludf.DUMMYFUNCTION("""COMPUTED_VALUE"""),223.21)</f>
        <v>223.21</v>
      </c>
      <c r="AQ299" s="26">
        <f>IFERROR(__xludf.DUMMYFUNCTION("""COMPUTED_VALUE"""),30.51)</f>
        <v>30.51</v>
      </c>
      <c r="AR299" s="26">
        <f>IFERROR(__xludf.DUMMYFUNCTION("""COMPUTED_VALUE"""),89.7)</f>
        <v>89.7</v>
      </c>
      <c r="AS299" s="26">
        <f>IFERROR(__xludf.DUMMYFUNCTION("""COMPUTED_VALUE"""),76.33)</f>
        <v>76.33</v>
      </c>
      <c r="AT299" s="26">
        <f>IFERROR(__xludf.DUMMYFUNCTION("""COMPUTED_VALUE"""),510.06)</f>
        <v>510.06</v>
      </c>
      <c r="AU299" s="26">
        <f>IFERROR(__xludf.DUMMYFUNCTION("""COMPUTED_VALUE"""),76.17)</f>
        <v>76.17</v>
      </c>
      <c r="AV299" s="26">
        <f>IFERROR(__xludf.DUMMYFUNCTION("""COMPUTED_VALUE"""),171.38)</f>
        <v>171.38</v>
      </c>
      <c r="AW299" s="26">
        <f>IFERROR(__xludf.DUMMYFUNCTION("""COMPUTED_VALUE"""),98.5)</f>
        <v>98.5</v>
      </c>
      <c r="AX299" s="26">
        <f>IFERROR(__xludf.DUMMYFUNCTION("""COMPUTED_VALUE"""),53.21)</f>
        <v>53.21</v>
      </c>
      <c r="AY299" s="26">
        <f>IFERROR(__xludf.DUMMYFUNCTION("""COMPUTED_VALUE"""),151.79)</f>
        <v>151.79</v>
      </c>
      <c r="AZ299" s="26">
        <f>IFERROR(__xludf.DUMMYFUNCTION("""COMPUTED_VALUE"""),74.82)</f>
        <v>74.82</v>
      </c>
      <c r="BA299" s="26">
        <f>IFERROR(__xludf.DUMMYFUNCTION("""COMPUTED_VALUE"""),24.26)</f>
        <v>24.26</v>
      </c>
      <c r="BB299" s="26">
        <f>IFERROR(__xludf.DUMMYFUNCTION("""COMPUTED_VALUE"""),151.56)</f>
        <v>151.56</v>
      </c>
      <c r="BC299" s="26">
        <f>IFERROR(__xludf.DUMMYFUNCTION("""COMPUTED_VALUE"""),232.62)</f>
        <v>232.62</v>
      </c>
      <c r="BD299" s="26">
        <f>IFERROR(__xludf.DUMMYFUNCTION("""COMPUTED_VALUE"""),404.94)</f>
        <v>404.94</v>
      </c>
      <c r="BE299" s="26">
        <f>IFERROR(__xludf.DUMMYFUNCTION("""COMPUTED_VALUE"""),170.03)</f>
        <v>170.03</v>
      </c>
      <c r="BF299" s="26">
        <f>IFERROR(__xludf.DUMMYFUNCTION("""COMPUTED_VALUE"""),103.61)</f>
        <v>103.61</v>
      </c>
      <c r="BG299" s="26">
        <f>IFERROR(__xludf.DUMMYFUNCTION("""COMPUTED_VALUE"""),6.98)</f>
        <v>6.98</v>
      </c>
      <c r="BH299" s="26">
        <f>IFERROR(__xludf.DUMMYFUNCTION("""COMPUTED_VALUE"""),225.85)</f>
        <v>225.85</v>
      </c>
      <c r="BI299" s="26">
        <f>IFERROR(__xludf.DUMMYFUNCTION("""COMPUTED_VALUE"""),282.14)</f>
        <v>282.14</v>
      </c>
      <c r="BJ299" s="26">
        <f>IFERROR(__xludf.DUMMYFUNCTION("""COMPUTED_VALUE"""),50.11)</f>
        <v>50.11</v>
      </c>
      <c r="BK299" s="26">
        <f>IFERROR(__xludf.DUMMYFUNCTION("""COMPUTED_VALUE"""),8.9)</f>
        <v>8.9</v>
      </c>
      <c r="BL299" s="26">
        <f>IFERROR(__xludf.DUMMYFUNCTION("""COMPUTED_VALUE"""),225.3)</f>
        <v>225.3</v>
      </c>
      <c r="BM299" s="26">
        <f>IFERROR(__xludf.DUMMYFUNCTION("""COMPUTED_VALUE"""),120.84)</f>
        <v>120.84</v>
      </c>
    </row>
    <row r="300">
      <c r="A300" s="25">
        <v>45861.66666666667</v>
      </c>
      <c r="B300" s="17">
        <f>IFERROR(__xludf.DUMMYFUNCTION("""COMPUTED_VALUE"""),6309.62)</f>
        <v>6309.62</v>
      </c>
      <c r="C300" s="17">
        <f>IFERROR(__xludf.DUMMYFUNCTION("""COMPUTED_VALUE"""),20892.69)</f>
        <v>20892.69</v>
      </c>
      <c r="D300" s="17">
        <f>IFERROR(__xludf.DUMMYFUNCTION("""COMPUTED_VALUE"""),44502.44)</f>
        <v>44502.44</v>
      </c>
      <c r="E300" s="17">
        <f>IFERROR(__xludf.DUMMYFUNCTION("""COMPUTED_VALUE"""),2248.76)</f>
        <v>2248.76</v>
      </c>
      <c r="F300" s="26">
        <f>IFERROR(__xludf.DUMMYFUNCTION("""COMPUTED_VALUE"""),372.87)</f>
        <v>372.87</v>
      </c>
      <c r="G300" s="26">
        <f>IFERROR(__xludf.DUMMYFUNCTION("""COMPUTED_VALUE"""),227.47)</f>
        <v>227.47</v>
      </c>
      <c r="H300" s="26">
        <f>IFERROR(__xludf.DUMMYFUNCTION("""COMPUTED_VALUE"""),144.91)</f>
        <v>144.91</v>
      </c>
      <c r="I300" s="26">
        <f>IFERROR(__xludf.DUMMYFUNCTION("""COMPUTED_VALUE"""),214.4)</f>
        <v>214.4</v>
      </c>
      <c r="J300" s="26">
        <f>IFERROR(__xludf.DUMMYFUNCTION("""COMPUTED_VALUE"""),187.14)</f>
        <v>187.14</v>
      </c>
      <c r="K300" s="26">
        <f>IFERROR(__xludf.DUMMYFUNCTION("""COMPUTED_VALUE"""),98.9)</f>
        <v>98.9</v>
      </c>
      <c r="L300" s="26">
        <f>IFERROR(__xludf.DUMMYFUNCTION("""COMPUTED_VALUE"""),18.94)</f>
        <v>18.94</v>
      </c>
      <c r="M300" s="26">
        <f>IFERROR(__xludf.DUMMYFUNCTION("""COMPUTED_VALUE"""),478.13)</f>
        <v>478.13</v>
      </c>
      <c r="N300" s="26">
        <f>IFERROR(__xludf.DUMMYFUNCTION("""COMPUTED_VALUE"""),55.06)</f>
        <v>55.06</v>
      </c>
      <c r="O300" s="26">
        <f>IFERROR(__xludf.DUMMYFUNCTION("""COMPUTED_VALUE"""),127.85)</f>
        <v>127.85</v>
      </c>
      <c r="P300" s="26">
        <f>IFERROR(__xludf.DUMMYFUNCTION("""COMPUTED_VALUE"""),76.42)</f>
        <v>76.42</v>
      </c>
      <c r="Q300" s="26">
        <f>IFERROR(__xludf.DUMMYFUNCTION("""COMPUTED_VALUE"""),417.19)</f>
        <v>417.19</v>
      </c>
      <c r="R300" s="26">
        <f>IFERROR(__xludf.DUMMYFUNCTION("""COMPUTED_VALUE"""),77.9)</f>
        <v>77.9</v>
      </c>
      <c r="S300" s="26">
        <f>IFERROR(__xludf.DUMMYFUNCTION("""COMPUTED_VALUE"""),222.89)</f>
        <v>222.89</v>
      </c>
      <c r="T300" s="26">
        <f>IFERROR(__xludf.DUMMYFUNCTION("""COMPUTED_VALUE"""),150.04)</f>
        <v>150.04</v>
      </c>
      <c r="U300" s="26">
        <f>IFERROR(__xludf.DUMMYFUNCTION("""COMPUTED_VALUE"""),300.05)</f>
        <v>300.05</v>
      </c>
      <c r="V300" s="26">
        <f>IFERROR(__xludf.DUMMYFUNCTION("""COMPUTED_VALUE"""),49.13)</f>
        <v>49.13</v>
      </c>
      <c r="W300" s="26">
        <f>IFERROR(__xludf.DUMMYFUNCTION("""COMPUTED_VALUE"""),69.66)</f>
        <v>69.66</v>
      </c>
      <c r="X300" s="26">
        <f>IFERROR(__xludf.DUMMYFUNCTION("""COMPUTED_VALUE"""),103.59)</f>
        <v>103.59</v>
      </c>
      <c r="Y300" s="26">
        <f>IFERROR(__xludf.DUMMYFUNCTION("""COMPUTED_VALUE"""),179.34)</f>
        <v>179.34</v>
      </c>
      <c r="Z300" s="26">
        <f>IFERROR(__xludf.DUMMYFUNCTION("""COMPUTED_VALUE"""),114.77)</f>
        <v>114.77</v>
      </c>
      <c r="AA300" s="26">
        <f>IFERROR(__xludf.DUMMYFUNCTION("""COMPUTED_VALUE"""),480.97)</f>
        <v>480.97</v>
      </c>
      <c r="AB300" s="26">
        <f>IFERROR(__xludf.DUMMYFUNCTION("""COMPUTED_VALUE"""),81.76)</f>
        <v>81.76</v>
      </c>
      <c r="AC300" s="26">
        <f>IFERROR(__xludf.DUMMYFUNCTION("""COMPUTED_VALUE"""),108.54)</f>
        <v>108.54</v>
      </c>
      <c r="AD300" s="26">
        <f>IFERROR(__xludf.DUMMYFUNCTION("""COMPUTED_VALUE"""),231.7)</f>
        <v>231.7</v>
      </c>
      <c r="AE300" s="26">
        <f>IFERROR(__xludf.DUMMYFUNCTION("""COMPUTED_VALUE"""),500.81)</f>
        <v>500.81</v>
      </c>
      <c r="AF300" s="26">
        <f>IFERROR(__xludf.DUMMYFUNCTION("""COMPUTED_VALUE"""),297.6)</f>
        <v>297.6</v>
      </c>
      <c r="AG300" s="26">
        <f>IFERROR(__xludf.DUMMYFUNCTION("""COMPUTED_VALUE"""),48.89)</f>
        <v>48.89</v>
      </c>
      <c r="AH300" s="26">
        <f>IFERROR(__xludf.DUMMYFUNCTION("""COMPUTED_VALUE"""),110.17)</f>
        <v>110.17</v>
      </c>
      <c r="AI300" s="26">
        <f>IFERROR(__xludf.DUMMYFUNCTION("""COMPUTED_VALUE"""),700.41)</f>
        <v>700.41</v>
      </c>
      <c r="AJ300" s="26">
        <f>IFERROR(__xludf.DUMMYFUNCTION("""COMPUTED_VALUE"""),371.01)</f>
        <v>371.01</v>
      </c>
      <c r="AK300" s="26">
        <f>IFERROR(__xludf.DUMMYFUNCTION("""COMPUTED_VALUE"""),131.11)</f>
        <v>131.11</v>
      </c>
      <c r="AL300" s="26">
        <f>IFERROR(__xludf.DUMMYFUNCTION("""COMPUTED_VALUE"""),180.8)</f>
        <v>180.8</v>
      </c>
      <c r="AM300" s="26">
        <f>IFERROR(__xludf.DUMMYFUNCTION("""COMPUTED_VALUE"""),511.0)</f>
        <v>511</v>
      </c>
      <c r="AN300" s="26">
        <f>IFERROR(__xludf.DUMMYFUNCTION("""COMPUTED_VALUE"""),291.43)</f>
        <v>291.43</v>
      </c>
      <c r="AO300" s="26">
        <f>IFERROR(__xludf.DUMMYFUNCTION("""COMPUTED_VALUE"""),410.74)</f>
        <v>410.74</v>
      </c>
      <c r="AP300" s="26">
        <f>IFERROR(__xludf.DUMMYFUNCTION("""COMPUTED_VALUE"""),223.93)</f>
        <v>223.93</v>
      </c>
      <c r="AQ300" s="26">
        <f>IFERROR(__xludf.DUMMYFUNCTION("""COMPUTED_VALUE"""),30.8)</f>
        <v>30.8</v>
      </c>
      <c r="AR300" s="26">
        <f>IFERROR(__xludf.DUMMYFUNCTION("""COMPUTED_VALUE"""),91.65)</f>
        <v>91.65</v>
      </c>
      <c r="AS300" s="26">
        <f>IFERROR(__xludf.DUMMYFUNCTION("""COMPUTED_VALUE"""),77.51)</f>
        <v>77.51</v>
      </c>
      <c r="AT300" s="26">
        <f>IFERROR(__xludf.DUMMYFUNCTION("""COMPUTED_VALUE"""),505.27)</f>
        <v>505.27</v>
      </c>
      <c r="AU300" s="26">
        <f>IFERROR(__xludf.DUMMYFUNCTION("""COMPUTED_VALUE"""),77.54)</f>
        <v>77.54</v>
      </c>
      <c r="AV300" s="26">
        <f>IFERROR(__xludf.DUMMYFUNCTION("""COMPUTED_VALUE"""),167.03)</f>
        <v>167.03</v>
      </c>
      <c r="AW300" s="26">
        <f>IFERROR(__xludf.DUMMYFUNCTION("""COMPUTED_VALUE"""),100.99)</f>
        <v>100.99</v>
      </c>
      <c r="AX300" s="26">
        <f>IFERROR(__xludf.DUMMYFUNCTION("""COMPUTED_VALUE"""),50.36)</f>
        <v>50.36</v>
      </c>
      <c r="AY300" s="26">
        <f>IFERROR(__xludf.DUMMYFUNCTION("""COMPUTED_VALUE"""),149.07)</f>
        <v>149.07</v>
      </c>
      <c r="AZ300" s="26">
        <f>IFERROR(__xludf.DUMMYFUNCTION("""COMPUTED_VALUE"""),76.0)</f>
        <v>76</v>
      </c>
      <c r="BA300" s="26">
        <f>IFERROR(__xludf.DUMMYFUNCTION("""COMPUTED_VALUE"""),25.14)</f>
        <v>25.14</v>
      </c>
      <c r="BB300" s="26">
        <f>IFERROR(__xludf.DUMMYFUNCTION("""COMPUTED_VALUE"""),149.17)</f>
        <v>149.17</v>
      </c>
      <c r="BC300" s="26">
        <f>IFERROR(__xludf.DUMMYFUNCTION("""COMPUTED_VALUE"""),233.25)</f>
        <v>233.25</v>
      </c>
      <c r="BD300" s="26">
        <f>IFERROR(__xludf.DUMMYFUNCTION("""COMPUTED_VALUE"""),427.62)</f>
        <v>427.62</v>
      </c>
      <c r="BE300" s="26">
        <f>IFERROR(__xludf.DUMMYFUNCTION("""COMPUTED_VALUE"""),169.99)</f>
        <v>169.99</v>
      </c>
      <c r="BF300" s="26">
        <f>IFERROR(__xludf.DUMMYFUNCTION("""COMPUTED_VALUE"""),105.6)</f>
        <v>105.6</v>
      </c>
      <c r="BG300" s="26">
        <f>IFERROR(__xludf.DUMMYFUNCTION("""COMPUTED_VALUE"""),7.2)</f>
        <v>7.2</v>
      </c>
      <c r="BH300" s="26">
        <f>IFERROR(__xludf.DUMMYFUNCTION("""COMPUTED_VALUE"""),229.24)</f>
        <v>229.24</v>
      </c>
      <c r="BI300" s="26">
        <f>IFERROR(__xludf.DUMMYFUNCTION("""COMPUTED_VALUE"""),285.13)</f>
        <v>285.13</v>
      </c>
      <c r="BJ300" s="26">
        <f>IFERROR(__xludf.DUMMYFUNCTION("""COMPUTED_VALUE"""),50.13)</f>
        <v>50.13</v>
      </c>
      <c r="BK300" s="26">
        <f>IFERROR(__xludf.DUMMYFUNCTION("""COMPUTED_VALUE"""),9.24)</f>
        <v>9.24</v>
      </c>
      <c r="BL300" s="26">
        <f>IFERROR(__xludf.DUMMYFUNCTION("""COMPUTED_VALUE"""),227.09)</f>
        <v>227.09</v>
      </c>
      <c r="BM300" s="26">
        <f>IFERROR(__xludf.DUMMYFUNCTION("""COMPUTED_VALUE"""),121.06)</f>
        <v>121.06</v>
      </c>
    </row>
    <row r="301">
      <c r="A301" s="25">
        <v>45862.66666666667</v>
      </c>
      <c r="B301" s="17">
        <f>IFERROR(__xludf.DUMMYFUNCTION("""COMPUTED_VALUE"""),6358.91)</f>
        <v>6358.91</v>
      </c>
      <c r="C301" s="17">
        <f>IFERROR(__xludf.DUMMYFUNCTION("""COMPUTED_VALUE"""),21020.02)</f>
        <v>21020.02</v>
      </c>
      <c r="D301" s="17">
        <f>IFERROR(__xludf.DUMMYFUNCTION("""COMPUTED_VALUE"""),45010.29)</f>
        <v>45010.29</v>
      </c>
      <c r="E301" s="17">
        <f>IFERROR(__xludf.DUMMYFUNCTION("""COMPUTED_VALUE"""),2283.13)</f>
        <v>2283.13</v>
      </c>
      <c r="F301" s="26">
        <f>IFERROR(__xludf.DUMMYFUNCTION("""COMPUTED_VALUE"""),372.46)</f>
        <v>372.46</v>
      </c>
      <c r="G301" s="26">
        <f>IFERROR(__xludf.DUMMYFUNCTION("""COMPUTED_VALUE"""),228.29)</f>
        <v>228.29</v>
      </c>
      <c r="H301" s="26">
        <f>IFERROR(__xludf.DUMMYFUNCTION("""COMPUTED_VALUE"""),141.88)</f>
        <v>141.88</v>
      </c>
      <c r="I301" s="26">
        <f>IFERROR(__xludf.DUMMYFUNCTION("""COMPUTED_VALUE"""),214.15)</f>
        <v>214.15</v>
      </c>
      <c r="J301" s="26">
        <f>IFERROR(__xludf.DUMMYFUNCTION("""COMPUTED_VALUE"""),187.01)</f>
        <v>187.01</v>
      </c>
      <c r="K301" s="26">
        <f>IFERROR(__xludf.DUMMYFUNCTION("""COMPUTED_VALUE"""),99.63)</f>
        <v>99.63</v>
      </c>
      <c r="L301" s="26">
        <f>IFERROR(__xludf.DUMMYFUNCTION("""COMPUTED_VALUE"""),19.46)</f>
        <v>19.46</v>
      </c>
      <c r="M301" s="26">
        <f>IFERROR(__xludf.DUMMYFUNCTION("""COMPUTED_VALUE"""),482.63)</f>
        <v>482.63</v>
      </c>
      <c r="N301" s="26">
        <f>IFERROR(__xludf.DUMMYFUNCTION("""COMPUTED_VALUE"""),55.31)</f>
        <v>55.31</v>
      </c>
      <c r="O301" s="26">
        <f>IFERROR(__xludf.DUMMYFUNCTION("""COMPUTED_VALUE"""),130.98)</f>
        <v>130.98</v>
      </c>
      <c r="P301" s="26">
        <f>IFERROR(__xludf.DUMMYFUNCTION("""COMPUTED_VALUE"""),79.61)</f>
        <v>79.61</v>
      </c>
      <c r="Q301" s="26">
        <f>IFERROR(__xludf.DUMMYFUNCTION("""COMPUTED_VALUE"""),427.59)</f>
        <v>427.59</v>
      </c>
      <c r="R301" s="26">
        <f>IFERROR(__xludf.DUMMYFUNCTION("""COMPUTED_VALUE"""),79.15)</f>
        <v>79.15</v>
      </c>
      <c r="S301" s="26">
        <f>IFERROR(__xludf.DUMMYFUNCTION("""COMPUTED_VALUE"""),223.0)</f>
        <v>223</v>
      </c>
      <c r="T301" s="26">
        <f>IFERROR(__xludf.DUMMYFUNCTION("""COMPUTED_VALUE"""),153.12)</f>
        <v>153.12</v>
      </c>
      <c r="U301" s="26">
        <f>IFERROR(__xludf.DUMMYFUNCTION("""COMPUTED_VALUE"""),304.34)</f>
        <v>304.34</v>
      </c>
      <c r="V301" s="26">
        <f>IFERROR(__xludf.DUMMYFUNCTION("""COMPUTED_VALUE"""),49.88)</f>
        <v>49.88</v>
      </c>
      <c r="W301" s="26">
        <f>IFERROR(__xludf.DUMMYFUNCTION("""COMPUTED_VALUE"""),69.16)</f>
        <v>69.16</v>
      </c>
      <c r="X301" s="26">
        <f>IFERROR(__xludf.DUMMYFUNCTION("""COMPUTED_VALUE"""),102.55)</f>
        <v>102.55</v>
      </c>
      <c r="Y301" s="26">
        <f>IFERROR(__xludf.DUMMYFUNCTION("""COMPUTED_VALUE"""),179.24)</f>
        <v>179.24</v>
      </c>
      <c r="Z301" s="26">
        <f>IFERROR(__xludf.DUMMYFUNCTION("""COMPUTED_VALUE"""),114.92)</f>
        <v>114.92</v>
      </c>
      <c r="AA301" s="26">
        <f>IFERROR(__xludf.DUMMYFUNCTION("""COMPUTED_VALUE"""),478.05)</f>
        <v>478.05</v>
      </c>
      <c r="AB301" s="26">
        <f>IFERROR(__xludf.DUMMYFUNCTION("""COMPUTED_VALUE"""),81.93)</f>
        <v>81.93</v>
      </c>
      <c r="AC301" s="26">
        <f>IFERROR(__xludf.DUMMYFUNCTION("""COMPUTED_VALUE"""),109.93)</f>
        <v>109.93</v>
      </c>
      <c r="AD301" s="26">
        <f>IFERROR(__xludf.DUMMYFUNCTION("""COMPUTED_VALUE"""),237.9)</f>
        <v>237.9</v>
      </c>
      <c r="AE301" s="26">
        <f>IFERROR(__xludf.DUMMYFUNCTION("""COMPUTED_VALUE"""),517.56)</f>
        <v>517.56</v>
      </c>
      <c r="AF301" s="26">
        <f>IFERROR(__xludf.DUMMYFUNCTION("""COMPUTED_VALUE"""),316.94)</f>
        <v>316.94</v>
      </c>
      <c r="AG301" s="26">
        <f>IFERROR(__xludf.DUMMYFUNCTION("""COMPUTED_VALUE"""),53.13)</f>
        <v>53.13</v>
      </c>
      <c r="AH301" s="26">
        <f>IFERROR(__xludf.DUMMYFUNCTION("""COMPUTED_VALUE"""),113.56)</f>
        <v>113.56</v>
      </c>
      <c r="AI301" s="26">
        <f>IFERROR(__xludf.DUMMYFUNCTION("""COMPUTED_VALUE"""),717.52)</f>
        <v>717.52</v>
      </c>
      <c r="AJ301" s="26">
        <f>IFERROR(__xludf.DUMMYFUNCTION("""COMPUTED_VALUE"""),376.35)</f>
        <v>376.35</v>
      </c>
      <c r="AK301" s="26">
        <f>IFERROR(__xludf.DUMMYFUNCTION("""COMPUTED_VALUE"""),132.84)</f>
        <v>132.84</v>
      </c>
      <c r="AL301" s="26">
        <f>IFERROR(__xludf.DUMMYFUNCTION("""COMPUTED_VALUE"""),181.0)</f>
        <v>181</v>
      </c>
      <c r="AM301" s="26">
        <f>IFERROR(__xludf.DUMMYFUNCTION("""COMPUTED_VALUE"""),501.95)</f>
        <v>501.95</v>
      </c>
      <c r="AN301" s="26">
        <f>IFERROR(__xludf.DUMMYFUNCTION("""COMPUTED_VALUE"""),296.76)</f>
        <v>296.76</v>
      </c>
      <c r="AO301" s="26">
        <f>IFERROR(__xludf.DUMMYFUNCTION("""COMPUTED_VALUE"""),419.39)</f>
        <v>419.39</v>
      </c>
      <c r="AP301" s="26">
        <f>IFERROR(__xludf.DUMMYFUNCTION("""COMPUTED_VALUE"""),224.03)</f>
        <v>224.03</v>
      </c>
      <c r="AQ301" s="26">
        <f>IFERROR(__xludf.DUMMYFUNCTION("""COMPUTED_VALUE"""),31.34)</f>
        <v>31.34</v>
      </c>
      <c r="AR301" s="26">
        <f>IFERROR(__xludf.DUMMYFUNCTION("""COMPUTED_VALUE"""),92.01)</f>
        <v>92.01</v>
      </c>
      <c r="AS301" s="26">
        <f>IFERROR(__xludf.DUMMYFUNCTION("""COMPUTED_VALUE"""),78.44)</f>
        <v>78.44</v>
      </c>
      <c r="AT301" s="26">
        <f>IFERROR(__xludf.DUMMYFUNCTION("""COMPUTED_VALUE"""),505.87)</f>
        <v>505.87</v>
      </c>
      <c r="AU301" s="26">
        <f>IFERROR(__xludf.DUMMYFUNCTION("""COMPUTED_VALUE"""),72.82)</f>
        <v>72.82</v>
      </c>
      <c r="AV301" s="26">
        <f>IFERROR(__xludf.DUMMYFUNCTION("""COMPUTED_VALUE"""),170.78)</f>
        <v>170.78</v>
      </c>
      <c r="AW301" s="26">
        <f>IFERROR(__xludf.DUMMYFUNCTION("""COMPUTED_VALUE"""),88.49)</f>
        <v>88.49</v>
      </c>
      <c r="AX301" s="26">
        <f>IFERROR(__xludf.DUMMYFUNCTION("""COMPUTED_VALUE"""),51.64)</f>
        <v>51.64</v>
      </c>
      <c r="AY301" s="26">
        <f>IFERROR(__xludf.DUMMYFUNCTION("""COMPUTED_VALUE"""),154.63)</f>
        <v>154.63</v>
      </c>
      <c r="AZ301" s="26">
        <f>IFERROR(__xludf.DUMMYFUNCTION("""COMPUTED_VALUE"""),76.66)</f>
        <v>76.66</v>
      </c>
      <c r="BA301" s="26">
        <f>IFERROR(__xludf.DUMMYFUNCTION("""COMPUTED_VALUE"""),25.36)</f>
        <v>25.36</v>
      </c>
      <c r="BB301" s="26">
        <f>IFERROR(__xludf.DUMMYFUNCTION("""COMPUTED_VALUE"""),156.49)</f>
        <v>156.49</v>
      </c>
      <c r="BC301" s="26">
        <f>IFERROR(__xludf.DUMMYFUNCTION("""COMPUTED_VALUE"""),233.93)</f>
        <v>233.93</v>
      </c>
      <c r="BD301" s="26">
        <f>IFERROR(__xludf.DUMMYFUNCTION("""COMPUTED_VALUE"""),466.71)</f>
        <v>466.71</v>
      </c>
      <c r="BE301" s="26">
        <f>IFERROR(__xludf.DUMMYFUNCTION("""COMPUTED_VALUE"""),193.18)</f>
        <v>193.18</v>
      </c>
      <c r="BF301" s="26">
        <f>IFERROR(__xludf.DUMMYFUNCTION("""COMPUTED_VALUE"""),109.97)</f>
        <v>109.97</v>
      </c>
      <c r="BG301" s="26">
        <f>IFERROR(__xludf.DUMMYFUNCTION("""COMPUTED_VALUE"""),7.37)</f>
        <v>7.37</v>
      </c>
      <c r="BH301" s="26">
        <f>IFERROR(__xludf.DUMMYFUNCTION("""COMPUTED_VALUE"""),231.0)</f>
        <v>231</v>
      </c>
      <c r="BI301" s="26">
        <f>IFERROR(__xludf.DUMMYFUNCTION("""COMPUTED_VALUE"""),292.51)</f>
        <v>292.51</v>
      </c>
      <c r="BJ301" s="26">
        <f>IFERROR(__xludf.DUMMYFUNCTION("""COMPUTED_VALUE"""),50.02)</f>
        <v>50.02</v>
      </c>
      <c r="BK301" s="26">
        <f>IFERROR(__xludf.DUMMYFUNCTION("""COMPUTED_VALUE"""),9.37)</f>
        <v>9.37</v>
      </c>
      <c r="BL301" s="26">
        <f>IFERROR(__xludf.DUMMYFUNCTION("""COMPUTED_VALUE"""),228.12)</f>
        <v>228.12</v>
      </c>
      <c r="BM301" s="26">
        <f>IFERROR(__xludf.DUMMYFUNCTION("""COMPUTED_VALUE"""),122.94)</f>
        <v>122.94</v>
      </c>
    </row>
    <row r="302">
      <c r="A302" s="25">
        <v>45863.66666666667</v>
      </c>
      <c r="B302" s="17">
        <f>IFERROR(__xludf.DUMMYFUNCTION("""COMPUTED_VALUE"""),6363.35)</f>
        <v>6363.35</v>
      </c>
      <c r="C302" s="17">
        <f>IFERROR(__xludf.DUMMYFUNCTION("""COMPUTED_VALUE"""),21057.96)</f>
        <v>21057.96</v>
      </c>
      <c r="D302" s="17">
        <f>IFERROR(__xludf.DUMMYFUNCTION("""COMPUTED_VALUE"""),44693.91)</f>
        <v>44693.91</v>
      </c>
      <c r="E302" s="17">
        <f>IFERROR(__xludf.DUMMYFUNCTION("""COMPUTED_VALUE"""),2252.13)</f>
        <v>2252.13</v>
      </c>
      <c r="F302" s="26">
        <f>IFERROR(__xludf.DUMMYFUNCTION("""COMPUTED_VALUE"""),371.69)</f>
        <v>371.69</v>
      </c>
      <c r="G302" s="26">
        <f>IFERROR(__xludf.DUMMYFUNCTION("""COMPUTED_VALUE"""),232.23)</f>
        <v>232.23</v>
      </c>
      <c r="H302" s="26">
        <f>IFERROR(__xludf.DUMMYFUNCTION("""COMPUTED_VALUE"""),140.51)</f>
        <v>140.51</v>
      </c>
      <c r="I302" s="26">
        <f>IFERROR(__xludf.DUMMYFUNCTION("""COMPUTED_VALUE"""),213.76)</f>
        <v>213.76</v>
      </c>
      <c r="J302" s="26">
        <f>IFERROR(__xludf.DUMMYFUNCTION("""COMPUTED_VALUE"""),188.12)</f>
        <v>188.12</v>
      </c>
      <c r="K302" s="26">
        <f>IFERROR(__xludf.DUMMYFUNCTION("""COMPUTED_VALUE"""),99.97)</f>
        <v>99.97</v>
      </c>
      <c r="L302" s="26">
        <f>IFERROR(__xludf.DUMMYFUNCTION("""COMPUTED_VALUE"""),19.4)</f>
        <v>19.4</v>
      </c>
      <c r="M302" s="26">
        <f>IFERROR(__xludf.DUMMYFUNCTION("""COMPUTED_VALUE"""),480.6)</f>
        <v>480.6</v>
      </c>
      <c r="N302" s="26">
        <f>IFERROR(__xludf.DUMMYFUNCTION("""COMPUTED_VALUE"""),54.08)</f>
        <v>54.08</v>
      </c>
      <c r="O302" s="26">
        <f>IFERROR(__xludf.DUMMYFUNCTION("""COMPUTED_VALUE"""),132.59)</f>
        <v>132.59</v>
      </c>
      <c r="P302" s="26">
        <f>IFERROR(__xludf.DUMMYFUNCTION("""COMPUTED_VALUE"""),79.44)</f>
        <v>79.44</v>
      </c>
      <c r="Q302" s="26">
        <f>IFERROR(__xludf.DUMMYFUNCTION("""COMPUTED_VALUE"""),429.52)</f>
        <v>429.52</v>
      </c>
      <c r="R302" s="26">
        <f>IFERROR(__xludf.DUMMYFUNCTION("""COMPUTED_VALUE"""),79.92)</f>
        <v>79.92</v>
      </c>
      <c r="S302" s="26">
        <f>IFERROR(__xludf.DUMMYFUNCTION("""COMPUTED_VALUE"""),222.01)</f>
        <v>222.01</v>
      </c>
      <c r="T302" s="26">
        <f>IFERROR(__xludf.DUMMYFUNCTION("""COMPUTED_VALUE"""),155.83)</f>
        <v>155.83</v>
      </c>
      <c r="U302" s="26">
        <f>IFERROR(__xludf.DUMMYFUNCTION("""COMPUTED_VALUE"""),293.93)</f>
        <v>293.93</v>
      </c>
      <c r="V302" s="26">
        <f>IFERROR(__xludf.DUMMYFUNCTION("""COMPUTED_VALUE"""),49.28)</f>
        <v>49.28</v>
      </c>
      <c r="W302" s="26">
        <f>IFERROR(__xludf.DUMMYFUNCTION("""COMPUTED_VALUE"""),69.1)</f>
        <v>69.1</v>
      </c>
      <c r="X302" s="26">
        <f>IFERROR(__xludf.DUMMYFUNCTION("""COMPUTED_VALUE"""),102.05)</f>
        <v>102.05</v>
      </c>
      <c r="Y302" s="26">
        <f>IFERROR(__xludf.DUMMYFUNCTION("""COMPUTED_VALUE"""),180.02)</f>
        <v>180.02</v>
      </c>
      <c r="Z302" s="26">
        <f>IFERROR(__xludf.DUMMYFUNCTION("""COMPUTED_VALUE"""),114.21)</f>
        <v>114.21</v>
      </c>
      <c r="AA302" s="26">
        <f>IFERROR(__xludf.DUMMYFUNCTION("""COMPUTED_VALUE"""),476.34)</f>
        <v>476.34</v>
      </c>
      <c r="AB302" s="26">
        <f>IFERROR(__xludf.DUMMYFUNCTION("""COMPUTED_VALUE"""),82.45)</f>
        <v>82.45</v>
      </c>
      <c r="AC302" s="26">
        <f>IFERROR(__xludf.DUMMYFUNCTION("""COMPUTED_VALUE"""),110.79)</f>
        <v>110.79</v>
      </c>
      <c r="AD302" s="26">
        <f>IFERROR(__xludf.DUMMYFUNCTION("""COMPUTED_VALUE"""),236.51)</f>
        <v>236.51</v>
      </c>
      <c r="AE302" s="26">
        <f>IFERROR(__xludf.DUMMYFUNCTION("""COMPUTED_VALUE"""),516.2)</f>
        <v>516.2</v>
      </c>
      <c r="AF302" s="26">
        <f>IFERROR(__xludf.DUMMYFUNCTION("""COMPUTED_VALUE"""),314.24)</f>
        <v>314.24</v>
      </c>
      <c r="AG302" s="26">
        <f>IFERROR(__xludf.DUMMYFUNCTION("""COMPUTED_VALUE"""),52.34)</f>
        <v>52.34</v>
      </c>
      <c r="AH302" s="26">
        <f>IFERROR(__xludf.DUMMYFUNCTION("""COMPUTED_VALUE"""),113.2)</f>
        <v>113.2</v>
      </c>
      <c r="AI302" s="26">
        <f>IFERROR(__xludf.DUMMYFUNCTION("""COMPUTED_VALUE"""),719.18)</f>
        <v>719.18</v>
      </c>
      <c r="AJ302" s="26">
        <f>IFERROR(__xludf.DUMMYFUNCTION("""COMPUTED_VALUE"""),373.09)</f>
        <v>373.09</v>
      </c>
      <c r="AK302" s="26">
        <f>IFERROR(__xludf.DUMMYFUNCTION("""COMPUTED_VALUE"""),132.48)</f>
        <v>132.48</v>
      </c>
      <c r="AL302" s="26">
        <f>IFERROR(__xludf.DUMMYFUNCTION("""COMPUTED_VALUE"""),183.58)</f>
        <v>183.58</v>
      </c>
      <c r="AM302" s="26">
        <f>IFERROR(__xludf.DUMMYFUNCTION("""COMPUTED_VALUE"""),488.61)</f>
        <v>488.61</v>
      </c>
      <c r="AN302" s="26">
        <f>IFERROR(__xludf.DUMMYFUNCTION("""COMPUTED_VALUE"""),296.55)</f>
        <v>296.55</v>
      </c>
      <c r="AO302" s="26">
        <f>IFERROR(__xludf.DUMMYFUNCTION("""COMPUTED_VALUE"""),420.55)</f>
        <v>420.55</v>
      </c>
      <c r="AP302" s="26">
        <f>IFERROR(__xludf.DUMMYFUNCTION("""COMPUTED_VALUE"""),218.69)</f>
        <v>218.69</v>
      </c>
      <c r="AQ302" s="26">
        <f>IFERROR(__xludf.DUMMYFUNCTION("""COMPUTED_VALUE"""),31.14)</f>
        <v>31.14</v>
      </c>
      <c r="AR302" s="26">
        <f>IFERROR(__xludf.DUMMYFUNCTION("""COMPUTED_VALUE"""),92.32)</f>
        <v>92.32</v>
      </c>
      <c r="AS302" s="26">
        <f>IFERROR(__xludf.DUMMYFUNCTION("""COMPUTED_VALUE"""),77.79)</f>
        <v>77.79</v>
      </c>
      <c r="AT302" s="26">
        <f>IFERROR(__xludf.DUMMYFUNCTION("""COMPUTED_VALUE"""),510.88)</f>
        <v>510.88</v>
      </c>
      <c r="AU302" s="26">
        <f>IFERROR(__xludf.DUMMYFUNCTION("""COMPUTED_VALUE"""),71.97)</f>
        <v>71.97</v>
      </c>
      <c r="AV302" s="26">
        <f>IFERROR(__xludf.DUMMYFUNCTION("""COMPUTED_VALUE"""),173.74)</f>
        <v>173.74</v>
      </c>
      <c r="AW302" s="26">
        <f>IFERROR(__xludf.DUMMYFUNCTION("""COMPUTED_VALUE"""),89.2)</f>
        <v>89.2</v>
      </c>
      <c r="AX302" s="26">
        <f>IFERROR(__xludf.DUMMYFUNCTION("""COMPUTED_VALUE"""),49.95)</f>
        <v>49.95</v>
      </c>
      <c r="AY302" s="26">
        <f>IFERROR(__xludf.DUMMYFUNCTION("""COMPUTED_VALUE"""),154.86)</f>
        <v>154.86</v>
      </c>
      <c r="AZ302" s="26">
        <f>IFERROR(__xludf.DUMMYFUNCTION("""COMPUTED_VALUE"""),77.82)</f>
        <v>77.82</v>
      </c>
      <c r="BA302" s="26">
        <f>IFERROR(__xludf.DUMMYFUNCTION("""COMPUTED_VALUE"""),25.35)</f>
        <v>25.35</v>
      </c>
      <c r="BB302" s="26">
        <f>IFERROR(__xludf.DUMMYFUNCTION("""COMPUTED_VALUE"""),155.22)</f>
        <v>155.22</v>
      </c>
      <c r="BC302" s="26">
        <f>IFERROR(__xludf.DUMMYFUNCTION("""COMPUTED_VALUE"""),247.5)</f>
        <v>247.5</v>
      </c>
      <c r="BD302" s="26">
        <f>IFERROR(__xludf.DUMMYFUNCTION("""COMPUTED_VALUE"""),475.03)</f>
        <v>475.03</v>
      </c>
      <c r="BE302" s="26">
        <f>IFERROR(__xludf.DUMMYFUNCTION("""COMPUTED_VALUE"""),191.66)</f>
        <v>191.66</v>
      </c>
      <c r="BF302" s="26">
        <f>IFERROR(__xludf.DUMMYFUNCTION("""COMPUTED_VALUE"""),106.79)</f>
        <v>106.79</v>
      </c>
      <c r="BG302" s="26">
        <f>IFERROR(__xludf.DUMMYFUNCTION("""COMPUTED_VALUE"""),7.17)</f>
        <v>7.17</v>
      </c>
      <c r="BH302" s="26">
        <f>IFERROR(__xludf.DUMMYFUNCTION("""COMPUTED_VALUE"""),220.52)</f>
        <v>220.52</v>
      </c>
      <c r="BI302" s="26">
        <f>IFERROR(__xludf.DUMMYFUNCTION("""COMPUTED_VALUE"""),278.58)</f>
        <v>278.58</v>
      </c>
      <c r="BJ302" s="26">
        <f>IFERROR(__xludf.DUMMYFUNCTION("""COMPUTED_VALUE"""),50.03)</f>
        <v>50.03</v>
      </c>
      <c r="BK302" s="26">
        <f>IFERROR(__xludf.DUMMYFUNCTION("""COMPUTED_VALUE"""),9.35)</f>
        <v>9.35</v>
      </c>
      <c r="BL302" s="26">
        <f>IFERROR(__xludf.DUMMYFUNCTION("""COMPUTED_VALUE"""),230.61)</f>
        <v>230.61</v>
      </c>
      <c r="BM302" s="26">
        <f>IFERROR(__xludf.DUMMYFUNCTION("""COMPUTED_VALUE"""),121.95)</f>
        <v>121.95</v>
      </c>
    </row>
    <row r="303">
      <c r="A303" s="25">
        <v>45866.66666666667</v>
      </c>
      <c r="B303" s="17">
        <f>IFERROR(__xludf.DUMMYFUNCTION("""COMPUTED_VALUE"""),6388.64)</f>
        <v>6388.64</v>
      </c>
      <c r="C303" s="17">
        <f>IFERROR(__xludf.DUMMYFUNCTION("""COMPUTED_VALUE"""),21108.32)</f>
        <v>21108.32</v>
      </c>
      <c r="D303" s="17">
        <f>IFERROR(__xludf.DUMMYFUNCTION("""COMPUTED_VALUE"""),44901.92)</f>
        <v>44901.92</v>
      </c>
      <c r="E303" s="17">
        <f>IFERROR(__xludf.DUMMYFUNCTION("""COMPUTED_VALUE"""),2261.07)</f>
        <v>2261.07</v>
      </c>
      <c r="F303" s="26">
        <f>IFERROR(__xludf.DUMMYFUNCTION("""COMPUTED_VALUE"""),370.74)</f>
        <v>370.74</v>
      </c>
      <c r="G303" s="26">
        <f>IFERROR(__xludf.DUMMYFUNCTION("""COMPUTED_VALUE"""),231.44)</f>
        <v>231.44</v>
      </c>
      <c r="H303" s="26">
        <f>IFERROR(__xludf.DUMMYFUNCTION("""COMPUTED_VALUE"""),140.32)</f>
        <v>140.32</v>
      </c>
      <c r="I303" s="26">
        <f>IFERROR(__xludf.DUMMYFUNCTION("""COMPUTED_VALUE"""),213.88)</f>
        <v>213.88</v>
      </c>
      <c r="J303" s="26">
        <f>IFERROR(__xludf.DUMMYFUNCTION("""COMPUTED_VALUE"""),185.69)</f>
        <v>185.69</v>
      </c>
      <c r="K303" s="26">
        <f>IFERROR(__xludf.DUMMYFUNCTION("""COMPUTED_VALUE"""),100.92)</f>
        <v>100.92</v>
      </c>
      <c r="L303" s="26">
        <f>IFERROR(__xludf.DUMMYFUNCTION("""COMPUTED_VALUE"""),19.62)</f>
        <v>19.62</v>
      </c>
      <c r="M303" s="26">
        <f>IFERROR(__xludf.DUMMYFUNCTION("""COMPUTED_VALUE"""),484.07)</f>
        <v>484.07</v>
      </c>
      <c r="N303" s="26">
        <f>IFERROR(__xludf.DUMMYFUNCTION("""COMPUTED_VALUE"""),53.15)</f>
        <v>53.15</v>
      </c>
      <c r="O303" s="26">
        <f>IFERROR(__xludf.DUMMYFUNCTION("""COMPUTED_VALUE"""),131.52)</f>
        <v>131.52</v>
      </c>
      <c r="P303" s="26">
        <f>IFERROR(__xludf.DUMMYFUNCTION("""COMPUTED_VALUE"""),80.73)</f>
        <v>80.73</v>
      </c>
      <c r="Q303" s="26">
        <f>IFERROR(__xludf.DUMMYFUNCTION("""COMPUTED_VALUE"""),433.75)</f>
        <v>433.75</v>
      </c>
      <c r="R303" s="26">
        <f>IFERROR(__xludf.DUMMYFUNCTION("""COMPUTED_VALUE"""),79.6)</f>
        <v>79.6</v>
      </c>
      <c r="S303" s="26">
        <f>IFERROR(__xludf.DUMMYFUNCTION("""COMPUTED_VALUE"""),220.11)</f>
        <v>220.11</v>
      </c>
      <c r="T303" s="26">
        <f>IFERROR(__xludf.DUMMYFUNCTION("""COMPUTED_VALUE"""),154.84)</f>
        <v>154.84</v>
      </c>
      <c r="U303" s="26">
        <f>IFERROR(__xludf.DUMMYFUNCTION("""COMPUTED_VALUE"""),296.37)</f>
        <v>296.37</v>
      </c>
      <c r="V303" s="26">
        <f>IFERROR(__xludf.DUMMYFUNCTION("""COMPUTED_VALUE"""),49.49)</f>
        <v>49.49</v>
      </c>
      <c r="W303" s="26">
        <f>IFERROR(__xludf.DUMMYFUNCTION("""COMPUTED_VALUE"""),69.17)</f>
        <v>69.17</v>
      </c>
      <c r="X303" s="26">
        <f>IFERROR(__xludf.DUMMYFUNCTION("""COMPUTED_VALUE"""),102.26)</f>
        <v>102.26</v>
      </c>
      <c r="Y303" s="26">
        <f>IFERROR(__xludf.DUMMYFUNCTION("""COMPUTED_VALUE"""),177.91)</f>
        <v>177.91</v>
      </c>
      <c r="Z303" s="26">
        <f>IFERROR(__xludf.DUMMYFUNCTION("""COMPUTED_VALUE"""),114.41)</f>
        <v>114.41</v>
      </c>
      <c r="AA303" s="26">
        <f>IFERROR(__xludf.DUMMYFUNCTION("""COMPUTED_VALUE"""),485.53)</f>
        <v>485.53</v>
      </c>
      <c r="AB303" s="26">
        <f>IFERROR(__xludf.DUMMYFUNCTION("""COMPUTED_VALUE"""),81.43)</f>
        <v>81.43</v>
      </c>
      <c r="AC303" s="26">
        <f>IFERROR(__xludf.DUMMYFUNCTION("""COMPUTED_VALUE"""),110.4)</f>
        <v>110.4</v>
      </c>
      <c r="AD303" s="26">
        <f>IFERROR(__xludf.DUMMYFUNCTION("""COMPUTED_VALUE"""),243.2)</f>
        <v>243.2</v>
      </c>
      <c r="AE303" s="26">
        <f>IFERROR(__xludf.DUMMYFUNCTION("""COMPUTED_VALUE"""),517.65)</f>
        <v>517.65</v>
      </c>
      <c r="AF303" s="26">
        <f>IFERROR(__xludf.DUMMYFUNCTION("""COMPUTED_VALUE"""),314.02)</f>
        <v>314.02</v>
      </c>
      <c r="AG303" s="26">
        <f>IFERROR(__xludf.DUMMYFUNCTION("""COMPUTED_VALUE"""),53.4)</f>
        <v>53.4</v>
      </c>
      <c r="AH303" s="26">
        <f>IFERROR(__xludf.DUMMYFUNCTION("""COMPUTED_VALUE"""),116.2)</f>
        <v>116.2</v>
      </c>
      <c r="AI303" s="26">
        <f>IFERROR(__xludf.DUMMYFUNCTION("""COMPUTED_VALUE"""),728.98)</f>
        <v>728.98</v>
      </c>
      <c r="AJ303" s="26">
        <f>IFERROR(__xludf.DUMMYFUNCTION("""COMPUTED_VALUE"""),375.34)</f>
        <v>375.34</v>
      </c>
      <c r="AK303" s="26">
        <f>IFERROR(__xludf.DUMMYFUNCTION("""COMPUTED_VALUE"""),133.49)</f>
        <v>133.49</v>
      </c>
      <c r="AL303" s="26">
        <f>IFERROR(__xludf.DUMMYFUNCTION("""COMPUTED_VALUE"""),184.44)</f>
        <v>184.44</v>
      </c>
      <c r="AM303" s="26">
        <f>IFERROR(__xludf.DUMMYFUNCTION("""COMPUTED_VALUE"""),495.86)</f>
        <v>495.86</v>
      </c>
      <c r="AN303" s="26">
        <f>IFERROR(__xludf.DUMMYFUNCTION("""COMPUTED_VALUE"""),298.62)</f>
        <v>298.62</v>
      </c>
      <c r="AO303" s="26">
        <f>IFERROR(__xludf.DUMMYFUNCTION("""COMPUTED_VALUE"""),421.17)</f>
        <v>421.17</v>
      </c>
      <c r="AP303" s="26">
        <f>IFERROR(__xludf.DUMMYFUNCTION("""COMPUTED_VALUE"""),219.43)</f>
        <v>219.43</v>
      </c>
      <c r="AQ303" s="26">
        <f>IFERROR(__xludf.DUMMYFUNCTION("""COMPUTED_VALUE"""),31.32)</f>
        <v>31.32</v>
      </c>
      <c r="AR303" s="26">
        <f>IFERROR(__xludf.DUMMYFUNCTION("""COMPUTED_VALUE"""),92.94)</f>
        <v>92.94</v>
      </c>
      <c r="AS303" s="26">
        <f>IFERROR(__xludf.DUMMYFUNCTION("""COMPUTED_VALUE"""),78.56)</f>
        <v>78.56</v>
      </c>
      <c r="AT303" s="26">
        <f>IFERROR(__xludf.DUMMYFUNCTION("""COMPUTED_VALUE"""),513.71)</f>
        <v>513.71</v>
      </c>
      <c r="AU303" s="26">
        <f>IFERROR(__xludf.DUMMYFUNCTION("""COMPUTED_VALUE"""),71.85)</f>
        <v>71.85</v>
      </c>
      <c r="AV303" s="26">
        <f>IFERROR(__xludf.DUMMYFUNCTION("""COMPUTED_VALUE"""),173.5)</f>
        <v>173.5</v>
      </c>
      <c r="AW303" s="26">
        <f>IFERROR(__xludf.DUMMYFUNCTION("""COMPUTED_VALUE"""),89.79)</f>
        <v>89.79</v>
      </c>
      <c r="AX303" s="26">
        <f>IFERROR(__xludf.DUMMYFUNCTION("""COMPUTED_VALUE"""),50.76)</f>
        <v>50.76</v>
      </c>
      <c r="AY303" s="26">
        <f>IFERROR(__xludf.DUMMYFUNCTION("""COMPUTED_VALUE"""),158.8)</f>
        <v>158.8</v>
      </c>
      <c r="AZ303" s="26">
        <f>IFERROR(__xludf.DUMMYFUNCTION("""COMPUTED_VALUE"""),77.98)</f>
        <v>77.98</v>
      </c>
      <c r="BA303" s="26">
        <f>IFERROR(__xludf.DUMMYFUNCTION("""COMPUTED_VALUE"""),24.79)</f>
        <v>24.79</v>
      </c>
      <c r="BB303" s="26">
        <f>IFERROR(__xludf.DUMMYFUNCTION("""COMPUTED_VALUE"""),156.88)</f>
        <v>156.88</v>
      </c>
      <c r="BC303" s="26">
        <f>IFERROR(__xludf.DUMMYFUNCTION("""COMPUTED_VALUE"""),243.55)</f>
        <v>243.55</v>
      </c>
      <c r="BD303" s="26">
        <f>IFERROR(__xludf.DUMMYFUNCTION("""COMPUTED_VALUE"""),478.32)</f>
        <v>478.32</v>
      </c>
      <c r="BE303" s="26">
        <f>IFERROR(__xludf.DUMMYFUNCTION("""COMPUTED_VALUE"""),188.49)</f>
        <v>188.49</v>
      </c>
      <c r="BF303" s="26">
        <f>IFERROR(__xludf.DUMMYFUNCTION("""COMPUTED_VALUE"""),108.12)</f>
        <v>108.12</v>
      </c>
      <c r="BG303" s="26">
        <f>IFERROR(__xludf.DUMMYFUNCTION("""COMPUTED_VALUE"""),7.36)</f>
        <v>7.36</v>
      </c>
      <c r="BH303" s="26">
        <f>IFERROR(__xludf.DUMMYFUNCTION("""COMPUTED_VALUE"""),224.74)</f>
        <v>224.74</v>
      </c>
      <c r="BI303" s="26">
        <f>IFERROR(__xludf.DUMMYFUNCTION("""COMPUTED_VALUE"""),281.06)</f>
        <v>281.06</v>
      </c>
      <c r="BJ303" s="26">
        <f>IFERROR(__xludf.DUMMYFUNCTION("""COMPUTED_VALUE"""),50.03)</f>
        <v>50.03</v>
      </c>
      <c r="BK303" s="26">
        <f>IFERROR(__xludf.DUMMYFUNCTION("""COMPUTED_VALUE"""),9.41)</f>
        <v>9.41</v>
      </c>
      <c r="BL303" s="26">
        <f>IFERROR(__xludf.DUMMYFUNCTION("""COMPUTED_VALUE"""),229.67)</f>
        <v>229.67</v>
      </c>
      <c r="BM303" s="26">
        <f>IFERROR(__xludf.DUMMYFUNCTION("""COMPUTED_VALUE"""),121.47)</f>
        <v>121.47</v>
      </c>
    </row>
    <row r="304">
      <c r="A304" s="25">
        <v>45867.66666666667</v>
      </c>
      <c r="B304" s="17">
        <f>IFERROR(__xludf.DUMMYFUNCTION("""COMPUTED_VALUE"""),6389.77)</f>
        <v>6389.77</v>
      </c>
      <c r="C304" s="17">
        <f>IFERROR(__xludf.DUMMYFUNCTION("""COMPUTED_VALUE"""),21178.58)</f>
        <v>21178.58</v>
      </c>
      <c r="D304" s="17">
        <f>IFERROR(__xludf.DUMMYFUNCTION("""COMPUTED_VALUE"""),44837.56)</f>
        <v>44837.56</v>
      </c>
      <c r="E304" s="17">
        <f>IFERROR(__xludf.DUMMYFUNCTION("""COMPUTED_VALUE"""),2256.73)</f>
        <v>2256.73</v>
      </c>
      <c r="F304" s="26">
        <f>IFERROR(__xludf.DUMMYFUNCTION("""COMPUTED_VALUE"""),369.47)</f>
        <v>369.47</v>
      </c>
      <c r="G304" s="26">
        <f>IFERROR(__xludf.DUMMYFUNCTION("""COMPUTED_VALUE"""),232.79)</f>
        <v>232.79</v>
      </c>
      <c r="H304" s="26">
        <f>IFERROR(__xludf.DUMMYFUNCTION("""COMPUTED_VALUE"""),138.71)</f>
        <v>138.71</v>
      </c>
      <c r="I304" s="26">
        <f>IFERROR(__xludf.DUMMYFUNCTION("""COMPUTED_VALUE"""),214.05)</f>
        <v>214.05</v>
      </c>
      <c r="J304" s="26">
        <f>IFERROR(__xludf.DUMMYFUNCTION("""COMPUTED_VALUE"""),190.27)</f>
        <v>190.27</v>
      </c>
      <c r="K304" s="26">
        <f>IFERROR(__xludf.DUMMYFUNCTION("""COMPUTED_VALUE"""),100.63)</f>
        <v>100.63</v>
      </c>
      <c r="L304" s="26">
        <f>IFERROR(__xludf.DUMMYFUNCTION("""COMPUTED_VALUE"""),19.41)</f>
        <v>19.41</v>
      </c>
      <c r="M304" s="26">
        <f>IFERROR(__xludf.DUMMYFUNCTION("""COMPUTED_VALUE"""),481.7)</f>
        <v>481.7</v>
      </c>
      <c r="N304" s="26">
        <f>IFERROR(__xludf.DUMMYFUNCTION("""COMPUTED_VALUE"""),52.28)</f>
        <v>52.28</v>
      </c>
      <c r="O304" s="26">
        <f>IFERROR(__xludf.DUMMYFUNCTION("""COMPUTED_VALUE"""),129.28)</f>
        <v>129.28</v>
      </c>
      <c r="P304" s="26">
        <f>IFERROR(__xludf.DUMMYFUNCTION("""COMPUTED_VALUE"""),80.18)</f>
        <v>80.18</v>
      </c>
      <c r="Q304" s="26">
        <f>IFERROR(__xludf.DUMMYFUNCTION("""COMPUTED_VALUE"""),432.94)</f>
        <v>432.94</v>
      </c>
      <c r="R304" s="26">
        <f>IFERROR(__xludf.DUMMYFUNCTION("""COMPUTED_VALUE"""),79.14)</f>
        <v>79.14</v>
      </c>
      <c r="S304" s="26">
        <f>IFERROR(__xludf.DUMMYFUNCTION("""COMPUTED_VALUE"""),218.29)</f>
        <v>218.29</v>
      </c>
      <c r="T304" s="26">
        <f>IFERROR(__xludf.DUMMYFUNCTION("""COMPUTED_VALUE"""),156.28)</f>
        <v>156.28</v>
      </c>
      <c r="U304" s="26">
        <f>IFERROR(__xludf.DUMMYFUNCTION("""COMPUTED_VALUE"""),292.39)</f>
        <v>292.39</v>
      </c>
      <c r="V304" s="26">
        <f>IFERROR(__xludf.DUMMYFUNCTION("""COMPUTED_VALUE"""),49.33)</f>
        <v>49.33</v>
      </c>
      <c r="W304" s="26">
        <f>IFERROR(__xludf.DUMMYFUNCTION("""COMPUTED_VALUE"""),68.09)</f>
        <v>68.09</v>
      </c>
      <c r="X304" s="26">
        <f>IFERROR(__xludf.DUMMYFUNCTION("""COMPUTED_VALUE"""),100.98)</f>
        <v>100.98</v>
      </c>
      <c r="Y304" s="26">
        <f>IFERROR(__xludf.DUMMYFUNCTION("""COMPUTED_VALUE"""),175.72)</f>
        <v>175.72</v>
      </c>
      <c r="Z304" s="26">
        <f>IFERROR(__xludf.DUMMYFUNCTION("""COMPUTED_VALUE"""),115.43)</f>
        <v>115.43</v>
      </c>
      <c r="AA304" s="26">
        <f>IFERROR(__xludf.DUMMYFUNCTION("""COMPUTED_VALUE"""),474.32)</f>
        <v>474.32</v>
      </c>
      <c r="AB304" s="26">
        <f>IFERROR(__xludf.DUMMYFUNCTION("""COMPUTED_VALUE"""),79.0)</f>
        <v>79</v>
      </c>
      <c r="AC304" s="26">
        <f>IFERROR(__xludf.DUMMYFUNCTION("""COMPUTED_VALUE"""),111.44)</f>
        <v>111.44</v>
      </c>
      <c r="AD304" s="26">
        <f>IFERROR(__xludf.DUMMYFUNCTION("""COMPUTED_VALUE"""),242.41)</f>
        <v>242.41</v>
      </c>
      <c r="AE304" s="26">
        <f>IFERROR(__xludf.DUMMYFUNCTION("""COMPUTED_VALUE"""),507.31)</f>
        <v>507.31</v>
      </c>
      <c r="AF304" s="26">
        <f>IFERROR(__xludf.DUMMYFUNCTION("""COMPUTED_VALUE"""),313.1)</f>
        <v>313.1</v>
      </c>
      <c r="AG304" s="26">
        <f>IFERROR(__xludf.DUMMYFUNCTION("""COMPUTED_VALUE"""),53.45)</f>
        <v>53.45</v>
      </c>
      <c r="AH304" s="26">
        <f>IFERROR(__xludf.DUMMYFUNCTION("""COMPUTED_VALUE"""),113.03)</f>
        <v>113.03</v>
      </c>
      <c r="AI304" s="26">
        <f>IFERROR(__xludf.DUMMYFUNCTION("""COMPUTED_VALUE"""),723.65)</f>
        <v>723.65</v>
      </c>
      <c r="AJ304" s="26">
        <f>IFERROR(__xludf.DUMMYFUNCTION("""COMPUTED_VALUE"""),377.23)</f>
        <v>377.23</v>
      </c>
      <c r="AK304" s="26">
        <f>IFERROR(__xludf.DUMMYFUNCTION("""COMPUTED_VALUE"""),133.89)</f>
        <v>133.89</v>
      </c>
      <c r="AL304" s="26">
        <f>IFERROR(__xludf.DUMMYFUNCTION("""COMPUTED_VALUE"""),182.79)</f>
        <v>182.79</v>
      </c>
      <c r="AM304" s="26">
        <f>IFERROR(__xludf.DUMMYFUNCTION("""COMPUTED_VALUE"""),493.95)</f>
        <v>493.95</v>
      </c>
      <c r="AN304" s="26">
        <f>IFERROR(__xludf.DUMMYFUNCTION("""COMPUTED_VALUE"""),298.28)</f>
        <v>298.28</v>
      </c>
      <c r="AO304" s="26">
        <f>IFERROR(__xludf.DUMMYFUNCTION("""COMPUTED_VALUE"""),421.34)</f>
        <v>421.34</v>
      </c>
      <c r="AP304" s="26">
        <f>IFERROR(__xludf.DUMMYFUNCTION("""COMPUTED_VALUE"""),216.59)</f>
        <v>216.59</v>
      </c>
      <c r="AQ304" s="26">
        <f>IFERROR(__xludf.DUMMYFUNCTION("""COMPUTED_VALUE"""),31.46)</f>
        <v>31.46</v>
      </c>
      <c r="AR304" s="26">
        <f>IFERROR(__xludf.DUMMYFUNCTION("""COMPUTED_VALUE"""),91.97)</f>
        <v>91.97</v>
      </c>
      <c r="AS304" s="26">
        <f>IFERROR(__xludf.DUMMYFUNCTION("""COMPUTED_VALUE"""),77.66)</f>
        <v>77.66</v>
      </c>
      <c r="AT304" s="26">
        <f>IFERROR(__xludf.DUMMYFUNCTION("""COMPUTED_VALUE"""),512.5)</f>
        <v>512.5</v>
      </c>
      <c r="AU304" s="26">
        <f>IFERROR(__xludf.DUMMYFUNCTION("""COMPUTED_VALUE"""),71.34)</f>
        <v>71.34</v>
      </c>
      <c r="AV304" s="26">
        <f>IFERROR(__xludf.DUMMYFUNCTION("""COMPUTED_VALUE"""),176.75)</f>
        <v>176.75</v>
      </c>
      <c r="AW304" s="26">
        <f>IFERROR(__xludf.DUMMYFUNCTION("""COMPUTED_VALUE"""),87.9)</f>
        <v>87.9</v>
      </c>
      <c r="AX304" s="26">
        <f>IFERROR(__xludf.DUMMYFUNCTION("""COMPUTED_VALUE"""),50.95)</f>
        <v>50.95</v>
      </c>
      <c r="AY304" s="26">
        <f>IFERROR(__xludf.DUMMYFUNCTION("""COMPUTED_VALUE"""),157.88)</f>
        <v>157.88</v>
      </c>
      <c r="AZ304" s="26">
        <f>IFERROR(__xludf.DUMMYFUNCTION("""COMPUTED_VALUE"""),78.22)</f>
        <v>78.22</v>
      </c>
      <c r="BA304" s="26">
        <f>IFERROR(__xludf.DUMMYFUNCTION("""COMPUTED_VALUE"""),24.31)</f>
        <v>24.31</v>
      </c>
      <c r="BB304" s="26">
        <f>IFERROR(__xludf.DUMMYFUNCTION("""COMPUTED_VALUE"""),156.07)</f>
        <v>156.07</v>
      </c>
      <c r="BC304" s="26">
        <f>IFERROR(__xludf.DUMMYFUNCTION("""COMPUTED_VALUE"""),238.19)</f>
        <v>238.19</v>
      </c>
      <c r="BD304" s="26">
        <f>IFERROR(__xludf.DUMMYFUNCTION("""COMPUTED_VALUE"""),484.96)</f>
        <v>484.96</v>
      </c>
      <c r="BE304" s="26">
        <f>IFERROR(__xludf.DUMMYFUNCTION("""COMPUTED_VALUE"""),187.18)</f>
        <v>187.18</v>
      </c>
      <c r="BF304" s="26">
        <f>IFERROR(__xludf.DUMMYFUNCTION("""COMPUTED_VALUE"""),105.24)</f>
        <v>105.24</v>
      </c>
      <c r="BG304" s="26">
        <f>IFERROR(__xludf.DUMMYFUNCTION("""COMPUTED_VALUE"""),7.16)</f>
        <v>7.16</v>
      </c>
      <c r="BH304" s="26">
        <f>IFERROR(__xludf.DUMMYFUNCTION("""COMPUTED_VALUE"""),229.24)</f>
        <v>229.24</v>
      </c>
      <c r="BI304" s="26">
        <f>IFERROR(__xludf.DUMMYFUNCTION("""COMPUTED_VALUE"""),282.12)</f>
        <v>282.12</v>
      </c>
      <c r="BJ304" s="26">
        <f>IFERROR(__xludf.DUMMYFUNCTION("""COMPUTED_VALUE"""),50.04)</f>
        <v>50.04</v>
      </c>
      <c r="BK304" s="26">
        <f>IFERROR(__xludf.DUMMYFUNCTION("""COMPUTED_VALUE"""),9.26)</f>
        <v>9.26</v>
      </c>
      <c r="BL304" s="26">
        <f>IFERROR(__xludf.DUMMYFUNCTION("""COMPUTED_VALUE"""),227.9)</f>
        <v>227.9</v>
      </c>
      <c r="BM304" s="26">
        <f>IFERROR(__xludf.DUMMYFUNCTION("""COMPUTED_VALUE"""),120.37)</f>
        <v>120.37</v>
      </c>
    </row>
    <row r="305">
      <c r="A305" s="25">
        <v>45868.66666666667</v>
      </c>
      <c r="B305" s="17">
        <f>IFERROR(__xludf.DUMMYFUNCTION("""COMPUTED_VALUE"""),6370.86)</f>
        <v>6370.86</v>
      </c>
      <c r="C305" s="17">
        <f>IFERROR(__xludf.DUMMYFUNCTION("""COMPUTED_VALUE"""),21098.29)</f>
        <v>21098.29</v>
      </c>
      <c r="D305" s="17">
        <f>IFERROR(__xludf.DUMMYFUNCTION("""COMPUTED_VALUE"""),44632.99)</f>
        <v>44632.99</v>
      </c>
      <c r="E305" s="17">
        <f>IFERROR(__xludf.DUMMYFUNCTION("""COMPUTED_VALUE"""),2242.96)</f>
        <v>2242.96</v>
      </c>
      <c r="F305" s="26">
        <f>IFERROR(__xludf.DUMMYFUNCTION("""COMPUTED_VALUE"""),370.7)</f>
        <v>370.7</v>
      </c>
      <c r="G305" s="26">
        <f>IFERROR(__xludf.DUMMYFUNCTION("""COMPUTED_VALUE"""),231.01)</f>
        <v>231.01</v>
      </c>
      <c r="H305" s="26">
        <f>IFERROR(__xludf.DUMMYFUNCTION("""COMPUTED_VALUE"""),140.95)</f>
        <v>140.95</v>
      </c>
      <c r="I305" s="26">
        <f>IFERROR(__xludf.DUMMYFUNCTION("""COMPUTED_VALUE"""),211.27)</f>
        <v>211.27</v>
      </c>
      <c r="J305" s="26">
        <f>IFERROR(__xludf.DUMMYFUNCTION("""COMPUTED_VALUE"""),188.41)</f>
        <v>188.41</v>
      </c>
      <c r="K305" s="26">
        <f>IFERROR(__xludf.DUMMYFUNCTION("""COMPUTED_VALUE"""),101.87)</f>
        <v>101.87</v>
      </c>
      <c r="L305" s="26">
        <f>IFERROR(__xludf.DUMMYFUNCTION("""COMPUTED_VALUE"""),20.05)</f>
        <v>20.05</v>
      </c>
      <c r="M305" s="26">
        <f>IFERROR(__xludf.DUMMYFUNCTION("""COMPUTED_VALUE"""),476.56)</f>
        <v>476.56</v>
      </c>
      <c r="N305" s="26">
        <f>IFERROR(__xludf.DUMMYFUNCTION("""COMPUTED_VALUE"""),52.71)</f>
        <v>52.71</v>
      </c>
      <c r="O305" s="26">
        <f>IFERROR(__xludf.DUMMYFUNCTION("""COMPUTED_VALUE"""),127.9)</f>
        <v>127.9</v>
      </c>
      <c r="P305" s="26">
        <f>IFERROR(__xludf.DUMMYFUNCTION("""COMPUTED_VALUE"""),71.67)</f>
        <v>71.67</v>
      </c>
      <c r="Q305" s="26">
        <f>IFERROR(__xludf.DUMMYFUNCTION("""COMPUTED_VALUE"""),430.05)</f>
        <v>430.05</v>
      </c>
      <c r="R305" s="26">
        <f>IFERROR(__xludf.DUMMYFUNCTION("""COMPUTED_VALUE"""),78.69)</f>
        <v>78.69</v>
      </c>
      <c r="S305" s="26">
        <f>IFERROR(__xludf.DUMMYFUNCTION("""COMPUTED_VALUE"""),218.33)</f>
        <v>218.33</v>
      </c>
      <c r="T305" s="26">
        <f>IFERROR(__xludf.DUMMYFUNCTION("""COMPUTED_VALUE"""),157.03)</f>
        <v>157.03</v>
      </c>
      <c r="U305" s="26">
        <f>IFERROR(__xludf.DUMMYFUNCTION("""COMPUTED_VALUE"""),292.17)</f>
        <v>292.17</v>
      </c>
      <c r="V305" s="26">
        <f>IFERROR(__xludf.DUMMYFUNCTION("""COMPUTED_VALUE"""),49.09)</f>
        <v>49.09</v>
      </c>
      <c r="W305" s="26">
        <f>IFERROR(__xludf.DUMMYFUNCTION("""COMPUTED_VALUE"""),69.38)</f>
        <v>69.38</v>
      </c>
      <c r="X305" s="26">
        <f>IFERROR(__xludf.DUMMYFUNCTION("""COMPUTED_VALUE"""),102.24)</f>
        <v>102.24</v>
      </c>
      <c r="Y305" s="26">
        <f>IFERROR(__xludf.DUMMYFUNCTION("""COMPUTED_VALUE"""),178.3)</f>
        <v>178.3</v>
      </c>
      <c r="Z305" s="26">
        <f>IFERROR(__xludf.DUMMYFUNCTION("""COMPUTED_VALUE"""),114.99)</f>
        <v>114.99</v>
      </c>
      <c r="AA305" s="26">
        <f>IFERROR(__xludf.DUMMYFUNCTION("""COMPUTED_VALUE"""),470.05)</f>
        <v>470.05</v>
      </c>
      <c r="AB305" s="26">
        <f>IFERROR(__xludf.DUMMYFUNCTION("""COMPUTED_VALUE"""),78.5)</f>
        <v>78.5</v>
      </c>
      <c r="AC305" s="26">
        <f>IFERROR(__xludf.DUMMYFUNCTION("""COMPUTED_VALUE"""),112.88)</f>
        <v>112.88</v>
      </c>
      <c r="AD305" s="26">
        <f>IFERROR(__xludf.DUMMYFUNCTION("""COMPUTED_VALUE"""),234.54)</f>
        <v>234.54</v>
      </c>
      <c r="AE305" s="26">
        <f>IFERROR(__xludf.DUMMYFUNCTION("""COMPUTED_VALUE"""),505.42)</f>
        <v>505.42</v>
      </c>
      <c r="AF305" s="26">
        <f>IFERROR(__xludf.DUMMYFUNCTION("""COMPUTED_VALUE"""),314.7)</f>
        <v>314.7</v>
      </c>
      <c r="AG305" s="26">
        <f>IFERROR(__xludf.DUMMYFUNCTION("""COMPUTED_VALUE"""),52.11)</f>
        <v>52.11</v>
      </c>
      <c r="AH305" s="26">
        <f>IFERROR(__xludf.DUMMYFUNCTION("""COMPUTED_VALUE"""),114.23)</f>
        <v>114.23</v>
      </c>
      <c r="AI305" s="26">
        <f>IFERROR(__xludf.DUMMYFUNCTION("""COMPUTED_VALUE"""),731.98)</f>
        <v>731.98</v>
      </c>
      <c r="AJ305" s="26">
        <f>IFERROR(__xludf.DUMMYFUNCTION("""COMPUTED_VALUE"""),377.34)</f>
        <v>377.34</v>
      </c>
      <c r="AK305" s="26">
        <f>IFERROR(__xludf.DUMMYFUNCTION("""COMPUTED_VALUE"""),134.14)</f>
        <v>134.14</v>
      </c>
      <c r="AL305" s="26">
        <f>IFERROR(__xludf.DUMMYFUNCTION("""COMPUTED_VALUE"""),184.71)</f>
        <v>184.71</v>
      </c>
      <c r="AM305" s="26">
        <f>IFERROR(__xludf.DUMMYFUNCTION("""COMPUTED_VALUE"""),496.87)</f>
        <v>496.87</v>
      </c>
      <c r="AN305" s="26">
        <f>IFERROR(__xludf.DUMMYFUNCTION("""COMPUTED_VALUE"""),297.04)</f>
        <v>297.04</v>
      </c>
      <c r="AO305" s="26">
        <f>IFERROR(__xludf.DUMMYFUNCTION("""COMPUTED_VALUE"""),420.13)</f>
        <v>420.13</v>
      </c>
      <c r="AP305" s="26">
        <f>IFERROR(__xludf.DUMMYFUNCTION("""COMPUTED_VALUE"""),214.04)</f>
        <v>214.04</v>
      </c>
      <c r="AQ305" s="26">
        <f>IFERROR(__xludf.DUMMYFUNCTION("""COMPUTED_VALUE"""),31.48)</f>
        <v>31.48</v>
      </c>
      <c r="AR305" s="26">
        <f>IFERROR(__xludf.DUMMYFUNCTION("""COMPUTED_VALUE"""),92.44)</f>
        <v>92.44</v>
      </c>
      <c r="AS305" s="26">
        <f>IFERROR(__xludf.DUMMYFUNCTION("""COMPUTED_VALUE"""),77.68)</f>
        <v>77.68</v>
      </c>
      <c r="AT305" s="26">
        <f>IFERROR(__xludf.DUMMYFUNCTION("""COMPUTED_VALUE"""),512.57)</f>
        <v>512.57</v>
      </c>
      <c r="AU305" s="26">
        <f>IFERROR(__xludf.DUMMYFUNCTION("""COMPUTED_VALUE"""),71.95)</f>
        <v>71.95</v>
      </c>
      <c r="AV305" s="26">
        <f>IFERROR(__xludf.DUMMYFUNCTION("""COMPUTED_VALUE"""),175.51)</f>
        <v>175.51</v>
      </c>
      <c r="AW305" s="26">
        <f>IFERROR(__xludf.DUMMYFUNCTION("""COMPUTED_VALUE"""),87.3)</f>
        <v>87.3</v>
      </c>
      <c r="AX305" s="26">
        <f>IFERROR(__xludf.DUMMYFUNCTION("""COMPUTED_VALUE"""),51.75)</f>
        <v>51.75</v>
      </c>
      <c r="AY305" s="26">
        <f>IFERROR(__xludf.DUMMYFUNCTION("""COMPUTED_VALUE"""),156.24)</f>
        <v>156.24</v>
      </c>
      <c r="AZ305" s="26">
        <f>IFERROR(__xludf.DUMMYFUNCTION("""COMPUTED_VALUE"""),71.45)</f>
        <v>71.45</v>
      </c>
      <c r="BA305" s="26">
        <f>IFERROR(__xludf.DUMMYFUNCTION("""COMPUTED_VALUE"""),24.3)</f>
        <v>24.3</v>
      </c>
      <c r="BB305" s="26">
        <f>IFERROR(__xludf.DUMMYFUNCTION("""COMPUTED_VALUE"""),157.12)</f>
        <v>157.12</v>
      </c>
      <c r="BC305" s="26">
        <f>IFERROR(__xludf.DUMMYFUNCTION("""COMPUTED_VALUE"""),239.25)</f>
        <v>239.25</v>
      </c>
      <c r="BD305" s="26">
        <f>IFERROR(__xludf.DUMMYFUNCTION("""COMPUTED_VALUE"""),482.16)</f>
        <v>482.16</v>
      </c>
      <c r="BE305" s="26">
        <f>IFERROR(__xludf.DUMMYFUNCTION("""COMPUTED_VALUE"""),184.27)</f>
        <v>184.27</v>
      </c>
      <c r="BF305" s="26">
        <f>IFERROR(__xludf.DUMMYFUNCTION("""COMPUTED_VALUE"""),104.83)</f>
        <v>104.83</v>
      </c>
      <c r="BG305" s="26">
        <f>IFERROR(__xludf.DUMMYFUNCTION("""COMPUTED_VALUE"""),6.88)</f>
        <v>6.88</v>
      </c>
      <c r="BH305" s="26">
        <f>IFERROR(__xludf.DUMMYFUNCTION("""COMPUTED_VALUE"""),223.77)</f>
        <v>223.77</v>
      </c>
      <c r="BI305" s="26">
        <f>IFERROR(__xludf.DUMMYFUNCTION("""COMPUTED_VALUE"""),261.07)</f>
        <v>261.07</v>
      </c>
      <c r="BJ305" s="26">
        <f>IFERROR(__xludf.DUMMYFUNCTION("""COMPUTED_VALUE"""),50.11)</f>
        <v>50.11</v>
      </c>
      <c r="BK305" s="26">
        <f>IFERROR(__xludf.DUMMYFUNCTION("""COMPUTED_VALUE"""),9.19)</f>
        <v>9.19</v>
      </c>
      <c r="BL305" s="26">
        <f>IFERROR(__xludf.DUMMYFUNCTION("""COMPUTED_VALUE"""),235.56)</f>
        <v>235.56</v>
      </c>
      <c r="BM305" s="26">
        <f>IFERROR(__xludf.DUMMYFUNCTION("""COMPUTED_VALUE"""),119.91)</f>
        <v>119.91</v>
      </c>
    </row>
    <row r="306">
      <c r="A306" s="25">
        <v>45869.66666666667</v>
      </c>
      <c r="B306" s="17">
        <f>IFERROR(__xludf.DUMMYFUNCTION("""COMPUTED_VALUE"""),6362.9)</f>
        <v>6362.9</v>
      </c>
      <c r="C306" s="17">
        <f>IFERROR(__xludf.DUMMYFUNCTION("""COMPUTED_VALUE"""),21129.67)</f>
        <v>21129.67</v>
      </c>
      <c r="D306" s="17">
        <f>IFERROR(__xludf.DUMMYFUNCTION("""COMPUTED_VALUE"""),44461.28)</f>
        <v>44461.28</v>
      </c>
      <c r="E306" s="17">
        <f>IFERROR(__xludf.DUMMYFUNCTION("""COMPUTED_VALUE"""),2232.4)</f>
        <v>2232.4</v>
      </c>
      <c r="F306" s="26">
        <f>IFERROR(__xludf.DUMMYFUNCTION("""COMPUTED_VALUE"""),364.0)</f>
        <v>364</v>
      </c>
      <c r="G306" s="26">
        <f>IFERROR(__xludf.DUMMYFUNCTION("""COMPUTED_VALUE"""),230.19)</f>
        <v>230.19</v>
      </c>
      <c r="H306" s="26">
        <f>IFERROR(__xludf.DUMMYFUNCTION("""COMPUTED_VALUE"""),139.65)</f>
        <v>139.65</v>
      </c>
      <c r="I306" s="26">
        <f>IFERROR(__xludf.DUMMYFUNCTION("""COMPUTED_VALUE"""),209.05)</f>
        <v>209.05</v>
      </c>
      <c r="J306" s="26">
        <f>IFERROR(__xludf.DUMMYFUNCTION("""COMPUTED_VALUE"""),189.39)</f>
        <v>189.39</v>
      </c>
      <c r="K306" s="26">
        <f>IFERROR(__xludf.DUMMYFUNCTION("""COMPUTED_VALUE"""),102.3)</f>
        <v>102.3</v>
      </c>
      <c r="L306" s="26">
        <f>IFERROR(__xludf.DUMMYFUNCTION("""COMPUTED_VALUE"""),19.86)</f>
        <v>19.86</v>
      </c>
      <c r="M306" s="26">
        <f>IFERROR(__xludf.DUMMYFUNCTION("""COMPUTED_VALUE"""),476.0)</f>
        <v>476</v>
      </c>
      <c r="N306" s="26">
        <f>IFERROR(__xludf.DUMMYFUNCTION("""COMPUTED_VALUE"""),50.65)</f>
        <v>50.65</v>
      </c>
      <c r="O306" s="26">
        <f>IFERROR(__xludf.DUMMYFUNCTION("""COMPUTED_VALUE"""),126.64)</f>
        <v>126.64</v>
      </c>
      <c r="P306" s="26">
        <f>IFERROR(__xludf.DUMMYFUNCTION("""COMPUTED_VALUE"""),68.2)</f>
        <v>68.2</v>
      </c>
      <c r="Q306" s="26">
        <f>IFERROR(__xludf.DUMMYFUNCTION("""COMPUTED_VALUE"""),434.12)</f>
        <v>434.12</v>
      </c>
      <c r="R306" s="26">
        <f>IFERROR(__xludf.DUMMYFUNCTION("""COMPUTED_VALUE"""),77.75)</f>
        <v>77.75</v>
      </c>
      <c r="S306" s="26">
        <f>IFERROR(__xludf.DUMMYFUNCTION("""COMPUTED_VALUE"""),186.67)</f>
        <v>186.67</v>
      </c>
      <c r="T306" s="26">
        <f>IFERROR(__xludf.DUMMYFUNCTION("""COMPUTED_VALUE"""),153.56)</f>
        <v>153.56</v>
      </c>
      <c r="U306" s="26">
        <f>IFERROR(__xludf.DUMMYFUNCTION("""COMPUTED_VALUE"""),297.86)</f>
        <v>297.86</v>
      </c>
      <c r="V306" s="26">
        <f>IFERROR(__xludf.DUMMYFUNCTION("""COMPUTED_VALUE"""),48.69)</f>
        <v>48.69</v>
      </c>
      <c r="W306" s="26">
        <f>IFERROR(__xludf.DUMMYFUNCTION("""COMPUTED_VALUE"""),68.75)</f>
        <v>68.75</v>
      </c>
      <c r="X306" s="26">
        <f>IFERROR(__xludf.DUMMYFUNCTION("""COMPUTED_VALUE"""),102.59)</f>
        <v>102.59</v>
      </c>
      <c r="Y306" s="26">
        <f>IFERROR(__xludf.DUMMYFUNCTION("""COMPUTED_VALUE"""),177.3)</f>
        <v>177.3</v>
      </c>
      <c r="Z306" s="26">
        <f>IFERROR(__xludf.DUMMYFUNCTION("""COMPUTED_VALUE"""),114.15)</f>
        <v>114.15</v>
      </c>
      <c r="AA306" s="26">
        <f>IFERROR(__xludf.DUMMYFUNCTION("""COMPUTED_VALUE"""),475.38)</f>
        <v>475.38</v>
      </c>
      <c r="AB306" s="26">
        <f>IFERROR(__xludf.DUMMYFUNCTION("""COMPUTED_VALUE"""),77.56)</f>
        <v>77.56</v>
      </c>
      <c r="AC306" s="26">
        <f>IFERROR(__xludf.DUMMYFUNCTION("""COMPUTED_VALUE"""),111.9)</f>
        <v>111.9</v>
      </c>
      <c r="AD306" s="26">
        <f>IFERROR(__xludf.DUMMYFUNCTION("""COMPUTED_VALUE"""),223.86)</f>
        <v>223.86</v>
      </c>
      <c r="AE306" s="26">
        <f>IFERROR(__xludf.DUMMYFUNCTION("""COMPUTED_VALUE"""),498.79)</f>
        <v>498.79</v>
      </c>
      <c r="AF306" s="26">
        <f>IFERROR(__xludf.DUMMYFUNCTION("""COMPUTED_VALUE"""),312.18)</f>
        <v>312.18</v>
      </c>
      <c r="AG306" s="26">
        <f>IFERROR(__xludf.DUMMYFUNCTION("""COMPUTED_VALUE"""),52.11)</f>
        <v>52.11</v>
      </c>
      <c r="AH306" s="26">
        <f>IFERROR(__xludf.DUMMYFUNCTION("""COMPUTED_VALUE"""),114.76)</f>
        <v>114.76</v>
      </c>
      <c r="AI306" s="26">
        <f>IFERROR(__xludf.DUMMYFUNCTION("""COMPUTED_VALUE"""),730.75)</f>
        <v>730.75</v>
      </c>
      <c r="AJ306" s="26">
        <f>IFERROR(__xludf.DUMMYFUNCTION("""COMPUTED_VALUE"""),372.08)</f>
        <v>372.08</v>
      </c>
      <c r="AK306" s="26">
        <f>IFERROR(__xludf.DUMMYFUNCTION("""COMPUTED_VALUE"""),131.93)</f>
        <v>131.93</v>
      </c>
      <c r="AL306" s="26">
        <f>IFERROR(__xludf.DUMMYFUNCTION("""COMPUTED_VALUE"""),185.74)</f>
        <v>185.74</v>
      </c>
      <c r="AM306" s="26">
        <f>IFERROR(__xludf.DUMMYFUNCTION("""COMPUTED_VALUE"""),500.51)</f>
        <v>500.51</v>
      </c>
      <c r="AN306" s="26">
        <f>IFERROR(__xludf.DUMMYFUNCTION("""COMPUTED_VALUE"""),299.63)</f>
        <v>299.63</v>
      </c>
      <c r="AO306" s="26">
        <f>IFERROR(__xludf.DUMMYFUNCTION("""COMPUTED_VALUE"""),418.68)</f>
        <v>418.68</v>
      </c>
      <c r="AP306" s="26">
        <f>IFERROR(__xludf.DUMMYFUNCTION("""COMPUTED_VALUE"""),206.47)</f>
        <v>206.47</v>
      </c>
      <c r="AQ306" s="26">
        <f>IFERROR(__xludf.DUMMYFUNCTION("""COMPUTED_VALUE"""),30.7)</f>
        <v>30.7</v>
      </c>
      <c r="AR306" s="26">
        <f>IFERROR(__xludf.DUMMYFUNCTION("""COMPUTED_VALUE"""),91.64)</f>
        <v>91.64</v>
      </c>
      <c r="AS306" s="26">
        <f>IFERROR(__xludf.DUMMYFUNCTION("""COMPUTED_VALUE"""),74.79)</f>
        <v>74.79</v>
      </c>
      <c r="AT306" s="26">
        <f>IFERROR(__xludf.DUMMYFUNCTION("""COMPUTED_VALUE"""),513.24)</f>
        <v>513.24</v>
      </c>
      <c r="AU306" s="26">
        <f>IFERROR(__xludf.DUMMYFUNCTION("""COMPUTED_VALUE"""),70.99)</f>
        <v>70.99</v>
      </c>
      <c r="AV306" s="26">
        <f>IFERROR(__xludf.DUMMYFUNCTION("""COMPUTED_VALUE"""),179.27)</f>
        <v>179.27</v>
      </c>
      <c r="AW306" s="26">
        <f>IFERROR(__xludf.DUMMYFUNCTION("""COMPUTED_VALUE"""),86.43)</f>
        <v>86.43</v>
      </c>
      <c r="AX306" s="26">
        <f>IFERROR(__xludf.DUMMYFUNCTION("""COMPUTED_VALUE"""),50.68)</f>
        <v>50.68</v>
      </c>
      <c r="AY306" s="26">
        <f>IFERROR(__xludf.DUMMYFUNCTION("""COMPUTED_VALUE"""),158.61)</f>
        <v>158.61</v>
      </c>
      <c r="AZ306" s="26">
        <f>IFERROR(__xludf.DUMMYFUNCTION("""COMPUTED_VALUE"""),69.71)</f>
        <v>69.71</v>
      </c>
      <c r="BA306" s="26">
        <f>IFERROR(__xludf.DUMMYFUNCTION("""COMPUTED_VALUE"""),23.81)</f>
        <v>23.81</v>
      </c>
      <c r="BB306" s="26">
        <f>IFERROR(__xludf.DUMMYFUNCTION("""COMPUTED_VALUE"""),158.4)</f>
        <v>158.4</v>
      </c>
      <c r="BC306" s="26">
        <f>IFERROR(__xludf.DUMMYFUNCTION("""COMPUTED_VALUE"""),241.58)</f>
        <v>241.58</v>
      </c>
      <c r="BD306" s="26">
        <f>IFERROR(__xludf.DUMMYFUNCTION("""COMPUTED_VALUE"""),477.28)</f>
        <v>477.28</v>
      </c>
      <c r="BE306" s="26">
        <f>IFERROR(__xludf.DUMMYFUNCTION("""COMPUTED_VALUE"""),182.75)</f>
        <v>182.75</v>
      </c>
      <c r="BF306" s="26">
        <f>IFERROR(__xludf.DUMMYFUNCTION("""COMPUTED_VALUE"""),107.7)</f>
        <v>107.7</v>
      </c>
      <c r="BG306" s="26">
        <f>IFERROR(__xludf.DUMMYFUNCTION("""COMPUTED_VALUE"""),6.76)</f>
        <v>6.76</v>
      </c>
      <c r="BH306" s="26">
        <f>IFERROR(__xludf.DUMMYFUNCTION("""COMPUTED_VALUE"""),225.28)</f>
        <v>225.28</v>
      </c>
      <c r="BI306" s="26">
        <f>IFERROR(__xludf.DUMMYFUNCTION("""COMPUTED_VALUE"""),266.04)</f>
        <v>266.04</v>
      </c>
      <c r="BJ306" s="26">
        <f>IFERROR(__xludf.DUMMYFUNCTION("""COMPUTED_VALUE"""),50.06)</f>
        <v>50.06</v>
      </c>
      <c r="BK306" s="26">
        <f>IFERROR(__xludf.DUMMYFUNCTION("""COMPUTED_VALUE"""),9.0)</f>
        <v>9</v>
      </c>
      <c r="BL306" s="26">
        <f>IFERROR(__xludf.DUMMYFUNCTION("""COMPUTED_VALUE"""),232.51)</f>
        <v>232.51</v>
      </c>
      <c r="BM306" s="26">
        <f>IFERROR(__xludf.DUMMYFUNCTION("""COMPUTED_VALUE"""),119.54)</f>
        <v>119.54</v>
      </c>
    </row>
    <row r="307">
      <c r="A307" s="25">
        <v>45870.66666666667</v>
      </c>
      <c r="B307" s="17">
        <f>IFERROR(__xludf.DUMMYFUNCTION("""COMPUTED_VALUE"""),6339.39)</f>
        <v>6339.39</v>
      </c>
      <c r="C307" s="17">
        <f>IFERROR(__xludf.DUMMYFUNCTION("""COMPUTED_VALUE"""),21122.45)</f>
        <v>21122.45</v>
      </c>
      <c r="D307" s="17">
        <f>IFERROR(__xludf.DUMMYFUNCTION("""COMPUTED_VALUE"""),44130.98)</f>
        <v>44130.98</v>
      </c>
      <c r="E307" s="17">
        <f>IFERROR(__xludf.DUMMYFUNCTION("""COMPUTED_VALUE"""),2211.65)</f>
        <v>2211.65</v>
      </c>
      <c r="F307" s="26">
        <f>IFERROR(__xludf.DUMMYFUNCTION("""COMPUTED_VALUE"""),357.69)</f>
        <v>357.69</v>
      </c>
      <c r="G307" s="26">
        <f>IFERROR(__xludf.DUMMYFUNCTION("""COMPUTED_VALUE"""),234.11)</f>
        <v>234.11</v>
      </c>
      <c r="H307" s="26">
        <f>IFERROR(__xludf.DUMMYFUNCTION("""COMPUTED_VALUE"""),140.24)</f>
        <v>140.24</v>
      </c>
      <c r="I307" s="26">
        <f>IFERROR(__xludf.DUMMYFUNCTION("""COMPUTED_VALUE"""),207.57)</f>
        <v>207.57</v>
      </c>
      <c r="J307" s="26">
        <f>IFERROR(__xludf.DUMMYFUNCTION("""COMPUTED_VALUE"""),180.06)</f>
        <v>180.06</v>
      </c>
      <c r="K307" s="26">
        <f>IFERROR(__xludf.DUMMYFUNCTION("""COMPUTED_VALUE"""),101.45)</f>
        <v>101.45</v>
      </c>
      <c r="L307" s="26">
        <f>IFERROR(__xludf.DUMMYFUNCTION("""COMPUTED_VALUE"""),19.62)</f>
        <v>19.62</v>
      </c>
      <c r="M307" s="26">
        <f>IFERROR(__xludf.DUMMYFUNCTION("""COMPUTED_VALUE"""),471.88)</f>
        <v>471.88</v>
      </c>
      <c r="N307" s="26">
        <f>IFERROR(__xludf.DUMMYFUNCTION("""COMPUTED_VALUE"""),50.67)</f>
        <v>50.67</v>
      </c>
      <c r="O307" s="26">
        <f>IFERROR(__xludf.DUMMYFUNCTION("""COMPUTED_VALUE"""),128.0)</f>
        <v>128</v>
      </c>
      <c r="P307" s="26">
        <f>IFERROR(__xludf.DUMMYFUNCTION("""COMPUTED_VALUE"""),68.62)</f>
        <v>68.62</v>
      </c>
      <c r="Q307" s="26">
        <f>IFERROR(__xludf.DUMMYFUNCTION("""COMPUTED_VALUE"""),438.02)</f>
        <v>438.02</v>
      </c>
      <c r="R307" s="26">
        <f>IFERROR(__xludf.DUMMYFUNCTION("""COMPUTED_VALUE"""),74.93)</f>
        <v>74.93</v>
      </c>
      <c r="S307" s="26">
        <f>IFERROR(__xludf.DUMMYFUNCTION("""COMPUTED_VALUE"""),186.2)</f>
        <v>186.2</v>
      </c>
      <c r="T307" s="26">
        <f>IFERROR(__xludf.DUMMYFUNCTION("""COMPUTED_VALUE"""),151.64)</f>
        <v>151.64</v>
      </c>
      <c r="U307" s="26">
        <f>IFERROR(__xludf.DUMMYFUNCTION("""COMPUTED_VALUE"""),267.38)</f>
        <v>267.38</v>
      </c>
      <c r="V307" s="26">
        <f>IFERROR(__xludf.DUMMYFUNCTION("""COMPUTED_VALUE"""),47.72)</f>
        <v>47.72</v>
      </c>
      <c r="W307" s="26">
        <f>IFERROR(__xludf.DUMMYFUNCTION("""COMPUTED_VALUE"""),67.89)</f>
        <v>67.89</v>
      </c>
      <c r="X307" s="26">
        <f>IFERROR(__xludf.DUMMYFUNCTION("""COMPUTED_VALUE"""),103.5)</f>
        <v>103.5</v>
      </c>
      <c r="Y307" s="26">
        <f>IFERROR(__xludf.DUMMYFUNCTION("""COMPUTED_VALUE"""),176.44)</f>
        <v>176.44</v>
      </c>
      <c r="Z307" s="26">
        <f>IFERROR(__xludf.DUMMYFUNCTION("""COMPUTED_VALUE"""),113.55)</f>
        <v>113.55</v>
      </c>
      <c r="AA307" s="26">
        <f>IFERROR(__xludf.DUMMYFUNCTION("""COMPUTED_VALUE"""),463.21)</f>
        <v>463.21</v>
      </c>
      <c r="AB307" s="26">
        <f>IFERROR(__xludf.DUMMYFUNCTION("""COMPUTED_VALUE"""),91.75)</f>
        <v>91.75</v>
      </c>
      <c r="AC307" s="26">
        <f>IFERROR(__xludf.DUMMYFUNCTION("""COMPUTED_VALUE"""),111.64)</f>
        <v>111.64</v>
      </c>
      <c r="AD307" s="26">
        <f>IFERROR(__xludf.DUMMYFUNCTION("""COMPUTED_VALUE"""),223.49)</f>
        <v>223.49</v>
      </c>
      <c r="AE307" s="26">
        <f>IFERROR(__xludf.DUMMYFUNCTION("""COMPUTED_VALUE"""),443.39)</f>
        <v>443.39</v>
      </c>
      <c r="AF307" s="26">
        <f>IFERROR(__xludf.DUMMYFUNCTION("""COMPUTED_VALUE"""),311.61)</f>
        <v>311.61</v>
      </c>
      <c r="AG307" s="26">
        <f>IFERROR(__xludf.DUMMYFUNCTION("""COMPUTED_VALUE"""),53.34)</f>
        <v>53.34</v>
      </c>
      <c r="AH307" s="26">
        <f>IFERROR(__xludf.DUMMYFUNCTION("""COMPUTED_VALUE"""),112.29)</f>
        <v>112.29</v>
      </c>
      <c r="AI307" s="26">
        <f>IFERROR(__xludf.DUMMYFUNCTION("""COMPUTED_VALUE"""),723.59)</f>
        <v>723.59</v>
      </c>
      <c r="AJ307" s="26">
        <f>IFERROR(__xludf.DUMMYFUNCTION("""COMPUTED_VALUE"""),367.51)</f>
        <v>367.51</v>
      </c>
      <c r="AK307" s="26">
        <f>IFERROR(__xludf.DUMMYFUNCTION("""COMPUTED_VALUE"""),132.08)</f>
        <v>132.08</v>
      </c>
      <c r="AL307" s="26">
        <f>IFERROR(__xludf.DUMMYFUNCTION("""COMPUTED_VALUE"""),184.83)</f>
        <v>184.83</v>
      </c>
      <c r="AM307" s="26">
        <f>IFERROR(__xludf.DUMMYFUNCTION("""COMPUTED_VALUE"""),481.09)</f>
        <v>481.09</v>
      </c>
      <c r="AN307" s="26">
        <f>IFERROR(__xludf.DUMMYFUNCTION("""COMPUTED_VALUE"""),296.24)</f>
        <v>296.24</v>
      </c>
      <c r="AO307" s="26">
        <f>IFERROR(__xludf.DUMMYFUNCTION("""COMPUTED_VALUE"""),420.98)</f>
        <v>420.98</v>
      </c>
      <c r="AP307" s="26">
        <f>IFERROR(__xludf.DUMMYFUNCTION("""COMPUTED_VALUE"""),200.53)</f>
        <v>200.53</v>
      </c>
      <c r="AQ307" s="26">
        <f>IFERROR(__xludf.DUMMYFUNCTION("""COMPUTED_VALUE"""),30.96)</f>
        <v>30.96</v>
      </c>
      <c r="AR307" s="26">
        <f>IFERROR(__xludf.DUMMYFUNCTION("""COMPUTED_VALUE"""),90.24)</f>
        <v>90.24</v>
      </c>
      <c r="AS307" s="26">
        <f>IFERROR(__xludf.DUMMYFUNCTION("""COMPUTED_VALUE"""),75.95)</f>
        <v>75.95</v>
      </c>
      <c r="AT307" s="26">
        <f>IFERROR(__xludf.DUMMYFUNCTION("""COMPUTED_VALUE"""),533.5)</f>
        <v>533.5</v>
      </c>
      <c r="AU307" s="26">
        <f>IFERROR(__xludf.DUMMYFUNCTION("""COMPUTED_VALUE"""),71.06)</f>
        <v>71.06</v>
      </c>
      <c r="AV307" s="26">
        <f>IFERROR(__xludf.DUMMYFUNCTION("""COMPUTED_VALUE"""),177.87)</f>
        <v>177.87</v>
      </c>
      <c r="AW307" s="26">
        <f>IFERROR(__xludf.DUMMYFUNCTION("""COMPUTED_VALUE"""),85.69)</f>
        <v>85.69</v>
      </c>
      <c r="AX307" s="26">
        <f>IFERROR(__xludf.DUMMYFUNCTION("""COMPUTED_VALUE"""),48.57)</f>
        <v>48.57</v>
      </c>
      <c r="AY307" s="26">
        <f>IFERROR(__xludf.DUMMYFUNCTION("""COMPUTED_VALUE"""),158.35)</f>
        <v>158.35</v>
      </c>
      <c r="AZ307" s="26">
        <f>IFERROR(__xludf.DUMMYFUNCTION("""COMPUTED_VALUE"""),68.76)</f>
        <v>68.76</v>
      </c>
      <c r="BA307" s="26">
        <f>IFERROR(__xludf.DUMMYFUNCTION("""COMPUTED_VALUE"""),23.29)</f>
        <v>23.29</v>
      </c>
      <c r="BB307" s="26">
        <f>IFERROR(__xludf.DUMMYFUNCTION("""COMPUTED_VALUE"""),157.57)</f>
        <v>157.57</v>
      </c>
      <c r="BC307" s="26">
        <f>IFERROR(__xludf.DUMMYFUNCTION("""COMPUTED_VALUE"""),238.41)</f>
        <v>238.41</v>
      </c>
      <c r="BD307" s="26">
        <f>IFERROR(__xludf.DUMMYFUNCTION("""COMPUTED_VALUE"""),467.68)</f>
        <v>467.68</v>
      </c>
      <c r="BE307" s="26">
        <f>IFERROR(__xludf.DUMMYFUNCTION("""COMPUTED_VALUE"""),178.97)</f>
        <v>178.97</v>
      </c>
      <c r="BF307" s="26">
        <f>IFERROR(__xludf.DUMMYFUNCTION("""COMPUTED_VALUE"""),118.97)</f>
        <v>118.97</v>
      </c>
      <c r="BG307" s="26">
        <f>IFERROR(__xludf.DUMMYFUNCTION("""COMPUTED_VALUE"""),6.64)</f>
        <v>6.64</v>
      </c>
      <c r="BH307" s="26">
        <f>IFERROR(__xludf.DUMMYFUNCTION("""COMPUTED_VALUE"""),221.97)</f>
        <v>221.97</v>
      </c>
      <c r="BI307" s="26">
        <f>IFERROR(__xludf.DUMMYFUNCTION("""COMPUTED_VALUE"""),249.56)</f>
        <v>249.56</v>
      </c>
      <c r="BJ307" s="26">
        <f>IFERROR(__xludf.DUMMYFUNCTION("""COMPUTED_VALUE"""),50.0)</f>
        <v>50</v>
      </c>
      <c r="BK307" s="26">
        <f>IFERROR(__xludf.DUMMYFUNCTION("""COMPUTED_VALUE"""),8.74)</f>
        <v>8.74</v>
      </c>
      <c r="BL307" s="26">
        <f>IFERROR(__xludf.DUMMYFUNCTION("""COMPUTED_VALUE"""),229.16)</f>
        <v>229.16</v>
      </c>
      <c r="BM307" s="26">
        <f>IFERROR(__xludf.DUMMYFUNCTION("""COMPUTED_VALUE"""),119.11)</f>
        <v>119.11</v>
      </c>
    </row>
    <row r="308">
      <c r="A308" s="25">
        <v>45873.66666666667</v>
      </c>
      <c r="B308" s="17">
        <f>IFERROR(__xludf.DUMMYFUNCTION("""COMPUTED_VALUE"""),6238.01)</f>
        <v>6238.01</v>
      </c>
      <c r="C308" s="17">
        <f>IFERROR(__xludf.DUMMYFUNCTION("""COMPUTED_VALUE"""),20650.13)</f>
        <v>20650.13</v>
      </c>
      <c r="D308" s="17">
        <f>IFERROR(__xludf.DUMMYFUNCTION("""COMPUTED_VALUE"""),43588.58)</f>
        <v>43588.58</v>
      </c>
      <c r="E308" s="17">
        <f>IFERROR(__xludf.DUMMYFUNCTION("""COMPUTED_VALUE"""),2166.78)</f>
        <v>2166.78</v>
      </c>
      <c r="F308" s="26">
        <f>IFERROR(__xludf.DUMMYFUNCTION("""COMPUTED_VALUE"""),347.8)</f>
        <v>347.8</v>
      </c>
      <c r="G308" s="26">
        <f>IFERROR(__xludf.DUMMYFUNCTION("""COMPUTED_VALUE"""),214.75)</f>
        <v>214.75</v>
      </c>
      <c r="H308" s="26">
        <f>IFERROR(__xludf.DUMMYFUNCTION("""COMPUTED_VALUE"""),145.72)</f>
        <v>145.72</v>
      </c>
      <c r="I308" s="26">
        <f>IFERROR(__xludf.DUMMYFUNCTION("""COMPUTED_VALUE"""),202.38)</f>
        <v>202.38</v>
      </c>
      <c r="J308" s="26">
        <f>IFERROR(__xludf.DUMMYFUNCTION("""COMPUTED_VALUE"""),179.99)</f>
        <v>179.99</v>
      </c>
      <c r="K308" s="26">
        <f>IFERROR(__xludf.DUMMYFUNCTION("""COMPUTED_VALUE"""),99.81)</f>
        <v>99.81</v>
      </c>
      <c r="L308" s="26">
        <f>IFERROR(__xludf.DUMMYFUNCTION("""COMPUTED_VALUE"""),19.1)</f>
        <v>19.1</v>
      </c>
      <c r="M308" s="26">
        <f>IFERROR(__xludf.DUMMYFUNCTION("""COMPUTED_VALUE"""),472.84)</f>
        <v>472.84</v>
      </c>
      <c r="N308" s="26">
        <f>IFERROR(__xludf.DUMMYFUNCTION("""COMPUTED_VALUE"""),50.73)</f>
        <v>50.73</v>
      </c>
      <c r="O308" s="26">
        <f>IFERROR(__xludf.DUMMYFUNCTION("""COMPUTED_VALUE"""),131.95)</f>
        <v>131.95</v>
      </c>
      <c r="P308" s="26">
        <f>IFERROR(__xludf.DUMMYFUNCTION("""COMPUTED_VALUE"""),66.92)</f>
        <v>66.92</v>
      </c>
      <c r="Q308" s="26">
        <f>IFERROR(__xludf.DUMMYFUNCTION("""COMPUTED_VALUE"""),428.69)</f>
        <v>428.69</v>
      </c>
      <c r="R308" s="26">
        <f>IFERROR(__xludf.DUMMYFUNCTION("""COMPUTED_VALUE"""),72.93)</f>
        <v>72.93</v>
      </c>
      <c r="S308" s="26">
        <f>IFERROR(__xludf.DUMMYFUNCTION("""COMPUTED_VALUE"""),188.58)</f>
        <v>188.58</v>
      </c>
      <c r="T308" s="26">
        <f>IFERROR(__xludf.DUMMYFUNCTION("""COMPUTED_VALUE"""),151.4)</f>
        <v>151.4</v>
      </c>
      <c r="U308" s="26">
        <f>IFERROR(__xludf.DUMMYFUNCTION("""COMPUTED_VALUE"""),262.23)</f>
        <v>262.23</v>
      </c>
      <c r="V308" s="26">
        <f>IFERROR(__xludf.DUMMYFUNCTION("""COMPUTED_VALUE"""),46.82)</f>
        <v>46.82</v>
      </c>
      <c r="W308" s="26">
        <f>IFERROR(__xludf.DUMMYFUNCTION("""COMPUTED_VALUE"""),68.86)</f>
        <v>68.86</v>
      </c>
      <c r="X308" s="26">
        <f>IFERROR(__xludf.DUMMYFUNCTION("""COMPUTED_VALUE"""),104.44)</f>
        <v>104.44</v>
      </c>
      <c r="Y308" s="26">
        <f>IFERROR(__xludf.DUMMYFUNCTION("""COMPUTED_VALUE"""),172.21)</f>
        <v>172.21</v>
      </c>
      <c r="Z308" s="26">
        <f>IFERROR(__xludf.DUMMYFUNCTION("""COMPUTED_VALUE"""),114.72)</f>
        <v>114.72</v>
      </c>
      <c r="AA308" s="26">
        <f>IFERROR(__xludf.DUMMYFUNCTION("""COMPUTED_VALUE"""),466.17)</f>
        <v>466.17</v>
      </c>
      <c r="AB308" s="26">
        <f>IFERROR(__xludf.DUMMYFUNCTION("""COMPUTED_VALUE"""),91.74)</f>
        <v>91.74</v>
      </c>
      <c r="AC308" s="26">
        <f>IFERROR(__xludf.DUMMYFUNCTION("""COMPUTED_VALUE"""),109.64)</f>
        <v>109.64</v>
      </c>
      <c r="AD308" s="26">
        <f>IFERROR(__xludf.DUMMYFUNCTION("""COMPUTED_VALUE"""),217.1)</f>
        <v>217.1</v>
      </c>
      <c r="AE308" s="26">
        <f>IFERROR(__xludf.DUMMYFUNCTION("""COMPUTED_VALUE"""),436.24)</f>
        <v>436.24</v>
      </c>
      <c r="AF308" s="26">
        <f>IFERROR(__xludf.DUMMYFUNCTION("""COMPUTED_VALUE"""),310.74)</f>
        <v>310.74</v>
      </c>
      <c r="AG308" s="26">
        <f>IFERROR(__xludf.DUMMYFUNCTION("""COMPUTED_VALUE"""),52.53)</f>
        <v>52.53</v>
      </c>
      <c r="AH308" s="26">
        <f>IFERROR(__xludf.DUMMYFUNCTION("""COMPUTED_VALUE"""),113.18)</f>
        <v>113.18</v>
      </c>
      <c r="AI308" s="26">
        <f>IFERROR(__xludf.DUMMYFUNCTION("""COMPUTED_VALUE"""),709.57)</f>
        <v>709.57</v>
      </c>
      <c r="AJ308" s="26">
        <f>IFERROR(__xludf.DUMMYFUNCTION("""COMPUTED_VALUE"""),373.66)</f>
        <v>373.66</v>
      </c>
      <c r="AK308" s="26">
        <f>IFERROR(__xludf.DUMMYFUNCTION("""COMPUTED_VALUE"""),121.98)</f>
        <v>121.98</v>
      </c>
      <c r="AL308" s="26">
        <f>IFERROR(__xludf.DUMMYFUNCTION("""COMPUTED_VALUE"""),184.6)</f>
        <v>184.6</v>
      </c>
      <c r="AM308" s="26">
        <f>IFERROR(__xludf.DUMMYFUNCTION("""COMPUTED_VALUE"""),483.12)</f>
        <v>483.12</v>
      </c>
      <c r="AN308" s="26">
        <f>IFERROR(__xludf.DUMMYFUNCTION("""COMPUTED_VALUE"""),289.37)</f>
        <v>289.37</v>
      </c>
      <c r="AO308" s="26">
        <f>IFERROR(__xludf.DUMMYFUNCTION("""COMPUTED_VALUE"""),421.01)</f>
        <v>421.01</v>
      </c>
      <c r="AP308" s="26">
        <f>IFERROR(__xludf.DUMMYFUNCTION("""COMPUTED_VALUE"""),193.33)</f>
        <v>193.33</v>
      </c>
      <c r="AQ308" s="26">
        <f>IFERROR(__xludf.DUMMYFUNCTION("""COMPUTED_VALUE"""),30.45)</f>
        <v>30.45</v>
      </c>
      <c r="AR308" s="26">
        <f>IFERROR(__xludf.DUMMYFUNCTION("""COMPUTED_VALUE"""),89.34)</f>
        <v>89.34</v>
      </c>
      <c r="AS308" s="26">
        <f>IFERROR(__xludf.DUMMYFUNCTION("""COMPUTED_VALUE"""),74.01)</f>
        <v>74.01</v>
      </c>
      <c r="AT308" s="26">
        <f>IFERROR(__xludf.DUMMYFUNCTION("""COMPUTED_VALUE"""),524.11)</f>
        <v>524.11</v>
      </c>
      <c r="AU308" s="26">
        <f>IFERROR(__xludf.DUMMYFUNCTION("""COMPUTED_VALUE"""),70.4)</f>
        <v>70.4</v>
      </c>
      <c r="AV308" s="26">
        <f>IFERROR(__xludf.DUMMYFUNCTION("""COMPUTED_VALUE"""),173.72)</f>
        <v>173.72</v>
      </c>
      <c r="AW308" s="26">
        <f>IFERROR(__xludf.DUMMYFUNCTION("""COMPUTED_VALUE"""),84.93)</f>
        <v>84.93</v>
      </c>
      <c r="AX308" s="26">
        <f>IFERROR(__xludf.DUMMYFUNCTION("""COMPUTED_VALUE"""),47.03)</f>
        <v>47.03</v>
      </c>
      <c r="AY308" s="26">
        <f>IFERROR(__xludf.DUMMYFUNCTION("""COMPUTED_VALUE"""),154.27)</f>
        <v>154.27</v>
      </c>
      <c r="AZ308" s="26">
        <f>IFERROR(__xludf.DUMMYFUNCTION("""COMPUTED_VALUE"""),67.11)</f>
        <v>67.11</v>
      </c>
      <c r="BA308" s="26">
        <f>IFERROR(__xludf.DUMMYFUNCTION("""COMPUTED_VALUE"""),23.49)</f>
        <v>23.49</v>
      </c>
      <c r="BB308" s="26">
        <f>IFERROR(__xludf.DUMMYFUNCTION("""COMPUTED_VALUE"""),156.81)</f>
        <v>156.81</v>
      </c>
      <c r="BC308" s="26">
        <f>IFERROR(__xludf.DUMMYFUNCTION("""COMPUTED_VALUE"""),237.2)</f>
        <v>237.2</v>
      </c>
      <c r="BD308" s="26">
        <f>IFERROR(__xludf.DUMMYFUNCTION("""COMPUTED_VALUE"""),463.04)</f>
        <v>463.04</v>
      </c>
      <c r="BE308" s="26">
        <f>IFERROR(__xludf.DUMMYFUNCTION("""COMPUTED_VALUE"""),179.69)</f>
        <v>179.69</v>
      </c>
      <c r="BF308" s="26">
        <f>IFERROR(__xludf.DUMMYFUNCTION("""COMPUTED_VALUE"""),120.55)</f>
        <v>120.55</v>
      </c>
      <c r="BG308" s="26">
        <f>IFERROR(__xludf.DUMMYFUNCTION("""COMPUTED_VALUE"""),6.57)</f>
        <v>6.57</v>
      </c>
      <c r="BH308" s="26">
        <f>IFERROR(__xludf.DUMMYFUNCTION("""COMPUTED_VALUE"""),219.4)</f>
        <v>219.4</v>
      </c>
      <c r="BI308" s="26">
        <f>IFERROR(__xludf.DUMMYFUNCTION("""COMPUTED_VALUE"""),237.77)</f>
        <v>237.77</v>
      </c>
      <c r="BJ308" s="26">
        <f>IFERROR(__xludf.DUMMYFUNCTION("""COMPUTED_VALUE"""),50.2)</f>
        <v>50.2</v>
      </c>
      <c r="BK308" s="26">
        <f>IFERROR(__xludf.DUMMYFUNCTION("""COMPUTED_VALUE"""),8.81)</f>
        <v>8.81</v>
      </c>
      <c r="BL308" s="26">
        <f>IFERROR(__xludf.DUMMYFUNCTION("""COMPUTED_VALUE"""),228.88)</f>
        <v>228.88</v>
      </c>
      <c r="BM308" s="26">
        <f>IFERROR(__xludf.DUMMYFUNCTION("""COMPUTED_VALUE"""),116.59)</f>
        <v>116.59</v>
      </c>
    </row>
    <row r="309">
      <c r="A309" s="25">
        <v>45874.66666666667</v>
      </c>
      <c r="B309" s="17">
        <f>IFERROR(__xludf.DUMMYFUNCTION("""COMPUTED_VALUE"""),6329.94)</f>
        <v>6329.94</v>
      </c>
      <c r="C309" s="17">
        <f>IFERROR(__xludf.DUMMYFUNCTION("""COMPUTED_VALUE"""),21053.58)</f>
        <v>21053.58</v>
      </c>
      <c r="D309" s="17">
        <f>IFERROR(__xludf.DUMMYFUNCTION("""COMPUTED_VALUE"""),44173.64)</f>
        <v>44173.64</v>
      </c>
      <c r="E309" s="17">
        <f>IFERROR(__xludf.DUMMYFUNCTION("""COMPUTED_VALUE"""),2212.3)</f>
        <v>2212.3</v>
      </c>
      <c r="F309" s="26">
        <f>IFERROR(__xludf.DUMMYFUNCTION("""COMPUTED_VALUE"""),338.85)</f>
        <v>338.85</v>
      </c>
      <c r="G309" s="26">
        <f>IFERROR(__xludf.DUMMYFUNCTION("""COMPUTED_VALUE"""),211.65)</f>
        <v>211.65</v>
      </c>
      <c r="H309" s="26">
        <f>IFERROR(__xludf.DUMMYFUNCTION("""COMPUTED_VALUE"""),147.0)</f>
        <v>147</v>
      </c>
      <c r="I309" s="26">
        <f>IFERROR(__xludf.DUMMYFUNCTION("""COMPUTED_VALUE"""),203.35)</f>
        <v>203.35</v>
      </c>
      <c r="J309" s="26">
        <f>IFERROR(__xludf.DUMMYFUNCTION("""COMPUTED_VALUE"""),182.82)</f>
        <v>182.82</v>
      </c>
      <c r="K309" s="26">
        <f>IFERROR(__xludf.DUMMYFUNCTION("""COMPUTED_VALUE"""),101.41)</f>
        <v>101.41</v>
      </c>
      <c r="L309" s="26">
        <f>IFERROR(__xludf.DUMMYFUNCTION("""COMPUTED_VALUE"""),19.32)</f>
        <v>19.32</v>
      </c>
      <c r="M309" s="26">
        <f>IFERROR(__xludf.DUMMYFUNCTION("""COMPUTED_VALUE"""),459.11)</f>
        <v>459.11</v>
      </c>
      <c r="N309" s="26">
        <f>IFERROR(__xludf.DUMMYFUNCTION("""COMPUTED_VALUE"""),51.63)</f>
        <v>51.63</v>
      </c>
      <c r="O309" s="26">
        <f>IFERROR(__xludf.DUMMYFUNCTION("""COMPUTED_VALUE"""),132.2)</f>
        <v>132.2</v>
      </c>
      <c r="P309" s="26">
        <f>IFERROR(__xludf.DUMMYFUNCTION("""COMPUTED_VALUE"""),66.54)</f>
        <v>66.54</v>
      </c>
      <c r="Q309" s="26">
        <f>IFERROR(__xludf.DUMMYFUNCTION("""COMPUTED_VALUE"""),433.7)</f>
        <v>433.7</v>
      </c>
      <c r="R309" s="26">
        <f>IFERROR(__xludf.DUMMYFUNCTION("""COMPUTED_VALUE"""),75.26)</f>
        <v>75.26</v>
      </c>
      <c r="S309" s="26">
        <f>IFERROR(__xludf.DUMMYFUNCTION("""COMPUTED_VALUE"""),192.76)</f>
        <v>192.76</v>
      </c>
      <c r="T309" s="26">
        <f>IFERROR(__xludf.DUMMYFUNCTION("""COMPUTED_VALUE"""),151.04)</f>
        <v>151.04</v>
      </c>
      <c r="U309" s="26">
        <f>IFERROR(__xludf.DUMMYFUNCTION("""COMPUTED_VALUE"""),266.59)</f>
        <v>266.59</v>
      </c>
      <c r="V309" s="26">
        <f>IFERROR(__xludf.DUMMYFUNCTION("""COMPUTED_VALUE"""),47.58)</f>
        <v>47.58</v>
      </c>
      <c r="W309" s="26">
        <f>IFERROR(__xludf.DUMMYFUNCTION("""COMPUTED_VALUE"""),68.96)</f>
        <v>68.96</v>
      </c>
      <c r="X309" s="26">
        <f>IFERROR(__xludf.DUMMYFUNCTION("""COMPUTED_VALUE"""),105.36)</f>
        <v>105.36</v>
      </c>
      <c r="Y309" s="26">
        <f>IFERROR(__xludf.DUMMYFUNCTION("""COMPUTED_VALUE"""),172.91)</f>
        <v>172.91</v>
      </c>
      <c r="Z309" s="26">
        <f>IFERROR(__xludf.DUMMYFUNCTION("""COMPUTED_VALUE"""),115.72)</f>
        <v>115.72</v>
      </c>
      <c r="AA309" s="26">
        <f>IFERROR(__xludf.DUMMYFUNCTION("""COMPUTED_VALUE"""),467.98)</f>
        <v>467.98</v>
      </c>
      <c r="AB309" s="26">
        <f>IFERROR(__xludf.DUMMYFUNCTION("""COMPUTED_VALUE"""),92.86)</f>
        <v>92.86</v>
      </c>
      <c r="AC309" s="26">
        <f>IFERROR(__xludf.DUMMYFUNCTION("""COMPUTED_VALUE"""),107.37)</f>
        <v>107.37</v>
      </c>
      <c r="AD309" s="26">
        <f>IFERROR(__xludf.DUMMYFUNCTION("""COMPUTED_VALUE"""),217.49)</f>
        <v>217.49</v>
      </c>
      <c r="AE309" s="26">
        <f>IFERROR(__xludf.DUMMYFUNCTION("""COMPUTED_VALUE"""),438.32)</f>
        <v>438.32</v>
      </c>
      <c r="AF309" s="26">
        <f>IFERROR(__xludf.DUMMYFUNCTION("""COMPUTED_VALUE"""),312.78)</f>
        <v>312.78</v>
      </c>
      <c r="AG309" s="26">
        <f>IFERROR(__xludf.DUMMYFUNCTION("""COMPUTED_VALUE"""),52.77)</f>
        <v>52.77</v>
      </c>
      <c r="AH309" s="26">
        <f>IFERROR(__xludf.DUMMYFUNCTION("""COMPUTED_VALUE"""),114.51)</f>
        <v>114.51</v>
      </c>
      <c r="AI309" s="26">
        <f>IFERROR(__xludf.DUMMYFUNCTION("""COMPUTED_VALUE"""),726.03)</f>
        <v>726.03</v>
      </c>
      <c r="AJ309" s="26">
        <f>IFERROR(__xludf.DUMMYFUNCTION("""COMPUTED_VALUE"""),380.82)</f>
        <v>380.82</v>
      </c>
      <c r="AK309" s="26">
        <f>IFERROR(__xludf.DUMMYFUNCTION("""COMPUTED_VALUE"""),126.55)</f>
        <v>126.55</v>
      </c>
      <c r="AL309" s="26">
        <f>IFERROR(__xludf.DUMMYFUNCTION("""COMPUTED_VALUE"""),188.45)</f>
        <v>188.45</v>
      </c>
      <c r="AM309" s="26">
        <f>IFERROR(__xludf.DUMMYFUNCTION("""COMPUTED_VALUE"""),483.36)</f>
        <v>483.36</v>
      </c>
      <c r="AN309" s="26">
        <f>IFERROR(__xludf.DUMMYFUNCTION("""COMPUTED_VALUE"""),294.26)</f>
        <v>294.26</v>
      </c>
      <c r="AO309" s="26">
        <f>IFERROR(__xludf.DUMMYFUNCTION("""COMPUTED_VALUE"""),423.7)</f>
        <v>423.7</v>
      </c>
      <c r="AP309" s="26">
        <f>IFERROR(__xludf.DUMMYFUNCTION("""COMPUTED_VALUE"""),196.45)</f>
        <v>196.45</v>
      </c>
      <c r="AQ309" s="26">
        <f>IFERROR(__xludf.DUMMYFUNCTION("""COMPUTED_VALUE"""),30.87)</f>
        <v>30.87</v>
      </c>
      <c r="AR309" s="26">
        <f>IFERROR(__xludf.DUMMYFUNCTION("""COMPUTED_VALUE"""),89.64)</f>
        <v>89.64</v>
      </c>
      <c r="AS309" s="26">
        <f>IFERROR(__xludf.DUMMYFUNCTION("""COMPUTED_VALUE"""),74.83)</f>
        <v>74.83</v>
      </c>
      <c r="AT309" s="26">
        <f>IFERROR(__xludf.DUMMYFUNCTION("""COMPUTED_VALUE"""),535.64)</f>
        <v>535.64</v>
      </c>
      <c r="AU309" s="26">
        <f>IFERROR(__xludf.DUMMYFUNCTION("""COMPUTED_VALUE"""),70.53)</f>
        <v>70.53</v>
      </c>
      <c r="AV309" s="26">
        <f>IFERROR(__xludf.DUMMYFUNCTION("""COMPUTED_VALUE"""),180.0)</f>
        <v>180</v>
      </c>
      <c r="AW309" s="26">
        <f>IFERROR(__xludf.DUMMYFUNCTION("""COMPUTED_VALUE"""),85.41)</f>
        <v>85.41</v>
      </c>
      <c r="AX309" s="26">
        <f>IFERROR(__xludf.DUMMYFUNCTION("""COMPUTED_VALUE"""),47.6)</f>
        <v>47.6</v>
      </c>
      <c r="AY309" s="26">
        <f>IFERROR(__xludf.DUMMYFUNCTION("""COMPUTED_VALUE"""),160.66)</f>
        <v>160.66</v>
      </c>
      <c r="AZ309" s="26">
        <f>IFERROR(__xludf.DUMMYFUNCTION("""COMPUTED_VALUE"""),68.01)</f>
        <v>68.01</v>
      </c>
      <c r="BA309" s="26">
        <f>IFERROR(__xludf.DUMMYFUNCTION("""COMPUTED_VALUE"""),23.53)</f>
        <v>23.53</v>
      </c>
      <c r="BB309" s="26">
        <f>IFERROR(__xludf.DUMMYFUNCTION("""COMPUTED_VALUE"""),157.38)</f>
        <v>157.38</v>
      </c>
      <c r="BC309" s="26">
        <f>IFERROR(__xludf.DUMMYFUNCTION("""COMPUTED_VALUE"""),241.01)</f>
        <v>241.01</v>
      </c>
      <c r="BD309" s="26">
        <f>IFERROR(__xludf.DUMMYFUNCTION("""COMPUTED_VALUE"""),466.57)</f>
        <v>466.57</v>
      </c>
      <c r="BE309" s="26">
        <f>IFERROR(__xludf.DUMMYFUNCTION("""COMPUTED_VALUE"""),182.31)</f>
        <v>182.31</v>
      </c>
      <c r="BF309" s="26">
        <f>IFERROR(__xludf.DUMMYFUNCTION("""COMPUTED_VALUE"""),128.5)</f>
        <v>128.5</v>
      </c>
      <c r="BG309" s="26">
        <f>IFERROR(__xludf.DUMMYFUNCTION("""COMPUTED_VALUE"""),6.74)</f>
        <v>6.74</v>
      </c>
      <c r="BH309" s="26">
        <f>IFERROR(__xludf.DUMMYFUNCTION("""COMPUTED_VALUE"""),222.06)</f>
        <v>222.06</v>
      </c>
      <c r="BI309" s="26">
        <f>IFERROR(__xludf.DUMMYFUNCTION("""COMPUTED_VALUE"""),240.98)</f>
        <v>240.98</v>
      </c>
      <c r="BJ309" s="26">
        <f>IFERROR(__xludf.DUMMYFUNCTION("""COMPUTED_VALUE"""),50.26)</f>
        <v>50.26</v>
      </c>
      <c r="BK309" s="26">
        <f>IFERROR(__xludf.DUMMYFUNCTION("""COMPUTED_VALUE"""),8.94)</f>
        <v>8.94</v>
      </c>
      <c r="BL309" s="26">
        <f>IFERROR(__xludf.DUMMYFUNCTION("""COMPUTED_VALUE"""),230.54)</f>
        <v>230.54</v>
      </c>
      <c r="BM309" s="26">
        <f>IFERROR(__xludf.DUMMYFUNCTION("""COMPUTED_VALUE"""),119.35)</f>
        <v>119.35</v>
      </c>
      <c r="BN309" s="27">
        <v>34127.0</v>
      </c>
    </row>
    <row r="310">
      <c r="A310" s="25">
        <v>45875.66666666667</v>
      </c>
      <c r="B310" s="17">
        <f>IFERROR(__xludf.DUMMYFUNCTION("""COMPUTED_VALUE"""),6299.19)</f>
        <v>6299.19</v>
      </c>
      <c r="C310" s="17">
        <f>IFERROR(__xludf.DUMMYFUNCTION("""COMPUTED_VALUE"""),20916.55)</f>
        <v>20916.55</v>
      </c>
      <c r="D310" s="17">
        <f>IFERROR(__xludf.DUMMYFUNCTION("""COMPUTED_VALUE"""),44111.74)</f>
        <v>44111.74</v>
      </c>
      <c r="E310" s="17">
        <f>IFERROR(__xludf.DUMMYFUNCTION("""COMPUTED_VALUE"""),2225.67)</f>
        <v>2225.67</v>
      </c>
      <c r="F310" s="26">
        <f>IFERROR(__xludf.DUMMYFUNCTION("""COMPUTED_VALUE"""),338.74)</f>
        <v>338.74</v>
      </c>
      <c r="G310" s="26">
        <f>IFERROR(__xludf.DUMMYFUNCTION("""COMPUTED_VALUE"""),213.75)</f>
        <v>213.75</v>
      </c>
      <c r="H310" s="26">
        <f>IFERROR(__xludf.DUMMYFUNCTION("""COMPUTED_VALUE"""),141.5)</f>
        <v>141.5</v>
      </c>
      <c r="I310" s="26">
        <f>IFERROR(__xludf.DUMMYFUNCTION("""COMPUTED_VALUE"""),202.92)</f>
        <v>202.92</v>
      </c>
      <c r="J310" s="26">
        <f>IFERROR(__xludf.DUMMYFUNCTION("""COMPUTED_VALUE"""),179.15)</f>
        <v>179.15</v>
      </c>
      <c r="K310" s="26">
        <f>IFERROR(__xludf.DUMMYFUNCTION("""COMPUTED_VALUE"""),100.66)</f>
        <v>100.66</v>
      </c>
      <c r="L310" s="26">
        <f>IFERROR(__xludf.DUMMYFUNCTION("""COMPUTED_VALUE"""),19.39)</f>
        <v>19.39</v>
      </c>
      <c r="M310" s="26">
        <f>IFERROR(__xludf.DUMMYFUNCTION("""COMPUTED_VALUE"""),464.19)</f>
        <v>464.19</v>
      </c>
      <c r="N310" s="26">
        <f>IFERROR(__xludf.DUMMYFUNCTION("""COMPUTED_VALUE"""),51.13)</f>
        <v>51.13</v>
      </c>
      <c r="O310" s="26">
        <f>IFERROR(__xludf.DUMMYFUNCTION("""COMPUTED_VALUE"""),132.89)</f>
        <v>132.89</v>
      </c>
      <c r="P310" s="26">
        <f>IFERROR(__xludf.DUMMYFUNCTION("""COMPUTED_VALUE"""),66.38)</f>
        <v>66.38</v>
      </c>
      <c r="Q310" s="26">
        <f>IFERROR(__xludf.DUMMYFUNCTION("""COMPUTED_VALUE"""),434.23)</f>
        <v>434.23</v>
      </c>
      <c r="R310" s="26">
        <f>IFERROR(__xludf.DUMMYFUNCTION("""COMPUTED_VALUE"""),74.59)</f>
        <v>74.59</v>
      </c>
      <c r="S310" s="26">
        <f>IFERROR(__xludf.DUMMYFUNCTION("""COMPUTED_VALUE"""),188.9)</f>
        <v>188.9</v>
      </c>
      <c r="T310" s="26">
        <f>IFERROR(__xludf.DUMMYFUNCTION("""COMPUTED_VALUE"""),153.04)</f>
        <v>153.04</v>
      </c>
      <c r="U310" s="26">
        <f>IFERROR(__xludf.DUMMYFUNCTION("""COMPUTED_VALUE"""),270.74)</f>
        <v>270.74</v>
      </c>
      <c r="V310" s="26">
        <f>IFERROR(__xludf.DUMMYFUNCTION("""COMPUTED_VALUE"""),47.3)</f>
        <v>47.3</v>
      </c>
      <c r="W310" s="26">
        <f>IFERROR(__xludf.DUMMYFUNCTION("""COMPUTED_VALUE"""),69.05)</f>
        <v>69.05</v>
      </c>
      <c r="X310" s="26">
        <f>IFERROR(__xludf.DUMMYFUNCTION("""COMPUTED_VALUE"""),104.18)</f>
        <v>104.18</v>
      </c>
      <c r="Y310" s="26">
        <f>IFERROR(__xludf.DUMMYFUNCTION("""COMPUTED_VALUE"""),172.17)</f>
        <v>172.17</v>
      </c>
      <c r="Z310" s="26">
        <f>IFERROR(__xludf.DUMMYFUNCTION("""COMPUTED_VALUE"""),115.66)</f>
        <v>115.66</v>
      </c>
      <c r="AA310" s="26">
        <f>IFERROR(__xludf.DUMMYFUNCTION("""COMPUTED_VALUE"""),447.13)</f>
        <v>447.13</v>
      </c>
      <c r="AB310" s="26">
        <f>IFERROR(__xludf.DUMMYFUNCTION("""COMPUTED_VALUE"""),91.28)</f>
        <v>91.28</v>
      </c>
      <c r="AC310" s="26">
        <f>IFERROR(__xludf.DUMMYFUNCTION("""COMPUTED_VALUE"""),107.24)</f>
        <v>107.24</v>
      </c>
      <c r="AD310" s="26">
        <f>IFERROR(__xludf.DUMMYFUNCTION("""COMPUTED_VALUE"""),222.41)</f>
        <v>222.41</v>
      </c>
      <c r="AE310" s="26">
        <f>IFERROR(__xludf.DUMMYFUNCTION("""COMPUTED_VALUE"""),441.79)</f>
        <v>441.79</v>
      </c>
      <c r="AF310" s="26">
        <f>IFERROR(__xludf.DUMMYFUNCTION("""COMPUTED_VALUE"""),313.76)</f>
        <v>313.76</v>
      </c>
      <c r="AG310" s="26">
        <f>IFERROR(__xludf.DUMMYFUNCTION("""COMPUTED_VALUE"""),52.58)</f>
        <v>52.58</v>
      </c>
      <c r="AH310" s="26">
        <f>IFERROR(__xludf.DUMMYFUNCTION("""COMPUTED_VALUE"""),112.46)</f>
        <v>112.46</v>
      </c>
      <c r="AI310" s="26">
        <f>IFERROR(__xludf.DUMMYFUNCTION("""COMPUTED_VALUE"""),720.91)</f>
        <v>720.91</v>
      </c>
      <c r="AJ310" s="26">
        <f>IFERROR(__xludf.DUMMYFUNCTION("""COMPUTED_VALUE"""),385.41)</f>
        <v>385.41</v>
      </c>
      <c r="AK310" s="26">
        <f>IFERROR(__xludf.DUMMYFUNCTION("""COMPUTED_VALUE"""),127.89)</f>
        <v>127.89</v>
      </c>
      <c r="AL310" s="26">
        <f>IFERROR(__xludf.DUMMYFUNCTION("""COMPUTED_VALUE"""),187.4)</f>
        <v>187.4</v>
      </c>
      <c r="AM310" s="26">
        <f>IFERROR(__xludf.DUMMYFUNCTION("""COMPUTED_VALUE"""),477.0)</f>
        <v>477</v>
      </c>
      <c r="AN310" s="26">
        <f>IFERROR(__xludf.DUMMYFUNCTION("""COMPUTED_VALUE"""),291.37)</f>
        <v>291.37</v>
      </c>
      <c r="AO310" s="26">
        <f>IFERROR(__xludf.DUMMYFUNCTION("""COMPUTED_VALUE"""),428.24)</f>
        <v>428.24</v>
      </c>
      <c r="AP310" s="26">
        <f>IFERROR(__xludf.DUMMYFUNCTION("""COMPUTED_VALUE"""),195.07)</f>
        <v>195.07</v>
      </c>
      <c r="AQ310" s="26">
        <f>IFERROR(__xludf.DUMMYFUNCTION("""COMPUTED_VALUE"""),30.82)</f>
        <v>30.82</v>
      </c>
      <c r="AR310" s="26">
        <f>IFERROR(__xludf.DUMMYFUNCTION("""COMPUTED_VALUE"""),89.67)</f>
        <v>89.67</v>
      </c>
      <c r="AS310" s="26">
        <f>IFERROR(__xludf.DUMMYFUNCTION("""COMPUTED_VALUE"""),74.89)</f>
        <v>74.89</v>
      </c>
      <c r="AT310" s="26">
        <f>IFERROR(__xludf.DUMMYFUNCTION("""COMPUTED_VALUE"""),527.75)</f>
        <v>527.75</v>
      </c>
      <c r="AU310" s="26">
        <f>IFERROR(__xludf.DUMMYFUNCTION("""COMPUTED_VALUE"""),71.18)</f>
        <v>71.18</v>
      </c>
      <c r="AV310" s="26">
        <f>IFERROR(__xludf.DUMMYFUNCTION("""COMPUTED_VALUE"""),178.26)</f>
        <v>178.26</v>
      </c>
      <c r="AW310" s="26">
        <f>IFERROR(__xludf.DUMMYFUNCTION("""COMPUTED_VALUE"""),86.28)</f>
        <v>86.28</v>
      </c>
      <c r="AX310" s="26">
        <f>IFERROR(__xludf.DUMMYFUNCTION("""COMPUTED_VALUE"""),47.15)</f>
        <v>47.15</v>
      </c>
      <c r="AY310" s="26">
        <f>IFERROR(__xludf.DUMMYFUNCTION("""COMPUTED_VALUE"""),173.27)</f>
        <v>173.27</v>
      </c>
      <c r="AZ310" s="26">
        <f>IFERROR(__xludf.DUMMYFUNCTION("""COMPUTED_VALUE"""),67.83)</f>
        <v>67.83</v>
      </c>
      <c r="BA310" s="26">
        <f>IFERROR(__xludf.DUMMYFUNCTION("""COMPUTED_VALUE"""),24.75)</f>
        <v>24.75</v>
      </c>
      <c r="BB310" s="26">
        <f>IFERROR(__xludf.DUMMYFUNCTION("""COMPUTED_VALUE"""),156.33)</f>
        <v>156.33</v>
      </c>
      <c r="BC310" s="26">
        <f>IFERROR(__xludf.DUMMYFUNCTION("""COMPUTED_VALUE"""),238.93)</f>
        <v>238.93</v>
      </c>
      <c r="BD310" s="26">
        <f>IFERROR(__xludf.DUMMYFUNCTION("""COMPUTED_VALUE"""),466.42)</f>
        <v>466.42</v>
      </c>
      <c r="BE310" s="26">
        <f>IFERROR(__xludf.DUMMYFUNCTION("""COMPUTED_VALUE"""),181.5)</f>
        <v>181.5</v>
      </c>
      <c r="BF310" s="26">
        <f>IFERROR(__xludf.DUMMYFUNCTION("""COMPUTED_VALUE"""),125.74)</f>
        <v>125.74</v>
      </c>
      <c r="BG310" s="26">
        <f>IFERROR(__xludf.DUMMYFUNCTION("""COMPUTED_VALUE"""),6.71)</f>
        <v>6.71</v>
      </c>
      <c r="BH310" s="26">
        <f>IFERROR(__xludf.DUMMYFUNCTION("""COMPUTED_VALUE"""),222.97)</f>
        <v>222.97</v>
      </c>
      <c r="BI310" s="26">
        <f>IFERROR(__xludf.DUMMYFUNCTION("""COMPUTED_VALUE"""),251.0)</f>
        <v>251</v>
      </c>
      <c r="BJ310" s="26">
        <f>IFERROR(__xludf.DUMMYFUNCTION("""COMPUTED_VALUE"""),50.23)</f>
        <v>50.23</v>
      </c>
      <c r="BK310" s="26">
        <f>IFERROR(__xludf.DUMMYFUNCTION("""COMPUTED_VALUE"""),8.98)</f>
        <v>8.98</v>
      </c>
      <c r="BL310" s="26">
        <f>IFERROR(__xludf.DUMMYFUNCTION("""COMPUTED_VALUE"""),229.78)</f>
        <v>229.78</v>
      </c>
      <c r="BM310" s="26">
        <f>IFERROR(__xludf.DUMMYFUNCTION("""COMPUTED_VALUE"""),118.32)</f>
        <v>118.32</v>
      </c>
    </row>
    <row r="311">
      <c r="A311" s="25">
        <v>45876.66666666667</v>
      </c>
      <c r="B311" s="17">
        <f>IFERROR(__xludf.DUMMYFUNCTION("""COMPUTED_VALUE"""),6345.06)</f>
        <v>6345.06</v>
      </c>
      <c r="C311" s="17">
        <f>IFERROR(__xludf.DUMMYFUNCTION("""COMPUTED_VALUE"""),21169.42)</f>
        <v>21169.42</v>
      </c>
      <c r="D311" s="17">
        <f>IFERROR(__xludf.DUMMYFUNCTION("""COMPUTED_VALUE"""),44193.12)</f>
        <v>44193.12</v>
      </c>
      <c r="E311" s="17">
        <f>IFERROR(__xludf.DUMMYFUNCTION("""COMPUTED_VALUE"""),2221.29)</f>
        <v>2221.29</v>
      </c>
      <c r="F311" s="26">
        <f>IFERROR(__xludf.DUMMYFUNCTION("""COMPUTED_VALUE"""),345.62)</f>
        <v>345.62</v>
      </c>
      <c r="G311" s="26">
        <f>IFERROR(__xludf.DUMMYFUNCTION("""COMPUTED_VALUE"""),222.31)</f>
        <v>222.31</v>
      </c>
      <c r="H311" s="26">
        <f>IFERROR(__xludf.DUMMYFUNCTION("""COMPUTED_VALUE"""),141.91)</f>
        <v>141.91</v>
      </c>
      <c r="I311" s="26">
        <f>IFERROR(__xludf.DUMMYFUNCTION("""COMPUTED_VALUE"""),213.25)</f>
        <v>213.25</v>
      </c>
      <c r="J311" s="26">
        <f>IFERROR(__xludf.DUMMYFUNCTION("""COMPUTED_VALUE"""),178.14)</f>
        <v>178.14</v>
      </c>
      <c r="K311" s="26">
        <f>IFERROR(__xludf.DUMMYFUNCTION("""COMPUTED_VALUE"""),102.29)</f>
        <v>102.29</v>
      </c>
      <c r="L311" s="26">
        <f>IFERROR(__xludf.DUMMYFUNCTION("""COMPUTED_VALUE"""),19.56)</f>
        <v>19.56</v>
      </c>
      <c r="M311" s="26">
        <f>IFERROR(__xludf.DUMMYFUNCTION("""COMPUTED_VALUE"""),468.91)</f>
        <v>468.91</v>
      </c>
      <c r="N311" s="26">
        <f>IFERROR(__xludf.DUMMYFUNCTION("""COMPUTED_VALUE"""),51.54)</f>
        <v>51.54</v>
      </c>
      <c r="O311" s="26">
        <f>IFERROR(__xludf.DUMMYFUNCTION("""COMPUTED_VALUE"""),129.34)</f>
        <v>129.34</v>
      </c>
      <c r="P311" s="26">
        <f>IFERROR(__xludf.DUMMYFUNCTION("""COMPUTED_VALUE"""),66.11)</f>
        <v>66.11</v>
      </c>
      <c r="Q311" s="26">
        <f>IFERROR(__xludf.DUMMYFUNCTION("""COMPUTED_VALUE"""),427.72)</f>
        <v>427.72</v>
      </c>
      <c r="R311" s="26">
        <f>IFERROR(__xludf.DUMMYFUNCTION("""COMPUTED_VALUE"""),76.55)</f>
        <v>76.55</v>
      </c>
      <c r="S311" s="26">
        <f>IFERROR(__xludf.DUMMYFUNCTION("""COMPUTED_VALUE"""),188.21)</f>
        <v>188.21</v>
      </c>
      <c r="T311" s="26">
        <f>IFERROR(__xludf.DUMMYFUNCTION("""COMPUTED_VALUE"""),152.78)</f>
        <v>152.78</v>
      </c>
      <c r="U311" s="26">
        <f>IFERROR(__xludf.DUMMYFUNCTION("""COMPUTED_VALUE"""),269.96)</f>
        <v>269.96</v>
      </c>
      <c r="V311" s="26">
        <f>IFERROR(__xludf.DUMMYFUNCTION("""COMPUTED_VALUE"""),46.93)</f>
        <v>46.93</v>
      </c>
      <c r="W311" s="26">
        <f>IFERROR(__xludf.DUMMYFUNCTION("""COMPUTED_VALUE"""),69.51)</f>
        <v>69.51</v>
      </c>
      <c r="X311" s="26">
        <f>IFERROR(__xludf.DUMMYFUNCTION("""COMPUTED_VALUE"""),104.15)</f>
        <v>104.15</v>
      </c>
      <c r="Y311" s="26">
        <f>IFERROR(__xludf.DUMMYFUNCTION("""COMPUTED_VALUE"""),169.49)</f>
        <v>169.49</v>
      </c>
      <c r="Z311" s="26">
        <f>IFERROR(__xludf.DUMMYFUNCTION("""COMPUTED_VALUE"""),116.37)</f>
        <v>116.37</v>
      </c>
      <c r="AA311" s="26">
        <f>IFERROR(__xludf.DUMMYFUNCTION("""COMPUTED_VALUE"""),443.78)</f>
        <v>443.78</v>
      </c>
      <c r="AB311" s="26">
        <f>IFERROR(__xludf.DUMMYFUNCTION("""COMPUTED_VALUE"""),92.54)</f>
        <v>92.54</v>
      </c>
      <c r="AC311" s="26">
        <f>IFERROR(__xludf.DUMMYFUNCTION("""COMPUTED_VALUE"""),106.51)</f>
        <v>106.51</v>
      </c>
      <c r="AD311" s="26">
        <f>IFERROR(__xludf.DUMMYFUNCTION("""COMPUTED_VALUE"""),226.45)</f>
        <v>226.45</v>
      </c>
      <c r="AE311" s="26">
        <f>IFERROR(__xludf.DUMMYFUNCTION("""COMPUTED_VALUE"""),442.92)</f>
        <v>442.92</v>
      </c>
      <c r="AF311" s="26">
        <f>IFERROR(__xludf.DUMMYFUNCTION("""COMPUTED_VALUE"""),314.99)</f>
        <v>314.99</v>
      </c>
      <c r="AG311" s="26">
        <f>IFERROR(__xludf.DUMMYFUNCTION("""COMPUTED_VALUE"""),52.47)</f>
        <v>52.47</v>
      </c>
      <c r="AH311" s="26">
        <f>IFERROR(__xludf.DUMMYFUNCTION("""COMPUTED_VALUE"""),110.28)</f>
        <v>110.28</v>
      </c>
      <c r="AI311" s="26">
        <f>IFERROR(__xludf.DUMMYFUNCTION("""COMPUTED_VALUE"""),724.74)</f>
        <v>724.74</v>
      </c>
      <c r="AJ311" s="26">
        <f>IFERROR(__xludf.DUMMYFUNCTION("""COMPUTED_VALUE"""),386.8)</f>
        <v>386.8</v>
      </c>
      <c r="AK311" s="26">
        <f>IFERROR(__xludf.DUMMYFUNCTION("""COMPUTED_VALUE"""),128.91)</f>
        <v>128.91</v>
      </c>
      <c r="AL311" s="26">
        <f>IFERROR(__xludf.DUMMYFUNCTION("""COMPUTED_VALUE"""),188.05)</f>
        <v>188.05</v>
      </c>
      <c r="AM311" s="26">
        <f>IFERROR(__xludf.DUMMYFUNCTION("""COMPUTED_VALUE"""),474.06)</f>
        <v>474.06</v>
      </c>
      <c r="AN311" s="26">
        <f>IFERROR(__xludf.DUMMYFUNCTION("""COMPUTED_VALUE"""),291.35)</f>
        <v>291.35</v>
      </c>
      <c r="AO311" s="26">
        <f>IFERROR(__xludf.DUMMYFUNCTION("""COMPUTED_VALUE"""),434.85)</f>
        <v>434.85</v>
      </c>
      <c r="AP311" s="26">
        <f>IFERROR(__xludf.DUMMYFUNCTION("""COMPUTED_VALUE"""),196.51)</f>
        <v>196.51</v>
      </c>
      <c r="AQ311" s="26">
        <f>IFERROR(__xludf.DUMMYFUNCTION("""COMPUTED_VALUE"""),31.26)</f>
        <v>31.26</v>
      </c>
      <c r="AR311" s="26">
        <f>IFERROR(__xludf.DUMMYFUNCTION("""COMPUTED_VALUE"""),89.36)</f>
        <v>89.36</v>
      </c>
      <c r="AS311" s="26">
        <f>IFERROR(__xludf.DUMMYFUNCTION("""COMPUTED_VALUE"""),75.95)</f>
        <v>75.95</v>
      </c>
      <c r="AT311" s="26">
        <f>IFERROR(__xludf.DUMMYFUNCTION("""COMPUTED_VALUE"""),524.94)</f>
        <v>524.94</v>
      </c>
      <c r="AU311" s="26">
        <f>IFERROR(__xludf.DUMMYFUNCTION("""COMPUTED_VALUE"""),70.54)</f>
        <v>70.54</v>
      </c>
      <c r="AV311" s="26">
        <f>IFERROR(__xludf.DUMMYFUNCTION("""COMPUTED_VALUE"""),179.42)</f>
        <v>179.42</v>
      </c>
      <c r="AW311" s="26">
        <f>IFERROR(__xludf.DUMMYFUNCTION("""COMPUTED_VALUE"""),86.97)</f>
        <v>86.97</v>
      </c>
      <c r="AX311" s="26">
        <f>IFERROR(__xludf.DUMMYFUNCTION("""COMPUTED_VALUE"""),46.81)</f>
        <v>46.81</v>
      </c>
      <c r="AY311" s="26">
        <f>IFERROR(__xludf.DUMMYFUNCTION("""COMPUTED_VALUE"""),179.54)</f>
        <v>179.54</v>
      </c>
      <c r="AZ311" s="26">
        <f>IFERROR(__xludf.DUMMYFUNCTION("""COMPUTED_VALUE"""),69.42)</f>
        <v>69.42</v>
      </c>
      <c r="BA311" s="26">
        <f>IFERROR(__xludf.DUMMYFUNCTION("""COMPUTED_VALUE"""),23.93)</f>
        <v>23.93</v>
      </c>
      <c r="BB311" s="26">
        <f>IFERROR(__xludf.DUMMYFUNCTION("""COMPUTED_VALUE"""),155.75)</f>
        <v>155.75</v>
      </c>
      <c r="BC311" s="26">
        <f>IFERROR(__xludf.DUMMYFUNCTION("""COMPUTED_VALUE"""),239.22)</f>
        <v>239.22</v>
      </c>
      <c r="BD311" s="26">
        <f>IFERROR(__xludf.DUMMYFUNCTION("""COMPUTED_VALUE"""),448.94)</f>
        <v>448.94</v>
      </c>
      <c r="BE311" s="26">
        <f>IFERROR(__xludf.DUMMYFUNCTION("""COMPUTED_VALUE"""),183.99)</f>
        <v>183.99</v>
      </c>
      <c r="BF311" s="26">
        <f>IFERROR(__xludf.DUMMYFUNCTION("""COMPUTED_VALUE"""),118.8)</f>
        <v>118.8</v>
      </c>
      <c r="BG311" s="26">
        <f>IFERROR(__xludf.DUMMYFUNCTION("""COMPUTED_VALUE"""),6.73)</f>
        <v>6.73</v>
      </c>
      <c r="BH311" s="26">
        <f>IFERROR(__xludf.DUMMYFUNCTION("""COMPUTED_VALUE"""),225.46)</f>
        <v>225.46</v>
      </c>
      <c r="BI311" s="26">
        <f>IFERROR(__xludf.DUMMYFUNCTION("""COMPUTED_VALUE"""),245.78)</f>
        <v>245.78</v>
      </c>
      <c r="BJ311" s="26">
        <f>IFERROR(__xludf.DUMMYFUNCTION("""COMPUTED_VALUE"""),50.23)</f>
        <v>50.23</v>
      </c>
      <c r="BK311" s="26">
        <f>IFERROR(__xludf.DUMMYFUNCTION("""COMPUTED_VALUE"""),8.75)</f>
        <v>8.75</v>
      </c>
      <c r="BL311" s="26">
        <f>IFERROR(__xludf.DUMMYFUNCTION("""COMPUTED_VALUE"""),231.6)</f>
        <v>231.6</v>
      </c>
      <c r="BM311" s="26">
        <f>IFERROR(__xludf.DUMMYFUNCTION("""COMPUTED_VALUE"""),115.17)</f>
        <v>115.17</v>
      </c>
    </row>
    <row r="312">
      <c r="A312" s="25">
        <v>45877.66666666667</v>
      </c>
      <c r="B312" s="17">
        <f>IFERROR(__xludf.DUMMYFUNCTION("""COMPUTED_VALUE"""),6340.0)</f>
        <v>6340</v>
      </c>
      <c r="C312" s="17">
        <f>IFERROR(__xludf.DUMMYFUNCTION("""COMPUTED_VALUE"""),21242.7)</f>
        <v>21242.7</v>
      </c>
      <c r="D312" s="17">
        <f>IFERROR(__xludf.DUMMYFUNCTION("""COMPUTED_VALUE"""),43968.64)</f>
        <v>43968.64</v>
      </c>
      <c r="E312" s="17">
        <f>IFERROR(__xludf.DUMMYFUNCTION("""COMPUTED_VALUE"""),2214.72)</f>
        <v>2214.72</v>
      </c>
      <c r="F312" s="26">
        <f>IFERROR(__xludf.DUMMYFUNCTION("""COMPUTED_VALUE"""),338.27)</f>
        <v>338.27</v>
      </c>
      <c r="G312" s="26">
        <f>IFERROR(__xludf.DUMMYFUNCTION("""COMPUTED_VALUE"""),223.13)</f>
        <v>223.13</v>
      </c>
      <c r="H312" s="26">
        <f>IFERROR(__xludf.DUMMYFUNCTION("""COMPUTED_VALUE"""),144.42)</f>
        <v>144.42</v>
      </c>
      <c r="I312" s="26">
        <f>IFERROR(__xludf.DUMMYFUNCTION("""COMPUTED_VALUE"""),220.03)</f>
        <v>220.03</v>
      </c>
      <c r="J312" s="26">
        <f>IFERROR(__xludf.DUMMYFUNCTION("""COMPUTED_VALUE"""),183.15)</f>
        <v>183.15</v>
      </c>
      <c r="K312" s="26">
        <f>IFERROR(__xludf.DUMMYFUNCTION("""COMPUTED_VALUE"""),102.21)</f>
        <v>102.21</v>
      </c>
      <c r="L312" s="26">
        <f>IFERROR(__xludf.DUMMYFUNCTION("""COMPUTED_VALUE"""),19.75)</f>
        <v>19.75</v>
      </c>
      <c r="M312" s="26">
        <f>IFERROR(__xludf.DUMMYFUNCTION("""COMPUTED_VALUE"""),461.47)</f>
        <v>461.47</v>
      </c>
      <c r="N312" s="26">
        <f>IFERROR(__xludf.DUMMYFUNCTION("""COMPUTED_VALUE"""),52.11)</f>
        <v>52.11</v>
      </c>
      <c r="O312" s="26">
        <f>IFERROR(__xludf.DUMMYFUNCTION("""COMPUTED_VALUE"""),127.75)</f>
        <v>127.75</v>
      </c>
      <c r="P312" s="26">
        <f>IFERROR(__xludf.DUMMYFUNCTION("""COMPUTED_VALUE"""),66.36)</f>
        <v>66.36</v>
      </c>
      <c r="Q312" s="26">
        <f>IFERROR(__xludf.DUMMYFUNCTION("""COMPUTED_VALUE"""),417.12)</f>
        <v>417.12</v>
      </c>
      <c r="R312" s="26">
        <f>IFERROR(__xludf.DUMMYFUNCTION("""COMPUTED_VALUE"""),76.37)</f>
        <v>76.37</v>
      </c>
      <c r="S312" s="26">
        <f>IFERROR(__xludf.DUMMYFUNCTION("""COMPUTED_VALUE"""),185.03)</f>
        <v>185.03</v>
      </c>
      <c r="T312" s="26">
        <f>IFERROR(__xludf.DUMMYFUNCTION("""COMPUTED_VALUE"""),153.16)</f>
        <v>153.16</v>
      </c>
      <c r="U312" s="26">
        <f>IFERROR(__xludf.DUMMYFUNCTION("""COMPUTED_VALUE"""),271.0)</f>
        <v>271</v>
      </c>
      <c r="V312" s="26">
        <f>IFERROR(__xludf.DUMMYFUNCTION("""COMPUTED_VALUE"""),46.64)</f>
        <v>46.64</v>
      </c>
      <c r="W312" s="26">
        <f>IFERROR(__xludf.DUMMYFUNCTION("""COMPUTED_VALUE"""),70.43)</f>
        <v>70.43</v>
      </c>
      <c r="X312" s="26">
        <f>IFERROR(__xludf.DUMMYFUNCTION("""COMPUTED_VALUE"""),105.0)</f>
        <v>105</v>
      </c>
      <c r="Y312" s="26">
        <f>IFERROR(__xludf.DUMMYFUNCTION("""COMPUTED_VALUE"""),171.23)</f>
        <v>171.23</v>
      </c>
      <c r="Z312" s="26">
        <f>IFERROR(__xludf.DUMMYFUNCTION("""COMPUTED_VALUE"""),117.16)</f>
        <v>117.16</v>
      </c>
      <c r="AA312" s="26">
        <f>IFERROR(__xludf.DUMMYFUNCTION("""COMPUTED_VALUE"""),442.42)</f>
        <v>442.42</v>
      </c>
      <c r="AB312" s="26">
        <f>IFERROR(__xludf.DUMMYFUNCTION("""COMPUTED_VALUE"""),93.02)</f>
        <v>93.02</v>
      </c>
      <c r="AC312" s="26">
        <f>IFERROR(__xludf.DUMMYFUNCTION("""COMPUTED_VALUE"""),105.95)</f>
        <v>105.95</v>
      </c>
      <c r="AD312" s="26">
        <f>IFERROR(__xludf.DUMMYFUNCTION("""COMPUTED_VALUE"""),224.66)</f>
        <v>224.66</v>
      </c>
      <c r="AE312" s="26">
        <f>IFERROR(__xludf.DUMMYFUNCTION("""COMPUTED_VALUE"""),448.68)</f>
        <v>448.68</v>
      </c>
      <c r="AF312" s="26">
        <f>IFERROR(__xludf.DUMMYFUNCTION("""COMPUTED_VALUE"""),312.73)</f>
        <v>312.73</v>
      </c>
      <c r="AG312" s="26">
        <f>IFERROR(__xludf.DUMMYFUNCTION("""COMPUTED_VALUE"""),52.95)</f>
        <v>52.95</v>
      </c>
      <c r="AH312" s="26">
        <f>IFERROR(__xludf.DUMMYFUNCTION("""COMPUTED_VALUE"""),110.28)</f>
        <v>110.28</v>
      </c>
      <c r="AI312" s="26">
        <f>IFERROR(__xludf.DUMMYFUNCTION("""COMPUTED_VALUE"""),719.74)</f>
        <v>719.74</v>
      </c>
      <c r="AJ312" s="26">
        <f>IFERROR(__xludf.DUMMYFUNCTION("""COMPUTED_VALUE"""),386.17)</f>
        <v>386.17</v>
      </c>
      <c r="AK312" s="26">
        <f>IFERROR(__xludf.DUMMYFUNCTION("""COMPUTED_VALUE"""),131.73)</f>
        <v>131.73</v>
      </c>
      <c r="AL312" s="26">
        <f>IFERROR(__xludf.DUMMYFUNCTION("""COMPUTED_VALUE"""),188.02)</f>
        <v>188.02</v>
      </c>
      <c r="AM312" s="26">
        <f>IFERROR(__xludf.DUMMYFUNCTION("""COMPUTED_VALUE"""),469.81)</f>
        <v>469.81</v>
      </c>
      <c r="AN312" s="26">
        <f>IFERROR(__xludf.DUMMYFUNCTION("""COMPUTED_VALUE"""),286.94)</f>
        <v>286.94</v>
      </c>
      <c r="AO312" s="26">
        <f>IFERROR(__xludf.DUMMYFUNCTION("""COMPUTED_VALUE"""),430.75)</f>
        <v>430.75</v>
      </c>
      <c r="AP312" s="26">
        <f>IFERROR(__xludf.DUMMYFUNCTION("""COMPUTED_VALUE"""),191.14)</f>
        <v>191.14</v>
      </c>
      <c r="AQ312" s="26">
        <f>IFERROR(__xludf.DUMMYFUNCTION("""COMPUTED_VALUE"""),30.07)</f>
        <v>30.07</v>
      </c>
      <c r="AR312" s="26">
        <f>IFERROR(__xludf.DUMMYFUNCTION("""COMPUTED_VALUE"""),91.24)</f>
        <v>91.24</v>
      </c>
      <c r="AS312" s="26">
        <f>IFERROR(__xludf.DUMMYFUNCTION("""COMPUTED_VALUE"""),73.82)</f>
        <v>73.82</v>
      </c>
      <c r="AT312" s="26">
        <f>IFERROR(__xludf.DUMMYFUNCTION("""COMPUTED_VALUE"""),520.84)</f>
        <v>520.84</v>
      </c>
      <c r="AU312" s="26">
        <f>IFERROR(__xludf.DUMMYFUNCTION("""COMPUTED_VALUE"""),72.58)</f>
        <v>72.58</v>
      </c>
      <c r="AV312" s="26">
        <f>IFERROR(__xludf.DUMMYFUNCTION("""COMPUTED_VALUE"""),180.77)</f>
        <v>180.77</v>
      </c>
      <c r="AW312" s="26">
        <f>IFERROR(__xludf.DUMMYFUNCTION("""COMPUTED_VALUE"""),87.33)</f>
        <v>87.33</v>
      </c>
      <c r="AX312" s="26">
        <f>IFERROR(__xludf.DUMMYFUNCTION("""COMPUTED_VALUE"""),45.16)</f>
        <v>45.16</v>
      </c>
      <c r="AY312" s="26">
        <f>IFERROR(__xludf.DUMMYFUNCTION("""COMPUTED_VALUE"""),182.2)</f>
        <v>182.2</v>
      </c>
      <c r="AZ312" s="26">
        <f>IFERROR(__xludf.DUMMYFUNCTION("""COMPUTED_VALUE"""),68.22)</f>
        <v>68.22</v>
      </c>
      <c r="BA312" s="26">
        <f>IFERROR(__xludf.DUMMYFUNCTION("""COMPUTED_VALUE"""),24.23)</f>
        <v>24.23</v>
      </c>
      <c r="BB312" s="26">
        <f>IFERROR(__xludf.DUMMYFUNCTION("""COMPUTED_VALUE"""),155.76)</f>
        <v>155.76</v>
      </c>
      <c r="BC312" s="26">
        <f>IFERROR(__xludf.DUMMYFUNCTION("""COMPUTED_VALUE"""),242.93)</f>
        <v>242.93</v>
      </c>
      <c r="BD312" s="26">
        <f>IFERROR(__xludf.DUMMYFUNCTION("""COMPUTED_VALUE"""),454.74)</f>
        <v>454.74</v>
      </c>
      <c r="BE312" s="26">
        <f>IFERROR(__xludf.DUMMYFUNCTION("""COMPUTED_VALUE"""),181.49)</f>
        <v>181.49</v>
      </c>
      <c r="BF312" s="26">
        <f>IFERROR(__xludf.DUMMYFUNCTION("""COMPUTED_VALUE"""),116.05)</f>
        <v>116.05</v>
      </c>
      <c r="BG312" s="26">
        <f>IFERROR(__xludf.DUMMYFUNCTION("""COMPUTED_VALUE"""),6.64)</f>
        <v>6.64</v>
      </c>
      <c r="BH312" s="26">
        <f>IFERROR(__xludf.DUMMYFUNCTION("""COMPUTED_VALUE"""),222.66)</f>
        <v>222.66</v>
      </c>
      <c r="BI312" s="26">
        <f>IFERROR(__xludf.DUMMYFUNCTION("""COMPUTED_VALUE"""),244.67)</f>
        <v>244.67</v>
      </c>
      <c r="BJ312" s="26">
        <f>IFERROR(__xludf.DUMMYFUNCTION("""COMPUTED_VALUE"""),50.25)</f>
        <v>50.25</v>
      </c>
      <c r="BK312" s="26">
        <f>IFERROR(__xludf.DUMMYFUNCTION("""COMPUTED_VALUE"""),9.39)</f>
        <v>9.39</v>
      </c>
      <c r="BL312" s="26">
        <f>IFERROR(__xludf.DUMMYFUNCTION("""COMPUTED_VALUE"""),233.22)</f>
        <v>233.22</v>
      </c>
      <c r="BM312" s="26">
        <f>IFERROR(__xludf.DUMMYFUNCTION("""COMPUTED_VALUE"""),112.88)</f>
        <v>112.88</v>
      </c>
    </row>
    <row r="313">
      <c r="A313" s="25">
        <v>45880.66666666667</v>
      </c>
      <c r="B313" s="17">
        <f>IFERROR(__xludf.DUMMYFUNCTION("""COMPUTED_VALUE"""),6389.45)</f>
        <v>6389.45</v>
      </c>
      <c r="C313" s="17">
        <f>IFERROR(__xludf.DUMMYFUNCTION("""COMPUTED_VALUE"""),21450.02)</f>
        <v>21450.02</v>
      </c>
      <c r="D313" s="17">
        <f>IFERROR(__xludf.DUMMYFUNCTION("""COMPUTED_VALUE"""),44175.61)</f>
        <v>44175.61</v>
      </c>
      <c r="E313" s="17">
        <f>IFERROR(__xludf.DUMMYFUNCTION("""COMPUTED_VALUE"""),2218.42)</f>
        <v>2218.42</v>
      </c>
      <c r="F313" s="26">
        <f>IFERROR(__xludf.DUMMYFUNCTION("""COMPUTED_VALUE"""),341.05)</f>
        <v>341.05</v>
      </c>
      <c r="G313" s="26">
        <f>IFERROR(__xludf.DUMMYFUNCTION("""COMPUTED_VALUE"""),222.69)</f>
        <v>222.69</v>
      </c>
      <c r="H313" s="26">
        <f>IFERROR(__xludf.DUMMYFUNCTION("""COMPUTED_VALUE"""),145.36)</f>
        <v>145.36</v>
      </c>
      <c r="I313" s="26">
        <f>IFERROR(__xludf.DUMMYFUNCTION("""COMPUTED_VALUE"""),229.35)</f>
        <v>229.35</v>
      </c>
      <c r="J313" s="26">
        <f>IFERROR(__xludf.DUMMYFUNCTION("""COMPUTED_VALUE"""),184.87)</f>
        <v>184.87</v>
      </c>
      <c r="K313" s="26">
        <f>IFERROR(__xludf.DUMMYFUNCTION("""COMPUTED_VALUE"""),103.09)</f>
        <v>103.09</v>
      </c>
      <c r="L313" s="26">
        <f>IFERROR(__xludf.DUMMYFUNCTION("""COMPUTED_VALUE"""),19.94)</f>
        <v>19.94</v>
      </c>
      <c r="M313" s="26">
        <f>IFERROR(__xludf.DUMMYFUNCTION("""COMPUTED_VALUE"""),465.4)</f>
        <v>465.4</v>
      </c>
      <c r="N313" s="26">
        <f>IFERROR(__xludf.DUMMYFUNCTION("""COMPUTED_VALUE"""),52.86)</f>
        <v>52.86</v>
      </c>
      <c r="O313" s="26">
        <f>IFERROR(__xludf.DUMMYFUNCTION("""COMPUTED_VALUE"""),130.67)</f>
        <v>130.67</v>
      </c>
      <c r="P313" s="26">
        <f>IFERROR(__xludf.DUMMYFUNCTION("""COMPUTED_VALUE"""),66.03)</f>
        <v>66.03</v>
      </c>
      <c r="Q313" s="26">
        <f>IFERROR(__xludf.DUMMYFUNCTION("""COMPUTED_VALUE"""),416.52)</f>
        <v>416.52</v>
      </c>
      <c r="R313" s="26">
        <f>IFERROR(__xludf.DUMMYFUNCTION("""COMPUTED_VALUE"""),76.92)</f>
        <v>76.92</v>
      </c>
      <c r="S313" s="26">
        <f>IFERROR(__xludf.DUMMYFUNCTION("""COMPUTED_VALUE"""),183.32)</f>
        <v>183.32</v>
      </c>
      <c r="T313" s="26">
        <f>IFERROR(__xludf.DUMMYFUNCTION("""COMPUTED_VALUE"""),155.01)</f>
        <v>155.01</v>
      </c>
      <c r="U313" s="26">
        <f>IFERROR(__xludf.DUMMYFUNCTION("""COMPUTED_VALUE"""),274.9)</f>
        <v>274.9</v>
      </c>
      <c r="V313" s="26">
        <f>IFERROR(__xludf.DUMMYFUNCTION("""COMPUTED_VALUE"""),47.28)</f>
        <v>47.28</v>
      </c>
      <c r="W313" s="26">
        <f>IFERROR(__xludf.DUMMYFUNCTION("""COMPUTED_VALUE"""),70.34)</f>
        <v>70.34</v>
      </c>
      <c r="X313" s="26">
        <f>IFERROR(__xludf.DUMMYFUNCTION("""COMPUTED_VALUE"""),104.48)</f>
        <v>104.48</v>
      </c>
      <c r="Y313" s="26">
        <f>IFERROR(__xludf.DUMMYFUNCTION("""COMPUTED_VALUE"""),169.91)</f>
        <v>169.91</v>
      </c>
      <c r="Z313" s="26">
        <f>IFERROR(__xludf.DUMMYFUNCTION("""COMPUTED_VALUE"""),116.12)</f>
        <v>116.12</v>
      </c>
      <c r="AA313" s="26">
        <f>IFERROR(__xludf.DUMMYFUNCTION("""COMPUTED_VALUE"""),440.04)</f>
        <v>440.04</v>
      </c>
      <c r="AB313" s="26">
        <f>IFERROR(__xludf.DUMMYFUNCTION("""COMPUTED_VALUE"""),93.14)</f>
        <v>93.14</v>
      </c>
      <c r="AC313" s="26">
        <f>IFERROR(__xludf.DUMMYFUNCTION("""COMPUTED_VALUE"""),106.8)</f>
        <v>106.8</v>
      </c>
      <c r="AD313" s="26">
        <f>IFERROR(__xludf.DUMMYFUNCTION("""COMPUTED_VALUE"""),228.05)</f>
        <v>228.05</v>
      </c>
      <c r="AE313" s="26">
        <f>IFERROR(__xludf.DUMMYFUNCTION("""COMPUTED_VALUE"""),443.84)</f>
        <v>443.84</v>
      </c>
      <c r="AF313" s="26">
        <f>IFERROR(__xludf.DUMMYFUNCTION("""COMPUTED_VALUE"""),314.13)</f>
        <v>314.13</v>
      </c>
      <c r="AG313" s="26">
        <f>IFERROR(__xludf.DUMMYFUNCTION("""COMPUTED_VALUE"""),53.53)</f>
        <v>53.53</v>
      </c>
      <c r="AH313" s="26">
        <f>IFERROR(__xludf.DUMMYFUNCTION("""COMPUTED_VALUE"""),119.41)</f>
        <v>119.41</v>
      </c>
      <c r="AI313" s="26">
        <f>IFERROR(__xludf.DUMMYFUNCTION("""COMPUTED_VALUE"""),721.27)</f>
        <v>721.27</v>
      </c>
      <c r="AJ313" s="26">
        <f>IFERROR(__xludf.DUMMYFUNCTION("""COMPUTED_VALUE"""),387.85)</f>
        <v>387.85</v>
      </c>
      <c r="AK313" s="26">
        <f>IFERROR(__xludf.DUMMYFUNCTION("""COMPUTED_VALUE"""),133.0)</f>
        <v>133</v>
      </c>
      <c r="AL313" s="26">
        <f>IFERROR(__xludf.DUMMYFUNCTION("""COMPUTED_VALUE"""),186.4)</f>
        <v>186.4</v>
      </c>
      <c r="AM313" s="26">
        <f>IFERROR(__xludf.DUMMYFUNCTION("""COMPUTED_VALUE"""),470.08)</f>
        <v>470.08</v>
      </c>
      <c r="AN313" s="26">
        <f>IFERROR(__xludf.DUMMYFUNCTION("""COMPUTED_VALUE"""),288.76)</f>
        <v>288.76</v>
      </c>
      <c r="AO313" s="26">
        <f>IFERROR(__xludf.DUMMYFUNCTION("""COMPUTED_VALUE"""),425.63)</f>
        <v>425.63</v>
      </c>
      <c r="AP313" s="26">
        <f>IFERROR(__xludf.DUMMYFUNCTION("""COMPUTED_VALUE"""),189.43)</f>
        <v>189.43</v>
      </c>
      <c r="AQ313" s="26">
        <f>IFERROR(__xludf.DUMMYFUNCTION("""COMPUTED_VALUE"""),30.09)</f>
        <v>30.09</v>
      </c>
      <c r="AR313" s="26">
        <f>IFERROR(__xludf.DUMMYFUNCTION("""COMPUTED_VALUE"""),92.88)</f>
        <v>92.88</v>
      </c>
      <c r="AS313" s="26">
        <f>IFERROR(__xludf.DUMMYFUNCTION("""COMPUTED_VALUE"""),76.27)</f>
        <v>76.27</v>
      </c>
      <c r="AT313" s="26">
        <f>IFERROR(__xludf.DUMMYFUNCTION("""COMPUTED_VALUE"""),522.04)</f>
        <v>522.04</v>
      </c>
      <c r="AU313" s="26">
        <f>IFERROR(__xludf.DUMMYFUNCTION("""COMPUTED_VALUE"""),72.41)</f>
        <v>72.41</v>
      </c>
      <c r="AV313" s="26">
        <f>IFERROR(__xludf.DUMMYFUNCTION("""COMPUTED_VALUE"""),182.7)</f>
        <v>182.7</v>
      </c>
      <c r="AW313" s="26">
        <f>IFERROR(__xludf.DUMMYFUNCTION("""COMPUTED_VALUE"""),87.47)</f>
        <v>87.47</v>
      </c>
      <c r="AX313" s="26">
        <f>IFERROR(__xludf.DUMMYFUNCTION("""COMPUTED_VALUE"""),45.66)</f>
        <v>45.66</v>
      </c>
      <c r="AY313" s="26">
        <f>IFERROR(__xludf.DUMMYFUNCTION("""COMPUTED_VALUE"""),186.96)</f>
        <v>186.96</v>
      </c>
      <c r="AZ313" s="26">
        <f>IFERROR(__xludf.DUMMYFUNCTION("""COMPUTED_VALUE"""),67.65)</f>
        <v>67.65</v>
      </c>
      <c r="BA313" s="26">
        <f>IFERROR(__xludf.DUMMYFUNCTION("""COMPUTED_VALUE"""),24.58)</f>
        <v>24.58</v>
      </c>
      <c r="BB313" s="26">
        <f>IFERROR(__xludf.DUMMYFUNCTION("""COMPUTED_VALUE"""),154.86)</f>
        <v>154.86</v>
      </c>
      <c r="BC313" s="26">
        <f>IFERROR(__xludf.DUMMYFUNCTION("""COMPUTED_VALUE"""),244.98)</f>
        <v>244.98</v>
      </c>
      <c r="BD313" s="26">
        <f>IFERROR(__xludf.DUMMYFUNCTION("""COMPUTED_VALUE"""),460.72)</f>
        <v>460.72</v>
      </c>
      <c r="BE313" s="26">
        <f>IFERROR(__xludf.DUMMYFUNCTION("""COMPUTED_VALUE"""),188.64)</f>
        <v>188.64</v>
      </c>
      <c r="BF313" s="26">
        <f>IFERROR(__xludf.DUMMYFUNCTION("""COMPUTED_VALUE"""),114.5)</f>
        <v>114.5</v>
      </c>
      <c r="BG313" s="26">
        <f>IFERROR(__xludf.DUMMYFUNCTION("""COMPUTED_VALUE"""),5.44)</f>
        <v>5.44</v>
      </c>
      <c r="BH313" s="26">
        <f>IFERROR(__xludf.DUMMYFUNCTION("""COMPUTED_VALUE"""),222.24)</f>
        <v>222.24</v>
      </c>
      <c r="BI313" s="26">
        <f>IFERROR(__xludf.DUMMYFUNCTION("""COMPUTED_VALUE"""),250.89)</f>
        <v>250.89</v>
      </c>
      <c r="BJ313" s="26">
        <f>IFERROR(__xludf.DUMMYFUNCTION("""COMPUTED_VALUE"""),50.27)</f>
        <v>50.27</v>
      </c>
      <c r="BK313" s="26">
        <f>IFERROR(__xludf.DUMMYFUNCTION("""COMPUTED_VALUE"""),9.7)</f>
        <v>9.7</v>
      </c>
      <c r="BL313" s="26">
        <f>IFERROR(__xludf.DUMMYFUNCTION("""COMPUTED_VALUE"""),235.09)</f>
        <v>235.09</v>
      </c>
      <c r="BM313" s="26">
        <f>IFERROR(__xludf.DUMMYFUNCTION("""COMPUTED_VALUE"""),112.43)</f>
        <v>112.43</v>
      </c>
    </row>
    <row r="314">
      <c r="A314" s="25">
        <v>45881.66666666667</v>
      </c>
      <c r="B314" s="17">
        <f>IFERROR(__xludf.DUMMYFUNCTION("""COMPUTED_VALUE"""),6373.45)</f>
        <v>6373.45</v>
      </c>
      <c r="C314" s="17">
        <f>IFERROR(__xludf.DUMMYFUNCTION("""COMPUTED_VALUE"""),21385.4)</f>
        <v>21385.4</v>
      </c>
      <c r="D314" s="17">
        <f>IFERROR(__xludf.DUMMYFUNCTION("""COMPUTED_VALUE"""),43975.09)</f>
        <v>43975.09</v>
      </c>
      <c r="E314" s="17">
        <f>IFERROR(__xludf.DUMMYFUNCTION("""COMPUTED_VALUE"""),2216.51)</f>
        <v>2216.51</v>
      </c>
      <c r="F314" s="26">
        <f>IFERROR(__xludf.DUMMYFUNCTION("""COMPUTED_VALUE"""),333.65)</f>
        <v>333.65</v>
      </c>
      <c r="G314" s="26">
        <f>IFERROR(__xludf.DUMMYFUNCTION("""COMPUTED_VALUE"""),221.3)</f>
        <v>221.3</v>
      </c>
      <c r="H314" s="26">
        <f>IFERROR(__xludf.DUMMYFUNCTION("""COMPUTED_VALUE"""),145.55)</f>
        <v>145.55</v>
      </c>
      <c r="I314" s="26">
        <f>IFERROR(__xludf.DUMMYFUNCTION("""COMPUTED_VALUE"""),227.18)</f>
        <v>227.18</v>
      </c>
      <c r="J314" s="26">
        <f>IFERROR(__xludf.DUMMYFUNCTION("""COMPUTED_VALUE"""),184.38)</f>
        <v>184.38</v>
      </c>
      <c r="K314" s="26">
        <f>IFERROR(__xludf.DUMMYFUNCTION("""COMPUTED_VALUE"""),103.27)</f>
        <v>103.27</v>
      </c>
      <c r="L314" s="26">
        <f>IFERROR(__xludf.DUMMYFUNCTION("""COMPUTED_VALUE"""),20.05)</f>
        <v>20.05</v>
      </c>
      <c r="M314" s="26">
        <f>IFERROR(__xludf.DUMMYFUNCTION("""COMPUTED_VALUE"""),464.73)</f>
        <v>464.73</v>
      </c>
      <c r="N314" s="26">
        <f>IFERROR(__xludf.DUMMYFUNCTION("""COMPUTED_VALUE"""),53.31)</f>
        <v>53.31</v>
      </c>
      <c r="O314" s="26">
        <f>IFERROR(__xludf.DUMMYFUNCTION("""COMPUTED_VALUE"""),128.0)</f>
        <v>128</v>
      </c>
      <c r="P314" s="26">
        <f>IFERROR(__xludf.DUMMYFUNCTION("""COMPUTED_VALUE"""),64.88)</f>
        <v>64.88</v>
      </c>
      <c r="Q314" s="26">
        <f>IFERROR(__xludf.DUMMYFUNCTION("""COMPUTED_VALUE"""),408.54)</f>
        <v>408.54</v>
      </c>
      <c r="R314" s="26">
        <f>IFERROR(__xludf.DUMMYFUNCTION("""COMPUTED_VALUE"""),77.67)</f>
        <v>77.67</v>
      </c>
      <c r="S314" s="26">
        <f>IFERROR(__xludf.DUMMYFUNCTION("""COMPUTED_VALUE"""),180.73)</f>
        <v>180.73</v>
      </c>
      <c r="T314" s="26">
        <f>IFERROR(__xludf.DUMMYFUNCTION("""COMPUTED_VALUE"""),153.45)</f>
        <v>153.45</v>
      </c>
      <c r="U314" s="26">
        <f>IFERROR(__xludf.DUMMYFUNCTION("""COMPUTED_VALUE"""),277.04)</f>
        <v>277.04</v>
      </c>
      <c r="V314" s="26">
        <f>IFERROR(__xludf.DUMMYFUNCTION("""COMPUTED_VALUE"""),46.93)</f>
        <v>46.93</v>
      </c>
      <c r="W314" s="26">
        <f>IFERROR(__xludf.DUMMYFUNCTION("""COMPUTED_VALUE"""),70.75)</f>
        <v>70.75</v>
      </c>
      <c r="X314" s="26">
        <f>IFERROR(__xludf.DUMMYFUNCTION("""COMPUTED_VALUE"""),104.12)</f>
        <v>104.12</v>
      </c>
      <c r="Y314" s="26">
        <f>IFERROR(__xludf.DUMMYFUNCTION("""COMPUTED_VALUE"""),168.73)</f>
        <v>168.73</v>
      </c>
      <c r="Z314" s="26">
        <f>IFERROR(__xludf.DUMMYFUNCTION("""COMPUTED_VALUE"""),114.29)</f>
        <v>114.29</v>
      </c>
      <c r="AA314" s="26">
        <f>IFERROR(__xludf.DUMMYFUNCTION("""COMPUTED_VALUE"""),440.54)</f>
        <v>440.54</v>
      </c>
      <c r="AB314" s="26">
        <f>IFERROR(__xludf.DUMMYFUNCTION("""COMPUTED_VALUE"""),95.3)</f>
        <v>95.3</v>
      </c>
      <c r="AC314" s="26">
        <f>IFERROR(__xludf.DUMMYFUNCTION("""COMPUTED_VALUE"""),105.83)</f>
        <v>105.83</v>
      </c>
      <c r="AD314" s="26">
        <f>IFERROR(__xludf.DUMMYFUNCTION("""COMPUTED_VALUE"""),224.61)</f>
        <v>224.61</v>
      </c>
      <c r="AE314" s="26">
        <f>IFERROR(__xludf.DUMMYFUNCTION("""COMPUTED_VALUE"""),441.35)</f>
        <v>441.35</v>
      </c>
      <c r="AF314" s="26">
        <f>IFERROR(__xludf.DUMMYFUNCTION("""COMPUTED_VALUE"""),314.93)</f>
        <v>314.93</v>
      </c>
      <c r="AG314" s="26">
        <f>IFERROR(__xludf.DUMMYFUNCTION("""COMPUTED_VALUE"""),54.01)</f>
        <v>54.01</v>
      </c>
      <c r="AH314" s="26">
        <f>IFERROR(__xludf.DUMMYFUNCTION("""COMPUTED_VALUE"""),120.47)</f>
        <v>120.47</v>
      </c>
      <c r="AI314" s="26">
        <f>IFERROR(__xludf.DUMMYFUNCTION("""COMPUTED_VALUE"""),719.24)</f>
        <v>719.24</v>
      </c>
      <c r="AJ314" s="26">
        <f>IFERROR(__xludf.DUMMYFUNCTION("""COMPUTED_VALUE"""),387.53)</f>
        <v>387.53</v>
      </c>
      <c r="AK314" s="26">
        <f>IFERROR(__xludf.DUMMYFUNCTION("""COMPUTED_VALUE"""),131.19)</f>
        <v>131.19</v>
      </c>
      <c r="AL314" s="26">
        <f>IFERROR(__xludf.DUMMYFUNCTION("""COMPUTED_VALUE"""),185.93)</f>
        <v>185.93</v>
      </c>
      <c r="AM314" s="26">
        <f>IFERROR(__xludf.DUMMYFUNCTION("""COMPUTED_VALUE"""),471.85)</f>
        <v>471.85</v>
      </c>
      <c r="AN314" s="26">
        <f>IFERROR(__xludf.DUMMYFUNCTION("""COMPUTED_VALUE"""),289.56)</f>
        <v>289.56</v>
      </c>
      <c r="AO314" s="26">
        <f>IFERROR(__xludf.DUMMYFUNCTION("""COMPUTED_VALUE"""),426.26)</f>
        <v>426.26</v>
      </c>
      <c r="AP314" s="26">
        <f>IFERROR(__xludf.DUMMYFUNCTION("""COMPUTED_VALUE"""),186.44)</f>
        <v>186.44</v>
      </c>
      <c r="AQ314" s="26">
        <f>IFERROR(__xludf.DUMMYFUNCTION("""COMPUTED_VALUE"""),29.9)</f>
        <v>29.9</v>
      </c>
      <c r="AR314" s="26">
        <f>IFERROR(__xludf.DUMMYFUNCTION("""COMPUTED_VALUE"""),92.74)</f>
        <v>92.74</v>
      </c>
      <c r="AS314" s="26">
        <f>IFERROR(__xludf.DUMMYFUNCTION("""COMPUTED_VALUE"""),75.3)</f>
        <v>75.3</v>
      </c>
      <c r="AT314" s="26">
        <f>IFERROR(__xludf.DUMMYFUNCTION("""COMPUTED_VALUE"""),521.77)</f>
        <v>521.77</v>
      </c>
      <c r="AU314" s="26">
        <f>IFERROR(__xludf.DUMMYFUNCTION("""COMPUTED_VALUE"""),72.45)</f>
        <v>72.45</v>
      </c>
      <c r="AV314" s="26">
        <f>IFERROR(__xludf.DUMMYFUNCTION("""COMPUTED_VALUE"""),182.06)</f>
        <v>182.06</v>
      </c>
      <c r="AW314" s="26">
        <f>IFERROR(__xludf.DUMMYFUNCTION("""COMPUTED_VALUE"""),86.03)</f>
        <v>86.03</v>
      </c>
      <c r="AX314" s="26">
        <f>IFERROR(__xludf.DUMMYFUNCTION("""COMPUTED_VALUE"""),45.72)</f>
        <v>45.72</v>
      </c>
      <c r="AY314" s="26">
        <f>IFERROR(__xludf.DUMMYFUNCTION("""COMPUTED_VALUE"""),182.68)</f>
        <v>182.68</v>
      </c>
      <c r="AZ314" s="26">
        <f>IFERROR(__xludf.DUMMYFUNCTION("""COMPUTED_VALUE"""),67.08)</f>
        <v>67.08</v>
      </c>
      <c r="BA314" s="26">
        <f>IFERROR(__xludf.DUMMYFUNCTION("""COMPUTED_VALUE"""),24.58)</f>
        <v>24.58</v>
      </c>
      <c r="BB314" s="26">
        <f>IFERROR(__xludf.DUMMYFUNCTION("""COMPUTED_VALUE"""),154.8)</f>
        <v>154.8</v>
      </c>
      <c r="BC314" s="26">
        <f>IFERROR(__xludf.DUMMYFUNCTION("""COMPUTED_VALUE"""),248.87)</f>
        <v>248.87</v>
      </c>
      <c r="BD314" s="26">
        <f>IFERROR(__xludf.DUMMYFUNCTION("""COMPUTED_VALUE"""),462.39)</f>
        <v>462.39</v>
      </c>
      <c r="BE314" s="26">
        <f>IFERROR(__xludf.DUMMYFUNCTION("""COMPUTED_VALUE"""),189.13)</f>
        <v>189.13</v>
      </c>
      <c r="BF314" s="26">
        <f>IFERROR(__xludf.DUMMYFUNCTION("""COMPUTED_VALUE"""),127.26)</f>
        <v>127.26</v>
      </c>
      <c r="BG314" s="26">
        <f>IFERROR(__xludf.DUMMYFUNCTION("""COMPUTED_VALUE"""),5.12)</f>
        <v>5.12</v>
      </c>
      <c r="BH314" s="26">
        <f>IFERROR(__xludf.DUMMYFUNCTION("""COMPUTED_VALUE"""),219.65)</f>
        <v>219.65</v>
      </c>
      <c r="BI314" s="26">
        <f>IFERROR(__xludf.DUMMYFUNCTION("""COMPUTED_VALUE"""),252.37)</f>
        <v>252.37</v>
      </c>
      <c r="BJ314" s="26">
        <f>IFERROR(__xludf.DUMMYFUNCTION("""COMPUTED_VALUE"""),50.28)</f>
        <v>50.28</v>
      </c>
      <c r="BK314" s="26">
        <f>IFERROR(__xludf.DUMMYFUNCTION("""COMPUTED_VALUE"""),9.86)</f>
        <v>9.86</v>
      </c>
      <c r="BL314" s="26">
        <f>IFERROR(__xludf.DUMMYFUNCTION("""COMPUTED_VALUE"""),237.1)</f>
        <v>237.1</v>
      </c>
      <c r="BM314" s="26">
        <f>IFERROR(__xludf.DUMMYFUNCTION("""COMPUTED_VALUE"""),112.55)</f>
        <v>112.55</v>
      </c>
    </row>
    <row r="315">
      <c r="A315" s="25">
        <v>45882.66666666667</v>
      </c>
      <c r="B315" s="17">
        <f>IFERROR(__xludf.DUMMYFUNCTION("""COMPUTED_VALUE"""),6445.76)</f>
        <v>6445.76</v>
      </c>
      <c r="C315" s="17">
        <f>IFERROR(__xludf.DUMMYFUNCTION("""COMPUTED_VALUE"""),21681.9)</f>
        <v>21681.9</v>
      </c>
      <c r="D315" s="17">
        <f>IFERROR(__xludf.DUMMYFUNCTION("""COMPUTED_VALUE"""),44458.61)</f>
        <v>44458.61</v>
      </c>
      <c r="E315" s="17">
        <f>IFERROR(__xludf.DUMMYFUNCTION("""COMPUTED_VALUE"""),2282.78)</f>
        <v>2282.78</v>
      </c>
      <c r="F315" s="26">
        <f>IFERROR(__xludf.DUMMYFUNCTION("""COMPUTED_VALUE"""),338.43)</f>
        <v>338.43</v>
      </c>
      <c r="G315" s="26">
        <f>IFERROR(__xludf.DUMMYFUNCTION("""COMPUTED_VALUE"""),221.47)</f>
        <v>221.47</v>
      </c>
      <c r="H315" s="26">
        <f>IFERROR(__xludf.DUMMYFUNCTION("""COMPUTED_VALUE"""),142.09)</f>
        <v>142.09</v>
      </c>
      <c r="I315" s="26">
        <f>IFERROR(__xludf.DUMMYFUNCTION("""COMPUTED_VALUE"""),229.65)</f>
        <v>229.65</v>
      </c>
      <c r="J315" s="26">
        <f>IFERROR(__xludf.DUMMYFUNCTION("""COMPUTED_VALUE"""),188.45)</f>
        <v>188.45</v>
      </c>
      <c r="K315" s="26">
        <f>IFERROR(__xludf.DUMMYFUNCTION("""COMPUTED_VALUE"""),103.61)</f>
        <v>103.61</v>
      </c>
      <c r="L315" s="26">
        <f>IFERROR(__xludf.DUMMYFUNCTION("""COMPUTED_VALUE"""),20.41)</f>
        <v>20.41</v>
      </c>
      <c r="M315" s="26">
        <f>IFERROR(__xludf.DUMMYFUNCTION("""COMPUTED_VALUE"""),470.39)</f>
        <v>470.39</v>
      </c>
      <c r="N315" s="26">
        <f>IFERROR(__xludf.DUMMYFUNCTION("""COMPUTED_VALUE"""),54.04)</f>
        <v>54.04</v>
      </c>
      <c r="O315" s="26">
        <f>IFERROR(__xludf.DUMMYFUNCTION("""COMPUTED_VALUE"""),128.93)</f>
        <v>128.93</v>
      </c>
      <c r="P315" s="26">
        <f>IFERROR(__xludf.DUMMYFUNCTION("""COMPUTED_VALUE"""),65.73)</f>
        <v>65.73</v>
      </c>
      <c r="Q315" s="26">
        <f>IFERROR(__xludf.DUMMYFUNCTION("""COMPUTED_VALUE"""),412.71)</f>
        <v>412.71</v>
      </c>
      <c r="R315" s="26">
        <f>IFERROR(__xludf.DUMMYFUNCTION("""COMPUTED_VALUE"""),78.43)</f>
        <v>78.43</v>
      </c>
      <c r="S315" s="26">
        <f>IFERROR(__xludf.DUMMYFUNCTION("""COMPUTED_VALUE"""),181.2)</f>
        <v>181.2</v>
      </c>
      <c r="T315" s="26">
        <f>IFERROR(__xludf.DUMMYFUNCTION("""COMPUTED_VALUE"""),154.44)</f>
        <v>154.44</v>
      </c>
      <c r="U315" s="26">
        <f>IFERROR(__xludf.DUMMYFUNCTION("""COMPUTED_VALUE"""),280.47)</f>
        <v>280.47</v>
      </c>
      <c r="V315" s="26">
        <f>IFERROR(__xludf.DUMMYFUNCTION("""COMPUTED_VALUE"""),48.14)</f>
        <v>48.14</v>
      </c>
      <c r="W315" s="26">
        <f>IFERROR(__xludf.DUMMYFUNCTION("""COMPUTED_VALUE"""),70.71)</f>
        <v>70.71</v>
      </c>
      <c r="X315" s="26">
        <f>IFERROR(__xludf.DUMMYFUNCTION("""COMPUTED_VALUE"""),103.69)</f>
        <v>103.69</v>
      </c>
      <c r="Y315" s="26">
        <f>IFERROR(__xludf.DUMMYFUNCTION("""COMPUTED_VALUE"""),169.27)</f>
        <v>169.27</v>
      </c>
      <c r="Z315" s="26">
        <f>IFERROR(__xludf.DUMMYFUNCTION("""COMPUTED_VALUE"""),114.06)</f>
        <v>114.06</v>
      </c>
      <c r="AA315" s="26">
        <f>IFERROR(__xludf.DUMMYFUNCTION("""COMPUTED_VALUE"""),441.19)</f>
        <v>441.19</v>
      </c>
      <c r="AB315" s="26">
        <f>IFERROR(__xludf.DUMMYFUNCTION("""COMPUTED_VALUE"""),97.06)</f>
        <v>97.06</v>
      </c>
      <c r="AC315" s="26">
        <f>IFERROR(__xludf.DUMMYFUNCTION("""COMPUTED_VALUE"""),106.13)</f>
        <v>106.13</v>
      </c>
      <c r="AD315" s="26">
        <f>IFERROR(__xludf.DUMMYFUNCTION("""COMPUTED_VALUE"""),230.42)</f>
        <v>230.42</v>
      </c>
      <c r="AE315" s="26">
        <f>IFERROR(__xludf.DUMMYFUNCTION("""COMPUTED_VALUE"""),446.16)</f>
        <v>446.16</v>
      </c>
      <c r="AF315" s="26">
        <f>IFERROR(__xludf.DUMMYFUNCTION("""COMPUTED_VALUE"""),314.01)</f>
        <v>314.01</v>
      </c>
      <c r="AG315" s="26">
        <f>IFERROR(__xludf.DUMMYFUNCTION("""COMPUTED_VALUE"""),54.16)</f>
        <v>54.16</v>
      </c>
      <c r="AH315" s="26">
        <f>IFERROR(__xludf.DUMMYFUNCTION("""COMPUTED_VALUE"""),120.02)</f>
        <v>120.02</v>
      </c>
      <c r="AI315" s="26">
        <f>IFERROR(__xludf.DUMMYFUNCTION("""COMPUTED_VALUE"""),743.38)</f>
        <v>743.38</v>
      </c>
      <c r="AJ315" s="26">
        <f>IFERROR(__xludf.DUMMYFUNCTION("""COMPUTED_VALUE"""),396.0)</f>
        <v>396</v>
      </c>
      <c r="AK315" s="26">
        <f>IFERROR(__xludf.DUMMYFUNCTION("""COMPUTED_VALUE"""),132.2)</f>
        <v>132.2</v>
      </c>
      <c r="AL315" s="26">
        <f>IFERROR(__xludf.DUMMYFUNCTION("""COMPUTED_VALUE"""),182.74)</f>
        <v>182.74</v>
      </c>
      <c r="AM315" s="26">
        <f>IFERROR(__xludf.DUMMYFUNCTION("""COMPUTED_VALUE"""),478.19)</f>
        <v>478.19</v>
      </c>
      <c r="AN315" s="26">
        <f>IFERROR(__xludf.DUMMYFUNCTION("""COMPUTED_VALUE"""),292.85)</f>
        <v>292.85</v>
      </c>
      <c r="AO315" s="26">
        <f>IFERROR(__xludf.DUMMYFUNCTION("""COMPUTED_VALUE"""),431.56)</f>
        <v>431.56</v>
      </c>
      <c r="AP315" s="26">
        <f>IFERROR(__xludf.DUMMYFUNCTION("""COMPUTED_VALUE"""),192.93)</f>
        <v>192.93</v>
      </c>
      <c r="AQ315" s="26">
        <f>IFERROR(__xludf.DUMMYFUNCTION("""COMPUTED_VALUE"""),30.15)</f>
        <v>30.15</v>
      </c>
      <c r="AR315" s="26">
        <f>IFERROR(__xludf.DUMMYFUNCTION("""COMPUTED_VALUE"""),92.08)</f>
        <v>92.08</v>
      </c>
      <c r="AS315" s="26">
        <f>IFERROR(__xludf.DUMMYFUNCTION("""COMPUTED_VALUE"""),76.56)</f>
        <v>76.56</v>
      </c>
      <c r="AT315" s="26">
        <f>IFERROR(__xludf.DUMMYFUNCTION("""COMPUTED_VALUE"""),529.24)</f>
        <v>529.24</v>
      </c>
      <c r="AU315" s="26">
        <f>IFERROR(__xludf.DUMMYFUNCTION("""COMPUTED_VALUE"""),71.86)</f>
        <v>71.86</v>
      </c>
      <c r="AV315" s="26">
        <f>IFERROR(__xludf.DUMMYFUNCTION("""COMPUTED_VALUE"""),183.16)</f>
        <v>183.16</v>
      </c>
      <c r="AW315" s="26">
        <f>IFERROR(__xludf.DUMMYFUNCTION("""COMPUTED_VALUE"""),88.15)</f>
        <v>88.15</v>
      </c>
      <c r="AX315" s="26">
        <f>IFERROR(__xludf.DUMMYFUNCTION("""COMPUTED_VALUE"""),49.81)</f>
        <v>49.81</v>
      </c>
      <c r="AY315" s="26">
        <f>IFERROR(__xludf.DUMMYFUNCTION("""COMPUTED_VALUE"""),186.97)</f>
        <v>186.97</v>
      </c>
      <c r="AZ315" s="26">
        <f>IFERROR(__xludf.DUMMYFUNCTION("""COMPUTED_VALUE"""),67.97)</f>
        <v>67.97</v>
      </c>
      <c r="BA315" s="26">
        <f>IFERROR(__xludf.DUMMYFUNCTION("""COMPUTED_VALUE"""),24.65)</f>
        <v>24.65</v>
      </c>
      <c r="BB315" s="26">
        <f>IFERROR(__xludf.DUMMYFUNCTION("""COMPUTED_VALUE"""),155.49)</f>
        <v>155.49</v>
      </c>
      <c r="BC315" s="26">
        <f>IFERROR(__xludf.DUMMYFUNCTION("""COMPUTED_VALUE"""),252.28)</f>
        <v>252.28</v>
      </c>
      <c r="BD315" s="26">
        <f>IFERROR(__xludf.DUMMYFUNCTION("""COMPUTED_VALUE"""),477.41)</f>
        <v>477.41</v>
      </c>
      <c r="BE315" s="26">
        <f>IFERROR(__xludf.DUMMYFUNCTION("""COMPUTED_VALUE"""),193.97)</f>
        <v>193.97</v>
      </c>
      <c r="BF315" s="26">
        <f>IFERROR(__xludf.DUMMYFUNCTION("""COMPUTED_VALUE"""),131.13)</f>
        <v>131.13</v>
      </c>
      <c r="BG315" s="26">
        <f>IFERROR(__xludf.DUMMYFUNCTION("""COMPUTED_VALUE"""),5.03)</f>
        <v>5.03</v>
      </c>
      <c r="BH315" s="26">
        <f>IFERROR(__xludf.DUMMYFUNCTION("""COMPUTED_VALUE"""),218.8)</f>
        <v>218.8</v>
      </c>
      <c r="BI315" s="26">
        <f>IFERROR(__xludf.DUMMYFUNCTION("""COMPUTED_VALUE"""),261.57)</f>
        <v>261.57</v>
      </c>
      <c r="BJ315" s="26">
        <f>IFERROR(__xludf.DUMMYFUNCTION("""COMPUTED_VALUE"""),50.26)</f>
        <v>50.26</v>
      </c>
      <c r="BK315" s="26">
        <f>IFERROR(__xludf.DUMMYFUNCTION("""COMPUTED_VALUE"""),10.12)</f>
        <v>10.12</v>
      </c>
      <c r="BL315" s="26">
        <f>IFERROR(__xludf.DUMMYFUNCTION("""COMPUTED_VALUE"""),232.98)</f>
        <v>232.98</v>
      </c>
      <c r="BM315" s="26">
        <f>IFERROR(__xludf.DUMMYFUNCTION("""COMPUTED_VALUE"""),113.72)</f>
        <v>113.72</v>
      </c>
    </row>
    <row r="316">
      <c r="A316" s="25">
        <v>45883.66666666667</v>
      </c>
      <c r="B316" s="17">
        <f>IFERROR(__xludf.DUMMYFUNCTION("""COMPUTED_VALUE"""),6466.58)</f>
        <v>6466.58</v>
      </c>
      <c r="C316" s="17">
        <f>IFERROR(__xludf.DUMMYFUNCTION("""COMPUTED_VALUE"""),21713.14)</f>
        <v>21713.14</v>
      </c>
      <c r="D316" s="17">
        <f>IFERROR(__xludf.DUMMYFUNCTION("""COMPUTED_VALUE"""),44922.27)</f>
        <v>44922.27</v>
      </c>
      <c r="E316" s="17">
        <f>IFERROR(__xludf.DUMMYFUNCTION("""COMPUTED_VALUE"""),2328.06)</f>
        <v>2328.06</v>
      </c>
      <c r="F316" s="26">
        <f>IFERROR(__xludf.DUMMYFUNCTION("""COMPUTED_VALUE"""),351.07)</f>
        <v>351.07</v>
      </c>
      <c r="G316" s="26">
        <f>IFERROR(__xludf.DUMMYFUNCTION("""COMPUTED_VALUE"""),224.56)</f>
        <v>224.56</v>
      </c>
      <c r="H316" s="26">
        <f>IFERROR(__xludf.DUMMYFUNCTION("""COMPUTED_VALUE"""),143.73)</f>
        <v>143.73</v>
      </c>
      <c r="I316" s="26">
        <f>IFERROR(__xludf.DUMMYFUNCTION("""COMPUTED_VALUE"""),233.33)</f>
        <v>233.33</v>
      </c>
      <c r="J316" s="26">
        <f>IFERROR(__xludf.DUMMYFUNCTION("""COMPUTED_VALUE"""),190.03)</f>
        <v>190.03</v>
      </c>
      <c r="K316" s="26">
        <f>IFERROR(__xludf.DUMMYFUNCTION("""COMPUTED_VALUE"""),101.91)</f>
        <v>101.91</v>
      </c>
      <c r="L316" s="26">
        <f>IFERROR(__xludf.DUMMYFUNCTION("""COMPUTED_VALUE"""),20.45)</f>
        <v>20.45</v>
      </c>
      <c r="M316" s="26">
        <f>IFERROR(__xludf.DUMMYFUNCTION("""COMPUTED_VALUE"""),477.31)</f>
        <v>477.31</v>
      </c>
      <c r="N316" s="26">
        <f>IFERROR(__xludf.DUMMYFUNCTION("""COMPUTED_VALUE"""),54.73)</f>
        <v>54.73</v>
      </c>
      <c r="O316" s="26">
        <f>IFERROR(__xludf.DUMMYFUNCTION("""COMPUTED_VALUE"""),135.19)</f>
        <v>135.19</v>
      </c>
      <c r="P316" s="26">
        <f>IFERROR(__xludf.DUMMYFUNCTION("""COMPUTED_VALUE"""),67.05)</f>
        <v>67.05</v>
      </c>
      <c r="Q316" s="26">
        <f>IFERROR(__xludf.DUMMYFUNCTION("""COMPUTED_VALUE"""),413.7)</f>
        <v>413.7</v>
      </c>
      <c r="R316" s="26">
        <f>IFERROR(__xludf.DUMMYFUNCTION("""COMPUTED_VALUE"""),75.6)</f>
        <v>75.6</v>
      </c>
      <c r="S316" s="26">
        <f>IFERROR(__xludf.DUMMYFUNCTION("""COMPUTED_VALUE"""),188.12)</f>
        <v>188.12</v>
      </c>
      <c r="T316" s="26">
        <f>IFERROR(__xludf.DUMMYFUNCTION("""COMPUTED_VALUE"""),155.87)</f>
        <v>155.87</v>
      </c>
      <c r="U316" s="26">
        <f>IFERROR(__xludf.DUMMYFUNCTION("""COMPUTED_VALUE"""),287.1)</f>
        <v>287.1</v>
      </c>
      <c r="V316" s="26">
        <f>IFERROR(__xludf.DUMMYFUNCTION("""COMPUTED_VALUE"""),48.55)</f>
        <v>48.55</v>
      </c>
      <c r="W316" s="26">
        <f>IFERROR(__xludf.DUMMYFUNCTION("""COMPUTED_VALUE"""),70.46)</f>
        <v>70.46</v>
      </c>
      <c r="X316" s="26">
        <f>IFERROR(__xludf.DUMMYFUNCTION("""COMPUTED_VALUE"""),103.66)</f>
        <v>103.66</v>
      </c>
      <c r="Y316" s="26">
        <f>IFERROR(__xludf.DUMMYFUNCTION("""COMPUTED_VALUE"""),168.58)</f>
        <v>168.58</v>
      </c>
      <c r="Z316" s="26">
        <f>IFERROR(__xludf.DUMMYFUNCTION("""COMPUTED_VALUE"""),115.4)</f>
        <v>115.4</v>
      </c>
      <c r="AA316" s="26">
        <f>IFERROR(__xludf.DUMMYFUNCTION("""COMPUTED_VALUE"""),450.98)</f>
        <v>450.98</v>
      </c>
      <c r="AB316" s="26">
        <f>IFERROR(__xludf.DUMMYFUNCTION("""COMPUTED_VALUE"""),100.77)</f>
        <v>100.77</v>
      </c>
      <c r="AC316" s="26">
        <f>IFERROR(__xludf.DUMMYFUNCTION("""COMPUTED_VALUE"""),107.6)</f>
        <v>107.6</v>
      </c>
      <c r="AD316" s="26">
        <f>IFERROR(__xludf.DUMMYFUNCTION("""COMPUTED_VALUE"""),230.5)</f>
        <v>230.5</v>
      </c>
      <c r="AE316" s="26">
        <f>IFERROR(__xludf.DUMMYFUNCTION("""COMPUTED_VALUE"""),451.21)</f>
        <v>451.21</v>
      </c>
      <c r="AF316" s="26">
        <f>IFERROR(__xludf.DUMMYFUNCTION("""COMPUTED_VALUE"""),317.49)</f>
        <v>317.49</v>
      </c>
      <c r="AG316" s="26">
        <f>IFERROR(__xludf.DUMMYFUNCTION("""COMPUTED_VALUE"""),55.58)</f>
        <v>55.58</v>
      </c>
      <c r="AH316" s="26">
        <f>IFERROR(__xludf.DUMMYFUNCTION("""COMPUTED_VALUE"""),120.14)</f>
        <v>120.14</v>
      </c>
      <c r="AI316" s="26">
        <f>IFERROR(__xludf.DUMMYFUNCTION("""COMPUTED_VALUE"""),744.69)</f>
        <v>744.69</v>
      </c>
      <c r="AJ316" s="26">
        <f>IFERROR(__xludf.DUMMYFUNCTION("""COMPUTED_VALUE"""),407.18)</f>
        <v>407.18</v>
      </c>
      <c r="AK316" s="26">
        <f>IFERROR(__xludf.DUMMYFUNCTION("""COMPUTED_VALUE"""),137.0)</f>
        <v>137</v>
      </c>
      <c r="AL316" s="26">
        <f>IFERROR(__xludf.DUMMYFUNCTION("""COMPUTED_VALUE"""),181.41)</f>
        <v>181.41</v>
      </c>
      <c r="AM316" s="26">
        <f>IFERROR(__xludf.DUMMYFUNCTION("""COMPUTED_VALUE"""),482.35)</f>
        <v>482.35</v>
      </c>
      <c r="AN316" s="26">
        <f>IFERROR(__xludf.DUMMYFUNCTION("""COMPUTED_VALUE"""),290.53)</f>
        <v>290.53</v>
      </c>
      <c r="AO316" s="26">
        <f>IFERROR(__xludf.DUMMYFUNCTION("""COMPUTED_VALUE"""),442.57)</f>
        <v>442.57</v>
      </c>
      <c r="AP316" s="26">
        <f>IFERROR(__xludf.DUMMYFUNCTION("""COMPUTED_VALUE"""),200.49)</f>
        <v>200.49</v>
      </c>
      <c r="AQ316" s="26">
        <f>IFERROR(__xludf.DUMMYFUNCTION("""COMPUTED_VALUE"""),30.48)</f>
        <v>30.48</v>
      </c>
      <c r="AR316" s="26">
        <f>IFERROR(__xludf.DUMMYFUNCTION("""COMPUTED_VALUE"""),92.91)</f>
        <v>92.91</v>
      </c>
      <c r="AS316" s="26">
        <f>IFERROR(__xludf.DUMMYFUNCTION("""COMPUTED_VALUE"""),77.36)</f>
        <v>77.36</v>
      </c>
      <c r="AT316" s="26">
        <f>IFERROR(__xludf.DUMMYFUNCTION("""COMPUTED_VALUE"""),520.58)</f>
        <v>520.58</v>
      </c>
      <c r="AU316" s="26">
        <f>IFERROR(__xludf.DUMMYFUNCTION("""COMPUTED_VALUE"""),72.3)</f>
        <v>72.3</v>
      </c>
      <c r="AV316" s="26">
        <f>IFERROR(__xludf.DUMMYFUNCTION("""COMPUTED_VALUE"""),181.59)</f>
        <v>181.59</v>
      </c>
      <c r="AW316" s="26">
        <f>IFERROR(__xludf.DUMMYFUNCTION("""COMPUTED_VALUE"""),89.23)</f>
        <v>89.23</v>
      </c>
      <c r="AX316" s="26">
        <f>IFERROR(__xludf.DUMMYFUNCTION("""COMPUTED_VALUE"""),48.19)</f>
        <v>48.19</v>
      </c>
      <c r="AY316" s="26">
        <f>IFERROR(__xludf.DUMMYFUNCTION("""COMPUTED_VALUE"""),184.37)</f>
        <v>184.37</v>
      </c>
      <c r="AZ316" s="26">
        <f>IFERROR(__xludf.DUMMYFUNCTION("""COMPUTED_VALUE"""),70.63)</f>
        <v>70.63</v>
      </c>
      <c r="BA316" s="26">
        <f>IFERROR(__xludf.DUMMYFUNCTION("""COMPUTED_VALUE"""),25.16)</f>
        <v>25.16</v>
      </c>
      <c r="BB316" s="26">
        <f>IFERROR(__xludf.DUMMYFUNCTION("""COMPUTED_VALUE"""),155.71)</f>
        <v>155.71</v>
      </c>
      <c r="BC316" s="26">
        <f>IFERROR(__xludf.DUMMYFUNCTION("""COMPUTED_VALUE"""),250.84)</f>
        <v>250.84</v>
      </c>
      <c r="BD316" s="26">
        <f>IFERROR(__xludf.DUMMYFUNCTION("""COMPUTED_VALUE"""),484.79)</f>
        <v>484.79</v>
      </c>
      <c r="BE316" s="26">
        <f>IFERROR(__xludf.DUMMYFUNCTION("""COMPUTED_VALUE"""),194.4)</f>
        <v>194.4</v>
      </c>
      <c r="BF316" s="26">
        <f>IFERROR(__xludf.DUMMYFUNCTION("""COMPUTED_VALUE"""),132.04)</f>
        <v>132.04</v>
      </c>
      <c r="BG316" s="26">
        <f>IFERROR(__xludf.DUMMYFUNCTION("""COMPUTED_VALUE"""),5.06)</f>
        <v>5.06</v>
      </c>
      <c r="BH316" s="26">
        <f>IFERROR(__xludf.DUMMYFUNCTION("""COMPUTED_VALUE"""),223.18)</f>
        <v>223.18</v>
      </c>
      <c r="BI316" s="26">
        <f>IFERROR(__xludf.DUMMYFUNCTION("""COMPUTED_VALUE"""),271.81)</f>
        <v>271.81</v>
      </c>
      <c r="BJ316" s="26">
        <f>IFERROR(__xludf.DUMMYFUNCTION("""COMPUTED_VALUE"""),50.34)</f>
        <v>50.34</v>
      </c>
      <c r="BK316" s="26">
        <f>IFERROR(__xludf.DUMMYFUNCTION("""COMPUTED_VALUE"""),10.41)</f>
        <v>10.41</v>
      </c>
      <c r="BL316" s="26">
        <f>IFERROR(__xludf.DUMMYFUNCTION("""COMPUTED_VALUE"""),229.9)</f>
        <v>229.9</v>
      </c>
      <c r="BM316" s="26">
        <f>IFERROR(__xludf.DUMMYFUNCTION("""COMPUTED_VALUE"""),116.64)</f>
        <v>116.64</v>
      </c>
    </row>
    <row r="317">
      <c r="A317" s="25">
        <v>45884.66666666667</v>
      </c>
      <c r="B317" s="17">
        <f>IFERROR(__xludf.DUMMYFUNCTION("""COMPUTED_VALUE"""),6468.54)</f>
        <v>6468.54</v>
      </c>
      <c r="C317" s="17">
        <f>IFERROR(__xludf.DUMMYFUNCTION("""COMPUTED_VALUE"""),21710.67)</f>
        <v>21710.67</v>
      </c>
      <c r="D317" s="17">
        <f>IFERROR(__xludf.DUMMYFUNCTION("""COMPUTED_VALUE"""),44911.26)</f>
        <v>44911.26</v>
      </c>
      <c r="E317" s="17">
        <f>IFERROR(__xludf.DUMMYFUNCTION("""COMPUTED_VALUE"""),2299.08)</f>
        <v>2299.08</v>
      </c>
      <c r="F317" s="26">
        <f>IFERROR(__xludf.DUMMYFUNCTION("""COMPUTED_VALUE"""),348.58)</f>
        <v>348.58</v>
      </c>
      <c r="G317" s="26">
        <f>IFERROR(__xludf.DUMMYFUNCTION("""COMPUTED_VALUE"""),230.98)</f>
        <v>230.98</v>
      </c>
      <c r="H317" s="26">
        <f>IFERROR(__xludf.DUMMYFUNCTION("""COMPUTED_VALUE"""),143.41)</f>
        <v>143.41</v>
      </c>
      <c r="I317" s="26">
        <f>IFERROR(__xludf.DUMMYFUNCTION("""COMPUTED_VALUE"""),232.78)</f>
        <v>232.78</v>
      </c>
      <c r="J317" s="26">
        <f>IFERROR(__xludf.DUMMYFUNCTION("""COMPUTED_VALUE"""),188.24)</f>
        <v>188.24</v>
      </c>
      <c r="K317" s="26">
        <f>IFERROR(__xludf.DUMMYFUNCTION("""COMPUTED_VALUE"""),103.35)</f>
        <v>103.35</v>
      </c>
      <c r="L317" s="26">
        <f>IFERROR(__xludf.DUMMYFUNCTION("""COMPUTED_VALUE"""),20.55)</f>
        <v>20.55</v>
      </c>
      <c r="M317" s="26">
        <f>IFERROR(__xludf.DUMMYFUNCTION("""COMPUTED_VALUE"""),479.22)</f>
        <v>479.22</v>
      </c>
      <c r="N317" s="26">
        <f>IFERROR(__xludf.DUMMYFUNCTION("""COMPUTED_VALUE"""),53.82)</f>
        <v>53.82</v>
      </c>
      <c r="O317" s="26">
        <f>IFERROR(__xludf.DUMMYFUNCTION("""COMPUTED_VALUE"""),134.94)</f>
        <v>134.94</v>
      </c>
      <c r="P317" s="26">
        <f>IFERROR(__xludf.DUMMYFUNCTION("""COMPUTED_VALUE"""),65.76)</f>
        <v>65.76</v>
      </c>
      <c r="Q317" s="26">
        <f>IFERROR(__xludf.DUMMYFUNCTION("""COMPUTED_VALUE"""),417.5)</f>
        <v>417.5</v>
      </c>
      <c r="R317" s="26">
        <f>IFERROR(__xludf.DUMMYFUNCTION("""COMPUTED_VALUE"""),75.55)</f>
        <v>75.55</v>
      </c>
      <c r="S317" s="26">
        <f>IFERROR(__xludf.DUMMYFUNCTION("""COMPUTED_VALUE"""),185.32)</f>
        <v>185.32</v>
      </c>
      <c r="T317" s="26">
        <f>IFERROR(__xludf.DUMMYFUNCTION("""COMPUTED_VALUE"""),155.16)</f>
        <v>155.16</v>
      </c>
      <c r="U317" s="26">
        <f>IFERROR(__xludf.DUMMYFUNCTION("""COMPUTED_VALUE"""),290.35)</f>
        <v>290.35</v>
      </c>
      <c r="V317" s="26">
        <f>IFERROR(__xludf.DUMMYFUNCTION("""COMPUTED_VALUE"""),49.21)</f>
        <v>49.21</v>
      </c>
      <c r="W317" s="26">
        <f>IFERROR(__xludf.DUMMYFUNCTION("""COMPUTED_VALUE"""),69.55)</f>
        <v>69.55</v>
      </c>
      <c r="X317" s="26">
        <f>IFERROR(__xludf.DUMMYFUNCTION("""COMPUTED_VALUE"""),102.86)</f>
        <v>102.86</v>
      </c>
      <c r="Y317" s="26">
        <f>IFERROR(__xludf.DUMMYFUNCTION("""COMPUTED_VALUE"""),166.22)</f>
        <v>166.22</v>
      </c>
      <c r="Z317" s="26">
        <f>IFERROR(__xludf.DUMMYFUNCTION("""COMPUTED_VALUE"""),114.63)</f>
        <v>114.63</v>
      </c>
      <c r="AA317" s="26">
        <f>IFERROR(__xludf.DUMMYFUNCTION("""COMPUTED_VALUE"""),450.59)</f>
        <v>450.59</v>
      </c>
      <c r="AB317" s="26">
        <f>IFERROR(__xludf.DUMMYFUNCTION("""COMPUTED_VALUE"""),98.48)</f>
        <v>98.48</v>
      </c>
      <c r="AC317" s="26">
        <f>IFERROR(__xludf.DUMMYFUNCTION("""COMPUTED_VALUE"""),107.38)</f>
        <v>107.38</v>
      </c>
      <c r="AD317" s="26">
        <f>IFERROR(__xludf.DUMMYFUNCTION("""COMPUTED_VALUE"""),231.07)</f>
        <v>231.07</v>
      </c>
      <c r="AE317" s="26">
        <f>IFERROR(__xludf.DUMMYFUNCTION("""COMPUTED_VALUE"""),464.43)</f>
        <v>464.43</v>
      </c>
      <c r="AF317" s="26">
        <f>IFERROR(__xludf.DUMMYFUNCTION("""COMPUTED_VALUE"""),315.84)</f>
        <v>315.84</v>
      </c>
      <c r="AG317" s="26">
        <f>IFERROR(__xludf.DUMMYFUNCTION("""COMPUTED_VALUE"""),56.42)</f>
        <v>56.42</v>
      </c>
      <c r="AH317" s="26">
        <f>IFERROR(__xludf.DUMMYFUNCTION("""COMPUTED_VALUE"""),119.02)</f>
        <v>119.02</v>
      </c>
      <c r="AI317" s="26">
        <f>IFERROR(__xludf.DUMMYFUNCTION("""COMPUTED_VALUE"""),747.2)</f>
        <v>747.2</v>
      </c>
      <c r="AJ317" s="26">
        <f>IFERROR(__xludf.DUMMYFUNCTION("""COMPUTED_VALUE"""),400.32)</f>
        <v>400.32</v>
      </c>
      <c r="AK317" s="26">
        <f>IFERROR(__xludf.DUMMYFUNCTION("""COMPUTED_VALUE"""),132.9)</f>
        <v>132.9</v>
      </c>
      <c r="AL317" s="26">
        <f>IFERROR(__xludf.DUMMYFUNCTION("""COMPUTED_VALUE"""),182.68)</f>
        <v>182.68</v>
      </c>
      <c r="AM317" s="26">
        <f>IFERROR(__xludf.DUMMYFUNCTION("""COMPUTED_VALUE"""),477.08)</f>
        <v>477.08</v>
      </c>
      <c r="AN317" s="26">
        <f>IFERROR(__xludf.DUMMYFUNCTION("""COMPUTED_VALUE"""),294.16)</f>
        <v>294.16</v>
      </c>
      <c r="AO317" s="26">
        <f>IFERROR(__xludf.DUMMYFUNCTION("""COMPUTED_VALUE"""),437.32)</f>
        <v>437.32</v>
      </c>
      <c r="AP317" s="26">
        <f>IFERROR(__xludf.DUMMYFUNCTION("""COMPUTED_VALUE"""),195.19)</f>
        <v>195.19</v>
      </c>
      <c r="AQ317" s="26">
        <f>IFERROR(__xludf.DUMMYFUNCTION("""COMPUTED_VALUE"""),30.59)</f>
        <v>30.59</v>
      </c>
      <c r="AR317" s="26">
        <f>IFERROR(__xludf.DUMMYFUNCTION("""COMPUTED_VALUE"""),91.98)</f>
        <v>91.98</v>
      </c>
      <c r="AS317" s="26">
        <f>IFERROR(__xludf.DUMMYFUNCTION("""COMPUTED_VALUE"""),77.92)</f>
        <v>77.92</v>
      </c>
      <c r="AT317" s="26">
        <f>IFERROR(__xludf.DUMMYFUNCTION("""COMPUTED_VALUE"""),522.48)</f>
        <v>522.48</v>
      </c>
      <c r="AU317" s="26">
        <f>IFERROR(__xludf.DUMMYFUNCTION("""COMPUTED_VALUE"""),72.24)</f>
        <v>72.24</v>
      </c>
      <c r="AV317" s="26">
        <f>IFERROR(__xludf.DUMMYFUNCTION("""COMPUTED_VALUE"""),182.02)</f>
        <v>182.02</v>
      </c>
      <c r="AW317" s="26">
        <f>IFERROR(__xludf.DUMMYFUNCTION("""COMPUTED_VALUE"""),87.54)</f>
        <v>87.54</v>
      </c>
      <c r="AX317" s="26">
        <f>IFERROR(__xludf.DUMMYFUNCTION("""COMPUTED_VALUE"""),44.21)</f>
        <v>44.21</v>
      </c>
      <c r="AY317" s="26">
        <f>IFERROR(__xludf.DUMMYFUNCTION("""COMPUTED_VALUE"""),181.02)</f>
        <v>181.02</v>
      </c>
      <c r="AZ317" s="26">
        <f>IFERROR(__xludf.DUMMYFUNCTION("""COMPUTED_VALUE"""),69.38)</f>
        <v>69.38</v>
      </c>
      <c r="BA317" s="26">
        <f>IFERROR(__xludf.DUMMYFUNCTION("""COMPUTED_VALUE"""),25.11)</f>
        <v>25.11</v>
      </c>
      <c r="BB317" s="26">
        <f>IFERROR(__xludf.DUMMYFUNCTION("""COMPUTED_VALUE"""),155.08)</f>
        <v>155.08</v>
      </c>
      <c r="BC317" s="26">
        <f>IFERROR(__xludf.DUMMYFUNCTION("""COMPUTED_VALUE"""),250.31)</f>
        <v>250.31</v>
      </c>
      <c r="BD317" s="26">
        <f>IFERROR(__xludf.DUMMYFUNCTION("""COMPUTED_VALUE"""),485.04)</f>
        <v>485.04</v>
      </c>
      <c r="BE317" s="26">
        <f>IFERROR(__xludf.DUMMYFUNCTION("""COMPUTED_VALUE"""),192.48)</f>
        <v>192.48</v>
      </c>
      <c r="BF317" s="26">
        <f>IFERROR(__xludf.DUMMYFUNCTION("""COMPUTED_VALUE"""),129.74)</f>
        <v>129.74</v>
      </c>
      <c r="BG317" s="26">
        <f>IFERROR(__xludf.DUMMYFUNCTION("""COMPUTED_VALUE"""),4.92)</f>
        <v>4.92</v>
      </c>
      <c r="BH317" s="26">
        <f>IFERROR(__xludf.DUMMYFUNCTION("""COMPUTED_VALUE"""),221.52)</f>
        <v>221.52</v>
      </c>
      <c r="BI317" s="26">
        <f>IFERROR(__xludf.DUMMYFUNCTION("""COMPUTED_VALUE"""),271.49)</f>
        <v>271.49</v>
      </c>
      <c r="BJ317" s="26">
        <f>IFERROR(__xludf.DUMMYFUNCTION("""COMPUTED_VALUE"""),50.31)</f>
        <v>50.31</v>
      </c>
      <c r="BK317" s="26">
        <f>IFERROR(__xludf.DUMMYFUNCTION("""COMPUTED_VALUE"""),10.69)</f>
        <v>10.69</v>
      </c>
      <c r="BL317" s="26">
        <f>IFERROR(__xludf.DUMMYFUNCTION("""COMPUTED_VALUE"""),226.15)</f>
        <v>226.15</v>
      </c>
      <c r="BM317" s="26">
        <f>IFERROR(__xludf.DUMMYFUNCTION("""COMPUTED_VALUE"""),116.31)</f>
        <v>116.31</v>
      </c>
    </row>
    <row r="318">
      <c r="A318" s="25">
        <v>45887.66666666667</v>
      </c>
      <c r="B318" s="17">
        <f>IFERROR(__xludf.DUMMYFUNCTION("""COMPUTED_VALUE"""),6449.8)</f>
        <v>6449.8</v>
      </c>
      <c r="C318" s="17">
        <f>IFERROR(__xludf.DUMMYFUNCTION("""COMPUTED_VALUE"""),21622.98)</f>
        <v>21622.98</v>
      </c>
      <c r="D318" s="17">
        <f>IFERROR(__xludf.DUMMYFUNCTION("""COMPUTED_VALUE"""),44946.12)</f>
        <v>44946.12</v>
      </c>
      <c r="E318" s="17">
        <f>IFERROR(__xludf.DUMMYFUNCTION("""COMPUTED_VALUE"""),2286.52)</f>
        <v>2286.52</v>
      </c>
      <c r="F318" s="26">
        <f>IFERROR(__xludf.DUMMYFUNCTION("""COMPUTED_VALUE"""),354.85)</f>
        <v>354.85</v>
      </c>
      <c r="G318" s="26">
        <f>IFERROR(__xludf.DUMMYFUNCTION("""COMPUTED_VALUE"""),231.03)</f>
        <v>231.03</v>
      </c>
      <c r="H318" s="26">
        <f>IFERROR(__xludf.DUMMYFUNCTION("""COMPUTED_VALUE"""),143.92)</f>
        <v>143.92</v>
      </c>
      <c r="I318" s="26">
        <f>IFERROR(__xludf.DUMMYFUNCTION("""COMPUTED_VALUE"""),231.59)</f>
        <v>231.59</v>
      </c>
      <c r="J318" s="26">
        <f>IFERROR(__xludf.DUMMYFUNCTION("""COMPUTED_VALUE"""),161.76)</f>
        <v>161.76</v>
      </c>
      <c r="K318" s="26">
        <f>IFERROR(__xludf.DUMMYFUNCTION("""COMPUTED_VALUE"""),101.0)</f>
        <v>101</v>
      </c>
      <c r="L318" s="26">
        <f>IFERROR(__xludf.DUMMYFUNCTION("""COMPUTED_VALUE"""),20.27)</f>
        <v>20.27</v>
      </c>
      <c r="M318" s="26">
        <f>IFERROR(__xludf.DUMMYFUNCTION("""COMPUTED_VALUE"""),477.2)</f>
        <v>477.2</v>
      </c>
      <c r="N318" s="26">
        <f>IFERROR(__xludf.DUMMYFUNCTION("""COMPUTED_VALUE"""),54.15)</f>
        <v>54.15</v>
      </c>
      <c r="O318" s="26">
        <f>IFERROR(__xludf.DUMMYFUNCTION("""COMPUTED_VALUE"""),138.6)</f>
        <v>138.6</v>
      </c>
      <c r="P318" s="26">
        <f>IFERROR(__xludf.DUMMYFUNCTION("""COMPUTED_VALUE"""),65.4)</f>
        <v>65.4</v>
      </c>
      <c r="Q318" s="26">
        <f>IFERROR(__xludf.DUMMYFUNCTION("""COMPUTED_VALUE"""),407.79)</f>
        <v>407.79</v>
      </c>
      <c r="R318" s="26">
        <f>IFERROR(__xludf.DUMMYFUNCTION("""COMPUTED_VALUE"""),75.6)</f>
        <v>75.6</v>
      </c>
      <c r="S318" s="26">
        <f>IFERROR(__xludf.DUMMYFUNCTION("""COMPUTED_VALUE"""),188.92)</f>
        <v>188.92</v>
      </c>
      <c r="T318" s="26">
        <f>IFERROR(__xludf.DUMMYFUNCTION("""COMPUTED_VALUE"""),156.55)</f>
        <v>156.55</v>
      </c>
      <c r="U318" s="26">
        <f>IFERROR(__xludf.DUMMYFUNCTION("""COMPUTED_VALUE"""),296.86)</f>
        <v>296.86</v>
      </c>
      <c r="V318" s="26">
        <f>IFERROR(__xludf.DUMMYFUNCTION("""COMPUTED_VALUE"""),48.28)</f>
        <v>48.28</v>
      </c>
      <c r="W318" s="26">
        <f>IFERROR(__xludf.DUMMYFUNCTION("""COMPUTED_VALUE"""),69.92)</f>
        <v>69.92</v>
      </c>
      <c r="X318" s="26">
        <f>IFERROR(__xludf.DUMMYFUNCTION("""COMPUTED_VALUE"""),100.77)</f>
        <v>100.77</v>
      </c>
      <c r="Y318" s="26">
        <f>IFERROR(__xludf.DUMMYFUNCTION("""COMPUTED_VALUE"""),166.9)</f>
        <v>166.9</v>
      </c>
      <c r="Z318" s="26">
        <f>IFERROR(__xludf.DUMMYFUNCTION("""COMPUTED_VALUE"""),113.49)</f>
        <v>113.49</v>
      </c>
      <c r="AA318" s="26">
        <f>IFERROR(__xludf.DUMMYFUNCTION("""COMPUTED_VALUE"""),451.26)</f>
        <v>451.26</v>
      </c>
      <c r="AB318" s="26">
        <f>IFERROR(__xludf.DUMMYFUNCTION("""COMPUTED_VALUE"""),100.7)</f>
        <v>100.7</v>
      </c>
      <c r="AC318" s="26">
        <f>IFERROR(__xludf.DUMMYFUNCTION("""COMPUTED_VALUE"""),106.49)</f>
        <v>106.49</v>
      </c>
      <c r="AD318" s="26">
        <f>IFERROR(__xludf.DUMMYFUNCTION("""COMPUTED_VALUE"""),227.26)</f>
        <v>227.26</v>
      </c>
      <c r="AE318" s="26">
        <f>IFERROR(__xludf.DUMMYFUNCTION("""COMPUTED_VALUE"""),460.55)</f>
        <v>460.55</v>
      </c>
      <c r="AF318" s="26">
        <f>IFERROR(__xludf.DUMMYFUNCTION("""COMPUTED_VALUE"""),313.69)</f>
        <v>313.69</v>
      </c>
      <c r="AG318" s="26">
        <f>IFERROR(__xludf.DUMMYFUNCTION("""COMPUTED_VALUE"""),56.31)</f>
        <v>56.31</v>
      </c>
      <c r="AH318" s="26">
        <f>IFERROR(__xludf.DUMMYFUNCTION("""COMPUTED_VALUE"""),118.37)</f>
        <v>118.37</v>
      </c>
      <c r="AI318" s="26">
        <f>IFERROR(__xludf.DUMMYFUNCTION("""COMPUTED_VALUE"""),730.72)</f>
        <v>730.72</v>
      </c>
      <c r="AJ318" s="26">
        <f>IFERROR(__xludf.DUMMYFUNCTION("""COMPUTED_VALUE"""),399.38)</f>
        <v>399.38</v>
      </c>
      <c r="AK318" s="26">
        <f>IFERROR(__xludf.DUMMYFUNCTION("""COMPUTED_VALUE"""),133.17)</f>
        <v>133.17</v>
      </c>
      <c r="AL318" s="26">
        <f>IFERROR(__xludf.DUMMYFUNCTION("""COMPUTED_VALUE"""),181.2)</f>
        <v>181.2</v>
      </c>
      <c r="AM318" s="26">
        <f>IFERROR(__xludf.DUMMYFUNCTION("""COMPUTED_VALUE"""),480.26)</f>
        <v>480.26</v>
      </c>
      <c r="AN318" s="26">
        <f>IFERROR(__xludf.DUMMYFUNCTION("""COMPUTED_VALUE"""),290.49)</f>
        <v>290.49</v>
      </c>
      <c r="AO318" s="26">
        <f>IFERROR(__xludf.DUMMYFUNCTION("""COMPUTED_VALUE"""),437.56)</f>
        <v>437.56</v>
      </c>
      <c r="AP318" s="26">
        <f>IFERROR(__xludf.DUMMYFUNCTION("""COMPUTED_VALUE"""),198.46)</f>
        <v>198.46</v>
      </c>
      <c r="AQ318" s="26">
        <f>IFERROR(__xludf.DUMMYFUNCTION("""COMPUTED_VALUE"""),30.38)</f>
        <v>30.38</v>
      </c>
      <c r="AR318" s="26">
        <f>IFERROR(__xludf.DUMMYFUNCTION("""COMPUTED_VALUE"""),93.02)</f>
        <v>93.02</v>
      </c>
      <c r="AS318" s="26">
        <f>IFERROR(__xludf.DUMMYFUNCTION("""COMPUTED_VALUE"""),77.33)</f>
        <v>77.33</v>
      </c>
      <c r="AT318" s="26">
        <f>IFERROR(__xludf.DUMMYFUNCTION("""COMPUTED_VALUE"""),520.17)</f>
        <v>520.17</v>
      </c>
      <c r="AU318" s="26">
        <f>IFERROR(__xludf.DUMMYFUNCTION("""COMPUTED_VALUE"""),75.41)</f>
        <v>75.41</v>
      </c>
      <c r="AV318" s="26">
        <f>IFERROR(__xludf.DUMMYFUNCTION("""COMPUTED_VALUE"""),180.45)</f>
        <v>180.45</v>
      </c>
      <c r="AW318" s="26">
        <f>IFERROR(__xludf.DUMMYFUNCTION("""COMPUTED_VALUE"""),87.43)</f>
        <v>87.43</v>
      </c>
      <c r="AX318" s="26">
        <f>IFERROR(__xludf.DUMMYFUNCTION("""COMPUTED_VALUE"""),45.34)</f>
        <v>45.34</v>
      </c>
      <c r="AY318" s="26">
        <f>IFERROR(__xludf.DUMMYFUNCTION("""COMPUTED_VALUE"""),177.17)</f>
        <v>177.17</v>
      </c>
      <c r="AZ318" s="26">
        <f>IFERROR(__xludf.DUMMYFUNCTION("""COMPUTED_VALUE"""),69.23)</f>
        <v>69.23</v>
      </c>
      <c r="BA318" s="26">
        <f>IFERROR(__xludf.DUMMYFUNCTION("""COMPUTED_VALUE"""),25.14)</f>
        <v>25.14</v>
      </c>
      <c r="BB318" s="26">
        <f>IFERROR(__xludf.DUMMYFUNCTION("""COMPUTED_VALUE"""),154.09)</f>
        <v>154.09</v>
      </c>
      <c r="BC318" s="26">
        <f>IFERROR(__xludf.DUMMYFUNCTION("""COMPUTED_VALUE"""),254.63)</f>
        <v>254.63</v>
      </c>
      <c r="BD318" s="26">
        <f>IFERROR(__xludf.DUMMYFUNCTION("""COMPUTED_VALUE"""),489.01)</f>
        <v>489.01</v>
      </c>
      <c r="BE318" s="26">
        <f>IFERROR(__xludf.DUMMYFUNCTION("""COMPUTED_VALUE"""),193.66)</f>
        <v>193.66</v>
      </c>
      <c r="BF318" s="26">
        <f>IFERROR(__xludf.DUMMYFUNCTION("""COMPUTED_VALUE"""),127.55)</f>
        <v>127.55</v>
      </c>
      <c r="BG318" s="26">
        <f>IFERROR(__xludf.DUMMYFUNCTION("""COMPUTED_VALUE"""),5.17)</f>
        <v>5.17</v>
      </c>
      <c r="BH318" s="26">
        <f>IFERROR(__xludf.DUMMYFUNCTION("""COMPUTED_VALUE"""),220.78)</f>
        <v>220.78</v>
      </c>
      <c r="BI318" s="26">
        <f>IFERROR(__xludf.DUMMYFUNCTION("""COMPUTED_VALUE"""),304.01)</f>
        <v>304.01</v>
      </c>
      <c r="BJ318" s="26">
        <f>IFERROR(__xludf.DUMMYFUNCTION("""COMPUTED_VALUE"""),50.27)</f>
        <v>50.27</v>
      </c>
      <c r="BK318" s="26">
        <f>IFERROR(__xludf.DUMMYFUNCTION("""COMPUTED_VALUE"""),10.61)</f>
        <v>10.61</v>
      </c>
      <c r="BL318" s="26">
        <f>IFERROR(__xludf.DUMMYFUNCTION("""COMPUTED_VALUE"""),226.81)</f>
        <v>226.81</v>
      </c>
      <c r="BM318" s="26">
        <f>IFERROR(__xludf.DUMMYFUNCTION("""COMPUTED_VALUE"""),115.39)</f>
        <v>115.39</v>
      </c>
    </row>
    <row r="319">
      <c r="A319" s="25">
        <v>45888.66666666667</v>
      </c>
      <c r="B319" s="17">
        <f>IFERROR(__xludf.DUMMYFUNCTION("""COMPUTED_VALUE"""),6449.15)</f>
        <v>6449.15</v>
      </c>
      <c r="C319" s="17">
        <f>IFERROR(__xludf.DUMMYFUNCTION("""COMPUTED_VALUE"""),21629.77)</f>
        <v>21629.77</v>
      </c>
      <c r="D319" s="17">
        <f>IFERROR(__xludf.DUMMYFUNCTION("""COMPUTED_VALUE"""),44911.82)</f>
        <v>44911.82</v>
      </c>
      <c r="E319" s="17">
        <f>IFERROR(__xludf.DUMMYFUNCTION("""COMPUTED_VALUE"""),2294.47)</f>
        <v>2294.47</v>
      </c>
      <c r="F319" s="26">
        <f>IFERROR(__xludf.DUMMYFUNCTION("""COMPUTED_VALUE"""),357.24)</f>
        <v>357.24</v>
      </c>
      <c r="G319" s="26">
        <f>IFERROR(__xludf.DUMMYFUNCTION("""COMPUTED_VALUE"""),231.49)</f>
        <v>231.49</v>
      </c>
      <c r="H319" s="26">
        <f>IFERROR(__xludf.DUMMYFUNCTION("""COMPUTED_VALUE"""),142.66)</f>
        <v>142.66</v>
      </c>
      <c r="I319" s="26">
        <f>IFERROR(__xludf.DUMMYFUNCTION("""COMPUTED_VALUE"""),230.89)</f>
        <v>230.89</v>
      </c>
      <c r="J319" s="26">
        <f>IFERROR(__xludf.DUMMYFUNCTION("""COMPUTED_VALUE"""),163.53)</f>
        <v>163.53</v>
      </c>
      <c r="K319" s="26">
        <f>IFERROR(__xludf.DUMMYFUNCTION("""COMPUTED_VALUE"""),101.74)</f>
        <v>101.74</v>
      </c>
      <c r="L319" s="26">
        <f>IFERROR(__xludf.DUMMYFUNCTION("""COMPUTED_VALUE"""),20.29)</f>
        <v>20.29</v>
      </c>
      <c r="M319" s="26">
        <f>IFERROR(__xludf.DUMMYFUNCTION("""COMPUTED_VALUE"""),478.52)</f>
        <v>478.52</v>
      </c>
      <c r="N319" s="26">
        <f>IFERROR(__xludf.DUMMYFUNCTION("""COMPUTED_VALUE"""),53.43)</f>
        <v>53.43</v>
      </c>
      <c r="O319" s="26">
        <f>IFERROR(__xludf.DUMMYFUNCTION("""COMPUTED_VALUE"""),135.91)</f>
        <v>135.91</v>
      </c>
      <c r="P319" s="26">
        <f>IFERROR(__xludf.DUMMYFUNCTION("""COMPUTED_VALUE"""),66.49)</f>
        <v>66.49</v>
      </c>
      <c r="Q319" s="26">
        <f>IFERROR(__xludf.DUMMYFUNCTION("""COMPUTED_VALUE"""),412.64)</f>
        <v>412.64</v>
      </c>
      <c r="R319" s="26">
        <f>IFERROR(__xludf.DUMMYFUNCTION("""COMPUTED_VALUE"""),76.82)</f>
        <v>76.82</v>
      </c>
      <c r="S319" s="26">
        <f>IFERROR(__xludf.DUMMYFUNCTION("""COMPUTED_VALUE"""),188.64)</f>
        <v>188.64</v>
      </c>
      <c r="T319" s="26">
        <f>IFERROR(__xludf.DUMMYFUNCTION("""COMPUTED_VALUE"""),155.32)</f>
        <v>155.32</v>
      </c>
      <c r="U319" s="26">
        <f>IFERROR(__xludf.DUMMYFUNCTION("""COMPUTED_VALUE"""),298.32)</f>
        <v>298.32</v>
      </c>
      <c r="V319" s="26">
        <f>IFERROR(__xludf.DUMMYFUNCTION("""COMPUTED_VALUE"""),48.54)</f>
        <v>48.54</v>
      </c>
      <c r="W319" s="26">
        <f>IFERROR(__xludf.DUMMYFUNCTION("""COMPUTED_VALUE"""),69.13)</f>
        <v>69.13</v>
      </c>
      <c r="X319" s="26">
        <f>IFERROR(__xludf.DUMMYFUNCTION("""COMPUTED_VALUE"""),99.74)</f>
        <v>99.74</v>
      </c>
      <c r="Y319" s="26">
        <f>IFERROR(__xludf.DUMMYFUNCTION("""COMPUTED_VALUE"""),165.02)</f>
        <v>165.02</v>
      </c>
      <c r="Z319" s="26">
        <f>IFERROR(__xludf.DUMMYFUNCTION("""COMPUTED_VALUE"""),112.06)</f>
        <v>112.06</v>
      </c>
      <c r="AA319" s="26">
        <f>IFERROR(__xludf.DUMMYFUNCTION("""COMPUTED_VALUE"""),444.85)</f>
        <v>444.85</v>
      </c>
      <c r="AB319" s="26">
        <f>IFERROR(__xludf.DUMMYFUNCTION("""COMPUTED_VALUE"""),99.03)</f>
        <v>99.03</v>
      </c>
      <c r="AC319" s="26">
        <f>IFERROR(__xludf.DUMMYFUNCTION("""COMPUTED_VALUE"""),106.72)</f>
        <v>106.72</v>
      </c>
      <c r="AD319" s="26">
        <f>IFERROR(__xludf.DUMMYFUNCTION("""COMPUTED_VALUE"""),227.72)</f>
        <v>227.72</v>
      </c>
      <c r="AE319" s="26">
        <f>IFERROR(__xludf.DUMMYFUNCTION("""COMPUTED_VALUE"""),463.17)</f>
        <v>463.17</v>
      </c>
      <c r="AF319" s="26">
        <f>IFERROR(__xludf.DUMMYFUNCTION("""COMPUTED_VALUE"""),313.58)</f>
        <v>313.58</v>
      </c>
      <c r="AG319" s="26">
        <f>IFERROR(__xludf.DUMMYFUNCTION("""COMPUTED_VALUE"""),56.23)</f>
        <v>56.23</v>
      </c>
      <c r="AH319" s="26">
        <f>IFERROR(__xludf.DUMMYFUNCTION("""COMPUTED_VALUE"""),117.99)</f>
        <v>117.99</v>
      </c>
      <c r="AI319" s="26">
        <f>IFERROR(__xludf.DUMMYFUNCTION("""COMPUTED_VALUE"""),730.96)</f>
        <v>730.96</v>
      </c>
      <c r="AJ319" s="26">
        <f>IFERROR(__xludf.DUMMYFUNCTION("""COMPUTED_VALUE"""),394.7)</f>
        <v>394.7</v>
      </c>
      <c r="AK319" s="26">
        <f>IFERROR(__xludf.DUMMYFUNCTION("""COMPUTED_VALUE"""),134.9)</f>
        <v>134.9</v>
      </c>
      <c r="AL319" s="26">
        <f>IFERROR(__xludf.DUMMYFUNCTION("""COMPUTED_VALUE"""),177.94)</f>
        <v>177.94</v>
      </c>
      <c r="AM319" s="26">
        <f>IFERROR(__xludf.DUMMYFUNCTION("""COMPUTED_VALUE"""),481.28)</f>
        <v>481.28</v>
      </c>
      <c r="AN319" s="26">
        <f>IFERROR(__xludf.DUMMYFUNCTION("""COMPUTED_VALUE"""),291.53)</f>
        <v>291.53</v>
      </c>
      <c r="AO319" s="26">
        <f>IFERROR(__xludf.DUMMYFUNCTION("""COMPUTED_VALUE"""),440.64)</f>
        <v>440.64</v>
      </c>
      <c r="AP319" s="26">
        <f>IFERROR(__xludf.DUMMYFUNCTION("""COMPUTED_VALUE"""),203.62)</f>
        <v>203.62</v>
      </c>
      <c r="AQ319" s="26">
        <f>IFERROR(__xludf.DUMMYFUNCTION("""COMPUTED_VALUE"""),30.64)</f>
        <v>30.64</v>
      </c>
      <c r="AR319" s="26">
        <f>IFERROR(__xludf.DUMMYFUNCTION("""COMPUTED_VALUE"""),92.81)</f>
        <v>92.81</v>
      </c>
      <c r="AS319" s="26">
        <f>IFERROR(__xludf.DUMMYFUNCTION("""COMPUTED_VALUE"""),77.74)</f>
        <v>77.74</v>
      </c>
      <c r="AT319" s="26">
        <f>IFERROR(__xludf.DUMMYFUNCTION("""COMPUTED_VALUE"""),517.1)</f>
        <v>517.1</v>
      </c>
      <c r="AU319" s="26">
        <f>IFERROR(__xludf.DUMMYFUNCTION("""COMPUTED_VALUE"""),75.72)</f>
        <v>75.72</v>
      </c>
      <c r="AV319" s="26">
        <f>IFERROR(__xludf.DUMMYFUNCTION("""COMPUTED_VALUE"""),182.01)</f>
        <v>182.01</v>
      </c>
      <c r="AW319" s="26">
        <f>IFERROR(__xludf.DUMMYFUNCTION("""COMPUTED_VALUE"""),87.61)</f>
        <v>87.61</v>
      </c>
      <c r="AX319" s="26">
        <f>IFERROR(__xludf.DUMMYFUNCTION("""COMPUTED_VALUE"""),45.22)</f>
        <v>45.22</v>
      </c>
      <c r="AY319" s="26">
        <f>IFERROR(__xludf.DUMMYFUNCTION("""COMPUTED_VALUE"""),174.03)</f>
        <v>174.03</v>
      </c>
      <c r="AZ319" s="26">
        <f>IFERROR(__xludf.DUMMYFUNCTION("""COMPUTED_VALUE"""),69.53)</f>
        <v>69.53</v>
      </c>
      <c r="BA319" s="26">
        <f>IFERROR(__xludf.DUMMYFUNCTION("""COMPUTED_VALUE"""),25.07)</f>
        <v>25.07</v>
      </c>
      <c r="BB319" s="26">
        <f>IFERROR(__xludf.DUMMYFUNCTION("""COMPUTED_VALUE"""),155.5)</f>
        <v>155.5</v>
      </c>
      <c r="BC319" s="26">
        <f>IFERROR(__xludf.DUMMYFUNCTION("""COMPUTED_VALUE"""),255.18)</f>
        <v>255.18</v>
      </c>
      <c r="BD319" s="26">
        <f>IFERROR(__xludf.DUMMYFUNCTION("""COMPUTED_VALUE"""),487.54)</f>
        <v>487.54</v>
      </c>
      <c r="BE319" s="26">
        <f>IFERROR(__xludf.DUMMYFUNCTION("""COMPUTED_VALUE"""),197.83)</f>
        <v>197.83</v>
      </c>
      <c r="BF319" s="26">
        <f>IFERROR(__xludf.DUMMYFUNCTION("""COMPUTED_VALUE"""),125.65)</f>
        <v>125.65</v>
      </c>
      <c r="BG319" s="26">
        <f>IFERROR(__xludf.DUMMYFUNCTION("""COMPUTED_VALUE"""),5.17)</f>
        <v>5.17</v>
      </c>
      <c r="BH319" s="26">
        <f>IFERROR(__xludf.DUMMYFUNCTION("""COMPUTED_VALUE"""),220.08)</f>
        <v>220.08</v>
      </c>
      <c r="BI319" s="26">
        <f>IFERROR(__xludf.DUMMYFUNCTION("""COMPUTED_VALUE"""),308.49)</f>
        <v>308.49</v>
      </c>
      <c r="BJ319" s="26">
        <f>IFERROR(__xludf.DUMMYFUNCTION("""COMPUTED_VALUE"""),50.25)</f>
        <v>50.25</v>
      </c>
      <c r="BK319" s="26">
        <f>IFERROR(__xludf.DUMMYFUNCTION("""COMPUTED_VALUE"""),10.63)</f>
        <v>10.63</v>
      </c>
      <c r="BL319" s="26">
        <f>IFERROR(__xludf.DUMMYFUNCTION("""COMPUTED_VALUE"""),224.2)</f>
        <v>224.2</v>
      </c>
      <c r="BM319" s="26">
        <f>IFERROR(__xludf.DUMMYFUNCTION("""COMPUTED_VALUE"""),116.55)</f>
        <v>116.55</v>
      </c>
    </row>
    <row r="320">
      <c r="A320" s="25">
        <v>45889.66666666667</v>
      </c>
      <c r="B320" s="17">
        <f>IFERROR(__xludf.DUMMYFUNCTION("""COMPUTED_VALUE"""),6411.37)</f>
        <v>6411.37</v>
      </c>
      <c r="C320" s="17">
        <f>IFERROR(__xludf.DUMMYFUNCTION("""COMPUTED_VALUE"""),21314.95)</f>
        <v>21314.95</v>
      </c>
      <c r="D320" s="17">
        <f>IFERROR(__xludf.DUMMYFUNCTION("""COMPUTED_VALUE"""),44922.27)</f>
        <v>44922.27</v>
      </c>
      <c r="E320" s="17">
        <f>IFERROR(__xludf.DUMMYFUNCTION("""COMPUTED_VALUE"""),2276.61)</f>
        <v>2276.61</v>
      </c>
      <c r="F320" s="26">
        <f>IFERROR(__xludf.DUMMYFUNCTION("""COMPUTED_VALUE"""),361.03)</f>
        <v>361.03</v>
      </c>
      <c r="G320" s="26">
        <f>IFERROR(__xludf.DUMMYFUNCTION("""COMPUTED_VALUE"""),228.01)</f>
        <v>228.01</v>
      </c>
      <c r="H320" s="26">
        <f>IFERROR(__xludf.DUMMYFUNCTION("""COMPUTED_VALUE"""),145.21)</f>
        <v>145.21</v>
      </c>
      <c r="I320" s="26">
        <f>IFERROR(__xludf.DUMMYFUNCTION("""COMPUTED_VALUE"""),230.56)</f>
        <v>230.56</v>
      </c>
      <c r="J320" s="26">
        <f>IFERROR(__xludf.DUMMYFUNCTION("""COMPUTED_VALUE"""),162.22)</f>
        <v>162.22</v>
      </c>
      <c r="K320" s="26">
        <f>IFERROR(__xludf.DUMMYFUNCTION("""COMPUTED_VALUE"""),101.08)</f>
        <v>101.08</v>
      </c>
      <c r="L320" s="26">
        <f>IFERROR(__xludf.DUMMYFUNCTION("""COMPUTED_VALUE"""),20.12)</f>
        <v>20.12</v>
      </c>
      <c r="M320" s="26">
        <f>IFERROR(__xludf.DUMMYFUNCTION("""COMPUTED_VALUE"""),485.31)</f>
        <v>485.31</v>
      </c>
      <c r="N320" s="26">
        <f>IFERROR(__xludf.DUMMYFUNCTION("""COMPUTED_VALUE"""),53.7)</f>
        <v>53.7</v>
      </c>
      <c r="O320" s="26">
        <f>IFERROR(__xludf.DUMMYFUNCTION("""COMPUTED_VALUE"""),138.86)</f>
        <v>138.86</v>
      </c>
      <c r="P320" s="26">
        <f>IFERROR(__xludf.DUMMYFUNCTION("""COMPUTED_VALUE"""),66.98)</f>
        <v>66.98</v>
      </c>
      <c r="Q320" s="26">
        <f>IFERROR(__xludf.DUMMYFUNCTION("""COMPUTED_VALUE"""),416.09)</f>
        <v>416.09</v>
      </c>
      <c r="R320" s="26">
        <f>IFERROR(__xludf.DUMMYFUNCTION("""COMPUTED_VALUE"""),73.82)</f>
        <v>73.82</v>
      </c>
      <c r="S320" s="26">
        <f>IFERROR(__xludf.DUMMYFUNCTION("""COMPUTED_VALUE"""),188.0)</f>
        <v>188</v>
      </c>
      <c r="T320" s="26">
        <f>IFERROR(__xludf.DUMMYFUNCTION("""COMPUTED_VALUE"""),152.0)</f>
        <v>152</v>
      </c>
      <c r="U320" s="26">
        <f>IFERROR(__xludf.DUMMYFUNCTION("""COMPUTED_VALUE"""),302.11)</f>
        <v>302.11</v>
      </c>
      <c r="V320" s="26">
        <f>IFERROR(__xludf.DUMMYFUNCTION("""COMPUTED_VALUE"""),48.39)</f>
        <v>48.39</v>
      </c>
      <c r="W320" s="26">
        <f>IFERROR(__xludf.DUMMYFUNCTION("""COMPUTED_VALUE"""),70.13)</f>
        <v>70.13</v>
      </c>
      <c r="X320" s="26">
        <f>IFERROR(__xludf.DUMMYFUNCTION("""COMPUTED_VALUE"""),101.1)</f>
        <v>101.1</v>
      </c>
      <c r="Y320" s="26">
        <f>IFERROR(__xludf.DUMMYFUNCTION("""COMPUTED_VALUE"""),166.57)</f>
        <v>166.57</v>
      </c>
      <c r="Z320" s="26">
        <f>IFERROR(__xludf.DUMMYFUNCTION("""COMPUTED_VALUE"""),112.48)</f>
        <v>112.48</v>
      </c>
      <c r="AA320" s="26">
        <f>IFERROR(__xludf.DUMMYFUNCTION("""COMPUTED_VALUE"""),450.56)</f>
        <v>450.56</v>
      </c>
      <c r="AB320" s="26">
        <f>IFERROR(__xludf.DUMMYFUNCTION("""COMPUTED_VALUE"""),99.89)</f>
        <v>99.89</v>
      </c>
      <c r="AC320" s="26">
        <f>IFERROR(__xludf.DUMMYFUNCTION("""COMPUTED_VALUE"""),107.42)</f>
        <v>107.42</v>
      </c>
      <c r="AD320" s="26">
        <f>IFERROR(__xludf.DUMMYFUNCTION("""COMPUTED_VALUE"""),233.13)</f>
        <v>233.13</v>
      </c>
      <c r="AE320" s="26">
        <f>IFERROR(__xludf.DUMMYFUNCTION("""COMPUTED_VALUE"""),471.5)</f>
        <v>471.5</v>
      </c>
      <c r="AF320" s="26">
        <f>IFERROR(__xludf.DUMMYFUNCTION("""COMPUTED_VALUE"""),316.4)</f>
        <v>316.4</v>
      </c>
      <c r="AG320" s="26">
        <f>IFERROR(__xludf.DUMMYFUNCTION("""COMPUTED_VALUE"""),57.06)</f>
        <v>57.06</v>
      </c>
      <c r="AH320" s="26">
        <f>IFERROR(__xludf.DUMMYFUNCTION("""COMPUTED_VALUE"""),117.98)</f>
        <v>117.98</v>
      </c>
      <c r="AI320" s="26">
        <f>IFERROR(__xludf.DUMMYFUNCTION("""COMPUTED_VALUE"""),721.38)</f>
        <v>721.38</v>
      </c>
      <c r="AJ320" s="26">
        <f>IFERROR(__xludf.DUMMYFUNCTION("""COMPUTED_VALUE"""),407.2)</f>
        <v>407.2</v>
      </c>
      <c r="AK320" s="26">
        <f>IFERROR(__xludf.DUMMYFUNCTION("""COMPUTED_VALUE"""),135.75)</f>
        <v>135.75</v>
      </c>
      <c r="AL320" s="26">
        <f>IFERROR(__xludf.DUMMYFUNCTION("""COMPUTED_VALUE"""),178.27)</f>
        <v>178.27</v>
      </c>
      <c r="AM320" s="26">
        <f>IFERROR(__xludf.DUMMYFUNCTION("""COMPUTED_VALUE"""),479.2)</f>
        <v>479.2</v>
      </c>
      <c r="AN320" s="26">
        <f>IFERROR(__xludf.DUMMYFUNCTION("""COMPUTED_VALUE"""),290.66)</f>
        <v>290.66</v>
      </c>
      <c r="AO320" s="26">
        <f>IFERROR(__xludf.DUMMYFUNCTION("""COMPUTED_VALUE"""),441.1)</f>
        <v>441.1</v>
      </c>
      <c r="AP320" s="26">
        <f>IFERROR(__xludf.DUMMYFUNCTION("""COMPUTED_VALUE"""),197.66)</f>
        <v>197.66</v>
      </c>
      <c r="AQ320" s="26">
        <f>IFERROR(__xludf.DUMMYFUNCTION("""COMPUTED_VALUE"""),30.41)</f>
        <v>30.41</v>
      </c>
      <c r="AR320" s="26">
        <f>IFERROR(__xludf.DUMMYFUNCTION("""COMPUTED_VALUE"""),89.9)</f>
        <v>89.9</v>
      </c>
      <c r="AS320" s="26">
        <f>IFERROR(__xludf.DUMMYFUNCTION("""COMPUTED_VALUE"""),78.72)</f>
        <v>78.72</v>
      </c>
      <c r="AT320" s="26">
        <f>IFERROR(__xludf.DUMMYFUNCTION("""COMPUTED_VALUE"""),509.77)</f>
        <v>509.77</v>
      </c>
      <c r="AU320" s="26">
        <f>IFERROR(__xludf.DUMMYFUNCTION("""COMPUTED_VALUE"""),76.51)</f>
        <v>76.51</v>
      </c>
      <c r="AV320" s="26">
        <f>IFERROR(__xludf.DUMMYFUNCTION("""COMPUTED_VALUE"""),175.64)</f>
        <v>175.64</v>
      </c>
      <c r="AW320" s="26">
        <f>IFERROR(__xludf.DUMMYFUNCTION("""COMPUTED_VALUE"""),88.59)</f>
        <v>88.59</v>
      </c>
      <c r="AX320" s="26">
        <f>IFERROR(__xludf.DUMMYFUNCTION("""COMPUTED_VALUE"""),45.03)</f>
        <v>45.03</v>
      </c>
      <c r="AY320" s="26">
        <f>IFERROR(__xludf.DUMMYFUNCTION("""COMPUTED_VALUE"""),157.75)</f>
        <v>157.75</v>
      </c>
      <c r="AZ320" s="26">
        <f>IFERROR(__xludf.DUMMYFUNCTION("""COMPUTED_VALUE"""),69.05)</f>
        <v>69.05</v>
      </c>
      <c r="BA320" s="26">
        <f>IFERROR(__xludf.DUMMYFUNCTION("""COMPUTED_VALUE"""),25.32)</f>
        <v>25.32</v>
      </c>
      <c r="BB320" s="26">
        <f>IFERROR(__xludf.DUMMYFUNCTION("""COMPUTED_VALUE"""),153.66)</f>
        <v>153.66</v>
      </c>
      <c r="BC320" s="26">
        <f>IFERROR(__xludf.DUMMYFUNCTION("""COMPUTED_VALUE"""),258.22)</f>
        <v>258.22</v>
      </c>
      <c r="BD320" s="26">
        <f>IFERROR(__xludf.DUMMYFUNCTION("""COMPUTED_VALUE"""),498.29)</f>
        <v>498.29</v>
      </c>
      <c r="BE320" s="26">
        <f>IFERROR(__xludf.DUMMYFUNCTION("""COMPUTED_VALUE"""),198.6)</f>
        <v>198.6</v>
      </c>
      <c r="BF320" s="26">
        <f>IFERROR(__xludf.DUMMYFUNCTION("""COMPUTED_VALUE"""),122.68)</f>
        <v>122.68</v>
      </c>
      <c r="BG320" s="26">
        <f>IFERROR(__xludf.DUMMYFUNCTION("""COMPUTED_VALUE"""),5.08)</f>
        <v>5.08</v>
      </c>
      <c r="BH320" s="26">
        <f>IFERROR(__xludf.DUMMYFUNCTION("""COMPUTED_VALUE"""),223.77)</f>
        <v>223.77</v>
      </c>
      <c r="BI320" s="26">
        <f>IFERROR(__xludf.DUMMYFUNCTION("""COMPUTED_VALUE"""),304.24)</f>
        <v>304.24</v>
      </c>
      <c r="BJ320" s="26">
        <f>IFERROR(__xludf.DUMMYFUNCTION("""COMPUTED_VALUE"""),50.29)</f>
        <v>50.29</v>
      </c>
      <c r="BK320" s="26">
        <f>IFERROR(__xludf.DUMMYFUNCTION("""COMPUTED_VALUE"""),10.68)</f>
        <v>10.68</v>
      </c>
      <c r="BL320" s="26">
        <f>IFERROR(__xludf.DUMMYFUNCTION("""COMPUTED_VALUE"""),228.49)</f>
        <v>228.49</v>
      </c>
      <c r="BM320" s="26">
        <f>IFERROR(__xludf.DUMMYFUNCTION("""COMPUTED_VALUE"""),116.27)</f>
        <v>116.27</v>
      </c>
    </row>
    <row r="321">
      <c r="A321" s="25">
        <v>45890.66666666667</v>
      </c>
      <c r="B321" s="17">
        <f>IFERROR(__xludf.DUMMYFUNCTION("""COMPUTED_VALUE"""),6395.78)</f>
        <v>6395.78</v>
      </c>
      <c r="C321" s="17">
        <f>IFERROR(__xludf.DUMMYFUNCTION("""COMPUTED_VALUE"""),21172.86)</f>
        <v>21172.86</v>
      </c>
      <c r="D321" s="17">
        <f>IFERROR(__xludf.DUMMYFUNCTION("""COMPUTED_VALUE"""),44938.31)</f>
        <v>44938.31</v>
      </c>
      <c r="E321" s="17">
        <f>IFERROR(__xludf.DUMMYFUNCTION("""COMPUTED_VALUE"""),2269.35)</f>
        <v>2269.35</v>
      </c>
      <c r="F321" s="26">
        <f>IFERROR(__xludf.DUMMYFUNCTION("""COMPUTED_VALUE"""),353.43)</f>
        <v>353.43</v>
      </c>
      <c r="G321" s="26">
        <f>IFERROR(__xludf.DUMMYFUNCTION("""COMPUTED_VALUE"""),223.81)</f>
        <v>223.81</v>
      </c>
      <c r="H321" s="26">
        <f>IFERROR(__xludf.DUMMYFUNCTION("""COMPUTED_VALUE"""),145.62)</f>
        <v>145.62</v>
      </c>
      <c r="I321" s="26">
        <f>IFERROR(__xludf.DUMMYFUNCTION("""COMPUTED_VALUE"""),226.01)</f>
        <v>226.01</v>
      </c>
      <c r="J321" s="26">
        <f>IFERROR(__xludf.DUMMYFUNCTION("""COMPUTED_VALUE"""),160.96)</f>
        <v>160.96</v>
      </c>
      <c r="K321" s="26">
        <f>IFERROR(__xludf.DUMMYFUNCTION("""COMPUTED_VALUE"""),101.25)</f>
        <v>101.25</v>
      </c>
      <c r="L321" s="26">
        <f>IFERROR(__xludf.DUMMYFUNCTION("""COMPUTED_VALUE"""),20.26)</f>
        <v>20.26</v>
      </c>
      <c r="M321" s="26">
        <f>IFERROR(__xludf.DUMMYFUNCTION("""COMPUTED_VALUE"""),488.68)</f>
        <v>488.68</v>
      </c>
      <c r="N321" s="26">
        <f>IFERROR(__xludf.DUMMYFUNCTION("""COMPUTED_VALUE"""),53.59)</f>
        <v>53.59</v>
      </c>
      <c r="O321" s="26">
        <f>IFERROR(__xludf.DUMMYFUNCTION("""COMPUTED_VALUE"""),138.99)</f>
        <v>138.99</v>
      </c>
      <c r="P321" s="26">
        <f>IFERROR(__xludf.DUMMYFUNCTION("""COMPUTED_VALUE"""),66.84)</f>
        <v>66.84</v>
      </c>
      <c r="Q321" s="26">
        <f>IFERROR(__xludf.DUMMYFUNCTION("""COMPUTED_VALUE"""),420.59)</f>
        <v>420.59</v>
      </c>
      <c r="R321" s="26">
        <f>IFERROR(__xludf.DUMMYFUNCTION("""COMPUTED_VALUE"""),70.47)</f>
        <v>70.47</v>
      </c>
      <c r="S321" s="26">
        <f>IFERROR(__xludf.DUMMYFUNCTION("""COMPUTED_VALUE"""),189.29)</f>
        <v>189.29</v>
      </c>
      <c r="T321" s="26">
        <f>IFERROR(__xludf.DUMMYFUNCTION("""COMPUTED_VALUE"""),153.22)</f>
        <v>153.22</v>
      </c>
      <c r="U321" s="26">
        <f>IFERROR(__xludf.DUMMYFUNCTION("""COMPUTED_VALUE"""),304.57)</f>
        <v>304.57</v>
      </c>
      <c r="V321" s="26">
        <f>IFERROR(__xludf.DUMMYFUNCTION("""COMPUTED_VALUE"""),48.81)</f>
        <v>48.81</v>
      </c>
      <c r="W321" s="26">
        <f>IFERROR(__xludf.DUMMYFUNCTION("""COMPUTED_VALUE"""),70.7)</f>
        <v>70.7</v>
      </c>
      <c r="X321" s="26">
        <f>IFERROR(__xludf.DUMMYFUNCTION("""COMPUTED_VALUE"""),101.76)</f>
        <v>101.76</v>
      </c>
      <c r="Y321" s="26">
        <f>IFERROR(__xludf.DUMMYFUNCTION("""COMPUTED_VALUE"""),165.33)</f>
        <v>165.33</v>
      </c>
      <c r="Z321" s="26">
        <f>IFERROR(__xludf.DUMMYFUNCTION("""COMPUTED_VALUE"""),113.35)</f>
        <v>113.35</v>
      </c>
      <c r="AA321" s="26">
        <f>IFERROR(__xludf.DUMMYFUNCTION("""COMPUTED_VALUE"""),442.86)</f>
        <v>442.86</v>
      </c>
      <c r="AB321" s="26">
        <f>IFERROR(__xludf.DUMMYFUNCTION("""COMPUTED_VALUE"""),99.15)</f>
        <v>99.15</v>
      </c>
      <c r="AC321" s="26">
        <f>IFERROR(__xludf.DUMMYFUNCTION("""COMPUTED_VALUE"""),108.53)</f>
        <v>108.53</v>
      </c>
      <c r="AD321" s="26">
        <f>IFERROR(__xludf.DUMMYFUNCTION("""COMPUTED_VALUE"""),227.21)</f>
        <v>227.21</v>
      </c>
      <c r="AE321" s="26">
        <f>IFERROR(__xludf.DUMMYFUNCTION("""COMPUTED_VALUE"""),468.42)</f>
        <v>468.42</v>
      </c>
      <c r="AF321" s="26">
        <f>IFERROR(__xludf.DUMMYFUNCTION("""COMPUTED_VALUE"""),317.48)</f>
        <v>317.48</v>
      </c>
      <c r="AG321" s="26">
        <f>IFERROR(__xludf.DUMMYFUNCTION("""COMPUTED_VALUE"""),56.77)</f>
        <v>56.77</v>
      </c>
      <c r="AH321" s="26">
        <f>IFERROR(__xludf.DUMMYFUNCTION("""COMPUTED_VALUE"""),118.73)</f>
        <v>118.73</v>
      </c>
      <c r="AI321" s="26">
        <f>IFERROR(__xludf.DUMMYFUNCTION("""COMPUTED_VALUE"""),720.68)</f>
        <v>720.68</v>
      </c>
      <c r="AJ321" s="26">
        <f>IFERROR(__xludf.DUMMYFUNCTION("""COMPUTED_VALUE"""),401.74)</f>
        <v>401.74</v>
      </c>
      <c r="AK321" s="26">
        <f>IFERROR(__xludf.DUMMYFUNCTION("""COMPUTED_VALUE"""),135.29)</f>
        <v>135.29</v>
      </c>
      <c r="AL321" s="26">
        <f>IFERROR(__xludf.DUMMYFUNCTION("""COMPUTED_VALUE"""),181.3)</f>
        <v>181.3</v>
      </c>
      <c r="AM321" s="26">
        <f>IFERROR(__xludf.DUMMYFUNCTION("""COMPUTED_VALUE"""),480.45)</f>
        <v>480.45</v>
      </c>
      <c r="AN321" s="26">
        <f>IFERROR(__xludf.DUMMYFUNCTION("""COMPUTED_VALUE"""),292.24)</f>
        <v>292.24</v>
      </c>
      <c r="AO321" s="26">
        <f>IFERROR(__xludf.DUMMYFUNCTION("""COMPUTED_VALUE"""),446.0)</f>
        <v>446</v>
      </c>
      <c r="AP321" s="26">
        <f>IFERROR(__xludf.DUMMYFUNCTION("""COMPUTED_VALUE"""),198.12)</f>
        <v>198.12</v>
      </c>
      <c r="AQ321" s="26">
        <f>IFERROR(__xludf.DUMMYFUNCTION("""COMPUTED_VALUE"""),30.08)</f>
        <v>30.08</v>
      </c>
      <c r="AR321" s="26">
        <f>IFERROR(__xludf.DUMMYFUNCTION("""COMPUTED_VALUE"""),93.22)</f>
        <v>93.22</v>
      </c>
      <c r="AS321" s="26">
        <f>IFERROR(__xludf.DUMMYFUNCTION("""COMPUTED_VALUE"""),79.03)</f>
        <v>79.03</v>
      </c>
      <c r="AT321" s="26">
        <f>IFERROR(__xludf.DUMMYFUNCTION("""COMPUTED_VALUE"""),505.72)</f>
        <v>505.72</v>
      </c>
      <c r="AU321" s="26">
        <f>IFERROR(__xludf.DUMMYFUNCTION("""COMPUTED_VALUE"""),76.18)</f>
        <v>76.18</v>
      </c>
      <c r="AV321" s="26">
        <f>IFERROR(__xludf.DUMMYFUNCTION("""COMPUTED_VALUE"""),175.4)</f>
        <v>175.4</v>
      </c>
      <c r="AW321" s="26">
        <f>IFERROR(__xludf.DUMMYFUNCTION("""COMPUTED_VALUE"""),89.12)</f>
        <v>89.12</v>
      </c>
      <c r="AX321" s="26">
        <f>IFERROR(__xludf.DUMMYFUNCTION("""COMPUTED_VALUE"""),45.24)</f>
        <v>45.24</v>
      </c>
      <c r="AY321" s="26">
        <f>IFERROR(__xludf.DUMMYFUNCTION("""COMPUTED_VALUE"""),156.01)</f>
        <v>156.01</v>
      </c>
      <c r="AZ321" s="26">
        <f>IFERROR(__xludf.DUMMYFUNCTION("""COMPUTED_VALUE"""),68.08)</f>
        <v>68.08</v>
      </c>
      <c r="BA321" s="26">
        <f>IFERROR(__xludf.DUMMYFUNCTION("""COMPUTED_VALUE"""),25.38)</f>
        <v>25.38</v>
      </c>
      <c r="BB321" s="26">
        <f>IFERROR(__xludf.DUMMYFUNCTION("""COMPUTED_VALUE"""),156.59)</f>
        <v>156.59</v>
      </c>
      <c r="BC321" s="26">
        <f>IFERROR(__xludf.DUMMYFUNCTION("""COMPUTED_VALUE"""),259.01)</f>
        <v>259.01</v>
      </c>
      <c r="BD321" s="26">
        <f>IFERROR(__xludf.DUMMYFUNCTION("""COMPUTED_VALUE"""),494.81)</f>
        <v>494.81</v>
      </c>
      <c r="BE321" s="26">
        <f>IFERROR(__xludf.DUMMYFUNCTION("""COMPUTED_VALUE"""),199.19)</f>
        <v>199.19</v>
      </c>
      <c r="BF321" s="26">
        <f>IFERROR(__xludf.DUMMYFUNCTION("""COMPUTED_VALUE"""),121.88)</f>
        <v>121.88</v>
      </c>
      <c r="BG321" s="26">
        <f>IFERROR(__xludf.DUMMYFUNCTION("""COMPUTED_VALUE"""),5.13)</f>
        <v>5.13</v>
      </c>
      <c r="BH321" s="26">
        <f>IFERROR(__xludf.DUMMYFUNCTION("""COMPUTED_VALUE"""),225.68)</f>
        <v>225.68</v>
      </c>
      <c r="BI321" s="26">
        <f>IFERROR(__xludf.DUMMYFUNCTION("""COMPUTED_VALUE"""),299.84)</f>
        <v>299.84</v>
      </c>
      <c r="BJ321" s="26">
        <f>IFERROR(__xludf.DUMMYFUNCTION("""COMPUTED_VALUE"""),50.32)</f>
        <v>50.32</v>
      </c>
      <c r="BK321" s="26">
        <f>IFERROR(__xludf.DUMMYFUNCTION("""COMPUTED_VALUE"""),10.65)</f>
        <v>10.65</v>
      </c>
      <c r="BL321" s="26">
        <f>IFERROR(__xludf.DUMMYFUNCTION("""COMPUTED_VALUE"""),230.03)</f>
        <v>230.03</v>
      </c>
      <c r="BM321" s="26">
        <f>IFERROR(__xludf.DUMMYFUNCTION("""COMPUTED_VALUE"""),117.04)</f>
        <v>117.04</v>
      </c>
    </row>
    <row r="322">
      <c r="A322" s="25">
        <v>45891.66666666667</v>
      </c>
      <c r="B322" s="17">
        <f>IFERROR(__xludf.DUMMYFUNCTION("""COMPUTED_VALUE"""),6370.17)</f>
        <v>6370.17</v>
      </c>
      <c r="C322" s="17">
        <f>IFERROR(__xludf.DUMMYFUNCTION("""COMPUTED_VALUE"""),21100.31)</f>
        <v>21100.31</v>
      </c>
      <c r="D322" s="17">
        <f>IFERROR(__xludf.DUMMYFUNCTION("""COMPUTED_VALUE"""),44785.5)</f>
        <v>44785.5</v>
      </c>
      <c r="E322" s="17">
        <f>IFERROR(__xludf.DUMMYFUNCTION("""COMPUTED_VALUE"""),2274.1)</f>
        <v>2274.1</v>
      </c>
      <c r="F322" s="26">
        <f>IFERROR(__xludf.DUMMYFUNCTION("""COMPUTED_VALUE"""),353.43)</f>
        <v>353.43</v>
      </c>
      <c r="G322" s="26">
        <f>IFERROR(__xludf.DUMMYFUNCTION("""COMPUTED_VALUE"""),221.95)</f>
        <v>221.95</v>
      </c>
      <c r="H322" s="26">
        <f>IFERROR(__xludf.DUMMYFUNCTION("""COMPUTED_VALUE"""),145.87)</f>
        <v>145.87</v>
      </c>
      <c r="I322" s="26">
        <f>IFERROR(__xludf.DUMMYFUNCTION("""COMPUTED_VALUE"""),224.9)</f>
        <v>224.9</v>
      </c>
      <c r="J322" s="26">
        <f>IFERROR(__xludf.DUMMYFUNCTION("""COMPUTED_VALUE"""),159.84)</f>
        <v>159.84</v>
      </c>
      <c r="K322" s="26">
        <f>IFERROR(__xludf.DUMMYFUNCTION("""COMPUTED_VALUE"""),101.78)</f>
        <v>101.78</v>
      </c>
      <c r="L322" s="26">
        <f>IFERROR(__xludf.DUMMYFUNCTION("""COMPUTED_VALUE"""),20.22)</f>
        <v>20.22</v>
      </c>
      <c r="M322" s="26">
        <f>IFERROR(__xludf.DUMMYFUNCTION("""COMPUTED_VALUE"""),488.59)</f>
        <v>488.59</v>
      </c>
      <c r="N322" s="26">
        <f>IFERROR(__xludf.DUMMYFUNCTION("""COMPUTED_VALUE"""),54.5)</f>
        <v>54.5</v>
      </c>
      <c r="O322" s="26">
        <f>IFERROR(__xludf.DUMMYFUNCTION("""COMPUTED_VALUE"""),139.12)</f>
        <v>139.12</v>
      </c>
      <c r="P322" s="26">
        <f>IFERROR(__xludf.DUMMYFUNCTION("""COMPUTED_VALUE"""),65.01)</f>
        <v>65.01</v>
      </c>
      <c r="Q322" s="26">
        <f>IFERROR(__xludf.DUMMYFUNCTION("""COMPUTED_VALUE"""),417.89)</f>
        <v>417.89</v>
      </c>
      <c r="R322" s="26">
        <f>IFERROR(__xludf.DUMMYFUNCTION("""COMPUTED_VALUE"""),71.43)</f>
        <v>71.43</v>
      </c>
      <c r="S322" s="26">
        <f>IFERROR(__xludf.DUMMYFUNCTION("""COMPUTED_VALUE"""),188.41)</f>
        <v>188.41</v>
      </c>
      <c r="T322" s="26">
        <f>IFERROR(__xludf.DUMMYFUNCTION("""COMPUTED_VALUE"""),155.55)</f>
        <v>155.55</v>
      </c>
      <c r="U322" s="26">
        <f>IFERROR(__xludf.DUMMYFUNCTION("""COMPUTED_VALUE"""),300.95)</f>
        <v>300.95</v>
      </c>
      <c r="V322" s="26">
        <f>IFERROR(__xludf.DUMMYFUNCTION("""COMPUTED_VALUE"""),48.46)</f>
        <v>48.46</v>
      </c>
      <c r="W322" s="26">
        <f>IFERROR(__xludf.DUMMYFUNCTION("""COMPUTED_VALUE"""),70.66)</f>
        <v>70.66</v>
      </c>
      <c r="X322" s="26">
        <f>IFERROR(__xludf.DUMMYFUNCTION("""COMPUTED_VALUE"""),101.5)</f>
        <v>101.5</v>
      </c>
      <c r="Y322" s="26">
        <f>IFERROR(__xludf.DUMMYFUNCTION("""COMPUTED_VALUE"""),163.78)</f>
        <v>163.78</v>
      </c>
      <c r="Z322" s="26">
        <f>IFERROR(__xludf.DUMMYFUNCTION("""COMPUTED_VALUE"""),112.59)</f>
        <v>112.59</v>
      </c>
      <c r="AA322" s="26">
        <f>IFERROR(__xludf.DUMMYFUNCTION("""COMPUTED_VALUE"""),446.86)</f>
        <v>446.86</v>
      </c>
      <c r="AB322" s="26">
        <f>IFERROR(__xludf.DUMMYFUNCTION("""COMPUTED_VALUE"""),98.86)</f>
        <v>98.86</v>
      </c>
      <c r="AC322" s="26">
        <f>IFERROR(__xludf.DUMMYFUNCTION("""COMPUTED_VALUE"""),109.23)</f>
        <v>109.23</v>
      </c>
      <c r="AD322" s="26">
        <f>IFERROR(__xludf.DUMMYFUNCTION("""COMPUTED_VALUE"""),225.28)</f>
        <v>225.28</v>
      </c>
      <c r="AE322" s="26">
        <f>IFERROR(__xludf.DUMMYFUNCTION("""COMPUTED_VALUE"""),467.02)</f>
        <v>467.02</v>
      </c>
      <c r="AF322" s="26">
        <f>IFERROR(__xludf.DUMMYFUNCTION("""COMPUTED_VALUE"""),316.53)</f>
        <v>316.53</v>
      </c>
      <c r="AG322" s="26">
        <f>IFERROR(__xludf.DUMMYFUNCTION("""COMPUTED_VALUE"""),56.51)</f>
        <v>56.51</v>
      </c>
      <c r="AH322" s="26">
        <f>IFERROR(__xludf.DUMMYFUNCTION("""COMPUTED_VALUE"""),116.14)</f>
        <v>116.14</v>
      </c>
      <c r="AI322" s="26">
        <f>IFERROR(__xludf.DUMMYFUNCTION("""COMPUTED_VALUE"""),715.95)</f>
        <v>715.95</v>
      </c>
      <c r="AJ322" s="26">
        <f>IFERROR(__xludf.DUMMYFUNCTION("""COMPUTED_VALUE"""),397.7)</f>
        <v>397.7</v>
      </c>
      <c r="AK322" s="26">
        <f>IFERROR(__xludf.DUMMYFUNCTION("""COMPUTED_VALUE"""),135.39)</f>
        <v>135.39</v>
      </c>
      <c r="AL322" s="26">
        <f>IFERROR(__xludf.DUMMYFUNCTION("""COMPUTED_VALUE"""),179.23)</f>
        <v>179.23</v>
      </c>
      <c r="AM322" s="26">
        <f>IFERROR(__xludf.DUMMYFUNCTION("""COMPUTED_VALUE"""),469.88)</f>
        <v>469.88</v>
      </c>
      <c r="AN322" s="26">
        <f>IFERROR(__xludf.DUMMYFUNCTION("""COMPUTED_VALUE"""),291.47)</f>
        <v>291.47</v>
      </c>
      <c r="AO322" s="26">
        <f>IFERROR(__xludf.DUMMYFUNCTION("""COMPUTED_VALUE"""),447.2)</f>
        <v>447.2</v>
      </c>
      <c r="AP322" s="26">
        <f>IFERROR(__xludf.DUMMYFUNCTION("""COMPUTED_VALUE"""),198.18)</f>
        <v>198.18</v>
      </c>
      <c r="AQ322" s="26">
        <f>IFERROR(__xludf.DUMMYFUNCTION("""COMPUTED_VALUE"""),30.06)</f>
        <v>30.06</v>
      </c>
      <c r="AR322" s="26">
        <f>IFERROR(__xludf.DUMMYFUNCTION("""COMPUTED_VALUE"""),91.1)</f>
        <v>91.1</v>
      </c>
      <c r="AS322" s="26">
        <f>IFERROR(__xludf.DUMMYFUNCTION("""COMPUTED_VALUE"""),79.24)</f>
        <v>79.24</v>
      </c>
      <c r="AT322" s="26">
        <f>IFERROR(__xludf.DUMMYFUNCTION("""COMPUTED_VALUE"""),504.24)</f>
        <v>504.24</v>
      </c>
      <c r="AU322" s="26">
        <f>IFERROR(__xludf.DUMMYFUNCTION("""COMPUTED_VALUE"""),76.08)</f>
        <v>76.08</v>
      </c>
      <c r="AV322" s="26">
        <f>IFERROR(__xludf.DUMMYFUNCTION("""COMPUTED_VALUE"""),174.98)</f>
        <v>174.98</v>
      </c>
      <c r="AW322" s="26">
        <f>IFERROR(__xludf.DUMMYFUNCTION("""COMPUTED_VALUE"""),87.57)</f>
        <v>87.57</v>
      </c>
      <c r="AX322" s="26">
        <f>IFERROR(__xludf.DUMMYFUNCTION("""COMPUTED_VALUE"""),44.58)</f>
        <v>44.58</v>
      </c>
      <c r="AY322" s="26">
        <f>IFERROR(__xludf.DUMMYFUNCTION("""COMPUTED_VALUE"""),156.18)</f>
        <v>156.18</v>
      </c>
      <c r="AZ322" s="26">
        <f>IFERROR(__xludf.DUMMYFUNCTION("""COMPUTED_VALUE"""),67.55)</f>
        <v>67.55</v>
      </c>
      <c r="BA322" s="26">
        <f>IFERROR(__xludf.DUMMYFUNCTION("""COMPUTED_VALUE"""),25.74)</f>
        <v>25.74</v>
      </c>
      <c r="BB322" s="26">
        <f>IFERROR(__xludf.DUMMYFUNCTION("""COMPUTED_VALUE"""),156.32)</f>
        <v>156.32</v>
      </c>
      <c r="BC322" s="26">
        <f>IFERROR(__xludf.DUMMYFUNCTION("""COMPUTED_VALUE"""),258.16)</f>
        <v>258.16</v>
      </c>
      <c r="BD322" s="26">
        <f>IFERROR(__xludf.DUMMYFUNCTION("""COMPUTED_VALUE"""),483.76)</f>
        <v>483.76</v>
      </c>
      <c r="BE322" s="26">
        <f>IFERROR(__xludf.DUMMYFUNCTION("""COMPUTED_VALUE"""),197.27)</f>
        <v>197.27</v>
      </c>
      <c r="BF322" s="26">
        <f>IFERROR(__xludf.DUMMYFUNCTION("""COMPUTED_VALUE"""),118.81)</f>
        <v>118.81</v>
      </c>
      <c r="BG322" s="26">
        <f>IFERROR(__xludf.DUMMYFUNCTION("""COMPUTED_VALUE"""),5.05)</f>
        <v>5.05</v>
      </c>
      <c r="BH322" s="26">
        <f>IFERROR(__xludf.DUMMYFUNCTION("""COMPUTED_VALUE"""),225.3)</f>
        <v>225.3</v>
      </c>
      <c r="BI322" s="26">
        <f>IFERROR(__xludf.DUMMYFUNCTION("""COMPUTED_VALUE"""),303.35)</f>
        <v>303.35</v>
      </c>
      <c r="BJ322" s="26">
        <f>IFERROR(__xludf.DUMMYFUNCTION("""COMPUTED_VALUE"""),50.31)</f>
        <v>50.31</v>
      </c>
      <c r="BK322" s="26">
        <f>IFERROR(__xludf.DUMMYFUNCTION("""COMPUTED_VALUE"""),10.69)</f>
        <v>10.69</v>
      </c>
      <c r="BL322" s="26">
        <f>IFERROR(__xludf.DUMMYFUNCTION("""COMPUTED_VALUE"""),229.61)</f>
        <v>229.61</v>
      </c>
      <c r="BM322" s="26">
        <f>IFERROR(__xludf.DUMMYFUNCTION("""COMPUTED_VALUE"""),116.21)</f>
        <v>116.21</v>
      </c>
    </row>
    <row r="323">
      <c r="A323" s="25">
        <v>45894.66666666667</v>
      </c>
      <c r="B323" s="17">
        <f>IFERROR(__xludf.DUMMYFUNCTION("""COMPUTED_VALUE"""),6466.91)</f>
        <v>6466.91</v>
      </c>
      <c r="C323" s="17">
        <f>IFERROR(__xludf.DUMMYFUNCTION("""COMPUTED_VALUE"""),21496.54)</f>
        <v>21496.54</v>
      </c>
      <c r="D323" s="17">
        <f>IFERROR(__xludf.DUMMYFUNCTION("""COMPUTED_VALUE"""),45631.74)</f>
        <v>45631.74</v>
      </c>
      <c r="E323" s="17">
        <f>IFERROR(__xludf.DUMMYFUNCTION("""COMPUTED_VALUE"""),2361.95)</f>
        <v>2361.95</v>
      </c>
      <c r="F323" s="26">
        <f>IFERROR(__xludf.DUMMYFUNCTION("""COMPUTED_VALUE"""),362.09)</f>
        <v>362.09</v>
      </c>
      <c r="G323" s="26">
        <f>IFERROR(__xludf.DUMMYFUNCTION("""COMPUTED_VALUE"""),228.84)</f>
        <v>228.84</v>
      </c>
      <c r="H323" s="26">
        <f>IFERROR(__xludf.DUMMYFUNCTION("""COMPUTED_VALUE"""),146.2)</f>
        <v>146.2</v>
      </c>
      <c r="I323" s="26">
        <f>IFERROR(__xludf.DUMMYFUNCTION("""COMPUTED_VALUE"""),227.76)</f>
        <v>227.76</v>
      </c>
      <c r="J323" s="26">
        <f>IFERROR(__xludf.DUMMYFUNCTION("""COMPUTED_VALUE"""),162.49)</f>
        <v>162.49</v>
      </c>
      <c r="K323" s="26">
        <f>IFERROR(__xludf.DUMMYFUNCTION("""COMPUTED_VALUE"""),102.54)</f>
        <v>102.54</v>
      </c>
      <c r="L323" s="26">
        <f>IFERROR(__xludf.DUMMYFUNCTION("""COMPUTED_VALUE"""),20.47)</f>
        <v>20.47</v>
      </c>
      <c r="M323" s="26">
        <f>IFERROR(__xludf.DUMMYFUNCTION("""COMPUTED_VALUE"""),489.0)</f>
        <v>489</v>
      </c>
      <c r="N323" s="26">
        <f>IFERROR(__xludf.DUMMYFUNCTION("""COMPUTED_VALUE"""),55.95)</f>
        <v>55.95</v>
      </c>
      <c r="O323" s="26">
        <f>IFERROR(__xludf.DUMMYFUNCTION("""COMPUTED_VALUE"""),139.31)</f>
        <v>139.31</v>
      </c>
      <c r="P323" s="26">
        <f>IFERROR(__xludf.DUMMYFUNCTION("""COMPUTED_VALUE"""),67.75)</f>
        <v>67.75</v>
      </c>
      <c r="Q323" s="26">
        <f>IFERROR(__xludf.DUMMYFUNCTION("""COMPUTED_VALUE"""),435.67)</f>
        <v>435.67</v>
      </c>
      <c r="R323" s="26">
        <f>IFERROR(__xludf.DUMMYFUNCTION("""COMPUTED_VALUE"""),74.91)</f>
        <v>74.91</v>
      </c>
      <c r="S323" s="26">
        <f>IFERROR(__xludf.DUMMYFUNCTION("""COMPUTED_VALUE"""),190.42)</f>
        <v>190.42</v>
      </c>
      <c r="T323" s="26">
        <f>IFERROR(__xludf.DUMMYFUNCTION("""COMPUTED_VALUE"""),158.18)</f>
        <v>158.18</v>
      </c>
      <c r="U323" s="26">
        <f>IFERROR(__xludf.DUMMYFUNCTION("""COMPUTED_VALUE"""),304.35)</f>
        <v>304.35</v>
      </c>
      <c r="V323" s="26">
        <f>IFERROR(__xludf.DUMMYFUNCTION("""COMPUTED_VALUE"""),50.77)</f>
        <v>50.77</v>
      </c>
      <c r="W323" s="26">
        <f>IFERROR(__xludf.DUMMYFUNCTION("""COMPUTED_VALUE"""),70.13)</f>
        <v>70.13</v>
      </c>
      <c r="X323" s="26">
        <f>IFERROR(__xludf.DUMMYFUNCTION("""COMPUTED_VALUE"""),101.65)</f>
        <v>101.65</v>
      </c>
      <c r="Y323" s="26">
        <f>IFERROR(__xludf.DUMMYFUNCTION("""COMPUTED_VALUE"""),167.06)</f>
        <v>167.06</v>
      </c>
      <c r="Z323" s="26">
        <f>IFERROR(__xludf.DUMMYFUNCTION("""COMPUTED_VALUE"""),113.32)</f>
        <v>113.32</v>
      </c>
      <c r="AA323" s="26">
        <f>IFERROR(__xludf.DUMMYFUNCTION("""COMPUTED_VALUE"""),450.99)</f>
        <v>450.99</v>
      </c>
      <c r="AB323" s="26">
        <f>IFERROR(__xludf.DUMMYFUNCTION("""COMPUTED_VALUE"""),99.22)</f>
        <v>99.22</v>
      </c>
      <c r="AC323" s="26">
        <f>IFERROR(__xludf.DUMMYFUNCTION("""COMPUTED_VALUE"""),111.28)</f>
        <v>111.28</v>
      </c>
      <c r="AD323" s="26">
        <f>IFERROR(__xludf.DUMMYFUNCTION("""COMPUTED_VALUE"""),236.8)</f>
        <v>236.8</v>
      </c>
      <c r="AE323" s="26">
        <f>IFERROR(__xludf.DUMMYFUNCTION("""COMPUTED_VALUE"""),471.02)</f>
        <v>471.02</v>
      </c>
      <c r="AF323" s="26">
        <f>IFERROR(__xludf.DUMMYFUNCTION("""COMPUTED_VALUE"""),319.61)</f>
        <v>319.61</v>
      </c>
      <c r="AG323" s="26">
        <f>IFERROR(__xludf.DUMMYFUNCTION("""COMPUTED_VALUE"""),58.37)</f>
        <v>58.37</v>
      </c>
      <c r="AH323" s="26">
        <f>IFERROR(__xludf.DUMMYFUNCTION("""COMPUTED_VALUE"""),114.77)</f>
        <v>114.77</v>
      </c>
      <c r="AI323" s="26">
        <f>IFERROR(__xludf.DUMMYFUNCTION("""COMPUTED_VALUE"""),741.89)</f>
        <v>741.89</v>
      </c>
      <c r="AJ323" s="26">
        <f>IFERROR(__xludf.DUMMYFUNCTION("""COMPUTED_VALUE"""),412.79)</f>
        <v>412.79</v>
      </c>
      <c r="AK323" s="26">
        <f>IFERROR(__xludf.DUMMYFUNCTION("""COMPUTED_VALUE"""),138.73)</f>
        <v>138.73</v>
      </c>
      <c r="AL323" s="26">
        <f>IFERROR(__xludf.DUMMYFUNCTION("""COMPUTED_VALUE"""),180.67)</f>
        <v>180.67</v>
      </c>
      <c r="AM323" s="26">
        <f>IFERROR(__xludf.DUMMYFUNCTION("""COMPUTED_VALUE"""),476.16)</f>
        <v>476.16</v>
      </c>
      <c r="AN323" s="26">
        <f>IFERROR(__xludf.DUMMYFUNCTION("""COMPUTED_VALUE"""),296.24)</f>
        <v>296.24</v>
      </c>
      <c r="AO323" s="26">
        <f>IFERROR(__xludf.DUMMYFUNCTION("""COMPUTED_VALUE"""),446.2)</f>
        <v>446.2</v>
      </c>
      <c r="AP323" s="26">
        <f>IFERROR(__xludf.DUMMYFUNCTION("""COMPUTED_VALUE"""),207.59)</f>
        <v>207.59</v>
      </c>
      <c r="AQ323" s="26">
        <f>IFERROR(__xludf.DUMMYFUNCTION("""COMPUTED_VALUE"""),30.74)</f>
        <v>30.74</v>
      </c>
      <c r="AR323" s="26">
        <f>IFERROR(__xludf.DUMMYFUNCTION("""COMPUTED_VALUE"""),92.71)</f>
        <v>92.71</v>
      </c>
      <c r="AS323" s="26">
        <f>IFERROR(__xludf.DUMMYFUNCTION("""COMPUTED_VALUE"""),81.49)</f>
        <v>81.49</v>
      </c>
      <c r="AT323" s="26">
        <f>IFERROR(__xludf.DUMMYFUNCTION("""COMPUTED_VALUE"""),507.23)</f>
        <v>507.23</v>
      </c>
      <c r="AU323" s="26">
        <f>IFERROR(__xludf.DUMMYFUNCTION("""COMPUTED_VALUE"""),76.32)</f>
        <v>76.32</v>
      </c>
      <c r="AV323" s="26">
        <f>IFERROR(__xludf.DUMMYFUNCTION("""COMPUTED_VALUE"""),177.99)</f>
        <v>177.99</v>
      </c>
      <c r="AW323" s="26">
        <f>IFERROR(__xludf.DUMMYFUNCTION("""COMPUTED_VALUE"""),88.58)</f>
        <v>88.58</v>
      </c>
      <c r="AX323" s="26">
        <f>IFERROR(__xludf.DUMMYFUNCTION("""COMPUTED_VALUE"""),46.56)</f>
        <v>46.56</v>
      </c>
      <c r="AY323" s="26">
        <f>IFERROR(__xludf.DUMMYFUNCTION("""COMPUTED_VALUE"""),158.74)</f>
        <v>158.74</v>
      </c>
      <c r="AZ323" s="26">
        <f>IFERROR(__xludf.DUMMYFUNCTION("""COMPUTED_VALUE"""),69.9)</f>
        <v>69.9</v>
      </c>
      <c r="BA323" s="26">
        <f>IFERROR(__xludf.DUMMYFUNCTION("""COMPUTED_VALUE"""),25.88)</f>
        <v>25.88</v>
      </c>
      <c r="BB323" s="26">
        <f>IFERROR(__xludf.DUMMYFUNCTION("""COMPUTED_VALUE"""),156.24)</f>
        <v>156.24</v>
      </c>
      <c r="BC323" s="26">
        <f>IFERROR(__xludf.DUMMYFUNCTION("""COMPUTED_VALUE"""),251.95)</f>
        <v>251.95</v>
      </c>
      <c r="BD323" s="26">
        <f>IFERROR(__xludf.DUMMYFUNCTION("""COMPUTED_VALUE"""),499.99)</f>
        <v>499.99</v>
      </c>
      <c r="BE323" s="26">
        <f>IFERROR(__xludf.DUMMYFUNCTION("""COMPUTED_VALUE"""),201.37)</f>
        <v>201.37</v>
      </c>
      <c r="BF323" s="26">
        <f>IFERROR(__xludf.DUMMYFUNCTION("""COMPUTED_VALUE"""),119.85)</f>
        <v>119.85</v>
      </c>
      <c r="BG323" s="26">
        <f>IFERROR(__xludf.DUMMYFUNCTION("""COMPUTED_VALUE"""),5.14)</f>
        <v>5.14</v>
      </c>
      <c r="BH323" s="26">
        <f>IFERROR(__xludf.DUMMYFUNCTION("""COMPUTED_VALUE"""),227.85)</f>
        <v>227.85</v>
      </c>
      <c r="BI323" s="26">
        <f>IFERROR(__xludf.DUMMYFUNCTION("""COMPUTED_VALUE"""),307.42)</f>
        <v>307.42</v>
      </c>
      <c r="BJ323" s="26">
        <f>IFERROR(__xludf.DUMMYFUNCTION("""COMPUTED_VALUE"""),50.51)</f>
        <v>50.51</v>
      </c>
      <c r="BK323" s="26">
        <f>IFERROR(__xludf.DUMMYFUNCTION("""COMPUTED_VALUE"""),10.65)</f>
        <v>10.65</v>
      </c>
      <c r="BL323" s="26">
        <f>IFERROR(__xludf.DUMMYFUNCTION("""COMPUTED_VALUE"""),227.02)</f>
        <v>227.02</v>
      </c>
      <c r="BM323" s="26">
        <f>IFERROR(__xludf.DUMMYFUNCTION("""COMPUTED_VALUE"""),118.86)</f>
        <v>118.86</v>
      </c>
    </row>
    <row r="324">
      <c r="A324" s="25">
        <v>45895.66666666667</v>
      </c>
      <c r="B324" s="17">
        <f>IFERROR(__xludf.DUMMYFUNCTION("""COMPUTED_VALUE"""),6439.32)</f>
        <v>6439.32</v>
      </c>
      <c r="C324" s="17">
        <f>IFERROR(__xludf.DUMMYFUNCTION("""COMPUTED_VALUE"""),21449.29)</f>
        <v>21449.29</v>
      </c>
      <c r="D324" s="17">
        <f>IFERROR(__xludf.DUMMYFUNCTION("""COMPUTED_VALUE"""),45282.47)</f>
        <v>45282.47</v>
      </c>
      <c r="E324" s="17">
        <f>IFERROR(__xludf.DUMMYFUNCTION("""COMPUTED_VALUE"""),2339.17)</f>
        <v>2339.17</v>
      </c>
      <c r="F324" s="26">
        <f>IFERROR(__xludf.DUMMYFUNCTION("""COMPUTED_VALUE"""),363.21)</f>
        <v>363.21</v>
      </c>
      <c r="G324" s="26">
        <f>IFERROR(__xludf.DUMMYFUNCTION("""COMPUTED_VALUE"""),227.94)</f>
        <v>227.94</v>
      </c>
      <c r="H324" s="26">
        <f>IFERROR(__xludf.DUMMYFUNCTION("""COMPUTED_VALUE"""),144.4)</f>
        <v>144.4</v>
      </c>
      <c r="I324" s="26">
        <f>IFERROR(__xludf.DUMMYFUNCTION("""COMPUTED_VALUE"""),227.16)</f>
        <v>227.16</v>
      </c>
      <c r="J324" s="26">
        <f>IFERROR(__xludf.DUMMYFUNCTION("""COMPUTED_VALUE"""),161.99)</f>
        <v>161.99</v>
      </c>
      <c r="K324" s="26">
        <f>IFERROR(__xludf.DUMMYFUNCTION("""COMPUTED_VALUE"""),103.12)</f>
        <v>103.12</v>
      </c>
      <c r="L324" s="26">
        <f>IFERROR(__xludf.DUMMYFUNCTION("""COMPUTED_VALUE"""),20.4)</f>
        <v>20.4</v>
      </c>
      <c r="M324" s="26">
        <f>IFERROR(__xludf.DUMMYFUNCTION("""COMPUTED_VALUE"""),486.18)</f>
        <v>486.18</v>
      </c>
      <c r="N324" s="26">
        <f>IFERROR(__xludf.DUMMYFUNCTION("""COMPUTED_VALUE"""),55.77)</f>
        <v>55.77</v>
      </c>
      <c r="O324" s="26">
        <f>IFERROR(__xludf.DUMMYFUNCTION("""COMPUTED_VALUE"""),136.36)</f>
        <v>136.36</v>
      </c>
      <c r="P324" s="26">
        <f>IFERROR(__xludf.DUMMYFUNCTION("""COMPUTED_VALUE"""),66.0)</f>
        <v>66</v>
      </c>
      <c r="Q324" s="26">
        <f>IFERROR(__xludf.DUMMYFUNCTION("""COMPUTED_VALUE"""),432.3)</f>
        <v>432.3</v>
      </c>
      <c r="R324" s="26">
        <f>IFERROR(__xludf.DUMMYFUNCTION("""COMPUTED_VALUE"""),74.97)</f>
        <v>74.97</v>
      </c>
      <c r="S324" s="26">
        <f>IFERROR(__xludf.DUMMYFUNCTION("""COMPUTED_VALUE"""),187.72)</f>
        <v>187.72</v>
      </c>
      <c r="T324" s="26">
        <f>IFERROR(__xludf.DUMMYFUNCTION("""COMPUTED_VALUE"""),158.2)</f>
        <v>158.2</v>
      </c>
      <c r="U324" s="26">
        <f>IFERROR(__xludf.DUMMYFUNCTION("""COMPUTED_VALUE"""),300.76)</f>
        <v>300.76</v>
      </c>
      <c r="V324" s="26">
        <f>IFERROR(__xludf.DUMMYFUNCTION("""COMPUTED_VALUE"""),50.69)</f>
        <v>50.69</v>
      </c>
      <c r="W324" s="26">
        <f>IFERROR(__xludf.DUMMYFUNCTION("""COMPUTED_VALUE"""),68.93)</f>
        <v>68.93</v>
      </c>
      <c r="X324" s="26">
        <f>IFERROR(__xludf.DUMMYFUNCTION("""COMPUTED_VALUE"""),99.95)</f>
        <v>99.95</v>
      </c>
      <c r="Y324" s="26">
        <f>IFERROR(__xludf.DUMMYFUNCTION("""COMPUTED_VALUE"""),165.86)</f>
        <v>165.86</v>
      </c>
      <c r="Z324" s="26">
        <f>IFERROR(__xludf.DUMMYFUNCTION("""COMPUTED_VALUE"""),111.8)</f>
        <v>111.8</v>
      </c>
      <c r="AA324" s="26">
        <f>IFERROR(__xludf.DUMMYFUNCTION("""COMPUTED_VALUE"""),460.66)</f>
        <v>460.66</v>
      </c>
      <c r="AB324" s="26">
        <f>IFERROR(__xludf.DUMMYFUNCTION("""COMPUTED_VALUE"""),98.55)</f>
        <v>98.55</v>
      </c>
      <c r="AC324" s="26">
        <f>IFERROR(__xludf.DUMMYFUNCTION("""COMPUTED_VALUE"""),111.74)</f>
        <v>111.74</v>
      </c>
      <c r="AD324" s="26">
        <f>IFERROR(__xludf.DUMMYFUNCTION("""COMPUTED_VALUE"""),233.0)</f>
        <v>233</v>
      </c>
      <c r="AE324" s="26">
        <f>IFERROR(__xludf.DUMMYFUNCTION("""COMPUTED_VALUE"""),467.54)</f>
        <v>467.54</v>
      </c>
      <c r="AF324" s="26">
        <f>IFERROR(__xludf.DUMMYFUNCTION("""COMPUTED_VALUE"""),319.89)</f>
        <v>319.89</v>
      </c>
      <c r="AG324" s="26">
        <f>IFERROR(__xludf.DUMMYFUNCTION("""COMPUTED_VALUE"""),58.28)</f>
        <v>58.28</v>
      </c>
      <c r="AH324" s="26">
        <f>IFERROR(__xludf.DUMMYFUNCTION("""COMPUTED_VALUE"""),114.15)</f>
        <v>114.15</v>
      </c>
      <c r="AI324" s="26">
        <f>IFERROR(__xludf.DUMMYFUNCTION("""COMPUTED_VALUE"""),738.79)</f>
        <v>738.79</v>
      </c>
      <c r="AJ324" s="26">
        <f>IFERROR(__xludf.DUMMYFUNCTION("""COMPUTED_VALUE"""),408.9)</f>
        <v>408.9</v>
      </c>
      <c r="AK324" s="26">
        <f>IFERROR(__xludf.DUMMYFUNCTION("""COMPUTED_VALUE"""),136.19)</f>
        <v>136.19</v>
      </c>
      <c r="AL324" s="26">
        <f>IFERROR(__xludf.DUMMYFUNCTION("""COMPUTED_VALUE"""),179.14)</f>
        <v>179.14</v>
      </c>
      <c r="AM324" s="26">
        <f>IFERROR(__xludf.DUMMYFUNCTION("""COMPUTED_VALUE"""),468.44)</f>
        <v>468.44</v>
      </c>
      <c r="AN324" s="26">
        <f>IFERROR(__xludf.DUMMYFUNCTION("""COMPUTED_VALUE"""),294.9)</f>
        <v>294.9</v>
      </c>
      <c r="AO324" s="26">
        <f>IFERROR(__xludf.DUMMYFUNCTION("""COMPUTED_VALUE"""),447.72)</f>
        <v>447.72</v>
      </c>
      <c r="AP324" s="26">
        <f>IFERROR(__xludf.DUMMYFUNCTION("""COMPUTED_VALUE"""),202.44)</f>
        <v>202.44</v>
      </c>
      <c r="AQ324" s="26">
        <f>IFERROR(__xludf.DUMMYFUNCTION("""COMPUTED_VALUE"""),30.06)</f>
        <v>30.06</v>
      </c>
      <c r="AR324" s="26">
        <f>IFERROR(__xludf.DUMMYFUNCTION("""COMPUTED_VALUE"""),92.04)</f>
        <v>92.04</v>
      </c>
      <c r="AS324" s="26">
        <f>IFERROR(__xludf.DUMMYFUNCTION("""COMPUTED_VALUE"""),80.83)</f>
        <v>80.83</v>
      </c>
      <c r="AT324" s="26">
        <f>IFERROR(__xludf.DUMMYFUNCTION("""COMPUTED_VALUE"""),504.26)</f>
        <v>504.26</v>
      </c>
      <c r="AU324" s="26">
        <f>IFERROR(__xludf.DUMMYFUNCTION("""COMPUTED_VALUE"""),75.32)</f>
        <v>75.32</v>
      </c>
      <c r="AV324" s="26">
        <f>IFERROR(__xludf.DUMMYFUNCTION("""COMPUTED_VALUE"""),179.81)</f>
        <v>179.81</v>
      </c>
      <c r="AW324" s="26">
        <f>IFERROR(__xludf.DUMMYFUNCTION("""COMPUTED_VALUE"""),86.86)</f>
        <v>86.86</v>
      </c>
      <c r="AX324" s="26">
        <f>IFERROR(__xludf.DUMMYFUNCTION("""COMPUTED_VALUE"""),45.59)</f>
        <v>45.59</v>
      </c>
      <c r="AY324" s="26">
        <f>IFERROR(__xludf.DUMMYFUNCTION("""COMPUTED_VALUE"""),157.17)</f>
        <v>157.17</v>
      </c>
      <c r="AZ324" s="26">
        <f>IFERROR(__xludf.DUMMYFUNCTION("""COMPUTED_VALUE"""),69.48)</f>
        <v>69.48</v>
      </c>
      <c r="BA324" s="26">
        <f>IFERROR(__xludf.DUMMYFUNCTION("""COMPUTED_VALUE"""),25.14)</f>
        <v>25.14</v>
      </c>
      <c r="BB324" s="26">
        <f>IFERROR(__xludf.DUMMYFUNCTION("""COMPUTED_VALUE"""),156.27)</f>
        <v>156.27</v>
      </c>
      <c r="BC324" s="26">
        <f>IFERROR(__xludf.DUMMYFUNCTION("""COMPUTED_VALUE"""),251.74)</f>
        <v>251.74</v>
      </c>
      <c r="BD324" s="26">
        <f>IFERROR(__xludf.DUMMYFUNCTION("""COMPUTED_VALUE"""),490.75)</f>
        <v>490.75</v>
      </c>
      <c r="BE324" s="26">
        <f>IFERROR(__xludf.DUMMYFUNCTION("""COMPUTED_VALUE"""),198.37)</f>
        <v>198.37</v>
      </c>
      <c r="BF324" s="26">
        <f>IFERROR(__xludf.DUMMYFUNCTION("""COMPUTED_VALUE"""),114.97)</f>
        <v>114.97</v>
      </c>
      <c r="BG324" s="26">
        <f>IFERROR(__xludf.DUMMYFUNCTION("""COMPUTED_VALUE"""),5.07)</f>
        <v>5.07</v>
      </c>
      <c r="BH324" s="26">
        <f>IFERROR(__xludf.DUMMYFUNCTION("""COMPUTED_VALUE"""),223.32)</f>
        <v>223.32</v>
      </c>
      <c r="BI324" s="26">
        <f>IFERROR(__xludf.DUMMYFUNCTION("""COMPUTED_VALUE"""),304.86)</f>
        <v>304.86</v>
      </c>
      <c r="BJ324" s="26">
        <f>IFERROR(__xludf.DUMMYFUNCTION("""COMPUTED_VALUE"""),50.49)</f>
        <v>50.49</v>
      </c>
      <c r="BK324" s="26">
        <f>IFERROR(__xludf.DUMMYFUNCTION("""COMPUTED_VALUE"""),10.55)</f>
        <v>10.55</v>
      </c>
      <c r="BL324" s="26">
        <f>IFERROR(__xludf.DUMMYFUNCTION("""COMPUTED_VALUE"""),224.04)</f>
        <v>224.04</v>
      </c>
      <c r="BM324" s="26">
        <f>IFERROR(__xludf.DUMMYFUNCTION("""COMPUTED_VALUE"""),117.71)</f>
        <v>117.71</v>
      </c>
    </row>
    <row r="325">
      <c r="A325" s="25">
        <v>45896.66666666667</v>
      </c>
      <c r="B325" s="17">
        <f>IFERROR(__xludf.DUMMYFUNCTION("""COMPUTED_VALUE"""),6465.94)</f>
        <v>6465.94</v>
      </c>
      <c r="C325" s="17">
        <f>IFERROR(__xludf.DUMMYFUNCTION("""COMPUTED_VALUE"""),21544.27)</f>
        <v>21544.27</v>
      </c>
      <c r="D325" s="17">
        <f>IFERROR(__xludf.DUMMYFUNCTION("""COMPUTED_VALUE"""),45418.07)</f>
        <v>45418.07</v>
      </c>
      <c r="E325" s="17">
        <f>IFERROR(__xludf.DUMMYFUNCTION("""COMPUTED_VALUE"""),2358.6)</f>
        <v>2358.6</v>
      </c>
      <c r="F325" s="26">
        <f>IFERROR(__xludf.DUMMYFUNCTION("""COMPUTED_VALUE"""),354.91)</f>
        <v>354.91</v>
      </c>
      <c r="G325" s="26">
        <f>IFERROR(__xludf.DUMMYFUNCTION("""COMPUTED_VALUE"""),228.71)</f>
        <v>228.71</v>
      </c>
      <c r="H325" s="26">
        <f>IFERROR(__xludf.DUMMYFUNCTION("""COMPUTED_VALUE"""),143.95)</f>
        <v>143.95</v>
      </c>
      <c r="I325" s="26">
        <f>IFERROR(__xludf.DUMMYFUNCTION("""COMPUTED_VALUE"""),229.31)</f>
        <v>229.31</v>
      </c>
      <c r="J325" s="26">
        <f>IFERROR(__xludf.DUMMYFUNCTION("""COMPUTED_VALUE"""),164.51)</f>
        <v>164.51</v>
      </c>
      <c r="K325" s="26">
        <f>IFERROR(__xludf.DUMMYFUNCTION("""COMPUTED_VALUE"""),104.59)</f>
        <v>104.59</v>
      </c>
      <c r="L325" s="26">
        <f>IFERROR(__xludf.DUMMYFUNCTION("""COMPUTED_VALUE"""),20.4)</f>
        <v>20.4</v>
      </c>
      <c r="M325" s="26">
        <f>IFERROR(__xludf.DUMMYFUNCTION("""COMPUTED_VALUE"""),492.21)</f>
        <v>492.21</v>
      </c>
      <c r="N325" s="26">
        <f>IFERROR(__xludf.DUMMYFUNCTION("""COMPUTED_VALUE"""),55.65)</f>
        <v>55.65</v>
      </c>
      <c r="O325" s="26">
        <f>IFERROR(__xludf.DUMMYFUNCTION("""COMPUTED_VALUE"""),136.72)</f>
        <v>136.72</v>
      </c>
      <c r="P325" s="26">
        <f>IFERROR(__xludf.DUMMYFUNCTION("""COMPUTED_VALUE"""),66.48)</f>
        <v>66.48</v>
      </c>
      <c r="Q325" s="26">
        <f>IFERROR(__xludf.DUMMYFUNCTION("""COMPUTED_VALUE"""),431.26)</f>
        <v>431.26</v>
      </c>
      <c r="R325" s="26">
        <f>IFERROR(__xludf.DUMMYFUNCTION("""COMPUTED_VALUE"""),76.51)</f>
        <v>76.51</v>
      </c>
      <c r="S325" s="26">
        <f>IFERROR(__xludf.DUMMYFUNCTION("""COMPUTED_VALUE"""),187.62)</f>
        <v>187.62</v>
      </c>
      <c r="T325" s="26">
        <f>IFERROR(__xludf.DUMMYFUNCTION("""COMPUTED_VALUE"""),157.36)</f>
        <v>157.36</v>
      </c>
      <c r="U325" s="26">
        <f>IFERROR(__xludf.DUMMYFUNCTION("""COMPUTED_VALUE"""),300.32)</f>
        <v>300.32</v>
      </c>
      <c r="V325" s="26">
        <f>IFERROR(__xludf.DUMMYFUNCTION("""COMPUTED_VALUE"""),51.31)</f>
        <v>51.31</v>
      </c>
      <c r="W325" s="26">
        <f>IFERROR(__xludf.DUMMYFUNCTION("""COMPUTED_VALUE"""),68.73)</f>
        <v>68.73</v>
      </c>
      <c r="X325" s="26">
        <f>IFERROR(__xludf.DUMMYFUNCTION("""COMPUTED_VALUE"""),99.72)</f>
        <v>99.72</v>
      </c>
      <c r="Y325" s="26">
        <f>IFERROR(__xludf.DUMMYFUNCTION("""COMPUTED_VALUE"""),167.92)</f>
        <v>167.92</v>
      </c>
      <c r="Z325" s="26">
        <f>IFERROR(__xludf.DUMMYFUNCTION("""COMPUTED_VALUE"""),111.98)</f>
        <v>111.98</v>
      </c>
      <c r="AA325" s="26">
        <f>IFERROR(__xludf.DUMMYFUNCTION("""COMPUTED_VALUE"""),451.22)</f>
        <v>451.22</v>
      </c>
      <c r="AB325" s="26">
        <f>IFERROR(__xludf.DUMMYFUNCTION("""COMPUTED_VALUE"""),94.64)</f>
        <v>94.64</v>
      </c>
      <c r="AC325" s="26">
        <f>IFERROR(__xludf.DUMMYFUNCTION("""COMPUTED_VALUE"""),111.49)</f>
        <v>111.49</v>
      </c>
      <c r="AD325" s="26">
        <f>IFERROR(__xludf.DUMMYFUNCTION("""COMPUTED_VALUE"""),231.1)</f>
        <v>231.1</v>
      </c>
      <c r="AE325" s="26">
        <f>IFERROR(__xludf.DUMMYFUNCTION("""COMPUTED_VALUE"""),467.94)</f>
        <v>467.94</v>
      </c>
      <c r="AF325" s="26">
        <f>IFERROR(__xludf.DUMMYFUNCTION("""COMPUTED_VALUE"""),322.18)</f>
        <v>322.18</v>
      </c>
      <c r="AG325" s="26">
        <f>IFERROR(__xludf.DUMMYFUNCTION("""COMPUTED_VALUE"""),58.8)</f>
        <v>58.8</v>
      </c>
      <c r="AH325" s="26">
        <f>IFERROR(__xludf.DUMMYFUNCTION("""COMPUTED_VALUE"""),114.75)</f>
        <v>114.75</v>
      </c>
      <c r="AI325" s="26">
        <f>IFERROR(__xludf.DUMMYFUNCTION("""COMPUTED_VALUE"""),748.95)</f>
        <v>748.95</v>
      </c>
      <c r="AJ325" s="26">
        <f>IFERROR(__xludf.DUMMYFUNCTION("""COMPUTED_VALUE"""),407.54)</f>
        <v>407.54</v>
      </c>
      <c r="AK325" s="26">
        <f>IFERROR(__xludf.DUMMYFUNCTION("""COMPUTED_VALUE"""),136.57)</f>
        <v>136.57</v>
      </c>
      <c r="AL325" s="26">
        <f>IFERROR(__xludf.DUMMYFUNCTION("""COMPUTED_VALUE"""),178.74)</f>
        <v>178.74</v>
      </c>
      <c r="AM325" s="26">
        <f>IFERROR(__xludf.DUMMYFUNCTION("""COMPUTED_VALUE"""),474.26)</f>
        <v>474.26</v>
      </c>
      <c r="AN325" s="26">
        <f>IFERROR(__xludf.DUMMYFUNCTION("""COMPUTED_VALUE"""),298.57)</f>
        <v>298.57</v>
      </c>
      <c r="AO325" s="26">
        <f>IFERROR(__xludf.DUMMYFUNCTION("""COMPUTED_VALUE"""),455.46)</f>
        <v>455.46</v>
      </c>
      <c r="AP325" s="26">
        <f>IFERROR(__xludf.DUMMYFUNCTION("""COMPUTED_VALUE"""),202.53)</f>
        <v>202.53</v>
      </c>
      <c r="AQ325" s="26">
        <f>IFERROR(__xludf.DUMMYFUNCTION("""COMPUTED_VALUE"""),30.1)</f>
        <v>30.1</v>
      </c>
      <c r="AR325" s="26">
        <f>IFERROR(__xludf.DUMMYFUNCTION("""COMPUTED_VALUE"""),92.18)</f>
        <v>92.18</v>
      </c>
      <c r="AS325" s="26">
        <f>IFERROR(__xludf.DUMMYFUNCTION("""COMPUTED_VALUE"""),81.01)</f>
        <v>81.01</v>
      </c>
      <c r="AT325" s="26">
        <f>IFERROR(__xludf.DUMMYFUNCTION("""COMPUTED_VALUE"""),502.04)</f>
        <v>502.04</v>
      </c>
      <c r="AU325" s="26">
        <f>IFERROR(__xludf.DUMMYFUNCTION("""COMPUTED_VALUE"""),74.84)</f>
        <v>74.84</v>
      </c>
      <c r="AV325" s="26">
        <f>IFERROR(__xludf.DUMMYFUNCTION("""COMPUTED_VALUE"""),181.77)</f>
        <v>181.77</v>
      </c>
      <c r="AW325" s="26">
        <f>IFERROR(__xludf.DUMMYFUNCTION("""COMPUTED_VALUE"""),87.63)</f>
        <v>87.63</v>
      </c>
      <c r="AX325" s="26">
        <f>IFERROR(__xludf.DUMMYFUNCTION("""COMPUTED_VALUE"""),45.18)</f>
        <v>45.18</v>
      </c>
      <c r="AY325" s="26">
        <f>IFERROR(__xludf.DUMMYFUNCTION("""COMPUTED_VALUE"""),160.87)</f>
        <v>160.87</v>
      </c>
      <c r="AZ325" s="26">
        <f>IFERROR(__xludf.DUMMYFUNCTION("""COMPUTED_VALUE"""),70.18)</f>
        <v>70.18</v>
      </c>
      <c r="BA325" s="26">
        <f>IFERROR(__xludf.DUMMYFUNCTION("""COMPUTED_VALUE"""),24.92)</f>
        <v>24.92</v>
      </c>
      <c r="BB325" s="26">
        <f>IFERROR(__xludf.DUMMYFUNCTION("""COMPUTED_VALUE"""),159.57)</f>
        <v>159.57</v>
      </c>
      <c r="BC325" s="26">
        <f>IFERROR(__xludf.DUMMYFUNCTION("""COMPUTED_VALUE"""),251.2)</f>
        <v>251.2</v>
      </c>
      <c r="BD325" s="26">
        <f>IFERROR(__xludf.DUMMYFUNCTION("""COMPUTED_VALUE"""),488.48)</f>
        <v>488.48</v>
      </c>
      <c r="BE325" s="26">
        <f>IFERROR(__xludf.DUMMYFUNCTION("""COMPUTED_VALUE"""),197.35)</f>
        <v>197.35</v>
      </c>
      <c r="BF325" s="26">
        <f>IFERROR(__xludf.DUMMYFUNCTION("""COMPUTED_VALUE"""),115.18)</f>
        <v>115.18</v>
      </c>
      <c r="BG325" s="26">
        <f>IFERROR(__xludf.DUMMYFUNCTION("""COMPUTED_VALUE"""),4.99)</f>
        <v>4.99</v>
      </c>
      <c r="BH325" s="26">
        <f>IFERROR(__xludf.DUMMYFUNCTION("""COMPUTED_VALUE"""),222.74)</f>
        <v>222.74</v>
      </c>
      <c r="BI325" s="26">
        <f>IFERROR(__xludf.DUMMYFUNCTION("""COMPUTED_VALUE"""),300.43)</f>
        <v>300.43</v>
      </c>
      <c r="BJ325" s="26">
        <f>IFERROR(__xludf.DUMMYFUNCTION("""COMPUTED_VALUE"""),50.57)</f>
        <v>50.57</v>
      </c>
      <c r="BK325" s="26">
        <f>IFERROR(__xludf.DUMMYFUNCTION("""COMPUTED_VALUE"""),10.41)</f>
        <v>10.41</v>
      </c>
      <c r="BL325" s="26">
        <f>IFERROR(__xludf.DUMMYFUNCTION("""COMPUTED_VALUE"""),225.25)</f>
        <v>225.25</v>
      </c>
      <c r="BM325" s="26">
        <f>IFERROR(__xludf.DUMMYFUNCTION("""COMPUTED_VALUE"""),117.65)</f>
        <v>117.65</v>
      </c>
    </row>
    <row r="326">
      <c r="A326" s="25">
        <v>45897.66666666667</v>
      </c>
      <c r="B326" s="17">
        <f>IFERROR(__xludf.DUMMYFUNCTION("""COMPUTED_VALUE"""),6481.4)</f>
        <v>6481.4</v>
      </c>
      <c r="C326" s="17">
        <f>IFERROR(__xludf.DUMMYFUNCTION("""COMPUTED_VALUE"""),21590.14)</f>
        <v>21590.14</v>
      </c>
      <c r="D326" s="17">
        <f>IFERROR(__xludf.DUMMYFUNCTION("""COMPUTED_VALUE"""),45565.23)</f>
        <v>45565.23</v>
      </c>
      <c r="E326" s="17">
        <f>IFERROR(__xludf.DUMMYFUNCTION("""COMPUTED_VALUE"""),2373.8)</f>
        <v>2373.8</v>
      </c>
      <c r="F326" s="26">
        <f>IFERROR(__xludf.DUMMYFUNCTION("""COMPUTED_VALUE"""),356.35)</f>
        <v>356.35</v>
      </c>
      <c r="G326" s="26">
        <f>IFERROR(__xludf.DUMMYFUNCTION("""COMPUTED_VALUE"""),229.12)</f>
        <v>229.12</v>
      </c>
      <c r="H326" s="26">
        <f>IFERROR(__xludf.DUMMYFUNCTION("""COMPUTED_VALUE"""),144.75)</f>
        <v>144.75</v>
      </c>
      <c r="I326" s="26">
        <f>IFERROR(__xludf.DUMMYFUNCTION("""COMPUTED_VALUE"""),230.49)</f>
        <v>230.49</v>
      </c>
      <c r="J326" s="26">
        <f>IFERROR(__xludf.DUMMYFUNCTION("""COMPUTED_VALUE"""),164.39)</f>
        <v>164.39</v>
      </c>
      <c r="K326" s="26">
        <f>IFERROR(__xludf.DUMMYFUNCTION("""COMPUTED_VALUE"""),105.03)</f>
        <v>105.03</v>
      </c>
      <c r="L326" s="26">
        <f>IFERROR(__xludf.DUMMYFUNCTION("""COMPUTED_VALUE"""),20.13)</f>
        <v>20.13</v>
      </c>
      <c r="M326" s="26">
        <f>IFERROR(__xludf.DUMMYFUNCTION("""COMPUTED_VALUE"""),495.72)</f>
        <v>495.72</v>
      </c>
      <c r="N326" s="26">
        <f>IFERROR(__xludf.DUMMYFUNCTION("""COMPUTED_VALUE"""),55.87)</f>
        <v>55.87</v>
      </c>
      <c r="O326" s="26">
        <f>IFERROR(__xludf.DUMMYFUNCTION("""COMPUTED_VALUE"""),136.36)</f>
        <v>136.36</v>
      </c>
      <c r="P326" s="26">
        <f>IFERROR(__xludf.DUMMYFUNCTION("""COMPUTED_VALUE"""),67.59)</f>
        <v>67.59</v>
      </c>
      <c r="Q326" s="26">
        <f>IFERROR(__xludf.DUMMYFUNCTION("""COMPUTED_VALUE"""),432.67)</f>
        <v>432.67</v>
      </c>
      <c r="R326" s="26">
        <f>IFERROR(__xludf.DUMMYFUNCTION("""COMPUTED_VALUE"""),75.28)</f>
        <v>75.28</v>
      </c>
      <c r="S326" s="26">
        <f>IFERROR(__xludf.DUMMYFUNCTION("""COMPUTED_VALUE"""),190.67)</f>
        <v>190.67</v>
      </c>
      <c r="T326" s="26">
        <f>IFERROR(__xludf.DUMMYFUNCTION("""COMPUTED_VALUE"""),159.24)</f>
        <v>159.24</v>
      </c>
      <c r="U326" s="26">
        <f>IFERROR(__xludf.DUMMYFUNCTION("""COMPUTED_VALUE"""),299.95)</f>
        <v>299.95</v>
      </c>
      <c r="V326" s="26">
        <f>IFERROR(__xludf.DUMMYFUNCTION("""COMPUTED_VALUE"""),51.9)</f>
        <v>51.9</v>
      </c>
      <c r="W326" s="26">
        <f>IFERROR(__xludf.DUMMYFUNCTION("""COMPUTED_VALUE"""),68.83)</f>
        <v>68.83</v>
      </c>
      <c r="X326" s="26">
        <f>IFERROR(__xludf.DUMMYFUNCTION("""COMPUTED_VALUE"""),100.07)</f>
        <v>100.07</v>
      </c>
      <c r="Y326" s="26">
        <f>IFERROR(__xludf.DUMMYFUNCTION("""COMPUTED_VALUE"""),169.73)</f>
        <v>169.73</v>
      </c>
      <c r="Z326" s="26">
        <f>IFERROR(__xludf.DUMMYFUNCTION("""COMPUTED_VALUE"""),112.86)</f>
        <v>112.86</v>
      </c>
      <c r="AA326" s="26">
        <f>IFERROR(__xludf.DUMMYFUNCTION("""COMPUTED_VALUE"""),452.55)</f>
        <v>452.55</v>
      </c>
      <c r="AB326" s="26">
        <f>IFERROR(__xludf.DUMMYFUNCTION("""COMPUTED_VALUE"""),93.67)</f>
        <v>93.67</v>
      </c>
      <c r="AC326" s="26">
        <f>IFERROR(__xludf.DUMMYFUNCTION("""COMPUTED_VALUE"""),112.75)</f>
        <v>112.75</v>
      </c>
      <c r="AD326" s="26">
        <f>IFERROR(__xludf.DUMMYFUNCTION("""COMPUTED_VALUE"""),232.21)</f>
        <v>232.21</v>
      </c>
      <c r="AE326" s="26">
        <f>IFERROR(__xludf.DUMMYFUNCTION("""COMPUTED_VALUE"""),469.36)</f>
        <v>469.36</v>
      </c>
      <c r="AF326" s="26">
        <f>IFERROR(__xludf.DUMMYFUNCTION("""COMPUTED_VALUE"""),325.46)</f>
        <v>325.46</v>
      </c>
      <c r="AG326" s="26">
        <f>IFERROR(__xludf.DUMMYFUNCTION("""COMPUTED_VALUE"""),58.75)</f>
        <v>58.75</v>
      </c>
      <c r="AH326" s="26">
        <f>IFERROR(__xludf.DUMMYFUNCTION("""COMPUTED_VALUE"""),113.92)</f>
        <v>113.92</v>
      </c>
      <c r="AI326" s="26">
        <f>IFERROR(__xludf.DUMMYFUNCTION("""COMPUTED_VALUE"""),749.67)</f>
        <v>749.67</v>
      </c>
      <c r="AJ326" s="26">
        <f>IFERROR(__xludf.DUMMYFUNCTION("""COMPUTED_VALUE"""),408.24)</f>
        <v>408.24</v>
      </c>
      <c r="AK326" s="26">
        <f>IFERROR(__xludf.DUMMYFUNCTION("""COMPUTED_VALUE"""),138.25)</f>
        <v>138.25</v>
      </c>
      <c r="AL326" s="26">
        <f>IFERROR(__xludf.DUMMYFUNCTION("""COMPUTED_VALUE"""),177.3)</f>
        <v>177.3</v>
      </c>
      <c r="AM326" s="26">
        <f>IFERROR(__xludf.DUMMYFUNCTION("""COMPUTED_VALUE"""),471.15)</f>
        <v>471.15</v>
      </c>
      <c r="AN326" s="26">
        <f>IFERROR(__xludf.DUMMYFUNCTION("""COMPUTED_VALUE"""),299.28)</f>
        <v>299.28</v>
      </c>
      <c r="AO326" s="26">
        <f>IFERROR(__xludf.DUMMYFUNCTION("""COMPUTED_VALUE"""),454.47)</f>
        <v>454.47</v>
      </c>
      <c r="AP326" s="26">
        <f>IFERROR(__xludf.DUMMYFUNCTION("""COMPUTED_VALUE"""),205.57)</f>
        <v>205.57</v>
      </c>
      <c r="AQ326" s="26">
        <f>IFERROR(__xludf.DUMMYFUNCTION("""COMPUTED_VALUE"""),30.32)</f>
        <v>30.32</v>
      </c>
      <c r="AR326" s="26">
        <f>IFERROR(__xludf.DUMMYFUNCTION("""COMPUTED_VALUE"""),92.05)</f>
        <v>92.05</v>
      </c>
      <c r="AS326" s="26">
        <f>IFERROR(__xludf.DUMMYFUNCTION("""COMPUTED_VALUE"""),81.11)</f>
        <v>81.11</v>
      </c>
      <c r="AT326" s="26">
        <f>IFERROR(__xludf.DUMMYFUNCTION("""COMPUTED_VALUE"""),506.74)</f>
        <v>506.74</v>
      </c>
      <c r="AU326" s="26">
        <f>IFERROR(__xludf.DUMMYFUNCTION("""COMPUTED_VALUE"""),73.89)</f>
        <v>73.89</v>
      </c>
      <c r="AV326" s="26">
        <f>IFERROR(__xludf.DUMMYFUNCTION("""COMPUTED_VALUE"""),181.6)</f>
        <v>181.6</v>
      </c>
      <c r="AW326" s="26">
        <f>IFERROR(__xludf.DUMMYFUNCTION("""COMPUTED_VALUE"""),87.72)</f>
        <v>87.72</v>
      </c>
      <c r="AX326" s="26">
        <f>IFERROR(__xludf.DUMMYFUNCTION("""COMPUTED_VALUE"""),45.18)</f>
        <v>45.18</v>
      </c>
      <c r="AY326" s="26">
        <f>IFERROR(__xludf.DUMMYFUNCTION("""COMPUTED_VALUE"""),156.72)</f>
        <v>156.72</v>
      </c>
      <c r="AZ326" s="26">
        <f>IFERROR(__xludf.DUMMYFUNCTION("""COMPUTED_VALUE"""),69.65)</f>
        <v>69.65</v>
      </c>
      <c r="BA326" s="26">
        <f>IFERROR(__xludf.DUMMYFUNCTION("""COMPUTED_VALUE"""),25.07)</f>
        <v>25.07</v>
      </c>
      <c r="BB326" s="26">
        <f>IFERROR(__xludf.DUMMYFUNCTION("""COMPUTED_VALUE"""),159.84)</f>
        <v>159.84</v>
      </c>
      <c r="BC326" s="26">
        <f>IFERROR(__xludf.DUMMYFUNCTION("""COMPUTED_VALUE"""),251.36)</f>
        <v>251.36</v>
      </c>
      <c r="BD326" s="26">
        <f>IFERROR(__xludf.DUMMYFUNCTION("""COMPUTED_VALUE"""),488.12)</f>
        <v>488.12</v>
      </c>
      <c r="BE326" s="26">
        <f>IFERROR(__xludf.DUMMYFUNCTION("""COMPUTED_VALUE"""),196.74)</f>
        <v>196.74</v>
      </c>
      <c r="BF326" s="26">
        <f>IFERROR(__xludf.DUMMYFUNCTION("""COMPUTED_VALUE"""),117.38)</f>
        <v>117.38</v>
      </c>
      <c r="BG326" s="26">
        <f>IFERROR(__xludf.DUMMYFUNCTION("""COMPUTED_VALUE"""),5.04)</f>
        <v>5.04</v>
      </c>
      <c r="BH326" s="26">
        <f>IFERROR(__xludf.DUMMYFUNCTION("""COMPUTED_VALUE"""),220.95)</f>
        <v>220.95</v>
      </c>
      <c r="BI326" s="26">
        <f>IFERROR(__xludf.DUMMYFUNCTION("""COMPUTED_VALUE"""),303.88)</f>
        <v>303.88</v>
      </c>
      <c r="BJ326" s="26">
        <f>IFERROR(__xludf.DUMMYFUNCTION("""COMPUTED_VALUE"""),50.66)</f>
        <v>50.66</v>
      </c>
      <c r="BK326" s="26">
        <f>IFERROR(__xludf.DUMMYFUNCTION("""COMPUTED_VALUE"""),10.42)</f>
        <v>10.42</v>
      </c>
      <c r="BL326" s="26">
        <f>IFERROR(__xludf.DUMMYFUNCTION("""COMPUTED_VALUE"""),225.83)</f>
        <v>225.83</v>
      </c>
      <c r="BM326" s="26">
        <f>IFERROR(__xludf.DUMMYFUNCTION("""COMPUTED_VALUE"""),118.09)</f>
        <v>118.09</v>
      </c>
    </row>
    <row r="327">
      <c r="A327" s="25">
        <v>45898.66666666667</v>
      </c>
      <c r="B327" s="17">
        <f>IFERROR(__xludf.DUMMYFUNCTION("""COMPUTED_VALUE"""),6501.86)</f>
        <v>6501.86</v>
      </c>
      <c r="C327" s="17">
        <f>IFERROR(__xludf.DUMMYFUNCTION("""COMPUTED_VALUE"""),21705.16)</f>
        <v>21705.16</v>
      </c>
      <c r="D327" s="17">
        <f>IFERROR(__xludf.DUMMYFUNCTION("""COMPUTED_VALUE"""),45636.9)</f>
        <v>45636.9</v>
      </c>
      <c r="E327" s="17">
        <f>IFERROR(__xludf.DUMMYFUNCTION("""COMPUTED_VALUE"""),2378.41)</f>
        <v>2378.41</v>
      </c>
      <c r="F327" s="26">
        <f>IFERROR(__xludf.DUMMYFUNCTION("""COMPUTED_VALUE"""),353.96)</f>
        <v>353.96</v>
      </c>
      <c r="G327" s="26">
        <f>IFERROR(__xludf.DUMMYFUNCTION("""COMPUTED_VALUE"""),231.6)</f>
        <v>231.6</v>
      </c>
      <c r="H327" s="26">
        <f>IFERROR(__xludf.DUMMYFUNCTION("""COMPUTED_VALUE"""),142.93)</f>
        <v>142.93</v>
      </c>
      <c r="I327" s="26">
        <f>IFERROR(__xludf.DUMMYFUNCTION("""COMPUTED_VALUE"""),232.56)</f>
        <v>232.56</v>
      </c>
      <c r="J327" s="26">
        <f>IFERROR(__xludf.DUMMYFUNCTION("""COMPUTED_VALUE"""),165.27)</f>
        <v>165.27</v>
      </c>
      <c r="K327" s="26">
        <f>IFERROR(__xludf.DUMMYFUNCTION("""COMPUTED_VALUE"""),106.1)</f>
        <v>106.1</v>
      </c>
      <c r="L327" s="26">
        <f>IFERROR(__xludf.DUMMYFUNCTION("""COMPUTED_VALUE"""),20.03)</f>
        <v>20.03</v>
      </c>
      <c r="M327" s="26">
        <f>IFERROR(__xludf.DUMMYFUNCTION("""COMPUTED_VALUE"""),499.86)</f>
        <v>499.86</v>
      </c>
      <c r="N327" s="26">
        <f>IFERROR(__xludf.DUMMYFUNCTION("""COMPUTED_VALUE"""),56.12)</f>
        <v>56.12</v>
      </c>
      <c r="O327" s="26">
        <f>IFERROR(__xludf.DUMMYFUNCTION("""COMPUTED_VALUE"""),132.65)</f>
        <v>132.65</v>
      </c>
      <c r="P327" s="26">
        <f>IFERROR(__xludf.DUMMYFUNCTION("""COMPUTED_VALUE"""),66.17)</f>
        <v>66.17</v>
      </c>
      <c r="Q327" s="26">
        <f>IFERROR(__xludf.DUMMYFUNCTION("""COMPUTED_VALUE"""),434.91)</f>
        <v>434.91</v>
      </c>
      <c r="R327" s="26">
        <f>IFERROR(__xludf.DUMMYFUNCTION("""COMPUTED_VALUE"""),78.63)</f>
        <v>78.63</v>
      </c>
      <c r="S327" s="26">
        <f>IFERROR(__xludf.DUMMYFUNCTION("""COMPUTED_VALUE"""),191.26)</f>
        <v>191.26</v>
      </c>
      <c r="T327" s="26">
        <f>IFERROR(__xludf.DUMMYFUNCTION("""COMPUTED_VALUE"""),159.32)</f>
        <v>159.32</v>
      </c>
      <c r="U327" s="26">
        <f>IFERROR(__xludf.DUMMYFUNCTION("""COMPUTED_VALUE"""),299.0)</f>
        <v>299</v>
      </c>
      <c r="V327" s="26">
        <f>IFERROR(__xludf.DUMMYFUNCTION("""COMPUTED_VALUE"""),52.16)</f>
        <v>52.16</v>
      </c>
      <c r="W327" s="26">
        <f>IFERROR(__xludf.DUMMYFUNCTION("""COMPUTED_VALUE"""),68.36)</f>
        <v>68.36</v>
      </c>
      <c r="X327" s="26">
        <f>IFERROR(__xludf.DUMMYFUNCTION("""COMPUTED_VALUE"""),98.17)</f>
        <v>98.17</v>
      </c>
      <c r="Y327" s="26">
        <f>IFERROR(__xludf.DUMMYFUNCTION("""COMPUTED_VALUE"""),168.57)</f>
        <v>168.57</v>
      </c>
      <c r="Z327" s="26">
        <f>IFERROR(__xludf.DUMMYFUNCTION("""COMPUTED_VALUE"""),112.5)</f>
        <v>112.5</v>
      </c>
      <c r="AA327" s="26">
        <f>IFERROR(__xludf.DUMMYFUNCTION("""COMPUTED_VALUE"""),448.96)</f>
        <v>448.96</v>
      </c>
      <c r="AB327" s="26">
        <f>IFERROR(__xludf.DUMMYFUNCTION("""COMPUTED_VALUE"""),92.8)</f>
        <v>92.8</v>
      </c>
      <c r="AC327" s="26">
        <f>IFERROR(__xludf.DUMMYFUNCTION("""COMPUTED_VALUE"""),113.35)</f>
        <v>113.35</v>
      </c>
      <c r="AD327" s="26">
        <f>IFERROR(__xludf.DUMMYFUNCTION("""COMPUTED_VALUE"""),231.27)</f>
        <v>231.27</v>
      </c>
      <c r="AE327" s="26">
        <f>IFERROR(__xludf.DUMMYFUNCTION("""COMPUTED_VALUE"""),478.98)</f>
        <v>478.98</v>
      </c>
      <c r="AF327" s="26">
        <f>IFERROR(__xludf.DUMMYFUNCTION("""COMPUTED_VALUE"""),324.91)</f>
        <v>324.91</v>
      </c>
      <c r="AG327" s="26">
        <f>IFERROR(__xludf.DUMMYFUNCTION("""COMPUTED_VALUE"""),58.49)</f>
        <v>58.49</v>
      </c>
      <c r="AH327" s="26">
        <f>IFERROR(__xludf.DUMMYFUNCTION("""COMPUTED_VALUE"""),112.56)</f>
        <v>112.56</v>
      </c>
      <c r="AI327" s="26">
        <f>IFERROR(__xludf.DUMMYFUNCTION("""COMPUTED_VALUE"""),751.22)</f>
        <v>751.22</v>
      </c>
      <c r="AJ327" s="26">
        <f>IFERROR(__xludf.DUMMYFUNCTION("""COMPUTED_VALUE"""),407.45)</f>
        <v>407.45</v>
      </c>
      <c r="AK327" s="26">
        <f>IFERROR(__xludf.DUMMYFUNCTION("""COMPUTED_VALUE"""),135.34)</f>
        <v>135.34</v>
      </c>
      <c r="AL327" s="26">
        <f>IFERROR(__xludf.DUMMYFUNCTION("""COMPUTED_VALUE"""),177.14)</f>
        <v>177.14</v>
      </c>
      <c r="AM327" s="26">
        <f>IFERROR(__xludf.DUMMYFUNCTION("""COMPUTED_VALUE"""),473.84)</f>
        <v>473.84</v>
      </c>
      <c r="AN327" s="26">
        <f>IFERROR(__xludf.DUMMYFUNCTION("""COMPUTED_VALUE"""),301.07)</f>
        <v>301.07</v>
      </c>
      <c r="AO327" s="26">
        <f>IFERROR(__xludf.DUMMYFUNCTION("""COMPUTED_VALUE"""),456.18)</f>
        <v>456.18</v>
      </c>
      <c r="AP327" s="26">
        <f>IFERROR(__xludf.DUMMYFUNCTION("""COMPUTED_VALUE"""),205.08)</f>
        <v>205.08</v>
      </c>
      <c r="AQ327" s="26">
        <f>IFERROR(__xludf.DUMMYFUNCTION("""COMPUTED_VALUE"""),30.67)</f>
        <v>30.67</v>
      </c>
      <c r="AR327" s="26">
        <f>IFERROR(__xludf.DUMMYFUNCTION("""COMPUTED_VALUE"""),91.96)</f>
        <v>91.96</v>
      </c>
      <c r="AS327" s="26">
        <f>IFERROR(__xludf.DUMMYFUNCTION("""COMPUTED_VALUE"""),80.8)</f>
        <v>80.8</v>
      </c>
      <c r="AT327" s="26">
        <f>IFERROR(__xludf.DUMMYFUNCTION("""COMPUTED_VALUE"""),509.64)</f>
        <v>509.64</v>
      </c>
      <c r="AU327" s="26">
        <f>IFERROR(__xludf.DUMMYFUNCTION("""COMPUTED_VALUE"""),72.09)</f>
        <v>72.09</v>
      </c>
      <c r="AV327" s="26">
        <f>IFERROR(__xludf.DUMMYFUNCTION("""COMPUTED_VALUE"""),180.17)</f>
        <v>180.17</v>
      </c>
      <c r="AW327" s="26">
        <f>IFERROR(__xludf.DUMMYFUNCTION("""COMPUTED_VALUE"""),86.25)</f>
        <v>86.25</v>
      </c>
      <c r="AX327" s="26">
        <f>IFERROR(__xludf.DUMMYFUNCTION("""COMPUTED_VALUE"""),44.59)</f>
        <v>44.59</v>
      </c>
      <c r="AY327" s="26">
        <f>IFERROR(__xludf.DUMMYFUNCTION("""COMPUTED_VALUE"""),158.12)</f>
        <v>158.12</v>
      </c>
      <c r="AZ327" s="26">
        <f>IFERROR(__xludf.DUMMYFUNCTION("""COMPUTED_VALUE"""),70.06)</f>
        <v>70.06</v>
      </c>
      <c r="BA327" s="26">
        <f>IFERROR(__xludf.DUMMYFUNCTION("""COMPUTED_VALUE"""),24.6)</f>
        <v>24.6</v>
      </c>
      <c r="BB327" s="26">
        <f>IFERROR(__xludf.DUMMYFUNCTION("""COMPUTED_VALUE"""),160.66)</f>
        <v>160.66</v>
      </c>
      <c r="BC327" s="26">
        <f>IFERROR(__xludf.DUMMYFUNCTION("""COMPUTED_VALUE"""),250.56)</f>
        <v>250.56</v>
      </c>
      <c r="BD327" s="26">
        <f>IFERROR(__xludf.DUMMYFUNCTION("""COMPUTED_VALUE"""),489.74)</f>
        <v>489.74</v>
      </c>
      <c r="BE327" s="26">
        <f>IFERROR(__xludf.DUMMYFUNCTION("""COMPUTED_VALUE"""),198.25)</f>
        <v>198.25</v>
      </c>
      <c r="BF327" s="26">
        <f>IFERROR(__xludf.DUMMYFUNCTION("""COMPUTED_VALUE"""),116.73)</f>
        <v>116.73</v>
      </c>
      <c r="BG327" s="26">
        <f>IFERROR(__xludf.DUMMYFUNCTION("""COMPUTED_VALUE"""),5.02)</f>
        <v>5.02</v>
      </c>
      <c r="BH327" s="26">
        <f>IFERROR(__xludf.DUMMYFUNCTION("""COMPUTED_VALUE"""),222.35)</f>
        <v>222.35</v>
      </c>
      <c r="BI327" s="26">
        <f>IFERROR(__xludf.DUMMYFUNCTION("""COMPUTED_VALUE"""),302.29)</f>
        <v>302.29</v>
      </c>
      <c r="BJ327" s="26">
        <f>IFERROR(__xludf.DUMMYFUNCTION("""COMPUTED_VALUE"""),50.65)</f>
        <v>50.65</v>
      </c>
      <c r="BK327" s="26">
        <f>IFERROR(__xludf.DUMMYFUNCTION("""COMPUTED_VALUE"""),10.41)</f>
        <v>10.41</v>
      </c>
      <c r="BL327" s="26">
        <f>IFERROR(__xludf.DUMMYFUNCTION("""COMPUTED_VALUE"""),224.58)</f>
        <v>224.58</v>
      </c>
      <c r="BM327" s="26">
        <f>IFERROR(__xludf.DUMMYFUNCTION("""COMPUTED_VALUE"""),117.64)</f>
        <v>117.64</v>
      </c>
      <c r="BN327" s="27">
        <v>34410.0</v>
      </c>
    </row>
    <row r="328">
      <c r="A328" s="25">
        <v>45902.66666666667</v>
      </c>
      <c r="B328" s="17">
        <f>IFERROR(__xludf.DUMMYFUNCTION("""COMPUTED_VALUE"""),6460.26)</f>
        <v>6460.26</v>
      </c>
      <c r="C328" s="17">
        <f>IFERROR(__xludf.DUMMYFUNCTION("""COMPUTED_VALUE"""),21455.55)</f>
        <v>21455.55</v>
      </c>
      <c r="D328" s="17">
        <f>IFERROR(__xludf.DUMMYFUNCTION("""COMPUTED_VALUE"""),45544.88)</f>
        <v>45544.88</v>
      </c>
      <c r="E328" s="17">
        <f>IFERROR(__xludf.DUMMYFUNCTION("""COMPUTED_VALUE"""),2366.42)</f>
        <v>2366.42</v>
      </c>
      <c r="F328" s="26">
        <f>IFERROR(__xludf.DUMMYFUNCTION("""COMPUTED_VALUE"""),356.7)</f>
        <v>356.7</v>
      </c>
      <c r="G328" s="26">
        <f>IFERROR(__xludf.DUMMYFUNCTION("""COMPUTED_VALUE"""),229.0)</f>
        <v>229</v>
      </c>
      <c r="H328" s="26">
        <f>IFERROR(__xludf.DUMMYFUNCTION("""COMPUTED_VALUE"""),143.51)</f>
        <v>143.51</v>
      </c>
      <c r="I328" s="26">
        <f>IFERROR(__xludf.DUMMYFUNCTION("""COMPUTED_VALUE"""),232.14)</f>
        <v>232.14</v>
      </c>
      <c r="J328" s="26">
        <f>IFERROR(__xludf.DUMMYFUNCTION("""COMPUTED_VALUE"""),160.76)</f>
        <v>160.76</v>
      </c>
      <c r="K328" s="26">
        <f>IFERROR(__xludf.DUMMYFUNCTION("""COMPUTED_VALUE"""),105.6)</f>
        <v>105.6</v>
      </c>
      <c r="L328" s="26">
        <f>IFERROR(__xludf.DUMMYFUNCTION("""COMPUTED_VALUE"""),19.63)</f>
        <v>19.63</v>
      </c>
      <c r="M328" s="26">
        <f>IFERROR(__xludf.DUMMYFUNCTION("""COMPUTED_VALUE"""),502.98)</f>
        <v>502.98</v>
      </c>
      <c r="N328" s="26">
        <f>IFERROR(__xludf.DUMMYFUNCTION("""COMPUTED_VALUE"""),55.77)</f>
        <v>55.77</v>
      </c>
      <c r="O328" s="26">
        <f>IFERROR(__xludf.DUMMYFUNCTION("""COMPUTED_VALUE"""),132.22)</f>
        <v>132.22</v>
      </c>
      <c r="P328" s="26">
        <f>IFERROR(__xludf.DUMMYFUNCTION("""COMPUTED_VALUE"""),65.2)</f>
        <v>65.2</v>
      </c>
      <c r="Q328" s="26">
        <f>IFERROR(__xludf.DUMMYFUNCTION("""COMPUTED_VALUE"""),419.04)</f>
        <v>419.04</v>
      </c>
      <c r="R328" s="26">
        <f>IFERROR(__xludf.DUMMYFUNCTION("""COMPUTED_VALUE"""),77.39)</f>
        <v>77.39</v>
      </c>
      <c r="S328" s="26">
        <f>IFERROR(__xludf.DUMMYFUNCTION("""COMPUTED_VALUE"""),193.14)</f>
        <v>193.14</v>
      </c>
      <c r="T328" s="26">
        <f>IFERROR(__xludf.DUMMYFUNCTION("""COMPUTED_VALUE"""),160.6)</f>
        <v>160.6</v>
      </c>
      <c r="U328" s="26">
        <f>IFERROR(__xludf.DUMMYFUNCTION("""COMPUTED_VALUE"""),300.87)</f>
        <v>300.87</v>
      </c>
      <c r="V328" s="26">
        <f>IFERROR(__xludf.DUMMYFUNCTION("""COMPUTED_VALUE"""),52.28)</f>
        <v>52.28</v>
      </c>
      <c r="W328" s="26">
        <f>IFERROR(__xludf.DUMMYFUNCTION("""COMPUTED_VALUE"""),68.99)</f>
        <v>68.99</v>
      </c>
      <c r="X328" s="26">
        <f>IFERROR(__xludf.DUMMYFUNCTION("""COMPUTED_VALUE"""),98.23)</f>
        <v>98.23</v>
      </c>
      <c r="Y328" s="26">
        <f>IFERROR(__xludf.DUMMYFUNCTION("""COMPUTED_VALUE"""),167.64)</f>
        <v>167.64</v>
      </c>
      <c r="Z328" s="26">
        <f>IFERROR(__xludf.DUMMYFUNCTION("""COMPUTED_VALUE"""),109.17)</f>
        <v>109.17</v>
      </c>
      <c r="AA328" s="26">
        <f>IFERROR(__xludf.DUMMYFUNCTION("""COMPUTED_VALUE"""),458.3)</f>
        <v>458.3</v>
      </c>
      <c r="AB328" s="26">
        <f>IFERROR(__xludf.DUMMYFUNCTION("""COMPUTED_VALUE"""),90.61)</f>
        <v>90.61</v>
      </c>
      <c r="AC328" s="26">
        <f>IFERROR(__xludf.DUMMYFUNCTION("""COMPUTED_VALUE"""),114.29)</f>
        <v>114.29</v>
      </c>
      <c r="AD328" s="26">
        <f>IFERROR(__xludf.DUMMYFUNCTION("""COMPUTED_VALUE"""),231.07)</f>
        <v>231.07</v>
      </c>
      <c r="AE328" s="26">
        <f>IFERROR(__xludf.DUMMYFUNCTION("""COMPUTED_VALUE"""),477.21)</f>
        <v>477.21</v>
      </c>
      <c r="AF328" s="26">
        <f>IFERROR(__xludf.DUMMYFUNCTION("""COMPUTED_VALUE"""),324.57)</f>
        <v>324.57</v>
      </c>
      <c r="AG328" s="26">
        <f>IFERROR(__xludf.DUMMYFUNCTION("""COMPUTED_VALUE"""),58.59)</f>
        <v>58.59</v>
      </c>
      <c r="AH328" s="26">
        <f>IFERROR(__xludf.DUMMYFUNCTION("""COMPUTED_VALUE"""),112.97)</f>
        <v>112.97</v>
      </c>
      <c r="AI328" s="26">
        <f>IFERROR(__xludf.DUMMYFUNCTION("""COMPUTED_VALUE"""),745.25)</f>
        <v>745.25</v>
      </c>
      <c r="AJ328" s="26">
        <f>IFERROR(__xludf.DUMMYFUNCTION("""COMPUTED_VALUE"""),406.77)</f>
        <v>406.77</v>
      </c>
      <c r="AK328" s="26">
        <f>IFERROR(__xludf.DUMMYFUNCTION("""COMPUTED_VALUE"""),136.96)</f>
        <v>136.96</v>
      </c>
      <c r="AL328" s="26">
        <f>IFERROR(__xludf.DUMMYFUNCTION("""COMPUTED_VALUE"""),176.6)</f>
        <v>176.6</v>
      </c>
      <c r="AM328" s="26">
        <f>IFERROR(__xludf.DUMMYFUNCTION("""COMPUTED_VALUE"""),473.3)</f>
        <v>473.3</v>
      </c>
      <c r="AN328" s="26">
        <f>IFERROR(__xludf.DUMMYFUNCTION("""COMPUTED_VALUE"""),301.42)</f>
        <v>301.42</v>
      </c>
      <c r="AO328" s="26">
        <f>IFERROR(__xludf.DUMMYFUNCTION("""COMPUTED_VALUE"""),455.63)</f>
        <v>455.63</v>
      </c>
      <c r="AP328" s="26">
        <f>IFERROR(__xludf.DUMMYFUNCTION("""COMPUTED_VALUE"""),202.2)</f>
        <v>202.2</v>
      </c>
      <c r="AQ328" s="26">
        <f>IFERROR(__xludf.DUMMYFUNCTION("""COMPUTED_VALUE"""),30.75)</f>
        <v>30.75</v>
      </c>
      <c r="AR328" s="26">
        <f>IFERROR(__xludf.DUMMYFUNCTION("""COMPUTED_VALUE"""),92.81)</f>
        <v>92.81</v>
      </c>
      <c r="AS328" s="26">
        <f>IFERROR(__xludf.DUMMYFUNCTION("""COMPUTED_VALUE"""),81.36)</f>
        <v>81.36</v>
      </c>
      <c r="AT328" s="26">
        <f>IFERROR(__xludf.DUMMYFUNCTION("""COMPUTED_VALUE"""),506.69)</f>
        <v>506.69</v>
      </c>
      <c r="AU328" s="26">
        <f>IFERROR(__xludf.DUMMYFUNCTION("""COMPUTED_VALUE"""),72.05)</f>
        <v>72.05</v>
      </c>
      <c r="AV328" s="26">
        <f>IFERROR(__xludf.DUMMYFUNCTION("""COMPUTED_VALUE"""),174.18)</f>
        <v>174.18</v>
      </c>
      <c r="AW328" s="26">
        <f>IFERROR(__xludf.DUMMYFUNCTION("""COMPUTED_VALUE"""),86.38)</f>
        <v>86.38</v>
      </c>
      <c r="AX328" s="26">
        <f>IFERROR(__xludf.DUMMYFUNCTION("""COMPUTED_VALUE"""),45.08)</f>
        <v>45.08</v>
      </c>
      <c r="AY328" s="26">
        <f>IFERROR(__xludf.DUMMYFUNCTION("""COMPUTED_VALUE"""),156.71)</f>
        <v>156.71</v>
      </c>
      <c r="AZ328" s="26">
        <f>IFERROR(__xludf.DUMMYFUNCTION("""COMPUTED_VALUE"""),70.19)</f>
        <v>70.19</v>
      </c>
      <c r="BA328" s="26">
        <f>IFERROR(__xludf.DUMMYFUNCTION("""COMPUTED_VALUE"""),24.76)</f>
        <v>24.76</v>
      </c>
      <c r="BB328" s="26">
        <f>IFERROR(__xludf.DUMMYFUNCTION("""COMPUTED_VALUE"""),158.6)</f>
        <v>158.6</v>
      </c>
      <c r="BC328" s="26">
        <f>IFERROR(__xludf.DUMMYFUNCTION("""COMPUTED_VALUE"""),251.99)</f>
        <v>251.99</v>
      </c>
      <c r="BD328" s="26">
        <f>IFERROR(__xludf.DUMMYFUNCTION("""COMPUTED_VALUE"""),492.72)</f>
        <v>492.72</v>
      </c>
      <c r="BE328" s="26">
        <f>IFERROR(__xludf.DUMMYFUNCTION("""COMPUTED_VALUE"""),194.57)</f>
        <v>194.57</v>
      </c>
      <c r="BF328" s="26">
        <f>IFERROR(__xludf.DUMMYFUNCTION("""COMPUTED_VALUE"""),114.96)</f>
        <v>114.96</v>
      </c>
      <c r="BG328" s="26">
        <f>IFERROR(__xludf.DUMMYFUNCTION("""COMPUTED_VALUE"""),5.0)</f>
        <v>5</v>
      </c>
      <c r="BH328" s="26">
        <f>IFERROR(__xludf.DUMMYFUNCTION("""COMPUTED_VALUE"""),223.57)</f>
        <v>223.57</v>
      </c>
      <c r="BI328" s="26">
        <f>IFERROR(__xludf.DUMMYFUNCTION("""COMPUTED_VALUE"""),309.87)</f>
        <v>309.87</v>
      </c>
      <c r="BJ328" s="26">
        <f>IFERROR(__xludf.DUMMYFUNCTION("""COMPUTED_VALUE"""),50.68)</f>
        <v>50.68</v>
      </c>
      <c r="BK328" s="26">
        <f>IFERROR(__xludf.DUMMYFUNCTION("""COMPUTED_VALUE"""),10.55)</f>
        <v>10.55</v>
      </c>
      <c r="BL328" s="26">
        <f>IFERROR(__xludf.DUMMYFUNCTION("""COMPUTED_VALUE"""),226.39)</f>
        <v>226.39</v>
      </c>
      <c r="BM328" s="26">
        <f>IFERROR(__xludf.DUMMYFUNCTION("""COMPUTED_VALUE"""),118.38)</f>
        <v>118.38</v>
      </c>
    </row>
    <row r="329">
      <c r="A329" s="25">
        <v>45903.66666666667</v>
      </c>
      <c r="B329" s="17">
        <f>IFERROR(__xludf.DUMMYFUNCTION("""COMPUTED_VALUE"""),6415.54)</f>
        <v>6415.54</v>
      </c>
      <c r="C329" s="17">
        <f>IFERROR(__xludf.DUMMYFUNCTION("""COMPUTED_VALUE"""),21279.63)</f>
        <v>21279.63</v>
      </c>
      <c r="D329" s="17">
        <f>IFERROR(__xludf.DUMMYFUNCTION("""COMPUTED_VALUE"""),45295.81)</f>
        <v>45295.81</v>
      </c>
      <c r="E329" s="17">
        <f>IFERROR(__xludf.DUMMYFUNCTION("""COMPUTED_VALUE"""),2352.21)</f>
        <v>2352.21</v>
      </c>
      <c r="F329" s="26">
        <f>IFERROR(__xludf.DUMMYFUNCTION("""COMPUTED_VALUE"""),345.63)</f>
        <v>345.63</v>
      </c>
      <c r="G329" s="26">
        <f>IFERROR(__xludf.DUMMYFUNCTION("""COMPUTED_VALUE"""),225.34)</f>
        <v>225.34</v>
      </c>
      <c r="H329" s="26">
        <f>IFERROR(__xludf.DUMMYFUNCTION("""COMPUTED_VALUE"""),141.41)</f>
        <v>141.41</v>
      </c>
      <c r="I329" s="26">
        <f>IFERROR(__xludf.DUMMYFUNCTION("""COMPUTED_VALUE"""),229.72)</f>
        <v>229.72</v>
      </c>
      <c r="J329" s="26">
        <f>IFERROR(__xludf.DUMMYFUNCTION("""COMPUTED_VALUE"""),157.57)</f>
        <v>157.57</v>
      </c>
      <c r="K329" s="26">
        <f>IFERROR(__xludf.DUMMYFUNCTION("""COMPUTED_VALUE"""),104.7)</f>
        <v>104.7</v>
      </c>
      <c r="L329" s="26">
        <f>IFERROR(__xludf.DUMMYFUNCTION("""COMPUTED_VALUE"""),19.56)</f>
        <v>19.56</v>
      </c>
      <c r="M329" s="26">
        <f>IFERROR(__xludf.DUMMYFUNCTION("""COMPUTED_VALUE"""),501.14)</f>
        <v>501.14</v>
      </c>
      <c r="N329" s="26">
        <f>IFERROR(__xludf.DUMMYFUNCTION("""COMPUTED_VALUE"""),55.67)</f>
        <v>55.67</v>
      </c>
      <c r="O329" s="26">
        <f>IFERROR(__xludf.DUMMYFUNCTION("""COMPUTED_VALUE"""),139.63)</f>
        <v>139.63</v>
      </c>
      <c r="P329" s="26">
        <f>IFERROR(__xludf.DUMMYFUNCTION("""COMPUTED_VALUE"""),63.5)</f>
        <v>63.5</v>
      </c>
      <c r="Q329" s="26">
        <f>IFERROR(__xludf.DUMMYFUNCTION("""COMPUTED_VALUE"""),416.05)</f>
        <v>416.05</v>
      </c>
      <c r="R329" s="26">
        <f>IFERROR(__xludf.DUMMYFUNCTION("""COMPUTED_VALUE"""),75.42)</f>
        <v>75.42</v>
      </c>
      <c r="S329" s="26">
        <f>IFERROR(__xludf.DUMMYFUNCTION("""COMPUTED_VALUE"""),190.16)</f>
        <v>190.16</v>
      </c>
      <c r="T329" s="26">
        <f>IFERROR(__xludf.DUMMYFUNCTION("""COMPUTED_VALUE"""),161.83)</f>
        <v>161.83</v>
      </c>
      <c r="U329" s="26">
        <f>IFERROR(__xludf.DUMMYFUNCTION("""COMPUTED_VALUE"""),300.72)</f>
        <v>300.72</v>
      </c>
      <c r="V329" s="26">
        <f>IFERROR(__xludf.DUMMYFUNCTION("""COMPUTED_VALUE"""),51.6)</f>
        <v>51.6</v>
      </c>
      <c r="W329" s="26">
        <f>IFERROR(__xludf.DUMMYFUNCTION("""COMPUTED_VALUE"""),69.06)</f>
        <v>69.06</v>
      </c>
      <c r="X329" s="26">
        <f>IFERROR(__xludf.DUMMYFUNCTION("""COMPUTED_VALUE"""),97.2)</f>
        <v>97.2</v>
      </c>
      <c r="Y329" s="26">
        <f>IFERROR(__xludf.DUMMYFUNCTION("""COMPUTED_VALUE"""),162.95)</f>
        <v>162.95</v>
      </c>
      <c r="Z329" s="26">
        <f>IFERROR(__xludf.DUMMYFUNCTION("""COMPUTED_VALUE"""),111.35)</f>
        <v>111.35</v>
      </c>
      <c r="AA329" s="26">
        <f>IFERROR(__xludf.DUMMYFUNCTION("""COMPUTED_VALUE"""),467.3)</f>
        <v>467.3</v>
      </c>
      <c r="AB329" s="26">
        <f>IFERROR(__xludf.DUMMYFUNCTION("""COMPUTED_VALUE"""),89.89)</f>
        <v>89.89</v>
      </c>
      <c r="AC329" s="26">
        <f>IFERROR(__xludf.DUMMYFUNCTION("""COMPUTED_VALUE"""),114.69)</f>
        <v>114.69</v>
      </c>
      <c r="AD329" s="26">
        <f>IFERROR(__xludf.DUMMYFUNCTION("""COMPUTED_VALUE"""),224.18)</f>
        <v>224.18</v>
      </c>
      <c r="AE329" s="26">
        <f>IFERROR(__xludf.DUMMYFUNCTION("""COMPUTED_VALUE"""),492.08)</f>
        <v>492.08</v>
      </c>
      <c r="AF329" s="26">
        <f>IFERROR(__xludf.DUMMYFUNCTION("""COMPUTED_VALUE"""),324.39)</f>
        <v>324.39</v>
      </c>
      <c r="AG329" s="26">
        <f>IFERROR(__xludf.DUMMYFUNCTION("""COMPUTED_VALUE"""),58.53)</f>
        <v>58.53</v>
      </c>
      <c r="AH329" s="26">
        <f>IFERROR(__xludf.DUMMYFUNCTION("""COMPUTED_VALUE"""),112.71)</f>
        <v>112.71</v>
      </c>
      <c r="AI329" s="26">
        <f>IFERROR(__xludf.DUMMYFUNCTION("""COMPUTED_VALUE"""),730.85)</f>
        <v>730.85</v>
      </c>
      <c r="AJ329" s="26">
        <f>IFERROR(__xludf.DUMMYFUNCTION("""COMPUTED_VALUE"""),406.31)</f>
        <v>406.31</v>
      </c>
      <c r="AK329" s="26">
        <f>IFERROR(__xludf.DUMMYFUNCTION("""COMPUTED_VALUE"""),137.73)</f>
        <v>137.73</v>
      </c>
      <c r="AL329" s="26">
        <f>IFERROR(__xludf.DUMMYFUNCTION("""COMPUTED_VALUE"""),175.09)</f>
        <v>175.09</v>
      </c>
      <c r="AM329" s="26">
        <f>IFERROR(__xludf.DUMMYFUNCTION("""COMPUTED_VALUE"""),469.07)</f>
        <v>469.07</v>
      </c>
      <c r="AN329" s="26">
        <f>IFERROR(__xludf.DUMMYFUNCTION("""COMPUTED_VALUE"""),299.7)</f>
        <v>299.7</v>
      </c>
      <c r="AO329" s="26">
        <f>IFERROR(__xludf.DUMMYFUNCTION("""COMPUTED_VALUE"""),452.5)</f>
        <v>452.5</v>
      </c>
      <c r="AP329" s="26">
        <f>IFERROR(__xludf.DUMMYFUNCTION("""COMPUTED_VALUE"""),200.21)</f>
        <v>200.21</v>
      </c>
      <c r="AQ329" s="26">
        <f>IFERROR(__xludf.DUMMYFUNCTION("""COMPUTED_VALUE"""),30.48)</f>
        <v>30.48</v>
      </c>
      <c r="AR329" s="26">
        <f>IFERROR(__xludf.DUMMYFUNCTION("""COMPUTED_VALUE"""),93.33)</f>
        <v>93.33</v>
      </c>
      <c r="AS329" s="26">
        <f>IFERROR(__xludf.DUMMYFUNCTION("""COMPUTED_VALUE"""),80.56)</f>
        <v>80.56</v>
      </c>
      <c r="AT329" s="26">
        <f>IFERROR(__xludf.DUMMYFUNCTION("""COMPUTED_VALUE"""),505.12)</f>
        <v>505.12</v>
      </c>
      <c r="AU329" s="26">
        <f>IFERROR(__xludf.DUMMYFUNCTION("""COMPUTED_VALUE"""),72.65)</f>
        <v>72.65</v>
      </c>
      <c r="AV329" s="26">
        <f>IFERROR(__xludf.DUMMYFUNCTION("""COMPUTED_VALUE"""),170.78)</f>
        <v>170.78</v>
      </c>
      <c r="AW329" s="26">
        <f>IFERROR(__xludf.DUMMYFUNCTION("""COMPUTED_VALUE"""),85.77)</f>
        <v>85.77</v>
      </c>
      <c r="AX329" s="26">
        <f>IFERROR(__xludf.DUMMYFUNCTION("""COMPUTED_VALUE"""),44.79)</f>
        <v>44.79</v>
      </c>
      <c r="AY329" s="26">
        <f>IFERROR(__xludf.DUMMYFUNCTION("""COMPUTED_VALUE"""),157.09)</f>
        <v>157.09</v>
      </c>
      <c r="AZ329" s="26">
        <f>IFERROR(__xludf.DUMMYFUNCTION("""COMPUTED_VALUE"""),69.25)</f>
        <v>69.25</v>
      </c>
      <c r="BA329" s="26">
        <f>IFERROR(__xludf.DUMMYFUNCTION("""COMPUTED_VALUE"""),24.98)</f>
        <v>24.98</v>
      </c>
      <c r="BB329" s="26">
        <f>IFERROR(__xludf.DUMMYFUNCTION("""COMPUTED_VALUE"""),158.01)</f>
        <v>158.01</v>
      </c>
      <c r="BC329" s="26">
        <f>IFERROR(__xludf.DUMMYFUNCTION("""COMPUTED_VALUE"""),255.89)</f>
        <v>255.89</v>
      </c>
      <c r="BD329" s="26">
        <f>IFERROR(__xludf.DUMMYFUNCTION("""COMPUTED_VALUE"""),487.53)</f>
        <v>487.53</v>
      </c>
      <c r="BE329" s="26">
        <f>IFERROR(__xludf.DUMMYFUNCTION("""COMPUTED_VALUE"""),193.57)</f>
        <v>193.57</v>
      </c>
      <c r="BF329" s="26">
        <f>IFERROR(__xludf.DUMMYFUNCTION("""COMPUTED_VALUE"""),111.55)</f>
        <v>111.55</v>
      </c>
      <c r="BG329" s="26">
        <f>IFERROR(__xludf.DUMMYFUNCTION("""COMPUTED_VALUE"""),5.03)</f>
        <v>5.03</v>
      </c>
      <c r="BH329" s="26">
        <f>IFERROR(__xludf.DUMMYFUNCTION("""COMPUTED_VALUE"""),221.99)</f>
        <v>221.99</v>
      </c>
      <c r="BI329" s="26">
        <f>IFERROR(__xludf.DUMMYFUNCTION("""COMPUTED_VALUE"""),308.8)</f>
        <v>308.8</v>
      </c>
      <c r="BJ329" s="26">
        <f>IFERROR(__xludf.DUMMYFUNCTION("""COMPUTED_VALUE"""),50.63)</f>
        <v>50.63</v>
      </c>
      <c r="BK329" s="26">
        <f>IFERROR(__xludf.DUMMYFUNCTION("""COMPUTED_VALUE"""),10.56)</f>
        <v>10.56</v>
      </c>
      <c r="BL329" s="26">
        <f>IFERROR(__xludf.DUMMYFUNCTION("""COMPUTED_VALUE"""),225.73)</f>
        <v>225.73</v>
      </c>
      <c r="BM329" s="26">
        <f>IFERROR(__xludf.DUMMYFUNCTION("""COMPUTED_VALUE"""),118.27)</f>
        <v>118.27</v>
      </c>
    </row>
    <row r="330">
      <c r="A330" s="25">
        <v>45904.66666666667</v>
      </c>
      <c r="B330" s="17">
        <f>IFERROR(__xludf.DUMMYFUNCTION("""COMPUTED_VALUE"""),6448.26)</f>
        <v>6448.26</v>
      </c>
      <c r="C330" s="17">
        <f>IFERROR(__xludf.DUMMYFUNCTION("""COMPUTED_VALUE"""),21497.73)</f>
        <v>21497.73</v>
      </c>
      <c r="D330" s="17">
        <f>IFERROR(__xludf.DUMMYFUNCTION("""COMPUTED_VALUE"""),45271.23)</f>
        <v>45271.23</v>
      </c>
      <c r="E330" s="17">
        <f>IFERROR(__xludf.DUMMYFUNCTION("""COMPUTED_VALUE"""),2349.97)</f>
        <v>2349.97</v>
      </c>
      <c r="F330" s="26">
        <f>IFERROR(__xludf.DUMMYFUNCTION("""COMPUTED_VALUE"""),348.5)</f>
        <v>348.5</v>
      </c>
      <c r="G330" s="26">
        <f>IFERROR(__xludf.DUMMYFUNCTION("""COMPUTED_VALUE"""),225.99)</f>
        <v>225.99</v>
      </c>
      <c r="H330" s="26">
        <f>IFERROR(__xludf.DUMMYFUNCTION("""COMPUTED_VALUE"""),140.7)</f>
        <v>140.7</v>
      </c>
      <c r="I330" s="26">
        <f>IFERROR(__xludf.DUMMYFUNCTION("""COMPUTED_VALUE"""),238.47)</f>
        <v>238.47</v>
      </c>
      <c r="J330" s="26">
        <f>IFERROR(__xludf.DUMMYFUNCTION("""COMPUTED_VALUE"""),156.25)</f>
        <v>156.25</v>
      </c>
      <c r="K330" s="26">
        <f>IFERROR(__xludf.DUMMYFUNCTION("""COMPUTED_VALUE"""),104.68)</f>
        <v>104.68</v>
      </c>
      <c r="L330" s="26">
        <f>IFERROR(__xludf.DUMMYFUNCTION("""COMPUTED_VALUE"""),19.68)</f>
        <v>19.68</v>
      </c>
      <c r="M330" s="26">
        <f>IFERROR(__xludf.DUMMYFUNCTION("""COMPUTED_VALUE"""),501.49)</f>
        <v>501.49</v>
      </c>
      <c r="N330" s="26">
        <f>IFERROR(__xludf.DUMMYFUNCTION("""COMPUTED_VALUE"""),55.89)</f>
        <v>55.89</v>
      </c>
      <c r="O330" s="26">
        <f>IFERROR(__xludf.DUMMYFUNCTION("""COMPUTED_VALUE"""),141.62)</f>
        <v>141.62</v>
      </c>
      <c r="P330" s="26">
        <f>IFERROR(__xludf.DUMMYFUNCTION("""COMPUTED_VALUE"""),62.47)</f>
        <v>62.47</v>
      </c>
      <c r="Q330" s="26">
        <f>IFERROR(__xludf.DUMMYFUNCTION("""COMPUTED_VALUE"""),415.12)</f>
        <v>415.12</v>
      </c>
      <c r="R330" s="26">
        <f>IFERROR(__xludf.DUMMYFUNCTION("""COMPUTED_VALUE"""),77.17)</f>
        <v>77.17</v>
      </c>
      <c r="S330" s="26">
        <f>IFERROR(__xludf.DUMMYFUNCTION("""COMPUTED_VALUE"""),191.47)</f>
        <v>191.47</v>
      </c>
      <c r="T330" s="26">
        <f>IFERROR(__xludf.DUMMYFUNCTION("""COMPUTED_VALUE"""),158.06)</f>
        <v>158.06</v>
      </c>
      <c r="U330" s="26">
        <f>IFERROR(__xludf.DUMMYFUNCTION("""COMPUTED_VALUE"""),300.48)</f>
        <v>300.48</v>
      </c>
      <c r="V330" s="26">
        <f>IFERROR(__xludf.DUMMYFUNCTION("""COMPUTED_VALUE"""),51.67)</f>
        <v>51.67</v>
      </c>
      <c r="W330" s="26">
        <f>IFERROR(__xludf.DUMMYFUNCTION("""COMPUTED_VALUE"""),68.99)</f>
        <v>68.99</v>
      </c>
      <c r="X330" s="26">
        <f>IFERROR(__xludf.DUMMYFUNCTION("""COMPUTED_VALUE"""),97.85)</f>
        <v>97.85</v>
      </c>
      <c r="Y330" s="26">
        <f>IFERROR(__xludf.DUMMYFUNCTION("""COMPUTED_VALUE"""),161.5)</f>
        <v>161.5</v>
      </c>
      <c r="Z330" s="26">
        <f>IFERROR(__xludf.DUMMYFUNCTION("""COMPUTED_VALUE"""),102.03)</f>
        <v>102.03</v>
      </c>
      <c r="AA330" s="26">
        <f>IFERROR(__xludf.DUMMYFUNCTION("""COMPUTED_VALUE"""),466.6)</f>
        <v>466.6</v>
      </c>
      <c r="AB330" s="26">
        <f>IFERROR(__xludf.DUMMYFUNCTION("""COMPUTED_VALUE"""),90.16)</f>
        <v>90.16</v>
      </c>
      <c r="AC330" s="26">
        <f>IFERROR(__xludf.DUMMYFUNCTION("""COMPUTED_VALUE"""),111.91)</f>
        <v>111.91</v>
      </c>
      <c r="AD330" s="26">
        <f>IFERROR(__xludf.DUMMYFUNCTION("""COMPUTED_VALUE"""),225.34)</f>
        <v>225.34</v>
      </c>
      <c r="AE330" s="26">
        <f>IFERROR(__xludf.DUMMYFUNCTION("""COMPUTED_VALUE"""),494.82)</f>
        <v>494.82</v>
      </c>
      <c r="AF330" s="26">
        <f>IFERROR(__xludf.DUMMYFUNCTION("""COMPUTED_VALUE"""),322.81)</f>
        <v>322.81</v>
      </c>
      <c r="AG330" s="26">
        <f>IFERROR(__xludf.DUMMYFUNCTION("""COMPUTED_VALUE"""),57.75)</f>
        <v>57.75</v>
      </c>
      <c r="AH330" s="26">
        <f>IFERROR(__xludf.DUMMYFUNCTION("""COMPUTED_VALUE"""),112.99)</f>
        <v>112.99</v>
      </c>
      <c r="AI330" s="26">
        <f>IFERROR(__xludf.DUMMYFUNCTION("""COMPUTED_VALUE"""),730.56)</f>
        <v>730.56</v>
      </c>
      <c r="AJ330" s="26">
        <f>IFERROR(__xludf.DUMMYFUNCTION("""COMPUTED_VALUE"""),407.71)</f>
        <v>407.71</v>
      </c>
      <c r="AK330" s="26">
        <f>IFERROR(__xludf.DUMMYFUNCTION("""COMPUTED_VALUE"""),137.95)</f>
        <v>137.95</v>
      </c>
      <c r="AL330" s="26">
        <f>IFERROR(__xludf.DUMMYFUNCTION("""COMPUTED_VALUE"""),175.13)</f>
        <v>175.13</v>
      </c>
      <c r="AM330" s="26">
        <f>IFERROR(__xludf.DUMMYFUNCTION("""COMPUTED_VALUE"""),441.18)</f>
        <v>441.18</v>
      </c>
      <c r="AN330" s="26">
        <f>IFERROR(__xludf.DUMMYFUNCTION("""COMPUTED_VALUE"""),299.51)</f>
        <v>299.51</v>
      </c>
      <c r="AO330" s="26">
        <f>IFERROR(__xludf.DUMMYFUNCTION("""COMPUTED_VALUE"""),449.06)</f>
        <v>449.06</v>
      </c>
      <c r="AP330" s="26">
        <f>IFERROR(__xludf.DUMMYFUNCTION("""COMPUTED_VALUE"""),198.53)</f>
        <v>198.53</v>
      </c>
      <c r="AQ330" s="26">
        <f>IFERROR(__xludf.DUMMYFUNCTION("""COMPUTED_VALUE"""),30.46)</f>
        <v>30.46</v>
      </c>
      <c r="AR330" s="26">
        <f>IFERROR(__xludf.DUMMYFUNCTION("""COMPUTED_VALUE"""),92.25)</f>
        <v>92.25</v>
      </c>
      <c r="AS330" s="26">
        <f>IFERROR(__xludf.DUMMYFUNCTION("""COMPUTED_VALUE"""),80.57)</f>
        <v>80.57</v>
      </c>
      <c r="AT330" s="26">
        <f>IFERROR(__xludf.DUMMYFUNCTION("""COMPUTED_VALUE"""),505.35)</f>
        <v>505.35</v>
      </c>
      <c r="AU330" s="26">
        <f>IFERROR(__xludf.DUMMYFUNCTION("""COMPUTED_VALUE"""),71.63)</f>
        <v>71.63</v>
      </c>
      <c r="AV330" s="26">
        <f>IFERROR(__xludf.DUMMYFUNCTION("""COMPUTED_VALUE"""),170.62)</f>
        <v>170.62</v>
      </c>
      <c r="AW330" s="26">
        <f>IFERROR(__xludf.DUMMYFUNCTION("""COMPUTED_VALUE"""),85.67)</f>
        <v>85.67</v>
      </c>
      <c r="AX330" s="26">
        <f>IFERROR(__xludf.DUMMYFUNCTION("""COMPUTED_VALUE"""),44.8)</f>
        <v>44.8</v>
      </c>
      <c r="AY330" s="26">
        <f>IFERROR(__xludf.DUMMYFUNCTION("""COMPUTED_VALUE"""),154.9)</f>
        <v>154.9</v>
      </c>
      <c r="AZ330" s="26">
        <f>IFERROR(__xludf.DUMMYFUNCTION("""COMPUTED_VALUE"""),69.64)</f>
        <v>69.64</v>
      </c>
      <c r="BA330" s="26">
        <f>IFERROR(__xludf.DUMMYFUNCTION("""COMPUTED_VALUE"""),24.79)</f>
        <v>24.79</v>
      </c>
      <c r="BB330" s="26">
        <f>IFERROR(__xludf.DUMMYFUNCTION("""COMPUTED_VALUE"""),158.11)</f>
        <v>158.11</v>
      </c>
      <c r="BC330" s="26">
        <f>IFERROR(__xludf.DUMMYFUNCTION("""COMPUTED_VALUE"""),252.66)</f>
        <v>252.66</v>
      </c>
      <c r="BD330" s="26">
        <f>IFERROR(__xludf.DUMMYFUNCTION("""COMPUTED_VALUE"""),484.55)</f>
        <v>484.55</v>
      </c>
      <c r="BE330" s="26">
        <f>IFERROR(__xludf.DUMMYFUNCTION("""COMPUTED_VALUE"""),193.01)</f>
        <v>193.01</v>
      </c>
      <c r="BF330" s="26">
        <f>IFERROR(__xludf.DUMMYFUNCTION("""COMPUTED_VALUE"""),106.94)</f>
        <v>106.94</v>
      </c>
      <c r="BG330" s="26">
        <f>IFERROR(__xludf.DUMMYFUNCTION("""COMPUTED_VALUE"""),5.06)</f>
        <v>5.06</v>
      </c>
      <c r="BH330" s="26">
        <f>IFERROR(__xludf.DUMMYFUNCTION("""COMPUTED_VALUE"""),221.76)</f>
        <v>221.76</v>
      </c>
      <c r="BI330" s="26">
        <f>IFERROR(__xludf.DUMMYFUNCTION("""COMPUTED_VALUE"""),307.88)</f>
        <v>307.88</v>
      </c>
      <c r="BJ330" s="26">
        <f>IFERROR(__xludf.DUMMYFUNCTION("""COMPUTED_VALUE"""),50.63)</f>
        <v>50.63</v>
      </c>
      <c r="BK330" s="26">
        <f>IFERROR(__xludf.DUMMYFUNCTION("""COMPUTED_VALUE"""),10.55)</f>
        <v>10.55</v>
      </c>
      <c r="BL330" s="26">
        <f>IFERROR(__xludf.DUMMYFUNCTION("""COMPUTED_VALUE"""),224.41)</f>
        <v>224.41</v>
      </c>
      <c r="BM330" s="26">
        <f>IFERROR(__xludf.DUMMYFUNCTION("""COMPUTED_VALUE"""),117.38)</f>
        <v>117.38</v>
      </c>
    </row>
    <row r="331">
      <c r="A331" s="25">
        <v>45905.66666666667</v>
      </c>
      <c r="B331" s="17">
        <f>IFERROR(__xludf.DUMMYFUNCTION("""COMPUTED_VALUE"""),6502.08)</f>
        <v>6502.08</v>
      </c>
      <c r="C331" s="17">
        <f>IFERROR(__xludf.DUMMYFUNCTION("""COMPUTED_VALUE"""),21707.69)</f>
        <v>21707.69</v>
      </c>
      <c r="D331" s="17">
        <f>IFERROR(__xludf.DUMMYFUNCTION("""COMPUTED_VALUE"""),45621.29)</f>
        <v>45621.29</v>
      </c>
      <c r="E331" s="17">
        <f>IFERROR(__xludf.DUMMYFUNCTION("""COMPUTED_VALUE"""),2379.61)</f>
        <v>2379.61</v>
      </c>
      <c r="F331" s="26">
        <f>IFERROR(__xludf.DUMMYFUNCTION("""COMPUTED_VALUE"""),344.31)</f>
        <v>344.31</v>
      </c>
      <c r="G331" s="26">
        <f>IFERROR(__xludf.DUMMYFUNCTION("""COMPUTED_VALUE"""),235.68)</f>
        <v>235.68</v>
      </c>
      <c r="H331" s="26">
        <f>IFERROR(__xludf.DUMMYFUNCTION("""COMPUTED_VALUE"""),141.57)</f>
        <v>141.57</v>
      </c>
      <c r="I331" s="26">
        <f>IFERROR(__xludf.DUMMYFUNCTION("""COMPUTED_VALUE"""),239.78)</f>
        <v>239.78</v>
      </c>
      <c r="J331" s="26">
        <f>IFERROR(__xludf.DUMMYFUNCTION("""COMPUTED_VALUE"""),158.24)</f>
        <v>158.24</v>
      </c>
      <c r="K331" s="26">
        <f>IFERROR(__xludf.DUMMYFUNCTION("""COMPUTED_VALUE"""),105.56)</f>
        <v>105.56</v>
      </c>
      <c r="L331" s="26">
        <f>IFERROR(__xludf.DUMMYFUNCTION("""COMPUTED_VALUE"""),20.11)</f>
        <v>20.11</v>
      </c>
      <c r="M331" s="26">
        <f>IFERROR(__xludf.DUMMYFUNCTION("""COMPUTED_VALUE"""),506.91)</f>
        <v>506.91</v>
      </c>
      <c r="N331" s="26">
        <f>IFERROR(__xludf.DUMMYFUNCTION("""COMPUTED_VALUE"""),55.55)</f>
        <v>55.55</v>
      </c>
      <c r="O331" s="26">
        <f>IFERROR(__xludf.DUMMYFUNCTION("""COMPUTED_VALUE"""),139.94)</f>
        <v>139.94</v>
      </c>
      <c r="P331" s="26">
        <f>IFERROR(__xludf.DUMMYFUNCTION("""COMPUTED_VALUE"""),63.54)</f>
        <v>63.54</v>
      </c>
      <c r="Q331" s="26">
        <f>IFERROR(__xludf.DUMMYFUNCTION("""COMPUTED_VALUE"""),420.22)</f>
        <v>420.22</v>
      </c>
      <c r="R331" s="26">
        <f>IFERROR(__xludf.DUMMYFUNCTION("""COMPUTED_VALUE"""),76.31)</f>
        <v>76.31</v>
      </c>
      <c r="S331" s="26">
        <f>IFERROR(__xludf.DUMMYFUNCTION("""COMPUTED_VALUE"""),190.77)</f>
        <v>190.77</v>
      </c>
      <c r="T331" s="26">
        <f>IFERROR(__xludf.DUMMYFUNCTION("""COMPUTED_VALUE"""),157.69)</f>
        <v>157.69</v>
      </c>
      <c r="U331" s="26">
        <f>IFERROR(__xludf.DUMMYFUNCTION("""COMPUTED_VALUE"""),304.03)</f>
        <v>304.03</v>
      </c>
      <c r="V331" s="26">
        <f>IFERROR(__xludf.DUMMYFUNCTION("""COMPUTED_VALUE"""),52.51)</f>
        <v>52.51</v>
      </c>
      <c r="W331" s="26">
        <f>IFERROR(__xludf.DUMMYFUNCTION("""COMPUTED_VALUE"""),68.25)</f>
        <v>68.25</v>
      </c>
      <c r="X331" s="26">
        <f>IFERROR(__xludf.DUMMYFUNCTION("""COMPUTED_VALUE"""),97.8)</f>
        <v>97.8</v>
      </c>
      <c r="Y331" s="26">
        <f>IFERROR(__xludf.DUMMYFUNCTION("""COMPUTED_VALUE"""),162.84)</f>
        <v>162.84</v>
      </c>
      <c r="Z331" s="26">
        <f>IFERROR(__xludf.DUMMYFUNCTION("""COMPUTED_VALUE"""),100.25)</f>
        <v>100.25</v>
      </c>
      <c r="AA331" s="26">
        <f>IFERROR(__xludf.DUMMYFUNCTION("""COMPUTED_VALUE"""),462.6)</f>
        <v>462.6</v>
      </c>
      <c r="AB331" s="26">
        <f>IFERROR(__xludf.DUMMYFUNCTION("""COMPUTED_VALUE"""),93.03)</f>
        <v>93.03</v>
      </c>
      <c r="AC331" s="26">
        <f>IFERROR(__xludf.DUMMYFUNCTION("""COMPUTED_VALUE"""),112.4)</f>
        <v>112.4</v>
      </c>
      <c r="AD331" s="26">
        <f>IFERROR(__xludf.DUMMYFUNCTION("""COMPUTED_VALUE"""),225.28)</f>
        <v>225.28</v>
      </c>
      <c r="AE331" s="26">
        <f>IFERROR(__xludf.DUMMYFUNCTION("""COMPUTED_VALUE"""),495.19)</f>
        <v>495.19</v>
      </c>
      <c r="AF331" s="26">
        <f>IFERROR(__xludf.DUMMYFUNCTION("""COMPUTED_VALUE"""),322.44)</f>
        <v>322.44</v>
      </c>
      <c r="AG331" s="26">
        <f>IFERROR(__xludf.DUMMYFUNCTION("""COMPUTED_VALUE"""),58.15)</f>
        <v>58.15</v>
      </c>
      <c r="AH331" s="26">
        <f>IFERROR(__xludf.DUMMYFUNCTION("""COMPUTED_VALUE"""),112.77)</f>
        <v>112.77</v>
      </c>
      <c r="AI331" s="26">
        <f>IFERROR(__xludf.DUMMYFUNCTION("""COMPUTED_VALUE"""),748.9)</f>
        <v>748.9</v>
      </c>
      <c r="AJ331" s="26">
        <f>IFERROR(__xludf.DUMMYFUNCTION("""COMPUTED_VALUE"""),411.69)</f>
        <v>411.69</v>
      </c>
      <c r="AK331" s="26">
        <f>IFERROR(__xludf.DUMMYFUNCTION("""COMPUTED_VALUE"""),145.15)</f>
        <v>145.15</v>
      </c>
      <c r="AL331" s="26">
        <f>IFERROR(__xludf.DUMMYFUNCTION("""COMPUTED_VALUE"""),174.52)</f>
        <v>174.52</v>
      </c>
      <c r="AM331" s="26">
        <f>IFERROR(__xludf.DUMMYFUNCTION("""COMPUTED_VALUE"""),454.52)</f>
        <v>454.52</v>
      </c>
      <c r="AN331" s="26">
        <f>IFERROR(__xludf.DUMMYFUNCTION("""COMPUTED_VALUE"""),303.82)</f>
        <v>303.82</v>
      </c>
      <c r="AO331" s="26">
        <f>IFERROR(__xludf.DUMMYFUNCTION("""COMPUTED_VALUE"""),456.85)</f>
        <v>456.85</v>
      </c>
      <c r="AP331" s="26">
        <f>IFERROR(__xludf.DUMMYFUNCTION("""COMPUTED_VALUE"""),206.09)</f>
        <v>206.09</v>
      </c>
      <c r="AQ331" s="26">
        <f>IFERROR(__xludf.DUMMYFUNCTION("""COMPUTED_VALUE"""),30.91)</f>
        <v>30.91</v>
      </c>
      <c r="AR331" s="26">
        <f>IFERROR(__xludf.DUMMYFUNCTION("""COMPUTED_VALUE"""),92.85)</f>
        <v>92.85</v>
      </c>
      <c r="AS331" s="26">
        <f>IFERROR(__xludf.DUMMYFUNCTION("""COMPUTED_VALUE"""),81.75)</f>
        <v>81.75</v>
      </c>
      <c r="AT331" s="26">
        <f>IFERROR(__xludf.DUMMYFUNCTION("""COMPUTED_VALUE"""),507.97)</f>
        <v>507.97</v>
      </c>
      <c r="AU331" s="26">
        <f>IFERROR(__xludf.DUMMYFUNCTION("""COMPUTED_VALUE"""),70.87)</f>
        <v>70.87</v>
      </c>
      <c r="AV331" s="26">
        <f>IFERROR(__xludf.DUMMYFUNCTION("""COMPUTED_VALUE"""),171.66)</f>
        <v>171.66</v>
      </c>
      <c r="AW331" s="26">
        <f>IFERROR(__xludf.DUMMYFUNCTION("""COMPUTED_VALUE"""),86.5)</f>
        <v>86.5</v>
      </c>
      <c r="AX331" s="26">
        <f>IFERROR(__xludf.DUMMYFUNCTION("""COMPUTED_VALUE"""),46.05)</f>
        <v>46.05</v>
      </c>
      <c r="AY331" s="26">
        <f>IFERROR(__xludf.DUMMYFUNCTION("""COMPUTED_VALUE"""),156.14)</f>
        <v>156.14</v>
      </c>
      <c r="AZ331" s="26">
        <f>IFERROR(__xludf.DUMMYFUNCTION("""COMPUTED_VALUE"""),68.46)</f>
        <v>68.46</v>
      </c>
      <c r="BA331" s="26">
        <f>IFERROR(__xludf.DUMMYFUNCTION("""COMPUTED_VALUE"""),24.54)</f>
        <v>24.54</v>
      </c>
      <c r="BB331" s="26">
        <f>IFERROR(__xludf.DUMMYFUNCTION("""COMPUTED_VALUE"""),158.68)</f>
        <v>158.68</v>
      </c>
      <c r="BC331" s="26">
        <f>IFERROR(__xludf.DUMMYFUNCTION("""COMPUTED_VALUE"""),252.12)</f>
        <v>252.12</v>
      </c>
      <c r="BD331" s="26">
        <f>IFERROR(__xludf.DUMMYFUNCTION("""COMPUTED_VALUE"""),489.49)</f>
        <v>489.49</v>
      </c>
      <c r="BE331" s="26">
        <f>IFERROR(__xludf.DUMMYFUNCTION("""COMPUTED_VALUE"""),197.64)</f>
        <v>197.64</v>
      </c>
      <c r="BF331" s="26">
        <f>IFERROR(__xludf.DUMMYFUNCTION("""COMPUTED_VALUE"""),104.05)</f>
        <v>104.05</v>
      </c>
      <c r="BG331" s="26">
        <f>IFERROR(__xludf.DUMMYFUNCTION("""COMPUTED_VALUE"""),5.26)</f>
        <v>5.26</v>
      </c>
      <c r="BH331" s="26">
        <f>IFERROR(__xludf.DUMMYFUNCTION("""COMPUTED_VALUE"""),223.06)</f>
        <v>223.06</v>
      </c>
      <c r="BI331" s="26">
        <f>IFERROR(__xludf.DUMMYFUNCTION("""COMPUTED_VALUE"""),310.38)</f>
        <v>310.38</v>
      </c>
      <c r="BJ331" s="26">
        <f>IFERROR(__xludf.DUMMYFUNCTION("""COMPUTED_VALUE"""),50.64)</f>
        <v>50.64</v>
      </c>
      <c r="BK331" s="26">
        <f>IFERROR(__xludf.DUMMYFUNCTION("""COMPUTED_VALUE"""),10.33)</f>
        <v>10.33</v>
      </c>
      <c r="BL331" s="26">
        <f>IFERROR(__xludf.DUMMYFUNCTION("""COMPUTED_VALUE"""),224.95)</f>
        <v>224.95</v>
      </c>
      <c r="BM331" s="26">
        <f>IFERROR(__xludf.DUMMYFUNCTION("""COMPUTED_VALUE"""),118.81)</f>
        <v>118.81</v>
      </c>
    </row>
    <row r="332">
      <c r="A332" s="25">
        <v>45908.66666666667</v>
      </c>
      <c r="B332" s="17">
        <f>IFERROR(__xludf.DUMMYFUNCTION("""COMPUTED_VALUE"""),6481.5)</f>
        <v>6481.5</v>
      </c>
      <c r="C332" s="17">
        <f>IFERROR(__xludf.DUMMYFUNCTION("""COMPUTED_VALUE"""),21700.39)</f>
        <v>21700.39</v>
      </c>
      <c r="D332" s="17">
        <f>IFERROR(__xludf.DUMMYFUNCTION("""COMPUTED_VALUE"""),45400.86)</f>
        <v>45400.86</v>
      </c>
      <c r="E332" s="17">
        <f>IFERROR(__xludf.DUMMYFUNCTION("""COMPUTED_VALUE"""),2391.05)</f>
        <v>2391.05</v>
      </c>
      <c r="F332" s="26">
        <f>IFERROR(__xludf.DUMMYFUNCTION("""COMPUTED_VALUE"""),348.97)</f>
        <v>348.97</v>
      </c>
      <c r="G332" s="26">
        <f>IFERROR(__xludf.DUMMYFUNCTION("""COMPUTED_VALUE"""),232.33)</f>
        <v>232.33</v>
      </c>
      <c r="H332" s="26">
        <f>IFERROR(__xludf.DUMMYFUNCTION("""COMPUTED_VALUE"""),143.6)</f>
        <v>143.6</v>
      </c>
      <c r="I332" s="26">
        <f>IFERROR(__xludf.DUMMYFUNCTION("""COMPUTED_VALUE"""),239.69)</f>
        <v>239.69</v>
      </c>
      <c r="J332" s="26">
        <f>IFERROR(__xludf.DUMMYFUNCTION("""COMPUTED_VALUE"""),162.75)</f>
        <v>162.75</v>
      </c>
      <c r="K332" s="26">
        <f>IFERROR(__xludf.DUMMYFUNCTION("""COMPUTED_VALUE"""),103.69)</f>
        <v>103.69</v>
      </c>
      <c r="L332" s="26">
        <f>IFERROR(__xludf.DUMMYFUNCTION("""COMPUTED_VALUE"""),19.71)</f>
        <v>19.71</v>
      </c>
      <c r="M332" s="26">
        <f>IFERROR(__xludf.DUMMYFUNCTION("""COMPUTED_VALUE"""),499.77)</f>
        <v>499.77</v>
      </c>
      <c r="N332" s="26">
        <f>IFERROR(__xludf.DUMMYFUNCTION("""COMPUTED_VALUE"""),54.39)</f>
        <v>54.39</v>
      </c>
      <c r="O332" s="26">
        <f>IFERROR(__xludf.DUMMYFUNCTION("""COMPUTED_VALUE"""),140.67)</f>
        <v>140.67</v>
      </c>
      <c r="P332" s="26">
        <f>IFERROR(__xludf.DUMMYFUNCTION("""COMPUTED_VALUE"""),65.51)</f>
        <v>65.51</v>
      </c>
      <c r="Q332" s="26">
        <f>IFERROR(__xludf.DUMMYFUNCTION("""COMPUTED_VALUE"""),423.08)</f>
        <v>423.08</v>
      </c>
      <c r="R332" s="26">
        <f>IFERROR(__xludf.DUMMYFUNCTION("""COMPUTED_VALUE"""),75.85)</f>
        <v>75.85</v>
      </c>
      <c r="S332" s="26">
        <f>IFERROR(__xludf.DUMMYFUNCTION("""COMPUTED_VALUE"""),193.09)</f>
        <v>193.09</v>
      </c>
      <c r="T332" s="26">
        <f>IFERROR(__xludf.DUMMYFUNCTION("""COMPUTED_VALUE"""),153.66)</f>
        <v>153.66</v>
      </c>
      <c r="U332" s="26">
        <f>IFERROR(__xludf.DUMMYFUNCTION("""COMPUTED_VALUE"""),305.31)</f>
        <v>305.31</v>
      </c>
      <c r="V332" s="26">
        <f>IFERROR(__xludf.DUMMYFUNCTION("""COMPUTED_VALUE"""),51.71)</f>
        <v>51.71</v>
      </c>
      <c r="W332" s="26">
        <f>IFERROR(__xludf.DUMMYFUNCTION("""COMPUTED_VALUE"""),67.96)</f>
        <v>67.96</v>
      </c>
      <c r="X332" s="26">
        <f>IFERROR(__xludf.DUMMYFUNCTION("""COMPUTED_VALUE"""),98.05)</f>
        <v>98.05</v>
      </c>
      <c r="Y332" s="26">
        <f>IFERROR(__xludf.DUMMYFUNCTION("""COMPUTED_VALUE"""),163.24)</f>
        <v>163.24</v>
      </c>
      <c r="Z332" s="26">
        <f>IFERROR(__xludf.DUMMYFUNCTION("""COMPUTED_VALUE"""),101.12)</f>
        <v>101.12</v>
      </c>
      <c r="AA332" s="26">
        <f>IFERROR(__xludf.DUMMYFUNCTION("""COMPUTED_VALUE"""),463.83)</f>
        <v>463.83</v>
      </c>
      <c r="AB332" s="26">
        <f>IFERROR(__xludf.DUMMYFUNCTION("""COMPUTED_VALUE"""),92.66)</f>
        <v>92.66</v>
      </c>
      <c r="AC332" s="26">
        <f>IFERROR(__xludf.DUMMYFUNCTION("""COMPUTED_VALUE"""),109.23)</f>
        <v>109.23</v>
      </c>
      <c r="AD332" s="26">
        <f>IFERROR(__xludf.DUMMYFUNCTION("""COMPUTED_VALUE"""),227.72)</f>
        <v>227.72</v>
      </c>
      <c r="AE332" s="26">
        <f>IFERROR(__xludf.DUMMYFUNCTION("""COMPUTED_VALUE"""),488.77)</f>
        <v>488.77</v>
      </c>
      <c r="AF332" s="26">
        <f>IFERROR(__xludf.DUMMYFUNCTION("""COMPUTED_VALUE"""),322.86)</f>
        <v>322.86</v>
      </c>
      <c r="AG332" s="26">
        <f>IFERROR(__xludf.DUMMYFUNCTION("""COMPUTED_VALUE"""),58.27)</f>
        <v>58.27</v>
      </c>
      <c r="AH332" s="26">
        <f>IFERROR(__xludf.DUMMYFUNCTION("""COMPUTED_VALUE"""),115.05)</f>
        <v>115.05</v>
      </c>
      <c r="AI332" s="26">
        <f>IFERROR(__xludf.DUMMYFUNCTION("""COMPUTED_VALUE"""),738.21)</f>
        <v>738.21</v>
      </c>
      <c r="AJ332" s="26">
        <f>IFERROR(__xludf.DUMMYFUNCTION("""COMPUTED_VALUE"""),418.95)</f>
        <v>418.95</v>
      </c>
      <c r="AK332" s="26">
        <f>IFERROR(__xludf.DUMMYFUNCTION("""COMPUTED_VALUE"""),141.27)</f>
        <v>141.27</v>
      </c>
      <c r="AL332" s="26">
        <f>IFERROR(__xludf.DUMMYFUNCTION("""COMPUTED_VALUE"""),174.27)</f>
        <v>174.27</v>
      </c>
      <c r="AM332" s="26">
        <f>IFERROR(__xludf.DUMMYFUNCTION("""COMPUTED_VALUE"""),466.86)</f>
        <v>466.86</v>
      </c>
      <c r="AN332" s="26">
        <f>IFERROR(__xludf.DUMMYFUNCTION("""COMPUTED_VALUE"""),294.38)</f>
        <v>294.38</v>
      </c>
      <c r="AO332" s="26">
        <f>IFERROR(__xludf.DUMMYFUNCTION("""COMPUTED_VALUE"""),463.9)</f>
        <v>463.9</v>
      </c>
      <c r="AP332" s="26">
        <f>IFERROR(__xludf.DUMMYFUNCTION("""COMPUTED_VALUE"""),167.8)</f>
        <v>167.8</v>
      </c>
      <c r="AQ332" s="26">
        <f>IFERROR(__xludf.DUMMYFUNCTION("""COMPUTED_VALUE"""),30.66)</f>
        <v>30.66</v>
      </c>
      <c r="AR332" s="26">
        <f>IFERROR(__xludf.DUMMYFUNCTION("""COMPUTED_VALUE"""),92.9)</f>
        <v>92.9</v>
      </c>
      <c r="AS332" s="26">
        <f>IFERROR(__xludf.DUMMYFUNCTION("""COMPUTED_VALUE"""),79.51)</f>
        <v>79.51</v>
      </c>
      <c r="AT332" s="26">
        <f>IFERROR(__xludf.DUMMYFUNCTION("""COMPUTED_VALUE"""),495.0)</f>
        <v>495</v>
      </c>
      <c r="AU332" s="26">
        <f>IFERROR(__xludf.DUMMYFUNCTION("""COMPUTED_VALUE"""),70.9)</f>
        <v>70.9</v>
      </c>
      <c r="AV332" s="26">
        <f>IFERROR(__xludf.DUMMYFUNCTION("""COMPUTED_VALUE"""),167.02)</f>
        <v>167.02</v>
      </c>
      <c r="AW332" s="26">
        <f>IFERROR(__xludf.DUMMYFUNCTION("""COMPUTED_VALUE"""),87.0)</f>
        <v>87</v>
      </c>
      <c r="AX332" s="26">
        <f>IFERROR(__xludf.DUMMYFUNCTION("""COMPUTED_VALUE"""),45.52)</f>
        <v>45.52</v>
      </c>
      <c r="AY332" s="26">
        <f>IFERROR(__xludf.DUMMYFUNCTION("""COMPUTED_VALUE"""),153.11)</f>
        <v>153.11</v>
      </c>
      <c r="AZ332" s="26">
        <f>IFERROR(__xludf.DUMMYFUNCTION("""COMPUTED_VALUE"""),68.26)</f>
        <v>68.26</v>
      </c>
      <c r="BA332" s="26">
        <f>IFERROR(__xludf.DUMMYFUNCTION("""COMPUTED_VALUE"""),24.88)</f>
        <v>24.88</v>
      </c>
      <c r="BB332" s="26">
        <f>IFERROR(__xludf.DUMMYFUNCTION("""COMPUTED_VALUE"""),157.52)</f>
        <v>157.52</v>
      </c>
      <c r="BC332" s="26">
        <f>IFERROR(__xludf.DUMMYFUNCTION("""COMPUTED_VALUE"""),252.76)</f>
        <v>252.76</v>
      </c>
      <c r="BD332" s="26">
        <f>IFERROR(__xludf.DUMMYFUNCTION("""COMPUTED_VALUE"""),492.6)</f>
        <v>492.6</v>
      </c>
      <c r="BE332" s="26">
        <f>IFERROR(__xludf.DUMMYFUNCTION("""COMPUTED_VALUE"""),199.62)</f>
        <v>199.62</v>
      </c>
      <c r="BF332" s="26">
        <f>IFERROR(__xludf.DUMMYFUNCTION("""COMPUTED_VALUE"""),104.01)</f>
        <v>104.01</v>
      </c>
      <c r="BG332" s="26">
        <f>IFERROR(__xludf.DUMMYFUNCTION("""COMPUTED_VALUE"""),5.14)</f>
        <v>5.14</v>
      </c>
      <c r="BH332" s="26">
        <f>IFERROR(__xludf.DUMMYFUNCTION("""COMPUTED_VALUE"""),220.31)</f>
        <v>220.31</v>
      </c>
      <c r="BI332" s="26">
        <f>IFERROR(__xludf.DUMMYFUNCTION("""COMPUTED_VALUE"""),315.39)</f>
        <v>315.39</v>
      </c>
      <c r="BJ332" s="26">
        <f>IFERROR(__xludf.DUMMYFUNCTION("""COMPUTED_VALUE"""),50.72)</f>
        <v>50.72</v>
      </c>
      <c r="BK332" s="26">
        <f>IFERROR(__xludf.DUMMYFUNCTION("""COMPUTED_VALUE"""),10.5)</f>
        <v>10.5</v>
      </c>
      <c r="BL332" s="26">
        <f>IFERROR(__xludf.DUMMYFUNCTION("""COMPUTED_VALUE"""),220.06)</f>
        <v>220.06</v>
      </c>
      <c r="BM332" s="26">
        <f>IFERROR(__xludf.DUMMYFUNCTION("""COMPUTED_VALUE"""),117.91)</f>
        <v>117.91</v>
      </c>
    </row>
    <row r="333">
      <c r="A333" s="25">
        <v>45909.66666666667</v>
      </c>
      <c r="B333" s="17">
        <f>IFERROR(__xludf.DUMMYFUNCTION("""COMPUTED_VALUE"""),6495.15)</f>
        <v>6495.15</v>
      </c>
      <c r="C333" s="17">
        <f>IFERROR(__xludf.DUMMYFUNCTION("""COMPUTED_VALUE"""),21798.7)</f>
        <v>21798.7</v>
      </c>
      <c r="D333" s="17">
        <f>IFERROR(__xludf.DUMMYFUNCTION("""COMPUTED_VALUE"""),45514.95)</f>
        <v>45514.95</v>
      </c>
      <c r="E333" s="17">
        <f>IFERROR(__xludf.DUMMYFUNCTION("""COMPUTED_VALUE"""),2394.89)</f>
        <v>2394.89</v>
      </c>
      <c r="F333" s="26">
        <f>IFERROR(__xludf.DUMMYFUNCTION("""COMPUTED_VALUE"""),358.66)</f>
        <v>358.66</v>
      </c>
      <c r="G333" s="26">
        <f>IFERROR(__xludf.DUMMYFUNCTION("""COMPUTED_VALUE"""),235.84)</f>
        <v>235.84</v>
      </c>
      <c r="H333" s="26">
        <f>IFERROR(__xludf.DUMMYFUNCTION("""COMPUTED_VALUE"""),140.02)</f>
        <v>140.02</v>
      </c>
      <c r="I333" s="26">
        <f>IFERROR(__xludf.DUMMYFUNCTION("""COMPUTED_VALUE"""),237.88)</f>
        <v>237.88</v>
      </c>
      <c r="J333" s="26">
        <f>IFERROR(__xludf.DUMMYFUNCTION("""COMPUTED_VALUE"""),162.05)</f>
        <v>162.05</v>
      </c>
      <c r="K333" s="26">
        <f>IFERROR(__xludf.DUMMYFUNCTION("""COMPUTED_VALUE"""),104.02)</f>
        <v>104.02</v>
      </c>
      <c r="L333" s="26">
        <f>IFERROR(__xludf.DUMMYFUNCTION("""COMPUTED_VALUE"""),19.94)</f>
        <v>19.94</v>
      </c>
      <c r="M333" s="26">
        <f>IFERROR(__xludf.DUMMYFUNCTION("""COMPUTED_VALUE"""),493.78)</f>
        <v>493.78</v>
      </c>
      <c r="N333" s="26">
        <f>IFERROR(__xludf.DUMMYFUNCTION("""COMPUTED_VALUE"""),54.2)</f>
        <v>54.2</v>
      </c>
      <c r="O333" s="26">
        <f>IFERROR(__xludf.DUMMYFUNCTION("""COMPUTED_VALUE"""),141.35)</f>
        <v>141.35</v>
      </c>
      <c r="P333" s="26">
        <f>IFERROR(__xludf.DUMMYFUNCTION("""COMPUTED_VALUE"""),65.61)</f>
        <v>65.61</v>
      </c>
      <c r="Q333" s="26">
        <f>IFERROR(__xludf.DUMMYFUNCTION("""COMPUTED_VALUE"""),422.78)</f>
        <v>422.78</v>
      </c>
      <c r="R333" s="26">
        <f>IFERROR(__xludf.DUMMYFUNCTION("""COMPUTED_VALUE"""),77.24)</f>
        <v>77.24</v>
      </c>
      <c r="S333" s="26">
        <f>IFERROR(__xludf.DUMMYFUNCTION("""COMPUTED_VALUE"""),196.9)</f>
        <v>196.9</v>
      </c>
      <c r="T333" s="26">
        <f>IFERROR(__xludf.DUMMYFUNCTION("""COMPUTED_VALUE"""),154.0)</f>
        <v>154</v>
      </c>
      <c r="U333" s="26">
        <f>IFERROR(__xludf.DUMMYFUNCTION("""COMPUTED_VALUE"""),300.89)</f>
        <v>300.89</v>
      </c>
      <c r="V333" s="26">
        <f>IFERROR(__xludf.DUMMYFUNCTION("""COMPUTED_VALUE"""),51.7)</f>
        <v>51.7</v>
      </c>
      <c r="W333" s="26">
        <f>IFERROR(__xludf.DUMMYFUNCTION("""COMPUTED_VALUE"""),67.43)</f>
        <v>67.43</v>
      </c>
      <c r="X333" s="26">
        <f>IFERROR(__xludf.DUMMYFUNCTION("""COMPUTED_VALUE"""),96.65)</f>
        <v>96.65</v>
      </c>
      <c r="Y333" s="26">
        <f>IFERROR(__xludf.DUMMYFUNCTION("""COMPUTED_VALUE"""),161.21)</f>
        <v>161.21</v>
      </c>
      <c r="Z333" s="26">
        <f>IFERROR(__xludf.DUMMYFUNCTION("""COMPUTED_VALUE"""),99.4)</f>
        <v>99.4</v>
      </c>
      <c r="AA333" s="26">
        <f>IFERROR(__xludf.DUMMYFUNCTION("""COMPUTED_VALUE"""),466.11)</f>
        <v>466.11</v>
      </c>
      <c r="AB333" s="26">
        <f>IFERROR(__xludf.DUMMYFUNCTION("""COMPUTED_VALUE"""),93.02)</f>
        <v>93.02</v>
      </c>
      <c r="AC333" s="26">
        <f>IFERROR(__xludf.DUMMYFUNCTION("""COMPUTED_VALUE"""),109.85)</f>
        <v>109.85</v>
      </c>
      <c r="AD333" s="26">
        <f>IFERROR(__xludf.DUMMYFUNCTION("""COMPUTED_VALUE"""),225.0)</f>
        <v>225</v>
      </c>
      <c r="AE333" s="26">
        <f>IFERROR(__xludf.DUMMYFUNCTION("""COMPUTED_VALUE"""),478.97)</f>
        <v>478.97</v>
      </c>
      <c r="AF333" s="26">
        <f>IFERROR(__xludf.DUMMYFUNCTION("""COMPUTED_VALUE"""),322.72)</f>
        <v>322.72</v>
      </c>
      <c r="AG333" s="26">
        <f>IFERROR(__xludf.DUMMYFUNCTION("""COMPUTED_VALUE"""),58.2)</f>
        <v>58.2</v>
      </c>
      <c r="AH333" s="26">
        <f>IFERROR(__xludf.DUMMYFUNCTION("""COMPUTED_VALUE"""),115.88)</f>
        <v>115.88</v>
      </c>
      <c r="AI333" s="26">
        <f>IFERROR(__xludf.DUMMYFUNCTION("""COMPUTED_VALUE"""),741.85)</f>
        <v>741.85</v>
      </c>
      <c r="AJ333" s="26">
        <f>IFERROR(__xludf.DUMMYFUNCTION("""COMPUTED_VALUE"""),419.94)</f>
        <v>419.94</v>
      </c>
      <c r="AK333" s="26">
        <f>IFERROR(__xludf.DUMMYFUNCTION("""COMPUTED_VALUE"""),139.31)</f>
        <v>139.31</v>
      </c>
      <c r="AL333" s="26">
        <f>IFERROR(__xludf.DUMMYFUNCTION("""COMPUTED_VALUE"""),173.89)</f>
        <v>173.89</v>
      </c>
      <c r="AM333" s="26">
        <f>IFERROR(__xludf.DUMMYFUNCTION("""COMPUTED_VALUE"""),470.0)</f>
        <v>470</v>
      </c>
      <c r="AN333" s="26">
        <f>IFERROR(__xludf.DUMMYFUNCTION("""COMPUTED_VALUE"""),292.91)</f>
        <v>292.91</v>
      </c>
      <c r="AO333" s="26">
        <f>IFERROR(__xludf.DUMMYFUNCTION("""COMPUTED_VALUE"""),459.11)</f>
        <v>459.11</v>
      </c>
      <c r="AP333" s="26">
        <f>IFERROR(__xludf.DUMMYFUNCTION("""COMPUTED_VALUE"""),168.1)</f>
        <v>168.1</v>
      </c>
      <c r="AQ333" s="26">
        <f>IFERROR(__xludf.DUMMYFUNCTION("""COMPUTED_VALUE"""),30.74)</f>
        <v>30.74</v>
      </c>
      <c r="AR333" s="26">
        <f>IFERROR(__xludf.DUMMYFUNCTION("""COMPUTED_VALUE"""),92.99)</f>
        <v>92.99</v>
      </c>
      <c r="AS333" s="26">
        <f>IFERROR(__xludf.DUMMYFUNCTION("""COMPUTED_VALUE"""),79.6)</f>
        <v>79.6</v>
      </c>
      <c r="AT333" s="26">
        <f>IFERROR(__xludf.DUMMYFUNCTION("""COMPUTED_VALUE"""),498.2)</f>
        <v>498.2</v>
      </c>
      <c r="AU333" s="26">
        <f>IFERROR(__xludf.DUMMYFUNCTION("""COMPUTED_VALUE"""),69.77)</f>
        <v>69.77</v>
      </c>
      <c r="AV333" s="26">
        <f>IFERROR(__xludf.DUMMYFUNCTION("""COMPUTED_VALUE"""),168.31)</f>
        <v>168.31</v>
      </c>
      <c r="AW333" s="26">
        <f>IFERROR(__xludf.DUMMYFUNCTION("""COMPUTED_VALUE"""),87.37)</f>
        <v>87.37</v>
      </c>
      <c r="AX333" s="26">
        <f>IFERROR(__xludf.DUMMYFUNCTION("""COMPUTED_VALUE"""),45.2)</f>
        <v>45.2</v>
      </c>
      <c r="AY333" s="26">
        <f>IFERROR(__xludf.DUMMYFUNCTION("""COMPUTED_VALUE"""),156.1)</f>
        <v>156.1</v>
      </c>
      <c r="AZ333" s="26">
        <f>IFERROR(__xludf.DUMMYFUNCTION("""COMPUTED_VALUE"""),68.4)</f>
        <v>68.4</v>
      </c>
      <c r="BA333" s="26">
        <f>IFERROR(__xludf.DUMMYFUNCTION("""COMPUTED_VALUE"""),24.55)</f>
        <v>24.55</v>
      </c>
      <c r="BB333" s="26">
        <f>IFERROR(__xludf.DUMMYFUNCTION("""COMPUTED_VALUE"""),154.22)</f>
        <v>154.22</v>
      </c>
      <c r="BC333" s="26">
        <f>IFERROR(__xludf.DUMMYFUNCTION("""COMPUTED_VALUE"""),242.9)</f>
        <v>242.9</v>
      </c>
      <c r="BD333" s="26">
        <f>IFERROR(__xludf.DUMMYFUNCTION("""COMPUTED_VALUE"""),487.65)</f>
        <v>487.65</v>
      </c>
      <c r="BE333" s="26">
        <f>IFERROR(__xludf.DUMMYFUNCTION("""COMPUTED_VALUE"""),202.79)</f>
        <v>202.79</v>
      </c>
      <c r="BF333" s="26">
        <f>IFERROR(__xludf.DUMMYFUNCTION("""COMPUTED_VALUE"""),105.58)</f>
        <v>105.58</v>
      </c>
      <c r="BG333" s="26">
        <f>IFERROR(__xludf.DUMMYFUNCTION("""COMPUTED_VALUE"""),5.1)</f>
        <v>5.1</v>
      </c>
      <c r="BH333" s="26">
        <f>IFERROR(__xludf.DUMMYFUNCTION("""COMPUTED_VALUE"""),217.26)</f>
        <v>217.26</v>
      </c>
      <c r="BI333" s="26">
        <f>IFERROR(__xludf.DUMMYFUNCTION("""COMPUTED_VALUE"""),320.25)</f>
        <v>320.25</v>
      </c>
      <c r="BJ333" s="26">
        <f>IFERROR(__xludf.DUMMYFUNCTION("""COMPUTED_VALUE"""),50.74)</f>
        <v>50.74</v>
      </c>
      <c r="BK333" s="26">
        <f>IFERROR(__xludf.DUMMYFUNCTION("""COMPUTED_VALUE"""),10.48)</f>
        <v>10.48</v>
      </c>
      <c r="BL333" s="26">
        <f>IFERROR(__xludf.DUMMYFUNCTION("""COMPUTED_VALUE"""),219.05)</f>
        <v>219.05</v>
      </c>
      <c r="BM333" s="26">
        <f>IFERROR(__xludf.DUMMYFUNCTION("""COMPUTED_VALUE"""),118.84)</f>
        <v>118.84</v>
      </c>
    </row>
    <row r="334">
      <c r="A334" s="25">
        <v>45910.66666666667</v>
      </c>
      <c r="B334" s="17">
        <f>IFERROR(__xludf.DUMMYFUNCTION("""COMPUTED_VALUE"""),6512.61)</f>
        <v>6512.61</v>
      </c>
      <c r="C334" s="17">
        <f>IFERROR(__xludf.DUMMYFUNCTION("""COMPUTED_VALUE"""),21879.49)</f>
        <v>21879.49</v>
      </c>
      <c r="D334" s="17">
        <f>IFERROR(__xludf.DUMMYFUNCTION("""COMPUTED_VALUE"""),45711.34)</f>
        <v>45711.34</v>
      </c>
      <c r="E334" s="17">
        <f>IFERROR(__xludf.DUMMYFUNCTION("""COMPUTED_VALUE"""),2381.82)</f>
        <v>2381.82</v>
      </c>
      <c r="F334" s="26">
        <f>IFERROR(__xludf.DUMMYFUNCTION("""COMPUTED_VALUE"""),354.06)</f>
        <v>354.06</v>
      </c>
      <c r="G334" s="26">
        <f>IFERROR(__xludf.DUMMYFUNCTION("""COMPUTED_VALUE"""),238.24)</f>
        <v>238.24</v>
      </c>
      <c r="H334" s="26">
        <f>IFERROR(__xludf.DUMMYFUNCTION("""COMPUTED_VALUE"""),140.09)</f>
        <v>140.09</v>
      </c>
      <c r="I334" s="26">
        <f>IFERROR(__xludf.DUMMYFUNCTION("""COMPUTED_VALUE"""),234.35)</f>
        <v>234.35</v>
      </c>
      <c r="J334" s="26">
        <f>IFERROR(__xludf.DUMMYFUNCTION("""COMPUTED_VALUE"""),163.5)</f>
        <v>163.5</v>
      </c>
      <c r="K334" s="26">
        <f>IFERROR(__xludf.DUMMYFUNCTION("""COMPUTED_VALUE"""),104.77)</f>
        <v>104.77</v>
      </c>
      <c r="L334" s="26">
        <f>IFERROR(__xludf.DUMMYFUNCTION("""COMPUTED_VALUE"""),20.31)</f>
        <v>20.31</v>
      </c>
      <c r="M334" s="26">
        <f>IFERROR(__xludf.DUMMYFUNCTION("""COMPUTED_VALUE"""),492.72)</f>
        <v>492.72</v>
      </c>
      <c r="N334" s="26">
        <f>IFERROR(__xludf.DUMMYFUNCTION("""COMPUTED_VALUE"""),53.15)</f>
        <v>53.15</v>
      </c>
      <c r="O334" s="26">
        <f>IFERROR(__xludf.DUMMYFUNCTION("""COMPUTED_VALUE"""),143.6)</f>
        <v>143.6</v>
      </c>
      <c r="P334" s="26">
        <f>IFERROR(__xludf.DUMMYFUNCTION("""COMPUTED_VALUE"""),63.47)</f>
        <v>63.47</v>
      </c>
      <c r="Q334" s="26">
        <f>IFERROR(__xludf.DUMMYFUNCTION("""COMPUTED_VALUE"""),418.09)</f>
        <v>418.09</v>
      </c>
      <c r="R334" s="26">
        <f>IFERROR(__xludf.DUMMYFUNCTION("""COMPUTED_VALUE"""),77.39)</f>
        <v>77.39</v>
      </c>
      <c r="S334" s="26">
        <f>IFERROR(__xludf.DUMMYFUNCTION("""COMPUTED_VALUE"""),196.56)</f>
        <v>196.56</v>
      </c>
      <c r="T334" s="26">
        <f>IFERROR(__xludf.DUMMYFUNCTION("""COMPUTED_VALUE"""),154.85)</f>
        <v>154.85</v>
      </c>
      <c r="U334" s="26">
        <f>IFERROR(__xludf.DUMMYFUNCTION("""COMPUTED_VALUE"""),302.01)</f>
        <v>302.01</v>
      </c>
      <c r="V334" s="26">
        <f>IFERROR(__xludf.DUMMYFUNCTION("""COMPUTED_VALUE"""),51.71)</f>
        <v>51.71</v>
      </c>
      <c r="W334" s="26">
        <f>IFERROR(__xludf.DUMMYFUNCTION("""COMPUTED_VALUE"""),67.86)</f>
        <v>67.86</v>
      </c>
      <c r="X334" s="26">
        <f>IFERROR(__xludf.DUMMYFUNCTION("""COMPUTED_VALUE"""),96.98)</f>
        <v>96.98</v>
      </c>
      <c r="Y334" s="26">
        <f>IFERROR(__xludf.DUMMYFUNCTION("""COMPUTED_VALUE"""),163.98)</f>
        <v>163.98</v>
      </c>
      <c r="Z334" s="26">
        <f>IFERROR(__xludf.DUMMYFUNCTION("""COMPUTED_VALUE"""),96.3)</f>
        <v>96.3</v>
      </c>
      <c r="AA334" s="26">
        <f>IFERROR(__xludf.DUMMYFUNCTION("""COMPUTED_VALUE"""),458.97)</f>
        <v>458.97</v>
      </c>
      <c r="AB334" s="26">
        <f>IFERROR(__xludf.DUMMYFUNCTION("""COMPUTED_VALUE"""),92.46)</f>
        <v>92.46</v>
      </c>
      <c r="AC334" s="26">
        <f>IFERROR(__xludf.DUMMYFUNCTION("""COMPUTED_VALUE"""),110.65)</f>
        <v>110.65</v>
      </c>
      <c r="AD334" s="26">
        <f>IFERROR(__xludf.DUMMYFUNCTION("""COMPUTED_VALUE"""),225.75)</f>
        <v>225.75</v>
      </c>
      <c r="AE334" s="26">
        <f>IFERROR(__xludf.DUMMYFUNCTION("""COMPUTED_VALUE"""),479.62)</f>
        <v>479.62</v>
      </c>
      <c r="AF334" s="26">
        <f>IFERROR(__xludf.DUMMYFUNCTION("""COMPUTED_VALUE"""),321.33)</f>
        <v>321.33</v>
      </c>
      <c r="AG334" s="26">
        <f>IFERROR(__xludf.DUMMYFUNCTION("""COMPUTED_VALUE"""),58.01)</f>
        <v>58.01</v>
      </c>
      <c r="AH334" s="26">
        <f>IFERROR(__xludf.DUMMYFUNCTION("""COMPUTED_VALUE"""),115.76)</f>
        <v>115.76</v>
      </c>
      <c r="AI334" s="26">
        <f>IFERROR(__xludf.DUMMYFUNCTION("""COMPUTED_VALUE"""),763.92)</f>
        <v>763.92</v>
      </c>
      <c r="AJ334" s="26">
        <f>IFERROR(__xludf.DUMMYFUNCTION("""COMPUTED_VALUE"""),415.34)</f>
        <v>415.34</v>
      </c>
      <c r="AK334" s="26">
        <f>IFERROR(__xludf.DUMMYFUNCTION("""COMPUTED_VALUE"""),139.58)</f>
        <v>139.58</v>
      </c>
      <c r="AL334" s="26">
        <f>IFERROR(__xludf.DUMMYFUNCTION("""COMPUTED_VALUE"""),173.46)</f>
        <v>173.46</v>
      </c>
      <c r="AM334" s="26">
        <f>IFERROR(__xludf.DUMMYFUNCTION("""COMPUTED_VALUE"""),467.54)</f>
        <v>467.54</v>
      </c>
      <c r="AN334" s="26">
        <f>IFERROR(__xludf.DUMMYFUNCTION("""COMPUTED_VALUE"""),297.85)</f>
        <v>297.85</v>
      </c>
      <c r="AO334" s="26">
        <f>IFERROR(__xludf.DUMMYFUNCTION("""COMPUTED_VALUE"""),457.06)</f>
        <v>457.06</v>
      </c>
      <c r="AP334" s="26">
        <f>IFERROR(__xludf.DUMMYFUNCTION("""COMPUTED_VALUE"""),165.69)</f>
        <v>165.69</v>
      </c>
      <c r="AQ334" s="26">
        <f>IFERROR(__xludf.DUMMYFUNCTION("""COMPUTED_VALUE"""),30.86)</f>
        <v>30.86</v>
      </c>
      <c r="AR334" s="26">
        <f>IFERROR(__xludf.DUMMYFUNCTION("""COMPUTED_VALUE"""),94.07)</f>
        <v>94.07</v>
      </c>
      <c r="AS334" s="26">
        <f>IFERROR(__xludf.DUMMYFUNCTION("""COMPUTED_VALUE"""),79.29)</f>
        <v>79.29</v>
      </c>
      <c r="AT334" s="26">
        <f>IFERROR(__xludf.DUMMYFUNCTION("""COMPUTED_VALUE"""),498.41)</f>
        <v>498.41</v>
      </c>
      <c r="AU334" s="26">
        <f>IFERROR(__xludf.DUMMYFUNCTION("""COMPUTED_VALUE"""),70.07)</f>
        <v>70.07</v>
      </c>
      <c r="AV334" s="26">
        <f>IFERROR(__xludf.DUMMYFUNCTION("""COMPUTED_VALUE"""),170.76)</f>
        <v>170.76</v>
      </c>
      <c r="AW334" s="26">
        <f>IFERROR(__xludf.DUMMYFUNCTION("""COMPUTED_VALUE"""),88.01)</f>
        <v>88.01</v>
      </c>
      <c r="AX334" s="26">
        <f>IFERROR(__xludf.DUMMYFUNCTION("""COMPUTED_VALUE"""),44.39)</f>
        <v>44.39</v>
      </c>
      <c r="AY334" s="26">
        <f>IFERROR(__xludf.DUMMYFUNCTION("""COMPUTED_VALUE"""),162.36)</f>
        <v>162.36</v>
      </c>
      <c r="AZ334" s="26">
        <f>IFERROR(__xludf.DUMMYFUNCTION("""COMPUTED_VALUE"""),67.68)</f>
        <v>67.68</v>
      </c>
      <c r="BA334" s="26">
        <f>IFERROR(__xludf.DUMMYFUNCTION("""COMPUTED_VALUE"""),24.71)</f>
        <v>24.71</v>
      </c>
      <c r="BB334" s="26">
        <f>IFERROR(__xludf.DUMMYFUNCTION("""COMPUTED_VALUE"""),151.75)</f>
        <v>151.75</v>
      </c>
      <c r="BC334" s="26">
        <f>IFERROR(__xludf.DUMMYFUNCTION("""COMPUTED_VALUE"""),242.72)</f>
        <v>242.72</v>
      </c>
      <c r="BD334" s="26">
        <f>IFERROR(__xludf.DUMMYFUNCTION("""COMPUTED_VALUE"""),482.41)</f>
        <v>482.41</v>
      </c>
      <c r="BE334" s="26">
        <f>IFERROR(__xludf.DUMMYFUNCTION("""COMPUTED_VALUE"""),200.8)</f>
        <v>200.8</v>
      </c>
      <c r="BF334" s="26">
        <f>IFERROR(__xludf.DUMMYFUNCTION("""COMPUTED_VALUE"""),108.28)</f>
        <v>108.28</v>
      </c>
      <c r="BG334" s="26">
        <f>IFERROR(__xludf.DUMMYFUNCTION("""COMPUTED_VALUE"""),5.04)</f>
        <v>5.04</v>
      </c>
      <c r="BH334" s="26">
        <f>IFERROR(__xludf.DUMMYFUNCTION("""COMPUTED_VALUE"""),216.05)</f>
        <v>216.05</v>
      </c>
      <c r="BI334" s="26">
        <f>IFERROR(__xludf.DUMMYFUNCTION("""COMPUTED_VALUE"""),347.92)</f>
        <v>347.92</v>
      </c>
      <c r="BJ334" s="26">
        <f>IFERROR(__xludf.DUMMYFUNCTION("""COMPUTED_VALUE"""),50.72)</f>
        <v>50.72</v>
      </c>
      <c r="BK334" s="26">
        <f>IFERROR(__xludf.DUMMYFUNCTION("""COMPUTED_VALUE"""),10.45)</f>
        <v>10.45</v>
      </c>
      <c r="BL334" s="26">
        <f>IFERROR(__xludf.DUMMYFUNCTION("""COMPUTED_VALUE"""),219.16)</f>
        <v>219.16</v>
      </c>
      <c r="BM334" s="26">
        <f>IFERROR(__xludf.DUMMYFUNCTION("""COMPUTED_VALUE"""),117.37)</f>
        <v>117.37</v>
      </c>
    </row>
    <row r="335">
      <c r="A335" s="25">
        <v>45911.66666666667</v>
      </c>
      <c r="B335" s="17">
        <f>IFERROR(__xludf.DUMMYFUNCTION("""COMPUTED_VALUE"""),6532.04)</f>
        <v>6532.04</v>
      </c>
      <c r="C335" s="17">
        <f>IFERROR(__xludf.DUMMYFUNCTION("""COMPUTED_VALUE"""),21886.06)</f>
        <v>21886.06</v>
      </c>
      <c r="D335" s="17">
        <f>IFERROR(__xludf.DUMMYFUNCTION("""COMPUTED_VALUE"""),45490.92)</f>
        <v>45490.92</v>
      </c>
      <c r="E335" s="17">
        <f>IFERROR(__xludf.DUMMYFUNCTION("""COMPUTED_VALUE"""),2378.01)</f>
        <v>2378.01</v>
      </c>
      <c r="F335" s="26">
        <f>IFERROR(__xludf.DUMMYFUNCTION("""COMPUTED_VALUE"""),350.16)</f>
        <v>350.16</v>
      </c>
      <c r="G335" s="26">
        <f>IFERROR(__xludf.DUMMYFUNCTION("""COMPUTED_VALUE"""),230.33)</f>
        <v>230.33</v>
      </c>
      <c r="H335" s="26">
        <f>IFERROR(__xludf.DUMMYFUNCTION("""COMPUTED_VALUE"""),138.5)</f>
        <v>138.5</v>
      </c>
      <c r="I335" s="26">
        <f>IFERROR(__xludf.DUMMYFUNCTION("""COMPUTED_VALUE"""),226.79)</f>
        <v>226.79</v>
      </c>
      <c r="J335" s="26">
        <f>IFERROR(__xludf.DUMMYFUNCTION("""COMPUTED_VALUE"""),163.42)</f>
        <v>163.42</v>
      </c>
      <c r="K335" s="26">
        <f>IFERROR(__xludf.DUMMYFUNCTION("""COMPUTED_VALUE"""),104.0)</f>
        <v>104</v>
      </c>
      <c r="L335" s="26">
        <f>IFERROR(__xludf.DUMMYFUNCTION("""COMPUTED_VALUE"""),20.49)</f>
        <v>20.49</v>
      </c>
      <c r="M335" s="26">
        <f>IFERROR(__xludf.DUMMYFUNCTION("""COMPUTED_VALUE"""),490.08)</f>
        <v>490.08</v>
      </c>
      <c r="N335" s="26">
        <f>IFERROR(__xludf.DUMMYFUNCTION("""COMPUTED_VALUE"""),53.25)</f>
        <v>53.25</v>
      </c>
      <c r="O335" s="26">
        <f>IFERROR(__xludf.DUMMYFUNCTION("""COMPUTED_VALUE"""),142.61)</f>
        <v>142.61</v>
      </c>
      <c r="P335" s="26">
        <f>IFERROR(__xludf.DUMMYFUNCTION("""COMPUTED_VALUE"""),62.5)</f>
        <v>62.5</v>
      </c>
      <c r="Q335" s="26">
        <f>IFERROR(__xludf.DUMMYFUNCTION("""COMPUTED_VALUE"""),422.91)</f>
        <v>422.91</v>
      </c>
      <c r="R335" s="26">
        <f>IFERROR(__xludf.DUMMYFUNCTION("""COMPUTED_VALUE"""),79.47)</f>
        <v>79.47</v>
      </c>
      <c r="S335" s="26">
        <f>IFERROR(__xludf.DUMMYFUNCTION("""COMPUTED_VALUE"""),194.24)</f>
        <v>194.24</v>
      </c>
      <c r="T335" s="26">
        <f>IFERROR(__xludf.DUMMYFUNCTION("""COMPUTED_VALUE"""),157.79)</f>
        <v>157.79</v>
      </c>
      <c r="U335" s="26">
        <f>IFERROR(__xludf.DUMMYFUNCTION("""COMPUTED_VALUE"""),302.44)</f>
        <v>302.44</v>
      </c>
      <c r="V335" s="26">
        <f>IFERROR(__xludf.DUMMYFUNCTION("""COMPUTED_VALUE"""),51.81)</f>
        <v>51.81</v>
      </c>
      <c r="W335" s="26">
        <f>IFERROR(__xludf.DUMMYFUNCTION("""COMPUTED_VALUE"""),67.82)</f>
        <v>67.82</v>
      </c>
      <c r="X335" s="26">
        <f>IFERROR(__xludf.DUMMYFUNCTION("""COMPUTED_VALUE"""),97.08)</f>
        <v>97.08</v>
      </c>
      <c r="Y335" s="26">
        <f>IFERROR(__xludf.DUMMYFUNCTION("""COMPUTED_VALUE"""),173.89)</f>
        <v>173.89</v>
      </c>
      <c r="Z335" s="26">
        <f>IFERROR(__xludf.DUMMYFUNCTION("""COMPUTED_VALUE"""),98.85)</f>
        <v>98.85</v>
      </c>
      <c r="AA335" s="26">
        <f>IFERROR(__xludf.DUMMYFUNCTION("""COMPUTED_VALUE"""),450.56)</f>
        <v>450.56</v>
      </c>
      <c r="AB335" s="26">
        <f>IFERROR(__xludf.DUMMYFUNCTION("""COMPUTED_VALUE"""),91.29)</f>
        <v>91.29</v>
      </c>
      <c r="AC335" s="26">
        <f>IFERROR(__xludf.DUMMYFUNCTION("""COMPUTED_VALUE"""),112.5)</f>
        <v>112.5</v>
      </c>
      <c r="AD335" s="26">
        <f>IFERROR(__xludf.DUMMYFUNCTION("""COMPUTED_VALUE"""),225.69)</f>
        <v>225.69</v>
      </c>
      <c r="AE335" s="26">
        <f>IFERROR(__xludf.DUMMYFUNCTION("""COMPUTED_VALUE"""),473.62)</f>
        <v>473.62</v>
      </c>
      <c r="AF335" s="26">
        <f>IFERROR(__xludf.DUMMYFUNCTION("""COMPUTED_VALUE"""),323.05)</f>
        <v>323.05</v>
      </c>
      <c r="AG335" s="26">
        <f>IFERROR(__xludf.DUMMYFUNCTION("""COMPUTED_VALUE"""),57.34)</f>
        <v>57.34</v>
      </c>
      <c r="AH335" s="26">
        <f>IFERROR(__xludf.DUMMYFUNCTION("""COMPUTED_VALUE"""),115.25)</f>
        <v>115.25</v>
      </c>
      <c r="AI335" s="26">
        <f>IFERROR(__xludf.DUMMYFUNCTION("""COMPUTED_VALUE"""),769.58)</f>
        <v>769.58</v>
      </c>
      <c r="AJ335" s="26">
        <f>IFERROR(__xludf.DUMMYFUNCTION("""COMPUTED_VALUE"""),413.23)</f>
        <v>413.23</v>
      </c>
      <c r="AK335" s="26">
        <f>IFERROR(__xludf.DUMMYFUNCTION("""COMPUTED_VALUE"""),136.19)</f>
        <v>136.19</v>
      </c>
      <c r="AL335" s="26">
        <f>IFERROR(__xludf.DUMMYFUNCTION("""COMPUTED_VALUE"""),172.23)</f>
        <v>172.23</v>
      </c>
      <c r="AM335" s="26">
        <f>IFERROR(__xludf.DUMMYFUNCTION("""COMPUTED_VALUE"""),449.98)</f>
        <v>449.98</v>
      </c>
      <c r="AN335" s="26">
        <f>IFERROR(__xludf.DUMMYFUNCTION("""COMPUTED_VALUE"""),300.54)</f>
        <v>300.54</v>
      </c>
      <c r="AO335" s="26">
        <f>IFERROR(__xludf.DUMMYFUNCTION("""COMPUTED_VALUE"""),463.87)</f>
        <v>463.87</v>
      </c>
      <c r="AP335" s="26">
        <f>IFERROR(__xludf.DUMMYFUNCTION("""COMPUTED_VALUE"""),163.9)</f>
        <v>163.9</v>
      </c>
      <c r="AQ335" s="26">
        <f>IFERROR(__xludf.DUMMYFUNCTION("""COMPUTED_VALUE"""),30.87)</f>
        <v>30.87</v>
      </c>
      <c r="AR335" s="26">
        <f>IFERROR(__xludf.DUMMYFUNCTION("""COMPUTED_VALUE"""),92.32)</f>
        <v>92.32</v>
      </c>
      <c r="AS335" s="26">
        <f>IFERROR(__xludf.DUMMYFUNCTION("""COMPUTED_VALUE"""),79.23)</f>
        <v>79.23</v>
      </c>
      <c r="AT335" s="26">
        <f>IFERROR(__xludf.DUMMYFUNCTION("""COMPUTED_VALUE"""),500.37)</f>
        <v>500.37</v>
      </c>
      <c r="AU335" s="26">
        <f>IFERROR(__xludf.DUMMYFUNCTION("""COMPUTED_VALUE"""),71.04)</f>
        <v>71.04</v>
      </c>
      <c r="AV335" s="26">
        <f>IFERROR(__xludf.DUMMYFUNCTION("""COMPUTED_VALUE"""),177.33)</f>
        <v>177.33</v>
      </c>
      <c r="AW335" s="26">
        <f>IFERROR(__xludf.DUMMYFUNCTION("""COMPUTED_VALUE"""),87.63)</f>
        <v>87.63</v>
      </c>
      <c r="AX335" s="26">
        <f>IFERROR(__xludf.DUMMYFUNCTION("""COMPUTED_VALUE"""),42.85)</f>
        <v>42.85</v>
      </c>
      <c r="AY335" s="26">
        <f>IFERROR(__xludf.DUMMYFUNCTION("""COMPUTED_VALUE"""),166.74)</f>
        <v>166.74</v>
      </c>
      <c r="AZ335" s="26">
        <f>IFERROR(__xludf.DUMMYFUNCTION("""COMPUTED_VALUE"""),65.64)</f>
        <v>65.64</v>
      </c>
      <c r="BA335" s="26">
        <f>IFERROR(__xludf.DUMMYFUNCTION("""COMPUTED_VALUE"""),24.57)</f>
        <v>24.57</v>
      </c>
      <c r="BB335" s="26">
        <f>IFERROR(__xludf.DUMMYFUNCTION("""COMPUTED_VALUE"""),155.0)</f>
        <v>155</v>
      </c>
      <c r="BC335" s="26">
        <f>IFERROR(__xludf.DUMMYFUNCTION("""COMPUTED_VALUE"""),240.38)</f>
        <v>240.38</v>
      </c>
      <c r="BD335" s="26">
        <f>IFERROR(__xludf.DUMMYFUNCTION("""COMPUTED_VALUE"""),476.54)</f>
        <v>476.54</v>
      </c>
      <c r="BE335" s="26">
        <f>IFERROR(__xludf.DUMMYFUNCTION("""COMPUTED_VALUE"""),197.38)</f>
        <v>197.38</v>
      </c>
      <c r="BF335" s="26">
        <f>IFERROR(__xludf.DUMMYFUNCTION("""COMPUTED_VALUE"""),107.79)</f>
        <v>107.79</v>
      </c>
      <c r="BG335" s="26">
        <f>IFERROR(__xludf.DUMMYFUNCTION("""COMPUTED_VALUE"""),5.0)</f>
        <v>5</v>
      </c>
      <c r="BH335" s="26">
        <f>IFERROR(__xludf.DUMMYFUNCTION("""COMPUTED_VALUE"""),215.19)</f>
        <v>215.19</v>
      </c>
      <c r="BI335" s="26">
        <f>IFERROR(__xludf.DUMMYFUNCTION("""COMPUTED_VALUE"""),346.78)</f>
        <v>346.78</v>
      </c>
      <c r="BJ335" s="26">
        <f>IFERROR(__xludf.DUMMYFUNCTION("""COMPUTED_VALUE"""),50.7)</f>
        <v>50.7</v>
      </c>
      <c r="BK335" s="26">
        <f>IFERROR(__xludf.DUMMYFUNCTION("""COMPUTED_VALUE"""),10.24)</f>
        <v>10.24</v>
      </c>
      <c r="BL335" s="26">
        <f>IFERROR(__xludf.DUMMYFUNCTION("""COMPUTED_VALUE"""),217.69)</f>
        <v>217.69</v>
      </c>
      <c r="BM335" s="26">
        <f>IFERROR(__xludf.DUMMYFUNCTION("""COMPUTED_VALUE"""),115.79)</f>
        <v>115.79</v>
      </c>
    </row>
    <row r="336">
      <c r="A336" s="25">
        <v>45912.66666666667</v>
      </c>
      <c r="B336" s="17">
        <f>IFERROR(__xludf.DUMMYFUNCTION("""COMPUTED_VALUE"""),6587.47)</f>
        <v>6587.47</v>
      </c>
      <c r="C336" s="17">
        <f>IFERROR(__xludf.DUMMYFUNCTION("""COMPUTED_VALUE"""),22043.08)</f>
        <v>22043.08</v>
      </c>
      <c r="D336" s="17">
        <f>IFERROR(__xludf.DUMMYFUNCTION("""COMPUTED_VALUE"""),46108.0)</f>
        <v>46108</v>
      </c>
      <c r="E336" s="17">
        <f>IFERROR(__xludf.DUMMYFUNCTION("""COMPUTED_VALUE"""),2421.53)</f>
        <v>2421.53</v>
      </c>
      <c r="F336" s="26">
        <f>IFERROR(__xludf.DUMMYFUNCTION("""COMPUTED_VALUE"""),350.55)</f>
        <v>350.55</v>
      </c>
      <c r="G336" s="26">
        <f>IFERROR(__xludf.DUMMYFUNCTION("""COMPUTED_VALUE"""),229.95)</f>
        <v>229.95</v>
      </c>
      <c r="H336" s="26">
        <f>IFERROR(__xludf.DUMMYFUNCTION("""COMPUTED_VALUE"""),139.63)</f>
        <v>139.63</v>
      </c>
      <c r="I336" s="26">
        <f>IFERROR(__xludf.DUMMYFUNCTION("""COMPUTED_VALUE"""),230.03)</f>
        <v>230.03</v>
      </c>
      <c r="J336" s="26">
        <f>IFERROR(__xludf.DUMMYFUNCTION("""COMPUTED_VALUE"""),170.15)</f>
        <v>170.15</v>
      </c>
      <c r="K336" s="26">
        <f>IFERROR(__xludf.DUMMYFUNCTION("""COMPUTED_VALUE"""),105.6)</f>
        <v>105.6</v>
      </c>
      <c r="L336" s="26">
        <f>IFERROR(__xludf.DUMMYFUNCTION("""COMPUTED_VALUE"""),20.79)</f>
        <v>20.79</v>
      </c>
      <c r="M336" s="26">
        <f>IFERROR(__xludf.DUMMYFUNCTION("""COMPUTED_VALUE"""),496.91)</f>
        <v>496.91</v>
      </c>
      <c r="N336" s="26">
        <f>IFERROR(__xludf.DUMMYFUNCTION("""COMPUTED_VALUE"""),54.21)</f>
        <v>54.21</v>
      </c>
      <c r="O336" s="26">
        <f>IFERROR(__xludf.DUMMYFUNCTION("""COMPUTED_VALUE"""),148.84)</f>
        <v>148.84</v>
      </c>
      <c r="P336" s="26">
        <f>IFERROR(__xludf.DUMMYFUNCTION("""COMPUTED_VALUE"""),62.3)</f>
        <v>62.3</v>
      </c>
      <c r="Q336" s="26">
        <f>IFERROR(__xludf.DUMMYFUNCTION("""COMPUTED_VALUE"""),431.38)</f>
        <v>431.38</v>
      </c>
      <c r="R336" s="26">
        <f>IFERROR(__xludf.DUMMYFUNCTION("""COMPUTED_VALUE"""),79.89)</f>
        <v>79.89</v>
      </c>
      <c r="S336" s="26">
        <f>IFERROR(__xludf.DUMMYFUNCTION("""COMPUTED_VALUE"""),196.54)</f>
        <v>196.54</v>
      </c>
      <c r="T336" s="26">
        <f>IFERROR(__xludf.DUMMYFUNCTION("""COMPUTED_VALUE"""),158.25)</f>
        <v>158.25</v>
      </c>
      <c r="U336" s="26">
        <f>IFERROR(__xludf.DUMMYFUNCTION("""COMPUTED_VALUE"""),305.87)</f>
        <v>305.87</v>
      </c>
      <c r="V336" s="26">
        <f>IFERROR(__xludf.DUMMYFUNCTION("""COMPUTED_VALUE"""),51.76)</f>
        <v>51.76</v>
      </c>
      <c r="W336" s="26">
        <f>IFERROR(__xludf.DUMMYFUNCTION("""COMPUTED_VALUE"""),67.62)</f>
        <v>67.62</v>
      </c>
      <c r="X336" s="26">
        <f>IFERROR(__xludf.DUMMYFUNCTION("""COMPUTED_VALUE"""),97.7)</f>
        <v>97.7</v>
      </c>
      <c r="Y336" s="26">
        <f>IFERROR(__xludf.DUMMYFUNCTION("""COMPUTED_VALUE"""),174.67)</f>
        <v>174.67</v>
      </c>
      <c r="Z336" s="26">
        <f>IFERROR(__xludf.DUMMYFUNCTION("""COMPUTED_VALUE"""),99.39)</f>
        <v>99.39</v>
      </c>
      <c r="AA336" s="26">
        <f>IFERROR(__xludf.DUMMYFUNCTION("""COMPUTED_VALUE"""),456.62)</f>
        <v>456.62</v>
      </c>
      <c r="AB336" s="26">
        <f>IFERROR(__xludf.DUMMYFUNCTION("""COMPUTED_VALUE"""),92.46)</f>
        <v>92.46</v>
      </c>
      <c r="AC336" s="26">
        <f>IFERROR(__xludf.DUMMYFUNCTION("""COMPUTED_VALUE"""),112.14)</f>
        <v>112.14</v>
      </c>
      <c r="AD336" s="26">
        <f>IFERROR(__xludf.DUMMYFUNCTION("""COMPUTED_VALUE"""),228.81)</f>
        <v>228.81</v>
      </c>
      <c r="AE336" s="26">
        <f>IFERROR(__xludf.DUMMYFUNCTION("""COMPUTED_VALUE"""),479.36)</f>
        <v>479.36</v>
      </c>
      <c r="AF336" s="26">
        <f>IFERROR(__xludf.DUMMYFUNCTION("""COMPUTED_VALUE"""),329.62)</f>
        <v>329.62</v>
      </c>
      <c r="AG336" s="26">
        <f>IFERROR(__xludf.DUMMYFUNCTION("""COMPUTED_VALUE"""),58.71)</f>
        <v>58.71</v>
      </c>
      <c r="AH336" s="26">
        <f>IFERROR(__xludf.DUMMYFUNCTION("""COMPUTED_VALUE"""),117.86)</f>
        <v>117.86</v>
      </c>
      <c r="AI336" s="26">
        <f>IFERROR(__xludf.DUMMYFUNCTION("""COMPUTED_VALUE"""),784.73)</f>
        <v>784.73</v>
      </c>
      <c r="AJ336" s="26">
        <f>IFERROR(__xludf.DUMMYFUNCTION("""COMPUTED_VALUE"""),423.42)</f>
        <v>423.42</v>
      </c>
      <c r="AK336" s="26">
        <f>IFERROR(__xludf.DUMMYFUNCTION("""COMPUTED_VALUE"""),141.88)</f>
        <v>141.88</v>
      </c>
      <c r="AL336" s="26">
        <f>IFERROR(__xludf.DUMMYFUNCTION("""COMPUTED_VALUE"""),176.17)</f>
        <v>176.17</v>
      </c>
      <c r="AM336" s="26">
        <f>IFERROR(__xludf.DUMMYFUNCTION("""COMPUTED_VALUE"""),455.85)</f>
        <v>455.85</v>
      </c>
      <c r="AN336" s="26">
        <f>IFERROR(__xludf.DUMMYFUNCTION("""COMPUTED_VALUE"""),305.56)</f>
        <v>305.56</v>
      </c>
      <c r="AO336" s="26">
        <f>IFERROR(__xludf.DUMMYFUNCTION("""COMPUTED_VALUE"""),470.73)</f>
        <v>470.73</v>
      </c>
      <c r="AP336" s="26">
        <f>IFERROR(__xludf.DUMMYFUNCTION("""COMPUTED_VALUE"""),165.78)</f>
        <v>165.78</v>
      </c>
      <c r="AQ336" s="26">
        <f>IFERROR(__xludf.DUMMYFUNCTION("""COMPUTED_VALUE"""),31.79)</f>
        <v>31.79</v>
      </c>
      <c r="AR336" s="26">
        <f>IFERROR(__xludf.DUMMYFUNCTION("""COMPUTED_VALUE"""),94.25)</f>
        <v>94.25</v>
      </c>
      <c r="AS336" s="26">
        <f>IFERROR(__xludf.DUMMYFUNCTION("""COMPUTED_VALUE"""),80.34)</f>
        <v>80.34</v>
      </c>
      <c r="AT336" s="26">
        <f>IFERROR(__xludf.DUMMYFUNCTION("""COMPUTED_VALUE"""),501.01)</f>
        <v>501.01</v>
      </c>
      <c r="AU336" s="26">
        <f>IFERROR(__xludf.DUMMYFUNCTION("""COMPUTED_VALUE"""),71.32)</f>
        <v>71.32</v>
      </c>
      <c r="AV336" s="26">
        <f>IFERROR(__xludf.DUMMYFUNCTION("""COMPUTED_VALUE"""),177.17)</f>
        <v>177.17</v>
      </c>
      <c r="AW336" s="26">
        <f>IFERROR(__xludf.DUMMYFUNCTION("""COMPUTED_VALUE"""),89.38)</f>
        <v>89.38</v>
      </c>
      <c r="AX336" s="26">
        <f>IFERROR(__xludf.DUMMYFUNCTION("""COMPUTED_VALUE"""),43.3)</f>
        <v>43.3</v>
      </c>
      <c r="AY336" s="26">
        <f>IFERROR(__xludf.DUMMYFUNCTION("""COMPUTED_VALUE"""),164.36)</f>
        <v>164.36</v>
      </c>
      <c r="AZ336" s="26">
        <f>IFERROR(__xludf.DUMMYFUNCTION("""COMPUTED_VALUE"""),67.27)</f>
        <v>67.27</v>
      </c>
      <c r="BA336" s="26">
        <f>IFERROR(__xludf.DUMMYFUNCTION("""COMPUTED_VALUE"""),24.86)</f>
        <v>24.86</v>
      </c>
      <c r="BB336" s="26">
        <f>IFERROR(__xludf.DUMMYFUNCTION("""COMPUTED_VALUE"""),157.65)</f>
        <v>157.65</v>
      </c>
      <c r="BC336" s="26">
        <f>IFERROR(__xludf.DUMMYFUNCTION("""COMPUTED_VALUE"""),241.39)</f>
        <v>241.39</v>
      </c>
      <c r="BD336" s="26">
        <f>IFERROR(__xludf.DUMMYFUNCTION("""COMPUTED_VALUE"""),491.41)</f>
        <v>491.41</v>
      </c>
      <c r="BE336" s="26">
        <f>IFERROR(__xludf.DUMMYFUNCTION("""COMPUTED_VALUE"""),197.63)</f>
        <v>197.63</v>
      </c>
      <c r="BF336" s="26">
        <f>IFERROR(__xludf.DUMMYFUNCTION("""COMPUTED_VALUE"""),116.99)</f>
        <v>116.99</v>
      </c>
      <c r="BG336" s="26">
        <f>IFERROR(__xludf.DUMMYFUNCTION("""COMPUTED_VALUE"""),5.03)</f>
        <v>5.03</v>
      </c>
      <c r="BH336" s="26">
        <f>IFERROR(__xludf.DUMMYFUNCTION("""COMPUTED_VALUE"""),216.04)</f>
        <v>216.04</v>
      </c>
      <c r="BI336" s="26">
        <f>IFERROR(__xludf.DUMMYFUNCTION("""COMPUTED_VALUE"""),353.61)</f>
        <v>353.61</v>
      </c>
      <c r="BJ336" s="26">
        <f>IFERROR(__xludf.DUMMYFUNCTION("""COMPUTED_VALUE"""),50.7)</f>
        <v>50.7</v>
      </c>
      <c r="BK336" s="26">
        <f>IFERROR(__xludf.DUMMYFUNCTION("""COMPUTED_VALUE"""),10.17)</f>
        <v>10.17</v>
      </c>
      <c r="BL336" s="26">
        <f>IFERROR(__xludf.DUMMYFUNCTION("""COMPUTED_VALUE"""),220.5)</f>
        <v>220.5</v>
      </c>
      <c r="BM336" s="26">
        <f>IFERROR(__xludf.DUMMYFUNCTION("""COMPUTED_VALUE"""),117.08)</f>
        <v>117.08</v>
      </c>
    </row>
    <row r="337">
      <c r="A337" s="25">
        <v>45915.66666666667</v>
      </c>
      <c r="B337" s="17">
        <f>IFERROR(__xludf.DUMMYFUNCTION("""COMPUTED_VALUE"""),6584.29)</f>
        <v>6584.29</v>
      </c>
      <c r="C337" s="17">
        <f>IFERROR(__xludf.DUMMYFUNCTION("""COMPUTED_VALUE"""),22141.1)</f>
        <v>22141.1</v>
      </c>
      <c r="D337" s="17">
        <f>IFERROR(__xludf.DUMMYFUNCTION("""COMPUTED_VALUE"""),45834.22)</f>
        <v>45834.22</v>
      </c>
      <c r="E337" s="17">
        <f>IFERROR(__xludf.DUMMYFUNCTION("""COMPUTED_VALUE"""),2397.06)</f>
        <v>2397.06</v>
      </c>
      <c r="F337" s="26">
        <f>IFERROR(__xludf.DUMMYFUNCTION("""COMPUTED_VALUE"""),349.36)</f>
        <v>349.36</v>
      </c>
      <c r="G337" s="26">
        <f>IFERROR(__xludf.DUMMYFUNCTION("""COMPUTED_VALUE"""),228.15)</f>
        <v>228.15</v>
      </c>
      <c r="H337" s="26">
        <f>IFERROR(__xludf.DUMMYFUNCTION("""COMPUTED_VALUE"""),139.28)</f>
        <v>139.28</v>
      </c>
      <c r="I337" s="26">
        <f>IFERROR(__xludf.DUMMYFUNCTION("""COMPUTED_VALUE"""),234.07)</f>
        <v>234.07</v>
      </c>
      <c r="J337" s="26">
        <f>IFERROR(__xludf.DUMMYFUNCTION("""COMPUTED_VALUE"""),167.8)</f>
        <v>167.8</v>
      </c>
      <c r="K337" s="26">
        <f>IFERROR(__xludf.DUMMYFUNCTION("""COMPUTED_VALUE"""),106.48)</f>
        <v>106.48</v>
      </c>
      <c r="L337" s="26">
        <f>IFERROR(__xludf.DUMMYFUNCTION("""COMPUTED_VALUE"""),20.72)</f>
        <v>20.72</v>
      </c>
      <c r="M337" s="26">
        <f>IFERROR(__xludf.DUMMYFUNCTION("""COMPUTED_VALUE"""),493.74)</f>
        <v>493.74</v>
      </c>
      <c r="N337" s="26">
        <f>IFERROR(__xludf.DUMMYFUNCTION("""COMPUTED_VALUE"""),54.07)</f>
        <v>54.07</v>
      </c>
      <c r="O337" s="26">
        <f>IFERROR(__xludf.DUMMYFUNCTION("""COMPUTED_VALUE"""),144.86)</f>
        <v>144.86</v>
      </c>
      <c r="P337" s="26">
        <f>IFERROR(__xludf.DUMMYFUNCTION("""COMPUTED_VALUE"""),61.67)</f>
        <v>61.67</v>
      </c>
      <c r="Q337" s="26">
        <f>IFERROR(__xludf.DUMMYFUNCTION("""COMPUTED_VALUE"""),431.52)</f>
        <v>431.52</v>
      </c>
      <c r="R337" s="26">
        <f>IFERROR(__xludf.DUMMYFUNCTION("""COMPUTED_VALUE"""),78.11)</f>
        <v>78.11</v>
      </c>
      <c r="S337" s="26">
        <f>IFERROR(__xludf.DUMMYFUNCTION("""COMPUTED_VALUE"""),195.19)</f>
        <v>195.19</v>
      </c>
      <c r="T337" s="26">
        <f>IFERROR(__xludf.DUMMYFUNCTION("""COMPUTED_VALUE"""),157.11)</f>
        <v>157.11</v>
      </c>
      <c r="U337" s="26">
        <f>IFERROR(__xludf.DUMMYFUNCTION("""COMPUTED_VALUE"""),302.76)</f>
        <v>302.76</v>
      </c>
      <c r="V337" s="26">
        <f>IFERROR(__xludf.DUMMYFUNCTION("""COMPUTED_VALUE"""),51.82)</f>
        <v>51.82</v>
      </c>
      <c r="W337" s="26">
        <f>IFERROR(__xludf.DUMMYFUNCTION("""COMPUTED_VALUE"""),67.01)</f>
        <v>67.01</v>
      </c>
      <c r="X337" s="26">
        <f>IFERROR(__xludf.DUMMYFUNCTION("""COMPUTED_VALUE"""),97.55)</f>
        <v>97.55</v>
      </c>
      <c r="Y337" s="26">
        <f>IFERROR(__xludf.DUMMYFUNCTION("""COMPUTED_VALUE"""),173.5)</f>
        <v>173.5</v>
      </c>
      <c r="Z337" s="26">
        <f>IFERROR(__xludf.DUMMYFUNCTION("""COMPUTED_VALUE"""),97.45)</f>
        <v>97.45</v>
      </c>
      <c r="AA337" s="26">
        <f>IFERROR(__xludf.DUMMYFUNCTION("""COMPUTED_VALUE"""),452.05)</f>
        <v>452.05</v>
      </c>
      <c r="AB337" s="26">
        <f>IFERROR(__xludf.DUMMYFUNCTION("""COMPUTED_VALUE"""),90.8)</f>
        <v>90.8</v>
      </c>
      <c r="AC337" s="26">
        <f>IFERROR(__xludf.DUMMYFUNCTION("""COMPUTED_VALUE"""),112.16)</f>
        <v>112.16</v>
      </c>
      <c r="AD337" s="26">
        <f>IFERROR(__xludf.DUMMYFUNCTION("""COMPUTED_VALUE"""),229.55)</f>
        <v>229.55</v>
      </c>
      <c r="AE337" s="26">
        <f>IFERROR(__xludf.DUMMYFUNCTION("""COMPUTED_VALUE"""),478.0)</f>
        <v>478</v>
      </c>
      <c r="AF337" s="26">
        <f>IFERROR(__xludf.DUMMYFUNCTION("""COMPUTED_VALUE"""),326.15)</f>
        <v>326.15</v>
      </c>
      <c r="AG337" s="26">
        <f>IFERROR(__xludf.DUMMYFUNCTION("""COMPUTED_VALUE"""),58.5)</f>
        <v>58.5</v>
      </c>
      <c r="AH337" s="26">
        <f>IFERROR(__xludf.DUMMYFUNCTION("""COMPUTED_VALUE"""),114.55)</f>
        <v>114.55</v>
      </c>
      <c r="AI337" s="26">
        <f>IFERROR(__xludf.DUMMYFUNCTION("""COMPUTED_VALUE"""),780.06)</f>
        <v>780.06</v>
      </c>
      <c r="AJ337" s="26">
        <f>IFERROR(__xludf.DUMMYFUNCTION("""COMPUTED_VALUE"""),422.69)</f>
        <v>422.69</v>
      </c>
      <c r="AK337" s="26">
        <f>IFERROR(__xludf.DUMMYFUNCTION("""COMPUTED_VALUE"""),140.7)</f>
        <v>140.7</v>
      </c>
      <c r="AL337" s="26">
        <f>IFERROR(__xludf.DUMMYFUNCTION("""COMPUTED_VALUE"""),173.97)</f>
        <v>173.97</v>
      </c>
      <c r="AM337" s="26">
        <f>IFERROR(__xludf.DUMMYFUNCTION("""COMPUTED_VALUE"""),449.68)</f>
        <v>449.68</v>
      </c>
      <c r="AN337" s="26">
        <f>IFERROR(__xludf.DUMMYFUNCTION("""COMPUTED_VALUE"""),306.91)</f>
        <v>306.91</v>
      </c>
      <c r="AO337" s="26">
        <f>IFERROR(__xludf.DUMMYFUNCTION("""COMPUTED_VALUE"""),471.31)</f>
        <v>471.31</v>
      </c>
      <c r="AP337" s="26">
        <f>IFERROR(__xludf.DUMMYFUNCTION("""COMPUTED_VALUE"""),159.87)</f>
        <v>159.87</v>
      </c>
      <c r="AQ337" s="26">
        <f>IFERROR(__xludf.DUMMYFUNCTION("""COMPUTED_VALUE"""),31.89)</f>
        <v>31.89</v>
      </c>
      <c r="AR337" s="26">
        <f>IFERROR(__xludf.DUMMYFUNCTION("""COMPUTED_VALUE"""),94.03)</f>
        <v>94.03</v>
      </c>
      <c r="AS337" s="26">
        <f>IFERROR(__xludf.DUMMYFUNCTION("""COMPUTED_VALUE"""),80.82)</f>
        <v>80.82</v>
      </c>
      <c r="AT337" s="26">
        <f>IFERROR(__xludf.DUMMYFUNCTION("""COMPUTED_VALUE"""),509.9)</f>
        <v>509.9</v>
      </c>
      <c r="AU337" s="26">
        <f>IFERROR(__xludf.DUMMYFUNCTION("""COMPUTED_VALUE"""),71.64)</f>
        <v>71.64</v>
      </c>
      <c r="AV337" s="26">
        <f>IFERROR(__xludf.DUMMYFUNCTION("""COMPUTED_VALUE"""),177.82)</f>
        <v>177.82</v>
      </c>
      <c r="AW337" s="26">
        <f>IFERROR(__xludf.DUMMYFUNCTION("""COMPUTED_VALUE"""),89.06)</f>
        <v>89.06</v>
      </c>
      <c r="AX337" s="26">
        <f>IFERROR(__xludf.DUMMYFUNCTION("""COMPUTED_VALUE"""),42.89)</f>
        <v>42.89</v>
      </c>
      <c r="AY337" s="26">
        <f>IFERROR(__xludf.DUMMYFUNCTION("""COMPUTED_VALUE"""),171.43)</f>
        <v>171.43</v>
      </c>
      <c r="AZ337" s="26">
        <f>IFERROR(__xludf.DUMMYFUNCTION("""COMPUTED_VALUE"""),66.89)</f>
        <v>66.89</v>
      </c>
      <c r="BA337" s="26">
        <f>IFERROR(__xludf.DUMMYFUNCTION("""COMPUTED_VALUE"""),23.87)</f>
        <v>23.87</v>
      </c>
      <c r="BB337" s="26">
        <f>IFERROR(__xludf.DUMMYFUNCTION("""COMPUTED_VALUE"""),155.85)</f>
        <v>155.85</v>
      </c>
      <c r="BC337" s="26">
        <f>IFERROR(__xludf.DUMMYFUNCTION("""COMPUTED_VALUE"""),241.72)</f>
        <v>241.72</v>
      </c>
      <c r="BD337" s="26">
        <f>IFERROR(__xludf.DUMMYFUNCTION("""COMPUTED_VALUE"""),479.46)</f>
        <v>479.46</v>
      </c>
      <c r="BE337" s="26">
        <f>IFERROR(__xludf.DUMMYFUNCTION("""COMPUTED_VALUE"""),196.13)</f>
        <v>196.13</v>
      </c>
      <c r="BF337" s="26">
        <f>IFERROR(__xludf.DUMMYFUNCTION("""COMPUTED_VALUE"""),114.57)</f>
        <v>114.57</v>
      </c>
      <c r="BG337" s="26">
        <f>IFERROR(__xludf.DUMMYFUNCTION("""COMPUTED_VALUE"""),4.85)</f>
        <v>4.85</v>
      </c>
      <c r="BH337" s="26">
        <f>IFERROR(__xludf.DUMMYFUNCTION("""COMPUTED_VALUE"""),214.91)</f>
        <v>214.91</v>
      </c>
      <c r="BI337" s="26">
        <f>IFERROR(__xludf.DUMMYFUNCTION("""COMPUTED_VALUE"""),352.51)</f>
        <v>352.51</v>
      </c>
      <c r="BJ337" s="26">
        <f>IFERROR(__xludf.DUMMYFUNCTION("""COMPUTED_VALUE"""),50.69)</f>
        <v>50.69</v>
      </c>
      <c r="BK337" s="26">
        <f>IFERROR(__xludf.DUMMYFUNCTION("""COMPUTED_VALUE"""),9.96)</f>
        <v>9.96</v>
      </c>
      <c r="BL337" s="26">
        <f>IFERROR(__xludf.DUMMYFUNCTION("""COMPUTED_VALUE"""),218.16)</f>
        <v>218.16</v>
      </c>
      <c r="BM337" s="26">
        <f>IFERROR(__xludf.DUMMYFUNCTION("""COMPUTED_VALUE"""),115.96)</f>
        <v>115.96</v>
      </c>
    </row>
    <row r="338">
      <c r="A338" s="25">
        <v>45916.66666666667</v>
      </c>
      <c r="B338" s="17">
        <f>IFERROR(__xludf.DUMMYFUNCTION("""COMPUTED_VALUE"""),6615.28)</f>
        <v>6615.28</v>
      </c>
      <c r="C338" s="17">
        <f>IFERROR(__xludf.DUMMYFUNCTION("""COMPUTED_VALUE"""),22348.75)</f>
        <v>22348.75</v>
      </c>
      <c r="D338" s="17">
        <f>IFERROR(__xludf.DUMMYFUNCTION("""COMPUTED_VALUE"""),45883.45)</f>
        <v>45883.45</v>
      </c>
      <c r="E338" s="17">
        <f>IFERROR(__xludf.DUMMYFUNCTION("""COMPUTED_VALUE"""),2405.13)</f>
        <v>2405.13</v>
      </c>
      <c r="F338" s="26">
        <f>IFERROR(__xludf.DUMMYFUNCTION("""COMPUTED_VALUE"""),347.1)</f>
        <v>347.1</v>
      </c>
      <c r="G338" s="26">
        <f>IFERROR(__xludf.DUMMYFUNCTION("""COMPUTED_VALUE"""),231.43)</f>
        <v>231.43</v>
      </c>
      <c r="H338" s="26">
        <f>IFERROR(__xludf.DUMMYFUNCTION("""COMPUTED_VALUE"""),137.58)</f>
        <v>137.58</v>
      </c>
      <c r="I338" s="26">
        <f>IFERROR(__xludf.DUMMYFUNCTION("""COMPUTED_VALUE"""),236.7)</f>
        <v>236.7</v>
      </c>
      <c r="J338" s="26">
        <f>IFERROR(__xludf.DUMMYFUNCTION("""COMPUTED_VALUE"""),170.93)</f>
        <v>170.93</v>
      </c>
      <c r="K338" s="26">
        <f>IFERROR(__xludf.DUMMYFUNCTION("""COMPUTED_VALUE"""),106.42)</f>
        <v>106.42</v>
      </c>
      <c r="L338" s="26">
        <f>IFERROR(__xludf.DUMMYFUNCTION("""COMPUTED_VALUE"""),21.05)</f>
        <v>21.05</v>
      </c>
      <c r="M338" s="26">
        <f>IFERROR(__xludf.DUMMYFUNCTION("""COMPUTED_VALUE"""),491.54)</f>
        <v>491.54</v>
      </c>
      <c r="N338" s="26">
        <f>IFERROR(__xludf.DUMMYFUNCTION("""COMPUTED_VALUE"""),54.8)</f>
        <v>54.8</v>
      </c>
      <c r="O338" s="26">
        <f>IFERROR(__xludf.DUMMYFUNCTION("""COMPUTED_VALUE"""),143.32)</f>
        <v>143.32</v>
      </c>
      <c r="P338" s="26">
        <f>IFERROR(__xludf.DUMMYFUNCTION("""COMPUTED_VALUE"""),61.24)</f>
        <v>61.24</v>
      </c>
      <c r="Q338" s="26">
        <f>IFERROR(__xludf.DUMMYFUNCTION("""COMPUTED_VALUE"""),435.94)</f>
        <v>435.94</v>
      </c>
      <c r="R338" s="26">
        <f>IFERROR(__xludf.DUMMYFUNCTION("""COMPUTED_VALUE"""),86.32)</f>
        <v>86.32</v>
      </c>
      <c r="S338" s="26">
        <f>IFERROR(__xludf.DUMMYFUNCTION("""COMPUTED_VALUE"""),198.0)</f>
        <v>198</v>
      </c>
      <c r="T338" s="26">
        <f>IFERROR(__xludf.DUMMYFUNCTION("""COMPUTED_VALUE"""),157.31)</f>
        <v>157.31</v>
      </c>
      <c r="U338" s="26">
        <f>IFERROR(__xludf.DUMMYFUNCTION("""COMPUTED_VALUE"""),297.14)</f>
        <v>297.14</v>
      </c>
      <c r="V338" s="26">
        <f>IFERROR(__xludf.DUMMYFUNCTION("""COMPUTED_VALUE"""),51.34)</f>
        <v>51.34</v>
      </c>
      <c r="W338" s="26">
        <f>IFERROR(__xludf.DUMMYFUNCTION("""COMPUTED_VALUE"""),66.21)</f>
        <v>66.21</v>
      </c>
      <c r="X338" s="26">
        <f>IFERROR(__xludf.DUMMYFUNCTION("""COMPUTED_VALUE"""),97.0)</f>
        <v>97</v>
      </c>
      <c r="Y338" s="26">
        <f>IFERROR(__xludf.DUMMYFUNCTION("""COMPUTED_VALUE"""),175.04)</f>
        <v>175.04</v>
      </c>
      <c r="Z338" s="26">
        <f>IFERROR(__xludf.DUMMYFUNCTION("""COMPUTED_VALUE"""),97.26)</f>
        <v>97.26</v>
      </c>
      <c r="AA338" s="26">
        <f>IFERROR(__xludf.DUMMYFUNCTION("""COMPUTED_VALUE"""),449.95)</f>
        <v>449.95</v>
      </c>
      <c r="AB338" s="26">
        <f>IFERROR(__xludf.DUMMYFUNCTION("""COMPUTED_VALUE"""),90.36)</f>
        <v>90.36</v>
      </c>
      <c r="AC338" s="26">
        <f>IFERROR(__xludf.DUMMYFUNCTION("""COMPUTED_VALUE"""),112.35)</f>
        <v>112.35</v>
      </c>
      <c r="AD338" s="26">
        <f>IFERROR(__xludf.DUMMYFUNCTION("""COMPUTED_VALUE"""),225.69)</f>
        <v>225.69</v>
      </c>
      <c r="AE338" s="26">
        <f>IFERROR(__xludf.DUMMYFUNCTION("""COMPUTED_VALUE"""),478.94)</f>
        <v>478.94</v>
      </c>
      <c r="AF338" s="26">
        <f>IFERROR(__xludf.DUMMYFUNCTION("""COMPUTED_VALUE"""),326.98)</f>
        <v>326.98</v>
      </c>
      <c r="AG338" s="26">
        <f>IFERROR(__xludf.DUMMYFUNCTION("""COMPUTED_VALUE"""),58.95)</f>
        <v>58.95</v>
      </c>
      <c r="AH338" s="26">
        <f>IFERROR(__xludf.DUMMYFUNCTION("""COMPUTED_VALUE"""),112.54)</f>
        <v>112.54</v>
      </c>
      <c r="AI338" s="26">
        <f>IFERROR(__xludf.DUMMYFUNCTION("""COMPUTED_VALUE"""),786.76)</f>
        <v>786.76</v>
      </c>
      <c r="AJ338" s="26">
        <f>IFERROR(__xludf.DUMMYFUNCTION("""COMPUTED_VALUE"""),422.71)</f>
        <v>422.71</v>
      </c>
      <c r="AK338" s="26">
        <f>IFERROR(__xludf.DUMMYFUNCTION("""COMPUTED_VALUE"""),140.96)</f>
        <v>140.96</v>
      </c>
      <c r="AL338" s="26">
        <f>IFERROR(__xludf.DUMMYFUNCTION("""COMPUTED_VALUE"""),172.23)</f>
        <v>172.23</v>
      </c>
      <c r="AM338" s="26">
        <f>IFERROR(__xludf.DUMMYFUNCTION("""COMPUTED_VALUE"""),433.99)</f>
        <v>433.99</v>
      </c>
      <c r="AN338" s="26">
        <f>IFERROR(__xludf.DUMMYFUNCTION("""COMPUTED_VALUE"""),308.9)</f>
        <v>308.9</v>
      </c>
      <c r="AO338" s="26">
        <f>IFERROR(__xludf.DUMMYFUNCTION("""COMPUTED_VALUE"""),473.25)</f>
        <v>473.25</v>
      </c>
      <c r="AP338" s="26">
        <f>IFERROR(__xludf.DUMMYFUNCTION("""COMPUTED_VALUE"""),159.98)</f>
        <v>159.98</v>
      </c>
      <c r="AQ338" s="26">
        <f>IFERROR(__xludf.DUMMYFUNCTION("""COMPUTED_VALUE"""),32.34)</f>
        <v>32.34</v>
      </c>
      <c r="AR338" s="26">
        <f>IFERROR(__xludf.DUMMYFUNCTION("""COMPUTED_VALUE"""),93.43)</f>
        <v>93.43</v>
      </c>
      <c r="AS338" s="26">
        <f>IFERROR(__xludf.DUMMYFUNCTION("""COMPUTED_VALUE"""),80.46)</f>
        <v>80.46</v>
      </c>
      <c r="AT338" s="26">
        <f>IFERROR(__xludf.DUMMYFUNCTION("""COMPUTED_VALUE"""),515.36)</f>
        <v>515.36</v>
      </c>
      <c r="AU338" s="26">
        <f>IFERROR(__xludf.DUMMYFUNCTION("""COMPUTED_VALUE"""),71.5)</f>
        <v>71.5</v>
      </c>
      <c r="AV338" s="26">
        <f>IFERROR(__xludf.DUMMYFUNCTION("""COMPUTED_VALUE"""),177.75)</f>
        <v>177.75</v>
      </c>
      <c r="AW338" s="26">
        <f>IFERROR(__xludf.DUMMYFUNCTION("""COMPUTED_VALUE"""),89.63)</f>
        <v>89.63</v>
      </c>
      <c r="AX338" s="26">
        <f>IFERROR(__xludf.DUMMYFUNCTION("""COMPUTED_VALUE"""),42.67)</f>
        <v>42.67</v>
      </c>
      <c r="AY338" s="26">
        <f>IFERROR(__xludf.DUMMYFUNCTION("""COMPUTED_VALUE"""),171.21)</f>
        <v>171.21</v>
      </c>
      <c r="AZ338" s="26">
        <f>IFERROR(__xludf.DUMMYFUNCTION("""COMPUTED_VALUE"""),67.11)</f>
        <v>67.11</v>
      </c>
      <c r="BA338" s="26">
        <f>IFERROR(__xludf.DUMMYFUNCTION("""COMPUTED_VALUE"""),23.97)</f>
        <v>23.97</v>
      </c>
      <c r="BB338" s="26">
        <f>IFERROR(__xludf.DUMMYFUNCTION("""COMPUTED_VALUE"""),158.37)</f>
        <v>158.37</v>
      </c>
      <c r="BC338" s="26">
        <f>IFERROR(__xludf.DUMMYFUNCTION("""COMPUTED_VALUE"""),239.74)</f>
        <v>239.74</v>
      </c>
      <c r="BD338" s="26">
        <f>IFERROR(__xludf.DUMMYFUNCTION("""COMPUTED_VALUE"""),474.46)</f>
        <v>474.46</v>
      </c>
      <c r="BE338" s="26">
        <f>IFERROR(__xludf.DUMMYFUNCTION("""COMPUTED_VALUE"""),197.28)</f>
        <v>197.28</v>
      </c>
      <c r="BF338" s="26">
        <f>IFERROR(__xludf.DUMMYFUNCTION("""COMPUTED_VALUE"""),114.29)</f>
        <v>114.29</v>
      </c>
      <c r="BG338" s="26">
        <f>IFERROR(__xludf.DUMMYFUNCTION("""COMPUTED_VALUE"""),4.88)</f>
        <v>4.88</v>
      </c>
      <c r="BH338" s="26">
        <f>IFERROR(__xludf.DUMMYFUNCTION("""COMPUTED_VALUE"""),216.25)</f>
        <v>216.25</v>
      </c>
      <c r="BI338" s="26">
        <f>IFERROR(__xludf.DUMMYFUNCTION("""COMPUTED_VALUE"""),347.89)</f>
        <v>347.89</v>
      </c>
      <c r="BJ338" s="26">
        <f>IFERROR(__xludf.DUMMYFUNCTION("""COMPUTED_VALUE"""),50.7)</f>
        <v>50.7</v>
      </c>
      <c r="BK338" s="26">
        <f>IFERROR(__xludf.DUMMYFUNCTION("""COMPUTED_VALUE"""),9.6)</f>
        <v>9.6</v>
      </c>
      <c r="BL338" s="26">
        <f>IFERROR(__xludf.DUMMYFUNCTION("""COMPUTED_VALUE"""),216.13)</f>
        <v>216.13</v>
      </c>
      <c r="BM338" s="26">
        <f>IFERROR(__xludf.DUMMYFUNCTION("""COMPUTED_VALUE"""),115.62)</f>
        <v>115.62</v>
      </c>
    </row>
    <row r="339">
      <c r="A339" s="25">
        <v>45917.66666666667</v>
      </c>
      <c r="B339" s="17">
        <f>IFERROR(__xludf.DUMMYFUNCTION("""COMPUTED_VALUE"""),6606.76)</f>
        <v>6606.76</v>
      </c>
      <c r="C339" s="17">
        <f>IFERROR(__xludf.DUMMYFUNCTION("""COMPUTED_VALUE"""),22333.96)</f>
        <v>22333.96</v>
      </c>
      <c r="D339" s="17">
        <f>IFERROR(__xludf.DUMMYFUNCTION("""COMPUTED_VALUE"""),45757.9)</f>
        <v>45757.9</v>
      </c>
      <c r="E339" s="17">
        <f>IFERROR(__xludf.DUMMYFUNCTION("""COMPUTED_VALUE"""),2403.03)</f>
        <v>2403.03</v>
      </c>
      <c r="F339" s="26">
        <f>IFERROR(__xludf.DUMMYFUNCTION("""COMPUTED_VALUE"""),352.73)</f>
        <v>352.73</v>
      </c>
      <c r="G339" s="26">
        <f>IFERROR(__xludf.DUMMYFUNCTION("""COMPUTED_VALUE"""),234.05)</f>
        <v>234.05</v>
      </c>
      <c r="H339" s="26">
        <f>IFERROR(__xludf.DUMMYFUNCTION("""COMPUTED_VALUE"""),136.25)</f>
        <v>136.25</v>
      </c>
      <c r="I339" s="26">
        <f>IFERROR(__xludf.DUMMYFUNCTION("""COMPUTED_VALUE"""),238.15)</f>
        <v>238.15</v>
      </c>
      <c r="J339" s="26">
        <f>IFERROR(__xludf.DUMMYFUNCTION("""COMPUTED_VALUE"""),173.54)</f>
        <v>173.54</v>
      </c>
      <c r="K339" s="26">
        <f>IFERROR(__xludf.DUMMYFUNCTION("""COMPUTED_VALUE"""),105.49)</f>
        <v>105.49</v>
      </c>
      <c r="L339" s="26">
        <f>IFERROR(__xludf.DUMMYFUNCTION("""COMPUTED_VALUE"""),20.63)</f>
        <v>20.63</v>
      </c>
      <c r="M339" s="26">
        <f>IFERROR(__xludf.DUMMYFUNCTION("""COMPUTED_VALUE"""),490.99)</f>
        <v>490.99</v>
      </c>
      <c r="N339" s="26">
        <f>IFERROR(__xludf.DUMMYFUNCTION("""COMPUTED_VALUE"""),54.11)</f>
        <v>54.11</v>
      </c>
      <c r="O339" s="26">
        <f>IFERROR(__xludf.DUMMYFUNCTION("""COMPUTED_VALUE"""),143.68)</f>
        <v>143.68</v>
      </c>
      <c r="P339" s="26">
        <f>IFERROR(__xludf.DUMMYFUNCTION("""COMPUTED_VALUE"""),60.93)</f>
        <v>60.93</v>
      </c>
      <c r="Q339" s="26">
        <f>IFERROR(__xludf.DUMMYFUNCTION("""COMPUTED_VALUE"""),440.67)</f>
        <v>440.67</v>
      </c>
      <c r="R339" s="26">
        <f>IFERROR(__xludf.DUMMYFUNCTION("""COMPUTED_VALUE"""),80.23)</f>
        <v>80.23</v>
      </c>
      <c r="S339" s="26">
        <f>IFERROR(__xludf.DUMMYFUNCTION("""COMPUTED_VALUE"""),198.84)</f>
        <v>198.84</v>
      </c>
      <c r="T339" s="26">
        <f>IFERROR(__xludf.DUMMYFUNCTION("""COMPUTED_VALUE"""),159.54)</f>
        <v>159.54</v>
      </c>
      <c r="U339" s="26">
        <f>IFERROR(__xludf.DUMMYFUNCTION("""COMPUTED_VALUE"""),294.21)</f>
        <v>294.21</v>
      </c>
      <c r="V339" s="26">
        <f>IFERROR(__xludf.DUMMYFUNCTION("""COMPUTED_VALUE"""),51.13)</f>
        <v>51.13</v>
      </c>
      <c r="W339" s="26">
        <f>IFERROR(__xludf.DUMMYFUNCTION("""COMPUTED_VALUE"""),66.24)</f>
        <v>66.24</v>
      </c>
      <c r="X339" s="26">
        <f>IFERROR(__xludf.DUMMYFUNCTION("""COMPUTED_VALUE"""),95.57)</f>
        <v>95.57</v>
      </c>
      <c r="Y339" s="26">
        <f>IFERROR(__xludf.DUMMYFUNCTION("""COMPUTED_VALUE"""),173.86)</f>
        <v>173.86</v>
      </c>
      <c r="Z339" s="26">
        <f>IFERROR(__xludf.DUMMYFUNCTION("""COMPUTED_VALUE"""),95.48)</f>
        <v>95.48</v>
      </c>
      <c r="AA339" s="26">
        <f>IFERROR(__xludf.DUMMYFUNCTION("""COMPUTED_VALUE"""),442.42)</f>
        <v>442.42</v>
      </c>
      <c r="AB339" s="26">
        <f>IFERROR(__xludf.DUMMYFUNCTION("""COMPUTED_VALUE"""),88.85)</f>
        <v>88.85</v>
      </c>
      <c r="AC339" s="26">
        <f>IFERROR(__xludf.DUMMYFUNCTION("""COMPUTED_VALUE"""),114.68)</f>
        <v>114.68</v>
      </c>
      <c r="AD339" s="26">
        <f>IFERROR(__xludf.DUMMYFUNCTION("""COMPUTED_VALUE"""),227.7)</f>
        <v>227.7</v>
      </c>
      <c r="AE339" s="26">
        <f>IFERROR(__xludf.DUMMYFUNCTION("""COMPUTED_VALUE"""),480.33)</f>
        <v>480.33</v>
      </c>
      <c r="AF339" s="26">
        <f>IFERROR(__xludf.DUMMYFUNCTION("""COMPUTED_VALUE"""),326.4)</f>
        <v>326.4</v>
      </c>
      <c r="AG339" s="26">
        <f>IFERROR(__xludf.DUMMYFUNCTION("""COMPUTED_VALUE"""),58.46)</f>
        <v>58.46</v>
      </c>
      <c r="AH339" s="26">
        <f>IFERROR(__xludf.DUMMYFUNCTION("""COMPUTED_VALUE"""),110.86)</f>
        <v>110.86</v>
      </c>
      <c r="AI339" s="26">
        <f>IFERROR(__xludf.DUMMYFUNCTION("""COMPUTED_VALUE"""),785.53)</f>
        <v>785.53</v>
      </c>
      <c r="AJ339" s="26">
        <f>IFERROR(__xludf.DUMMYFUNCTION("""COMPUTED_VALUE"""),421.45)</f>
        <v>421.45</v>
      </c>
      <c r="AK339" s="26">
        <f>IFERROR(__xludf.DUMMYFUNCTION("""COMPUTED_VALUE"""),141.61)</f>
        <v>141.61</v>
      </c>
      <c r="AL339" s="26">
        <f>IFERROR(__xludf.DUMMYFUNCTION("""COMPUTED_VALUE"""),171.4)</f>
        <v>171.4</v>
      </c>
      <c r="AM339" s="26">
        <f>IFERROR(__xludf.DUMMYFUNCTION("""COMPUTED_VALUE"""),434.5)</f>
        <v>434.5</v>
      </c>
      <c r="AN339" s="26">
        <f>IFERROR(__xludf.DUMMYFUNCTION("""COMPUTED_VALUE"""),309.19)</f>
        <v>309.19</v>
      </c>
      <c r="AO339" s="26">
        <f>IFERROR(__xludf.DUMMYFUNCTION("""COMPUTED_VALUE"""),474.32)</f>
        <v>474.32</v>
      </c>
      <c r="AP339" s="26">
        <f>IFERROR(__xludf.DUMMYFUNCTION("""COMPUTED_VALUE"""),162.34)</f>
        <v>162.34</v>
      </c>
      <c r="AQ339" s="26">
        <f>IFERROR(__xludf.DUMMYFUNCTION("""COMPUTED_VALUE"""),31.49)</f>
        <v>31.49</v>
      </c>
      <c r="AR339" s="26">
        <f>IFERROR(__xludf.DUMMYFUNCTION("""COMPUTED_VALUE"""),94.19)</f>
        <v>94.19</v>
      </c>
      <c r="AS339" s="26">
        <f>IFERROR(__xludf.DUMMYFUNCTION("""COMPUTED_VALUE"""),78.73)</f>
        <v>78.73</v>
      </c>
      <c r="AT339" s="26">
        <f>IFERROR(__xludf.DUMMYFUNCTION("""COMPUTED_VALUE"""),509.04)</f>
        <v>509.04</v>
      </c>
      <c r="AU339" s="26">
        <f>IFERROR(__xludf.DUMMYFUNCTION("""COMPUTED_VALUE"""),69.83)</f>
        <v>69.83</v>
      </c>
      <c r="AV339" s="26">
        <f>IFERROR(__xludf.DUMMYFUNCTION("""COMPUTED_VALUE"""),174.88)</f>
        <v>174.88</v>
      </c>
      <c r="AW339" s="26">
        <f>IFERROR(__xludf.DUMMYFUNCTION("""COMPUTED_VALUE"""),89.21)</f>
        <v>89.21</v>
      </c>
      <c r="AX339" s="26">
        <f>IFERROR(__xludf.DUMMYFUNCTION("""COMPUTED_VALUE"""),43.02)</f>
        <v>43.02</v>
      </c>
      <c r="AY339" s="26">
        <f>IFERROR(__xludf.DUMMYFUNCTION("""COMPUTED_VALUE"""),170.26)</f>
        <v>170.26</v>
      </c>
      <c r="AZ339" s="26">
        <f>IFERROR(__xludf.DUMMYFUNCTION("""COMPUTED_VALUE"""),66.85)</f>
        <v>66.85</v>
      </c>
      <c r="BA339" s="26">
        <f>IFERROR(__xludf.DUMMYFUNCTION("""COMPUTED_VALUE"""),23.9)</f>
        <v>23.9</v>
      </c>
      <c r="BB339" s="26">
        <f>IFERROR(__xludf.DUMMYFUNCTION("""COMPUTED_VALUE"""),158.58)</f>
        <v>158.58</v>
      </c>
      <c r="BC339" s="26">
        <f>IFERROR(__xludf.DUMMYFUNCTION("""COMPUTED_VALUE"""),237.62)</f>
        <v>237.62</v>
      </c>
      <c r="BD339" s="26">
        <f>IFERROR(__xludf.DUMMYFUNCTION("""COMPUTED_VALUE"""),480.74)</f>
        <v>480.74</v>
      </c>
      <c r="BE339" s="26">
        <f>IFERROR(__xludf.DUMMYFUNCTION("""COMPUTED_VALUE"""),198.78)</f>
        <v>198.78</v>
      </c>
      <c r="BF339" s="26">
        <f>IFERROR(__xludf.DUMMYFUNCTION("""COMPUTED_VALUE"""),119.15)</f>
        <v>119.15</v>
      </c>
      <c r="BG339" s="26">
        <f>IFERROR(__xludf.DUMMYFUNCTION("""COMPUTED_VALUE"""),4.86)</f>
        <v>4.86</v>
      </c>
      <c r="BH339" s="26">
        <f>IFERROR(__xludf.DUMMYFUNCTION("""COMPUTED_VALUE"""),216.0)</f>
        <v>216</v>
      </c>
      <c r="BI339" s="26">
        <f>IFERROR(__xludf.DUMMYFUNCTION("""COMPUTED_VALUE"""),339.78)</f>
        <v>339.78</v>
      </c>
      <c r="BJ339" s="26">
        <f>IFERROR(__xludf.DUMMYFUNCTION("""COMPUTED_VALUE"""),50.75)</f>
        <v>50.75</v>
      </c>
      <c r="BK339" s="26">
        <f>IFERROR(__xludf.DUMMYFUNCTION("""COMPUTED_VALUE"""),9.56)</f>
        <v>9.56</v>
      </c>
      <c r="BL339" s="26">
        <f>IFERROR(__xludf.DUMMYFUNCTION("""COMPUTED_VALUE"""),213.88)</f>
        <v>213.88</v>
      </c>
      <c r="BM339" s="26">
        <f>IFERROR(__xludf.DUMMYFUNCTION("""COMPUTED_VALUE"""),115.23)</f>
        <v>115.23</v>
      </c>
    </row>
    <row r="340">
      <c r="A340" s="25">
        <v>45918.66666666667</v>
      </c>
      <c r="B340" s="17">
        <f>IFERROR(__xludf.DUMMYFUNCTION("""COMPUTED_VALUE"""),6600.35)</f>
        <v>6600.35</v>
      </c>
      <c r="C340" s="17">
        <f>IFERROR(__xludf.DUMMYFUNCTION("""COMPUTED_VALUE"""),22261.33)</f>
        <v>22261.33</v>
      </c>
      <c r="D340" s="17">
        <f>IFERROR(__xludf.DUMMYFUNCTION("""COMPUTED_VALUE"""),46018.32)</f>
        <v>46018.32</v>
      </c>
      <c r="E340" s="17">
        <f>IFERROR(__xludf.DUMMYFUNCTION("""COMPUTED_VALUE"""),2407.34)</f>
        <v>2407.34</v>
      </c>
      <c r="F340" s="26">
        <f>IFERROR(__xludf.DUMMYFUNCTION("""COMPUTED_VALUE"""),362.07)</f>
        <v>362.07</v>
      </c>
      <c r="G340" s="26">
        <f>IFERROR(__xludf.DUMMYFUNCTION("""COMPUTED_VALUE"""),231.62)</f>
        <v>231.62</v>
      </c>
      <c r="H340" s="26">
        <f>IFERROR(__xludf.DUMMYFUNCTION("""COMPUTED_VALUE"""),136.09)</f>
        <v>136.09</v>
      </c>
      <c r="I340" s="26">
        <f>IFERROR(__xludf.DUMMYFUNCTION("""COMPUTED_VALUE"""),238.99)</f>
        <v>238.99</v>
      </c>
      <c r="J340" s="26">
        <f>IFERROR(__xludf.DUMMYFUNCTION("""COMPUTED_VALUE"""),178.13)</f>
        <v>178.13</v>
      </c>
      <c r="K340" s="26">
        <f>IFERROR(__xludf.DUMMYFUNCTION("""COMPUTED_VALUE"""),107.01)</f>
        <v>107.01</v>
      </c>
      <c r="L340" s="26">
        <f>IFERROR(__xludf.DUMMYFUNCTION("""COMPUTED_VALUE"""),20.77)</f>
        <v>20.77</v>
      </c>
      <c r="M340" s="26">
        <f>IFERROR(__xludf.DUMMYFUNCTION("""COMPUTED_VALUE"""),492.33)</f>
        <v>492.33</v>
      </c>
      <c r="N340" s="26">
        <f>IFERROR(__xludf.DUMMYFUNCTION("""COMPUTED_VALUE"""),53.17)</f>
        <v>53.17</v>
      </c>
      <c r="O340" s="26">
        <f>IFERROR(__xludf.DUMMYFUNCTION("""COMPUTED_VALUE"""),144.87)</f>
        <v>144.87</v>
      </c>
      <c r="P340" s="26">
        <f>IFERROR(__xludf.DUMMYFUNCTION("""COMPUTED_VALUE"""),60.72)</f>
        <v>60.72</v>
      </c>
      <c r="Q340" s="26">
        <f>IFERROR(__xludf.DUMMYFUNCTION("""COMPUTED_VALUE"""),450.66)</f>
        <v>450.66</v>
      </c>
      <c r="R340" s="26">
        <f>IFERROR(__xludf.DUMMYFUNCTION("""COMPUTED_VALUE"""),81.81)</f>
        <v>81.81</v>
      </c>
      <c r="S340" s="26">
        <f>IFERROR(__xludf.DUMMYFUNCTION("""COMPUTED_VALUE"""),196.54)</f>
        <v>196.54</v>
      </c>
      <c r="T340" s="26">
        <f>IFERROR(__xludf.DUMMYFUNCTION("""COMPUTED_VALUE"""),160.09)</f>
        <v>160.09</v>
      </c>
      <c r="U340" s="26">
        <f>IFERROR(__xludf.DUMMYFUNCTION("""COMPUTED_VALUE"""),296.59)</f>
        <v>296.59</v>
      </c>
      <c r="V340" s="26">
        <f>IFERROR(__xludf.DUMMYFUNCTION("""COMPUTED_VALUE"""),52.27)</f>
        <v>52.27</v>
      </c>
      <c r="W340" s="26">
        <f>IFERROR(__xludf.DUMMYFUNCTION("""COMPUTED_VALUE"""),67.04)</f>
        <v>67.04</v>
      </c>
      <c r="X340" s="26">
        <f>IFERROR(__xludf.DUMMYFUNCTION("""COMPUTED_VALUE"""),96.4)</f>
        <v>96.4</v>
      </c>
      <c r="Y340" s="26">
        <f>IFERROR(__xludf.DUMMYFUNCTION("""COMPUTED_VALUE"""),171.15)</f>
        <v>171.15</v>
      </c>
      <c r="Z340" s="26">
        <f>IFERROR(__xludf.DUMMYFUNCTION("""COMPUTED_VALUE"""),97.78)</f>
        <v>97.78</v>
      </c>
      <c r="AA340" s="26">
        <f>IFERROR(__xludf.DUMMYFUNCTION("""COMPUTED_VALUE"""),438.21)</f>
        <v>438.21</v>
      </c>
      <c r="AB340" s="26">
        <f>IFERROR(__xludf.DUMMYFUNCTION("""COMPUTED_VALUE"""),89.96)</f>
        <v>89.96</v>
      </c>
      <c r="AC340" s="26">
        <f>IFERROR(__xludf.DUMMYFUNCTION("""COMPUTED_VALUE"""),115.29)</f>
        <v>115.29</v>
      </c>
      <c r="AD340" s="26">
        <f>IFERROR(__xludf.DUMMYFUNCTION("""COMPUTED_VALUE"""),225.78)</f>
        <v>225.78</v>
      </c>
      <c r="AE340" s="26">
        <f>IFERROR(__xludf.DUMMYFUNCTION("""COMPUTED_VALUE"""),470.03)</f>
        <v>470.03</v>
      </c>
      <c r="AF340" s="26">
        <f>IFERROR(__xludf.DUMMYFUNCTION("""COMPUTED_VALUE"""),325.28)</f>
        <v>325.28</v>
      </c>
      <c r="AG340" s="26">
        <f>IFERROR(__xludf.DUMMYFUNCTION("""COMPUTED_VALUE"""),58.73)</f>
        <v>58.73</v>
      </c>
      <c r="AH340" s="26">
        <f>IFERROR(__xludf.DUMMYFUNCTION("""COMPUTED_VALUE"""),112.26)</f>
        <v>112.26</v>
      </c>
      <c r="AI340" s="26">
        <f>IFERROR(__xludf.DUMMYFUNCTION("""COMPUTED_VALUE"""),794.22)</f>
        <v>794.22</v>
      </c>
      <c r="AJ340" s="26">
        <f>IFERROR(__xludf.DUMMYFUNCTION("""COMPUTED_VALUE"""),417.0)</f>
        <v>417</v>
      </c>
      <c r="AK340" s="26">
        <f>IFERROR(__xludf.DUMMYFUNCTION("""COMPUTED_VALUE"""),141.43)</f>
        <v>141.43</v>
      </c>
      <c r="AL340" s="26">
        <f>IFERROR(__xludf.DUMMYFUNCTION("""COMPUTED_VALUE"""),172.25)</f>
        <v>172.25</v>
      </c>
      <c r="AM340" s="26">
        <f>IFERROR(__xludf.DUMMYFUNCTION("""COMPUTED_VALUE"""),433.66)</f>
        <v>433.66</v>
      </c>
      <c r="AN340" s="26">
        <f>IFERROR(__xludf.DUMMYFUNCTION("""COMPUTED_VALUE"""),311.75)</f>
        <v>311.75</v>
      </c>
      <c r="AO340" s="26">
        <f>IFERROR(__xludf.DUMMYFUNCTION("""COMPUTED_VALUE"""),473.12)</f>
        <v>473.12</v>
      </c>
      <c r="AP340" s="26">
        <f>IFERROR(__xludf.DUMMYFUNCTION("""COMPUTED_VALUE"""),163.48)</f>
        <v>163.48</v>
      </c>
      <c r="AQ340" s="26">
        <f>IFERROR(__xludf.DUMMYFUNCTION("""COMPUTED_VALUE"""),31.03)</f>
        <v>31.03</v>
      </c>
      <c r="AR340" s="26">
        <f>IFERROR(__xludf.DUMMYFUNCTION("""COMPUTED_VALUE"""),94.58)</f>
        <v>94.58</v>
      </c>
      <c r="AS340" s="26">
        <f>IFERROR(__xludf.DUMMYFUNCTION("""COMPUTED_VALUE"""),78.68)</f>
        <v>78.68</v>
      </c>
      <c r="AT340" s="26">
        <f>IFERROR(__xludf.DUMMYFUNCTION("""COMPUTED_VALUE"""),510.02)</f>
        <v>510.02</v>
      </c>
      <c r="AU340" s="26">
        <f>IFERROR(__xludf.DUMMYFUNCTION("""COMPUTED_VALUE"""),70.31)</f>
        <v>70.31</v>
      </c>
      <c r="AV340" s="26">
        <f>IFERROR(__xludf.DUMMYFUNCTION("""COMPUTED_VALUE"""),170.29)</f>
        <v>170.29</v>
      </c>
      <c r="AW340" s="26">
        <f>IFERROR(__xludf.DUMMYFUNCTION("""COMPUTED_VALUE"""),89.64)</f>
        <v>89.64</v>
      </c>
      <c r="AX340" s="26">
        <f>IFERROR(__xludf.DUMMYFUNCTION("""COMPUTED_VALUE"""),43.84)</f>
        <v>43.84</v>
      </c>
      <c r="AY340" s="26">
        <f>IFERROR(__xludf.DUMMYFUNCTION("""COMPUTED_VALUE"""),168.33)</f>
        <v>168.33</v>
      </c>
      <c r="AZ340" s="26">
        <f>IFERROR(__xludf.DUMMYFUNCTION("""COMPUTED_VALUE"""),68.62)</f>
        <v>68.62</v>
      </c>
      <c r="BA340" s="26">
        <f>IFERROR(__xludf.DUMMYFUNCTION("""COMPUTED_VALUE"""),24.05)</f>
        <v>24.05</v>
      </c>
      <c r="BB340" s="26">
        <f>IFERROR(__xludf.DUMMYFUNCTION("""COMPUTED_VALUE"""),158.31)</f>
        <v>158.31</v>
      </c>
      <c r="BC340" s="26">
        <f>IFERROR(__xludf.DUMMYFUNCTION("""COMPUTED_VALUE"""),239.45)</f>
        <v>239.45</v>
      </c>
      <c r="BD340" s="26">
        <f>IFERROR(__xludf.DUMMYFUNCTION("""COMPUTED_VALUE"""),472.64)</f>
        <v>472.64</v>
      </c>
      <c r="BE340" s="26">
        <f>IFERROR(__xludf.DUMMYFUNCTION("""COMPUTED_VALUE"""),201.38)</f>
        <v>201.38</v>
      </c>
      <c r="BF340" s="26">
        <f>IFERROR(__xludf.DUMMYFUNCTION("""COMPUTED_VALUE"""),119.81)</f>
        <v>119.81</v>
      </c>
      <c r="BG340" s="26">
        <f>IFERROR(__xludf.DUMMYFUNCTION("""COMPUTED_VALUE"""),4.86)</f>
        <v>4.86</v>
      </c>
      <c r="BH340" s="26">
        <f>IFERROR(__xludf.DUMMYFUNCTION("""COMPUTED_VALUE"""),217.17)</f>
        <v>217.17</v>
      </c>
      <c r="BI340" s="26">
        <f>IFERROR(__xludf.DUMMYFUNCTION("""COMPUTED_VALUE"""),341.61)</f>
        <v>341.61</v>
      </c>
      <c r="BJ340" s="26">
        <f>IFERROR(__xludf.DUMMYFUNCTION("""COMPUTED_VALUE"""),50.73)</f>
        <v>50.73</v>
      </c>
      <c r="BK340" s="26">
        <f>IFERROR(__xludf.DUMMYFUNCTION("""COMPUTED_VALUE"""),9.62)</f>
        <v>9.62</v>
      </c>
      <c r="BL340" s="26">
        <f>IFERROR(__xludf.DUMMYFUNCTION("""COMPUTED_VALUE"""),215.66)</f>
        <v>215.66</v>
      </c>
      <c r="BM340" s="26">
        <f>IFERROR(__xludf.DUMMYFUNCTION("""COMPUTED_VALUE"""),116.1)</f>
        <v>116.1</v>
      </c>
    </row>
    <row r="341">
      <c r="A341" s="25">
        <v>45919.66666666667</v>
      </c>
      <c r="B341" s="17">
        <f>IFERROR(__xludf.DUMMYFUNCTION("""COMPUTED_VALUE"""),6631.96)</f>
        <v>6631.96</v>
      </c>
      <c r="C341" s="17">
        <f>IFERROR(__xludf.DUMMYFUNCTION("""COMPUTED_VALUE"""),22470.73)</f>
        <v>22470.73</v>
      </c>
      <c r="D341" s="17">
        <f>IFERROR(__xludf.DUMMYFUNCTION("""COMPUTED_VALUE"""),46142.42)</f>
        <v>46142.42</v>
      </c>
      <c r="E341" s="17">
        <f>IFERROR(__xludf.DUMMYFUNCTION("""COMPUTED_VALUE"""),2467.7)</f>
        <v>2467.7</v>
      </c>
      <c r="F341" s="26">
        <f>IFERROR(__xludf.DUMMYFUNCTION("""COMPUTED_VALUE"""),367.46)</f>
        <v>367.46</v>
      </c>
      <c r="G341" s="26">
        <f>IFERROR(__xludf.DUMMYFUNCTION("""COMPUTED_VALUE"""),231.23)</f>
        <v>231.23</v>
      </c>
      <c r="H341" s="26">
        <f>IFERROR(__xludf.DUMMYFUNCTION("""COMPUTED_VALUE"""),135.39)</f>
        <v>135.39</v>
      </c>
      <c r="I341" s="26">
        <f>IFERROR(__xludf.DUMMYFUNCTION("""COMPUTED_VALUE"""),237.88)</f>
        <v>237.88</v>
      </c>
      <c r="J341" s="26">
        <f>IFERROR(__xludf.DUMMYFUNCTION("""COMPUTED_VALUE"""),189.76)</f>
        <v>189.76</v>
      </c>
      <c r="K341" s="26">
        <f>IFERROR(__xludf.DUMMYFUNCTION("""COMPUTED_VALUE"""),108.52)</f>
        <v>108.52</v>
      </c>
      <c r="L341" s="26">
        <f>IFERROR(__xludf.DUMMYFUNCTION("""COMPUTED_VALUE"""),21.01)</f>
        <v>21.01</v>
      </c>
      <c r="M341" s="26">
        <f>IFERROR(__xludf.DUMMYFUNCTION("""COMPUTED_VALUE"""),490.5)</f>
        <v>490.5</v>
      </c>
      <c r="N341" s="26">
        <f>IFERROR(__xludf.DUMMYFUNCTION("""COMPUTED_VALUE"""),52.18)</f>
        <v>52.18</v>
      </c>
      <c r="O341" s="26">
        <f>IFERROR(__xludf.DUMMYFUNCTION("""COMPUTED_VALUE"""),143.81)</f>
        <v>143.81</v>
      </c>
      <c r="P341" s="26">
        <f>IFERROR(__xludf.DUMMYFUNCTION("""COMPUTED_VALUE"""),61.1)</f>
        <v>61.1</v>
      </c>
      <c r="Q341" s="26">
        <f>IFERROR(__xludf.DUMMYFUNCTION("""COMPUTED_VALUE"""),466.96)</f>
        <v>466.96</v>
      </c>
      <c r="R341" s="26">
        <f>IFERROR(__xludf.DUMMYFUNCTION("""COMPUTED_VALUE"""),82.61)</f>
        <v>82.61</v>
      </c>
      <c r="S341" s="26">
        <f>IFERROR(__xludf.DUMMYFUNCTION("""COMPUTED_VALUE"""),196.24)</f>
        <v>196.24</v>
      </c>
      <c r="T341" s="26">
        <f>IFERROR(__xludf.DUMMYFUNCTION("""COMPUTED_VALUE"""),158.84)</f>
        <v>158.84</v>
      </c>
      <c r="U341" s="26">
        <f>IFERROR(__xludf.DUMMYFUNCTION("""COMPUTED_VALUE"""),293.76)</f>
        <v>293.76</v>
      </c>
      <c r="V341" s="26">
        <f>IFERROR(__xludf.DUMMYFUNCTION("""COMPUTED_VALUE"""),53.64)</f>
        <v>53.64</v>
      </c>
      <c r="W341" s="26">
        <f>IFERROR(__xludf.DUMMYFUNCTION("""COMPUTED_VALUE"""),66.46)</f>
        <v>66.46</v>
      </c>
      <c r="X341" s="26">
        <f>IFERROR(__xludf.DUMMYFUNCTION("""COMPUTED_VALUE"""),96.35)</f>
        <v>96.35</v>
      </c>
      <c r="Y341" s="26">
        <f>IFERROR(__xludf.DUMMYFUNCTION("""COMPUTED_VALUE"""),171.36)</f>
        <v>171.36</v>
      </c>
      <c r="Z341" s="26">
        <f>IFERROR(__xludf.DUMMYFUNCTION("""COMPUTED_VALUE"""),98.26)</f>
        <v>98.26</v>
      </c>
      <c r="AA341" s="26">
        <f>IFERROR(__xludf.DUMMYFUNCTION("""COMPUTED_VALUE"""),430.08)</f>
        <v>430.08</v>
      </c>
      <c r="AB341" s="26">
        <f>IFERROR(__xludf.DUMMYFUNCTION("""COMPUTED_VALUE"""),89.6)</f>
        <v>89.6</v>
      </c>
      <c r="AC341" s="26">
        <f>IFERROR(__xludf.DUMMYFUNCTION("""COMPUTED_VALUE"""),113.93)</f>
        <v>113.93</v>
      </c>
      <c r="AD341" s="26">
        <f>IFERROR(__xludf.DUMMYFUNCTION("""COMPUTED_VALUE"""),226.5)</f>
        <v>226.5</v>
      </c>
      <c r="AE341" s="26">
        <f>IFERROR(__xludf.DUMMYFUNCTION("""COMPUTED_VALUE"""),483.77)</f>
        <v>483.77</v>
      </c>
      <c r="AF341" s="26">
        <f>IFERROR(__xludf.DUMMYFUNCTION("""COMPUTED_VALUE"""),324.57)</f>
        <v>324.57</v>
      </c>
      <c r="AG341" s="26">
        <f>IFERROR(__xludf.DUMMYFUNCTION("""COMPUTED_VALUE"""),59.26)</f>
        <v>59.26</v>
      </c>
      <c r="AH341" s="26">
        <f>IFERROR(__xludf.DUMMYFUNCTION("""COMPUTED_VALUE"""),113.62)</f>
        <v>113.62</v>
      </c>
      <c r="AI341" s="26">
        <f>IFERROR(__xludf.DUMMYFUNCTION("""COMPUTED_VALUE"""),804.31)</f>
        <v>804.31</v>
      </c>
      <c r="AJ341" s="26">
        <f>IFERROR(__xludf.DUMMYFUNCTION("""COMPUTED_VALUE"""),417.48)</f>
        <v>417.48</v>
      </c>
      <c r="AK341" s="26">
        <f>IFERROR(__xludf.DUMMYFUNCTION("""COMPUTED_VALUE"""),143.68)</f>
        <v>143.68</v>
      </c>
      <c r="AL341" s="26">
        <f>IFERROR(__xludf.DUMMYFUNCTION("""COMPUTED_VALUE"""),171.13)</f>
        <v>171.13</v>
      </c>
      <c r="AM341" s="26">
        <f>IFERROR(__xludf.DUMMYFUNCTION("""COMPUTED_VALUE"""),435.83)</f>
        <v>435.83</v>
      </c>
      <c r="AN341" s="26">
        <f>IFERROR(__xludf.DUMMYFUNCTION("""COMPUTED_VALUE"""),313.23)</f>
        <v>313.23</v>
      </c>
      <c r="AO341" s="26">
        <f>IFERROR(__xludf.DUMMYFUNCTION("""COMPUTED_VALUE"""),473.62)</f>
        <v>473.62</v>
      </c>
      <c r="AP341" s="26">
        <f>IFERROR(__xludf.DUMMYFUNCTION("""COMPUTED_VALUE"""),169.76)</f>
        <v>169.76</v>
      </c>
      <c r="AQ341" s="26">
        <f>IFERROR(__xludf.DUMMYFUNCTION("""COMPUTED_VALUE"""),31.39)</f>
        <v>31.39</v>
      </c>
      <c r="AR341" s="26">
        <f>IFERROR(__xludf.DUMMYFUNCTION("""COMPUTED_VALUE"""),95.59)</f>
        <v>95.59</v>
      </c>
      <c r="AS341" s="26">
        <f>IFERROR(__xludf.DUMMYFUNCTION("""COMPUTED_VALUE"""),79.07)</f>
        <v>79.07</v>
      </c>
      <c r="AT341" s="26">
        <f>IFERROR(__xludf.DUMMYFUNCTION("""COMPUTED_VALUE"""),508.45)</f>
        <v>508.45</v>
      </c>
      <c r="AU341" s="26">
        <f>IFERROR(__xludf.DUMMYFUNCTION("""COMPUTED_VALUE"""),70.79)</f>
        <v>70.79</v>
      </c>
      <c r="AV341" s="26">
        <f>IFERROR(__xludf.DUMMYFUNCTION("""COMPUTED_VALUE"""),176.24)</f>
        <v>176.24</v>
      </c>
      <c r="AW341" s="26">
        <f>IFERROR(__xludf.DUMMYFUNCTION("""COMPUTED_VALUE"""),90.35)</f>
        <v>90.35</v>
      </c>
      <c r="AX341" s="26">
        <f>IFERROR(__xludf.DUMMYFUNCTION("""COMPUTED_VALUE"""),44.99)</f>
        <v>44.99</v>
      </c>
      <c r="AY341" s="26">
        <f>IFERROR(__xludf.DUMMYFUNCTION("""COMPUTED_VALUE"""),176.97)</f>
        <v>176.97</v>
      </c>
      <c r="AZ341" s="26">
        <f>IFERROR(__xludf.DUMMYFUNCTION("""COMPUTED_VALUE"""),68.52)</f>
        <v>68.52</v>
      </c>
      <c r="BA341" s="26">
        <f>IFERROR(__xludf.DUMMYFUNCTION("""COMPUTED_VALUE"""),24.15)</f>
        <v>24.15</v>
      </c>
      <c r="BB341" s="26">
        <f>IFERROR(__xludf.DUMMYFUNCTION("""COMPUTED_VALUE"""),158.19)</f>
        <v>158.19</v>
      </c>
      <c r="BC341" s="26">
        <f>IFERROR(__xludf.DUMMYFUNCTION("""COMPUTED_VALUE"""),238.83)</f>
        <v>238.83</v>
      </c>
      <c r="BD341" s="26">
        <f>IFERROR(__xludf.DUMMYFUNCTION("""COMPUTED_VALUE"""),481.1)</f>
        <v>481.1</v>
      </c>
      <c r="BE341" s="26">
        <f>IFERROR(__xludf.DUMMYFUNCTION("""COMPUTED_VALUE"""),200.47)</f>
        <v>200.47</v>
      </c>
      <c r="BF341" s="26">
        <f>IFERROR(__xludf.DUMMYFUNCTION("""COMPUTED_VALUE"""),121.1)</f>
        <v>121.1</v>
      </c>
      <c r="BG341" s="26">
        <f>IFERROR(__xludf.DUMMYFUNCTION("""COMPUTED_VALUE"""),4.95)</f>
        <v>4.95</v>
      </c>
      <c r="BH341" s="26">
        <f>IFERROR(__xludf.DUMMYFUNCTION("""COMPUTED_VALUE"""),220.36)</f>
        <v>220.36</v>
      </c>
      <c r="BI341" s="26">
        <f>IFERROR(__xludf.DUMMYFUNCTION("""COMPUTED_VALUE"""),334.82)</f>
        <v>334.82</v>
      </c>
      <c r="BJ341" s="26">
        <f>IFERROR(__xludf.DUMMYFUNCTION("""COMPUTED_VALUE"""),50.69)</f>
        <v>50.69</v>
      </c>
      <c r="BK341" s="26">
        <f>IFERROR(__xludf.DUMMYFUNCTION("""COMPUTED_VALUE"""),9.86)</f>
        <v>9.86</v>
      </c>
      <c r="BL341" s="26">
        <f>IFERROR(__xludf.DUMMYFUNCTION("""COMPUTED_VALUE"""),215.92)</f>
        <v>215.92</v>
      </c>
      <c r="BM341" s="26">
        <f>IFERROR(__xludf.DUMMYFUNCTION("""COMPUTED_VALUE"""),114.86)</f>
        <v>114.86</v>
      </c>
    </row>
    <row r="342">
      <c r="A342" s="25">
        <v>45922.66666666667</v>
      </c>
      <c r="B342" s="17">
        <f>IFERROR(__xludf.DUMMYFUNCTION("""COMPUTED_VALUE"""),6664.36)</f>
        <v>6664.36</v>
      </c>
      <c r="C342" s="17">
        <f>IFERROR(__xludf.DUMMYFUNCTION("""COMPUTED_VALUE"""),22631.48)</f>
        <v>22631.48</v>
      </c>
      <c r="D342" s="17">
        <f>IFERROR(__xludf.DUMMYFUNCTION("""COMPUTED_VALUE"""),46315.27)</f>
        <v>46315.27</v>
      </c>
      <c r="E342" s="17">
        <f>IFERROR(__xludf.DUMMYFUNCTION("""COMPUTED_VALUE"""),2448.77)</f>
        <v>2448.77</v>
      </c>
      <c r="F342" s="26">
        <f>IFERROR(__xludf.DUMMYFUNCTION("""COMPUTED_VALUE"""),365.9)</f>
        <v>365.9</v>
      </c>
      <c r="G342" s="26">
        <f>IFERROR(__xludf.DUMMYFUNCTION("""COMPUTED_VALUE"""),231.48)</f>
        <v>231.48</v>
      </c>
      <c r="H342" s="26">
        <f>IFERROR(__xludf.DUMMYFUNCTION("""COMPUTED_VALUE"""),135.06)</f>
        <v>135.06</v>
      </c>
      <c r="I342" s="26">
        <f>IFERROR(__xludf.DUMMYFUNCTION("""COMPUTED_VALUE"""),245.5)</f>
        <v>245.5</v>
      </c>
      <c r="J342" s="26">
        <f>IFERROR(__xludf.DUMMYFUNCTION("""COMPUTED_VALUE"""),190.1)</f>
        <v>190.1</v>
      </c>
      <c r="K342" s="26">
        <f>IFERROR(__xludf.DUMMYFUNCTION("""COMPUTED_VALUE"""),108.71)</f>
        <v>108.71</v>
      </c>
      <c r="L342" s="26">
        <f>IFERROR(__xludf.DUMMYFUNCTION("""COMPUTED_VALUE"""),20.72)</f>
        <v>20.72</v>
      </c>
      <c r="M342" s="26">
        <f>IFERROR(__xludf.DUMMYFUNCTION("""COMPUTED_VALUE"""),492.85)</f>
        <v>492.85</v>
      </c>
      <c r="N342" s="26">
        <f>IFERROR(__xludf.DUMMYFUNCTION("""COMPUTED_VALUE"""),52.14)</f>
        <v>52.14</v>
      </c>
      <c r="O342" s="26">
        <f>IFERROR(__xludf.DUMMYFUNCTION("""COMPUTED_VALUE"""),142.5)</f>
        <v>142.5</v>
      </c>
      <c r="P342" s="26">
        <f>IFERROR(__xludf.DUMMYFUNCTION("""COMPUTED_VALUE"""),60.39)</f>
        <v>60.39</v>
      </c>
      <c r="Q342" s="26">
        <f>IFERROR(__xludf.DUMMYFUNCTION("""COMPUTED_VALUE"""),466.54)</f>
        <v>466.54</v>
      </c>
      <c r="R342" s="26">
        <f>IFERROR(__xludf.DUMMYFUNCTION("""COMPUTED_VALUE"""),86.18)</f>
        <v>86.18</v>
      </c>
      <c r="S342" s="26">
        <f>IFERROR(__xludf.DUMMYFUNCTION("""COMPUTED_VALUE"""),197.79)</f>
        <v>197.79</v>
      </c>
      <c r="T342" s="26">
        <f>IFERROR(__xludf.DUMMYFUNCTION("""COMPUTED_VALUE"""),156.21)</f>
        <v>156.21</v>
      </c>
      <c r="U342" s="26">
        <f>IFERROR(__xludf.DUMMYFUNCTION("""COMPUTED_VALUE"""),290.36)</f>
        <v>290.36</v>
      </c>
      <c r="V342" s="26">
        <f>IFERROR(__xludf.DUMMYFUNCTION("""COMPUTED_VALUE"""),53.55)</f>
        <v>53.55</v>
      </c>
      <c r="W342" s="26">
        <f>IFERROR(__xludf.DUMMYFUNCTION("""COMPUTED_VALUE"""),66.43)</f>
        <v>66.43</v>
      </c>
      <c r="X342" s="26">
        <f>IFERROR(__xludf.DUMMYFUNCTION("""COMPUTED_VALUE"""),96.33)</f>
        <v>96.33</v>
      </c>
      <c r="Y342" s="26">
        <f>IFERROR(__xludf.DUMMYFUNCTION("""COMPUTED_VALUE"""),172.08)</f>
        <v>172.08</v>
      </c>
      <c r="Z342" s="26">
        <f>IFERROR(__xludf.DUMMYFUNCTION("""COMPUTED_VALUE"""),95.26)</f>
        <v>95.26</v>
      </c>
      <c r="AA342" s="26">
        <f>IFERROR(__xludf.DUMMYFUNCTION("""COMPUTED_VALUE"""),428.71)</f>
        <v>428.71</v>
      </c>
      <c r="AB342" s="26">
        <f>IFERROR(__xludf.DUMMYFUNCTION("""COMPUTED_VALUE"""),91.11)</f>
        <v>91.11</v>
      </c>
      <c r="AC342" s="26">
        <f>IFERROR(__xludf.DUMMYFUNCTION("""COMPUTED_VALUE"""),112.82)</f>
        <v>112.82</v>
      </c>
      <c r="AD342" s="26">
        <f>IFERROR(__xludf.DUMMYFUNCTION("""COMPUTED_VALUE"""),231.75)</f>
        <v>231.75</v>
      </c>
      <c r="AE342" s="26">
        <f>IFERROR(__xludf.DUMMYFUNCTION("""COMPUTED_VALUE"""),479.59)</f>
        <v>479.59</v>
      </c>
      <c r="AF342" s="26">
        <f>IFERROR(__xludf.DUMMYFUNCTION("""COMPUTED_VALUE"""),324.08)</f>
        <v>324.08</v>
      </c>
      <c r="AG342" s="26">
        <f>IFERROR(__xludf.DUMMYFUNCTION("""COMPUTED_VALUE"""),58.98)</f>
        <v>58.98</v>
      </c>
      <c r="AH342" s="26">
        <f>IFERROR(__xludf.DUMMYFUNCTION("""COMPUTED_VALUE"""),114.09)</f>
        <v>114.09</v>
      </c>
      <c r="AI342" s="26">
        <f>IFERROR(__xludf.DUMMYFUNCTION("""COMPUTED_VALUE"""),805.0)</f>
        <v>805</v>
      </c>
      <c r="AJ342" s="26">
        <f>IFERROR(__xludf.DUMMYFUNCTION("""COMPUTED_VALUE"""),415.69)</f>
        <v>415.69</v>
      </c>
      <c r="AK342" s="26">
        <f>IFERROR(__xludf.DUMMYFUNCTION("""COMPUTED_VALUE"""),141.84)</f>
        <v>141.84</v>
      </c>
      <c r="AL342" s="26">
        <f>IFERROR(__xludf.DUMMYFUNCTION("""COMPUTED_VALUE"""),169.77)</f>
        <v>169.77</v>
      </c>
      <c r="AM342" s="26">
        <f>IFERROR(__xludf.DUMMYFUNCTION("""COMPUTED_VALUE"""),438.72)</f>
        <v>438.72</v>
      </c>
      <c r="AN342" s="26">
        <f>IFERROR(__xludf.DUMMYFUNCTION("""COMPUTED_VALUE"""),314.78)</f>
        <v>314.78</v>
      </c>
      <c r="AO342" s="26">
        <f>IFERROR(__xludf.DUMMYFUNCTION("""COMPUTED_VALUE"""),472.94)</f>
        <v>472.94</v>
      </c>
      <c r="AP342" s="26">
        <f>IFERROR(__xludf.DUMMYFUNCTION("""COMPUTED_VALUE"""),169.62)</f>
        <v>169.62</v>
      </c>
      <c r="AQ342" s="26">
        <f>IFERROR(__xludf.DUMMYFUNCTION("""COMPUTED_VALUE"""),31.58)</f>
        <v>31.58</v>
      </c>
      <c r="AR342" s="26">
        <f>IFERROR(__xludf.DUMMYFUNCTION("""COMPUTED_VALUE"""),95.08)</f>
        <v>95.08</v>
      </c>
      <c r="AS342" s="26">
        <f>IFERROR(__xludf.DUMMYFUNCTION("""COMPUTED_VALUE"""),79.16)</f>
        <v>79.16</v>
      </c>
      <c r="AT342" s="26">
        <f>IFERROR(__xludf.DUMMYFUNCTION("""COMPUTED_VALUE"""),517.93)</f>
        <v>517.93</v>
      </c>
      <c r="AU342" s="26">
        <f>IFERROR(__xludf.DUMMYFUNCTION("""COMPUTED_VALUE"""),71.08)</f>
        <v>71.08</v>
      </c>
      <c r="AV342" s="26">
        <f>IFERROR(__xludf.DUMMYFUNCTION("""COMPUTED_VALUE"""),176.67)</f>
        <v>176.67</v>
      </c>
      <c r="AW342" s="26">
        <f>IFERROR(__xludf.DUMMYFUNCTION("""COMPUTED_VALUE"""),89.16)</f>
        <v>89.16</v>
      </c>
      <c r="AX342" s="26">
        <f>IFERROR(__xludf.DUMMYFUNCTION("""COMPUTED_VALUE"""),45.23)</f>
        <v>45.23</v>
      </c>
      <c r="AY342" s="26">
        <f>IFERROR(__xludf.DUMMYFUNCTION("""COMPUTED_VALUE"""),182.39)</f>
        <v>182.39</v>
      </c>
      <c r="AZ342" s="26">
        <f>IFERROR(__xludf.DUMMYFUNCTION("""COMPUTED_VALUE"""),68.22)</f>
        <v>68.22</v>
      </c>
      <c r="BA342" s="26">
        <f>IFERROR(__xludf.DUMMYFUNCTION("""COMPUTED_VALUE"""),24.03)</f>
        <v>24.03</v>
      </c>
      <c r="BB342" s="26">
        <f>IFERROR(__xludf.DUMMYFUNCTION("""COMPUTED_VALUE"""),158.24)</f>
        <v>158.24</v>
      </c>
      <c r="BC342" s="26">
        <f>IFERROR(__xludf.DUMMYFUNCTION("""COMPUTED_VALUE"""),238.17)</f>
        <v>238.17</v>
      </c>
      <c r="BD342" s="26">
        <f>IFERROR(__xludf.DUMMYFUNCTION("""COMPUTED_VALUE"""),479.58)</f>
        <v>479.58</v>
      </c>
      <c r="BE342" s="26">
        <f>IFERROR(__xludf.DUMMYFUNCTION("""COMPUTED_VALUE"""),198.95)</f>
        <v>198.95</v>
      </c>
      <c r="BF342" s="26">
        <f>IFERROR(__xludf.DUMMYFUNCTION("""COMPUTED_VALUE"""),122.29)</f>
        <v>122.29</v>
      </c>
      <c r="BG342" s="26">
        <f>IFERROR(__xludf.DUMMYFUNCTION("""COMPUTED_VALUE"""),4.83)</f>
        <v>4.83</v>
      </c>
      <c r="BH342" s="26">
        <f>IFERROR(__xludf.DUMMYFUNCTION("""COMPUTED_VALUE"""),220.61)</f>
        <v>220.61</v>
      </c>
      <c r="BI342" s="26">
        <f>IFERROR(__xludf.DUMMYFUNCTION("""COMPUTED_VALUE"""),336.69)</f>
        <v>336.69</v>
      </c>
      <c r="BJ342" s="26">
        <f>IFERROR(__xludf.DUMMYFUNCTION("""COMPUTED_VALUE"""),50.69)</f>
        <v>50.69</v>
      </c>
      <c r="BK342" s="26">
        <f>IFERROR(__xludf.DUMMYFUNCTION("""COMPUTED_VALUE"""),9.9)</f>
        <v>9.9</v>
      </c>
      <c r="BL342" s="26">
        <f>IFERROR(__xludf.DUMMYFUNCTION("""COMPUTED_VALUE"""),216.4)</f>
        <v>216.4</v>
      </c>
      <c r="BM342" s="26">
        <f>IFERROR(__xludf.DUMMYFUNCTION("""COMPUTED_VALUE"""),113.76)</f>
        <v>113.76</v>
      </c>
    </row>
    <row r="343">
      <c r="A343" s="25">
        <v>45923.66666666667</v>
      </c>
      <c r="B343" s="17">
        <f>IFERROR(__xludf.DUMMYFUNCTION("""COMPUTED_VALUE"""),6693.75)</f>
        <v>6693.75</v>
      </c>
      <c r="C343" s="17">
        <f>IFERROR(__xludf.DUMMYFUNCTION("""COMPUTED_VALUE"""),22788.98)</f>
        <v>22788.98</v>
      </c>
      <c r="D343" s="17">
        <f>IFERROR(__xludf.DUMMYFUNCTION("""COMPUTED_VALUE"""),46381.54)</f>
        <v>46381.54</v>
      </c>
      <c r="E343" s="17">
        <f>IFERROR(__xludf.DUMMYFUNCTION("""COMPUTED_VALUE"""),2463.34)</f>
        <v>2463.34</v>
      </c>
      <c r="F343" s="26">
        <f>IFERROR(__xludf.DUMMYFUNCTION("""COMPUTED_VALUE"""),364.08)</f>
        <v>364.08</v>
      </c>
      <c r="G343" s="26">
        <f>IFERROR(__xludf.DUMMYFUNCTION("""COMPUTED_VALUE"""),227.63)</f>
        <v>227.63</v>
      </c>
      <c r="H343" s="26">
        <f>IFERROR(__xludf.DUMMYFUNCTION("""COMPUTED_VALUE"""),135.05)</f>
        <v>135.05</v>
      </c>
      <c r="I343" s="26">
        <f>IFERROR(__xludf.DUMMYFUNCTION("""COMPUTED_VALUE"""),256.08)</f>
        <v>256.08</v>
      </c>
      <c r="J343" s="26">
        <f>IFERROR(__xludf.DUMMYFUNCTION("""COMPUTED_VALUE"""),200.52)</f>
        <v>200.52</v>
      </c>
      <c r="K343" s="26">
        <f>IFERROR(__xludf.DUMMYFUNCTION("""COMPUTED_VALUE"""),109.46)</f>
        <v>109.46</v>
      </c>
      <c r="L343" s="26">
        <f>IFERROR(__xludf.DUMMYFUNCTION("""COMPUTED_VALUE"""),20.93)</f>
        <v>20.93</v>
      </c>
      <c r="M343" s="26">
        <f>IFERROR(__xludf.DUMMYFUNCTION("""COMPUTED_VALUE"""),493.71)</f>
        <v>493.71</v>
      </c>
      <c r="N343" s="26">
        <f>IFERROR(__xludf.DUMMYFUNCTION("""COMPUTED_VALUE"""),53.15)</f>
        <v>53.15</v>
      </c>
      <c r="O343" s="26">
        <f>IFERROR(__xludf.DUMMYFUNCTION("""COMPUTED_VALUE"""),140.66)</f>
        <v>140.66</v>
      </c>
      <c r="P343" s="26">
        <f>IFERROR(__xludf.DUMMYFUNCTION("""COMPUTED_VALUE"""),60.31)</f>
        <v>60.31</v>
      </c>
      <c r="Q343" s="26">
        <f>IFERROR(__xludf.DUMMYFUNCTION("""COMPUTED_VALUE"""),472.1)</f>
        <v>472.1</v>
      </c>
      <c r="R343" s="26">
        <f>IFERROR(__xludf.DUMMYFUNCTION("""COMPUTED_VALUE"""),86.31)</f>
        <v>86.31</v>
      </c>
      <c r="S343" s="26">
        <f>IFERROR(__xludf.DUMMYFUNCTION("""COMPUTED_VALUE"""),201.09)</f>
        <v>201.09</v>
      </c>
      <c r="T343" s="26">
        <f>IFERROR(__xludf.DUMMYFUNCTION("""COMPUTED_VALUE"""),156.05)</f>
        <v>156.05</v>
      </c>
      <c r="U343" s="26">
        <f>IFERROR(__xludf.DUMMYFUNCTION("""COMPUTED_VALUE"""),288.62)</f>
        <v>288.62</v>
      </c>
      <c r="V343" s="26">
        <f>IFERROR(__xludf.DUMMYFUNCTION("""COMPUTED_VALUE"""),52.55)</f>
        <v>52.55</v>
      </c>
      <c r="W343" s="26">
        <f>IFERROR(__xludf.DUMMYFUNCTION("""COMPUTED_VALUE"""),66.21)</f>
        <v>66.21</v>
      </c>
      <c r="X343" s="26">
        <f>IFERROR(__xludf.DUMMYFUNCTION("""COMPUTED_VALUE"""),96.62)</f>
        <v>96.62</v>
      </c>
      <c r="Y343" s="26">
        <f>IFERROR(__xludf.DUMMYFUNCTION("""COMPUTED_VALUE"""),174.69)</f>
        <v>174.69</v>
      </c>
      <c r="Z343" s="26">
        <f>IFERROR(__xludf.DUMMYFUNCTION("""COMPUTED_VALUE"""),94.48)</f>
        <v>94.48</v>
      </c>
      <c r="AA343" s="26">
        <f>IFERROR(__xludf.DUMMYFUNCTION("""COMPUTED_VALUE"""),424.96)</f>
        <v>424.96</v>
      </c>
      <c r="AB343" s="26">
        <f>IFERROR(__xludf.DUMMYFUNCTION("""COMPUTED_VALUE"""),90.59)</f>
        <v>90.59</v>
      </c>
      <c r="AC343" s="26">
        <f>IFERROR(__xludf.DUMMYFUNCTION("""COMPUTED_VALUE"""),112.02)</f>
        <v>112.02</v>
      </c>
      <c r="AD343" s="26">
        <f>IFERROR(__xludf.DUMMYFUNCTION("""COMPUTED_VALUE"""),230.12)</f>
        <v>230.12</v>
      </c>
      <c r="AE343" s="26">
        <f>IFERROR(__xludf.DUMMYFUNCTION("""COMPUTED_VALUE"""),477.74)</f>
        <v>477.74</v>
      </c>
      <c r="AF343" s="26">
        <f>IFERROR(__xludf.DUMMYFUNCTION("""COMPUTED_VALUE"""),322.66)</f>
        <v>322.66</v>
      </c>
      <c r="AG343" s="26">
        <f>IFERROR(__xludf.DUMMYFUNCTION("""COMPUTED_VALUE"""),58.88)</f>
        <v>58.88</v>
      </c>
      <c r="AH343" s="26">
        <f>IFERROR(__xludf.DUMMYFUNCTION("""COMPUTED_VALUE"""),112.49)</f>
        <v>112.49</v>
      </c>
      <c r="AI343" s="26">
        <f>IFERROR(__xludf.DUMMYFUNCTION("""COMPUTED_VALUE"""),805.56)</f>
        <v>805.56</v>
      </c>
      <c r="AJ343" s="26">
        <f>IFERROR(__xludf.DUMMYFUNCTION("""COMPUTED_VALUE"""),412.0)</f>
        <v>412</v>
      </c>
      <c r="AK343" s="26">
        <f>IFERROR(__xludf.DUMMYFUNCTION("""COMPUTED_VALUE"""),143.27)</f>
        <v>143.27</v>
      </c>
      <c r="AL343" s="26">
        <f>IFERROR(__xludf.DUMMYFUNCTION("""COMPUTED_VALUE"""),170.12)</f>
        <v>170.12</v>
      </c>
      <c r="AM343" s="26">
        <f>IFERROR(__xludf.DUMMYFUNCTION("""COMPUTED_VALUE"""),444.55)</f>
        <v>444.55</v>
      </c>
      <c r="AN343" s="26">
        <f>IFERROR(__xludf.DUMMYFUNCTION("""COMPUTED_VALUE"""),312.44)</f>
        <v>312.44</v>
      </c>
      <c r="AO343" s="26">
        <f>IFERROR(__xludf.DUMMYFUNCTION("""COMPUTED_VALUE"""),480.39)</f>
        <v>480.39</v>
      </c>
      <c r="AP343" s="26">
        <f>IFERROR(__xludf.DUMMYFUNCTION("""COMPUTED_VALUE"""),173.41)</f>
        <v>173.41</v>
      </c>
      <c r="AQ343" s="26">
        <f>IFERROR(__xludf.DUMMYFUNCTION("""COMPUTED_VALUE"""),31.73)</f>
        <v>31.73</v>
      </c>
      <c r="AR343" s="26">
        <f>IFERROR(__xludf.DUMMYFUNCTION("""COMPUTED_VALUE"""),94.62)</f>
        <v>94.62</v>
      </c>
      <c r="AS343" s="26">
        <f>IFERROR(__xludf.DUMMYFUNCTION("""COMPUTED_VALUE"""),80.98)</f>
        <v>80.98</v>
      </c>
      <c r="AT343" s="26">
        <f>IFERROR(__xludf.DUMMYFUNCTION("""COMPUTED_VALUE"""),514.45)</f>
        <v>514.45</v>
      </c>
      <c r="AU343" s="26">
        <f>IFERROR(__xludf.DUMMYFUNCTION("""COMPUTED_VALUE"""),72.35)</f>
        <v>72.35</v>
      </c>
      <c r="AV343" s="26">
        <f>IFERROR(__xludf.DUMMYFUNCTION("""COMPUTED_VALUE"""),183.61)</f>
        <v>183.61</v>
      </c>
      <c r="AW343" s="26">
        <f>IFERROR(__xludf.DUMMYFUNCTION("""COMPUTED_VALUE"""),89.33)</f>
        <v>89.33</v>
      </c>
      <c r="AX343" s="26">
        <f>IFERROR(__xludf.DUMMYFUNCTION("""COMPUTED_VALUE"""),45.59)</f>
        <v>45.59</v>
      </c>
      <c r="AY343" s="26">
        <f>IFERROR(__xludf.DUMMYFUNCTION("""COMPUTED_VALUE"""),179.33)</f>
        <v>179.33</v>
      </c>
      <c r="AZ343" s="26">
        <f>IFERROR(__xludf.DUMMYFUNCTION("""COMPUTED_VALUE"""),67.68)</f>
        <v>67.68</v>
      </c>
      <c r="BA343" s="26">
        <f>IFERROR(__xludf.DUMMYFUNCTION("""COMPUTED_VALUE"""),24.04)</f>
        <v>24.04</v>
      </c>
      <c r="BB343" s="26">
        <f>IFERROR(__xludf.DUMMYFUNCTION("""COMPUTED_VALUE"""),159.43)</f>
        <v>159.43</v>
      </c>
      <c r="BC343" s="26">
        <f>IFERROR(__xludf.DUMMYFUNCTION("""COMPUTED_VALUE"""),237.44)</f>
        <v>237.44</v>
      </c>
      <c r="BD343" s="26">
        <f>IFERROR(__xludf.DUMMYFUNCTION("""COMPUTED_VALUE"""),474.99)</f>
        <v>474.99</v>
      </c>
      <c r="BE343" s="26">
        <f>IFERROR(__xludf.DUMMYFUNCTION("""COMPUTED_VALUE"""),200.68)</f>
        <v>200.68</v>
      </c>
      <c r="BF343" s="26">
        <f>IFERROR(__xludf.DUMMYFUNCTION("""COMPUTED_VALUE"""),125.15)</f>
        <v>125.15</v>
      </c>
      <c r="BG343" s="26">
        <f>IFERROR(__xludf.DUMMYFUNCTION("""COMPUTED_VALUE"""),4.78)</f>
        <v>4.78</v>
      </c>
      <c r="BH343" s="26">
        <f>IFERROR(__xludf.DUMMYFUNCTION("""COMPUTED_VALUE"""),225.85)</f>
        <v>225.85</v>
      </c>
      <c r="BI343" s="26">
        <f>IFERROR(__xludf.DUMMYFUNCTION("""COMPUTED_VALUE"""),341.3)</f>
        <v>341.3</v>
      </c>
      <c r="BJ343" s="26">
        <f>IFERROR(__xludf.DUMMYFUNCTION("""COMPUTED_VALUE"""),50.64)</f>
        <v>50.64</v>
      </c>
      <c r="BK343" s="26">
        <f>IFERROR(__xludf.DUMMYFUNCTION("""COMPUTED_VALUE"""),9.79)</f>
        <v>9.79</v>
      </c>
      <c r="BL343" s="26">
        <f>IFERROR(__xludf.DUMMYFUNCTION("""COMPUTED_VALUE"""),216.99)</f>
        <v>216.99</v>
      </c>
      <c r="BM343" s="26">
        <f>IFERROR(__xludf.DUMMYFUNCTION("""COMPUTED_VALUE"""),112.56)</f>
        <v>112.56</v>
      </c>
    </row>
    <row r="344">
      <c r="A344" s="25">
        <v>45924.66666666667</v>
      </c>
      <c r="B344" s="17">
        <f>IFERROR(__xludf.DUMMYFUNCTION("""COMPUTED_VALUE"""),6656.92)</f>
        <v>6656.92</v>
      </c>
      <c r="C344" s="17">
        <f>IFERROR(__xludf.DUMMYFUNCTION("""COMPUTED_VALUE"""),22573.47)</f>
        <v>22573.47</v>
      </c>
      <c r="D344" s="17">
        <f>IFERROR(__xludf.DUMMYFUNCTION("""COMPUTED_VALUE"""),46292.78)</f>
        <v>46292.78</v>
      </c>
      <c r="E344" s="17">
        <f>IFERROR(__xludf.DUMMYFUNCTION("""COMPUTED_VALUE"""),2457.51)</f>
        <v>2457.51</v>
      </c>
      <c r="F344" s="26">
        <f>IFERROR(__xludf.DUMMYFUNCTION("""COMPUTED_VALUE"""),361.78)</f>
        <v>361.78</v>
      </c>
      <c r="G344" s="26">
        <f>IFERROR(__xludf.DUMMYFUNCTION("""COMPUTED_VALUE"""),220.71)</f>
        <v>220.71</v>
      </c>
      <c r="H344" s="26">
        <f>IFERROR(__xludf.DUMMYFUNCTION("""COMPUTED_VALUE"""),137.18)</f>
        <v>137.18</v>
      </c>
      <c r="I344" s="26">
        <f>IFERROR(__xludf.DUMMYFUNCTION("""COMPUTED_VALUE"""),254.43)</f>
        <v>254.43</v>
      </c>
      <c r="J344" s="26">
        <f>IFERROR(__xludf.DUMMYFUNCTION("""COMPUTED_VALUE"""),200.87)</f>
        <v>200.87</v>
      </c>
      <c r="K344" s="26">
        <f>IFERROR(__xludf.DUMMYFUNCTION("""COMPUTED_VALUE"""),108.66)</f>
        <v>108.66</v>
      </c>
      <c r="L344" s="26">
        <f>IFERROR(__xludf.DUMMYFUNCTION("""COMPUTED_VALUE"""),20.97)</f>
        <v>20.97</v>
      </c>
      <c r="M344" s="26">
        <f>IFERROR(__xludf.DUMMYFUNCTION("""COMPUTED_VALUE"""),494.1)</f>
        <v>494.1</v>
      </c>
      <c r="N344" s="26">
        <f>IFERROR(__xludf.DUMMYFUNCTION("""COMPUTED_VALUE"""),53.29)</f>
        <v>53.29</v>
      </c>
      <c r="O344" s="26">
        <f>IFERROR(__xludf.DUMMYFUNCTION("""COMPUTED_VALUE"""),139.31)</f>
        <v>139.31</v>
      </c>
      <c r="P344" s="26">
        <f>IFERROR(__xludf.DUMMYFUNCTION("""COMPUTED_VALUE"""),59.74)</f>
        <v>59.74</v>
      </c>
      <c r="Q344" s="26">
        <f>IFERROR(__xludf.DUMMYFUNCTION("""COMPUTED_VALUE"""),471.26)</f>
        <v>471.26</v>
      </c>
      <c r="R344" s="26">
        <f>IFERROR(__xludf.DUMMYFUNCTION("""COMPUTED_VALUE"""),86.89)</f>
        <v>86.89</v>
      </c>
      <c r="S344" s="26">
        <f>IFERROR(__xludf.DUMMYFUNCTION("""COMPUTED_VALUE"""),201.1)</f>
        <v>201.1</v>
      </c>
      <c r="T344" s="26">
        <f>IFERROR(__xludf.DUMMYFUNCTION("""COMPUTED_VALUE"""),157.42)</f>
        <v>157.42</v>
      </c>
      <c r="U344" s="26">
        <f>IFERROR(__xludf.DUMMYFUNCTION("""COMPUTED_VALUE"""),290.08)</f>
        <v>290.08</v>
      </c>
      <c r="V344" s="26">
        <f>IFERROR(__xludf.DUMMYFUNCTION("""COMPUTED_VALUE"""),53.11)</f>
        <v>53.11</v>
      </c>
      <c r="W344" s="26">
        <f>IFERROR(__xludf.DUMMYFUNCTION("""COMPUTED_VALUE"""),66.71)</f>
        <v>66.71</v>
      </c>
      <c r="X344" s="26">
        <f>IFERROR(__xludf.DUMMYFUNCTION("""COMPUTED_VALUE"""),98.55)</f>
        <v>98.55</v>
      </c>
      <c r="Y344" s="26">
        <f>IFERROR(__xludf.DUMMYFUNCTION("""COMPUTED_VALUE"""),174.12)</f>
        <v>174.12</v>
      </c>
      <c r="Z344" s="26">
        <f>IFERROR(__xludf.DUMMYFUNCTION("""COMPUTED_VALUE"""),94.65)</f>
        <v>94.65</v>
      </c>
      <c r="AA344" s="26">
        <f>IFERROR(__xludf.DUMMYFUNCTION("""COMPUTED_VALUE"""),423.89)</f>
        <v>423.89</v>
      </c>
      <c r="AB344" s="26">
        <f>IFERROR(__xludf.DUMMYFUNCTION("""COMPUTED_VALUE"""),91.06)</f>
        <v>91.06</v>
      </c>
      <c r="AC344" s="26">
        <f>IFERROR(__xludf.DUMMYFUNCTION("""COMPUTED_VALUE"""),113.95)</f>
        <v>113.95</v>
      </c>
      <c r="AD344" s="26">
        <f>IFERROR(__xludf.DUMMYFUNCTION("""COMPUTED_VALUE"""),233.7)</f>
        <v>233.7</v>
      </c>
      <c r="AE344" s="26">
        <f>IFERROR(__xludf.DUMMYFUNCTION("""COMPUTED_VALUE"""),486.5)</f>
        <v>486.5</v>
      </c>
      <c r="AF344" s="26">
        <f>IFERROR(__xludf.DUMMYFUNCTION("""COMPUTED_VALUE"""),323.2)</f>
        <v>323.2</v>
      </c>
      <c r="AG344" s="26">
        <f>IFERROR(__xludf.DUMMYFUNCTION("""COMPUTED_VALUE"""),58.58)</f>
        <v>58.58</v>
      </c>
      <c r="AH344" s="26">
        <f>IFERROR(__xludf.DUMMYFUNCTION("""COMPUTED_VALUE"""),114.4)</f>
        <v>114.4</v>
      </c>
      <c r="AI344" s="26">
        <f>IFERROR(__xludf.DUMMYFUNCTION("""COMPUTED_VALUE"""),806.32)</f>
        <v>806.32</v>
      </c>
      <c r="AJ344" s="26">
        <f>IFERROR(__xludf.DUMMYFUNCTION("""COMPUTED_VALUE"""),410.91)</f>
        <v>410.91</v>
      </c>
      <c r="AK344" s="26">
        <f>IFERROR(__xludf.DUMMYFUNCTION("""COMPUTED_VALUE"""),142.8)</f>
        <v>142.8</v>
      </c>
      <c r="AL344" s="26">
        <f>IFERROR(__xludf.DUMMYFUNCTION("""COMPUTED_VALUE"""),168.09)</f>
        <v>168.09</v>
      </c>
      <c r="AM344" s="26">
        <f>IFERROR(__xludf.DUMMYFUNCTION("""COMPUTED_VALUE"""),447.75)</f>
        <v>447.75</v>
      </c>
      <c r="AN344" s="26">
        <f>IFERROR(__xludf.DUMMYFUNCTION("""COMPUTED_VALUE"""),312.74)</f>
        <v>312.74</v>
      </c>
      <c r="AO344" s="26">
        <f>IFERROR(__xludf.DUMMYFUNCTION("""COMPUTED_VALUE"""),486.67)</f>
        <v>486.67</v>
      </c>
      <c r="AP344" s="26">
        <f>IFERROR(__xludf.DUMMYFUNCTION("""COMPUTED_VALUE"""),173.33)</f>
        <v>173.33</v>
      </c>
      <c r="AQ344" s="26">
        <f>IFERROR(__xludf.DUMMYFUNCTION("""COMPUTED_VALUE"""),31.09)</f>
        <v>31.09</v>
      </c>
      <c r="AR344" s="26">
        <f>IFERROR(__xludf.DUMMYFUNCTION("""COMPUTED_VALUE"""),94.96)</f>
        <v>94.96</v>
      </c>
      <c r="AS344" s="26">
        <f>IFERROR(__xludf.DUMMYFUNCTION("""COMPUTED_VALUE"""),80.32)</f>
        <v>80.32</v>
      </c>
      <c r="AT344" s="26">
        <f>IFERROR(__xludf.DUMMYFUNCTION("""COMPUTED_VALUE"""),509.23)</f>
        <v>509.23</v>
      </c>
      <c r="AU344" s="26">
        <f>IFERROR(__xludf.DUMMYFUNCTION("""COMPUTED_VALUE"""),72.32)</f>
        <v>72.32</v>
      </c>
      <c r="AV344" s="26">
        <f>IFERROR(__xludf.DUMMYFUNCTION("""COMPUTED_VALUE"""),178.43)</f>
        <v>178.43</v>
      </c>
      <c r="AW344" s="26">
        <f>IFERROR(__xludf.DUMMYFUNCTION("""COMPUTED_VALUE"""),89.12)</f>
        <v>89.12</v>
      </c>
      <c r="AX344" s="26">
        <f>IFERROR(__xludf.DUMMYFUNCTION("""COMPUTED_VALUE"""),45.86)</f>
        <v>45.86</v>
      </c>
      <c r="AY344" s="26">
        <f>IFERROR(__xludf.DUMMYFUNCTION("""COMPUTED_VALUE"""),182.55)</f>
        <v>182.55</v>
      </c>
      <c r="AZ344" s="26">
        <f>IFERROR(__xludf.DUMMYFUNCTION("""COMPUTED_VALUE"""),67.31)</f>
        <v>67.31</v>
      </c>
      <c r="BA344" s="26">
        <f>IFERROR(__xludf.DUMMYFUNCTION("""COMPUTED_VALUE"""),24.13)</f>
        <v>24.13</v>
      </c>
      <c r="BB344" s="26">
        <f>IFERROR(__xludf.DUMMYFUNCTION("""COMPUTED_VALUE"""),160.54)</f>
        <v>160.54</v>
      </c>
      <c r="BC344" s="26">
        <f>IFERROR(__xludf.DUMMYFUNCTION("""COMPUTED_VALUE"""),239.49)</f>
        <v>239.49</v>
      </c>
      <c r="BD344" s="26">
        <f>IFERROR(__xludf.DUMMYFUNCTION("""COMPUTED_VALUE"""),469.75)</f>
        <v>469.75</v>
      </c>
      <c r="BE344" s="26">
        <f>IFERROR(__xludf.DUMMYFUNCTION("""COMPUTED_VALUE"""),200.66)</f>
        <v>200.66</v>
      </c>
      <c r="BF344" s="26">
        <f>IFERROR(__xludf.DUMMYFUNCTION("""COMPUTED_VALUE"""),120.53)</f>
        <v>120.53</v>
      </c>
      <c r="BG344" s="26">
        <f>IFERROR(__xludf.DUMMYFUNCTION("""COMPUTED_VALUE"""),4.78)</f>
        <v>4.78</v>
      </c>
      <c r="BH344" s="26">
        <f>IFERROR(__xludf.DUMMYFUNCTION("""COMPUTED_VALUE"""),227.98)</f>
        <v>227.98</v>
      </c>
      <c r="BI344" s="26">
        <f>IFERROR(__xludf.DUMMYFUNCTION("""COMPUTED_VALUE"""),347.69)</f>
        <v>347.69</v>
      </c>
      <c r="BJ344" s="26">
        <f>IFERROR(__xludf.DUMMYFUNCTION("""COMPUTED_VALUE"""),50.69)</f>
        <v>50.69</v>
      </c>
      <c r="BK344" s="26">
        <f>IFERROR(__xludf.DUMMYFUNCTION("""COMPUTED_VALUE"""),9.6)</f>
        <v>9.6</v>
      </c>
      <c r="BL344" s="26">
        <f>IFERROR(__xludf.DUMMYFUNCTION("""COMPUTED_VALUE"""),218.23)</f>
        <v>218.23</v>
      </c>
      <c r="BM344" s="26">
        <f>IFERROR(__xludf.DUMMYFUNCTION("""COMPUTED_VALUE"""),112.25)</f>
        <v>112.25</v>
      </c>
    </row>
    <row r="345">
      <c r="A345" s="25">
        <v>45926.66666666667</v>
      </c>
      <c r="B345" s="17">
        <f>IFERROR(__xludf.DUMMYFUNCTION("""COMPUTED_VALUE"""),6637.97)</f>
        <v>6637.97</v>
      </c>
      <c r="C345" s="17">
        <f>IFERROR(__xludf.DUMMYFUNCTION("""COMPUTED_VALUE"""),22497.86)</f>
        <v>22497.86</v>
      </c>
      <c r="D345" s="17">
        <f>IFERROR(__xludf.DUMMYFUNCTION("""COMPUTED_VALUE"""),46121.28)</f>
        <v>46121.28</v>
      </c>
      <c r="E345" s="17">
        <f>IFERROR(__xludf.DUMMYFUNCTION("""COMPUTED_VALUE"""),2434.98)</f>
        <v>2434.98</v>
      </c>
      <c r="F345" s="26">
        <f>IFERROR(__xludf.DUMMYFUNCTION("""COMPUTED_VALUE"""),353.27)</f>
        <v>353.27</v>
      </c>
      <c r="G345" s="26">
        <f>IFERROR(__xludf.DUMMYFUNCTION("""COMPUTED_VALUE"""),220.21)</f>
        <v>220.21</v>
      </c>
      <c r="H345" s="26">
        <f>IFERROR(__xludf.DUMMYFUNCTION("""COMPUTED_VALUE"""),137.18)</f>
        <v>137.18</v>
      </c>
      <c r="I345" s="26">
        <f>IFERROR(__xludf.DUMMYFUNCTION("""COMPUTED_VALUE"""),252.31)</f>
        <v>252.31</v>
      </c>
      <c r="J345" s="26">
        <f>IFERROR(__xludf.DUMMYFUNCTION("""COMPUTED_VALUE"""),201.44)</f>
        <v>201.44</v>
      </c>
      <c r="K345" s="26">
        <f>IFERROR(__xludf.DUMMYFUNCTION("""COMPUTED_VALUE"""),108.11)</f>
        <v>108.11</v>
      </c>
      <c r="L345" s="26">
        <f>IFERROR(__xludf.DUMMYFUNCTION("""COMPUTED_VALUE"""),20.97)</f>
        <v>20.97</v>
      </c>
      <c r="M345" s="26">
        <f>IFERROR(__xludf.DUMMYFUNCTION("""COMPUTED_VALUE"""),497.09)</f>
        <v>497.09</v>
      </c>
      <c r="N345" s="26">
        <f>IFERROR(__xludf.DUMMYFUNCTION("""COMPUTED_VALUE"""),53.5)</f>
        <v>53.5</v>
      </c>
      <c r="O345" s="26">
        <f>IFERROR(__xludf.DUMMYFUNCTION("""COMPUTED_VALUE"""),137.67)</f>
        <v>137.67</v>
      </c>
      <c r="P345" s="26">
        <f>IFERROR(__xludf.DUMMYFUNCTION("""COMPUTED_VALUE"""),58.99)</f>
        <v>58.99</v>
      </c>
      <c r="Q345" s="26">
        <f>IFERROR(__xludf.DUMMYFUNCTION("""COMPUTED_VALUE"""),471.26)</f>
        <v>471.26</v>
      </c>
      <c r="R345" s="26">
        <f>IFERROR(__xludf.DUMMYFUNCTION("""COMPUTED_VALUE"""),86.89)</f>
        <v>86.89</v>
      </c>
      <c r="S345" s="26">
        <f>IFERROR(__xludf.DUMMYFUNCTION("""COMPUTED_VALUE"""),201.1)</f>
        <v>201.1</v>
      </c>
      <c r="T345" s="26">
        <f>IFERROR(__xludf.DUMMYFUNCTION("""COMPUTED_VALUE"""),157.42)</f>
        <v>157.42</v>
      </c>
      <c r="U345" s="26">
        <f>IFERROR(__xludf.DUMMYFUNCTION("""COMPUTED_VALUE"""),291.43)</f>
        <v>291.43</v>
      </c>
      <c r="V345" s="26">
        <f>IFERROR(__xludf.DUMMYFUNCTION("""COMPUTED_VALUE"""),53.15)</f>
        <v>53.15</v>
      </c>
      <c r="W345" s="26">
        <f>IFERROR(__xludf.DUMMYFUNCTION("""COMPUTED_VALUE"""),66.45)</f>
        <v>66.45</v>
      </c>
      <c r="X345" s="26">
        <f>IFERROR(__xludf.DUMMYFUNCTION("""COMPUTED_VALUE"""),98.81)</f>
        <v>98.81</v>
      </c>
      <c r="Y345" s="26">
        <f>IFERROR(__xludf.DUMMYFUNCTION("""COMPUTED_VALUE"""),172.0)</f>
        <v>172</v>
      </c>
      <c r="Z345" s="26">
        <f>IFERROR(__xludf.DUMMYFUNCTION("""COMPUTED_VALUE"""),95.9)</f>
        <v>95.9</v>
      </c>
      <c r="AA345" s="26">
        <f>IFERROR(__xludf.DUMMYFUNCTION("""COMPUTED_VALUE"""),423.89)</f>
        <v>423.89</v>
      </c>
      <c r="AB345" s="26">
        <f>IFERROR(__xludf.DUMMYFUNCTION("""COMPUTED_VALUE"""),93.36)</f>
        <v>93.36</v>
      </c>
      <c r="AC345" s="26">
        <f>IFERROR(__xludf.DUMMYFUNCTION("""COMPUTED_VALUE"""),114.56)</f>
        <v>114.56</v>
      </c>
      <c r="AD345" s="26">
        <f>IFERROR(__xludf.DUMMYFUNCTION("""COMPUTED_VALUE"""),233.75)</f>
        <v>233.75</v>
      </c>
      <c r="AE345" s="26">
        <f>IFERROR(__xludf.DUMMYFUNCTION("""COMPUTED_VALUE"""),480.6)</f>
        <v>480.6</v>
      </c>
      <c r="AF345" s="26">
        <f>IFERROR(__xludf.DUMMYFUNCTION("""COMPUTED_VALUE"""),323.62)</f>
        <v>323.62</v>
      </c>
      <c r="AG345" s="26">
        <f>IFERROR(__xludf.DUMMYFUNCTION("""COMPUTED_VALUE"""),59.92)</f>
        <v>59.92</v>
      </c>
      <c r="AH345" s="26">
        <f>IFERROR(__xludf.DUMMYFUNCTION("""COMPUTED_VALUE"""),113.67)</f>
        <v>113.67</v>
      </c>
      <c r="AI345" s="26">
        <f>IFERROR(__xludf.DUMMYFUNCTION("""COMPUTED_VALUE"""),792.43)</f>
        <v>792.43</v>
      </c>
      <c r="AJ345" s="26">
        <f>IFERROR(__xludf.DUMMYFUNCTION("""COMPUTED_VALUE"""),409.77)</f>
        <v>409.77</v>
      </c>
      <c r="AK345" s="26">
        <f>IFERROR(__xludf.DUMMYFUNCTION("""COMPUTED_VALUE"""),143.14)</f>
        <v>143.14</v>
      </c>
      <c r="AL345" s="26">
        <f>IFERROR(__xludf.DUMMYFUNCTION("""COMPUTED_VALUE"""),168.05)</f>
        <v>168.05</v>
      </c>
      <c r="AM345" s="26">
        <f>IFERROR(__xludf.DUMMYFUNCTION("""COMPUTED_VALUE"""),443.99)</f>
        <v>443.99</v>
      </c>
      <c r="AN345" s="26">
        <f>IFERROR(__xludf.DUMMYFUNCTION("""COMPUTED_VALUE"""),313.42)</f>
        <v>313.42</v>
      </c>
      <c r="AO345" s="26">
        <f>IFERROR(__xludf.DUMMYFUNCTION("""COMPUTED_VALUE"""),486.25)</f>
        <v>486.25</v>
      </c>
      <c r="AP345" s="26">
        <f>IFERROR(__xludf.DUMMYFUNCTION("""COMPUTED_VALUE"""),179.22)</f>
        <v>179.22</v>
      </c>
      <c r="AQ345" s="26">
        <f>IFERROR(__xludf.DUMMYFUNCTION("""COMPUTED_VALUE"""),31.09)</f>
        <v>31.09</v>
      </c>
      <c r="AR345" s="26">
        <f>IFERROR(__xludf.DUMMYFUNCTION("""COMPUTED_VALUE"""),95.74)</f>
        <v>95.74</v>
      </c>
      <c r="AS345" s="26">
        <f>IFERROR(__xludf.DUMMYFUNCTION("""COMPUTED_VALUE"""),80.32)</f>
        <v>80.32</v>
      </c>
      <c r="AT345" s="26">
        <f>IFERROR(__xludf.DUMMYFUNCTION("""COMPUTED_VALUE"""),509.23)</f>
        <v>509.23</v>
      </c>
      <c r="AU345" s="26">
        <f>IFERROR(__xludf.DUMMYFUNCTION("""COMPUTED_VALUE"""),73.83)</f>
        <v>73.83</v>
      </c>
      <c r="AV345" s="26">
        <f>IFERROR(__xludf.DUMMYFUNCTION("""COMPUTED_VALUE"""),176.97)</f>
        <v>176.97</v>
      </c>
      <c r="AW345" s="26">
        <f>IFERROR(__xludf.DUMMYFUNCTION("""COMPUTED_VALUE"""),88.73)</f>
        <v>88.73</v>
      </c>
      <c r="AX345" s="26">
        <f>IFERROR(__xludf.DUMMYFUNCTION("""COMPUTED_VALUE"""),45.76)</f>
        <v>45.76</v>
      </c>
      <c r="AY345" s="26">
        <f>IFERROR(__xludf.DUMMYFUNCTION("""COMPUTED_VALUE"""),179.56)</f>
        <v>179.56</v>
      </c>
      <c r="AZ345" s="26">
        <f>IFERROR(__xludf.DUMMYFUNCTION("""COMPUTED_VALUE"""),67.86)</f>
        <v>67.86</v>
      </c>
      <c r="BA345" s="26">
        <f>IFERROR(__xludf.DUMMYFUNCTION("""COMPUTED_VALUE"""),24.09)</f>
        <v>24.09</v>
      </c>
      <c r="BB345" s="26">
        <f>IFERROR(__xludf.DUMMYFUNCTION("""COMPUTED_VALUE"""),161.38)</f>
        <v>161.38</v>
      </c>
      <c r="BC345" s="26">
        <f>IFERROR(__xludf.DUMMYFUNCTION("""COMPUTED_VALUE"""),238.4)</f>
        <v>238.4</v>
      </c>
      <c r="BD345" s="26">
        <f>IFERROR(__xludf.DUMMYFUNCTION("""COMPUTED_VALUE"""),468.0)</f>
        <v>468</v>
      </c>
      <c r="BE345" s="26">
        <f>IFERROR(__xludf.DUMMYFUNCTION("""COMPUTED_VALUE"""),198.09)</f>
        <v>198.09</v>
      </c>
      <c r="BF345" s="26">
        <f>IFERROR(__xludf.DUMMYFUNCTION("""COMPUTED_VALUE"""),117.43)</f>
        <v>117.43</v>
      </c>
      <c r="BG345" s="26">
        <f>IFERROR(__xludf.DUMMYFUNCTION("""COMPUTED_VALUE"""),4.84)</f>
        <v>4.84</v>
      </c>
      <c r="BH345" s="26">
        <f>IFERROR(__xludf.DUMMYFUNCTION("""COMPUTED_VALUE"""),230.36)</f>
        <v>230.36</v>
      </c>
      <c r="BI345" s="26">
        <f>IFERROR(__xludf.DUMMYFUNCTION("""COMPUTED_VALUE"""),351.81)</f>
        <v>351.81</v>
      </c>
      <c r="BJ345" s="26">
        <f>IFERROR(__xludf.DUMMYFUNCTION("""COMPUTED_VALUE"""),50.67)</f>
        <v>50.67</v>
      </c>
      <c r="BK345" s="26">
        <f>IFERROR(__xludf.DUMMYFUNCTION("""COMPUTED_VALUE"""),9.71)</f>
        <v>9.71</v>
      </c>
      <c r="BL345" s="26">
        <f>IFERROR(__xludf.DUMMYFUNCTION("""COMPUTED_VALUE"""),219.42)</f>
        <v>219.42</v>
      </c>
      <c r="BM345" s="26">
        <f>IFERROR(__xludf.DUMMYFUNCTION("""COMPUTED_VALUE"""),113.43)</f>
        <v>113.43</v>
      </c>
    </row>
    <row r="346">
      <c r="A346" s="25">
        <v>45929.66666666667</v>
      </c>
      <c r="B346" s="17">
        <f>IFERROR(__xludf.DUMMYFUNCTION("""COMPUTED_VALUE"""),6604.72)</f>
        <v>6604.72</v>
      </c>
      <c r="C346" s="17">
        <f>IFERROR(__xludf.DUMMYFUNCTION("""COMPUTED_VALUE"""),22384.7)</f>
        <v>22384.7</v>
      </c>
      <c r="D346" s="17">
        <f>IFERROR(__xludf.DUMMYFUNCTION("""COMPUTED_VALUE"""),45947.32)</f>
        <v>45947.32</v>
      </c>
      <c r="E346" s="17">
        <f>IFERROR(__xludf.DUMMYFUNCTION("""COMPUTED_VALUE"""),2411.04)</f>
        <v>2411.04</v>
      </c>
      <c r="F346" s="26">
        <f>IFERROR(__xludf.DUMMYFUNCTION("""COMPUTED_VALUE"""),354.16)</f>
        <v>354.16</v>
      </c>
      <c r="G346" s="26">
        <f>IFERROR(__xludf.DUMMYFUNCTION("""COMPUTED_VALUE"""),218.15)</f>
        <v>218.15</v>
      </c>
      <c r="H346" s="26">
        <f>IFERROR(__xludf.DUMMYFUNCTION("""COMPUTED_VALUE"""),135.1)</f>
        <v>135.1</v>
      </c>
      <c r="I346" s="26">
        <f>IFERROR(__xludf.DUMMYFUNCTION("""COMPUTED_VALUE"""),256.87)</f>
        <v>256.87</v>
      </c>
      <c r="J346" s="26">
        <f>IFERROR(__xludf.DUMMYFUNCTION("""COMPUTED_VALUE"""),199.6)</f>
        <v>199.6</v>
      </c>
      <c r="K346" s="26">
        <f>IFERROR(__xludf.DUMMYFUNCTION("""COMPUTED_VALUE"""),109.08)</f>
        <v>109.08</v>
      </c>
      <c r="L346" s="26">
        <f>IFERROR(__xludf.DUMMYFUNCTION("""COMPUTED_VALUE"""),20.31)</f>
        <v>20.31</v>
      </c>
      <c r="M346" s="26">
        <f>IFERROR(__xludf.DUMMYFUNCTION("""COMPUTED_VALUE"""),494.96)</f>
        <v>494.96</v>
      </c>
      <c r="N346" s="26">
        <f>IFERROR(__xludf.DUMMYFUNCTION("""COMPUTED_VALUE"""),55.69)</f>
        <v>55.69</v>
      </c>
      <c r="O346" s="26">
        <f>IFERROR(__xludf.DUMMYFUNCTION("""COMPUTED_VALUE"""),135.67)</f>
        <v>135.67</v>
      </c>
      <c r="P346" s="26">
        <f>IFERROR(__xludf.DUMMYFUNCTION("""COMPUTED_VALUE"""),58.75)</f>
        <v>58.75</v>
      </c>
      <c r="Q346" s="26">
        <f>IFERROR(__xludf.DUMMYFUNCTION("""COMPUTED_VALUE"""),463.72)</f>
        <v>463.72</v>
      </c>
      <c r="R346" s="26">
        <f>IFERROR(__xludf.DUMMYFUNCTION("""COMPUTED_VALUE"""),85.66)</f>
        <v>85.66</v>
      </c>
      <c r="S346" s="26">
        <f>IFERROR(__xludf.DUMMYFUNCTION("""COMPUTED_VALUE"""),203.62)</f>
        <v>203.62</v>
      </c>
      <c r="T346" s="26">
        <f>IFERROR(__xludf.DUMMYFUNCTION("""COMPUTED_VALUE"""),160.72)</f>
        <v>160.72</v>
      </c>
      <c r="U346" s="26">
        <f>IFERROR(__xludf.DUMMYFUNCTION("""COMPUTED_VALUE"""),284.06)</f>
        <v>284.06</v>
      </c>
      <c r="V346" s="26">
        <f>IFERROR(__xludf.DUMMYFUNCTION("""COMPUTED_VALUE"""),52.89)</f>
        <v>52.89</v>
      </c>
      <c r="W346" s="26">
        <f>IFERROR(__xludf.DUMMYFUNCTION("""COMPUTED_VALUE"""),65.98)</f>
        <v>65.98</v>
      </c>
      <c r="X346" s="26">
        <f>IFERROR(__xludf.DUMMYFUNCTION("""COMPUTED_VALUE"""),98.35)</f>
        <v>98.35</v>
      </c>
      <c r="Y346" s="26">
        <f>IFERROR(__xludf.DUMMYFUNCTION("""COMPUTED_VALUE"""),171.36)</f>
        <v>171.36</v>
      </c>
      <c r="Z346" s="26">
        <f>IFERROR(__xludf.DUMMYFUNCTION("""COMPUTED_VALUE"""),94.03)</f>
        <v>94.03</v>
      </c>
      <c r="AA346" s="26">
        <f>IFERROR(__xludf.DUMMYFUNCTION("""COMPUTED_VALUE"""),422.75)</f>
        <v>422.75</v>
      </c>
      <c r="AB346" s="26">
        <f>IFERROR(__xludf.DUMMYFUNCTION("""COMPUTED_VALUE"""),93.11)</f>
        <v>93.11</v>
      </c>
      <c r="AC346" s="26">
        <f>IFERROR(__xludf.DUMMYFUNCTION("""COMPUTED_VALUE"""),115.59)</f>
        <v>115.59</v>
      </c>
      <c r="AD346" s="26">
        <f>IFERROR(__xludf.DUMMYFUNCTION("""COMPUTED_VALUE"""),236.42)</f>
        <v>236.42</v>
      </c>
      <c r="AE346" s="26">
        <f>IFERROR(__xludf.DUMMYFUNCTION("""COMPUTED_VALUE"""),473.17)</f>
        <v>473.17</v>
      </c>
      <c r="AF346" s="26">
        <f>IFERROR(__xludf.DUMMYFUNCTION("""COMPUTED_VALUE"""),324.43)</f>
        <v>324.43</v>
      </c>
      <c r="AG346" s="26">
        <f>IFERROR(__xludf.DUMMYFUNCTION("""COMPUTED_VALUE"""),60.59)</f>
        <v>60.59</v>
      </c>
      <c r="AH346" s="26">
        <f>IFERROR(__xludf.DUMMYFUNCTION("""COMPUTED_VALUE"""),110.99)</f>
        <v>110.99</v>
      </c>
      <c r="AI346" s="26">
        <f>IFERROR(__xludf.DUMMYFUNCTION("""COMPUTED_VALUE"""),794.76)</f>
        <v>794.76</v>
      </c>
      <c r="AJ346" s="26">
        <f>IFERROR(__xludf.DUMMYFUNCTION("""COMPUTED_VALUE"""),407.45)</f>
        <v>407.45</v>
      </c>
      <c r="AK346" s="26">
        <f>IFERROR(__xludf.DUMMYFUNCTION("""COMPUTED_VALUE"""),142.85)</f>
        <v>142.85</v>
      </c>
      <c r="AL346" s="26">
        <f>IFERROR(__xludf.DUMMYFUNCTION("""COMPUTED_VALUE"""),167.28)</f>
        <v>167.28</v>
      </c>
      <c r="AM346" s="26">
        <f>IFERROR(__xludf.DUMMYFUNCTION("""COMPUTED_VALUE"""),438.12)</f>
        <v>438.12</v>
      </c>
      <c r="AN346" s="26">
        <f>IFERROR(__xludf.DUMMYFUNCTION("""COMPUTED_VALUE"""),313.45)</f>
        <v>313.45</v>
      </c>
      <c r="AO346" s="26">
        <f>IFERROR(__xludf.DUMMYFUNCTION("""COMPUTED_VALUE"""),484.34)</f>
        <v>484.34</v>
      </c>
      <c r="AP346" s="26">
        <f>IFERROR(__xludf.DUMMYFUNCTION("""COMPUTED_VALUE"""),172.01)</f>
        <v>172.01</v>
      </c>
      <c r="AQ346" s="26">
        <f>IFERROR(__xludf.DUMMYFUNCTION("""COMPUTED_VALUE"""),30.67)</f>
        <v>30.67</v>
      </c>
      <c r="AR346" s="26">
        <f>IFERROR(__xludf.DUMMYFUNCTION("""COMPUTED_VALUE"""),94.3)</f>
        <v>94.3</v>
      </c>
      <c r="AS346" s="26">
        <f>IFERROR(__xludf.DUMMYFUNCTION("""COMPUTED_VALUE"""),80.28)</f>
        <v>80.28</v>
      </c>
      <c r="AT346" s="26">
        <f>IFERROR(__xludf.DUMMYFUNCTION("""COMPUTED_VALUE"""),507.03)</f>
        <v>507.03</v>
      </c>
      <c r="AU346" s="26">
        <f>IFERROR(__xludf.DUMMYFUNCTION("""COMPUTED_VALUE"""),74.65)</f>
        <v>74.65</v>
      </c>
      <c r="AV346" s="26">
        <f>IFERROR(__xludf.DUMMYFUNCTION("""COMPUTED_VALUE"""),177.69)</f>
        <v>177.69</v>
      </c>
      <c r="AW346" s="26">
        <f>IFERROR(__xludf.DUMMYFUNCTION("""COMPUTED_VALUE"""),89.44)</f>
        <v>89.44</v>
      </c>
      <c r="AX346" s="26">
        <f>IFERROR(__xludf.DUMMYFUNCTION("""COMPUTED_VALUE"""),43.92)</f>
        <v>43.92</v>
      </c>
      <c r="AY346" s="26">
        <f>IFERROR(__xludf.DUMMYFUNCTION("""COMPUTED_VALUE"""),179.12)</f>
        <v>179.12</v>
      </c>
      <c r="AZ346" s="26">
        <f>IFERROR(__xludf.DUMMYFUNCTION("""COMPUTED_VALUE"""),66.74)</f>
        <v>66.74</v>
      </c>
      <c r="BA346" s="26">
        <f>IFERROR(__xludf.DUMMYFUNCTION("""COMPUTED_VALUE"""),23.6)</f>
        <v>23.6</v>
      </c>
      <c r="BB346" s="26">
        <f>IFERROR(__xludf.DUMMYFUNCTION("""COMPUTED_VALUE"""),160.51)</f>
        <v>160.51</v>
      </c>
      <c r="BC346" s="26">
        <f>IFERROR(__xludf.DUMMYFUNCTION("""COMPUTED_VALUE"""),237.94)</f>
        <v>237.94</v>
      </c>
      <c r="BD346" s="26">
        <f>IFERROR(__xludf.DUMMYFUNCTION("""COMPUTED_VALUE"""),459.22)</f>
        <v>459.22</v>
      </c>
      <c r="BE346" s="26">
        <f>IFERROR(__xludf.DUMMYFUNCTION("""COMPUTED_VALUE"""),197.28)</f>
        <v>197.28</v>
      </c>
      <c r="BF346" s="26">
        <f>IFERROR(__xludf.DUMMYFUNCTION("""COMPUTED_VALUE"""),113.9)</f>
        <v>113.9</v>
      </c>
      <c r="BG346" s="26">
        <f>IFERROR(__xludf.DUMMYFUNCTION("""COMPUTED_VALUE"""),4.77)</f>
        <v>4.77</v>
      </c>
      <c r="BH346" s="26">
        <f>IFERROR(__xludf.DUMMYFUNCTION("""COMPUTED_VALUE"""),232.0)</f>
        <v>232</v>
      </c>
      <c r="BI346" s="26">
        <f>IFERROR(__xludf.DUMMYFUNCTION("""COMPUTED_VALUE"""),345.56)</f>
        <v>345.56</v>
      </c>
      <c r="BJ346" s="26">
        <f>IFERROR(__xludf.DUMMYFUNCTION("""COMPUTED_VALUE"""),50.6)</f>
        <v>50.6</v>
      </c>
      <c r="BK346" s="26">
        <f>IFERROR(__xludf.DUMMYFUNCTION("""COMPUTED_VALUE"""),9.49)</f>
        <v>9.49</v>
      </c>
      <c r="BL346" s="26">
        <f>IFERROR(__xludf.DUMMYFUNCTION("""COMPUTED_VALUE"""),217.16)</f>
        <v>217.16</v>
      </c>
      <c r="BM346" s="26">
        <f>IFERROR(__xludf.DUMMYFUNCTION("""COMPUTED_VALUE"""),112.99)</f>
        <v>112.99</v>
      </c>
    </row>
    <row r="347">
      <c r="A347" s="25">
        <v>45930.66666666667</v>
      </c>
      <c r="B347" s="17">
        <f>IFERROR(__xludf.DUMMYFUNCTION("""COMPUTED_VALUE"""),6643.7)</f>
        <v>6643.7</v>
      </c>
      <c r="C347" s="17">
        <f>IFERROR(__xludf.DUMMYFUNCTION("""COMPUTED_VALUE"""),22484.07)</f>
        <v>22484.07</v>
      </c>
      <c r="D347" s="17">
        <f>IFERROR(__xludf.DUMMYFUNCTION("""COMPUTED_VALUE"""),46247.29)</f>
        <v>46247.29</v>
      </c>
      <c r="E347" s="17">
        <f>IFERROR(__xludf.DUMMYFUNCTION("""COMPUTED_VALUE"""),2434.32)</f>
        <v>2434.32</v>
      </c>
      <c r="F347" s="26">
        <f>IFERROR(__xludf.DUMMYFUNCTION("""COMPUTED_VALUE"""),360.37)</f>
        <v>360.37</v>
      </c>
      <c r="G347" s="26">
        <f>IFERROR(__xludf.DUMMYFUNCTION("""COMPUTED_VALUE"""),219.78)</f>
        <v>219.78</v>
      </c>
      <c r="H347" s="26">
        <f>IFERROR(__xludf.DUMMYFUNCTION("""COMPUTED_VALUE"""),136.36)</f>
        <v>136.36</v>
      </c>
      <c r="I347" s="26">
        <f>IFERROR(__xludf.DUMMYFUNCTION("""COMPUTED_VALUE"""),255.46)</f>
        <v>255.46</v>
      </c>
      <c r="J347" s="26">
        <f>IFERROR(__xludf.DUMMYFUNCTION("""COMPUTED_VALUE"""),203.92)</f>
        <v>203.92</v>
      </c>
      <c r="K347" s="26">
        <f>IFERROR(__xludf.DUMMYFUNCTION("""COMPUTED_VALUE"""),109.53)</f>
        <v>109.53</v>
      </c>
      <c r="L347" s="26">
        <f>IFERROR(__xludf.DUMMYFUNCTION("""COMPUTED_VALUE"""),20.6)</f>
        <v>20.6</v>
      </c>
      <c r="M347" s="26">
        <f>IFERROR(__xludf.DUMMYFUNCTION("""COMPUTED_VALUE"""),500.03)</f>
        <v>500.03</v>
      </c>
      <c r="N347" s="26">
        <f>IFERROR(__xludf.DUMMYFUNCTION("""COMPUTED_VALUE"""),54.74)</f>
        <v>54.74</v>
      </c>
      <c r="O347" s="26">
        <f>IFERROR(__xludf.DUMMYFUNCTION("""COMPUTED_VALUE"""),137.37)</f>
        <v>137.37</v>
      </c>
      <c r="P347" s="26">
        <f>IFERROR(__xludf.DUMMYFUNCTION("""COMPUTED_VALUE"""),58.84)</f>
        <v>58.84</v>
      </c>
      <c r="Q347" s="26">
        <f>IFERROR(__xludf.DUMMYFUNCTION("""COMPUTED_VALUE"""),465.76)</f>
        <v>465.76</v>
      </c>
      <c r="R347" s="26">
        <f>IFERROR(__xludf.DUMMYFUNCTION("""COMPUTED_VALUE"""),85.58)</f>
        <v>85.58</v>
      </c>
      <c r="S347" s="26">
        <f>IFERROR(__xludf.DUMMYFUNCTION("""COMPUTED_VALUE"""),204.65)</f>
        <v>204.65</v>
      </c>
      <c r="T347" s="26">
        <f>IFERROR(__xludf.DUMMYFUNCTION("""COMPUTED_VALUE"""),160.16)</f>
        <v>160.16</v>
      </c>
      <c r="U347" s="26">
        <f>IFERROR(__xludf.DUMMYFUNCTION("""COMPUTED_VALUE"""),286.17)</f>
        <v>286.17</v>
      </c>
      <c r="V347" s="26">
        <f>IFERROR(__xludf.DUMMYFUNCTION("""COMPUTED_VALUE"""),53.38)</f>
        <v>53.38</v>
      </c>
      <c r="W347" s="26">
        <f>IFERROR(__xludf.DUMMYFUNCTION("""COMPUTED_VALUE"""),65.67)</f>
        <v>65.67</v>
      </c>
      <c r="X347" s="26">
        <f>IFERROR(__xludf.DUMMYFUNCTION("""COMPUTED_VALUE"""),99.62)</f>
        <v>99.62</v>
      </c>
      <c r="Y347" s="26">
        <f>IFERROR(__xludf.DUMMYFUNCTION("""COMPUTED_VALUE"""),171.46)</f>
        <v>171.46</v>
      </c>
      <c r="Z347" s="26">
        <f>IFERROR(__xludf.DUMMYFUNCTION("""COMPUTED_VALUE"""),95.06)</f>
        <v>95.06</v>
      </c>
      <c r="AA347" s="26">
        <f>IFERROR(__xludf.DUMMYFUNCTION("""COMPUTED_VALUE"""),435.75)</f>
        <v>435.75</v>
      </c>
      <c r="AB347" s="26">
        <f>IFERROR(__xludf.DUMMYFUNCTION("""COMPUTED_VALUE"""),91.14)</f>
        <v>91.14</v>
      </c>
      <c r="AC347" s="26">
        <f>IFERROR(__xludf.DUMMYFUNCTION("""COMPUTED_VALUE"""),117.22)</f>
        <v>117.22</v>
      </c>
      <c r="AD347" s="26">
        <f>IFERROR(__xludf.DUMMYFUNCTION("""COMPUTED_VALUE"""),237.82)</f>
        <v>237.82</v>
      </c>
      <c r="AE347" s="26">
        <f>IFERROR(__xludf.DUMMYFUNCTION("""COMPUTED_VALUE"""),475.36)</f>
        <v>475.36</v>
      </c>
      <c r="AF347" s="26">
        <f>IFERROR(__xludf.DUMMYFUNCTION("""COMPUTED_VALUE"""),330.34)</f>
        <v>330.34</v>
      </c>
      <c r="AG347" s="26">
        <f>IFERROR(__xludf.DUMMYFUNCTION("""COMPUTED_VALUE"""),61.24)</f>
        <v>61.24</v>
      </c>
      <c r="AH347" s="26">
        <f>IFERROR(__xludf.DUMMYFUNCTION("""COMPUTED_VALUE"""),112.1)</f>
        <v>112.1</v>
      </c>
      <c r="AI347" s="26">
        <f>IFERROR(__xludf.DUMMYFUNCTION("""COMPUTED_VALUE"""),802.51)</f>
        <v>802.51</v>
      </c>
      <c r="AJ347" s="26">
        <f>IFERROR(__xludf.DUMMYFUNCTION("""COMPUTED_VALUE"""),410.09)</f>
        <v>410.09</v>
      </c>
      <c r="AK347" s="26">
        <f>IFERROR(__xludf.DUMMYFUNCTION("""COMPUTED_VALUE"""),145.98)</f>
        <v>145.98</v>
      </c>
      <c r="AL347" s="26">
        <f>IFERROR(__xludf.DUMMYFUNCTION("""COMPUTED_VALUE"""),167.73)</f>
        <v>167.73</v>
      </c>
      <c r="AM347" s="26">
        <f>IFERROR(__xludf.DUMMYFUNCTION("""COMPUTED_VALUE"""),441.12)</f>
        <v>441.12</v>
      </c>
      <c r="AN347" s="26">
        <f>IFERROR(__xludf.DUMMYFUNCTION("""COMPUTED_VALUE"""),316.06)</f>
        <v>316.06</v>
      </c>
      <c r="AO347" s="26">
        <f>IFERROR(__xludf.DUMMYFUNCTION("""COMPUTED_VALUE"""),487.44)</f>
        <v>487.44</v>
      </c>
      <c r="AP347" s="26">
        <f>IFERROR(__xludf.DUMMYFUNCTION("""COMPUTED_VALUE"""),176.3)</f>
        <v>176.3</v>
      </c>
      <c r="AQ347" s="26">
        <f>IFERROR(__xludf.DUMMYFUNCTION("""COMPUTED_VALUE"""),30.78)</f>
        <v>30.78</v>
      </c>
      <c r="AR347" s="26">
        <f>IFERROR(__xludf.DUMMYFUNCTION("""COMPUTED_VALUE"""),94.22)</f>
        <v>94.22</v>
      </c>
      <c r="AS347" s="26">
        <f>IFERROR(__xludf.DUMMYFUNCTION("""COMPUTED_VALUE"""),81.62)</f>
        <v>81.62</v>
      </c>
      <c r="AT347" s="26">
        <f>IFERROR(__xludf.DUMMYFUNCTION("""COMPUTED_VALUE"""),511.46)</f>
        <v>511.46</v>
      </c>
      <c r="AU347" s="26">
        <f>IFERROR(__xludf.DUMMYFUNCTION("""COMPUTED_VALUE"""),75.85)</f>
        <v>75.85</v>
      </c>
      <c r="AV347" s="26">
        <f>IFERROR(__xludf.DUMMYFUNCTION("""COMPUTED_VALUE"""),178.19)</f>
        <v>178.19</v>
      </c>
      <c r="AW347" s="26">
        <f>IFERROR(__xludf.DUMMYFUNCTION("""COMPUTED_VALUE"""),90.38)</f>
        <v>90.38</v>
      </c>
      <c r="AX347" s="26">
        <f>IFERROR(__xludf.DUMMYFUNCTION("""COMPUTED_VALUE"""),42.47)</f>
        <v>42.47</v>
      </c>
      <c r="AY347" s="26">
        <f>IFERROR(__xludf.DUMMYFUNCTION("""COMPUTED_VALUE"""),177.57)</f>
        <v>177.57</v>
      </c>
      <c r="AZ347" s="26">
        <f>IFERROR(__xludf.DUMMYFUNCTION("""COMPUTED_VALUE"""),67.3)</f>
        <v>67.3</v>
      </c>
      <c r="BA347" s="26">
        <f>IFERROR(__xludf.DUMMYFUNCTION("""COMPUTED_VALUE"""),23.76)</f>
        <v>23.76</v>
      </c>
      <c r="BB347" s="26">
        <f>IFERROR(__xludf.DUMMYFUNCTION("""COMPUTED_VALUE"""),163.35)</f>
        <v>163.35</v>
      </c>
      <c r="BC347" s="26">
        <f>IFERROR(__xludf.DUMMYFUNCTION("""COMPUTED_VALUE"""),237.47)</f>
        <v>237.47</v>
      </c>
      <c r="BD347" s="26">
        <f>IFERROR(__xludf.DUMMYFUNCTION("""COMPUTED_VALUE"""),464.24)</f>
        <v>464.24</v>
      </c>
      <c r="BE347" s="26">
        <f>IFERROR(__xludf.DUMMYFUNCTION("""COMPUTED_VALUE"""),198.1)</f>
        <v>198.1</v>
      </c>
      <c r="BF347" s="26">
        <f>IFERROR(__xludf.DUMMYFUNCTION("""COMPUTED_VALUE"""),113.87)</f>
        <v>113.87</v>
      </c>
      <c r="BG347" s="26">
        <f>IFERROR(__xludf.DUMMYFUNCTION("""COMPUTED_VALUE"""),4.97)</f>
        <v>4.97</v>
      </c>
      <c r="BH347" s="26">
        <f>IFERROR(__xludf.DUMMYFUNCTION("""COMPUTED_VALUE"""),235.2)</f>
        <v>235.2</v>
      </c>
      <c r="BI347" s="26">
        <f>IFERROR(__xludf.DUMMYFUNCTION("""COMPUTED_VALUE"""),344.08)</f>
        <v>344.08</v>
      </c>
      <c r="BJ347" s="26">
        <f>IFERROR(__xludf.DUMMYFUNCTION("""COMPUTED_VALUE"""),50.63)</f>
        <v>50.63</v>
      </c>
      <c r="BK347" s="26">
        <f>IFERROR(__xludf.DUMMYFUNCTION("""COMPUTED_VALUE"""),9.52)</f>
        <v>9.52</v>
      </c>
      <c r="BL347" s="26">
        <f>IFERROR(__xludf.DUMMYFUNCTION("""COMPUTED_VALUE"""),218.69)</f>
        <v>218.69</v>
      </c>
      <c r="BM347" s="26">
        <f>IFERROR(__xludf.DUMMYFUNCTION("""COMPUTED_VALUE"""),113.47)</f>
        <v>113.47</v>
      </c>
    </row>
    <row r="348">
      <c r="A348" s="25">
        <v>45931.66666666667</v>
      </c>
      <c r="B348" s="17">
        <f>IFERROR(__xludf.DUMMYFUNCTION("""COMPUTED_VALUE"""),6661.21)</f>
        <v>6661.21</v>
      </c>
      <c r="C348" s="17">
        <f>IFERROR(__xludf.DUMMYFUNCTION("""COMPUTED_VALUE"""),22591.15)</f>
        <v>22591.15</v>
      </c>
      <c r="D348" s="17">
        <f>IFERROR(__xludf.DUMMYFUNCTION("""COMPUTED_VALUE"""),46316.07)</f>
        <v>46316.07</v>
      </c>
      <c r="E348" s="17">
        <f>IFERROR(__xludf.DUMMYFUNCTION("""COMPUTED_VALUE"""),2435.25)</f>
        <v>2435.25</v>
      </c>
      <c r="F348" s="26">
        <f>IFERROR(__xludf.DUMMYFUNCTION("""COMPUTED_VALUE"""),359.42)</f>
        <v>359.42</v>
      </c>
      <c r="G348" s="26">
        <f>IFERROR(__xludf.DUMMYFUNCTION("""COMPUTED_VALUE"""),222.17)</f>
        <v>222.17</v>
      </c>
      <c r="H348" s="26">
        <f>IFERROR(__xludf.DUMMYFUNCTION("""COMPUTED_VALUE"""),137.04)</f>
        <v>137.04</v>
      </c>
      <c r="I348" s="26">
        <f>IFERROR(__xludf.DUMMYFUNCTION("""COMPUTED_VALUE"""),254.43)</f>
        <v>254.43</v>
      </c>
      <c r="J348" s="26">
        <f>IFERROR(__xludf.DUMMYFUNCTION("""COMPUTED_VALUE"""),204.95)</f>
        <v>204.95</v>
      </c>
      <c r="K348" s="26">
        <f>IFERROR(__xludf.DUMMYFUNCTION("""COMPUTED_VALUE"""),109.75)</f>
        <v>109.75</v>
      </c>
      <c r="L348" s="26">
        <f>IFERROR(__xludf.DUMMYFUNCTION("""COMPUTED_VALUE"""),20.63)</f>
        <v>20.63</v>
      </c>
      <c r="M348" s="26">
        <f>IFERROR(__xludf.DUMMYFUNCTION("""COMPUTED_VALUE"""),499.25)</f>
        <v>499.25</v>
      </c>
      <c r="N348" s="26">
        <f>IFERROR(__xludf.DUMMYFUNCTION("""COMPUTED_VALUE"""),56.22)</f>
        <v>56.22</v>
      </c>
      <c r="O348" s="26">
        <f>IFERROR(__xludf.DUMMYFUNCTION("""COMPUTED_VALUE"""),138.52)</f>
        <v>138.52</v>
      </c>
      <c r="P348" s="26">
        <f>IFERROR(__xludf.DUMMYFUNCTION("""COMPUTED_VALUE"""),59.13)</f>
        <v>59.13</v>
      </c>
      <c r="Q348" s="26">
        <f>IFERROR(__xludf.DUMMYFUNCTION("""COMPUTED_VALUE"""),471.61)</f>
        <v>471.61</v>
      </c>
      <c r="R348" s="26">
        <f>IFERROR(__xludf.DUMMYFUNCTION("""COMPUTED_VALUE"""),84.46)</f>
        <v>84.46</v>
      </c>
      <c r="S348" s="26">
        <f>IFERROR(__xludf.DUMMYFUNCTION("""COMPUTED_VALUE"""),205.8)</f>
        <v>205.8</v>
      </c>
      <c r="T348" s="26">
        <f>IFERROR(__xludf.DUMMYFUNCTION("""COMPUTED_VALUE"""),156.1)</f>
        <v>156.1</v>
      </c>
      <c r="U348" s="26">
        <f>IFERROR(__xludf.DUMMYFUNCTION("""COMPUTED_VALUE"""),286.64)</f>
        <v>286.64</v>
      </c>
      <c r="V348" s="26">
        <f>IFERROR(__xludf.DUMMYFUNCTION("""COMPUTED_VALUE"""),53.65)</f>
        <v>53.65</v>
      </c>
      <c r="W348" s="26">
        <f>IFERROR(__xludf.DUMMYFUNCTION("""COMPUTED_VALUE"""),66.04)</f>
        <v>66.04</v>
      </c>
      <c r="X348" s="26">
        <f>IFERROR(__xludf.DUMMYFUNCTION("""COMPUTED_VALUE"""),99.57)</f>
        <v>99.57</v>
      </c>
      <c r="Y348" s="26">
        <f>IFERROR(__xludf.DUMMYFUNCTION("""COMPUTED_VALUE"""),170.11)</f>
        <v>170.11</v>
      </c>
      <c r="Z348" s="26">
        <f>IFERROR(__xludf.DUMMYFUNCTION("""COMPUTED_VALUE"""),94.21)</f>
        <v>94.21</v>
      </c>
      <c r="AA348" s="26">
        <f>IFERROR(__xludf.DUMMYFUNCTION("""COMPUTED_VALUE"""),434.41)</f>
        <v>434.41</v>
      </c>
      <c r="AB348" s="26">
        <f>IFERROR(__xludf.DUMMYFUNCTION("""COMPUTED_VALUE"""),91.17)</f>
        <v>91.17</v>
      </c>
      <c r="AC348" s="26">
        <f>IFERROR(__xludf.DUMMYFUNCTION("""COMPUTED_VALUE"""),114.22)</f>
        <v>114.22</v>
      </c>
      <c r="AD348" s="26">
        <f>IFERROR(__xludf.DUMMYFUNCTION("""COMPUTED_VALUE"""),236.58)</f>
        <v>236.58</v>
      </c>
      <c r="AE348" s="26">
        <f>IFERROR(__xludf.DUMMYFUNCTION("""COMPUTED_VALUE"""),482.04)</f>
        <v>482.04</v>
      </c>
      <c r="AF348" s="26">
        <f>IFERROR(__xludf.DUMMYFUNCTION("""COMPUTED_VALUE"""),332.17)</f>
        <v>332.17</v>
      </c>
      <c r="AG348" s="26">
        <f>IFERROR(__xludf.DUMMYFUNCTION("""COMPUTED_VALUE"""),61.12)</f>
        <v>61.12</v>
      </c>
      <c r="AH348" s="26">
        <f>IFERROR(__xludf.DUMMYFUNCTION("""COMPUTED_VALUE"""),112.62)</f>
        <v>112.62</v>
      </c>
      <c r="AI348" s="26">
        <f>IFERROR(__xludf.DUMMYFUNCTION("""COMPUTED_VALUE"""),804.12)</f>
        <v>804.12</v>
      </c>
      <c r="AJ348" s="26">
        <f>IFERROR(__xludf.DUMMYFUNCTION("""COMPUTED_VALUE"""),406.8)</f>
        <v>406.8</v>
      </c>
      <c r="AK348" s="26">
        <f>IFERROR(__xludf.DUMMYFUNCTION("""COMPUTED_VALUE"""),145.0)</f>
        <v>145</v>
      </c>
      <c r="AL348" s="26">
        <f>IFERROR(__xludf.DUMMYFUNCTION("""COMPUTED_VALUE"""),167.99)</f>
        <v>167.99</v>
      </c>
      <c r="AM348" s="26">
        <f>IFERROR(__xludf.DUMMYFUNCTION("""COMPUTED_VALUE"""),439.22)</f>
        <v>439.22</v>
      </c>
      <c r="AN348" s="26">
        <f>IFERROR(__xludf.DUMMYFUNCTION("""COMPUTED_VALUE"""),315.69)</f>
        <v>315.69</v>
      </c>
      <c r="AO348" s="26">
        <f>IFERROR(__xludf.DUMMYFUNCTION("""COMPUTED_VALUE"""),491.98)</f>
        <v>491.98</v>
      </c>
      <c r="AP348" s="26">
        <f>IFERROR(__xludf.DUMMYFUNCTION("""COMPUTED_VALUE"""),179.11)</f>
        <v>179.11</v>
      </c>
      <c r="AQ348" s="26">
        <f>IFERROR(__xludf.DUMMYFUNCTION("""COMPUTED_VALUE"""),31.0)</f>
        <v>31</v>
      </c>
      <c r="AR348" s="26">
        <f>IFERROR(__xludf.DUMMYFUNCTION("""COMPUTED_VALUE"""),93.97)</f>
        <v>93.97</v>
      </c>
      <c r="AS348" s="26">
        <f>IFERROR(__xludf.DUMMYFUNCTION("""COMPUTED_VALUE"""),82.07)</f>
        <v>82.07</v>
      </c>
      <c r="AT348" s="26">
        <f>IFERROR(__xludf.DUMMYFUNCTION("""COMPUTED_VALUE"""),514.6)</f>
        <v>514.6</v>
      </c>
      <c r="AU348" s="26">
        <f>IFERROR(__xludf.DUMMYFUNCTION("""COMPUTED_VALUE"""),76.21)</f>
        <v>76.21</v>
      </c>
      <c r="AV348" s="26">
        <f>IFERROR(__xludf.DUMMYFUNCTION("""COMPUTED_VALUE"""),181.85)</f>
        <v>181.85</v>
      </c>
      <c r="AW348" s="26">
        <f>IFERROR(__xludf.DUMMYFUNCTION("""COMPUTED_VALUE"""),91.29)</f>
        <v>91.29</v>
      </c>
      <c r="AX348" s="26">
        <f>IFERROR(__xludf.DUMMYFUNCTION("""COMPUTED_VALUE"""),43.59)</f>
        <v>43.59</v>
      </c>
      <c r="AY348" s="26">
        <f>IFERROR(__xludf.DUMMYFUNCTION("""COMPUTED_VALUE"""),178.86)</f>
        <v>178.86</v>
      </c>
      <c r="AZ348" s="26">
        <f>IFERROR(__xludf.DUMMYFUNCTION("""COMPUTED_VALUE"""),69.68)</f>
        <v>69.68</v>
      </c>
      <c r="BA348" s="26">
        <f>IFERROR(__xludf.DUMMYFUNCTION("""COMPUTED_VALUE"""),23.85)</f>
        <v>23.85</v>
      </c>
      <c r="BB348" s="26">
        <f>IFERROR(__xludf.DUMMYFUNCTION("""COMPUTED_VALUE"""),163.63)</f>
        <v>163.63</v>
      </c>
      <c r="BC348" s="26">
        <f>IFERROR(__xludf.DUMMYFUNCTION("""COMPUTED_VALUE"""),237.96)</f>
        <v>237.96</v>
      </c>
      <c r="BD348" s="26">
        <f>IFERROR(__xludf.DUMMYFUNCTION("""COMPUTED_VALUE"""),462.04)</f>
        <v>462.04</v>
      </c>
      <c r="BE348" s="26">
        <f>IFERROR(__xludf.DUMMYFUNCTION("""COMPUTED_VALUE"""),196.44)</f>
        <v>196.44</v>
      </c>
      <c r="BF348" s="26">
        <f>IFERROR(__xludf.DUMMYFUNCTION("""COMPUTED_VALUE"""),112.64)</f>
        <v>112.64</v>
      </c>
      <c r="BG348" s="26">
        <f>IFERROR(__xludf.DUMMYFUNCTION("""COMPUTED_VALUE"""),5.0)</f>
        <v>5</v>
      </c>
      <c r="BH348" s="26">
        <f>IFERROR(__xludf.DUMMYFUNCTION("""COMPUTED_VALUE"""),236.18)</f>
        <v>236.18</v>
      </c>
      <c r="BI348" s="26">
        <f>IFERROR(__xludf.DUMMYFUNCTION("""COMPUTED_VALUE"""),345.18)</f>
        <v>345.18</v>
      </c>
      <c r="BJ348" s="26">
        <f>IFERROR(__xludf.DUMMYFUNCTION("""COMPUTED_VALUE"""),50.62)</f>
        <v>50.62</v>
      </c>
      <c r="BK348" s="26">
        <f>IFERROR(__xludf.DUMMYFUNCTION("""COMPUTED_VALUE"""),9.62)</f>
        <v>9.62</v>
      </c>
      <c r="BL348" s="26">
        <f>IFERROR(__xludf.DUMMYFUNCTION("""COMPUTED_VALUE"""),219.43)</f>
        <v>219.43</v>
      </c>
      <c r="BM348" s="26">
        <f>IFERROR(__xludf.DUMMYFUNCTION("""COMPUTED_VALUE"""),114.78)</f>
        <v>114.78</v>
      </c>
    </row>
    <row r="349">
      <c r="A349" s="25">
        <v>45932.66666666667</v>
      </c>
      <c r="B349" s="17">
        <f>IFERROR(__xludf.DUMMYFUNCTION("""COMPUTED_VALUE"""),6688.46)</f>
        <v>6688.46</v>
      </c>
      <c r="C349" s="17">
        <f>IFERROR(__xludf.DUMMYFUNCTION("""COMPUTED_VALUE"""),22660.01)</f>
        <v>22660.01</v>
      </c>
      <c r="D349" s="17">
        <f>IFERROR(__xludf.DUMMYFUNCTION("""COMPUTED_VALUE"""),46397.89)</f>
        <v>46397.89</v>
      </c>
      <c r="E349" s="17">
        <f>IFERROR(__xludf.DUMMYFUNCTION("""COMPUTED_VALUE"""),2436.48)</f>
        <v>2436.48</v>
      </c>
      <c r="F349" s="26">
        <f>IFERROR(__xludf.DUMMYFUNCTION("""COMPUTED_VALUE"""),352.75)</f>
        <v>352.75</v>
      </c>
      <c r="G349" s="26">
        <f>IFERROR(__xludf.DUMMYFUNCTION("""COMPUTED_VALUE"""),219.57)</f>
        <v>219.57</v>
      </c>
      <c r="H349" s="26">
        <f>IFERROR(__xludf.DUMMYFUNCTION("""COMPUTED_VALUE"""),139.19)</f>
        <v>139.19</v>
      </c>
      <c r="I349" s="26">
        <f>IFERROR(__xludf.DUMMYFUNCTION("""COMPUTED_VALUE"""),254.63)</f>
        <v>254.63</v>
      </c>
      <c r="J349" s="26">
        <f>IFERROR(__xludf.DUMMYFUNCTION("""COMPUTED_VALUE"""),204.74)</f>
        <v>204.74</v>
      </c>
      <c r="K349" s="26">
        <f>IFERROR(__xludf.DUMMYFUNCTION("""COMPUTED_VALUE"""),108.96)</f>
        <v>108.96</v>
      </c>
      <c r="L349" s="26">
        <f>IFERROR(__xludf.DUMMYFUNCTION("""COMPUTED_VALUE"""),20.67)</f>
        <v>20.67</v>
      </c>
      <c r="M349" s="26">
        <f>IFERROR(__xludf.DUMMYFUNCTION("""COMPUTED_VALUE"""),502.74)</f>
        <v>502.74</v>
      </c>
      <c r="N349" s="26">
        <f>IFERROR(__xludf.DUMMYFUNCTION("""COMPUTED_VALUE"""),55.75)</f>
        <v>55.75</v>
      </c>
      <c r="O349" s="26">
        <f>IFERROR(__xludf.DUMMYFUNCTION("""COMPUTED_VALUE"""),140.08)</f>
        <v>140.08</v>
      </c>
      <c r="P349" s="26">
        <f>IFERROR(__xludf.DUMMYFUNCTION("""COMPUTED_VALUE"""),59.7)</f>
        <v>59.7</v>
      </c>
      <c r="Q349" s="26">
        <f>IFERROR(__xludf.DUMMYFUNCTION("""COMPUTED_VALUE"""),477.15)</f>
        <v>477.15</v>
      </c>
      <c r="R349" s="26">
        <f>IFERROR(__xludf.DUMMYFUNCTION("""COMPUTED_VALUE"""),83.86)</f>
        <v>83.86</v>
      </c>
      <c r="S349" s="26">
        <f>IFERROR(__xludf.DUMMYFUNCTION("""COMPUTED_VALUE"""),206.91)</f>
        <v>206.91</v>
      </c>
      <c r="T349" s="26">
        <f>IFERROR(__xludf.DUMMYFUNCTION("""COMPUTED_VALUE"""),155.29)</f>
        <v>155.29</v>
      </c>
      <c r="U349" s="26">
        <f>IFERROR(__xludf.DUMMYFUNCTION("""COMPUTED_VALUE"""),288.25)</f>
        <v>288.25</v>
      </c>
      <c r="V349" s="26">
        <f>IFERROR(__xludf.DUMMYFUNCTION("""COMPUTED_VALUE"""),53.16)</f>
        <v>53.16</v>
      </c>
      <c r="W349" s="26">
        <f>IFERROR(__xludf.DUMMYFUNCTION("""COMPUTED_VALUE"""),66.32)</f>
        <v>66.32</v>
      </c>
      <c r="X349" s="26">
        <f>IFERROR(__xludf.DUMMYFUNCTION("""COMPUTED_VALUE"""),100.52)</f>
        <v>100.52</v>
      </c>
      <c r="Y349" s="26">
        <f>IFERROR(__xludf.DUMMYFUNCTION("""COMPUTED_VALUE"""),172.88)</f>
        <v>172.88</v>
      </c>
      <c r="Z349" s="26">
        <f>IFERROR(__xludf.DUMMYFUNCTION("""COMPUTED_VALUE"""),94.37)</f>
        <v>94.37</v>
      </c>
      <c r="AA349" s="26">
        <f>IFERROR(__xludf.DUMMYFUNCTION("""COMPUTED_VALUE"""),431.71)</f>
        <v>431.71</v>
      </c>
      <c r="AB349" s="26">
        <f>IFERROR(__xludf.DUMMYFUNCTION("""COMPUTED_VALUE"""),90.95)</f>
        <v>90.95</v>
      </c>
      <c r="AC349" s="26">
        <f>IFERROR(__xludf.DUMMYFUNCTION("""COMPUTED_VALUE"""),112.75)</f>
        <v>112.75</v>
      </c>
      <c r="AD349" s="26">
        <f>IFERROR(__xludf.DUMMYFUNCTION("""COMPUTED_VALUE"""),235.81)</f>
        <v>235.81</v>
      </c>
      <c r="AE349" s="26">
        <f>IFERROR(__xludf.DUMMYFUNCTION("""COMPUTED_VALUE"""),485.22)</f>
        <v>485.22</v>
      </c>
      <c r="AF349" s="26">
        <f>IFERROR(__xludf.DUMMYFUNCTION("""COMPUTED_VALUE"""),341.0)</f>
        <v>341</v>
      </c>
      <c r="AG349" s="26">
        <f>IFERROR(__xludf.DUMMYFUNCTION("""COMPUTED_VALUE"""),60.97)</f>
        <v>60.97</v>
      </c>
      <c r="AH349" s="26">
        <f>IFERROR(__xludf.DUMMYFUNCTION("""COMPUTED_VALUE"""),111.0)</f>
        <v>111</v>
      </c>
      <c r="AI349" s="26">
        <f>IFERROR(__xludf.DUMMYFUNCTION("""COMPUTED_VALUE"""),796.35)</f>
        <v>796.35</v>
      </c>
      <c r="AJ349" s="26">
        <f>IFERROR(__xludf.DUMMYFUNCTION("""COMPUTED_VALUE"""),405.19)</f>
        <v>405.19</v>
      </c>
      <c r="AK349" s="26">
        <f>IFERROR(__xludf.DUMMYFUNCTION("""COMPUTED_VALUE"""),146.77)</f>
        <v>146.77</v>
      </c>
      <c r="AL349" s="26">
        <f>IFERROR(__xludf.DUMMYFUNCTION("""COMPUTED_VALUE"""),168.48)</f>
        <v>168.48</v>
      </c>
      <c r="AM349" s="26">
        <f>IFERROR(__xludf.DUMMYFUNCTION("""COMPUTED_VALUE"""),447.23)</f>
        <v>447.23</v>
      </c>
      <c r="AN349" s="26">
        <f>IFERROR(__xludf.DUMMYFUNCTION("""COMPUTED_VALUE"""),315.43)</f>
        <v>315.43</v>
      </c>
      <c r="AO349" s="26">
        <f>IFERROR(__xludf.DUMMYFUNCTION("""COMPUTED_VALUE"""),499.21)</f>
        <v>499.21</v>
      </c>
      <c r="AP349" s="26">
        <f>IFERROR(__xludf.DUMMYFUNCTION("""COMPUTED_VALUE"""),177.93)</f>
        <v>177.93</v>
      </c>
      <c r="AQ349" s="26">
        <f>IFERROR(__xludf.DUMMYFUNCTION("""COMPUTED_VALUE"""),31.15)</f>
        <v>31.15</v>
      </c>
      <c r="AR349" s="26">
        <f>IFERROR(__xludf.DUMMYFUNCTION("""COMPUTED_VALUE"""),95.24)</f>
        <v>95.24</v>
      </c>
      <c r="AS349" s="26">
        <f>IFERROR(__xludf.DUMMYFUNCTION("""COMPUTED_VALUE"""),82.37)</f>
        <v>82.37</v>
      </c>
      <c r="AT349" s="26">
        <f>IFERROR(__xludf.DUMMYFUNCTION("""COMPUTED_VALUE"""),517.95)</f>
        <v>517.95</v>
      </c>
      <c r="AU349" s="26">
        <f>IFERROR(__xludf.DUMMYFUNCTION("""COMPUTED_VALUE"""),75.49)</f>
        <v>75.49</v>
      </c>
      <c r="AV349" s="26">
        <f>IFERROR(__xludf.DUMMYFUNCTION("""COMPUTED_VALUE"""),186.58)</f>
        <v>186.58</v>
      </c>
      <c r="AW349" s="26">
        <f>IFERROR(__xludf.DUMMYFUNCTION("""COMPUTED_VALUE"""),91.43)</f>
        <v>91.43</v>
      </c>
      <c r="AX349" s="26">
        <f>IFERROR(__xludf.DUMMYFUNCTION("""COMPUTED_VALUE"""),42.35)</f>
        <v>42.35</v>
      </c>
      <c r="AY349" s="26">
        <f>IFERROR(__xludf.DUMMYFUNCTION("""COMPUTED_VALUE"""),182.42)</f>
        <v>182.42</v>
      </c>
      <c r="AZ349" s="26">
        <f>IFERROR(__xludf.DUMMYFUNCTION("""COMPUTED_VALUE"""),67.06)</f>
        <v>67.06</v>
      </c>
      <c r="BA349" s="26">
        <f>IFERROR(__xludf.DUMMYFUNCTION("""COMPUTED_VALUE"""),25.48)</f>
        <v>25.48</v>
      </c>
      <c r="BB349" s="26">
        <f>IFERROR(__xludf.DUMMYFUNCTION("""COMPUTED_VALUE"""),167.33)</f>
        <v>167.33</v>
      </c>
      <c r="BC349" s="26">
        <f>IFERROR(__xludf.DUMMYFUNCTION("""COMPUTED_VALUE"""),239.38)</f>
        <v>239.38</v>
      </c>
      <c r="BD349" s="26">
        <f>IFERROR(__xludf.DUMMYFUNCTION("""COMPUTED_VALUE"""),485.02)</f>
        <v>485.02</v>
      </c>
      <c r="BE349" s="26">
        <f>IFERROR(__xludf.DUMMYFUNCTION("""COMPUTED_VALUE"""),191.09)</f>
        <v>191.09</v>
      </c>
      <c r="BF349" s="26">
        <f>IFERROR(__xludf.DUMMYFUNCTION("""COMPUTED_VALUE"""),112.2)</f>
        <v>112.2</v>
      </c>
      <c r="BG349" s="26">
        <f>IFERROR(__xludf.DUMMYFUNCTION("""COMPUTED_VALUE"""),4.99)</f>
        <v>4.99</v>
      </c>
      <c r="BH349" s="26">
        <f>IFERROR(__xludf.DUMMYFUNCTION("""COMPUTED_VALUE"""),236.37)</f>
        <v>236.37</v>
      </c>
      <c r="BI349" s="26">
        <f>IFERROR(__xludf.DUMMYFUNCTION("""COMPUTED_VALUE"""),345.3)</f>
        <v>345.3</v>
      </c>
      <c r="BJ349" s="26">
        <f>IFERROR(__xludf.DUMMYFUNCTION("""COMPUTED_VALUE"""),50.63)</f>
        <v>50.63</v>
      </c>
      <c r="BK349" s="26">
        <f>IFERROR(__xludf.DUMMYFUNCTION("""COMPUTED_VALUE"""),9.9)</f>
        <v>9.9</v>
      </c>
      <c r="BL349" s="26">
        <f>IFERROR(__xludf.DUMMYFUNCTION("""COMPUTED_VALUE"""),220.83)</f>
        <v>220.83</v>
      </c>
      <c r="BM349" s="26">
        <f>IFERROR(__xludf.DUMMYFUNCTION("""COMPUTED_VALUE"""),114.5)</f>
        <v>114.5</v>
      </c>
    </row>
    <row r="350">
      <c r="A350" s="25">
        <v>45933.66666666667</v>
      </c>
      <c r="B350" s="17">
        <f>IFERROR(__xludf.DUMMYFUNCTION("""COMPUTED_VALUE"""),6711.2)</f>
        <v>6711.2</v>
      </c>
      <c r="C350" s="17">
        <f>IFERROR(__xludf.DUMMYFUNCTION("""COMPUTED_VALUE"""),22755.16)</f>
        <v>22755.16</v>
      </c>
      <c r="D350" s="17">
        <f>IFERROR(__xludf.DUMMYFUNCTION("""COMPUTED_VALUE"""),46441.1)</f>
        <v>46441.1</v>
      </c>
      <c r="E350" s="17">
        <f>IFERROR(__xludf.DUMMYFUNCTION("""COMPUTED_VALUE"""),2442.35)</f>
        <v>2442.35</v>
      </c>
      <c r="F350" s="26">
        <f>IFERROR(__xludf.DUMMYFUNCTION("""COMPUTED_VALUE"""),343.72)</f>
        <v>343.72</v>
      </c>
      <c r="G350" s="26">
        <f>IFERROR(__xludf.DUMMYFUNCTION("""COMPUTED_VALUE"""),220.63)</f>
        <v>220.63</v>
      </c>
      <c r="H350" s="26">
        <f>IFERROR(__xludf.DUMMYFUNCTION("""COMPUTED_VALUE"""),136.07)</f>
        <v>136.07</v>
      </c>
      <c r="I350" s="26">
        <f>IFERROR(__xludf.DUMMYFUNCTION("""COMPUTED_VALUE"""),255.45)</f>
        <v>255.45</v>
      </c>
      <c r="J350" s="26">
        <f>IFERROR(__xludf.DUMMYFUNCTION("""COMPUTED_VALUE"""),217.74)</f>
        <v>217.74</v>
      </c>
      <c r="K350" s="26">
        <f>IFERROR(__xludf.DUMMYFUNCTION("""COMPUTED_VALUE"""),106.83)</f>
        <v>106.83</v>
      </c>
      <c r="L350" s="26">
        <f>IFERROR(__xludf.DUMMYFUNCTION("""COMPUTED_VALUE"""),20.6)</f>
        <v>20.6</v>
      </c>
      <c r="M350" s="26">
        <f>IFERROR(__xludf.DUMMYFUNCTION("""COMPUTED_VALUE"""),498.2)</f>
        <v>498.2</v>
      </c>
      <c r="N350" s="26">
        <f>IFERROR(__xludf.DUMMYFUNCTION("""COMPUTED_VALUE"""),55.75)</f>
        <v>55.75</v>
      </c>
      <c r="O350" s="26">
        <f>IFERROR(__xludf.DUMMYFUNCTION("""COMPUTED_VALUE"""),154.22)</f>
        <v>154.22</v>
      </c>
      <c r="P350" s="26">
        <f>IFERROR(__xludf.DUMMYFUNCTION("""COMPUTED_VALUE"""),59.46)</f>
        <v>59.46</v>
      </c>
      <c r="Q350" s="26">
        <f>IFERROR(__xludf.DUMMYFUNCTION("""COMPUTED_VALUE"""),480.82)</f>
        <v>480.82</v>
      </c>
      <c r="R350" s="26">
        <f>IFERROR(__xludf.DUMMYFUNCTION("""COMPUTED_VALUE"""),83.49)</f>
        <v>83.49</v>
      </c>
      <c r="S350" s="26">
        <f>IFERROR(__xludf.DUMMYFUNCTION("""COMPUTED_VALUE"""),204.13)</f>
        <v>204.13</v>
      </c>
      <c r="T350" s="26">
        <f>IFERROR(__xludf.DUMMYFUNCTION("""COMPUTED_VALUE"""),154.58)</f>
        <v>154.58</v>
      </c>
      <c r="U350" s="26">
        <f>IFERROR(__xludf.DUMMYFUNCTION("""COMPUTED_VALUE"""),291.65)</f>
        <v>291.65</v>
      </c>
      <c r="V350" s="26">
        <f>IFERROR(__xludf.DUMMYFUNCTION("""COMPUTED_VALUE"""),52.74)</f>
        <v>52.74</v>
      </c>
      <c r="W350" s="26">
        <f>IFERROR(__xludf.DUMMYFUNCTION("""COMPUTED_VALUE"""),66.78)</f>
        <v>66.78</v>
      </c>
      <c r="X350" s="26">
        <f>IFERROR(__xludf.DUMMYFUNCTION("""COMPUTED_VALUE"""),98.17)</f>
        <v>98.17</v>
      </c>
      <c r="Y350" s="26">
        <f>IFERROR(__xludf.DUMMYFUNCTION("""COMPUTED_VALUE"""),171.45)</f>
        <v>171.45</v>
      </c>
      <c r="Z350" s="26">
        <f>IFERROR(__xludf.DUMMYFUNCTION("""COMPUTED_VALUE"""),90.32)</f>
        <v>90.32</v>
      </c>
      <c r="AA350" s="26">
        <f>IFERROR(__xludf.DUMMYFUNCTION("""COMPUTED_VALUE"""),428.16)</f>
        <v>428.16</v>
      </c>
      <c r="AB350" s="26">
        <f>IFERROR(__xludf.DUMMYFUNCTION("""COMPUTED_VALUE"""),87.58)</f>
        <v>87.58</v>
      </c>
      <c r="AC350" s="26">
        <f>IFERROR(__xludf.DUMMYFUNCTION("""COMPUTED_VALUE"""),111.99)</f>
        <v>111.99</v>
      </c>
      <c r="AD350" s="26">
        <f>IFERROR(__xludf.DUMMYFUNCTION("""COMPUTED_VALUE"""),239.55)</f>
        <v>239.55</v>
      </c>
      <c r="AE350" s="26">
        <f>IFERROR(__xludf.DUMMYFUNCTION("""COMPUTED_VALUE"""),490.24)</f>
        <v>490.24</v>
      </c>
      <c r="AF350" s="26">
        <f>IFERROR(__xludf.DUMMYFUNCTION("""COMPUTED_VALUE"""),340.75)</f>
        <v>340.75</v>
      </c>
      <c r="AG350" s="26">
        <f>IFERROR(__xludf.DUMMYFUNCTION("""COMPUTED_VALUE"""),61.34)</f>
        <v>61.34</v>
      </c>
      <c r="AH350" s="26">
        <f>IFERROR(__xludf.DUMMYFUNCTION("""COMPUTED_VALUE"""),111.15)</f>
        <v>111.15</v>
      </c>
      <c r="AI350" s="26">
        <f>IFERROR(__xludf.DUMMYFUNCTION("""COMPUTED_VALUE"""),785.51)</f>
        <v>785.51</v>
      </c>
      <c r="AJ350" s="26">
        <f>IFERROR(__xludf.DUMMYFUNCTION("""COMPUTED_VALUE"""),397.02)</f>
        <v>397.02</v>
      </c>
      <c r="AK350" s="26">
        <f>IFERROR(__xludf.DUMMYFUNCTION("""COMPUTED_VALUE"""),147.62)</f>
        <v>147.62</v>
      </c>
      <c r="AL350" s="26">
        <f>IFERROR(__xludf.DUMMYFUNCTION("""COMPUTED_VALUE"""),162.64)</f>
        <v>162.64</v>
      </c>
      <c r="AM350" s="26">
        <f>IFERROR(__xludf.DUMMYFUNCTION("""COMPUTED_VALUE"""),438.04)</f>
        <v>438.04</v>
      </c>
      <c r="AN350" s="26">
        <f>IFERROR(__xludf.DUMMYFUNCTION("""COMPUTED_VALUE"""),310.71)</f>
        <v>310.71</v>
      </c>
      <c r="AO350" s="26">
        <f>IFERROR(__xludf.DUMMYFUNCTION("""COMPUTED_VALUE"""),499.0)</f>
        <v>499</v>
      </c>
      <c r="AP350" s="26">
        <f>IFERROR(__xludf.DUMMYFUNCTION("""COMPUTED_VALUE"""),177.57)</f>
        <v>177.57</v>
      </c>
      <c r="AQ350" s="26">
        <f>IFERROR(__xludf.DUMMYFUNCTION("""COMPUTED_VALUE"""),31.45)</f>
        <v>31.45</v>
      </c>
      <c r="AR350" s="26">
        <f>IFERROR(__xludf.DUMMYFUNCTION("""COMPUTED_VALUE"""),94.81)</f>
        <v>94.81</v>
      </c>
      <c r="AS350" s="26">
        <f>IFERROR(__xludf.DUMMYFUNCTION("""COMPUTED_VALUE"""),81.93)</f>
        <v>81.93</v>
      </c>
      <c r="AT350" s="26">
        <f>IFERROR(__xludf.DUMMYFUNCTION("""COMPUTED_VALUE"""),519.71)</f>
        <v>519.71</v>
      </c>
      <c r="AU350" s="26">
        <f>IFERROR(__xludf.DUMMYFUNCTION("""COMPUTED_VALUE"""),78.67)</f>
        <v>78.67</v>
      </c>
      <c r="AV350" s="26">
        <f>IFERROR(__xludf.DUMMYFUNCTION("""COMPUTED_VALUE"""),187.24)</f>
        <v>187.24</v>
      </c>
      <c r="AW350" s="26">
        <f>IFERROR(__xludf.DUMMYFUNCTION("""COMPUTED_VALUE"""),92.36)</f>
        <v>92.36</v>
      </c>
      <c r="AX350" s="26">
        <f>IFERROR(__xludf.DUMMYFUNCTION("""COMPUTED_VALUE"""),40.96)</f>
        <v>40.96</v>
      </c>
      <c r="AY350" s="26">
        <f>IFERROR(__xludf.DUMMYFUNCTION("""COMPUTED_VALUE"""),184.95)</f>
        <v>184.95</v>
      </c>
      <c r="AZ350" s="26">
        <f>IFERROR(__xludf.DUMMYFUNCTION("""COMPUTED_VALUE"""),66.66)</f>
        <v>66.66</v>
      </c>
      <c r="BA350" s="26">
        <f>IFERROR(__xludf.DUMMYFUNCTION("""COMPUTED_VALUE"""),27.21)</f>
        <v>27.21</v>
      </c>
      <c r="BB350" s="26">
        <f>IFERROR(__xludf.DUMMYFUNCTION("""COMPUTED_VALUE"""),167.2)</f>
        <v>167.2</v>
      </c>
      <c r="BC350" s="26">
        <f>IFERROR(__xludf.DUMMYFUNCTION("""COMPUTED_VALUE"""),233.26)</f>
        <v>233.26</v>
      </c>
      <c r="BD350" s="26">
        <f>IFERROR(__xludf.DUMMYFUNCTION("""COMPUTED_VALUE"""),530.73)</f>
        <v>530.73</v>
      </c>
      <c r="BE350" s="26">
        <f>IFERROR(__xludf.DUMMYFUNCTION("""COMPUTED_VALUE"""),191.83)</f>
        <v>191.83</v>
      </c>
      <c r="BF350" s="26">
        <f>IFERROR(__xludf.DUMMYFUNCTION("""COMPUTED_VALUE"""),114.89)</f>
        <v>114.89</v>
      </c>
      <c r="BG350" s="26">
        <f>IFERROR(__xludf.DUMMYFUNCTION("""COMPUTED_VALUE"""),5.03)</f>
        <v>5.03</v>
      </c>
      <c r="BH350" s="26">
        <f>IFERROR(__xludf.DUMMYFUNCTION("""COMPUTED_VALUE"""),234.74)</f>
        <v>234.74</v>
      </c>
      <c r="BI350" s="26">
        <f>IFERROR(__xludf.DUMMYFUNCTION("""COMPUTED_VALUE"""),348.3)</f>
        <v>348.3</v>
      </c>
      <c r="BJ350" s="26">
        <f>IFERROR(__xludf.DUMMYFUNCTION("""COMPUTED_VALUE"""),50.04)</f>
        <v>50.04</v>
      </c>
      <c r="BK350" s="26">
        <f>IFERROR(__xludf.DUMMYFUNCTION("""COMPUTED_VALUE"""),10.09)</f>
        <v>10.09</v>
      </c>
      <c r="BL350" s="26">
        <f>IFERROR(__xludf.DUMMYFUNCTION("""COMPUTED_VALUE"""),219.87)</f>
        <v>219.87</v>
      </c>
      <c r="BM350" s="26">
        <f>IFERROR(__xludf.DUMMYFUNCTION("""COMPUTED_VALUE"""),112.95)</f>
        <v>112.95</v>
      </c>
    </row>
    <row r="351">
      <c r="A351" s="25">
        <v>45936.66666666667</v>
      </c>
      <c r="B351" s="17">
        <f>IFERROR(__xludf.DUMMYFUNCTION("""COMPUTED_VALUE"""),6715.35)</f>
        <v>6715.35</v>
      </c>
      <c r="C351" s="17">
        <f>IFERROR(__xludf.DUMMYFUNCTION("""COMPUTED_VALUE"""),22844.05)</f>
        <v>22844.05</v>
      </c>
      <c r="D351" s="17">
        <f>IFERROR(__xludf.DUMMYFUNCTION("""COMPUTED_VALUE"""),46519.72)</f>
        <v>46519.72</v>
      </c>
      <c r="E351" s="17">
        <f>IFERROR(__xludf.DUMMYFUNCTION("""COMPUTED_VALUE"""),2458.49)</f>
        <v>2458.49</v>
      </c>
      <c r="F351" s="26">
        <f>IFERROR(__xludf.DUMMYFUNCTION("""COMPUTED_VALUE"""),351.48)</f>
        <v>351.48</v>
      </c>
      <c r="G351" s="26">
        <f>IFERROR(__xludf.DUMMYFUNCTION("""COMPUTED_VALUE"""),222.41)</f>
        <v>222.41</v>
      </c>
      <c r="H351" s="26">
        <f>IFERROR(__xludf.DUMMYFUNCTION("""COMPUTED_VALUE"""),135.59)</f>
        <v>135.59</v>
      </c>
      <c r="I351" s="26">
        <f>IFERROR(__xludf.DUMMYFUNCTION("""COMPUTED_VALUE"""),257.13)</f>
        <v>257.13</v>
      </c>
      <c r="J351" s="26">
        <f>IFERROR(__xludf.DUMMYFUNCTION("""COMPUTED_VALUE"""),223.59)</f>
        <v>223.59</v>
      </c>
      <c r="K351" s="26">
        <f>IFERROR(__xludf.DUMMYFUNCTION("""COMPUTED_VALUE"""),106.38)</f>
        <v>106.38</v>
      </c>
      <c r="L351" s="26">
        <f>IFERROR(__xludf.DUMMYFUNCTION("""COMPUTED_VALUE"""),20.63)</f>
        <v>20.63</v>
      </c>
      <c r="M351" s="26">
        <f>IFERROR(__xludf.DUMMYFUNCTION("""COMPUTED_VALUE"""),495.92)</f>
        <v>495.92</v>
      </c>
      <c r="N351" s="26">
        <f>IFERROR(__xludf.DUMMYFUNCTION("""COMPUTED_VALUE"""),55.5)</f>
        <v>55.5</v>
      </c>
      <c r="O351" s="26">
        <f>IFERROR(__xludf.DUMMYFUNCTION("""COMPUTED_VALUE"""),155.25)</f>
        <v>155.25</v>
      </c>
      <c r="P351" s="26">
        <f>IFERROR(__xludf.DUMMYFUNCTION("""COMPUTED_VALUE"""),58.9)</f>
        <v>58.9</v>
      </c>
      <c r="Q351" s="26">
        <f>IFERROR(__xludf.DUMMYFUNCTION("""COMPUTED_VALUE"""),490.57)</f>
        <v>490.57</v>
      </c>
      <c r="R351" s="26">
        <f>IFERROR(__xludf.DUMMYFUNCTION("""COMPUTED_VALUE"""),84.2)</f>
        <v>84.2</v>
      </c>
      <c r="S351" s="26">
        <f>IFERROR(__xludf.DUMMYFUNCTION("""COMPUTED_VALUE"""),204.97)</f>
        <v>204.97</v>
      </c>
      <c r="T351" s="26">
        <f>IFERROR(__xludf.DUMMYFUNCTION("""COMPUTED_VALUE"""),153.37)</f>
        <v>153.37</v>
      </c>
      <c r="U351" s="26">
        <f>IFERROR(__xludf.DUMMYFUNCTION("""COMPUTED_VALUE"""),296.98)</f>
        <v>296.98</v>
      </c>
      <c r="V351" s="26">
        <f>IFERROR(__xludf.DUMMYFUNCTION("""COMPUTED_VALUE"""),52.98)</f>
        <v>52.98</v>
      </c>
      <c r="W351" s="26">
        <f>IFERROR(__xludf.DUMMYFUNCTION("""COMPUTED_VALUE"""),66.1)</f>
        <v>66.1</v>
      </c>
      <c r="X351" s="26">
        <f>IFERROR(__xludf.DUMMYFUNCTION("""COMPUTED_VALUE"""),97.64)</f>
        <v>97.64</v>
      </c>
      <c r="Y351" s="26">
        <f>IFERROR(__xludf.DUMMYFUNCTION("""COMPUTED_VALUE"""),173.75)</f>
        <v>173.75</v>
      </c>
      <c r="Z351" s="26">
        <f>IFERROR(__xludf.DUMMYFUNCTION("""COMPUTED_VALUE"""),90.24)</f>
        <v>90.24</v>
      </c>
      <c r="AA351" s="26">
        <f>IFERROR(__xludf.DUMMYFUNCTION("""COMPUTED_VALUE"""),431.24)</f>
        <v>431.24</v>
      </c>
      <c r="AB351" s="26">
        <f>IFERROR(__xludf.DUMMYFUNCTION("""COMPUTED_VALUE"""),88.4)</f>
        <v>88.4</v>
      </c>
      <c r="AC351" s="26">
        <f>IFERROR(__xludf.DUMMYFUNCTION("""COMPUTED_VALUE"""),111.29)</f>
        <v>111.29</v>
      </c>
      <c r="AD351" s="26">
        <f>IFERROR(__xludf.DUMMYFUNCTION("""COMPUTED_VALUE"""),242.32)</f>
        <v>242.32</v>
      </c>
      <c r="AE351" s="26">
        <f>IFERROR(__xludf.DUMMYFUNCTION("""COMPUTED_VALUE"""),504.09)</f>
        <v>504.09</v>
      </c>
      <c r="AF351" s="26">
        <f>IFERROR(__xludf.DUMMYFUNCTION("""COMPUTED_VALUE"""),341.05)</f>
        <v>341.05</v>
      </c>
      <c r="AG351" s="26">
        <f>IFERROR(__xludf.DUMMYFUNCTION("""COMPUTED_VALUE"""),59.36)</f>
        <v>59.36</v>
      </c>
      <c r="AH351" s="26">
        <f>IFERROR(__xludf.DUMMYFUNCTION("""COMPUTED_VALUE"""),110.56)</f>
        <v>110.56</v>
      </c>
      <c r="AI351" s="26">
        <f>IFERROR(__xludf.DUMMYFUNCTION("""COMPUTED_VALUE"""),779.38)</f>
        <v>779.38</v>
      </c>
      <c r="AJ351" s="26">
        <f>IFERROR(__xludf.DUMMYFUNCTION("""COMPUTED_VALUE"""),395.01)</f>
        <v>395.01</v>
      </c>
      <c r="AK351" s="26">
        <f>IFERROR(__xludf.DUMMYFUNCTION("""COMPUTED_VALUE"""),147.58)</f>
        <v>147.58</v>
      </c>
      <c r="AL351" s="26">
        <f>IFERROR(__xludf.DUMMYFUNCTION("""COMPUTED_VALUE"""),160.98)</f>
        <v>160.98</v>
      </c>
      <c r="AM351" s="26">
        <f>IFERROR(__xludf.DUMMYFUNCTION("""COMPUTED_VALUE"""),443.01)</f>
        <v>443.01</v>
      </c>
      <c r="AN351" s="26">
        <f>IFERROR(__xludf.DUMMYFUNCTION("""COMPUTED_VALUE"""),307.55)</f>
        <v>307.55</v>
      </c>
      <c r="AO351" s="26">
        <f>IFERROR(__xludf.DUMMYFUNCTION("""COMPUTED_VALUE"""),499.36)</f>
        <v>499.36</v>
      </c>
      <c r="AP351" s="26">
        <f>IFERROR(__xludf.DUMMYFUNCTION("""COMPUTED_VALUE"""),178.2)</f>
        <v>178.2</v>
      </c>
      <c r="AQ351" s="26">
        <f>IFERROR(__xludf.DUMMYFUNCTION("""COMPUTED_VALUE"""),31.41)</f>
        <v>31.41</v>
      </c>
      <c r="AR351" s="26">
        <f>IFERROR(__xludf.DUMMYFUNCTION("""COMPUTED_VALUE"""),95.48)</f>
        <v>95.48</v>
      </c>
      <c r="AS351" s="26">
        <f>IFERROR(__xludf.DUMMYFUNCTION("""COMPUTED_VALUE"""),81.33)</f>
        <v>81.33</v>
      </c>
      <c r="AT351" s="26">
        <f>IFERROR(__xludf.DUMMYFUNCTION("""COMPUTED_VALUE"""),515.74)</f>
        <v>515.74</v>
      </c>
      <c r="AU351" s="26">
        <f>IFERROR(__xludf.DUMMYFUNCTION("""COMPUTED_VALUE"""),78.18)</f>
        <v>78.18</v>
      </c>
      <c r="AV351" s="26">
        <f>IFERROR(__xludf.DUMMYFUNCTION("""COMPUTED_VALUE"""),188.89)</f>
        <v>188.89</v>
      </c>
      <c r="AW351" s="26">
        <f>IFERROR(__xludf.DUMMYFUNCTION("""COMPUTED_VALUE"""),92.24)</f>
        <v>92.24</v>
      </c>
      <c r="AX351" s="26">
        <f>IFERROR(__xludf.DUMMYFUNCTION("""COMPUTED_VALUE"""),42.36)</f>
        <v>42.36</v>
      </c>
      <c r="AY351" s="26">
        <f>IFERROR(__xludf.DUMMYFUNCTION("""COMPUTED_VALUE"""),187.05)</f>
        <v>187.05</v>
      </c>
      <c r="AZ351" s="26">
        <f>IFERROR(__xludf.DUMMYFUNCTION("""COMPUTED_VALUE"""),68.93)</f>
        <v>68.93</v>
      </c>
      <c r="BA351" s="26">
        <f>IFERROR(__xludf.DUMMYFUNCTION("""COMPUTED_VALUE"""),27.08)</f>
        <v>27.08</v>
      </c>
      <c r="BB351" s="26">
        <f>IFERROR(__xludf.DUMMYFUNCTION("""COMPUTED_VALUE"""),166.63)</f>
        <v>166.63</v>
      </c>
      <c r="BC351" s="26">
        <f>IFERROR(__xludf.DUMMYFUNCTION("""COMPUTED_VALUE"""),230.14)</f>
        <v>230.14</v>
      </c>
      <c r="BD351" s="26">
        <f>IFERROR(__xludf.DUMMYFUNCTION("""COMPUTED_VALUE"""),524.96)</f>
        <v>524.96</v>
      </c>
      <c r="BE351" s="26">
        <f>IFERROR(__xludf.DUMMYFUNCTION("""COMPUTED_VALUE"""),190.52)</f>
        <v>190.52</v>
      </c>
      <c r="BF351" s="26">
        <f>IFERROR(__xludf.DUMMYFUNCTION("""COMPUTED_VALUE"""),116.07)</f>
        <v>116.07</v>
      </c>
      <c r="BG351" s="26">
        <f>IFERROR(__xludf.DUMMYFUNCTION("""COMPUTED_VALUE"""),5.09)</f>
        <v>5.09</v>
      </c>
      <c r="BH351" s="26">
        <f>IFERROR(__xludf.DUMMYFUNCTION("""COMPUTED_VALUE"""),234.52)</f>
        <v>234.52</v>
      </c>
      <c r="BI351" s="26">
        <f>IFERROR(__xludf.DUMMYFUNCTION("""COMPUTED_VALUE"""),353.72)</f>
        <v>353.72</v>
      </c>
      <c r="BJ351" s="26">
        <f>IFERROR(__xludf.DUMMYFUNCTION("""COMPUTED_VALUE"""),50.03)</f>
        <v>50.03</v>
      </c>
      <c r="BK351" s="26">
        <f>IFERROR(__xludf.DUMMYFUNCTION("""COMPUTED_VALUE"""),10.11)</f>
        <v>10.11</v>
      </c>
      <c r="BL351" s="26">
        <f>IFERROR(__xludf.DUMMYFUNCTION("""COMPUTED_VALUE"""),216.91)</f>
        <v>216.91</v>
      </c>
      <c r="BM351" s="26">
        <f>IFERROR(__xludf.DUMMYFUNCTION("""COMPUTED_VALUE"""),112.14)</f>
        <v>112.14</v>
      </c>
    </row>
    <row r="352">
      <c r="A352" s="25">
        <v>45937.66666666667</v>
      </c>
      <c r="B352" s="17">
        <f>IFERROR(__xludf.DUMMYFUNCTION("""COMPUTED_VALUE"""),6715.79)</f>
        <v>6715.79</v>
      </c>
      <c r="C352" s="17">
        <f>IFERROR(__xludf.DUMMYFUNCTION("""COMPUTED_VALUE"""),22780.51)</f>
        <v>22780.51</v>
      </c>
      <c r="D352" s="17">
        <f>IFERROR(__xludf.DUMMYFUNCTION("""COMPUTED_VALUE"""),46758.28)</f>
        <v>46758.28</v>
      </c>
      <c r="E352" s="17">
        <f>IFERROR(__xludf.DUMMYFUNCTION("""COMPUTED_VALUE"""),2476.18)</f>
        <v>2476.18</v>
      </c>
      <c r="F352" s="26">
        <f>IFERROR(__xludf.DUMMYFUNCTION("""COMPUTED_VALUE"""),346.74)</f>
        <v>346.74</v>
      </c>
      <c r="G352" s="26">
        <f>IFERROR(__xludf.DUMMYFUNCTION("""COMPUTED_VALUE"""),219.51)</f>
        <v>219.51</v>
      </c>
      <c r="H352" s="26">
        <f>IFERROR(__xludf.DUMMYFUNCTION("""COMPUTED_VALUE"""),137.75)</f>
        <v>137.75</v>
      </c>
      <c r="I352" s="26">
        <f>IFERROR(__xludf.DUMMYFUNCTION("""COMPUTED_VALUE"""),258.02)</f>
        <v>258.02</v>
      </c>
      <c r="J352" s="26">
        <f>IFERROR(__xludf.DUMMYFUNCTION("""COMPUTED_VALUE"""),217.53)</f>
        <v>217.53</v>
      </c>
      <c r="K352" s="26">
        <f>IFERROR(__xludf.DUMMYFUNCTION("""COMPUTED_VALUE"""),106.6)</f>
        <v>106.6</v>
      </c>
      <c r="L352" s="26">
        <f>IFERROR(__xludf.DUMMYFUNCTION("""COMPUTED_VALUE"""),20.97)</f>
        <v>20.97</v>
      </c>
      <c r="M352" s="26">
        <f>IFERROR(__xludf.DUMMYFUNCTION("""COMPUTED_VALUE"""),498.75)</f>
        <v>498.75</v>
      </c>
      <c r="N352" s="26">
        <f>IFERROR(__xludf.DUMMYFUNCTION("""COMPUTED_VALUE"""),55.47)</f>
        <v>55.47</v>
      </c>
      <c r="O352" s="26">
        <f>IFERROR(__xludf.DUMMYFUNCTION("""COMPUTED_VALUE"""),159.88)</f>
        <v>159.88</v>
      </c>
      <c r="P352" s="26">
        <f>IFERROR(__xludf.DUMMYFUNCTION("""COMPUTED_VALUE"""),59.65)</f>
        <v>59.65</v>
      </c>
      <c r="Q352" s="26">
        <f>IFERROR(__xludf.DUMMYFUNCTION("""COMPUTED_VALUE"""),497.85)</f>
        <v>497.85</v>
      </c>
      <c r="R352" s="26">
        <f>IFERROR(__xludf.DUMMYFUNCTION("""COMPUTED_VALUE"""),84.17)</f>
        <v>84.17</v>
      </c>
      <c r="S352" s="26">
        <f>IFERROR(__xludf.DUMMYFUNCTION("""COMPUTED_VALUE"""),201.57)</f>
        <v>201.57</v>
      </c>
      <c r="T352" s="26">
        <f>IFERROR(__xludf.DUMMYFUNCTION("""COMPUTED_VALUE"""),153.55)</f>
        <v>153.55</v>
      </c>
      <c r="U352" s="26">
        <f>IFERROR(__xludf.DUMMYFUNCTION("""COMPUTED_VALUE"""),311.0)</f>
        <v>311</v>
      </c>
      <c r="V352" s="26">
        <f>IFERROR(__xludf.DUMMYFUNCTION("""COMPUTED_VALUE"""),53.82)</f>
        <v>53.82</v>
      </c>
      <c r="W352" s="26">
        <f>IFERROR(__xludf.DUMMYFUNCTION("""COMPUTED_VALUE"""),66.65)</f>
        <v>66.65</v>
      </c>
      <c r="X352" s="26">
        <f>IFERROR(__xludf.DUMMYFUNCTION("""COMPUTED_VALUE"""),98.81)</f>
        <v>98.81</v>
      </c>
      <c r="Y352" s="26">
        <f>IFERROR(__xludf.DUMMYFUNCTION("""COMPUTED_VALUE"""),176.35)</f>
        <v>176.35</v>
      </c>
      <c r="Z352" s="26">
        <f>IFERROR(__xludf.DUMMYFUNCTION("""COMPUTED_VALUE"""),89.98)</f>
        <v>89.98</v>
      </c>
      <c r="AA352" s="26">
        <f>IFERROR(__xludf.DUMMYFUNCTION("""COMPUTED_VALUE"""),426.71)</f>
        <v>426.71</v>
      </c>
      <c r="AB352" s="26">
        <f>IFERROR(__xludf.DUMMYFUNCTION("""COMPUTED_VALUE"""),92.17)</f>
        <v>92.17</v>
      </c>
      <c r="AC352" s="26">
        <f>IFERROR(__xludf.DUMMYFUNCTION("""COMPUTED_VALUE"""),113.26)</f>
        <v>113.26</v>
      </c>
      <c r="AD352" s="26">
        <f>IFERROR(__xludf.DUMMYFUNCTION("""COMPUTED_VALUE"""),244.61)</f>
        <v>244.61</v>
      </c>
      <c r="AE352" s="26">
        <f>IFERROR(__xludf.DUMMYFUNCTION("""COMPUTED_VALUE"""),501.15)</f>
        <v>501.15</v>
      </c>
      <c r="AF352" s="26">
        <f>IFERROR(__xludf.DUMMYFUNCTION("""COMPUTED_VALUE"""),343.62)</f>
        <v>343.62</v>
      </c>
      <c r="AG352" s="26">
        <f>IFERROR(__xludf.DUMMYFUNCTION("""COMPUTED_VALUE"""),60.13)</f>
        <v>60.13</v>
      </c>
      <c r="AH352" s="26">
        <f>IFERROR(__xludf.DUMMYFUNCTION("""COMPUTED_VALUE"""),112.69)</f>
        <v>112.69</v>
      </c>
      <c r="AI352" s="26">
        <f>IFERROR(__xludf.DUMMYFUNCTION("""COMPUTED_VALUE"""),789.98)</f>
        <v>789.98</v>
      </c>
      <c r="AJ352" s="26">
        <f>IFERROR(__xludf.DUMMYFUNCTION("""COMPUTED_VALUE"""),395.06)</f>
        <v>395.06</v>
      </c>
      <c r="AK352" s="26">
        <f>IFERROR(__xludf.DUMMYFUNCTION("""COMPUTED_VALUE"""),150.32)</f>
        <v>150.32</v>
      </c>
      <c r="AL352" s="26">
        <f>IFERROR(__xludf.DUMMYFUNCTION("""COMPUTED_VALUE"""),162.62)</f>
        <v>162.62</v>
      </c>
      <c r="AM352" s="26">
        <f>IFERROR(__xludf.DUMMYFUNCTION("""COMPUTED_VALUE"""),452.35)</f>
        <v>452.35</v>
      </c>
      <c r="AN352" s="26">
        <f>IFERROR(__xludf.DUMMYFUNCTION("""COMPUTED_VALUE"""),310.03)</f>
        <v>310.03</v>
      </c>
      <c r="AO352" s="26">
        <f>IFERROR(__xludf.DUMMYFUNCTION("""COMPUTED_VALUE"""),504.49)</f>
        <v>504.49</v>
      </c>
      <c r="AP352" s="26">
        <f>IFERROR(__xludf.DUMMYFUNCTION("""COMPUTED_VALUE"""),175.59)</f>
        <v>175.59</v>
      </c>
      <c r="AQ352" s="26">
        <f>IFERROR(__xludf.DUMMYFUNCTION("""COMPUTED_VALUE"""),31.96)</f>
        <v>31.96</v>
      </c>
      <c r="AR352" s="26">
        <f>IFERROR(__xludf.DUMMYFUNCTION("""COMPUTED_VALUE"""),97.7)</f>
        <v>97.7</v>
      </c>
      <c r="AS352" s="26">
        <f>IFERROR(__xludf.DUMMYFUNCTION("""COMPUTED_VALUE"""),82.37)</f>
        <v>82.37</v>
      </c>
      <c r="AT352" s="26">
        <f>IFERROR(__xludf.DUMMYFUNCTION("""COMPUTED_VALUE"""),517.35)</f>
        <v>517.35</v>
      </c>
      <c r="AU352" s="26">
        <f>IFERROR(__xludf.DUMMYFUNCTION("""COMPUTED_VALUE"""),80.06)</f>
        <v>80.06</v>
      </c>
      <c r="AV352" s="26">
        <f>IFERROR(__xludf.DUMMYFUNCTION("""COMPUTED_VALUE"""),187.62)</f>
        <v>187.62</v>
      </c>
      <c r="AW352" s="26">
        <f>IFERROR(__xludf.DUMMYFUNCTION("""COMPUTED_VALUE"""),91.54)</f>
        <v>91.54</v>
      </c>
      <c r="AX352" s="26">
        <f>IFERROR(__xludf.DUMMYFUNCTION("""COMPUTED_VALUE"""),42.1)</f>
        <v>42.1</v>
      </c>
      <c r="AY352" s="26">
        <f>IFERROR(__xludf.DUMMYFUNCTION("""COMPUTED_VALUE"""),173.07)</f>
        <v>173.07</v>
      </c>
      <c r="AZ352" s="26">
        <f>IFERROR(__xludf.DUMMYFUNCTION("""COMPUTED_VALUE"""),69.25)</f>
        <v>69.25</v>
      </c>
      <c r="BA352" s="26">
        <f>IFERROR(__xludf.DUMMYFUNCTION("""COMPUTED_VALUE"""),27.37)</f>
        <v>27.37</v>
      </c>
      <c r="BB352" s="26">
        <f>IFERROR(__xludf.DUMMYFUNCTION("""COMPUTED_VALUE"""),166.58)</f>
        <v>166.58</v>
      </c>
      <c r="BC352" s="26">
        <f>IFERROR(__xludf.DUMMYFUNCTION("""COMPUTED_VALUE"""),230.27)</f>
        <v>230.27</v>
      </c>
      <c r="BD352" s="26">
        <f>IFERROR(__xludf.DUMMYFUNCTION("""COMPUTED_VALUE"""),543.32)</f>
        <v>543.32</v>
      </c>
      <c r="BE352" s="26">
        <f>IFERROR(__xludf.DUMMYFUNCTION("""COMPUTED_VALUE"""),194.59)</f>
        <v>194.59</v>
      </c>
      <c r="BF352" s="26">
        <f>IFERROR(__xludf.DUMMYFUNCTION("""COMPUTED_VALUE"""),115.69)</f>
        <v>115.69</v>
      </c>
      <c r="BG352" s="26">
        <f>IFERROR(__xludf.DUMMYFUNCTION("""COMPUTED_VALUE"""),5.05)</f>
        <v>5.05</v>
      </c>
      <c r="BH352" s="26">
        <f>IFERROR(__xludf.DUMMYFUNCTION("""COMPUTED_VALUE"""),236.8)</f>
        <v>236.8</v>
      </c>
      <c r="BI352" s="26">
        <f>IFERROR(__xludf.DUMMYFUNCTION("""COMPUTED_VALUE"""),360.2)</f>
        <v>360.2</v>
      </c>
      <c r="BJ352" s="26">
        <f>IFERROR(__xludf.DUMMYFUNCTION("""COMPUTED_VALUE"""),49.99)</f>
        <v>49.99</v>
      </c>
      <c r="BK352" s="26">
        <f>IFERROR(__xludf.DUMMYFUNCTION("""COMPUTED_VALUE"""),10.19)</f>
        <v>10.19</v>
      </c>
      <c r="BL352" s="26">
        <f>IFERROR(__xludf.DUMMYFUNCTION("""COMPUTED_VALUE"""),219.76)</f>
        <v>219.76</v>
      </c>
      <c r="BM352" s="26">
        <f>IFERROR(__xludf.DUMMYFUNCTION("""COMPUTED_VALUE"""),112.47)</f>
        <v>112.47</v>
      </c>
    </row>
    <row r="353">
      <c r="A353" s="25">
        <v>45938.66666666667</v>
      </c>
      <c r="B353" s="17">
        <f>IFERROR(__xludf.DUMMYFUNCTION("""COMPUTED_VALUE"""),6740.28)</f>
        <v>6740.28</v>
      </c>
      <c r="C353" s="17">
        <f>IFERROR(__xludf.DUMMYFUNCTION("""COMPUTED_VALUE"""),22941.67)</f>
        <v>22941.67</v>
      </c>
      <c r="D353" s="17">
        <f>IFERROR(__xludf.DUMMYFUNCTION("""COMPUTED_VALUE"""),46694.97)</f>
        <v>46694.97</v>
      </c>
      <c r="E353" s="17">
        <f>IFERROR(__xludf.DUMMYFUNCTION("""COMPUTED_VALUE"""),2486.35)</f>
        <v>2486.35</v>
      </c>
      <c r="F353" s="26">
        <f>IFERROR(__xludf.DUMMYFUNCTION("""COMPUTED_VALUE"""),350.14)</f>
        <v>350.14</v>
      </c>
      <c r="G353" s="26">
        <f>IFERROR(__xludf.DUMMYFUNCTION("""COMPUTED_VALUE"""),220.9)</f>
        <v>220.9</v>
      </c>
      <c r="H353" s="26">
        <f>IFERROR(__xludf.DUMMYFUNCTION("""COMPUTED_VALUE"""),138.94)</f>
        <v>138.94</v>
      </c>
      <c r="I353" s="26">
        <f>IFERROR(__xludf.DUMMYFUNCTION("""COMPUTED_VALUE"""),256.69)</f>
        <v>256.69</v>
      </c>
      <c r="J353" s="26">
        <f>IFERROR(__xludf.DUMMYFUNCTION("""COMPUTED_VALUE"""),223.91)</f>
        <v>223.91</v>
      </c>
      <c r="K353" s="26">
        <f>IFERROR(__xludf.DUMMYFUNCTION("""COMPUTED_VALUE"""),106.43)</f>
        <v>106.43</v>
      </c>
      <c r="L353" s="26">
        <f>IFERROR(__xludf.DUMMYFUNCTION("""COMPUTED_VALUE"""),20.63)</f>
        <v>20.63</v>
      </c>
      <c r="M353" s="26">
        <f>IFERROR(__xludf.DUMMYFUNCTION("""COMPUTED_VALUE"""),500.02)</f>
        <v>500.02</v>
      </c>
      <c r="N353" s="26">
        <f>IFERROR(__xludf.DUMMYFUNCTION("""COMPUTED_VALUE"""),55.97)</f>
        <v>55.97</v>
      </c>
      <c r="O353" s="26">
        <f>IFERROR(__xludf.DUMMYFUNCTION("""COMPUTED_VALUE"""),154.05)</f>
        <v>154.05</v>
      </c>
      <c r="P353" s="26">
        <f>IFERROR(__xludf.DUMMYFUNCTION("""COMPUTED_VALUE"""),59.81)</f>
        <v>59.81</v>
      </c>
      <c r="Q353" s="26">
        <f>IFERROR(__xludf.DUMMYFUNCTION("""COMPUTED_VALUE"""),495.38)</f>
        <v>495.38</v>
      </c>
      <c r="R353" s="26">
        <f>IFERROR(__xludf.DUMMYFUNCTION("""COMPUTED_VALUE"""),85.31)</f>
        <v>85.31</v>
      </c>
      <c r="S353" s="26">
        <f>IFERROR(__xludf.DUMMYFUNCTION("""COMPUTED_VALUE"""),200.96)</f>
        <v>200.96</v>
      </c>
      <c r="T353" s="26">
        <f>IFERROR(__xludf.DUMMYFUNCTION("""COMPUTED_VALUE"""),154.02)</f>
        <v>154.02</v>
      </c>
      <c r="U353" s="26">
        <f>IFERROR(__xludf.DUMMYFUNCTION("""COMPUTED_VALUE"""),302.99)</f>
        <v>302.99</v>
      </c>
      <c r="V353" s="26">
        <f>IFERROR(__xludf.DUMMYFUNCTION("""COMPUTED_VALUE"""),54.0)</f>
        <v>54</v>
      </c>
      <c r="W353" s="26">
        <f>IFERROR(__xludf.DUMMYFUNCTION("""COMPUTED_VALUE"""),66.1)</f>
        <v>66.1</v>
      </c>
      <c r="X353" s="26">
        <f>IFERROR(__xludf.DUMMYFUNCTION("""COMPUTED_VALUE"""),99.33)</f>
        <v>99.33</v>
      </c>
      <c r="Y353" s="26">
        <f>IFERROR(__xludf.DUMMYFUNCTION("""COMPUTED_VALUE"""),176.96)</f>
        <v>176.96</v>
      </c>
      <c r="Z353" s="26">
        <f>IFERROR(__xludf.DUMMYFUNCTION("""COMPUTED_VALUE"""),87.68)</f>
        <v>87.68</v>
      </c>
      <c r="AA353" s="26">
        <f>IFERROR(__xludf.DUMMYFUNCTION("""COMPUTED_VALUE"""),422.91)</f>
        <v>422.91</v>
      </c>
      <c r="AB353" s="26">
        <f>IFERROR(__xludf.DUMMYFUNCTION("""COMPUTED_VALUE"""),91.77)</f>
        <v>91.77</v>
      </c>
      <c r="AC353" s="26">
        <f>IFERROR(__xludf.DUMMYFUNCTION("""COMPUTED_VALUE"""),114.2)</f>
        <v>114.2</v>
      </c>
      <c r="AD353" s="26">
        <f>IFERROR(__xludf.DUMMYFUNCTION("""COMPUTED_VALUE"""),247.03)</f>
        <v>247.03</v>
      </c>
      <c r="AE353" s="26">
        <f>IFERROR(__xludf.DUMMYFUNCTION("""COMPUTED_VALUE"""),491.53)</f>
        <v>491.53</v>
      </c>
      <c r="AF353" s="26">
        <f>IFERROR(__xludf.DUMMYFUNCTION("""COMPUTED_VALUE"""),346.5)</f>
        <v>346.5</v>
      </c>
      <c r="AG353" s="26">
        <f>IFERROR(__xludf.DUMMYFUNCTION("""COMPUTED_VALUE"""),58.19)</f>
        <v>58.19</v>
      </c>
      <c r="AH353" s="26">
        <f>IFERROR(__xludf.DUMMYFUNCTION("""COMPUTED_VALUE"""),113.58)</f>
        <v>113.58</v>
      </c>
      <c r="AI353" s="26">
        <f>IFERROR(__xludf.DUMMYFUNCTION("""COMPUTED_VALUE"""),796.78)</f>
        <v>796.78</v>
      </c>
      <c r="AJ353" s="26">
        <f>IFERROR(__xludf.DUMMYFUNCTION("""COMPUTED_VALUE"""),389.33)</f>
        <v>389.33</v>
      </c>
      <c r="AK353" s="26">
        <f>IFERROR(__xludf.DUMMYFUNCTION("""COMPUTED_VALUE"""),150.2)</f>
        <v>150.2</v>
      </c>
      <c r="AL353" s="26">
        <f>IFERROR(__xludf.DUMMYFUNCTION("""COMPUTED_VALUE"""),159.06)</f>
        <v>159.06</v>
      </c>
      <c r="AM353" s="26">
        <f>IFERROR(__xludf.DUMMYFUNCTION("""COMPUTED_VALUE"""),449.69)</f>
        <v>449.69</v>
      </c>
      <c r="AN353" s="26">
        <f>IFERROR(__xludf.DUMMYFUNCTION("""COMPUTED_VALUE"""),309.18)</f>
        <v>309.18</v>
      </c>
      <c r="AO353" s="26">
        <f>IFERROR(__xludf.DUMMYFUNCTION("""COMPUTED_VALUE"""),514.24)</f>
        <v>514.24</v>
      </c>
      <c r="AP353" s="26">
        <f>IFERROR(__xludf.DUMMYFUNCTION("""COMPUTED_VALUE"""),174.12)</f>
        <v>174.12</v>
      </c>
      <c r="AQ353" s="26">
        <f>IFERROR(__xludf.DUMMYFUNCTION("""COMPUTED_VALUE"""),32.3)</f>
        <v>32.3</v>
      </c>
      <c r="AR353" s="26">
        <f>IFERROR(__xludf.DUMMYFUNCTION("""COMPUTED_VALUE"""),98.43)</f>
        <v>98.43</v>
      </c>
      <c r="AS353" s="26">
        <f>IFERROR(__xludf.DUMMYFUNCTION("""COMPUTED_VALUE"""),82.35)</f>
        <v>82.35</v>
      </c>
      <c r="AT353" s="26">
        <f>IFERROR(__xludf.DUMMYFUNCTION("""COMPUTED_VALUE"""),528.57)</f>
        <v>528.57</v>
      </c>
      <c r="AU353" s="26">
        <f>IFERROR(__xludf.DUMMYFUNCTION("""COMPUTED_VALUE"""),82.11)</f>
        <v>82.11</v>
      </c>
      <c r="AV353" s="26">
        <f>IFERROR(__xludf.DUMMYFUNCTION("""COMPUTED_VALUE"""),185.54)</f>
        <v>185.54</v>
      </c>
      <c r="AW353" s="26">
        <f>IFERROR(__xludf.DUMMYFUNCTION("""COMPUTED_VALUE"""),90.83)</f>
        <v>90.83</v>
      </c>
      <c r="AX353" s="26">
        <f>IFERROR(__xludf.DUMMYFUNCTION("""COMPUTED_VALUE"""),42.57)</f>
        <v>42.57</v>
      </c>
      <c r="AY353" s="26">
        <f>IFERROR(__xludf.DUMMYFUNCTION("""COMPUTED_VALUE"""),179.53)</f>
        <v>179.53</v>
      </c>
      <c r="AZ353" s="26">
        <f>IFERROR(__xludf.DUMMYFUNCTION("""COMPUTED_VALUE"""),71.29)</f>
        <v>71.29</v>
      </c>
      <c r="BA353" s="26">
        <f>IFERROR(__xludf.DUMMYFUNCTION("""COMPUTED_VALUE"""),26.43)</f>
        <v>26.43</v>
      </c>
      <c r="BB353" s="26">
        <f>IFERROR(__xludf.DUMMYFUNCTION("""COMPUTED_VALUE"""),168.8)</f>
        <v>168.8</v>
      </c>
      <c r="BC353" s="26">
        <f>IFERROR(__xludf.DUMMYFUNCTION("""COMPUTED_VALUE"""),224.96)</f>
        <v>224.96</v>
      </c>
      <c r="BD353" s="26">
        <f>IFERROR(__xludf.DUMMYFUNCTION("""COMPUTED_VALUE"""),543.95)</f>
        <v>543.95</v>
      </c>
      <c r="BE353" s="26">
        <f>IFERROR(__xludf.DUMMYFUNCTION("""COMPUTED_VALUE"""),199.18)</f>
        <v>199.18</v>
      </c>
      <c r="BF353" s="26">
        <f>IFERROR(__xludf.DUMMYFUNCTION("""COMPUTED_VALUE"""),113.93)</f>
        <v>113.93</v>
      </c>
      <c r="BG353" s="26">
        <f>IFERROR(__xludf.DUMMYFUNCTION("""COMPUTED_VALUE"""),5.0)</f>
        <v>5</v>
      </c>
      <c r="BH353" s="26">
        <f>IFERROR(__xludf.DUMMYFUNCTION("""COMPUTED_VALUE"""),237.41)</f>
        <v>237.41</v>
      </c>
      <c r="BI353" s="26">
        <f>IFERROR(__xludf.DUMMYFUNCTION("""COMPUTED_VALUE"""),358.77)</f>
        <v>358.77</v>
      </c>
      <c r="BJ353" s="26">
        <f>IFERROR(__xludf.DUMMYFUNCTION("""COMPUTED_VALUE"""),50.01)</f>
        <v>50.01</v>
      </c>
      <c r="BK353" s="26">
        <f>IFERROR(__xludf.DUMMYFUNCTION("""COMPUTED_VALUE"""),10.13)</f>
        <v>10.13</v>
      </c>
      <c r="BL353" s="26">
        <f>IFERROR(__xludf.DUMMYFUNCTION("""COMPUTED_VALUE"""),217.69)</f>
        <v>217.69</v>
      </c>
      <c r="BM353" s="26">
        <f>IFERROR(__xludf.DUMMYFUNCTION("""COMPUTED_VALUE"""),112.75)</f>
        <v>112.75</v>
      </c>
    </row>
    <row r="354">
      <c r="A354" s="25">
        <v>45939.66666666667</v>
      </c>
      <c r="B354" s="17">
        <f>IFERROR(__xludf.DUMMYFUNCTION("""COMPUTED_VALUE"""),6714.59)</f>
        <v>6714.59</v>
      </c>
      <c r="C354" s="17">
        <f>IFERROR(__xludf.DUMMYFUNCTION("""COMPUTED_VALUE"""),22788.36)</f>
        <v>22788.36</v>
      </c>
      <c r="D354" s="17">
        <f>IFERROR(__xludf.DUMMYFUNCTION("""COMPUTED_VALUE"""),46602.98)</f>
        <v>46602.98</v>
      </c>
      <c r="E354" s="17">
        <f>IFERROR(__xludf.DUMMYFUNCTION("""COMPUTED_VALUE"""),2458.42)</f>
        <v>2458.42</v>
      </c>
      <c r="F354" s="26">
        <f>IFERROR(__xludf.DUMMYFUNCTION("""COMPUTED_VALUE"""),348.31)</f>
        <v>348.31</v>
      </c>
      <c r="G354" s="26">
        <f>IFERROR(__xludf.DUMMYFUNCTION("""COMPUTED_VALUE"""),221.78)</f>
        <v>221.78</v>
      </c>
      <c r="H354" s="26">
        <f>IFERROR(__xludf.DUMMYFUNCTION("""COMPUTED_VALUE"""),142.51)</f>
        <v>142.51</v>
      </c>
      <c r="I354" s="26">
        <f>IFERROR(__xludf.DUMMYFUNCTION("""COMPUTED_VALUE"""),256.48)</f>
        <v>256.48</v>
      </c>
      <c r="J354" s="26">
        <f>IFERROR(__xludf.DUMMYFUNCTION("""COMPUTED_VALUE"""),211.56)</f>
        <v>211.56</v>
      </c>
      <c r="K354" s="26">
        <f>IFERROR(__xludf.DUMMYFUNCTION("""COMPUTED_VALUE"""),106.93)</f>
        <v>106.93</v>
      </c>
      <c r="L354" s="26">
        <f>IFERROR(__xludf.DUMMYFUNCTION("""COMPUTED_VALUE"""),20.44)</f>
        <v>20.44</v>
      </c>
      <c r="M354" s="26">
        <f>IFERROR(__xludf.DUMMYFUNCTION("""COMPUTED_VALUE"""),502.3)</f>
        <v>502.3</v>
      </c>
      <c r="N354" s="26">
        <f>IFERROR(__xludf.DUMMYFUNCTION("""COMPUTED_VALUE"""),55.2)</f>
        <v>55.2</v>
      </c>
      <c r="O354" s="26">
        <f>IFERROR(__xludf.DUMMYFUNCTION("""COMPUTED_VALUE"""),152.21)</f>
        <v>152.21</v>
      </c>
      <c r="P354" s="26">
        <f>IFERROR(__xludf.DUMMYFUNCTION("""COMPUTED_VALUE"""),59.18)</f>
        <v>59.18</v>
      </c>
      <c r="Q354" s="26">
        <f>IFERROR(__xludf.DUMMYFUNCTION("""COMPUTED_VALUE"""),486.71)</f>
        <v>486.71</v>
      </c>
      <c r="R354" s="26">
        <f>IFERROR(__xludf.DUMMYFUNCTION("""COMPUTED_VALUE"""),86.45)</f>
        <v>86.45</v>
      </c>
      <c r="S354" s="26">
        <f>IFERROR(__xludf.DUMMYFUNCTION("""COMPUTED_VALUE"""),200.44)</f>
        <v>200.44</v>
      </c>
      <c r="T354" s="26">
        <f>IFERROR(__xludf.DUMMYFUNCTION("""COMPUTED_VALUE"""),154.91)</f>
        <v>154.91</v>
      </c>
      <c r="U354" s="26">
        <f>IFERROR(__xludf.DUMMYFUNCTION("""COMPUTED_VALUE"""),307.14)</f>
        <v>307.14</v>
      </c>
      <c r="V354" s="26">
        <f>IFERROR(__xludf.DUMMYFUNCTION("""COMPUTED_VALUE"""),53.13)</f>
        <v>53.13</v>
      </c>
      <c r="W354" s="26">
        <f>IFERROR(__xludf.DUMMYFUNCTION("""COMPUTED_VALUE"""),66.79)</f>
        <v>66.79</v>
      </c>
      <c r="X354" s="26">
        <f>IFERROR(__xludf.DUMMYFUNCTION("""COMPUTED_VALUE"""),100.04)</f>
        <v>100.04</v>
      </c>
      <c r="Y354" s="26">
        <f>IFERROR(__xludf.DUMMYFUNCTION("""COMPUTED_VALUE"""),175.14)</f>
        <v>175.14</v>
      </c>
      <c r="Z354" s="26">
        <f>IFERROR(__xludf.DUMMYFUNCTION("""COMPUTED_VALUE"""),85.04)</f>
        <v>85.04</v>
      </c>
      <c r="AA354" s="26">
        <f>IFERROR(__xludf.DUMMYFUNCTION("""COMPUTED_VALUE"""),411.43)</f>
        <v>411.43</v>
      </c>
      <c r="AB354" s="26">
        <f>IFERROR(__xludf.DUMMYFUNCTION("""COMPUTED_VALUE"""),93.04)</f>
        <v>93.04</v>
      </c>
      <c r="AC354" s="26">
        <f>IFERROR(__xludf.DUMMYFUNCTION("""COMPUTED_VALUE"""),114.26)</f>
        <v>114.26</v>
      </c>
      <c r="AD354" s="26">
        <f>IFERROR(__xludf.DUMMYFUNCTION("""COMPUTED_VALUE"""),242.33)</f>
        <v>242.33</v>
      </c>
      <c r="AE354" s="26">
        <f>IFERROR(__xludf.DUMMYFUNCTION("""COMPUTED_VALUE"""),490.86)</f>
        <v>490.86</v>
      </c>
      <c r="AF354" s="26">
        <f>IFERROR(__xludf.DUMMYFUNCTION("""COMPUTED_VALUE"""),343.43)</f>
        <v>343.43</v>
      </c>
      <c r="AG354" s="26">
        <f>IFERROR(__xludf.DUMMYFUNCTION("""COMPUTED_VALUE"""),57.26)</f>
        <v>57.26</v>
      </c>
      <c r="AH354" s="26">
        <f>IFERROR(__xludf.DUMMYFUNCTION("""COMPUTED_VALUE"""),116.78)</f>
        <v>116.78</v>
      </c>
      <c r="AI354" s="26">
        <f>IFERROR(__xludf.DUMMYFUNCTION("""COMPUTED_VALUE"""),789.65)</f>
        <v>789.65</v>
      </c>
      <c r="AJ354" s="26">
        <f>IFERROR(__xludf.DUMMYFUNCTION("""COMPUTED_VALUE"""),386.81)</f>
        <v>386.81</v>
      </c>
      <c r="AK354" s="26">
        <f>IFERROR(__xludf.DUMMYFUNCTION("""COMPUTED_VALUE"""),149.91)</f>
        <v>149.91</v>
      </c>
      <c r="AL354" s="26">
        <f>IFERROR(__xludf.DUMMYFUNCTION("""COMPUTED_VALUE"""),161.98)</f>
        <v>161.98</v>
      </c>
      <c r="AM354" s="26">
        <f>IFERROR(__xludf.DUMMYFUNCTION("""COMPUTED_VALUE"""),440.94)</f>
        <v>440.94</v>
      </c>
      <c r="AN354" s="26">
        <f>IFERROR(__xludf.DUMMYFUNCTION("""COMPUTED_VALUE"""),307.69)</f>
        <v>307.69</v>
      </c>
      <c r="AO354" s="26">
        <f>IFERROR(__xludf.DUMMYFUNCTION("""COMPUTED_VALUE"""),511.07)</f>
        <v>511.07</v>
      </c>
      <c r="AP354" s="26">
        <f>IFERROR(__xludf.DUMMYFUNCTION("""COMPUTED_VALUE"""),173.17)</f>
        <v>173.17</v>
      </c>
      <c r="AQ354" s="26">
        <f>IFERROR(__xludf.DUMMYFUNCTION("""COMPUTED_VALUE"""),32.15)</f>
        <v>32.15</v>
      </c>
      <c r="AR354" s="26">
        <f>IFERROR(__xludf.DUMMYFUNCTION("""COMPUTED_VALUE"""),98.33)</f>
        <v>98.33</v>
      </c>
      <c r="AS354" s="26">
        <f>IFERROR(__xludf.DUMMYFUNCTION("""COMPUTED_VALUE"""),82.75)</f>
        <v>82.75</v>
      </c>
      <c r="AT354" s="26">
        <f>IFERROR(__xludf.DUMMYFUNCTION("""COMPUTED_VALUE"""),523.98)</f>
        <v>523.98</v>
      </c>
      <c r="AU354" s="26">
        <f>IFERROR(__xludf.DUMMYFUNCTION("""COMPUTED_VALUE"""),83.21)</f>
        <v>83.21</v>
      </c>
      <c r="AV354" s="26">
        <f>IFERROR(__xludf.DUMMYFUNCTION("""COMPUTED_VALUE"""),185.04)</f>
        <v>185.04</v>
      </c>
      <c r="AW354" s="26">
        <f>IFERROR(__xludf.DUMMYFUNCTION("""COMPUTED_VALUE"""),90.4)</f>
        <v>90.4</v>
      </c>
      <c r="AX354" s="26">
        <f>IFERROR(__xludf.DUMMYFUNCTION("""COMPUTED_VALUE"""),41.71)</f>
        <v>41.71</v>
      </c>
      <c r="AY354" s="26">
        <f>IFERROR(__xludf.DUMMYFUNCTION("""COMPUTED_VALUE"""),182.17)</f>
        <v>182.17</v>
      </c>
      <c r="AZ354" s="26">
        <f>IFERROR(__xludf.DUMMYFUNCTION("""COMPUTED_VALUE"""),74.61)</f>
        <v>74.61</v>
      </c>
      <c r="BA354" s="26">
        <f>IFERROR(__xludf.DUMMYFUNCTION("""COMPUTED_VALUE"""),26.27)</f>
        <v>26.27</v>
      </c>
      <c r="BB354" s="26">
        <f>IFERROR(__xludf.DUMMYFUNCTION("""COMPUTED_VALUE"""),169.27)</f>
        <v>169.27</v>
      </c>
      <c r="BC354" s="26">
        <f>IFERROR(__xludf.DUMMYFUNCTION("""COMPUTED_VALUE"""),227.68)</f>
        <v>227.68</v>
      </c>
      <c r="BD354" s="26">
        <f>IFERROR(__xludf.DUMMYFUNCTION("""COMPUTED_VALUE"""),539.17)</f>
        <v>539.17</v>
      </c>
      <c r="BE354" s="26">
        <f>IFERROR(__xludf.DUMMYFUNCTION("""COMPUTED_VALUE"""),199.89)</f>
        <v>199.89</v>
      </c>
      <c r="BF354" s="26">
        <f>IFERROR(__xludf.DUMMYFUNCTION("""COMPUTED_VALUE"""),115.18)</f>
        <v>115.18</v>
      </c>
      <c r="BG354" s="26">
        <f>IFERROR(__xludf.DUMMYFUNCTION("""COMPUTED_VALUE"""),4.85)</f>
        <v>4.85</v>
      </c>
      <c r="BH354" s="26">
        <f>IFERROR(__xludf.DUMMYFUNCTION("""COMPUTED_VALUE"""),231.86)</f>
        <v>231.86</v>
      </c>
      <c r="BI354" s="26">
        <f>IFERROR(__xludf.DUMMYFUNCTION("""COMPUTED_VALUE"""),363.66)</f>
        <v>363.66</v>
      </c>
      <c r="BJ354" s="26">
        <f>IFERROR(__xludf.DUMMYFUNCTION("""COMPUTED_VALUE"""),50.04)</f>
        <v>50.04</v>
      </c>
      <c r="BK354" s="26">
        <f>IFERROR(__xludf.DUMMYFUNCTION("""COMPUTED_VALUE"""),10.14)</f>
        <v>10.14</v>
      </c>
      <c r="BL354" s="26">
        <f>IFERROR(__xludf.DUMMYFUNCTION("""COMPUTED_VALUE"""),217.56)</f>
        <v>217.56</v>
      </c>
      <c r="BM354" s="26">
        <f>IFERROR(__xludf.DUMMYFUNCTION("""COMPUTED_VALUE"""),112.53)</f>
        <v>112.53</v>
      </c>
    </row>
    <row r="355">
      <c r="A355" s="25">
        <v>45940.66666666667</v>
      </c>
      <c r="B355" s="17">
        <f>IFERROR(__xludf.DUMMYFUNCTION("""COMPUTED_VALUE"""),6753.72)</f>
        <v>6753.72</v>
      </c>
      <c r="C355" s="17">
        <f>IFERROR(__xludf.DUMMYFUNCTION("""COMPUTED_VALUE"""),23043.38)</f>
        <v>23043.38</v>
      </c>
      <c r="D355" s="17">
        <f>IFERROR(__xludf.DUMMYFUNCTION("""COMPUTED_VALUE"""),46601.78)</f>
        <v>46601.78</v>
      </c>
      <c r="E355" s="17">
        <f>IFERROR(__xludf.DUMMYFUNCTION("""COMPUTED_VALUE"""),2483.99)</f>
        <v>2483.99</v>
      </c>
      <c r="F355" s="26">
        <f>IFERROR(__xludf.DUMMYFUNCTION("""COMPUTED_VALUE"""),348.77)</f>
        <v>348.77</v>
      </c>
      <c r="G355" s="26">
        <f>IFERROR(__xludf.DUMMYFUNCTION("""COMPUTED_VALUE"""),225.22)</f>
        <v>225.22</v>
      </c>
      <c r="H355" s="26">
        <f>IFERROR(__xludf.DUMMYFUNCTION("""COMPUTED_VALUE"""),141.03)</f>
        <v>141.03</v>
      </c>
      <c r="I355" s="26">
        <f>IFERROR(__xludf.DUMMYFUNCTION("""COMPUTED_VALUE"""),258.06)</f>
        <v>258.06</v>
      </c>
      <c r="J355" s="26">
        <f>IFERROR(__xludf.DUMMYFUNCTION("""COMPUTED_VALUE"""),217.51)</f>
        <v>217.51</v>
      </c>
      <c r="K355" s="26">
        <f>IFERROR(__xludf.DUMMYFUNCTION("""COMPUTED_VALUE"""),106.01)</f>
        <v>106.01</v>
      </c>
      <c r="L355" s="26">
        <f>IFERROR(__xludf.DUMMYFUNCTION("""COMPUTED_VALUE"""),20.48)</f>
        <v>20.48</v>
      </c>
      <c r="M355" s="26">
        <f>IFERROR(__xludf.DUMMYFUNCTION("""COMPUTED_VALUE"""),499.84)</f>
        <v>499.84</v>
      </c>
      <c r="N355" s="26">
        <f>IFERROR(__xludf.DUMMYFUNCTION("""COMPUTED_VALUE"""),56.06)</f>
        <v>56.06</v>
      </c>
      <c r="O355" s="26">
        <f>IFERROR(__xludf.DUMMYFUNCTION("""COMPUTED_VALUE"""),150.97)</f>
        <v>150.97</v>
      </c>
      <c r="P355" s="26">
        <f>IFERROR(__xludf.DUMMYFUNCTION("""COMPUTED_VALUE"""),59.8)</f>
        <v>59.8</v>
      </c>
      <c r="Q355" s="26">
        <f>IFERROR(__xludf.DUMMYFUNCTION("""COMPUTED_VALUE"""),502.12)</f>
        <v>502.12</v>
      </c>
      <c r="R355" s="26">
        <f>IFERROR(__xludf.DUMMYFUNCTION("""COMPUTED_VALUE"""),86.21)</f>
        <v>86.21</v>
      </c>
      <c r="S355" s="26">
        <f>IFERROR(__xludf.DUMMYFUNCTION("""COMPUTED_VALUE"""),201.0)</f>
        <v>201</v>
      </c>
      <c r="T355" s="26">
        <f>IFERROR(__xludf.DUMMYFUNCTION("""COMPUTED_VALUE"""),153.74)</f>
        <v>153.74</v>
      </c>
      <c r="U355" s="26">
        <f>IFERROR(__xludf.DUMMYFUNCTION("""COMPUTED_VALUE"""),306.76)</f>
        <v>306.76</v>
      </c>
      <c r="V355" s="26">
        <f>IFERROR(__xludf.DUMMYFUNCTION("""COMPUTED_VALUE"""),52.01)</f>
        <v>52.01</v>
      </c>
      <c r="W355" s="26">
        <f>IFERROR(__xludf.DUMMYFUNCTION("""COMPUTED_VALUE"""),66.12)</f>
        <v>66.12</v>
      </c>
      <c r="X355" s="26">
        <f>IFERROR(__xludf.DUMMYFUNCTION("""COMPUTED_VALUE"""),100.83)</f>
        <v>100.83</v>
      </c>
      <c r="Y355" s="26">
        <f>IFERROR(__xludf.DUMMYFUNCTION("""COMPUTED_VALUE"""),174.2)</f>
        <v>174.2</v>
      </c>
      <c r="Z355" s="26">
        <f>IFERROR(__xludf.DUMMYFUNCTION("""COMPUTED_VALUE"""),87.83)</f>
        <v>87.83</v>
      </c>
      <c r="AA355" s="26">
        <f>IFERROR(__xludf.DUMMYFUNCTION("""COMPUTED_VALUE"""),413.5)</f>
        <v>413.5</v>
      </c>
      <c r="AB355" s="26">
        <f>IFERROR(__xludf.DUMMYFUNCTION("""COMPUTED_VALUE"""),92.08)</f>
        <v>92.08</v>
      </c>
      <c r="AC355" s="26">
        <f>IFERROR(__xludf.DUMMYFUNCTION("""COMPUTED_VALUE"""),114.02)</f>
        <v>114.02</v>
      </c>
      <c r="AD355" s="26">
        <f>IFERROR(__xludf.DUMMYFUNCTION("""COMPUTED_VALUE"""),239.93)</f>
        <v>239.93</v>
      </c>
      <c r="AE355" s="26">
        <f>IFERROR(__xludf.DUMMYFUNCTION("""COMPUTED_VALUE"""),479.21)</f>
        <v>479.21</v>
      </c>
      <c r="AF355" s="26">
        <f>IFERROR(__xludf.DUMMYFUNCTION("""COMPUTED_VALUE"""),346.44)</f>
        <v>346.44</v>
      </c>
      <c r="AG355" s="26">
        <f>IFERROR(__xludf.DUMMYFUNCTION("""COMPUTED_VALUE"""),56.4)</f>
        <v>56.4</v>
      </c>
      <c r="AH355" s="26">
        <f>IFERROR(__xludf.DUMMYFUNCTION("""COMPUTED_VALUE"""),118.25)</f>
        <v>118.25</v>
      </c>
      <c r="AI355" s="26">
        <f>IFERROR(__xludf.DUMMYFUNCTION("""COMPUTED_VALUE"""),776.51)</f>
        <v>776.51</v>
      </c>
      <c r="AJ355" s="26">
        <f>IFERROR(__xludf.DUMMYFUNCTION("""COMPUTED_VALUE"""),383.79)</f>
        <v>383.79</v>
      </c>
      <c r="AK355" s="26">
        <f>IFERROR(__xludf.DUMMYFUNCTION("""COMPUTED_VALUE"""),152.3)</f>
        <v>152.3</v>
      </c>
      <c r="AL355" s="26">
        <f>IFERROR(__xludf.DUMMYFUNCTION("""COMPUTED_VALUE"""),159.37)</f>
        <v>159.37</v>
      </c>
      <c r="AM355" s="26">
        <f>IFERROR(__xludf.DUMMYFUNCTION("""COMPUTED_VALUE"""),448.09)</f>
        <v>448.09</v>
      </c>
      <c r="AN355" s="26">
        <f>IFERROR(__xludf.DUMMYFUNCTION("""COMPUTED_VALUE"""),304.03)</f>
        <v>304.03</v>
      </c>
      <c r="AO355" s="26">
        <f>IFERROR(__xludf.DUMMYFUNCTION("""COMPUTED_VALUE"""),514.02)</f>
        <v>514.02</v>
      </c>
      <c r="AP355" s="26">
        <f>IFERROR(__xludf.DUMMYFUNCTION("""COMPUTED_VALUE"""),174.82)</f>
        <v>174.82</v>
      </c>
      <c r="AQ355" s="26">
        <f>IFERROR(__xludf.DUMMYFUNCTION("""COMPUTED_VALUE"""),32.58)</f>
        <v>32.58</v>
      </c>
      <c r="AR355" s="26">
        <f>IFERROR(__xludf.DUMMYFUNCTION("""COMPUTED_VALUE"""),97.87)</f>
        <v>97.87</v>
      </c>
      <c r="AS355" s="26">
        <f>IFERROR(__xludf.DUMMYFUNCTION("""COMPUTED_VALUE"""),82.03)</f>
        <v>82.03</v>
      </c>
      <c r="AT355" s="26">
        <f>IFERROR(__xludf.DUMMYFUNCTION("""COMPUTED_VALUE"""),524.85)</f>
        <v>524.85</v>
      </c>
      <c r="AU355" s="26">
        <f>IFERROR(__xludf.DUMMYFUNCTION("""COMPUTED_VALUE"""),84.04)</f>
        <v>84.04</v>
      </c>
      <c r="AV355" s="26">
        <f>IFERROR(__xludf.DUMMYFUNCTION("""COMPUTED_VALUE"""),189.11)</f>
        <v>189.11</v>
      </c>
      <c r="AW355" s="26">
        <f>IFERROR(__xludf.DUMMYFUNCTION("""COMPUTED_VALUE"""),91.25)</f>
        <v>91.25</v>
      </c>
      <c r="AX355" s="26">
        <f>IFERROR(__xludf.DUMMYFUNCTION("""COMPUTED_VALUE"""),43.62)</f>
        <v>43.62</v>
      </c>
      <c r="AY355" s="26">
        <f>IFERROR(__xludf.DUMMYFUNCTION("""COMPUTED_VALUE"""),183.56)</f>
        <v>183.56</v>
      </c>
      <c r="AZ355" s="26">
        <f>IFERROR(__xludf.DUMMYFUNCTION("""COMPUTED_VALUE"""),76.13)</f>
        <v>76.13</v>
      </c>
      <c r="BA355" s="26">
        <f>IFERROR(__xludf.DUMMYFUNCTION("""COMPUTED_VALUE"""),25.68)</f>
        <v>25.68</v>
      </c>
      <c r="BB355" s="26">
        <f>IFERROR(__xludf.DUMMYFUNCTION("""COMPUTED_VALUE"""),168.57)</f>
        <v>168.57</v>
      </c>
      <c r="BC355" s="26">
        <f>IFERROR(__xludf.DUMMYFUNCTION("""COMPUTED_VALUE"""),226.58)</f>
        <v>226.58</v>
      </c>
      <c r="BD355" s="26">
        <f>IFERROR(__xludf.DUMMYFUNCTION("""COMPUTED_VALUE"""),536.19)</f>
        <v>536.19</v>
      </c>
      <c r="BE355" s="26">
        <f>IFERROR(__xludf.DUMMYFUNCTION("""COMPUTED_VALUE"""),198.21)</f>
        <v>198.21</v>
      </c>
      <c r="BF355" s="26">
        <f>IFERROR(__xludf.DUMMYFUNCTION("""COMPUTED_VALUE"""),118.06)</f>
        <v>118.06</v>
      </c>
      <c r="BG355" s="26">
        <f>IFERROR(__xludf.DUMMYFUNCTION("""COMPUTED_VALUE"""),4.95)</f>
        <v>4.95</v>
      </c>
      <c r="BH355" s="26">
        <f>IFERROR(__xludf.DUMMYFUNCTION("""COMPUTED_VALUE"""),232.65)</f>
        <v>232.65</v>
      </c>
      <c r="BI355" s="26">
        <f>IFERROR(__xludf.DUMMYFUNCTION("""COMPUTED_VALUE"""),369.92)</f>
        <v>369.92</v>
      </c>
      <c r="BJ355" s="26">
        <f>IFERROR(__xludf.DUMMYFUNCTION("""COMPUTED_VALUE"""),50.05)</f>
        <v>50.05</v>
      </c>
      <c r="BK355" s="26">
        <f>IFERROR(__xludf.DUMMYFUNCTION("""COMPUTED_VALUE"""),9.97)</f>
        <v>9.97</v>
      </c>
      <c r="BL355" s="26">
        <f>IFERROR(__xludf.DUMMYFUNCTION("""COMPUTED_VALUE"""),219.98)</f>
        <v>219.98</v>
      </c>
      <c r="BM355" s="26">
        <f>IFERROR(__xludf.DUMMYFUNCTION("""COMPUTED_VALUE"""),111.89)</f>
        <v>111.89</v>
      </c>
    </row>
    <row r="356">
      <c r="A356" s="25">
        <v>45943.66666666667</v>
      </c>
      <c r="B356" s="17">
        <f>IFERROR(__xludf.DUMMYFUNCTION("""COMPUTED_VALUE"""),6735.11)</f>
        <v>6735.11</v>
      </c>
      <c r="C356" s="17">
        <f>IFERROR(__xludf.DUMMYFUNCTION("""COMPUTED_VALUE"""),23024.63)</f>
        <v>23024.63</v>
      </c>
      <c r="D356" s="17">
        <f>IFERROR(__xludf.DUMMYFUNCTION("""COMPUTED_VALUE"""),46358.42)</f>
        <v>46358.42</v>
      </c>
      <c r="E356" s="17">
        <f>IFERROR(__xludf.DUMMYFUNCTION("""COMPUTED_VALUE"""),2468.85)</f>
        <v>2468.85</v>
      </c>
      <c r="F356" s="26">
        <f>IFERROR(__xludf.DUMMYFUNCTION("""COMPUTED_VALUE"""),347.47)</f>
        <v>347.47</v>
      </c>
      <c r="G356" s="26">
        <f>IFERROR(__xludf.DUMMYFUNCTION("""COMPUTED_VALUE"""),227.74)</f>
        <v>227.74</v>
      </c>
      <c r="H356" s="26">
        <f>IFERROR(__xludf.DUMMYFUNCTION("""COMPUTED_VALUE"""),141.05)</f>
        <v>141.05</v>
      </c>
      <c r="I356" s="26">
        <f>IFERROR(__xludf.DUMMYFUNCTION("""COMPUTED_VALUE"""),254.04)</f>
        <v>254.04</v>
      </c>
      <c r="J356" s="26">
        <f>IFERROR(__xludf.DUMMYFUNCTION("""COMPUTED_VALUE"""),220.3)</f>
        <v>220.3</v>
      </c>
      <c r="K356" s="26">
        <f>IFERROR(__xludf.DUMMYFUNCTION("""COMPUTED_VALUE"""),106.82)</f>
        <v>106.82</v>
      </c>
      <c r="L356" s="26">
        <f>IFERROR(__xludf.DUMMYFUNCTION("""COMPUTED_VALUE"""),19.93)</f>
        <v>19.93</v>
      </c>
      <c r="M356" s="26">
        <f>IFERROR(__xludf.DUMMYFUNCTION("""COMPUTED_VALUE"""),496.74)</f>
        <v>496.74</v>
      </c>
      <c r="N356" s="26">
        <f>IFERROR(__xludf.DUMMYFUNCTION("""COMPUTED_VALUE"""),56.04)</f>
        <v>56.04</v>
      </c>
      <c r="O356" s="26">
        <f>IFERROR(__xludf.DUMMYFUNCTION("""COMPUTED_VALUE"""),149.61)</f>
        <v>149.61</v>
      </c>
      <c r="P356" s="26">
        <f>IFERROR(__xludf.DUMMYFUNCTION("""COMPUTED_VALUE"""),58.1)</f>
        <v>58.1</v>
      </c>
      <c r="Q356" s="26">
        <f>IFERROR(__xludf.DUMMYFUNCTION("""COMPUTED_VALUE"""),500.36)</f>
        <v>500.36</v>
      </c>
      <c r="R356" s="26">
        <f>IFERROR(__xludf.DUMMYFUNCTION("""COMPUTED_VALUE"""),86.73)</f>
        <v>86.73</v>
      </c>
      <c r="S356" s="26">
        <f>IFERROR(__xludf.DUMMYFUNCTION("""COMPUTED_VALUE"""),198.05)</f>
        <v>198.05</v>
      </c>
      <c r="T356" s="26">
        <f>IFERROR(__xludf.DUMMYFUNCTION("""COMPUTED_VALUE"""),151.64)</f>
        <v>151.64</v>
      </c>
      <c r="U356" s="26">
        <f>IFERROR(__xludf.DUMMYFUNCTION("""COMPUTED_VALUE"""),306.13)</f>
        <v>306.13</v>
      </c>
      <c r="V356" s="26">
        <f>IFERROR(__xludf.DUMMYFUNCTION("""COMPUTED_VALUE"""),51.85)</f>
        <v>51.85</v>
      </c>
      <c r="W356" s="26">
        <f>IFERROR(__xludf.DUMMYFUNCTION("""COMPUTED_VALUE"""),66.37)</f>
        <v>66.37</v>
      </c>
      <c r="X356" s="26">
        <f>IFERROR(__xludf.DUMMYFUNCTION("""COMPUTED_VALUE"""),100.8)</f>
        <v>100.8</v>
      </c>
      <c r="Y356" s="26">
        <f>IFERROR(__xludf.DUMMYFUNCTION("""COMPUTED_VALUE"""),175.21)</f>
        <v>175.21</v>
      </c>
      <c r="Z356" s="26">
        <f>IFERROR(__xludf.DUMMYFUNCTION("""COMPUTED_VALUE"""),89.02)</f>
        <v>89.02</v>
      </c>
      <c r="AA356" s="26">
        <f>IFERROR(__xludf.DUMMYFUNCTION("""COMPUTED_VALUE"""),405.33)</f>
        <v>405.33</v>
      </c>
      <c r="AB356" s="26">
        <f>IFERROR(__xludf.DUMMYFUNCTION("""COMPUTED_VALUE"""),90.13)</f>
        <v>90.13</v>
      </c>
      <c r="AC356" s="26">
        <f>IFERROR(__xludf.DUMMYFUNCTION("""COMPUTED_VALUE"""),112.91)</f>
        <v>112.91</v>
      </c>
      <c r="AD356" s="26">
        <f>IFERROR(__xludf.DUMMYFUNCTION("""COMPUTED_VALUE"""),237.0)</f>
        <v>237</v>
      </c>
      <c r="AE356" s="26">
        <f>IFERROR(__xludf.DUMMYFUNCTION("""COMPUTED_VALUE"""),407.38)</f>
        <v>407.38</v>
      </c>
      <c r="AF356" s="26">
        <f>IFERROR(__xludf.DUMMYFUNCTION("""COMPUTED_VALUE"""),342.77)</f>
        <v>342.77</v>
      </c>
      <c r="AG356" s="26">
        <f>IFERROR(__xludf.DUMMYFUNCTION("""COMPUTED_VALUE"""),55.92)</f>
        <v>55.92</v>
      </c>
      <c r="AH356" s="26">
        <f>IFERROR(__xludf.DUMMYFUNCTION("""COMPUTED_VALUE"""),116.74)</f>
        <v>116.74</v>
      </c>
      <c r="AI356" s="26">
        <f>IFERROR(__xludf.DUMMYFUNCTION("""COMPUTED_VALUE"""),779.96)</f>
        <v>779.96</v>
      </c>
      <c r="AJ356" s="26">
        <f>IFERROR(__xludf.DUMMYFUNCTION("""COMPUTED_VALUE"""),377.69)</f>
        <v>377.69</v>
      </c>
      <c r="AK356" s="26">
        <f>IFERROR(__xludf.DUMMYFUNCTION("""COMPUTED_VALUE"""),147.5)</f>
        <v>147.5</v>
      </c>
      <c r="AL356" s="26">
        <f>IFERROR(__xludf.DUMMYFUNCTION("""COMPUTED_VALUE"""),159.3)</f>
        <v>159.3</v>
      </c>
      <c r="AM356" s="26">
        <f>IFERROR(__xludf.DUMMYFUNCTION("""COMPUTED_VALUE"""),443.76)</f>
        <v>443.76</v>
      </c>
      <c r="AN356" s="26">
        <f>IFERROR(__xludf.DUMMYFUNCTION("""COMPUTED_VALUE"""),305.53)</f>
        <v>305.53</v>
      </c>
      <c r="AO356" s="26">
        <f>IFERROR(__xludf.DUMMYFUNCTION("""COMPUTED_VALUE"""),507.76)</f>
        <v>507.76</v>
      </c>
      <c r="AP356" s="26">
        <f>IFERROR(__xludf.DUMMYFUNCTION("""COMPUTED_VALUE"""),173.48)</f>
        <v>173.48</v>
      </c>
      <c r="AQ356" s="26">
        <f>IFERROR(__xludf.DUMMYFUNCTION("""COMPUTED_VALUE"""),31.94)</f>
        <v>31.94</v>
      </c>
      <c r="AR356" s="26">
        <f>IFERROR(__xludf.DUMMYFUNCTION("""COMPUTED_VALUE"""),96.5)</f>
        <v>96.5</v>
      </c>
      <c r="AS356" s="26">
        <f>IFERROR(__xludf.DUMMYFUNCTION("""COMPUTED_VALUE"""),81.98)</f>
        <v>81.98</v>
      </c>
      <c r="AT356" s="26">
        <f>IFERROR(__xludf.DUMMYFUNCTION("""COMPUTED_VALUE"""),522.4)</f>
        <v>522.4</v>
      </c>
      <c r="AU356" s="26">
        <f>IFERROR(__xludf.DUMMYFUNCTION("""COMPUTED_VALUE"""),83.71)</f>
        <v>83.71</v>
      </c>
      <c r="AV356" s="26">
        <f>IFERROR(__xludf.DUMMYFUNCTION("""COMPUTED_VALUE"""),192.57)</f>
        <v>192.57</v>
      </c>
      <c r="AW356" s="26">
        <f>IFERROR(__xludf.DUMMYFUNCTION("""COMPUTED_VALUE"""),89.72)</f>
        <v>89.72</v>
      </c>
      <c r="AX356" s="26">
        <f>IFERROR(__xludf.DUMMYFUNCTION("""COMPUTED_VALUE"""),43.3)</f>
        <v>43.3</v>
      </c>
      <c r="AY356" s="26">
        <f>IFERROR(__xludf.DUMMYFUNCTION("""COMPUTED_VALUE"""),185.47)</f>
        <v>185.47</v>
      </c>
      <c r="AZ356" s="26">
        <f>IFERROR(__xludf.DUMMYFUNCTION("""COMPUTED_VALUE"""),75.75)</f>
        <v>75.75</v>
      </c>
      <c r="BA356" s="26">
        <f>IFERROR(__xludf.DUMMYFUNCTION("""COMPUTED_VALUE"""),25.24)</f>
        <v>25.24</v>
      </c>
      <c r="BB356" s="26">
        <f>IFERROR(__xludf.DUMMYFUNCTION("""COMPUTED_VALUE"""),162.18)</f>
        <v>162.18</v>
      </c>
      <c r="BC356" s="26">
        <f>IFERROR(__xludf.DUMMYFUNCTION("""COMPUTED_VALUE"""),226.21)</f>
        <v>226.21</v>
      </c>
      <c r="BD356" s="26">
        <f>IFERROR(__xludf.DUMMYFUNCTION("""COMPUTED_VALUE"""),534.68)</f>
        <v>534.68</v>
      </c>
      <c r="BE356" s="26">
        <f>IFERROR(__xludf.DUMMYFUNCTION("""COMPUTED_VALUE"""),192.33)</f>
        <v>192.33</v>
      </c>
      <c r="BF356" s="26">
        <f>IFERROR(__xludf.DUMMYFUNCTION("""COMPUTED_VALUE"""),112.98)</f>
        <v>112.98</v>
      </c>
      <c r="BG356" s="26">
        <f>IFERROR(__xludf.DUMMYFUNCTION("""COMPUTED_VALUE"""),4.81)</f>
        <v>4.81</v>
      </c>
      <c r="BH356" s="26">
        <f>IFERROR(__xludf.DUMMYFUNCTION("""COMPUTED_VALUE"""),231.54)</f>
        <v>231.54</v>
      </c>
      <c r="BI356" s="26">
        <f>IFERROR(__xludf.DUMMYFUNCTION("""COMPUTED_VALUE"""),367.69)</f>
        <v>367.69</v>
      </c>
      <c r="BJ356" s="26">
        <f>IFERROR(__xludf.DUMMYFUNCTION("""COMPUTED_VALUE"""),50.03)</f>
        <v>50.03</v>
      </c>
      <c r="BK356" s="26">
        <f>IFERROR(__xludf.DUMMYFUNCTION("""COMPUTED_VALUE"""),9.99)</f>
        <v>9.99</v>
      </c>
      <c r="BL356" s="26">
        <f>IFERROR(__xludf.DUMMYFUNCTION("""COMPUTED_VALUE"""),217.53)</f>
        <v>217.53</v>
      </c>
      <c r="BM356" s="26">
        <f>IFERROR(__xludf.DUMMYFUNCTION("""COMPUTED_VALUE"""),110.99)</f>
        <v>110.99</v>
      </c>
    </row>
    <row r="357">
      <c r="A357" s="25">
        <v>45944.66666666667</v>
      </c>
      <c r="B357" s="17">
        <f>IFERROR(__xludf.DUMMYFUNCTION("""COMPUTED_VALUE"""),6552.51)</f>
        <v>6552.51</v>
      </c>
      <c r="C357" s="17">
        <f>IFERROR(__xludf.DUMMYFUNCTION("""COMPUTED_VALUE"""),22204.43)</f>
        <v>22204.43</v>
      </c>
      <c r="D357" s="17">
        <f>IFERROR(__xludf.DUMMYFUNCTION("""COMPUTED_VALUE"""),45479.6)</f>
        <v>45479.6</v>
      </c>
      <c r="E357" s="17">
        <f>IFERROR(__xludf.DUMMYFUNCTION("""COMPUTED_VALUE"""),2394.59)</f>
        <v>2394.59</v>
      </c>
      <c r="F357" s="26">
        <f>IFERROR(__xludf.DUMMYFUNCTION("""COMPUTED_VALUE"""),337.51)</f>
        <v>337.51</v>
      </c>
      <c r="G357" s="26">
        <f>IFERROR(__xludf.DUMMYFUNCTION("""COMPUTED_VALUE"""),216.37)</f>
        <v>216.37</v>
      </c>
      <c r="H357" s="26">
        <f>IFERROR(__xludf.DUMMYFUNCTION("""COMPUTED_VALUE"""),142.98)</f>
        <v>142.98</v>
      </c>
      <c r="I357" s="26">
        <f>IFERROR(__xludf.DUMMYFUNCTION("""COMPUTED_VALUE"""),245.27)</f>
        <v>245.27</v>
      </c>
      <c r="J357" s="26">
        <f>IFERROR(__xludf.DUMMYFUNCTION("""COMPUTED_VALUE"""),209.95)</f>
        <v>209.95</v>
      </c>
      <c r="K357" s="26">
        <f>IFERROR(__xludf.DUMMYFUNCTION("""COMPUTED_VALUE"""),104.54)</f>
        <v>104.54</v>
      </c>
      <c r="L357" s="26">
        <f>IFERROR(__xludf.DUMMYFUNCTION("""COMPUTED_VALUE"""),19.74)</f>
        <v>19.74</v>
      </c>
      <c r="M357" s="26">
        <f>IFERROR(__xludf.DUMMYFUNCTION("""COMPUTED_VALUE"""),489.13)</f>
        <v>489.13</v>
      </c>
      <c r="N357" s="26">
        <f>IFERROR(__xludf.DUMMYFUNCTION("""COMPUTED_VALUE"""),53.62)</f>
        <v>53.62</v>
      </c>
      <c r="O357" s="26">
        <f>IFERROR(__xludf.DUMMYFUNCTION("""COMPUTED_VALUE"""),146.57)</f>
        <v>146.57</v>
      </c>
      <c r="P357" s="26">
        <f>IFERROR(__xludf.DUMMYFUNCTION("""COMPUTED_VALUE"""),56.66)</f>
        <v>56.66</v>
      </c>
      <c r="Q357" s="26">
        <f>IFERROR(__xludf.DUMMYFUNCTION("""COMPUTED_VALUE"""),491.3)</f>
        <v>491.3</v>
      </c>
      <c r="R357" s="26">
        <f>IFERROR(__xludf.DUMMYFUNCTION("""COMPUTED_VALUE"""),86.65)</f>
        <v>86.65</v>
      </c>
      <c r="S357" s="26">
        <f>IFERROR(__xludf.DUMMYFUNCTION("""COMPUTED_VALUE"""),195.56)</f>
        <v>195.56</v>
      </c>
      <c r="T357" s="26">
        <f>IFERROR(__xludf.DUMMYFUNCTION("""COMPUTED_VALUE"""),148.9)</f>
        <v>148.9</v>
      </c>
      <c r="U357" s="26">
        <f>IFERROR(__xludf.DUMMYFUNCTION("""COMPUTED_VALUE"""),300.73)</f>
        <v>300.73</v>
      </c>
      <c r="V357" s="26">
        <f>IFERROR(__xludf.DUMMYFUNCTION("""COMPUTED_VALUE"""),49.25)</f>
        <v>49.25</v>
      </c>
      <c r="W357" s="26">
        <f>IFERROR(__xludf.DUMMYFUNCTION("""COMPUTED_VALUE"""),67.04)</f>
        <v>67.04</v>
      </c>
      <c r="X357" s="26">
        <f>IFERROR(__xludf.DUMMYFUNCTION("""COMPUTED_VALUE"""),102.39)</f>
        <v>102.39</v>
      </c>
      <c r="Y357" s="26">
        <f>IFERROR(__xludf.DUMMYFUNCTION("""COMPUTED_VALUE"""),168.49)</f>
        <v>168.49</v>
      </c>
      <c r="Z357" s="26">
        <f>IFERROR(__xludf.DUMMYFUNCTION("""COMPUTED_VALUE"""),87.61)</f>
        <v>87.61</v>
      </c>
      <c r="AA357" s="26">
        <f>IFERROR(__xludf.DUMMYFUNCTION("""COMPUTED_VALUE"""),406.37)</f>
        <v>406.37</v>
      </c>
      <c r="AB357" s="26">
        <f>IFERROR(__xludf.DUMMYFUNCTION("""COMPUTED_VALUE"""),88.55)</f>
        <v>88.55</v>
      </c>
      <c r="AC357" s="26">
        <f>IFERROR(__xludf.DUMMYFUNCTION("""COMPUTED_VALUE"""),110.73)</f>
        <v>110.73</v>
      </c>
      <c r="AD357" s="26">
        <f>IFERROR(__xludf.DUMMYFUNCTION("""COMPUTED_VALUE"""),224.63)</f>
        <v>224.63</v>
      </c>
      <c r="AE357" s="26">
        <f>IFERROR(__xludf.DUMMYFUNCTION("""COMPUTED_VALUE"""),395.72)</f>
        <v>395.72</v>
      </c>
      <c r="AF357" s="26">
        <f>IFERROR(__xludf.DUMMYFUNCTION("""COMPUTED_VALUE"""),332.94)</f>
        <v>332.94</v>
      </c>
      <c r="AG357" s="26">
        <f>IFERROR(__xludf.DUMMYFUNCTION("""COMPUTED_VALUE"""),55.35)</f>
        <v>55.35</v>
      </c>
      <c r="AH357" s="26">
        <f>IFERROR(__xludf.DUMMYFUNCTION("""COMPUTED_VALUE"""),117.18)</f>
        <v>117.18</v>
      </c>
      <c r="AI357" s="26">
        <f>IFERROR(__xludf.DUMMYFUNCTION("""COMPUTED_VALUE"""),764.36)</f>
        <v>764.36</v>
      </c>
      <c r="AJ357" s="26">
        <f>IFERROR(__xludf.DUMMYFUNCTION("""COMPUTED_VALUE"""),375.75)</f>
        <v>375.75</v>
      </c>
      <c r="AK357" s="26">
        <f>IFERROR(__xludf.DUMMYFUNCTION("""COMPUTED_VALUE"""),145.01)</f>
        <v>145.01</v>
      </c>
      <c r="AL357" s="26">
        <f>IFERROR(__xludf.DUMMYFUNCTION("""COMPUTED_VALUE"""),157.5)</f>
        <v>157.5</v>
      </c>
      <c r="AM357" s="26">
        <f>IFERROR(__xludf.DUMMYFUNCTION("""COMPUTED_VALUE"""),429.59)</f>
        <v>429.59</v>
      </c>
      <c r="AN357" s="26">
        <f>IFERROR(__xludf.DUMMYFUNCTION("""COMPUTED_VALUE"""),300.89)</f>
        <v>300.89</v>
      </c>
      <c r="AO357" s="26">
        <f>IFERROR(__xludf.DUMMYFUNCTION("""COMPUTED_VALUE"""),505.05)</f>
        <v>505.05</v>
      </c>
      <c r="AP357" s="26">
        <f>IFERROR(__xludf.DUMMYFUNCTION("""COMPUTED_VALUE"""),167.51)</f>
        <v>167.51</v>
      </c>
      <c r="AQ357" s="26">
        <f>IFERROR(__xludf.DUMMYFUNCTION("""COMPUTED_VALUE"""),31.7)</f>
        <v>31.7</v>
      </c>
      <c r="AR357" s="26">
        <f>IFERROR(__xludf.DUMMYFUNCTION("""COMPUTED_VALUE"""),95.45)</f>
        <v>95.45</v>
      </c>
      <c r="AS357" s="26">
        <f>IFERROR(__xludf.DUMMYFUNCTION("""COMPUTED_VALUE"""),79.77)</f>
        <v>79.77</v>
      </c>
      <c r="AT357" s="26">
        <f>IFERROR(__xludf.DUMMYFUNCTION("""COMPUTED_VALUE"""),510.96)</f>
        <v>510.96</v>
      </c>
      <c r="AU357" s="26">
        <f>IFERROR(__xludf.DUMMYFUNCTION("""COMPUTED_VALUE"""),83.35)</f>
        <v>83.35</v>
      </c>
      <c r="AV357" s="26">
        <f>IFERROR(__xludf.DUMMYFUNCTION("""COMPUTED_VALUE"""),183.16)</f>
        <v>183.16</v>
      </c>
      <c r="AW357" s="26">
        <f>IFERROR(__xludf.DUMMYFUNCTION("""COMPUTED_VALUE"""),89.46)</f>
        <v>89.46</v>
      </c>
      <c r="AX357" s="26">
        <f>IFERROR(__xludf.DUMMYFUNCTION("""COMPUTED_VALUE"""),41.86)</f>
        <v>41.86</v>
      </c>
      <c r="AY357" s="26">
        <f>IFERROR(__xludf.DUMMYFUNCTION("""COMPUTED_VALUE"""),175.44)</f>
        <v>175.44</v>
      </c>
      <c r="AZ357" s="26">
        <f>IFERROR(__xludf.DUMMYFUNCTION("""COMPUTED_VALUE"""),69.84)</f>
        <v>69.84</v>
      </c>
      <c r="BA357" s="26">
        <f>IFERROR(__xludf.DUMMYFUNCTION("""COMPUTED_VALUE"""),24.78)</f>
        <v>24.78</v>
      </c>
      <c r="BB357" s="26">
        <f>IFERROR(__xludf.DUMMYFUNCTION("""COMPUTED_VALUE"""),157.7)</f>
        <v>157.7</v>
      </c>
      <c r="BC357" s="26">
        <f>IFERROR(__xludf.DUMMYFUNCTION("""COMPUTED_VALUE"""),228.79)</f>
        <v>228.79</v>
      </c>
      <c r="BD357" s="26">
        <f>IFERROR(__xludf.DUMMYFUNCTION("""COMPUTED_VALUE"""),524.8)</f>
        <v>524.8</v>
      </c>
      <c r="BE357" s="26">
        <f>IFERROR(__xludf.DUMMYFUNCTION("""COMPUTED_VALUE"""),185.22)</f>
        <v>185.22</v>
      </c>
      <c r="BF357" s="26">
        <f>IFERROR(__xludf.DUMMYFUNCTION("""COMPUTED_VALUE"""),107.29)</f>
        <v>107.29</v>
      </c>
      <c r="BG357" s="26">
        <f>IFERROR(__xludf.DUMMYFUNCTION("""COMPUTED_VALUE"""),4.75)</f>
        <v>4.75</v>
      </c>
      <c r="BH357" s="26">
        <f>IFERROR(__xludf.DUMMYFUNCTION("""COMPUTED_VALUE"""),225.45)</f>
        <v>225.45</v>
      </c>
      <c r="BI357" s="26">
        <f>IFERROR(__xludf.DUMMYFUNCTION("""COMPUTED_VALUE"""),354.5)</f>
        <v>354.5</v>
      </c>
      <c r="BJ357" s="26">
        <f>IFERROR(__xludf.DUMMYFUNCTION("""COMPUTED_VALUE"""),50.09)</f>
        <v>50.09</v>
      </c>
      <c r="BK357" s="26">
        <f>IFERROR(__xludf.DUMMYFUNCTION("""COMPUTED_VALUE"""),9.74)</f>
        <v>9.74</v>
      </c>
      <c r="BL357" s="26">
        <f>IFERROR(__xludf.DUMMYFUNCTION("""COMPUTED_VALUE"""),219.25)</f>
        <v>219.25</v>
      </c>
      <c r="BM357" s="26">
        <f>IFERROR(__xludf.DUMMYFUNCTION("""COMPUTED_VALUE"""),109.19)</f>
        <v>109.19</v>
      </c>
    </row>
    <row r="358">
      <c r="A358" s="25">
        <v>45945.66666666667</v>
      </c>
      <c r="B358" s="17">
        <f>IFERROR(__xludf.DUMMYFUNCTION("""COMPUTED_VALUE"""),6654.72)</f>
        <v>6654.72</v>
      </c>
      <c r="C358" s="17">
        <f>IFERROR(__xludf.DUMMYFUNCTION("""COMPUTED_VALUE"""),22694.61)</f>
        <v>22694.61</v>
      </c>
      <c r="D358" s="17">
        <f>IFERROR(__xludf.DUMMYFUNCTION("""COMPUTED_VALUE"""),46067.58)</f>
        <v>46067.58</v>
      </c>
      <c r="E358" s="17">
        <f>IFERROR(__xludf.DUMMYFUNCTION("""COMPUTED_VALUE"""),2461.42)</f>
        <v>2461.42</v>
      </c>
      <c r="F358" s="26">
        <f>IFERROR(__xludf.DUMMYFUNCTION("""COMPUTED_VALUE"""),339.32)</f>
        <v>339.32</v>
      </c>
      <c r="G358" s="26">
        <f>IFERROR(__xludf.DUMMYFUNCTION("""COMPUTED_VALUE"""),220.07)</f>
        <v>220.07</v>
      </c>
      <c r="H358" s="26">
        <f>IFERROR(__xludf.DUMMYFUNCTION("""COMPUTED_VALUE"""),139.63)</f>
        <v>139.63</v>
      </c>
      <c r="I358" s="26">
        <f>IFERROR(__xludf.DUMMYFUNCTION("""COMPUTED_VALUE"""),247.66)</f>
        <v>247.66</v>
      </c>
      <c r="J358" s="26">
        <f>IFERROR(__xludf.DUMMYFUNCTION("""COMPUTED_VALUE"""),219.48)</f>
        <v>219.48</v>
      </c>
      <c r="K358" s="26">
        <f>IFERROR(__xludf.DUMMYFUNCTION("""COMPUTED_VALUE"""),106.3)</f>
        <v>106.3</v>
      </c>
      <c r="L358" s="26">
        <f>IFERROR(__xludf.DUMMYFUNCTION("""COMPUTED_VALUE"""),20.08)</f>
        <v>20.08</v>
      </c>
      <c r="M358" s="26">
        <f>IFERROR(__xludf.DUMMYFUNCTION("""COMPUTED_VALUE"""),491.93)</f>
        <v>491.93</v>
      </c>
      <c r="N358" s="26">
        <f>IFERROR(__xludf.DUMMYFUNCTION("""COMPUTED_VALUE"""),55.71)</f>
        <v>55.71</v>
      </c>
      <c r="O358" s="26">
        <f>IFERROR(__xludf.DUMMYFUNCTION("""COMPUTED_VALUE"""),144.69)</f>
        <v>144.69</v>
      </c>
      <c r="P358" s="26">
        <f>IFERROR(__xludf.DUMMYFUNCTION("""COMPUTED_VALUE"""),56.87)</f>
        <v>56.87</v>
      </c>
      <c r="Q358" s="26">
        <f>IFERROR(__xludf.DUMMYFUNCTION("""COMPUTED_VALUE"""),504.76)</f>
        <v>504.76</v>
      </c>
      <c r="R358" s="26">
        <f>IFERROR(__xludf.DUMMYFUNCTION("""COMPUTED_VALUE"""),92.15)</f>
        <v>92.15</v>
      </c>
      <c r="S358" s="26">
        <f>IFERROR(__xludf.DUMMYFUNCTION("""COMPUTED_VALUE"""),194.85)</f>
        <v>194.85</v>
      </c>
      <c r="T358" s="26">
        <f>IFERROR(__xludf.DUMMYFUNCTION("""COMPUTED_VALUE"""),151.94)</f>
        <v>151.94</v>
      </c>
      <c r="U358" s="26">
        <f>IFERROR(__xludf.DUMMYFUNCTION("""COMPUTED_VALUE"""),295.41)</f>
        <v>295.41</v>
      </c>
      <c r="V358" s="26">
        <f>IFERROR(__xludf.DUMMYFUNCTION("""COMPUTED_VALUE"""),50.25)</f>
        <v>50.25</v>
      </c>
      <c r="W358" s="26">
        <f>IFERROR(__xludf.DUMMYFUNCTION("""COMPUTED_VALUE"""),66.8)</f>
        <v>66.8</v>
      </c>
      <c r="X358" s="26">
        <f>IFERROR(__xludf.DUMMYFUNCTION("""COMPUTED_VALUE"""),100.86)</f>
        <v>100.86</v>
      </c>
      <c r="Y358" s="26">
        <f>IFERROR(__xludf.DUMMYFUNCTION("""COMPUTED_VALUE"""),171.56)</f>
        <v>171.56</v>
      </c>
      <c r="Z358" s="26">
        <f>IFERROR(__xludf.DUMMYFUNCTION("""COMPUTED_VALUE"""),92.59)</f>
        <v>92.59</v>
      </c>
      <c r="AA358" s="26">
        <f>IFERROR(__xludf.DUMMYFUNCTION("""COMPUTED_VALUE"""),408.26)</f>
        <v>408.26</v>
      </c>
      <c r="AB358" s="26">
        <f>IFERROR(__xludf.DUMMYFUNCTION("""COMPUTED_VALUE"""),89.36)</f>
        <v>89.36</v>
      </c>
      <c r="AC358" s="26">
        <f>IFERROR(__xludf.DUMMYFUNCTION("""COMPUTED_VALUE"""),112.24)</f>
        <v>112.24</v>
      </c>
      <c r="AD358" s="26">
        <f>IFERROR(__xludf.DUMMYFUNCTION("""COMPUTED_VALUE"""),229.65)</f>
        <v>229.65</v>
      </c>
      <c r="AE358" s="26">
        <f>IFERROR(__xludf.DUMMYFUNCTION("""COMPUTED_VALUE"""),378.72)</f>
        <v>378.72</v>
      </c>
      <c r="AF358" s="26">
        <f>IFERROR(__xludf.DUMMYFUNCTION("""COMPUTED_VALUE"""),334.39)</f>
        <v>334.39</v>
      </c>
      <c r="AG358" s="26">
        <f>IFERROR(__xludf.DUMMYFUNCTION("""COMPUTED_VALUE"""),55.62)</f>
        <v>55.62</v>
      </c>
      <c r="AH358" s="26">
        <f>IFERROR(__xludf.DUMMYFUNCTION("""COMPUTED_VALUE"""),118.21)</f>
        <v>118.21</v>
      </c>
      <c r="AI358" s="26">
        <f>IFERROR(__xludf.DUMMYFUNCTION("""COMPUTED_VALUE"""),786.78)</f>
        <v>786.78</v>
      </c>
      <c r="AJ358" s="26">
        <f>IFERROR(__xludf.DUMMYFUNCTION("""COMPUTED_VALUE"""),379.37)</f>
        <v>379.37</v>
      </c>
      <c r="AK358" s="26">
        <f>IFERROR(__xludf.DUMMYFUNCTION("""COMPUTED_VALUE"""),147.73)</f>
        <v>147.73</v>
      </c>
      <c r="AL358" s="26">
        <f>IFERROR(__xludf.DUMMYFUNCTION("""COMPUTED_VALUE"""),158.75)</f>
        <v>158.75</v>
      </c>
      <c r="AM358" s="26">
        <f>IFERROR(__xludf.DUMMYFUNCTION("""COMPUTED_VALUE"""),435.73)</f>
        <v>435.73</v>
      </c>
      <c r="AN358" s="26">
        <f>IFERROR(__xludf.DUMMYFUNCTION("""COMPUTED_VALUE"""),307.97)</f>
        <v>307.97</v>
      </c>
      <c r="AO358" s="26">
        <f>IFERROR(__xludf.DUMMYFUNCTION("""COMPUTED_VALUE"""),503.83)</f>
        <v>503.83</v>
      </c>
      <c r="AP358" s="26">
        <f>IFERROR(__xludf.DUMMYFUNCTION("""COMPUTED_VALUE"""),169.85)</f>
        <v>169.85</v>
      </c>
      <c r="AQ358" s="26">
        <f>IFERROR(__xludf.DUMMYFUNCTION("""COMPUTED_VALUE"""),32.11)</f>
        <v>32.11</v>
      </c>
      <c r="AR358" s="26">
        <f>IFERROR(__xludf.DUMMYFUNCTION("""COMPUTED_VALUE"""),95.58)</f>
        <v>95.58</v>
      </c>
      <c r="AS358" s="26">
        <f>IFERROR(__xludf.DUMMYFUNCTION("""COMPUTED_VALUE"""),80.82)</f>
        <v>80.82</v>
      </c>
      <c r="AT358" s="26">
        <f>IFERROR(__xludf.DUMMYFUNCTION("""COMPUTED_VALUE"""),514.05)</f>
        <v>514.05</v>
      </c>
      <c r="AU358" s="26">
        <f>IFERROR(__xludf.DUMMYFUNCTION("""COMPUTED_VALUE"""),84.3)</f>
        <v>84.3</v>
      </c>
      <c r="AV358" s="26">
        <f>IFERROR(__xludf.DUMMYFUNCTION("""COMPUTED_VALUE"""),188.32)</f>
        <v>188.32</v>
      </c>
      <c r="AW358" s="26">
        <f>IFERROR(__xludf.DUMMYFUNCTION("""COMPUTED_VALUE"""),89.18)</f>
        <v>89.18</v>
      </c>
      <c r="AX358" s="26">
        <f>IFERROR(__xludf.DUMMYFUNCTION("""COMPUTED_VALUE"""),42.97)</f>
        <v>42.97</v>
      </c>
      <c r="AY358" s="26">
        <f>IFERROR(__xludf.DUMMYFUNCTION("""COMPUTED_VALUE"""),177.21)</f>
        <v>177.21</v>
      </c>
      <c r="AZ358" s="26">
        <f>IFERROR(__xludf.DUMMYFUNCTION("""COMPUTED_VALUE"""),68.86)</f>
        <v>68.86</v>
      </c>
      <c r="BA358" s="26">
        <f>IFERROR(__xludf.DUMMYFUNCTION("""COMPUTED_VALUE"""),24.73)</f>
        <v>24.73</v>
      </c>
      <c r="BB358" s="26">
        <f>IFERROR(__xludf.DUMMYFUNCTION("""COMPUTED_VALUE"""),158.85)</f>
        <v>158.85</v>
      </c>
      <c r="BC358" s="26">
        <f>IFERROR(__xludf.DUMMYFUNCTION("""COMPUTED_VALUE"""),225.06)</f>
        <v>225.06</v>
      </c>
      <c r="BD358" s="26">
        <f>IFERROR(__xludf.DUMMYFUNCTION("""COMPUTED_VALUE"""),524.58)</f>
        <v>524.58</v>
      </c>
      <c r="BE358" s="26">
        <f>IFERROR(__xludf.DUMMYFUNCTION("""COMPUTED_VALUE"""),187.88)</f>
        <v>187.88</v>
      </c>
      <c r="BF358" s="26">
        <f>IFERROR(__xludf.DUMMYFUNCTION("""COMPUTED_VALUE"""),111.71)</f>
        <v>111.71</v>
      </c>
      <c r="BG358" s="26">
        <f>IFERROR(__xludf.DUMMYFUNCTION("""COMPUTED_VALUE"""),4.84)</f>
        <v>4.84</v>
      </c>
      <c r="BH358" s="26">
        <f>IFERROR(__xludf.DUMMYFUNCTION("""COMPUTED_VALUE"""),225.85)</f>
        <v>225.85</v>
      </c>
      <c r="BI358" s="26">
        <f>IFERROR(__xludf.DUMMYFUNCTION("""COMPUTED_VALUE"""),358.66)</f>
        <v>358.66</v>
      </c>
      <c r="BJ358" s="26">
        <f>IFERROR(__xludf.DUMMYFUNCTION("""COMPUTED_VALUE"""),50.13)</f>
        <v>50.13</v>
      </c>
      <c r="BK358" s="26">
        <f>IFERROR(__xludf.DUMMYFUNCTION("""COMPUTED_VALUE"""),9.86)</f>
        <v>9.86</v>
      </c>
      <c r="BL358" s="26">
        <f>IFERROR(__xludf.DUMMYFUNCTION("""COMPUTED_VALUE"""),217.09)</f>
        <v>217.09</v>
      </c>
      <c r="BM358" s="26">
        <f>IFERROR(__xludf.DUMMYFUNCTION("""COMPUTED_VALUE"""),110.27)</f>
        <v>110.27</v>
      </c>
    </row>
    <row r="359">
      <c r="A359" s="25">
        <v>45946.66666666667</v>
      </c>
      <c r="B359" s="17">
        <f>IFERROR(__xludf.DUMMYFUNCTION("""COMPUTED_VALUE"""),6644.31)</f>
        <v>6644.31</v>
      </c>
      <c r="C359" s="17">
        <f>IFERROR(__xludf.DUMMYFUNCTION("""COMPUTED_VALUE"""),22521.7)</f>
        <v>22521.7</v>
      </c>
      <c r="D359" s="17">
        <f>IFERROR(__xludf.DUMMYFUNCTION("""COMPUTED_VALUE"""),46270.46)</f>
        <v>46270.46</v>
      </c>
      <c r="E359" s="17">
        <f>IFERROR(__xludf.DUMMYFUNCTION("""COMPUTED_VALUE"""),2495.5)</f>
        <v>2495.5</v>
      </c>
      <c r="F359" s="26">
        <f>IFERROR(__xludf.DUMMYFUNCTION("""COMPUTED_VALUE"""),335.94)</f>
        <v>335.94</v>
      </c>
      <c r="G359" s="26">
        <f>IFERROR(__xludf.DUMMYFUNCTION("""COMPUTED_VALUE"""),216.39)</f>
        <v>216.39</v>
      </c>
      <c r="H359" s="26">
        <f>IFERROR(__xludf.DUMMYFUNCTION("""COMPUTED_VALUE"""),141.56)</f>
        <v>141.56</v>
      </c>
      <c r="I359" s="26">
        <f>IFERROR(__xludf.DUMMYFUNCTION("""COMPUTED_VALUE"""),247.77)</f>
        <v>247.77</v>
      </c>
      <c r="J359" s="26">
        <f>IFERROR(__xludf.DUMMYFUNCTION("""COMPUTED_VALUE"""),218.19)</f>
        <v>218.19</v>
      </c>
      <c r="K359" s="26">
        <f>IFERROR(__xludf.DUMMYFUNCTION("""COMPUTED_VALUE"""),107.11)</f>
        <v>107.11</v>
      </c>
      <c r="L359" s="26">
        <f>IFERROR(__xludf.DUMMYFUNCTION("""COMPUTED_VALUE"""),20.44)</f>
        <v>20.44</v>
      </c>
      <c r="M359" s="26">
        <f>IFERROR(__xludf.DUMMYFUNCTION("""COMPUTED_VALUE"""),495.97)</f>
        <v>495.97</v>
      </c>
      <c r="N359" s="26">
        <f>IFERROR(__xludf.DUMMYFUNCTION("""COMPUTED_VALUE"""),56.42)</f>
        <v>56.42</v>
      </c>
      <c r="O359" s="26">
        <f>IFERROR(__xludf.DUMMYFUNCTION("""COMPUTED_VALUE"""),145.31)</f>
        <v>145.31</v>
      </c>
      <c r="P359" s="26">
        <f>IFERROR(__xludf.DUMMYFUNCTION("""COMPUTED_VALUE"""),57.5)</f>
        <v>57.5</v>
      </c>
      <c r="Q359" s="26">
        <f>IFERROR(__xludf.DUMMYFUNCTION("""COMPUTED_VALUE"""),527.47)</f>
        <v>527.47</v>
      </c>
      <c r="R359" s="26">
        <f>IFERROR(__xludf.DUMMYFUNCTION("""COMPUTED_VALUE"""),93.19)</f>
        <v>93.19</v>
      </c>
      <c r="S359" s="26">
        <f>IFERROR(__xludf.DUMMYFUNCTION("""COMPUTED_VALUE"""),194.08)</f>
        <v>194.08</v>
      </c>
      <c r="T359" s="26">
        <f>IFERROR(__xludf.DUMMYFUNCTION("""COMPUTED_VALUE"""),152.39)</f>
        <v>152.39</v>
      </c>
      <c r="U359" s="26">
        <f>IFERROR(__xludf.DUMMYFUNCTION("""COMPUTED_VALUE"""),302.13)</f>
        <v>302.13</v>
      </c>
      <c r="V359" s="26">
        <f>IFERROR(__xludf.DUMMYFUNCTION("""COMPUTED_VALUE"""),51.8)</f>
        <v>51.8</v>
      </c>
      <c r="W359" s="26">
        <f>IFERROR(__xludf.DUMMYFUNCTION("""COMPUTED_VALUE"""),67.51)</f>
        <v>67.51</v>
      </c>
      <c r="X359" s="26">
        <f>IFERROR(__xludf.DUMMYFUNCTION("""COMPUTED_VALUE"""),101.89)</f>
        <v>101.89</v>
      </c>
      <c r="Y359" s="26">
        <f>IFERROR(__xludf.DUMMYFUNCTION("""COMPUTED_VALUE"""),171.88)</f>
        <v>171.88</v>
      </c>
      <c r="Z359" s="26">
        <f>IFERROR(__xludf.DUMMYFUNCTION("""COMPUTED_VALUE"""),95.58)</f>
        <v>95.58</v>
      </c>
      <c r="AA359" s="26">
        <f>IFERROR(__xludf.DUMMYFUNCTION("""COMPUTED_VALUE"""),424.23)</f>
        <v>424.23</v>
      </c>
      <c r="AB359" s="26">
        <f>IFERROR(__xludf.DUMMYFUNCTION("""COMPUTED_VALUE"""),91.06)</f>
        <v>91.06</v>
      </c>
      <c r="AC359" s="26">
        <f>IFERROR(__xludf.DUMMYFUNCTION("""COMPUTED_VALUE"""),112.29)</f>
        <v>112.29</v>
      </c>
      <c r="AD359" s="26">
        <f>IFERROR(__xludf.DUMMYFUNCTION("""COMPUTED_VALUE"""),234.67)</f>
        <v>234.67</v>
      </c>
      <c r="AE359" s="26">
        <f>IFERROR(__xludf.DUMMYFUNCTION("""COMPUTED_VALUE"""),382.19)</f>
        <v>382.19</v>
      </c>
      <c r="AF359" s="26">
        <f>IFERROR(__xludf.DUMMYFUNCTION("""COMPUTED_VALUE"""),335.5)</f>
        <v>335.5</v>
      </c>
      <c r="AG359" s="26">
        <f>IFERROR(__xludf.DUMMYFUNCTION("""COMPUTED_VALUE"""),57.15)</f>
        <v>57.15</v>
      </c>
      <c r="AH359" s="26">
        <f>IFERROR(__xludf.DUMMYFUNCTION("""COMPUTED_VALUE"""),118.48)</f>
        <v>118.48</v>
      </c>
      <c r="AI359" s="26">
        <f>IFERROR(__xludf.DUMMYFUNCTION("""COMPUTED_VALUE"""),770.76)</f>
        <v>770.76</v>
      </c>
      <c r="AJ359" s="26">
        <f>IFERROR(__xludf.DUMMYFUNCTION("""COMPUTED_VALUE"""),387.72)</f>
        <v>387.72</v>
      </c>
      <c r="AK359" s="26">
        <f>IFERROR(__xludf.DUMMYFUNCTION("""COMPUTED_VALUE"""),148.69)</f>
        <v>148.69</v>
      </c>
      <c r="AL359" s="26">
        <f>IFERROR(__xludf.DUMMYFUNCTION("""COMPUTED_VALUE"""),158.27)</f>
        <v>158.27</v>
      </c>
      <c r="AM359" s="26">
        <f>IFERROR(__xludf.DUMMYFUNCTION("""COMPUTED_VALUE"""),436.39)</f>
        <v>436.39</v>
      </c>
      <c r="AN359" s="26">
        <f>IFERROR(__xludf.DUMMYFUNCTION("""COMPUTED_VALUE"""),302.08)</f>
        <v>302.08</v>
      </c>
      <c r="AO359" s="26">
        <f>IFERROR(__xludf.DUMMYFUNCTION("""COMPUTED_VALUE"""),505.18)</f>
        <v>505.18</v>
      </c>
      <c r="AP359" s="26">
        <f>IFERROR(__xludf.DUMMYFUNCTION("""COMPUTED_VALUE"""),169.13)</f>
        <v>169.13</v>
      </c>
      <c r="AQ359" s="26">
        <f>IFERROR(__xludf.DUMMYFUNCTION("""COMPUTED_VALUE"""),32.33)</f>
        <v>32.33</v>
      </c>
      <c r="AR359" s="26">
        <f>IFERROR(__xludf.DUMMYFUNCTION("""COMPUTED_VALUE"""),96.54)</f>
        <v>96.54</v>
      </c>
      <c r="AS359" s="26">
        <f>IFERROR(__xludf.DUMMYFUNCTION("""COMPUTED_VALUE"""),82.89)</f>
        <v>82.89</v>
      </c>
      <c r="AT359" s="26">
        <f>IFERROR(__xludf.DUMMYFUNCTION("""COMPUTED_VALUE"""),513.57)</f>
        <v>513.57</v>
      </c>
      <c r="AU359" s="26">
        <f>IFERROR(__xludf.DUMMYFUNCTION("""COMPUTED_VALUE"""),84.64)</f>
        <v>84.64</v>
      </c>
      <c r="AV359" s="26">
        <f>IFERROR(__xludf.DUMMYFUNCTION("""COMPUTED_VALUE"""),180.03)</f>
        <v>180.03</v>
      </c>
      <c r="AW359" s="26">
        <f>IFERROR(__xludf.DUMMYFUNCTION("""COMPUTED_VALUE"""),90.82)</f>
        <v>90.82</v>
      </c>
      <c r="AX359" s="26">
        <f>IFERROR(__xludf.DUMMYFUNCTION("""COMPUTED_VALUE"""),42.18)</f>
        <v>42.18</v>
      </c>
      <c r="AY359" s="26">
        <f>IFERROR(__xludf.DUMMYFUNCTION("""COMPUTED_VALUE"""),179.74)</f>
        <v>179.74</v>
      </c>
      <c r="AZ359" s="26">
        <f>IFERROR(__xludf.DUMMYFUNCTION("""COMPUTED_VALUE"""),69.15)</f>
        <v>69.15</v>
      </c>
      <c r="BA359" s="26">
        <f>IFERROR(__xludf.DUMMYFUNCTION("""COMPUTED_VALUE"""),24.52)</f>
        <v>24.52</v>
      </c>
      <c r="BB359" s="26">
        <f>IFERROR(__xludf.DUMMYFUNCTION("""COMPUTED_VALUE"""),159.4)</f>
        <v>159.4</v>
      </c>
      <c r="BC359" s="26">
        <f>IFERROR(__xludf.DUMMYFUNCTION("""COMPUTED_VALUE"""),229.42)</f>
        <v>229.42</v>
      </c>
      <c r="BD359" s="26">
        <f>IFERROR(__xludf.DUMMYFUNCTION("""COMPUTED_VALUE"""),525.83)</f>
        <v>525.83</v>
      </c>
      <c r="BE359" s="26">
        <f>IFERROR(__xludf.DUMMYFUNCTION("""COMPUTED_VALUE"""),191.74)</f>
        <v>191.74</v>
      </c>
      <c r="BF359" s="26">
        <f>IFERROR(__xludf.DUMMYFUNCTION("""COMPUTED_VALUE"""),111.23)</f>
        <v>111.23</v>
      </c>
      <c r="BG359" s="26">
        <f>IFERROR(__xludf.DUMMYFUNCTION("""COMPUTED_VALUE"""),4.89)</f>
        <v>4.89</v>
      </c>
      <c r="BH359" s="26">
        <f>IFERROR(__xludf.DUMMYFUNCTION("""COMPUTED_VALUE"""),227.08)</f>
        <v>227.08</v>
      </c>
      <c r="BI359" s="26">
        <f>IFERROR(__xludf.DUMMYFUNCTION("""COMPUTED_VALUE"""),359.93)</f>
        <v>359.93</v>
      </c>
      <c r="BJ359" s="26">
        <f>IFERROR(__xludf.DUMMYFUNCTION("""COMPUTED_VALUE"""),50.12)</f>
        <v>50.12</v>
      </c>
      <c r="BK359" s="26">
        <f>IFERROR(__xludf.DUMMYFUNCTION("""COMPUTED_VALUE"""),9.93)</f>
        <v>9.93</v>
      </c>
      <c r="BL359" s="26">
        <f>IFERROR(__xludf.DUMMYFUNCTION("""COMPUTED_VALUE"""),218.11)</f>
        <v>218.11</v>
      </c>
      <c r="BM359" s="26">
        <f>IFERROR(__xludf.DUMMYFUNCTION("""COMPUTED_VALUE"""),111.17)</f>
        <v>111.17</v>
      </c>
    </row>
    <row r="360">
      <c r="A360" s="25">
        <v>45947.66666666667</v>
      </c>
      <c r="B360" s="17">
        <f>IFERROR(__xludf.DUMMYFUNCTION("""COMPUTED_VALUE"""),6671.06)</f>
        <v>6671.06</v>
      </c>
      <c r="C360" s="17">
        <f>IFERROR(__xludf.DUMMYFUNCTION("""COMPUTED_VALUE"""),22670.08)</f>
        <v>22670.08</v>
      </c>
      <c r="D360" s="17">
        <f>IFERROR(__xludf.DUMMYFUNCTION("""COMPUTED_VALUE"""),46253.31)</f>
        <v>46253.31</v>
      </c>
      <c r="E360" s="17">
        <f>IFERROR(__xludf.DUMMYFUNCTION("""COMPUTED_VALUE"""),2519.75)</f>
        <v>2519.75</v>
      </c>
      <c r="F360" s="26">
        <f>IFERROR(__xludf.DUMMYFUNCTION("""COMPUTED_VALUE"""),330.63)</f>
        <v>330.63</v>
      </c>
      <c r="G360" s="26">
        <f>IFERROR(__xludf.DUMMYFUNCTION("""COMPUTED_VALUE"""),215.57)</f>
        <v>215.57</v>
      </c>
      <c r="H360" s="26">
        <f>IFERROR(__xludf.DUMMYFUNCTION("""COMPUTED_VALUE"""),142.53)</f>
        <v>142.53</v>
      </c>
      <c r="I360" s="26">
        <f>IFERROR(__xludf.DUMMYFUNCTION("""COMPUTED_VALUE"""),249.34)</f>
        <v>249.34</v>
      </c>
      <c r="J360" s="26">
        <f>IFERROR(__xludf.DUMMYFUNCTION("""COMPUTED_VALUE"""),227.58)</f>
        <v>227.58</v>
      </c>
      <c r="K360" s="26">
        <f>IFERROR(__xludf.DUMMYFUNCTION("""COMPUTED_VALUE"""),108.93)</f>
        <v>108.93</v>
      </c>
      <c r="L360" s="26">
        <f>IFERROR(__xludf.DUMMYFUNCTION("""COMPUTED_VALUE"""),20.33)</f>
        <v>20.33</v>
      </c>
      <c r="M360" s="26">
        <f>IFERROR(__xludf.DUMMYFUNCTION("""COMPUTED_VALUE"""),496.39)</f>
        <v>496.39</v>
      </c>
      <c r="N360" s="26">
        <f>IFERROR(__xludf.DUMMYFUNCTION("""COMPUTED_VALUE"""),56.69)</f>
        <v>56.69</v>
      </c>
      <c r="O360" s="26">
        <f>IFERROR(__xludf.DUMMYFUNCTION("""COMPUTED_VALUE"""),143.66)</f>
        <v>143.66</v>
      </c>
      <c r="P360" s="26">
        <f>IFERROR(__xludf.DUMMYFUNCTION("""COMPUTED_VALUE"""),57.21)</f>
        <v>57.21</v>
      </c>
      <c r="Q360" s="26">
        <f>IFERROR(__xludf.DUMMYFUNCTION("""COMPUTED_VALUE"""),534.05)</f>
        <v>534.05</v>
      </c>
      <c r="R360" s="26">
        <f>IFERROR(__xludf.DUMMYFUNCTION("""COMPUTED_VALUE"""),93.46)</f>
        <v>93.46</v>
      </c>
      <c r="S360" s="26">
        <f>IFERROR(__xludf.DUMMYFUNCTION("""COMPUTED_VALUE"""),190.24)</f>
        <v>190.24</v>
      </c>
      <c r="T360" s="26">
        <f>IFERROR(__xludf.DUMMYFUNCTION("""COMPUTED_VALUE"""),152.11)</f>
        <v>152.11</v>
      </c>
      <c r="U360" s="26">
        <f>IFERROR(__xludf.DUMMYFUNCTION("""COMPUTED_VALUE"""),294.57)</f>
        <v>294.57</v>
      </c>
      <c r="V360" s="26">
        <f>IFERROR(__xludf.DUMMYFUNCTION("""COMPUTED_VALUE"""),51.7)</f>
        <v>51.7</v>
      </c>
      <c r="W360" s="26">
        <f>IFERROR(__xludf.DUMMYFUNCTION("""COMPUTED_VALUE"""),67.08)</f>
        <v>67.08</v>
      </c>
      <c r="X360" s="26">
        <f>IFERROR(__xludf.DUMMYFUNCTION("""COMPUTED_VALUE"""),102.29)</f>
        <v>102.29</v>
      </c>
      <c r="Y360" s="26">
        <f>IFERROR(__xludf.DUMMYFUNCTION("""COMPUTED_VALUE"""),175.2)</f>
        <v>175.2</v>
      </c>
      <c r="Z360" s="26">
        <f>IFERROR(__xludf.DUMMYFUNCTION("""COMPUTED_VALUE"""),95.97)</f>
        <v>95.97</v>
      </c>
      <c r="AA360" s="26">
        <f>IFERROR(__xludf.DUMMYFUNCTION("""COMPUTED_VALUE"""),417.46)</f>
        <v>417.46</v>
      </c>
      <c r="AB360" s="26">
        <f>IFERROR(__xludf.DUMMYFUNCTION("""COMPUTED_VALUE"""),90.87)</f>
        <v>90.87</v>
      </c>
      <c r="AC360" s="26">
        <f>IFERROR(__xludf.DUMMYFUNCTION("""COMPUTED_VALUE"""),111.61)</f>
        <v>111.61</v>
      </c>
      <c r="AD360" s="26">
        <f>IFERROR(__xludf.DUMMYFUNCTION("""COMPUTED_VALUE"""),235.8)</f>
        <v>235.8</v>
      </c>
      <c r="AE360" s="26">
        <f>IFERROR(__xludf.DUMMYFUNCTION("""COMPUTED_VALUE"""),389.56)</f>
        <v>389.56</v>
      </c>
      <c r="AF360" s="26">
        <f>IFERROR(__xludf.DUMMYFUNCTION("""COMPUTED_VALUE"""),332.04)</f>
        <v>332.04</v>
      </c>
      <c r="AG360" s="26">
        <f>IFERROR(__xludf.DUMMYFUNCTION("""COMPUTED_VALUE"""),57.8)</f>
        <v>57.8</v>
      </c>
      <c r="AH360" s="26">
        <f>IFERROR(__xludf.DUMMYFUNCTION("""COMPUTED_VALUE"""),118.3)</f>
        <v>118.3</v>
      </c>
      <c r="AI360" s="26">
        <f>IFERROR(__xludf.DUMMYFUNCTION("""COMPUTED_VALUE"""),767.93)</f>
        <v>767.93</v>
      </c>
      <c r="AJ360" s="26">
        <f>IFERROR(__xludf.DUMMYFUNCTION("""COMPUTED_VALUE"""),388.3)</f>
        <v>388.3</v>
      </c>
      <c r="AK360" s="26">
        <f>IFERROR(__xludf.DUMMYFUNCTION("""COMPUTED_VALUE"""),150.84)</f>
        <v>150.84</v>
      </c>
      <c r="AL360" s="26">
        <f>IFERROR(__xludf.DUMMYFUNCTION("""COMPUTED_VALUE"""),157.46)</f>
        <v>157.46</v>
      </c>
      <c r="AM360" s="26">
        <f>IFERROR(__xludf.DUMMYFUNCTION("""COMPUTED_VALUE"""),435.61)</f>
        <v>435.61</v>
      </c>
      <c r="AN360" s="26">
        <f>IFERROR(__xludf.DUMMYFUNCTION("""COMPUTED_VALUE"""),305.69)</f>
        <v>305.69</v>
      </c>
      <c r="AO360" s="26">
        <f>IFERROR(__xludf.DUMMYFUNCTION("""COMPUTED_VALUE"""),499.41)</f>
        <v>499.41</v>
      </c>
      <c r="AP360" s="26">
        <f>IFERROR(__xludf.DUMMYFUNCTION("""COMPUTED_VALUE"""),167.1)</f>
        <v>167.1</v>
      </c>
      <c r="AQ360" s="26">
        <f>IFERROR(__xludf.DUMMYFUNCTION("""COMPUTED_VALUE"""),32.13)</f>
        <v>32.13</v>
      </c>
      <c r="AR360" s="26">
        <f>IFERROR(__xludf.DUMMYFUNCTION("""COMPUTED_VALUE"""),95.34)</f>
        <v>95.34</v>
      </c>
      <c r="AS360" s="26">
        <f>IFERROR(__xludf.DUMMYFUNCTION("""COMPUTED_VALUE"""),81.62)</f>
        <v>81.62</v>
      </c>
      <c r="AT360" s="26">
        <f>IFERROR(__xludf.DUMMYFUNCTION("""COMPUTED_VALUE"""),513.43)</f>
        <v>513.43</v>
      </c>
      <c r="AU360" s="26">
        <f>IFERROR(__xludf.DUMMYFUNCTION("""COMPUTED_VALUE"""),85.79)</f>
        <v>85.79</v>
      </c>
      <c r="AV360" s="26">
        <f>IFERROR(__xludf.DUMMYFUNCTION("""COMPUTED_VALUE"""),179.83)</f>
        <v>179.83</v>
      </c>
      <c r="AW360" s="26">
        <f>IFERROR(__xludf.DUMMYFUNCTION("""COMPUTED_VALUE"""),91.47)</f>
        <v>91.47</v>
      </c>
      <c r="AX360" s="26">
        <f>IFERROR(__xludf.DUMMYFUNCTION("""COMPUTED_VALUE"""),41.44)</f>
        <v>41.44</v>
      </c>
      <c r="AY360" s="26">
        <f>IFERROR(__xludf.DUMMYFUNCTION("""COMPUTED_VALUE"""),179.62)</f>
        <v>179.62</v>
      </c>
      <c r="AZ360" s="26">
        <f>IFERROR(__xludf.DUMMYFUNCTION("""COMPUTED_VALUE"""),67.98)</f>
        <v>67.98</v>
      </c>
      <c r="BA360" s="26">
        <f>IFERROR(__xludf.DUMMYFUNCTION("""COMPUTED_VALUE"""),24.39)</f>
        <v>24.39</v>
      </c>
      <c r="BB360" s="26">
        <f>IFERROR(__xludf.DUMMYFUNCTION("""COMPUTED_VALUE"""),157.0)</f>
        <v>157</v>
      </c>
      <c r="BC360" s="26">
        <f>IFERROR(__xludf.DUMMYFUNCTION("""COMPUTED_VALUE"""),226.65)</f>
        <v>226.65</v>
      </c>
      <c r="BD360" s="26">
        <f>IFERROR(__xludf.DUMMYFUNCTION("""COMPUTED_VALUE"""),527.87)</f>
        <v>527.87</v>
      </c>
      <c r="BE360" s="26">
        <f>IFERROR(__xludf.DUMMYFUNCTION("""COMPUTED_VALUE"""),194.33)</f>
        <v>194.33</v>
      </c>
      <c r="BF360" s="26">
        <f>IFERROR(__xludf.DUMMYFUNCTION("""COMPUTED_VALUE"""),112.61)</f>
        <v>112.61</v>
      </c>
      <c r="BG360" s="26">
        <f>IFERROR(__xludf.DUMMYFUNCTION("""COMPUTED_VALUE"""),4.8)</f>
        <v>4.8</v>
      </c>
      <c r="BH360" s="26">
        <f>IFERROR(__xludf.DUMMYFUNCTION("""COMPUTED_VALUE"""),225.72)</f>
        <v>225.72</v>
      </c>
      <c r="BI360" s="26">
        <f>IFERROR(__xludf.DUMMYFUNCTION("""COMPUTED_VALUE"""),361.15)</f>
        <v>361.15</v>
      </c>
      <c r="BJ360" s="26">
        <f>IFERROR(__xludf.DUMMYFUNCTION("""COMPUTED_VALUE"""),50.11)</f>
        <v>50.11</v>
      </c>
      <c r="BK360" s="26">
        <f>IFERROR(__xludf.DUMMYFUNCTION("""COMPUTED_VALUE"""),9.98)</f>
        <v>9.98</v>
      </c>
      <c r="BL360" s="26">
        <f>IFERROR(__xludf.DUMMYFUNCTION("""COMPUTED_VALUE"""),213.69)</f>
        <v>213.69</v>
      </c>
      <c r="BM360" s="26">
        <f>IFERROR(__xludf.DUMMYFUNCTION("""COMPUTED_VALUE"""),111.71)</f>
        <v>111.71</v>
      </c>
    </row>
    <row r="361">
      <c r="A361" s="25">
        <v>45950.66666666667</v>
      </c>
      <c r="B361" s="17">
        <f>IFERROR(__xludf.DUMMYFUNCTION("""COMPUTED_VALUE"""),6629.07)</f>
        <v>6629.07</v>
      </c>
      <c r="C361" s="17">
        <f>IFERROR(__xludf.DUMMYFUNCTION("""COMPUTED_VALUE"""),22562.54)</f>
        <v>22562.54</v>
      </c>
      <c r="D361" s="17">
        <f>IFERROR(__xludf.DUMMYFUNCTION("""COMPUTED_VALUE"""),45952.24)</f>
        <v>45952.24</v>
      </c>
      <c r="E361" s="17">
        <f>IFERROR(__xludf.DUMMYFUNCTION("""COMPUTED_VALUE"""),2467.01)</f>
        <v>2467.01</v>
      </c>
      <c r="F361" s="26">
        <f>IFERROR(__xludf.DUMMYFUNCTION("""COMPUTED_VALUE"""),329.23)</f>
        <v>329.23</v>
      </c>
      <c r="G361" s="26">
        <f>IFERROR(__xludf.DUMMYFUNCTION("""COMPUTED_VALUE"""),214.47)</f>
        <v>214.47</v>
      </c>
      <c r="H361" s="26">
        <f>IFERROR(__xludf.DUMMYFUNCTION("""COMPUTED_VALUE"""),143.21)</f>
        <v>143.21</v>
      </c>
      <c r="I361" s="26">
        <f>IFERROR(__xludf.DUMMYFUNCTION("""COMPUTED_VALUE"""),247.45)</f>
        <v>247.45</v>
      </c>
      <c r="J361" s="26">
        <f>IFERROR(__xludf.DUMMYFUNCTION("""COMPUTED_VALUE"""),227.72)</f>
        <v>227.72</v>
      </c>
      <c r="K361" s="26">
        <f>IFERROR(__xludf.DUMMYFUNCTION("""COMPUTED_VALUE"""),106.72)</f>
        <v>106.72</v>
      </c>
      <c r="L361" s="26">
        <f>IFERROR(__xludf.DUMMYFUNCTION("""COMPUTED_VALUE"""),19.95)</f>
        <v>19.95</v>
      </c>
      <c r="M361" s="26">
        <f>IFERROR(__xludf.DUMMYFUNCTION("""COMPUTED_VALUE"""),488.81)</f>
        <v>488.81</v>
      </c>
      <c r="N361" s="26">
        <f>IFERROR(__xludf.DUMMYFUNCTION("""COMPUTED_VALUE"""),56.28)</f>
        <v>56.28</v>
      </c>
      <c r="O361" s="26">
        <f>IFERROR(__xludf.DUMMYFUNCTION("""COMPUTED_VALUE"""),142.26)</f>
        <v>142.26</v>
      </c>
      <c r="P361" s="26">
        <f>IFERROR(__xludf.DUMMYFUNCTION("""COMPUTED_VALUE"""),56.75)</f>
        <v>56.75</v>
      </c>
      <c r="Q361" s="26">
        <f>IFERROR(__xludf.DUMMYFUNCTION("""COMPUTED_VALUE"""),540.96)</f>
        <v>540.96</v>
      </c>
      <c r="R361" s="26">
        <f>IFERROR(__xludf.DUMMYFUNCTION("""COMPUTED_VALUE"""),91.13)</f>
        <v>91.13</v>
      </c>
      <c r="S361" s="26">
        <f>IFERROR(__xludf.DUMMYFUNCTION("""COMPUTED_VALUE"""),188.36)</f>
        <v>188.36</v>
      </c>
      <c r="T361" s="26">
        <f>IFERROR(__xludf.DUMMYFUNCTION("""COMPUTED_VALUE"""),151.71)</f>
        <v>151.71</v>
      </c>
      <c r="U361" s="26">
        <f>IFERROR(__xludf.DUMMYFUNCTION("""COMPUTED_VALUE"""),291.07)</f>
        <v>291.07</v>
      </c>
      <c r="V361" s="26">
        <f>IFERROR(__xludf.DUMMYFUNCTION("""COMPUTED_VALUE"""),48.39)</f>
        <v>48.39</v>
      </c>
      <c r="W361" s="26">
        <f>IFERROR(__xludf.DUMMYFUNCTION("""COMPUTED_VALUE"""),67.59)</f>
        <v>67.59</v>
      </c>
      <c r="X361" s="26">
        <f>IFERROR(__xludf.DUMMYFUNCTION("""COMPUTED_VALUE"""),101.07)</f>
        <v>101.07</v>
      </c>
      <c r="Y361" s="26">
        <f>IFERROR(__xludf.DUMMYFUNCTION("""COMPUTED_VALUE"""),173.96)</f>
        <v>173.96</v>
      </c>
      <c r="Z361" s="26">
        <f>IFERROR(__xludf.DUMMYFUNCTION("""COMPUTED_VALUE"""),94.03)</f>
        <v>94.03</v>
      </c>
      <c r="AA361" s="26">
        <f>IFERROR(__xludf.DUMMYFUNCTION("""COMPUTED_VALUE"""),416.95)</f>
        <v>416.95</v>
      </c>
      <c r="AB361" s="26">
        <f>IFERROR(__xludf.DUMMYFUNCTION("""COMPUTED_VALUE"""),91.18)</f>
        <v>91.18</v>
      </c>
      <c r="AC361" s="26">
        <f>IFERROR(__xludf.DUMMYFUNCTION("""COMPUTED_VALUE"""),110.64)</f>
        <v>110.64</v>
      </c>
      <c r="AD361" s="26">
        <f>IFERROR(__xludf.DUMMYFUNCTION("""COMPUTED_VALUE"""),236.91)</f>
        <v>236.91</v>
      </c>
      <c r="AE361" s="26">
        <f>IFERROR(__xludf.DUMMYFUNCTION("""COMPUTED_VALUE"""),392.46)</f>
        <v>392.46</v>
      </c>
      <c r="AF361" s="26">
        <f>IFERROR(__xludf.DUMMYFUNCTION("""COMPUTED_VALUE"""),330.59)</f>
        <v>330.59</v>
      </c>
      <c r="AG361" s="26">
        <f>IFERROR(__xludf.DUMMYFUNCTION("""COMPUTED_VALUE"""),57.34)</f>
        <v>57.34</v>
      </c>
      <c r="AH361" s="26">
        <f>IFERROR(__xludf.DUMMYFUNCTION("""COMPUTED_VALUE"""),117.85)</f>
        <v>117.85</v>
      </c>
      <c r="AI361" s="26">
        <f>IFERROR(__xludf.DUMMYFUNCTION("""COMPUTED_VALUE"""),758.09)</f>
        <v>758.09</v>
      </c>
      <c r="AJ361" s="26">
        <f>IFERROR(__xludf.DUMMYFUNCTION("""COMPUTED_VALUE"""),387.39)</f>
        <v>387.39</v>
      </c>
      <c r="AK361" s="26">
        <f>IFERROR(__xludf.DUMMYFUNCTION("""COMPUTED_VALUE"""),147.23)</f>
        <v>147.23</v>
      </c>
      <c r="AL361" s="26">
        <f>IFERROR(__xludf.DUMMYFUNCTION("""COMPUTED_VALUE"""),153.36)</f>
        <v>153.36</v>
      </c>
      <c r="AM361" s="26">
        <f>IFERROR(__xludf.DUMMYFUNCTION("""COMPUTED_VALUE"""),434.62)</f>
        <v>434.62</v>
      </c>
      <c r="AN361" s="26">
        <f>IFERROR(__xludf.DUMMYFUNCTION("""COMPUTED_VALUE"""),298.54)</f>
        <v>298.54</v>
      </c>
      <c r="AO361" s="26">
        <f>IFERROR(__xludf.DUMMYFUNCTION("""COMPUTED_VALUE"""),493.25)</f>
        <v>493.25</v>
      </c>
      <c r="AP361" s="26">
        <f>IFERROR(__xludf.DUMMYFUNCTION("""COMPUTED_VALUE"""),164.62)</f>
        <v>164.62</v>
      </c>
      <c r="AQ361" s="26">
        <f>IFERROR(__xludf.DUMMYFUNCTION("""COMPUTED_VALUE"""),31.65)</f>
        <v>31.65</v>
      </c>
      <c r="AR361" s="26">
        <f>IFERROR(__xludf.DUMMYFUNCTION("""COMPUTED_VALUE"""),95.04)</f>
        <v>95.04</v>
      </c>
      <c r="AS361" s="26">
        <f>IFERROR(__xludf.DUMMYFUNCTION("""COMPUTED_VALUE"""),77.84)</f>
        <v>77.84</v>
      </c>
      <c r="AT361" s="26">
        <f>IFERROR(__xludf.DUMMYFUNCTION("""COMPUTED_VALUE"""),511.61)</f>
        <v>511.61</v>
      </c>
      <c r="AU361" s="26">
        <f>IFERROR(__xludf.DUMMYFUNCTION("""COMPUTED_VALUE"""),85.05)</f>
        <v>85.05</v>
      </c>
      <c r="AV361" s="26">
        <f>IFERROR(__xludf.DUMMYFUNCTION("""COMPUTED_VALUE"""),181.81)</f>
        <v>181.81</v>
      </c>
      <c r="AW361" s="26">
        <f>IFERROR(__xludf.DUMMYFUNCTION("""COMPUTED_VALUE"""),90.67)</f>
        <v>90.67</v>
      </c>
      <c r="AX361" s="26">
        <f>IFERROR(__xludf.DUMMYFUNCTION("""COMPUTED_VALUE"""),41.98)</f>
        <v>41.98</v>
      </c>
      <c r="AY361" s="26">
        <f>IFERROR(__xludf.DUMMYFUNCTION("""COMPUTED_VALUE"""),178.12)</f>
        <v>178.12</v>
      </c>
      <c r="AZ361" s="26">
        <f>IFERROR(__xludf.DUMMYFUNCTION("""COMPUTED_VALUE"""),66.05)</f>
        <v>66.05</v>
      </c>
      <c r="BA361" s="26">
        <f>IFERROR(__xludf.DUMMYFUNCTION("""COMPUTED_VALUE"""),24.23)</f>
        <v>24.23</v>
      </c>
      <c r="BB361" s="26">
        <f>IFERROR(__xludf.DUMMYFUNCTION("""COMPUTED_VALUE"""),157.05)</f>
        <v>157.05</v>
      </c>
      <c r="BC361" s="26">
        <f>IFERROR(__xludf.DUMMYFUNCTION("""COMPUTED_VALUE"""),226.45)</f>
        <v>226.45</v>
      </c>
      <c r="BD361" s="26">
        <f>IFERROR(__xludf.DUMMYFUNCTION("""COMPUTED_VALUE"""),536.78)</f>
        <v>536.78</v>
      </c>
      <c r="BE361" s="26">
        <f>IFERROR(__xludf.DUMMYFUNCTION("""COMPUTED_VALUE"""),195.41)</f>
        <v>195.41</v>
      </c>
      <c r="BF361" s="26">
        <f>IFERROR(__xludf.DUMMYFUNCTION("""COMPUTED_VALUE"""),115.68)</f>
        <v>115.68</v>
      </c>
      <c r="BG361" s="26">
        <f>IFERROR(__xludf.DUMMYFUNCTION("""COMPUTED_VALUE"""),4.76)</f>
        <v>4.76</v>
      </c>
      <c r="BH361" s="26">
        <f>IFERROR(__xludf.DUMMYFUNCTION("""COMPUTED_VALUE"""),224.04)</f>
        <v>224.04</v>
      </c>
      <c r="BI361" s="26">
        <f>IFERROR(__xludf.DUMMYFUNCTION("""COMPUTED_VALUE"""),356.67)</f>
        <v>356.67</v>
      </c>
      <c r="BJ361" s="26">
        <f>IFERROR(__xludf.DUMMYFUNCTION("""COMPUTED_VALUE"""),50.17)</f>
        <v>50.17</v>
      </c>
      <c r="BK361" s="26">
        <f>IFERROR(__xludf.DUMMYFUNCTION("""COMPUTED_VALUE"""),10.1)</f>
        <v>10.1</v>
      </c>
      <c r="BL361" s="26">
        <f>IFERROR(__xludf.DUMMYFUNCTION("""COMPUTED_VALUE"""),213.29)</f>
        <v>213.29</v>
      </c>
      <c r="BM361" s="26">
        <f>IFERROR(__xludf.DUMMYFUNCTION("""COMPUTED_VALUE"""),109.88)</f>
        <v>109.88</v>
      </c>
    </row>
    <row r="362">
      <c r="A362" s="25">
        <v>45951.66666666667</v>
      </c>
      <c r="B362" s="17">
        <f>IFERROR(__xludf.DUMMYFUNCTION("""COMPUTED_VALUE"""),6664.01)</f>
        <v>6664.01</v>
      </c>
      <c r="C362" s="17">
        <f>IFERROR(__xludf.DUMMYFUNCTION("""COMPUTED_VALUE"""),22679.98)</f>
        <v>22679.98</v>
      </c>
      <c r="D362" s="17">
        <f>IFERROR(__xludf.DUMMYFUNCTION("""COMPUTED_VALUE"""),46190.61)</f>
        <v>46190.61</v>
      </c>
      <c r="E362" s="17">
        <f>IFERROR(__xludf.DUMMYFUNCTION("""COMPUTED_VALUE"""),2452.17)</f>
        <v>2452.17</v>
      </c>
      <c r="F362" s="26">
        <f>IFERROR(__xludf.DUMMYFUNCTION("""COMPUTED_VALUE"""),333.26)</f>
        <v>333.26</v>
      </c>
      <c r="G362" s="26">
        <f>IFERROR(__xludf.DUMMYFUNCTION("""COMPUTED_VALUE"""),213.04)</f>
        <v>213.04</v>
      </c>
      <c r="H362" s="26">
        <f>IFERROR(__xludf.DUMMYFUNCTION("""COMPUTED_VALUE"""),143.81)</f>
        <v>143.81</v>
      </c>
      <c r="I362" s="26">
        <f>IFERROR(__xludf.DUMMYFUNCTION("""COMPUTED_VALUE"""),252.29)</f>
        <v>252.29</v>
      </c>
      <c r="J362" s="26">
        <f>IFERROR(__xludf.DUMMYFUNCTION("""COMPUTED_VALUE"""),224.99)</f>
        <v>224.99</v>
      </c>
      <c r="K362" s="26">
        <f>IFERROR(__xludf.DUMMYFUNCTION("""COMPUTED_VALUE"""),105.98)</f>
        <v>105.98</v>
      </c>
      <c r="L362" s="26">
        <f>IFERROR(__xludf.DUMMYFUNCTION("""COMPUTED_VALUE"""),19.36)</f>
        <v>19.36</v>
      </c>
      <c r="M362" s="26">
        <f>IFERROR(__xludf.DUMMYFUNCTION("""COMPUTED_VALUE"""),492.42)</f>
        <v>492.42</v>
      </c>
      <c r="N362" s="26">
        <f>IFERROR(__xludf.DUMMYFUNCTION("""COMPUTED_VALUE"""),55.59)</f>
        <v>55.59</v>
      </c>
      <c r="O362" s="26">
        <f>IFERROR(__xludf.DUMMYFUNCTION("""COMPUTED_VALUE"""),143.0)</f>
        <v>143</v>
      </c>
      <c r="P362" s="26">
        <f>IFERROR(__xludf.DUMMYFUNCTION("""COMPUTED_VALUE"""),56.2)</f>
        <v>56.2</v>
      </c>
      <c r="Q362" s="26">
        <f>IFERROR(__xludf.DUMMYFUNCTION("""COMPUTED_VALUE"""),527.08)</f>
        <v>527.08</v>
      </c>
      <c r="R362" s="26">
        <f>IFERROR(__xludf.DUMMYFUNCTION("""COMPUTED_VALUE"""),86.59)</f>
        <v>86.59</v>
      </c>
      <c r="S362" s="26">
        <f>IFERROR(__xludf.DUMMYFUNCTION("""COMPUTED_VALUE"""),190.65)</f>
        <v>190.65</v>
      </c>
      <c r="T362" s="26">
        <f>IFERROR(__xludf.DUMMYFUNCTION("""COMPUTED_VALUE"""),153.08)</f>
        <v>153.08</v>
      </c>
      <c r="U362" s="26">
        <f>IFERROR(__xludf.DUMMYFUNCTION("""COMPUTED_VALUE"""),299.27)</f>
        <v>299.27</v>
      </c>
      <c r="V362" s="26">
        <f>IFERROR(__xludf.DUMMYFUNCTION("""COMPUTED_VALUE"""),49.31)</f>
        <v>49.31</v>
      </c>
      <c r="W362" s="26">
        <f>IFERROR(__xludf.DUMMYFUNCTION("""COMPUTED_VALUE"""),68.44)</f>
        <v>68.44</v>
      </c>
      <c r="X362" s="26">
        <f>IFERROR(__xludf.DUMMYFUNCTION("""COMPUTED_VALUE"""),101.19)</f>
        <v>101.19</v>
      </c>
      <c r="Y362" s="26">
        <f>IFERROR(__xludf.DUMMYFUNCTION("""COMPUTED_VALUE"""),172.73)</f>
        <v>172.73</v>
      </c>
      <c r="Z362" s="26">
        <f>IFERROR(__xludf.DUMMYFUNCTION("""COMPUTED_VALUE"""),96.44)</f>
        <v>96.44</v>
      </c>
      <c r="AA362" s="26">
        <f>IFERROR(__xludf.DUMMYFUNCTION("""COMPUTED_VALUE"""),416.26)</f>
        <v>416.26</v>
      </c>
      <c r="AB362" s="26">
        <f>IFERROR(__xludf.DUMMYFUNCTION("""COMPUTED_VALUE"""),92.01)</f>
        <v>92.01</v>
      </c>
      <c r="AC362" s="26">
        <f>IFERROR(__xludf.DUMMYFUNCTION("""COMPUTED_VALUE"""),112.24)</f>
        <v>112.24</v>
      </c>
      <c r="AD362" s="26">
        <f>IFERROR(__xludf.DUMMYFUNCTION("""COMPUTED_VALUE"""),237.8)</f>
        <v>237.8</v>
      </c>
      <c r="AE362" s="26">
        <f>IFERROR(__xludf.DUMMYFUNCTION("""COMPUTED_VALUE"""),399.08)</f>
        <v>399.08</v>
      </c>
      <c r="AF362" s="26">
        <f>IFERROR(__xludf.DUMMYFUNCTION("""COMPUTED_VALUE"""),331.15)</f>
        <v>331.15</v>
      </c>
      <c r="AG362" s="26">
        <f>IFERROR(__xludf.DUMMYFUNCTION("""COMPUTED_VALUE"""),58.38)</f>
        <v>58.38</v>
      </c>
      <c r="AH362" s="26">
        <f>IFERROR(__xludf.DUMMYFUNCTION("""COMPUTED_VALUE"""),122.81)</f>
        <v>122.81</v>
      </c>
      <c r="AI362" s="26">
        <f>IFERROR(__xludf.DUMMYFUNCTION("""COMPUTED_VALUE"""),750.77)</f>
        <v>750.77</v>
      </c>
      <c r="AJ362" s="26">
        <f>IFERROR(__xludf.DUMMYFUNCTION("""COMPUTED_VALUE"""),391.9)</f>
        <v>391.9</v>
      </c>
      <c r="AK362" s="26">
        <f>IFERROR(__xludf.DUMMYFUNCTION("""COMPUTED_VALUE"""),148.05)</f>
        <v>148.05</v>
      </c>
      <c r="AL362" s="26">
        <f>IFERROR(__xludf.DUMMYFUNCTION("""COMPUTED_VALUE"""),153.6)</f>
        <v>153.6</v>
      </c>
      <c r="AM362" s="26">
        <f>IFERROR(__xludf.DUMMYFUNCTION("""COMPUTED_VALUE"""),446.13)</f>
        <v>446.13</v>
      </c>
      <c r="AN362" s="26">
        <f>IFERROR(__xludf.DUMMYFUNCTION("""COMPUTED_VALUE"""),297.56)</f>
        <v>297.56</v>
      </c>
      <c r="AO362" s="26">
        <f>IFERROR(__xludf.DUMMYFUNCTION("""COMPUTED_VALUE"""),495.15)</f>
        <v>495.15</v>
      </c>
      <c r="AP362" s="26">
        <f>IFERROR(__xludf.DUMMYFUNCTION("""COMPUTED_VALUE"""),167.41)</f>
        <v>167.41</v>
      </c>
      <c r="AQ362" s="26">
        <f>IFERROR(__xludf.DUMMYFUNCTION("""COMPUTED_VALUE"""),31.64)</f>
        <v>31.64</v>
      </c>
      <c r="AR362" s="26">
        <f>IFERROR(__xludf.DUMMYFUNCTION("""COMPUTED_VALUE"""),95.78)</f>
        <v>95.78</v>
      </c>
      <c r="AS362" s="26">
        <f>IFERROR(__xludf.DUMMYFUNCTION("""COMPUTED_VALUE"""),78.46)</f>
        <v>78.46</v>
      </c>
      <c r="AT362" s="26">
        <f>IFERROR(__xludf.DUMMYFUNCTION("""COMPUTED_VALUE"""),513.58)</f>
        <v>513.58</v>
      </c>
      <c r="AU362" s="26">
        <f>IFERROR(__xludf.DUMMYFUNCTION("""COMPUTED_VALUE"""),84.53)</f>
        <v>84.53</v>
      </c>
      <c r="AV362" s="26">
        <f>IFERROR(__xludf.DUMMYFUNCTION("""COMPUTED_VALUE"""),183.22)</f>
        <v>183.22</v>
      </c>
      <c r="AW362" s="26">
        <f>IFERROR(__xludf.DUMMYFUNCTION("""COMPUTED_VALUE"""),91.29)</f>
        <v>91.29</v>
      </c>
      <c r="AX362" s="26">
        <f>IFERROR(__xludf.DUMMYFUNCTION("""COMPUTED_VALUE"""),41.82)</f>
        <v>41.82</v>
      </c>
      <c r="AY362" s="26">
        <f>IFERROR(__xludf.DUMMYFUNCTION("""COMPUTED_VALUE"""),178.15)</f>
        <v>178.15</v>
      </c>
      <c r="AZ362" s="26">
        <f>IFERROR(__xludf.DUMMYFUNCTION("""COMPUTED_VALUE"""),67.41)</f>
        <v>67.41</v>
      </c>
      <c r="BA362" s="26">
        <f>IFERROR(__xludf.DUMMYFUNCTION("""COMPUTED_VALUE"""),24.51)</f>
        <v>24.51</v>
      </c>
      <c r="BB362" s="26">
        <f>IFERROR(__xludf.DUMMYFUNCTION("""COMPUTED_VALUE"""),157.95)</f>
        <v>157.95</v>
      </c>
      <c r="BC362" s="26">
        <f>IFERROR(__xludf.DUMMYFUNCTION("""COMPUTED_VALUE"""),229.33)</f>
        <v>229.33</v>
      </c>
      <c r="BD362" s="26">
        <f>IFERROR(__xludf.DUMMYFUNCTION("""COMPUTED_VALUE"""),538.92)</f>
        <v>538.92</v>
      </c>
      <c r="BE362" s="26">
        <f>IFERROR(__xludf.DUMMYFUNCTION("""COMPUTED_VALUE"""),197.83)</f>
        <v>197.83</v>
      </c>
      <c r="BF362" s="26">
        <f>IFERROR(__xludf.DUMMYFUNCTION("""COMPUTED_VALUE"""),117.63)</f>
        <v>117.63</v>
      </c>
      <c r="BG362" s="26">
        <f>IFERROR(__xludf.DUMMYFUNCTION("""COMPUTED_VALUE"""),4.78)</f>
        <v>4.78</v>
      </c>
      <c r="BH362" s="26">
        <f>IFERROR(__xludf.DUMMYFUNCTION("""COMPUTED_VALUE"""),226.04)</f>
        <v>226.04</v>
      </c>
      <c r="BI362" s="26">
        <f>IFERROR(__xludf.DUMMYFUNCTION("""COMPUTED_VALUE"""),356.6)</f>
        <v>356.6</v>
      </c>
      <c r="BJ362" s="26">
        <f>IFERROR(__xludf.DUMMYFUNCTION("""COMPUTED_VALUE"""),50.13)</f>
        <v>50.13</v>
      </c>
      <c r="BK362" s="26">
        <f>IFERROR(__xludf.DUMMYFUNCTION("""COMPUTED_VALUE"""),10.17)</f>
        <v>10.17</v>
      </c>
      <c r="BL362" s="26">
        <f>IFERROR(__xludf.DUMMYFUNCTION("""COMPUTED_VALUE"""),215.48)</f>
        <v>215.48</v>
      </c>
      <c r="BM362" s="26">
        <f>IFERROR(__xludf.DUMMYFUNCTION("""COMPUTED_VALUE"""),110.67)</f>
        <v>110.67</v>
      </c>
    </row>
    <row r="363">
      <c r="A363" s="25">
        <v>45952.66666666667</v>
      </c>
      <c r="B363" s="17">
        <f>IFERROR(__xludf.DUMMYFUNCTION("""COMPUTED_VALUE"""),6735.13)</f>
        <v>6735.13</v>
      </c>
      <c r="C363" s="17">
        <f>IFERROR(__xludf.DUMMYFUNCTION("""COMPUTED_VALUE"""),22990.54)</f>
        <v>22990.54</v>
      </c>
      <c r="D363" s="17">
        <f>IFERROR(__xludf.DUMMYFUNCTION("""COMPUTED_VALUE"""),46706.58)</f>
        <v>46706.58</v>
      </c>
      <c r="E363" s="17">
        <f>IFERROR(__xludf.DUMMYFUNCTION("""COMPUTED_VALUE"""),2499.91)</f>
        <v>2499.91</v>
      </c>
      <c r="F363" s="26">
        <f>IFERROR(__xludf.DUMMYFUNCTION("""COMPUTED_VALUE"""),343.4)</f>
        <v>343.4</v>
      </c>
      <c r="G363" s="26">
        <f>IFERROR(__xludf.DUMMYFUNCTION("""COMPUTED_VALUE"""),216.48)</f>
        <v>216.48</v>
      </c>
      <c r="H363" s="26">
        <f>IFERROR(__xludf.DUMMYFUNCTION("""COMPUTED_VALUE"""),145.43)</f>
        <v>145.43</v>
      </c>
      <c r="I363" s="26">
        <f>IFERROR(__xludf.DUMMYFUNCTION("""COMPUTED_VALUE"""),262.24)</f>
        <v>262.24</v>
      </c>
      <c r="J363" s="26">
        <f>IFERROR(__xludf.DUMMYFUNCTION("""COMPUTED_VALUE"""),228.13)</f>
        <v>228.13</v>
      </c>
      <c r="K363" s="26">
        <f>IFERROR(__xludf.DUMMYFUNCTION("""COMPUTED_VALUE"""),108.5)</f>
        <v>108.5</v>
      </c>
      <c r="L363" s="26">
        <f>IFERROR(__xludf.DUMMYFUNCTION("""COMPUTED_VALUE"""),19.62)</f>
        <v>19.62</v>
      </c>
      <c r="M363" s="26">
        <f>IFERROR(__xludf.DUMMYFUNCTION("""COMPUTED_VALUE"""),494.08)</f>
        <v>494.08</v>
      </c>
      <c r="N363" s="26">
        <f>IFERROR(__xludf.DUMMYFUNCTION("""COMPUTED_VALUE"""),56.8)</f>
        <v>56.8</v>
      </c>
      <c r="O363" s="26">
        <f>IFERROR(__xludf.DUMMYFUNCTION("""COMPUTED_VALUE"""),146.63)</f>
        <v>146.63</v>
      </c>
      <c r="P363" s="26">
        <f>IFERROR(__xludf.DUMMYFUNCTION("""COMPUTED_VALUE"""),57.67)</f>
        <v>57.67</v>
      </c>
      <c r="Q363" s="26">
        <f>IFERROR(__xludf.DUMMYFUNCTION("""COMPUTED_VALUE"""),531.18)</f>
        <v>531.18</v>
      </c>
      <c r="R363" s="26">
        <f>IFERROR(__xludf.DUMMYFUNCTION("""COMPUTED_VALUE"""),85.9)</f>
        <v>85.9</v>
      </c>
      <c r="S363" s="26">
        <f>IFERROR(__xludf.DUMMYFUNCTION("""COMPUTED_VALUE"""),193.15)</f>
        <v>193.15</v>
      </c>
      <c r="T363" s="26">
        <f>IFERROR(__xludf.DUMMYFUNCTION("""COMPUTED_VALUE"""),154.48)</f>
        <v>154.48</v>
      </c>
      <c r="U363" s="26">
        <f>IFERROR(__xludf.DUMMYFUNCTION("""COMPUTED_VALUE"""),306.84)</f>
        <v>306.84</v>
      </c>
      <c r="V363" s="26">
        <f>IFERROR(__xludf.DUMMYFUNCTION("""COMPUTED_VALUE"""),50.29)</f>
        <v>50.29</v>
      </c>
      <c r="W363" s="26">
        <f>IFERROR(__xludf.DUMMYFUNCTION("""COMPUTED_VALUE"""),68.44)</f>
        <v>68.44</v>
      </c>
      <c r="X363" s="26">
        <f>IFERROR(__xludf.DUMMYFUNCTION("""COMPUTED_VALUE"""),101.72)</f>
        <v>101.72</v>
      </c>
      <c r="Y363" s="26">
        <f>IFERROR(__xludf.DUMMYFUNCTION("""COMPUTED_VALUE"""),172.92)</f>
        <v>172.92</v>
      </c>
      <c r="Z363" s="26">
        <f>IFERROR(__xludf.DUMMYFUNCTION("""COMPUTED_VALUE"""),99.02)</f>
        <v>99.02</v>
      </c>
      <c r="AA363" s="26">
        <f>IFERROR(__xludf.DUMMYFUNCTION("""COMPUTED_VALUE"""),422.94)</f>
        <v>422.94</v>
      </c>
      <c r="AB363" s="26">
        <f>IFERROR(__xludf.DUMMYFUNCTION("""COMPUTED_VALUE"""),95.65)</f>
        <v>95.65</v>
      </c>
      <c r="AC363" s="26">
        <f>IFERROR(__xludf.DUMMYFUNCTION("""COMPUTED_VALUE"""),112.7)</f>
        <v>112.7</v>
      </c>
      <c r="AD363" s="26">
        <f>IFERROR(__xludf.DUMMYFUNCTION("""COMPUTED_VALUE"""),239.81)</f>
        <v>239.81</v>
      </c>
      <c r="AE363" s="26">
        <f>IFERROR(__xludf.DUMMYFUNCTION("""COMPUTED_VALUE"""),398.31)</f>
        <v>398.31</v>
      </c>
      <c r="AF363" s="26">
        <f>IFERROR(__xludf.DUMMYFUNCTION("""COMPUTED_VALUE"""),337.19)</f>
        <v>337.19</v>
      </c>
      <c r="AG363" s="26">
        <f>IFERROR(__xludf.DUMMYFUNCTION("""COMPUTED_VALUE"""),58.0)</f>
        <v>58</v>
      </c>
      <c r="AH363" s="26">
        <f>IFERROR(__xludf.DUMMYFUNCTION("""COMPUTED_VALUE"""),123.11)</f>
        <v>123.11</v>
      </c>
      <c r="AI363" s="26">
        <f>IFERROR(__xludf.DUMMYFUNCTION("""COMPUTED_VALUE"""),763.32)</f>
        <v>763.32</v>
      </c>
      <c r="AJ363" s="26">
        <f>IFERROR(__xludf.DUMMYFUNCTION("""COMPUTED_VALUE"""),388.89)</f>
        <v>388.89</v>
      </c>
      <c r="AK363" s="26">
        <f>IFERROR(__xludf.DUMMYFUNCTION("""COMPUTED_VALUE"""),151.8)</f>
        <v>151.8</v>
      </c>
      <c r="AL363" s="26">
        <f>IFERROR(__xludf.DUMMYFUNCTION("""COMPUTED_VALUE"""),155.29)</f>
        <v>155.29</v>
      </c>
      <c r="AM363" s="26">
        <f>IFERROR(__xludf.DUMMYFUNCTION("""COMPUTED_VALUE"""),458.47)</f>
        <v>458.47</v>
      </c>
      <c r="AN363" s="26">
        <f>IFERROR(__xludf.DUMMYFUNCTION("""COMPUTED_VALUE"""),302.36)</f>
        <v>302.36</v>
      </c>
      <c r="AO363" s="26">
        <f>IFERROR(__xludf.DUMMYFUNCTION("""COMPUTED_VALUE"""),505.9)</f>
        <v>505.9</v>
      </c>
      <c r="AP363" s="26">
        <f>IFERROR(__xludf.DUMMYFUNCTION("""COMPUTED_VALUE"""),172.43)</f>
        <v>172.43</v>
      </c>
      <c r="AQ363" s="26">
        <f>IFERROR(__xludf.DUMMYFUNCTION("""COMPUTED_VALUE"""),31.85)</f>
        <v>31.85</v>
      </c>
      <c r="AR363" s="26">
        <f>IFERROR(__xludf.DUMMYFUNCTION("""COMPUTED_VALUE"""),95.92)</f>
        <v>95.92</v>
      </c>
      <c r="AS363" s="26">
        <f>IFERROR(__xludf.DUMMYFUNCTION("""COMPUTED_VALUE"""),78.74)</f>
        <v>78.74</v>
      </c>
      <c r="AT363" s="26">
        <f>IFERROR(__xludf.DUMMYFUNCTION("""COMPUTED_VALUE"""),516.79)</f>
        <v>516.79</v>
      </c>
      <c r="AU363" s="26">
        <f>IFERROR(__xludf.DUMMYFUNCTION("""COMPUTED_VALUE"""),84.77)</f>
        <v>84.77</v>
      </c>
      <c r="AV363" s="26">
        <f>IFERROR(__xludf.DUMMYFUNCTION("""COMPUTED_VALUE"""),182.64)</f>
        <v>182.64</v>
      </c>
      <c r="AW363" s="26">
        <f>IFERROR(__xludf.DUMMYFUNCTION("""COMPUTED_VALUE"""),91.51)</f>
        <v>91.51</v>
      </c>
      <c r="AX363" s="26">
        <f>IFERROR(__xludf.DUMMYFUNCTION("""COMPUTED_VALUE"""),41.47)</f>
        <v>41.47</v>
      </c>
      <c r="AY363" s="26">
        <f>IFERROR(__xludf.DUMMYFUNCTION("""COMPUTED_VALUE"""),181.59)</f>
        <v>181.59</v>
      </c>
      <c r="AZ363" s="26">
        <f>IFERROR(__xludf.DUMMYFUNCTION("""COMPUTED_VALUE"""),69.2)</f>
        <v>69.2</v>
      </c>
      <c r="BA363" s="26">
        <f>IFERROR(__xludf.DUMMYFUNCTION("""COMPUTED_VALUE"""),24.69)</f>
        <v>24.69</v>
      </c>
      <c r="BB363" s="26">
        <f>IFERROR(__xludf.DUMMYFUNCTION("""COMPUTED_VALUE"""),160.71)</f>
        <v>160.71</v>
      </c>
      <c r="BC363" s="26">
        <f>IFERROR(__xludf.DUMMYFUNCTION("""COMPUTED_VALUE"""),230.09)</f>
        <v>230.09</v>
      </c>
      <c r="BD363" s="26">
        <f>IFERROR(__xludf.DUMMYFUNCTION("""COMPUTED_VALUE"""),543.84)</f>
        <v>543.84</v>
      </c>
      <c r="BE363" s="26">
        <f>IFERROR(__xludf.DUMMYFUNCTION("""COMPUTED_VALUE"""),200.11)</f>
        <v>200.11</v>
      </c>
      <c r="BF363" s="26">
        <f>IFERROR(__xludf.DUMMYFUNCTION("""COMPUTED_VALUE"""),119.9)</f>
        <v>119.9</v>
      </c>
      <c r="BG363" s="26">
        <f>IFERROR(__xludf.DUMMYFUNCTION("""COMPUTED_VALUE"""),4.73)</f>
        <v>4.73</v>
      </c>
      <c r="BH363" s="26">
        <f>IFERROR(__xludf.DUMMYFUNCTION("""COMPUTED_VALUE"""),227.3)</f>
        <v>227.3</v>
      </c>
      <c r="BI363" s="26">
        <f>IFERROR(__xludf.DUMMYFUNCTION("""COMPUTED_VALUE"""),364.48)</f>
        <v>364.48</v>
      </c>
      <c r="BJ363" s="26">
        <f>IFERROR(__xludf.DUMMYFUNCTION("""COMPUTED_VALUE"""),50.15)</f>
        <v>50.15</v>
      </c>
      <c r="BK363" s="26">
        <f>IFERROR(__xludf.DUMMYFUNCTION("""COMPUTED_VALUE"""),10.31)</f>
        <v>10.31</v>
      </c>
      <c r="BL363" s="26">
        <f>IFERROR(__xludf.DUMMYFUNCTION("""COMPUTED_VALUE"""),215.4)</f>
        <v>215.4</v>
      </c>
      <c r="BM363" s="26">
        <f>IFERROR(__xludf.DUMMYFUNCTION("""COMPUTED_VALUE"""),111.96)</f>
        <v>111.96</v>
      </c>
      <c r="BN363" s="27">
        <v>68782.0</v>
      </c>
    </row>
    <row r="364">
      <c r="A364" s="25">
        <v>45953.66666666667</v>
      </c>
      <c r="B364" s="17">
        <f>IFERROR(__xludf.DUMMYFUNCTION("""COMPUTED_VALUE"""),6735.35)</f>
        <v>6735.35</v>
      </c>
      <c r="C364" s="17">
        <f>IFERROR(__xludf.DUMMYFUNCTION("""COMPUTED_VALUE"""),22953.67)</f>
        <v>22953.67</v>
      </c>
      <c r="D364" s="17">
        <f>IFERROR(__xludf.DUMMYFUNCTION("""COMPUTED_VALUE"""),46924.74)</f>
        <v>46924.74</v>
      </c>
      <c r="E364" s="17">
        <f>IFERROR(__xludf.DUMMYFUNCTION("""COMPUTED_VALUE"""),2487.69)</f>
        <v>2487.69</v>
      </c>
      <c r="F364" s="26">
        <f>IFERROR(__xludf.DUMMYFUNCTION("""COMPUTED_VALUE"""),357.55)</f>
        <v>357.55</v>
      </c>
      <c r="G364" s="26">
        <f>IFERROR(__xludf.DUMMYFUNCTION("""COMPUTED_VALUE"""),222.03)</f>
        <v>222.03</v>
      </c>
      <c r="H364" s="26">
        <f>IFERROR(__xludf.DUMMYFUNCTION("""COMPUTED_VALUE"""),144.16)</f>
        <v>144.16</v>
      </c>
      <c r="I364" s="26">
        <f>IFERROR(__xludf.DUMMYFUNCTION("""COMPUTED_VALUE"""),262.77)</f>
        <v>262.77</v>
      </c>
      <c r="J364" s="26">
        <f>IFERROR(__xludf.DUMMYFUNCTION("""COMPUTED_VALUE"""),226.0)</f>
        <v>226</v>
      </c>
      <c r="K364" s="26">
        <f>IFERROR(__xludf.DUMMYFUNCTION("""COMPUTED_VALUE"""),107.0)</f>
        <v>107</v>
      </c>
      <c r="L364" s="26">
        <f>IFERROR(__xludf.DUMMYFUNCTION("""COMPUTED_VALUE"""),19.49)</f>
        <v>19.49</v>
      </c>
      <c r="M364" s="26">
        <f>IFERROR(__xludf.DUMMYFUNCTION("""COMPUTED_VALUE"""),491.29)</f>
        <v>491.29</v>
      </c>
      <c r="N364" s="26">
        <f>IFERROR(__xludf.DUMMYFUNCTION("""COMPUTED_VALUE"""),55.97)</f>
        <v>55.97</v>
      </c>
      <c r="O364" s="26">
        <f>IFERROR(__xludf.DUMMYFUNCTION("""COMPUTED_VALUE"""),146.22)</f>
        <v>146.22</v>
      </c>
      <c r="P364" s="26">
        <f>IFERROR(__xludf.DUMMYFUNCTION("""COMPUTED_VALUE"""),59.82)</f>
        <v>59.82</v>
      </c>
      <c r="Q364" s="26">
        <f>IFERROR(__xludf.DUMMYFUNCTION("""COMPUTED_VALUE"""),524.65)</f>
        <v>524.65</v>
      </c>
      <c r="R364" s="26">
        <f>IFERROR(__xludf.DUMMYFUNCTION("""COMPUTED_VALUE"""),82.77)</f>
        <v>82.77</v>
      </c>
      <c r="S364" s="26">
        <f>IFERROR(__xludf.DUMMYFUNCTION("""COMPUTED_VALUE"""),196.75)</f>
        <v>196.75</v>
      </c>
      <c r="T364" s="26">
        <f>IFERROR(__xludf.DUMMYFUNCTION("""COMPUTED_VALUE"""),153.79)</f>
        <v>153.79</v>
      </c>
      <c r="U364" s="26">
        <f>IFERROR(__xludf.DUMMYFUNCTION("""COMPUTED_VALUE"""),307.5)</f>
        <v>307.5</v>
      </c>
      <c r="V364" s="26">
        <f>IFERROR(__xludf.DUMMYFUNCTION("""COMPUTED_VALUE"""),50.83)</f>
        <v>50.83</v>
      </c>
      <c r="W364" s="26">
        <f>IFERROR(__xludf.DUMMYFUNCTION("""COMPUTED_VALUE"""),71.22)</f>
        <v>71.22</v>
      </c>
      <c r="X364" s="26">
        <f>IFERROR(__xludf.DUMMYFUNCTION("""COMPUTED_VALUE"""),101.56)</f>
        <v>101.56</v>
      </c>
      <c r="Y364" s="26">
        <f>IFERROR(__xludf.DUMMYFUNCTION("""COMPUTED_VALUE"""),171.63)</f>
        <v>171.63</v>
      </c>
      <c r="Z364" s="26">
        <f>IFERROR(__xludf.DUMMYFUNCTION("""COMPUTED_VALUE"""),98.95)</f>
        <v>98.95</v>
      </c>
      <c r="AA364" s="26">
        <f>IFERROR(__xludf.DUMMYFUNCTION("""COMPUTED_VALUE"""),419.88)</f>
        <v>419.88</v>
      </c>
      <c r="AB364" s="26">
        <f>IFERROR(__xludf.DUMMYFUNCTION("""COMPUTED_VALUE"""),94.98)</f>
        <v>94.98</v>
      </c>
      <c r="AC364" s="26">
        <f>IFERROR(__xludf.DUMMYFUNCTION("""COMPUTED_VALUE"""),112.71)</f>
        <v>112.71</v>
      </c>
      <c r="AD364" s="26">
        <f>IFERROR(__xludf.DUMMYFUNCTION("""COMPUTED_VALUE"""),242.84)</f>
        <v>242.84</v>
      </c>
      <c r="AE364" s="26">
        <f>IFERROR(__xludf.DUMMYFUNCTION("""COMPUTED_VALUE"""),400.46)</f>
        <v>400.46</v>
      </c>
      <c r="AF364" s="26">
        <f>IFERROR(__xludf.DUMMYFUNCTION("""COMPUTED_VALUE"""),340.69)</f>
        <v>340.69</v>
      </c>
      <c r="AG364" s="26">
        <f>IFERROR(__xludf.DUMMYFUNCTION("""COMPUTED_VALUE"""),66.62)</f>
        <v>66.62</v>
      </c>
      <c r="AH364" s="26">
        <f>IFERROR(__xludf.DUMMYFUNCTION("""COMPUTED_VALUE"""),124.08)</f>
        <v>124.08</v>
      </c>
      <c r="AI364" s="26">
        <f>IFERROR(__xludf.DUMMYFUNCTION("""COMPUTED_VALUE"""),758.98)</f>
        <v>758.98</v>
      </c>
      <c r="AJ364" s="26">
        <f>IFERROR(__xludf.DUMMYFUNCTION("""COMPUTED_VALUE"""),390.9)</f>
        <v>390.9</v>
      </c>
      <c r="AK364" s="26">
        <f>IFERROR(__xludf.DUMMYFUNCTION("""COMPUTED_VALUE"""),153.57)</f>
        <v>153.57</v>
      </c>
      <c r="AL364" s="26">
        <f>IFERROR(__xludf.DUMMYFUNCTION("""COMPUTED_VALUE"""),156.79)</f>
        <v>156.79</v>
      </c>
      <c r="AM364" s="26">
        <f>IFERROR(__xludf.DUMMYFUNCTION("""COMPUTED_VALUE"""),462.74)</f>
        <v>462.74</v>
      </c>
      <c r="AN364" s="26">
        <f>IFERROR(__xludf.DUMMYFUNCTION("""COMPUTED_VALUE"""),297.09)</f>
        <v>297.09</v>
      </c>
      <c r="AO364" s="26">
        <f>IFERROR(__xludf.DUMMYFUNCTION("""COMPUTED_VALUE"""),489.5)</f>
        <v>489.5</v>
      </c>
      <c r="AP364" s="26">
        <f>IFERROR(__xludf.DUMMYFUNCTION("""COMPUTED_VALUE"""),181.39)</f>
        <v>181.39</v>
      </c>
      <c r="AQ364" s="26">
        <f>IFERROR(__xludf.DUMMYFUNCTION("""COMPUTED_VALUE"""),31.8)</f>
        <v>31.8</v>
      </c>
      <c r="AR364" s="26">
        <f>IFERROR(__xludf.DUMMYFUNCTION("""COMPUTED_VALUE"""),95.83)</f>
        <v>95.83</v>
      </c>
      <c r="AS364" s="26">
        <f>IFERROR(__xludf.DUMMYFUNCTION("""COMPUTED_VALUE"""),79.02)</f>
        <v>79.02</v>
      </c>
      <c r="AT364" s="26">
        <f>IFERROR(__xludf.DUMMYFUNCTION("""COMPUTED_VALUE"""),517.66)</f>
        <v>517.66</v>
      </c>
      <c r="AU364" s="26">
        <f>IFERROR(__xludf.DUMMYFUNCTION("""COMPUTED_VALUE"""),83.99)</f>
        <v>83.99</v>
      </c>
      <c r="AV364" s="26">
        <f>IFERROR(__xludf.DUMMYFUNCTION("""COMPUTED_VALUE"""),181.16)</f>
        <v>181.16</v>
      </c>
      <c r="AW364" s="26">
        <f>IFERROR(__xludf.DUMMYFUNCTION("""COMPUTED_VALUE"""),92.7)</f>
        <v>92.7</v>
      </c>
      <c r="AX364" s="26">
        <f>IFERROR(__xludf.DUMMYFUNCTION("""COMPUTED_VALUE"""),42.91)</f>
        <v>42.91</v>
      </c>
      <c r="AY364" s="26">
        <f>IFERROR(__xludf.DUMMYFUNCTION("""COMPUTED_VALUE"""),181.51)</f>
        <v>181.51</v>
      </c>
      <c r="AZ364" s="26">
        <f>IFERROR(__xludf.DUMMYFUNCTION("""COMPUTED_VALUE"""),70.05)</f>
        <v>70.05</v>
      </c>
      <c r="BA364" s="26">
        <f>IFERROR(__xludf.DUMMYFUNCTION("""COMPUTED_VALUE"""),24.85)</f>
        <v>24.85</v>
      </c>
      <c r="BB364" s="26">
        <f>IFERROR(__xludf.DUMMYFUNCTION("""COMPUTED_VALUE"""),173.04)</f>
        <v>173.04</v>
      </c>
      <c r="BC364" s="26">
        <f>IFERROR(__xludf.DUMMYFUNCTION("""COMPUTED_VALUE"""),229.08)</f>
        <v>229.08</v>
      </c>
      <c r="BD364" s="26">
        <f>IFERROR(__xludf.DUMMYFUNCTION("""COMPUTED_VALUE"""),557.99)</f>
        <v>557.99</v>
      </c>
      <c r="BE364" s="26">
        <f>IFERROR(__xludf.DUMMYFUNCTION("""COMPUTED_VALUE"""),201.95)</f>
        <v>201.95</v>
      </c>
      <c r="BF364" s="26">
        <f>IFERROR(__xludf.DUMMYFUNCTION("""COMPUTED_VALUE"""),120.13)</f>
        <v>120.13</v>
      </c>
      <c r="BG364" s="26">
        <f>IFERROR(__xludf.DUMMYFUNCTION("""COMPUTED_VALUE"""),4.79)</f>
        <v>4.79</v>
      </c>
      <c r="BH364" s="26">
        <f>IFERROR(__xludf.DUMMYFUNCTION("""COMPUTED_VALUE"""),226.54)</f>
        <v>226.54</v>
      </c>
      <c r="BI364" s="26">
        <f>IFERROR(__xludf.DUMMYFUNCTION("""COMPUTED_VALUE"""),365.37)</f>
        <v>365.37</v>
      </c>
      <c r="BJ364" s="26">
        <f>IFERROR(__xludf.DUMMYFUNCTION("""COMPUTED_VALUE"""),50.19)</f>
        <v>50.19</v>
      </c>
      <c r="BK364" s="26">
        <f>IFERROR(__xludf.DUMMYFUNCTION("""COMPUTED_VALUE"""),10.39)</f>
        <v>10.39</v>
      </c>
      <c r="BL364" s="26">
        <f>IFERROR(__xludf.DUMMYFUNCTION("""COMPUTED_VALUE"""),214.89)</f>
        <v>214.89</v>
      </c>
      <c r="BM364" s="26">
        <f>IFERROR(__xludf.DUMMYFUNCTION("""COMPUTED_VALUE"""),114.3)</f>
        <v>114.3</v>
      </c>
    </row>
    <row r="365">
      <c r="A365" s="25">
        <v>45954.66666666667</v>
      </c>
      <c r="B365" s="17">
        <f>IFERROR(__xludf.DUMMYFUNCTION("""COMPUTED_VALUE"""),6699.4)</f>
        <v>6699.4</v>
      </c>
      <c r="C365" s="17">
        <f>IFERROR(__xludf.DUMMYFUNCTION("""COMPUTED_VALUE"""),22740.4)</f>
        <v>22740.4</v>
      </c>
      <c r="D365" s="17">
        <f>IFERROR(__xludf.DUMMYFUNCTION("""COMPUTED_VALUE"""),46590.41)</f>
        <v>46590.41</v>
      </c>
      <c r="E365" s="17">
        <f>IFERROR(__xludf.DUMMYFUNCTION("""COMPUTED_VALUE"""),2451.55)</f>
        <v>2451.55</v>
      </c>
      <c r="F365" s="26">
        <f>IFERROR(__xludf.DUMMYFUNCTION("""COMPUTED_VALUE"""),354.09)</f>
        <v>354.09</v>
      </c>
      <c r="G365" s="26">
        <f>IFERROR(__xludf.DUMMYFUNCTION("""COMPUTED_VALUE"""),217.95)</f>
        <v>217.95</v>
      </c>
      <c r="H365" s="26">
        <f>IFERROR(__xludf.DUMMYFUNCTION("""COMPUTED_VALUE"""),143.73)</f>
        <v>143.73</v>
      </c>
      <c r="I365" s="26">
        <f>IFERROR(__xludf.DUMMYFUNCTION("""COMPUTED_VALUE"""),258.45)</f>
        <v>258.45</v>
      </c>
      <c r="J365" s="26">
        <f>IFERROR(__xludf.DUMMYFUNCTION("""COMPUTED_VALUE"""),220.56)</f>
        <v>220.56</v>
      </c>
      <c r="K365" s="26">
        <f>IFERROR(__xludf.DUMMYFUNCTION("""COMPUTED_VALUE"""),107.03)</f>
        <v>107.03</v>
      </c>
      <c r="L365" s="26">
        <f>IFERROR(__xludf.DUMMYFUNCTION("""COMPUTED_VALUE"""),20.35)</f>
        <v>20.35</v>
      </c>
      <c r="M365" s="26">
        <f>IFERROR(__xludf.DUMMYFUNCTION("""COMPUTED_VALUE"""),491.81)</f>
        <v>491.81</v>
      </c>
      <c r="N365" s="26">
        <f>IFERROR(__xludf.DUMMYFUNCTION("""COMPUTED_VALUE"""),55.79)</f>
        <v>55.79</v>
      </c>
      <c r="O365" s="26">
        <f>IFERROR(__xludf.DUMMYFUNCTION("""COMPUTED_VALUE"""),147.72)</f>
        <v>147.72</v>
      </c>
      <c r="P365" s="26">
        <f>IFERROR(__xludf.DUMMYFUNCTION("""COMPUTED_VALUE"""),56.74)</f>
        <v>56.74</v>
      </c>
      <c r="Q365" s="26">
        <f>IFERROR(__xludf.DUMMYFUNCTION("""COMPUTED_VALUE"""),513.91)</f>
        <v>513.91</v>
      </c>
      <c r="R365" s="26">
        <f>IFERROR(__xludf.DUMMYFUNCTION("""COMPUTED_VALUE"""),83.54)</f>
        <v>83.54</v>
      </c>
      <c r="S365" s="26">
        <f>IFERROR(__xludf.DUMMYFUNCTION("""COMPUTED_VALUE"""),194.9)</f>
        <v>194.9</v>
      </c>
      <c r="T365" s="26">
        <f>IFERROR(__xludf.DUMMYFUNCTION("""COMPUTED_VALUE"""),155.57)</f>
        <v>155.57</v>
      </c>
      <c r="U365" s="26">
        <f>IFERROR(__xludf.DUMMYFUNCTION("""COMPUTED_VALUE"""),307.87)</f>
        <v>307.87</v>
      </c>
      <c r="V365" s="26">
        <f>IFERROR(__xludf.DUMMYFUNCTION("""COMPUTED_VALUE"""),50.62)</f>
        <v>50.62</v>
      </c>
      <c r="W365" s="26">
        <f>IFERROR(__xludf.DUMMYFUNCTION("""COMPUTED_VALUE"""),70.81)</f>
        <v>70.81</v>
      </c>
      <c r="X365" s="26">
        <f>IFERROR(__xludf.DUMMYFUNCTION("""COMPUTED_VALUE"""),101.94)</f>
        <v>101.94</v>
      </c>
      <c r="Y365" s="26">
        <f>IFERROR(__xludf.DUMMYFUNCTION("""COMPUTED_VALUE"""),172.41)</f>
        <v>172.41</v>
      </c>
      <c r="Z365" s="26">
        <f>IFERROR(__xludf.DUMMYFUNCTION("""COMPUTED_VALUE"""),100.47)</f>
        <v>100.47</v>
      </c>
      <c r="AA365" s="26">
        <f>IFERROR(__xludf.DUMMYFUNCTION("""COMPUTED_VALUE"""),424.82)</f>
        <v>424.82</v>
      </c>
      <c r="AB365" s="26">
        <f>IFERROR(__xludf.DUMMYFUNCTION("""COMPUTED_VALUE"""),95.37)</f>
        <v>95.37</v>
      </c>
      <c r="AC365" s="26">
        <f>IFERROR(__xludf.DUMMYFUNCTION("""COMPUTED_VALUE"""),114.71)</f>
        <v>114.71</v>
      </c>
      <c r="AD365" s="26">
        <f>IFERROR(__xludf.DUMMYFUNCTION("""COMPUTED_VALUE"""),239.41)</f>
        <v>239.41</v>
      </c>
      <c r="AE365" s="26">
        <f>IFERROR(__xludf.DUMMYFUNCTION("""COMPUTED_VALUE"""),394.06)</f>
        <v>394.06</v>
      </c>
      <c r="AF365" s="26">
        <f>IFERROR(__xludf.DUMMYFUNCTION("""COMPUTED_VALUE"""),338.24)</f>
        <v>338.24</v>
      </c>
      <c r="AG365" s="26">
        <f>IFERROR(__xludf.DUMMYFUNCTION("""COMPUTED_VALUE"""),67.31)</f>
        <v>67.31</v>
      </c>
      <c r="AH365" s="26">
        <f>IFERROR(__xludf.DUMMYFUNCTION("""COMPUTED_VALUE"""),121.46)</f>
        <v>121.46</v>
      </c>
      <c r="AI365" s="26">
        <f>IFERROR(__xludf.DUMMYFUNCTION("""COMPUTED_VALUE"""),744.6)</f>
        <v>744.6</v>
      </c>
      <c r="AJ365" s="26">
        <f>IFERROR(__xludf.DUMMYFUNCTION("""COMPUTED_VALUE"""),388.97)</f>
        <v>388.97</v>
      </c>
      <c r="AK365" s="26">
        <f>IFERROR(__xludf.DUMMYFUNCTION("""COMPUTED_VALUE"""),152.45)</f>
        <v>152.45</v>
      </c>
      <c r="AL365" s="26">
        <f>IFERROR(__xludf.DUMMYFUNCTION("""COMPUTED_VALUE"""),156.95)</f>
        <v>156.95</v>
      </c>
      <c r="AM365" s="26">
        <f>IFERROR(__xludf.DUMMYFUNCTION("""COMPUTED_VALUE"""),527.03)</f>
        <v>527.03</v>
      </c>
      <c r="AN365" s="26">
        <f>IFERROR(__xludf.DUMMYFUNCTION("""COMPUTED_VALUE"""),294.11)</f>
        <v>294.11</v>
      </c>
      <c r="AO365" s="26">
        <f>IFERROR(__xludf.DUMMYFUNCTION("""COMPUTED_VALUE"""),487.14)</f>
        <v>487.14</v>
      </c>
      <c r="AP365" s="26">
        <f>IFERROR(__xludf.DUMMYFUNCTION("""COMPUTED_VALUE"""),178.29)</f>
        <v>178.29</v>
      </c>
      <c r="AQ365" s="26">
        <f>IFERROR(__xludf.DUMMYFUNCTION("""COMPUTED_VALUE"""),31.9)</f>
        <v>31.9</v>
      </c>
      <c r="AR365" s="26">
        <f>IFERROR(__xludf.DUMMYFUNCTION("""COMPUTED_VALUE"""),95.9)</f>
        <v>95.9</v>
      </c>
      <c r="AS365" s="26">
        <f>IFERROR(__xludf.DUMMYFUNCTION("""COMPUTED_VALUE"""),78.56)</f>
        <v>78.56</v>
      </c>
      <c r="AT365" s="26">
        <f>IFERROR(__xludf.DUMMYFUNCTION("""COMPUTED_VALUE"""),520.54)</f>
        <v>520.54</v>
      </c>
      <c r="AU365" s="26">
        <f>IFERROR(__xludf.DUMMYFUNCTION("""COMPUTED_VALUE"""),82.84)</f>
        <v>82.84</v>
      </c>
      <c r="AV365" s="26">
        <f>IFERROR(__xludf.DUMMYFUNCTION("""COMPUTED_VALUE"""),180.28)</f>
        <v>180.28</v>
      </c>
      <c r="AW365" s="26">
        <f>IFERROR(__xludf.DUMMYFUNCTION("""COMPUTED_VALUE"""),91.42)</f>
        <v>91.42</v>
      </c>
      <c r="AX365" s="26">
        <f>IFERROR(__xludf.DUMMYFUNCTION("""COMPUTED_VALUE"""),42.27)</f>
        <v>42.27</v>
      </c>
      <c r="AY365" s="26">
        <f>IFERROR(__xludf.DUMMYFUNCTION("""COMPUTED_VALUE"""),175.49)</f>
        <v>175.49</v>
      </c>
      <c r="AZ365" s="26">
        <f>IFERROR(__xludf.DUMMYFUNCTION("""COMPUTED_VALUE"""),68.07)</f>
        <v>68.07</v>
      </c>
      <c r="BA365" s="26">
        <f>IFERROR(__xludf.DUMMYFUNCTION("""COMPUTED_VALUE"""),24.72)</f>
        <v>24.72</v>
      </c>
      <c r="BB365" s="26">
        <f>IFERROR(__xludf.DUMMYFUNCTION("""COMPUTED_VALUE"""),177.98)</f>
        <v>177.98</v>
      </c>
      <c r="BC365" s="26">
        <f>IFERROR(__xludf.DUMMYFUNCTION("""COMPUTED_VALUE"""),227.4)</f>
        <v>227.4</v>
      </c>
      <c r="BD365" s="26">
        <f>IFERROR(__xludf.DUMMYFUNCTION("""COMPUTED_VALUE"""),567.2)</f>
        <v>567.2</v>
      </c>
      <c r="BE365" s="26">
        <f>IFERROR(__xludf.DUMMYFUNCTION("""COMPUTED_VALUE"""),203.51)</f>
        <v>203.51</v>
      </c>
      <c r="BF365" s="26">
        <f>IFERROR(__xludf.DUMMYFUNCTION("""COMPUTED_VALUE"""),119.54)</f>
        <v>119.54</v>
      </c>
      <c r="BG365" s="26">
        <f>IFERROR(__xludf.DUMMYFUNCTION("""COMPUTED_VALUE"""),4.78)</f>
        <v>4.78</v>
      </c>
      <c r="BH365" s="26">
        <f>IFERROR(__xludf.DUMMYFUNCTION("""COMPUTED_VALUE"""),225.24)</f>
        <v>225.24</v>
      </c>
      <c r="BI365" s="26">
        <f>IFERROR(__xludf.DUMMYFUNCTION("""COMPUTED_VALUE"""),361.49)</f>
        <v>361.49</v>
      </c>
      <c r="BJ365" s="26">
        <f>IFERROR(__xludf.DUMMYFUNCTION("""COMPUTED_VALUE"""),50.22)</f>
        <v>50.22</v>
      </c>
      <c r="BK365" s="26">
        <f>IFERROR(__xludf.DUMMYFUNCTION("""COMPUTED_VALUE"""),10.41)</f>
        <v>10.41</v>
      </c>
      <c r="BL365" s="26">
        <f>IFERROR(__xludf.DUMMYFUNCTION("""COMPUTED_VALUE"""),216.46)</f>
        <v>216.46</v>
      </c>
      <c r="BM365" s="26">
        <f>IFERROR(__xludf.DUMMYFUNCTION("""COMPUTED_VALUE"""),113.08)</f>
        <v>113.08</v>
      </c>
    </row>
    <row r="366">
      <c r="A366" s="25">
        <v>45957.66666666667</v>
      </c>
      <c r="B366" s="17">
        <f>IFERROR(__xludf.DUMMYFUNCTION("""COMPUTED_VALUE"""),6738.44)</f>
        <v>6738.44</v>
      </c>
      <c r="C366" s="17">
        <f>IFERROR(__xludf.DUMMYFUNCTION("""COMPUTED_VALUE"""),22941.8)</f>
        <v>22941.8</v>
      </c>
      <c r="D366" s="17">
        <f>IFERROR(__xludf.DUMMYFUNCTION("""COMPUTED_VALUE"""),46734.61)</f>
        <v>46734.61</v>
      </c>
      <c r="E366" s="17">
        <f>IFERROR(__xludf.DUMMYFUNCTION("""COMPUTED_VALUE"""),2482.66)</f>
        <v>2482.66</v>
      </c>
      <c r="F366" s="26">
        <f>IFERROR(__xludf.DUMMYFUNCTION("""COMPUTED_VALUE"""),354.12)</f>
        <v>354.12</v>
      </c>
      <c r="G366" s="26">
        <f>IFERROR(__xludf.DUMMYFUNCTION("""COMPUTED_VALUE"""),221.09)</f>
        <v>221.09</v>
      </c>
      <c r="H366" s="26">
        <f>IFERROR(__xludf.DUMMYFUNCTION("""COMPUTED_VALUE"""),142.58)</f>
        <v>142.58</v>
      </c>
      <c r="I366" s="26">
        <f>IFERROR(__xludf.DUMMYFUNCTION("""COMPUTED_VALUE"""),259.58)</f>
        <v>259.58</v>
      </c>
      <c r="J366" s="26">
        <f>IFERROR(__xludf.DUMMYFUNCTION("""COMPUTED_VALUE"""),228.47)</f>
        <v>228.47</v>
      </c>
      <c r="K366" s="26">
        <f>IFERROR(__xludf.DUMMYFUNCTION("""COMPUTED_VALUE"""),106.68)</f>
        <v>106.68</v>
      </c>
      <c r="L366" s="26">
        <f>IFERROR(__xludf.DUMMYFUNCTION("""COMPUTED_VALUE"""),20.61)</f>
        <v>20.61</v>
      </c>
      <c r="M366" s="26">
        <f>IFERROR(__xludf.DUMMYFUNCTION("""COMPUTED_VALUE"""),490.16)</f>
        <v>490.16</v>
      </c>
      <c r="N366" s="26">
        <f>IFERROR(__xludf.DUMMYFUNCTION("""COMPUTED_VALUE"""),55.29)</f>
        <v>55.29</v>
      </c>
      <c r="O366" s="26">
        <f>IFERROR(__xludf.DUMMYFUNCTION("""COMPUTED_VALUE"""),150.08)</f>
        <v>150.08</v>
      </c>
      <c r="P366" s="26">
        <f>IFERROR(__xludf.DUMMYFUNCTION("""COMPUTED_VALUE"""),57.12)</f>
        <v>57.12</v>
      </c>
      <c r="Q366" s="26">
        <f>IFERROR(__xludf.DUMMYFUNCTION("""COMPUTED_VALUE"""),520.5)</f>
        <v>520.5</v>
      </c>
      <c r="R366" s="26">
        <f>IFERROR(__xludf.DUMMYFUNCTION("""COMPUTED_VALUE"""),86.3)</f>
        <v>86.3</v>
      </c>
      <c r="S366" s="26">
        <f>IFERROR(__xludf.DUMMYFUNCTION("""COMPUTED_VALUE"""),193.56)</f>
        <v>193.56</v>
      </c>
      <c r="T366" s="26">
        <f>IFERROR(__xludf.DUMMYFUNCTION("""COMPUTED_VALUE"""),156.56)</f>
        <v>156.56</v>
      </c>
      <c r="U366" s="26">
        <f>IFERROR(__xludf.DUMMYFUNCTION("""COMPUTED_VALUE"""),305.07)</f>
        <v>305.07</v>
      </c>
      <c r="V366" s="26">
        <f>IFERROR(__xludf.DUMMYFUNCTION("""COMPUTED_VALUE"""),50.96)</f>
        <v>50.96</v>
      </c>
      <c r="W366" s="26">
        <f>IFERROR(__xludf.DUMMYFUNCTION("""COMPUTED_VALUE"""),69.94)</f>
        <v>69.94</v>
      </c>
      <c r="X366" s="26">
        <f>IFERROR(__xludf.DUMMYFUNCTION("""COMPUTED_VALUE"""),100.77)</f>
        <v>100.77</v>
      </c>
      <c r="Y366" s="26">
        <f>IFERROR(__xludf.DUMMYFUNCTION("""COMPUTED_VALUE"""),175.39)</f>
        <v>175.39</v>
      </c>
      <c r="Z366" s="26">
        <f>IFERROR(__xludf.DUMMYFUNCTION("""COMPUTED_VALUE"""),100.62)</f>
        <v>100.62</v>
      </c>
      <c r="AA366" s="26">
        <f>IFERROR(__xludf.DUMMYFUNCTION("""COMPUTED_VALUE"""),421.76)</f>
        <v>421.76</v>
      </c>
      <c r="AB366" s="26">
        <f>IFERROR(__xludf.DUMMYFUNCTION("""COMPUTED_VALUE"""),95.52)</f>
        <v>95.52</v>
      </c>
      <c r="AC366" s="26">
        <f>IFERROR(__xludf.DUMMYFUNCTION("""COMPUTED_VALUE"""),115.98)</f>
        <v>115.98</v>
      </c>
      <c r="AD366" s="26">
        <f>IFERROR(__xludf.DUMMYFUNCTION("""COMPUTED_VALUE"""),238.17)</f>
        <v>238.17</v>
      </c>
      <c r="AE366" s="26">
        <f>IFERROR(__xludf.DUMMYFUNCTION("""COMPUTED_VALUE"""),402.85)</f>
        <v>402.85</v>
      </c>
      <c r="AF366" s="26">
        <f>IFERROR(__xludf.DUMMYFUNCTION("""COMPUTED_VALUE"""),341.5)</f>
        <v>341.5</v>
      </c>
      <c r="AG366" s="26">
        <f>IFERROR(__xludf.DUMMYFUNCTION("""COMPUTED_VALUE"""),66.85)</f>
        <v>66.85</v>
      </c>
      <c r="AH366" s="26">
        <f>IFERROR(__xludf.DUMMYFUNCTION("""COMPUTED_VALUE"""),120.74)</f>
        <v>120.74</v>
      </c>
      <c r="AI366" s="26">
        <f>IFERROR(__xludf.DUMMYFUNCTION("""COMPUTED_VALUE"""),750.78)</f>
        <v>750.78</v>
      </c>
      <c r="AJ366" s="26">
        <f>IFERROR(__xludf.DUMMYFUNCTION("""COMPUTED_VALUE"""),385.03)</f>
        <v>385.03</v>
      </c>
      <c r="AK366" s="26">
        <f>IFERROR(__xludf.DUMMYFUNCTION("""COMPUTED_VALUE"""),153.14)</f>
        <v>153.14</v>
      </c>
      <c r="AL366" s="26">
        <f>IFERROR(__xludf.DUMMYFUNCTION("""COMPUTED_VALUE"""),157.45)</f>
        <v>157.45</v>
      </c>
      <c r="AM366" s="26">
        <f>IFERROR(__xludf.DUMMYFUNCTION("""COMPUTED_VALUE"""),551.3)</f>
        <v>551.3</v>
      </c>
      <c r="AN366" s="26">
        <f>IFERROR(__xludf.DUMMYFUNCTION("""COMPUTED_VALUE"""),294.54)</f>
        <v>294.54</v>
      </c>
      <c r="AO366" s="26">
        <f>IFERROR(__xludf.DUMMYFUNCTION("""COMPUTED_VALUE"""),488.05)</f>
        <v>488.05</v>
      </c>
      <c r="AP366" s="26">
        <f>IFERROR(__xludf.DUMMYFUNCTION("""COMPUTED_VALUE"""),179.06)</f>
        <v>179.06</v>
      </c>
      <c r="AQ366" s="26">
        <f>IFERROR(__xludf.DUMMYFUNCTION("""COMPUTED_VALUE"""),32.2)</f>
        <v>32.2</v>
      </c>
      <c r="AR366" s="26">
        <f>IFERROR(__xludf.DUMMYFUNCTION("""COMPUTED_VALUE"""),94.21)</f>
        <v>94.21</v>
      </c>
      <c r="AS366" s="26">
        <f>IFERROR(__xludf.DUMMYFUNCTION("""COMPUTED_VALUE"""),78.17)</f>
        <v>78.17</v>
      </c>
      <c r="AT366" s="26">
        <f>IFERROR(__xludf.DUMMYFUNCTION("""COMPUTED_VALUE"""),520.56)</f>
        <v>520.56</v>
      </c>
      <c r="AU366" s="26">
        <f>IFERROR(__xludf.DUMMYFUNCTION("""COMPUTED_VALUE"""),83.25)</f>
        <v>83.25</v>
      </c>
      <c r="AV366" s="26">
        <f>IFERROR(__xludf.DUMMYFUNCTION("""COMPUTED_VALUE"""),182.16)</f>
        <v>182.16</v>
      </c>
      <c r="AW366" s="26">
        <f>IFERROR(__xludf.DUMMYFUNCTION("""COMPUTED_VALUE"""),92.97)</f>
        <v>92.97</v>
      </c>
      <c r="AX366" s="26">
        <f>IFERROR(__xludf.DUMMYFUNCTION("""COMPUTED_VALUE"""),43.23)</f>
        <v>43.23</v>
      </c>
      <c r="AY366" s="26">
        <f>IFERROR(__xludf.DUMMYFUNCTION("""COMPUTED_VALUE"""),180.48)</f>
        <v>180.48</v>
      </c>
      <c r="AZ366" s="26">
        <f>IFERROR(__xludf.DUMMYFUNCTION("""COMPUTED_VALUE"""),69.66)</f>
        <v>69.66</v>
      </c>
      <c r="BA366" s="26">
        <f>IFERROR(__xludf.DUMMYFUNCTION("""COMPUTED_VALUE"""),24.67)</f>
        <v>24.67</v>
      </c>
      <c r="BB366" s="26">
        <f>IFERROR(__xludf.DUMMYFUNCTION("""COMPUTED_VALUE"""),179.44)</f>
        <v>179.44</v>
      </c>
      <c r="BC366" s="26">
        <f>IFERROR(__xludf.DUMMYFUNCTION("""COMPUTED_VALUE"""),219.99)</f>
        <v>219.99</v>
      </c>
      <c r="BD366" s="26">
        <f>IFERROR(__xludf.DUMMYFUNCTION("""COMPUTED_VALUE"""),571.91)</f>
        <v>571.91</v>
      </c>
      <c r="BE366" s="26">
        <f>IFERROR(__xludf.DUMMYFUNCTION("""COMPUTED_VALUE"""),204.06)</f>
        <v>204.06</v>
      </c>
      <c r="BF366" s="26">
        <f>IFERROR(__xludf.DUMMYFUNCTION("""COMPUTED_VALUE"""),128.91)</f>
        <v>128.91</v>
      </c>
      <c r="BG366" s="26">
        <f>IFERROR(__xludf.DUMMYFUNCTION("""COMPUTED_VALUE"""),4.85)</f>
        <v>4.85</v>
      </c>
      <c r="BH366" s="26">
        <f>IFERROR(__xludf.DUMMYFUNCTION("""COMPUTED_VALUE"""),220.04)</f>
        <v>220.04</v>
      </c>
      <c r="BI366" s="26">
        <f>IFERROR(__xludf.DUMMYFUNCTION("""COMPUTED_VALUE"""),360.45)</f>
        <v>360.45</v>
      </c>
      <c r="BJ366" s="26">
        <f>IFERROR(__xludf.DUMMYFUNCTION("""COMPUTED_VALUE"""),50.18)</f>
        <v>50.18</v>
      </c>
      <c r="BK366" s="26">
        <f>IFERROR(__xludf.DUMMYFUNCTION("""COMPUTED_VALUE"""),10.31)</f>
        <v>10.31</v>
      </c>
      <c r="BL366" s="26">
        <f>IFERROR(__xludf.DUMMYFUNCTION("""COMPUTED_VALUE"""),216.11)</f>
        <v>216.11</v>
      </c>
      <c r="BM366" s="26">
        <f>IFERROR(__xludf.DUMMYFUNCTION("""COMPUTED_VALUE"""),113.03)</f>
        <v>113.03</v>
      </c>
    </row>
    <row r="367">
      <c r="A367" s="25">
        <v>45958.66666666667</v>
      </c>
      <c r="B367" s="17">
        <f>IFERROR(__xludf.DUMMYFUNCTION("""COMPUTED_VALUE"""),6791.69)</f>
        <v>6791.69</v>
      </c>
      <c r="C367" s="17">
        <f>IFERROR(__xludf.DUMMYFUNCTION("""COMPUTED_VALUE"""),23204.87)</f>
        <v>23204.87</v>
      </c>
      <c r="D367" s="17">
        <f>IFERROR(__xludf.DUMMYFUNCTION("""COMPUTED_VALUE"""),47207.12)</f>
        <v>47207.12</v>
      </c>
      <c r="E367" s="17">
        <f>IFERROR(__xludf.DUMMYFUNCTION("""COMPUTED_VALUE"""),2513.47)</f>
        <v>2513.47</v>
      </c>
      <c r="F367" s="26">
        <f>IFERROR(__xludf.DUMMYFUNCTION("""COMPUTED_VALUE"""),353.52)</f>
        <v>353.52</v>
      </c>
      <c r="G367" s="26">
        <f>IFERROR(__xludf.DUMMYFUNCTION("""COMPUTED_VALUE"""),224.21)</f>
        <v>224.21</v>
      </c>
      <c r="H367" s="26">
        <f>IFERROR(__xludf.DUMMYFUNCTION("""COMPUTED_VALUE"""),141.59)</f>
        <v>141.59</v>
      </c>
      <c r="I367" s="26">
        <f>IFERROR(__xludf.DUMMYFUNCTION("""COMPUTED_VALUE"""),262.82)</f>
        <v>262.82</v>
      </c>
      <c r="J367" s="26">
        <f>IFERROR(__xludf.DUMMYFUNCTION("""COMPUTED_VALUE"""),228.75)</f>
        <v>228.75</v>
      </c>
      <c r="K367" s="26">
        <f>IFERROR(__xludf.DUMMYFUNCTION("""COMPUTED_VALUE"""),107.99)</f>
        <v>107.99</v>
      </c>
      <c r="L367" s="26">
        <f>IFERROR(__xludf.DUMMYFUNCTION("""COMPUTED_VALUE"""),20.68)</f>
        <v>20.68</v>
      </c>
      <c r="M367" s="26">
        <f>IFERROR(__xludf.DUMMYFUNCTION("""COMPUTED_VALUE"""),492.1)</f>
        <v>492.1</v>
      </c>
      <c r="N367" s="26">
        <f>IFERROR(__xludf.DUMMYFUNCTION("""COMPUTED_VALUE"""),55.62)</f>
        <v>55.62</v>
      </c>
      <c r="O367" s="26">
        <f>IFERROR(__xludf.DUMMYFUNCTION("""COMPUTED_VALUE"""),149.89)</f>
        <v>149.89</v>
      </c>
      <c r="P367" s="26">
        <f>IFERROR(__xludf.DUMMYFUNCTION("""COMPUTED_VALUE"""),57.84)</f>
        <v>57.84</v>
      </c>
      <c r="Q367" s="26">
        <f>IFERROR(__xludf.DUMMYFUNCTION("""COMPUTED_VALUE"""),522.73)</f>
        <v>522.73</v>
      </c>
      <c r="R367" s="26">
        <f>IFERROR(__xludf.DUMMYFUNCTION("""COMPUTED_VALUE"""),88.13)</f>
        <v>88.13</v>
      </c>
      <c r="S367" s="26">
        <f>IFERROR(__xludf.DUMMYFUNCTION("""COMPUTED_VALUE"""),192.0)</f>
        <v>192</v>
      </c>
      <c r="T367" s="26">
        <f>IFERROR(__xludf.DUMMYFUNCTION("""COMPUTED_VALUE"""),155.56)</f>
        <v>155.56</v>
      </c>
      <c r="U367" s="26">
        <f>IFERROR(__xludf.DUMMYFUNCTION("""COMPUTED_VALUE"""),301.78)</f>
        <v>301.78</v>
      </c>
      <c r="V367" s="26">
        <f>IFERROR(__xludf.DUMMYFUNCTION("""COMPUTED_VALUE"""),52.18)</f>
        <v>52.18</v>
      </c>
      <c r="W367" s="26">
        <f>IFERROR(__xludf.DUMMYFUNCTION("""COMPUTED_VALUE"""),69.71)</f>
        <v>69.71</v>
      </c>
      <c r="X367" s="26">
        <f>IFERROR(__xludf.DUMMYFUNCTION("""COMPUTED_VALUE"""),100.04)</f>
        <v>100.04</v>
      </c>
      <c r="Y367" s="26">
        <f>IFERROR(__xludf.DUMMYFUNCTION("""COMPUTED_VALUE"""),179.28)</f>
        <v>179.28</v>
      </c>
      <c r="Z367" s="26">
        <f>IFERROR(__xludf.DUMMYFUNCTION("""COMPUTED_VALUE"""),99.05)</f>
        <v>99.05</v>
      </c>
      <c r="AA367" s="26">
        <f>IFERROR(__xludf.DUMMYFUNCTION("""COMPUTED_VALUE"""),414.86)</f>
        <v>414.86</v>
      </c>
      <c r="AB367" s="26">
        <f>IFERROR(__xludf.DUMMYFUNCTION("""COMPUTED_VALUE"""),97.2)</f>
        <v>97.2</v>
      </c>
      <c r="AC367" s="26">
        <f>IFERROR(__xludf.DUMMYFUNCTION("""COMPUTED_VALUE"""),115.39)</f>
        <v>115.39</v>
      </c>
      <c r="AD367" s="26">
        <f>IFERROR(__xludf.DUMMYFUNCTION("""COMPUTED_VALUE"""),241.15)</f>
        <v>241.15</v>
      </c>
      <c r="AE367" s="26">
        <f>IFERROR(__xludf.DUMMYFUNCTION("""COMPUTED_VALUE"""),408.31)</f>
        <v>408.31</v>
      </c>
      <c r="AF367" s="26">
        <f>IFERROR(__xludf.DUMMYFUNCTION("""COMPUTED_VALUE"""),350.77)</f>
        <v>350.77</v>
      </c>
      <c r="AG367" s="26">
        <f>IFERROR(__xludf.DUMMYFUNCTION("""COMPUTED_VALUE"""),69.66)</f>
        <v>69.66</v>
      </c>
      <c r="AH367" s="26">
        <f>IFERROR(__xludf.DUMMYFUNCTION("""COMPUTED_VALUE"""),120.94)</f>
        <v>120.94</v>
      </c>
      <c r="AI367" s="26">
        <f>IFERROR(__xludf.DUMMYFUNCTION("""COMPUTED_VALUE"""),783.88)</f>
        <v>783.88</v>
      </c>
      <c r="AJ367" s="26">
        <f>IFERROR(__xludf.DUMMYFUNCTION("""COMPUTED_VALUE"""),386.68)</f>
        <v>386.68</v>
      </c>
      <c r="AK367" s="26">
        <f>IFERROR(__xludf.DUMMYFUNCTION("""COMPUTED_VALUE"""),153.07)</f>
        <v>153.07</v>
      </c>
      <c r="AL367" s="26">
        <f>IFERROR(__xludf.DUMMYFUNCTION("""COMPUTED_VALUE"""),157.65)</f>
        <v>157.65</v>
      </c>
      <c r="AM367" s="26">
        <f>IFERROR(__xludf.DUMMYFUNCTION("""COMPUTED_VALUE"""),546.51)</f>
        <v>546.51</v>
      </c>
      <c r="AN367" s="26">
        <f>IFERROR(__xludf.DUMMYFUNCTION("""COMPUTED_VALUE"""),300.44)</f>
        <v>300.44</v>
      </c>
      <c r="AO367" s="26">
        <f>IFERROR(__xludf.DUMMYFUNCTION("""COMPUTED_VALUE"""),485.41)</f>
        <v>485.41</v>
      </c>
      <c r="AP367" s="26">
        <f>IFERROR(__xludf.DUMMYFUNCTION("""COMPUTED_VALUE"""),178.17)</f>
        <v>178.17</v>
      </c>
      <c r="AQ367" s="26">
        <f>IFERROR(__xludf.DUMMYFUNCTION("""COMPUTED_VALUE"""),32.59)</f>
        <v>32.59</v>
      </c>
      <c r="AR367" s="26">
        <f>IFERROR(__xludf.DUMMYFUNCTION("""COMPUTED_VALUE"""),93.67)</f>
        <v>93.67</v>
      </c>
      <c r="AS367" s="26">
        <f>IFERROR(__xludf.DUMMYFUNCTION("""COMPUTED_VALUE"""),78.68)</f>
        <v>78.68</v>
      </c>
      <c r="AT367" s="26">
        <f>IFERROR(__xludf.DUMMYFUNCTION("""COMPUTED_VALUE"""),523.61)</f>
        <v>523.61</v>
      </c>
      <c r="AU367" s="26">
        <f>IFERROR(__xludf.DUMMYFUNCTION("""COMPUTED_VALUE"""),84.41)</f>
        <v>84.41</v>
      </c>
      <c r="AV367" s="26">
        <f>IFERROR(__xludf.DUMMYFUNCTION("""COMPUTED_VALUE"""),186.26)</f>
        <v>186.26</v>
      </c>
      <c r="AW367" s="26">
        <f>IFERROR(__xludf.DUMMYFUNCTION("""COMPUTED_VALUE"""),91.95)</f>
        <v>91.95</v>
      </c>
      <c r="AX367" s="26">
        <f>IFERROR(__xludf.DUMMYFUNCTION("""COMPUTED_VALUE"""),41.7)</f>
        <v>41.7</v>
      </c>
      <c r="AY367" s="26">
        <f>IFERROR(__xludf.DUMMYFUNCTION("""COMPUTED_VALUE"""),184.63)</f>
        <v>184.63</v>
      </c>
      <c r="AZ367" s="26">
        <f>IFERROR(__xludf.DUMMYFUNCTION("""COMPUTED_VALUE"""),69.77)</f>
        <v>69.77</v>
      </c>
      <c r="BA367" s="26">
        <f>IFERROR(__xludf.DUMMYFUNCTION("""COMPUTED_VALUE"""),24.76)</f>
        <v>24.76</v>
      </c>
      <c r="BB367" s="26">
        <f>IFERROR(__xludf.DUMMYFUNCTION("""COMPUTED_VALUE"""),178.65)</f>
        <v>178.65</v>
      </c>
      <c r="BC367" s="26">
        <f>IFERROR(__xludf.DUMMYFUNCTION("""COMPUTED_VALUE"""),217.77)</f>
        <v>217.77</v>
      </c>
      <c r="BD367" s="26">
        <f>IFERROR(__xludf.DUMMYFUNCTION("""COMPUTED_VALUE"""),572.5)</f>
        <v>572.5</v>
      </c>
      <c r="BE367" s="26">
        <f>IFERROR(__xludf.DUMMYFUNCTION("""COMPUTED_VALUE"""),205.37)</f>
        <v>205.37</v>
      </c>
      <c r="BF367" s="26">
        <f>IFERROR(__xludf.DUMMYFUNCTION("""COMPUTED_VALUE"""),130.52)</f>
        <v>130.52</v>
      </c>
      <c r="BG367" s="26">
        <f>IFERROR(__xludf.DUMMYFUNCTION("""COMPUTED_VALUE"""),4.81)</f>
        <v>4.81</v>
      </c>
      <c r="BH367" s="26">
        <f>IFERROR(__xludf.DUMMYFUNCTION("""COMPUTED_VALUE"""),216.61)</f>
        <v>216.61</v>
      </c>
      <c r="BI367" s="26">
        <f>IFERROR(__xludf.DUMMYFUNCTION("""COMPUTED_VALUE"""),362.5)</f>
        <v>362.5</v>
      </c>
      <c r="BJ367" s="26">
        <f>IFERROR(__xludf.DUMMYFUNCTION("""COMPUTED_VALUE"""),50.18)</f>
        <v>50.18</v>
      </c>
      <c r="BK367" s="26">
        <f>IFERROR(__xludf.DUMMYFUNCTION("""COMPUTED_VALUE"""),10.35)</f>
        <v>10.35</v>
      </c>
      <c r="BL367" s="26">
        <f>IFERROR(__xludf.DUMMYFUNCTION("""COMPUTED_VALUE"""),214.66)</f>
        <v>214.66</v>
      </c>
      <c r="BM367" s="26">
        <f>IFERROR(__xludf.DUMMYFUNCTION("""COMPUTED_VALUE"""),111.68)</f>
        <v>111.68</v>
      </c>
    </row>
    <row r="368">
      <c r="A368" s="25">
        <v>45959.66666666667</v>
      </c>
      <c r="B368" s="17">
        <f>IFERROR(__xludf.DUMMYFUNCTION("""COMPUTED_VALUE"""),6875.16)</f>
        <v>6875.16</v>
      </c>
      <c r="C368" s="17">
        <f>IFERROR(__xludf.DUMMYFUNCTION("""COMPUTED_VALUE"""),23637.46)</f>
        <v>23637.46</v>
      </c>
      <c r="D368" s="17">
        <f>IFERROR(__xludf.DUMMYFUNCTION("""COMPUTED_VALUE"""),47544.59)</f>
        <v>47544.59</v>
      </c>
      <c r="E368" s="17">
        <f>IFERROR(__xludf.DUMMYFUNCTION("""COMPUTED_VALUE"""),2520.44)</f>
        <v>2520.44</v>
      </c>
      <c r="F368" s="26">
        <f>IFERROR(__xludf.DUMMYFUNCTION("""COMPUTED_VALUE"""),357.8)</f>
        <v>357.8</v>
      </c>
      <c r="G368" s="26">
        <f>IFERROR(__xludf.DUMMYFUNCTION("""COMPUTED_VALUE"""),226.97)</f>
        <v>226.97</v>
      </c>
      <c r="H368" s="26">
        <f>IFERROR(__xludf.DUMMYFUNCTION("""COMPUTED_VALUE"""),137.99)</f>
        <v>137.99</v>
      </c>
      <c r="I368" s="26">
        <f>IFERROR(__xludf.DUMMYFUNCTION("""COMPUTED_VALUE"""),268.81)</f>
        <v>268.81</v>
      </c>
      <c r="J368" s="26">
        <f>IFERROR(__xludf.DUMMYFUNCTION("""COMPUTED_VALUE"""),231.33)</f>
        <v>231.33</v>
      </c>
      <c r="K368" s="26">
        <f>IFERROR(__xludf.DUMMYFUNCTION("""COMPUTED_VALUE"""),107.58)</f>
        <v>107.58</v>
      </c>
      <c r="L368" s="26">
        <f>IFERROR(__xludf.DUMMYFUNCTION("""COMPUTED_VALUE"""),21.27)</f>
        <v>21.27</v>
      </c>
      <c r="M368" s="26">
        <f>IFERROR(__xludf.DUMMYFUNCTION("""COMPUTED_VALUE"""),488.07)</f>
        <v>488.07</v>
      </c>
      <c r="N368" s="26">
        <f>IFERROR(__xludf.DUMMYFUNCTION("""COMPUTED_VALUE"""),56.38)</f>
        <v>56.38</v>
      </c>
      <c r="O368" s="26">
        <f>IFERROR(__xludf.DUMMYFUNCTION("""COMPUTED_VALUE"""),150.43)</f>
        <v>150.43</v>
      </c>
      <c r="P368" s="26">
        <f>IFERROR(__xludf.DUMMYFUNCTION("""COMPUTED_VALUE"""),58.29)</f>
        <v>58.29</v>
      </c>
      <c r="Q368" s="26">
        <f>IFERROR(__xludf.DUMMYFUNCTION("""COMPUTED_VALUE"""),527.07)</f>
        <v>527.07</v>
      </c>
      <c r="R368" s="26">
        <f>IFERROR(__xludf.DUMMYFUNCTION("""COMPUTED_VALUE"""),86.62)</f>
        <v>86.62</v>
      </c>
      <c r="S368" s="26">
        <f>IFERROR(__xludf.DUMMYFUNCTION("""COMPUTED_VALUE"""),191.72)</f>
        <v>191.72</v>
      </c>
      <c r="T368" s="26">
        <f>IFERROR(__xludf.DUMMYFUNCTION("""COMPUTED_VALUE"""),155.28)</f>
        <v>155.28</v>
      </c>
      <c r="U368" s="26">
        <f>IFERROR(__xludf.DUMMYFUNCTION("""COMPUTED_VALUE"""),309.18)</f>
        <v>309.18</v>
      </c>
      <c r="V368" s="26">
        <f>IFERROR(__xludf.DUMMYFUNCTION("""COMPUTED_VALUE"""),51.91)</f>
        <v>51.91</v>
      </c>
      <c r="W368" s="26">
        <f>IFERROR(__xludf.DUMMYFUNCTION("""COMPUTED_VALUE"""),70.06)</f>
        <v>70.06</v>
      </c>
      <c r="X368" s="26">
        <f>IFERROR(__xludf.DUMMYFUNCTION("""COMPUTED_VALUE"""),100.22)</f>
        <v>100.22</v>
      </c>
      <c r="Y368" s="26">
        <f>IFERROR(__xludf.DUMMYFUNCTION("""COMPUTED_VALUE"""),178.14)</f>
        <v>178.14</v>
      </c>
      <c r="Z368" s="26">
        <f>IFERROR(__xludf.DUMMYFUNCTION("""COMPUTED_VALUE"""),102.59)</f>
        <v>102.59</v>
      </c>
      <c r="AA368" s="26">
        <f>IFERROR(__xludf.DUMMYFUNCTION("""COMPUTED_VALUE"""),412.7)</f>
        <v>412.7</v>
      </c>
      <c r="AB368" s="26">
        <f>IFERROR(__xludf.DUMMYFUNCTION("""COMPUTED_VALUE"""),98.01)</f>
        <v>98.01</v>
      </c>
      <c r="AC368" s="26">
        <f>IFERROR(__xludf.DUMMYFUNCTION("""COMPUTED_VALUE"""),115.94)</f>
        <v>115.94</v>
      </c>
      <c r="AD368" s="26">
        <f>IFERROR(__xludf.DUMMYFUNCTION("""COMPUTED_VALUE"""),247.34)</f>
        <v>247.34</v>
      </c>
      <c r="AE368" s="26">
        <f>IFERROR(__xludf.DUMMYFUNCTION("""COMPUTED_VALUE"""),407.46)</f>
        <v>407.46</v>
      </c>
      <c r="AF368" s="26">
        <f>IFERROR(__xludf.DUMMYFUNCTION("""COMPUTED_VALUE"""),353.77)</f>
        <v>353.77</v>
      </c>
      <c r="AG368" s="26">
        <f>IFERROR(__xludf.DUMMYFUNCTION("""COMPUTED_VALUE"""),69.38)</f>
        <v>69.38</v>
      </c>
      <c r="AH368" s="26">
        <f>IFERROR(__xludf.DUMMYFUNCTION("""COMPUTED_VALUE"""),120.47)</f>
        <v>120.47</v>
      </c>
      <c r="AI368" s="26">
        <f>IFERROR(__xludf.DUMMYFUNCTION("""COMPUTED_VALUE"""),789.99)</f>
        <v>789.99</v>
      </c>
      <c r="AJ368" s="26">
        <f>IFERROR(__xludf.DUMMYFUNCTION("""COMPUTED_VALUE"""),385.27)</f>
        <v>385.27</v>
      </c>
      <c r="AK368" s="26">
        <f>IFERROR(__xludf.DUMMYFUNCTION("""COMPUTED_VALUE"""),153.64)</f>
        <v>153.64</v>
      </c>
      <c r="AL368" s="26">
        <f>IFERROR(__xludf.DUMMYFUNCTION("""COMPUTED_VALUE"""),159.84)</f>
        <v>159.84</v>
      </c>
      <c r="AM368" s="26">
        <f>IFERROR(__xludf.DUMMYFUNCTION("""COMPUTED_VALUE"""),551.25)</f>
        <v>551.25</v>
      </c>
      <c r="AN368" s="26">
        <f>IFERROR(__xludf.DUMMYFUNCTION("""COMPUTED_VALUE"""),304.15)</f>
        <v>304.15</v>
      </c>
      <c r="AO368" s="26">
        <f>IFERROR(__xludf.DUMMYFUNCTION("""COMPUTED_VALUE"""),486.91)</f>
        <v>486.91</v>
      </c>
      <c r="AP368" s="26">
        <f>IFERROR(__xludf.DUMMYFUNCTION("""COMPUTED_VALUE"""),181.39)</f>
        <v>181.39</v>
      </c>
      <c r="AQ368" s="26">
        <f>IFERROR(__xludf.DUMMYFUNCTION("""COMPUTED_VALUE"""),32.89)</f>
        <v>32.89</v>
      </c>
      <c r="AR368" s="26">
        <f>IFERROR(__xludf.DUMMYFUNCTION("""COMPUTED_VALUE"""),94.13)</f>
        <v>94.13</v>
      </c>
      <c r="AS368" s="26">
        <f>IFERROR(__xludf.DUMMYFUNCTION("""COMPUTED_VALUE"""),78.87)</f>
        <v>78.87</v>
      </c>
      <c r="AT368" s="26">
        <f>IFERROR(__xludf.DUMMYFUNCTION("""COMPUTED_VALUE"""),531.52)</f>
        <v>531.52</v>
      </c>
      <c r="AU368" s="26">
        <f>IFERROR(__xludf.DUMMYFUNCTION("""COMPUTED_VALUE"""),86.03)</f>
        <v>86.03</v>
      </c>
      <c r="AV368" s="26">
        <f>IFERROR(__xludf.DUMMYFUNCTION("""COMPUTED_VALUE"""),191.49)</f>
        <v>191.49</v>
      </c>
      <c r="AW368" s="26">
        <f>IFERROR(__xludf.DUMMYFUNCTION("""COMPUTED_VALUE"""),92.05)</f>
        <v>92.05</v>
      </c>
      <c r="AX368" s="26">
        <f>IFERROR(__xludf.DUMMYFUNCTION("""COMPUTED_VALUE"""),42.21)</f>
        <v>42.21</v>
      </c>
      <c r="AY368" s="26">
        <f>IFERROR(__xludf.DUMMYFUNCTION("""COMPUTED_VALUE"""),189.18)</f>
        <v>189.18</v>
      </c>
      <c r="AZ368" s="26">
        <f>IFERROR(__xludf.DUMMYFUNCTION("""COMPUTED_VALUE"""),70.25)</f>
        <v>70.25</v>
      </c>
      <c r="BA368" s="26">
        <f>IFERROR(__xludf.DUMMYFUNCTION("""COMPUTED_VALUE"""),24.77)</f>
        <v>24.77</v>
      </c>
      <c r="BB368" s="26">
        <f>IFERROR(__xludf.DUMMYFUNCTION("""COMPUTED_VALUE"""),179.24)</f>
        <v>179.24</v>
      </c>
      <c r="BC368" s="26">
        <f>IFERROR(__xludf.DUMMYFUNCTION("""COMPUTED_VALUE"""),220.68)</f>
        <v>220.68</v>
      </c>
      <c r="BD368" s="26">
        <f>IFERROR(__xludf.DUMMYFUNCTION("""COMPUTED_VALUE"""),563.78)</f>
        <v>563.78</v>
      </c>
      <c r="BE368" s="26">
        <f>IFERROR(__xludf.DUMMYFUNCTION("""COMPUTED_VALUE"""),209.22)</f>
        <v>209.22</v>
      </c>
      <c r="BF368" s="26">
        <f>IFERROR(__xludf.DUMMYFUNCTION("""COMPUTED_VALUE"""),132.45)</f>
        <v>132.45</v>
      </c>
      <c r="BG368" s="26">
        <f>IFERROR(__xludf.DUMMYFUNCTION("""COMPUTED_VALUE"""),4.85)</f>
        <v>4.85</v>
      </c>
      <c r="BH368" s="26">
        <f>IFERROR(__xludf.DUMMYFUNCTION("""COMPUTED_VALUE"""),218.23)</f>
        <v>218.23</v>
      </c>
      <c r="BI368" s="26">
        <f>IFERROR(__xludf.DUMMYFUNCTION("""COMPUTED_VALUE"""),365.98)</f>
        <v>365.98</v>
      </c>
      <c r="BJ368" s="26">
        <f>IFERROR(__xludf.DUMMYFUNCTION("""COMPUTED_VALUE"""),50.14)</f>
        <v>50.14</v>
      </c>
      <c r="BK368" s="26">
        <f>IFERROR(__xludf.DUMMYFUNCTION("""COMPUTED_VALUE"""),10.42)</f>
        <v>10.42</v>
      </c>
      <c r="BL368" s="26">
        <f>IFERROR(__xludf.DUMMYFUNCTION("""COMPUTED_VALUE"""),213.77)</f>
        <v>213.77</v>
      </c>
      <c r="BM368" s="26">
        <f>IFERROR(__xludf.DUMMYFUNCTION("""COMPUTED_VALUE"""),112.34)</f>
        <v>112.34</v>
      </c>
    </row>
    <row r="369">
      <c r="A369" s="25">
        <v>45960.66666666667</v>
      </c>
      <c r="B369" s="17">
        <f>IFERROR(__xludf.DUMMYFUNCTION("""COMPUTED_VALUE"""),6890.89)</f>
        <v>6890.89</v>
      </c>
      <c r="C369" s="17">
        <f>IFERROR(__xludf.DUMMYFUNCTION("""COMPUTED_VALUE"""),23827.49)</f>
        <v>23827.49</v>
      </c>
      <c r="D369" s="17">
        <f>IFERROR(__xludf.DUMMYFUNCTION("""COMPUTED_VALUE"""),47706.37)</f>
        <v>47706.37</v>
      </c>
      <c r="E369" s="17">
        <f>IFERROR(__xludf.DUMMYFUNCTION("""COMPUTED_VALUE"""),2506.65)</f>
        <v>2506.65</v>
      </c>
      <c r="F369" s="26">
        <f>IFERROR(__xludf.DUMMYFUNCTION("""COMPUTED_VALUE"""),359.91)</f>
        <v>359.91</v>
      </c>
      <c r="G369" s="26">
        <f>IFERROR(__xludf.DUMMYFUNCTION("""COMPUTED_VALUE"""),229.25)</f>
        <v>229.25</v>
      </c>
      <c r="H369" s="26">
        <f>IFERROR(__xludf.DUMMYFUNCTION("""COMPUTED_VALUE"""),134.81)</f>
        <v>134.81</v>
      </c>
      <c r="I369" s="26">
        <f>IFERROR(__xludf.DUMMYFUNCTION("""COMPUTED_VALUE"""),269.0)</f>
        <v>269</v>
      </c>
      <c r="J369" s="26">
        <f>IFERROR(__xludf.DUMMYFUNCTION("""COMPUTED_VALUE"""),227.64)</f>
        <v>227.64</v>
      </c>
      <c r="K369" s="26">
        <f>IFERROR(__xludf.DUMMYFUNCTION("""COMPUTED_VALUE"""),108.45)</f>
        <v>108.45</v>
      </c>
      <c r="L369" s="26">
        <f>IFERROR(__xludf.DUMMYFUNCTION("""COMPUTED_VALUE"""),21.57)</f>
        <v>21.57</v>
      </c>
      <c r="M369" s="26">
        <f>IFERROR(__xludf.DUMMYFUNCTION("""COMPUTED_VALUE"""),481.44)</f>
        <v>481.44</v>
      </c>
      <c r="N369" s="26">
        <f>IFERROR(__xludf.DUMMYFUNCTION("""COMPUTED_VALUE"""),57.13)</f>
        <v>57.13</v>
      </c>
      <c r="O369" s="26">
        <f>IFERROR(__xludf.DUMMYFUNCTION("""COMPUTED_VALUE"""),149.13)</f>
        <v>149.13</v>
      </c>
      <c r="P369" s="26">
        <f>IFERROR(__xludf.DUMMYFUNCTION("""COMPUTED_VALUE"""),58.74)</f>
        <v>58.74</v>
      </c>
      <c r="Q369" s="26">
        <f>IFERROR(__xludf.DUMMYFUNCTION("""COMPUTED_VALUE"""),524.47)</f>
        <v>524.47</v>
      </c>
      <c r="R369" s="26">
        <f>IFERROR(__xludf.DUMMYFUNCTION("""COMPUTED_VALUE"""),106.91)</f>
        <v>106.91</v>
      </c>
      <c r="S369" s="26">
        <f>IFERROR(__xludf.DUMMYFUNCTION("""COMPUTED_VALUE"""),203.56)</f>
        <v>203.56</v>
      </c>
      <c r="T369" s="26">
        <f>IFERROR(__xludf.DUMMYFUNCTION("""COMPUTED_VALUE"""),154.13)</f>
        <v>154.13</v>
      </c>
      <c r="U369" s="26">
        <f>IFERROR(__xludf.DUMMYFUNCTION("""COMPUTED_VALUE"""),308.41)</f>
        <v>308.41</v>
      </c>
      <c r="V369" s="26">
        <f>IFERROR(__xludf.DUMMYFUNCTION("""COMPUTED_VALUE"""),51.33)</f>
        <v>51.33</v>
      </c>
      <c r="W369" s="26">
        <f>IFERROR(__xludf.DUMMYFUNCTION("""COMPUTED_VALUE"""),70.16)</f>
        <v>70.16</v>
      </c>
      <c r="X369" s="26">
        <f>IFERROR(__xludf.DUMMYFUNCTION("""COMPUTED_VALUE"""),98.55)</f>
        <v>98.55</v>
      </c>
      <c r="Y369" s="26">
        <f>IFERROR(__xludf.DUMMYFUNCTION("""COMPUTED_VALUE"""),174.06)</f>
        <v>174.06</v>
      </c>
      <c r="Z369" s="26">
        <f>IFERROR(__xludf.DUMMYFUNCTION("""COMPUTED_VALUE"""),102.7)</f>
        <v>102.7</v>
      </c>
      <c r="AA369" s="26">
        <f>IFERROR(__xludf.DUMMYFUNCTION("""COMPUTED_VALUE"""),410.97)</f>
        <v>410.97</v>
      </c>
      <c r="AB369" s="26">
        <f>IFERROR(__xludf.DUMMYFUNCTION("""COMPUTED_VALUE"""),99.58)</f>
        <v>99.58</v>
      </c>
      <c r="AC369" s="26">
        <f>IFERROR(__xludf.DUMMYFUNCTION("""COMPUTED_VALUE"""),115.03)</f>
        <v>115.03</v>
      </c>
      <c r="AD369" s="26">
        <f>IFERROR(__xludf.DUMMYFUNCTION("""COMPUTED_VALUE"""),249.55)</f>
        <v>249.55</v>
      </c>
      <c r="AE369" s="26">
        <f>IFERROR(__xludf.DUMMYFUNCTION("""COMPUTED_VALUE"""),402.27)</f>
        <v>402.27</v>
      </c>
      <c r="AF369" s="26">
        <f>IFERROR(__xludf.DUMMYFUNCTION("""COMPUTED_VALUE"""),346.68)</f>
        <v>346.68</v>
      </c>
      <c r="AG369" s="26">
        <f>IFERROR(__xludf.DUMMYFUNCTION("""COMPUTED_VALUE"""),69.87)</f>
        <v>69.87</v>
      </c>
      <c r="AH369" s="26">
        <f>IFERROR(__xludf.DUMMYFUNCTION("""COMPUTED_VALUE"""),117.88)</f>
        <v>117.88</v>
      </c>
      <c r="AI369" s="26">
        <f>IFERROR(__xludf.DUMMYFUNCTION("""COMPUTED_VALUE"""),792.09)</f>
        <v>792.09</v>
      </c>
      <c r="AJ369" s="26">
        <f>IFERROR(__xludf.DUMMYFUNCTION("""COMPUTED_VALUE"""),385.75)</f>
        <v>385.75</v>
      </c>
      <c r="AK369" s="26">
        <f>IFERROR(__xludf.DUMMYFUNCTION("""COMPUTED_VALUE"""),152.48)</f>
        <v>152.48</v>
      </c>
      <c r="AL369" s="26">
        <f>IFERROR(__xludf.DUMMYFUNCTION("""COMPUTED_VALUE"""),157.27)</f>
        <v>157.27</v>
      </c>
      <c r="AM369" s="26">
        <f>IFERROR(__xludf.DUMMYFUNCTION("""COMPUTED_VALUE"""),545.39)</f>
        <v>545.39</v>
      </c>
      <c r="AN369" s="26">
        <f>IFERROR(__xludf.DUMMYFUNCTION("""COMPUTED_VALUE"""),305.36)</f>
        <v>305.36</v>
      </c>
      <c r="AO369" s="26">
        <f>IFERROR(__xludf.DUMMYFUNCTION("""COMPUTED_VALUE"""),485.77)</f>
        <v>485.77</v>
      </c>
      <c r="AP369" s="26">
        <f>IFERROR(__xludf.DUMMYFUNCTION("""COMPUTED_VALUE"""),179.98)</f>
        <v>179.98</v>
      </c>
      <c r="AQ369" s="26">
        <f>IFERROR(__xludf.DUMMYFUNCTION("""COMPUTED_VALUE"""),32.84)</f>
        <v>32.84</v>
      </c>
      <c r="AR369" s="26">
        <f>IFERROR(__xludf.DUMMYFUNCTION("""COMPUTED_VALUE"""),93.23)</f>
        <v>93.23</v>
      </c>
      <c r="AS369" s="26">
        <f>IFERROR(__xludf.DUMMYFUNCTION("""COMPUTED_VALUE"""),78.75)</f>
        <v>78.75</v>
      </c>
      <c r="AT369" s="26">
        <f>IFERROR(__xludf.DUMMYFUNCTION("""COMPUTED_VALUE"""),542.07)</f>
        <v>542.07</v>
      </c>
      <c r="AU369" s="26">
        <f>IFERROR(__xludf.DUMMYFUNCTION("""COMPUTED_VALUE"""),83.57)</f>
        <v>83.57</v>
      </c>
      <c r="AV369" s="26">
        <f>IFERROR(__xludf.DUMMYFUNCTION("""COMPUTED_VALUE"""),201.03)</f>
        <v>201.03</v>
      </c>
      <c r="AW369" s="26">
        <f>IFERROR(__xludf.DUMMYFUNCTION("""COMPUTED_VALUE"""),91.3)</f>
        <v>91.3</v>
      </c>
      <c r="AX369" s="26">
        <f>IFERROR(__xludf.DUMMYFUNCTION("""COMPUTED_VALUE"""),41.17)</f>
        <v>41.17</v>
      </c>
      <c r="AY369" s="26">
        <f>IFERROR(__xludf.DUMMYFUNCTION("""COMPUTED_VALUE"""),189.6)</f>
        <v>189.6</v>
      </c>
      <c r="AZ369" s="26">
        <f>IFERROR(__xludf.DUMMYFUNCTION("""COMPUTED_VALUE"""),73.02)</f>
        <v>73.02</v>
      </c>
      <c r="BA369" s="26">
        <f>IFERROR(__xludf.DUMMYFUNCTION("""COMPUTED_VALUE"""),24.5)</f>
        <v>24.5</v>
      </c>
      <c r="BB369" s="26">
        <f>IFERROR(__xludf.DUMMYFUNCTION("""COMPUTED_VALUE"""),178.67)</f>
        <v>178.67</v>
      </c>
      <c r="BC369" s="26">
        <f>IFERROR(__xludf.DUMMYFUNCTION("""COMPUTED_VALUE"""),219.99)</f>
        <v>219.99</v>
      </c>
      <c r="BD369" s="26">
        <f>IFERROR(__xludf.DUMMYFUNCTION("""COMPUTED_VALUE"""),557.63)</f>
        <v>557.63</v>
      </c>
      <c r="BE369" s="26">
        <f>IFERROR(__xludf.DUMMYFUNCTION("""COMPUTED_VALUE"""),211.24)</f>
        <v>211.24</v>
      </c>
      <c r="BF369" s="26">
        <f>IFERROR(__xludf.DUMMYFUNCTION("""COMPUTED_VALUE"""),129.71)</f>
        <v>129.71</v>
      </c>
      <c r="BG369" s="26">
        <f>IFERROR(__xludf.DUMMYFUNCTION("""COMPUTED_VALUE"""),4.72)</f>
        <v>4.72</v>
      </c>
      <c r="BH369" s="26">
        <f>IFERROR(__xludf.DUMMYFUNCTION("""COMPUTED_VALUE"""),217.59)</f>
        <v>217.59</v>
      </c>
      <c r="BI369" s="26">
        <f>IFERROR(__xludf.DUMMYFUNCTION("""COMPUTED_VALUE"""),367.84)</f>
        <v>367.84</v>
      </c>
      <c r="BJ369" s="26">
        <f>IFERROR(__xludf.DUMMYFUNCTION("""COMPUTED_VALUE"""),50.12)</f>
        <v>50.12</v>
      </c>
      <c r="BK369" s="26">
        <f>IFERROR(__xludf.DUMMYFUNCTION("""COMPUTED_VALUE"""),10.29)</f>
        <v>10.29</v>
      </c>
      <c r="BL369" s="26">
        <f>IFERROR(__xludf.DUMMYFUNCTION("""COMPUTED_VALUE"""),204.23)</f>
        <v>204.23</v>
      </c>
      <c r="BM369" s="26">
        <f>IFERROR(__xludf.DUMMYFUNCTION("""COMPUTED_VALUE"""),111.65)</f>
        <v>111.65</v>
      </c>
    </row>
    <row r="370">
      <c r="A370" s="25">
        <v>45961.66666666667</v>
      </c>
      <c r="B370" s="17">
        <f>IFERROR(__xludf.DUMMYFUNCTION("""COMPUTED_VALUE"""),6890.59)</f>
        <v>6890.59</v>
      </c>
      <c r="C370" s="17">
        <f>IFERROR(__xludf.DUMMYFUNCTION("""COMPUTED_VALUE"""),23958.47)</f>
        <v>23958.47</v>
      </c>
      <c r="D370" s="17">
        <f>IFERROR(__xludf.DUMMYFUNCTION("""COMPUTED_VALUE"""),47632.0)</f>
        <v>47632</v>
      </c>
      <c r="E370" s="17">
        <f>IFERROR(__xludf.DUMMYFUNCTION("""COMPUTED_VALUE"""),2484.81)</f>
        <v>2484.81</v>
      </c>
      <c r="F370" s="26">
        <f>IFERROR(__xludf.DUMMYFUNCTION("""COMPUTED_VALUE"""),337.86)</f>
        <v>337.86</v>
      </c>
      <c r="G370" s="26">
        <f>IFERROR(__xludf.DUMMYFUNCTION("""COMPUTED_VALUE"""),230.3)</f>
        <v>230.3</v>
      </c>
      <c r="H370" s="26">
        <f>IFERROR(__xludf.DUMMYFUNCTION("""COMPUTED_VALUE"""),130.06)</f>
        <v>130.06</v>
      </c>
      <c r="I370" s="26">
        <f>IFERROR(__xludf.DUMMYFUNCTION("""COMPUTED_VALUE"""),269.7)</f>
        <v>269.7</v>
      </c>
      <c r="J370" s="26">
        <f>IFERROR(__xludf.DUMMYFUNCTION("""COMPUTED_VALUE"""),235.75)</f>
        <v>235.75</v>
      </c>
      <c r="K370" s="26">
        <f>IFERROR(__xludf.DUMMYFUNCTION("""COMPUTED_VALUE"""),107.05)</f>
        <v>107.05</v>
      </c>
      <c r="L370" s="26">
        <f>IFERROR(__xludf.DUMMYFUNCTION("""COMPUTED_VALUE"""),21.36)</f>
        <v>21.36</v>
      </c>
      <c r="M370" s="26">
        <f>IFERROR(__xludf.DUMMYFUNCTION("""COMPUTED_VALUE"""),475.76)</f>
        <v>475.76</v>
      </c>
      <c r="N370" s="26">
        <f>IFERROR(__xludf.DUMMYFUNCTION("""COMPUTED_VALUE"""),57.96)</f>
        <v>57.96</v>
      </c>
      <c r="O370" s="26">
        <f>IFERROR(__xludf.DUMMYFUNCTION("""COMPUTED_VALUE"""),147.86)</f>
        <v>147.86</v>
      </c>
      <c r="P370" s="26">
        <f>IFERROR(__xludf.DUMMYFUNCTION("""COMPUTED_VALUE"""),60.75)</f>
        <v>60.75</v>
      </c>
      <c r="Q370" s="26">
        <f>IFERROR(__xludf.DUMMYFUNCTION("""COMPUTED_VALUE"""),585.49)</f>
        <v>585.49</v>
      </c>
      <c r="R370" s="26">
        <f>IFERROR(__xludf.DUMMYFUNCTION("""COMPUTED_VALUE"""),106.67)</f>
        <v>106.67</v>
      </c>
      <c r="S370" s="26">
        <f>IFERROR(__xludf.DUMMYFUNCTION("""COMPUTED_VALUE"""),197.28)</f>
        <v>197.28</v>
      </c>
      <c r="T370" s="26">
        <f>IFERROR(__xludf.DUMMYFUNCTION("""COMPUTED_VALUE"""),155.1)</f>
        <v>155.1</v>
      </c>
      <c r="U370" s="26">
        <f>IFERROR(__xludf.DUMMYFUNCTION("""COMPUTED_VALUE"""),299.12)</f>
        <v>299.12</v>
      </c>
      <c r="V370" s="26">
        <f>IFERROR(__xludf.DUMMYFUNCTION("""COMPUTED_VALUE"""),50.43)</f>
        <v>50.43</v>
      </c>
      <c r="W370" s="26">
        <f>IFERROR(__xludf.DUMMYFUNCTION("""COMPUTED_VALUE"""),68.35)</f>
        <v>68.35</v>
      </c>
      <c r="X370" s="26">
        <f>IFERROR(__xludf.DUMMYFUNCTION("""COMPUTED_VALUE"""),97.0)</f>
        <v>97</v>
      </c>
      <c r="Y370" s="26">
        <f>IFERROR(__xludf.DUMMYFUNCTION("""COMPUTED_VALUE"""),167.14)</f>
        <v>167.14</v>
      </c>
      <c r="Z370" s="26">
        <f>IFERROR(__xludf.DUMMYFUNCTION("""COMPUTED_VALUE"""),101.33)</f>
        <v>101.33</v>
      </c>
      <c r="AA370" s="26">
        <f>IFERROR(__xludf.DUMMYFUNCTION("""COMPUTED_VALUE"""),405.87)</f>
        <v>405.87</v>
      </c>
      <c r="AB370" s="26">
        <f>IFERROR(__xludf.DUMMYFUNCTION("""COMPUTED_VALUE"""),99.54)</f>
        <v>99.54</v>
      </c>
      <c r="AC370" s="26">
        <f>IFERROR(__xludf.DUMMYFUNCTION("""COMPUTED_VALUE"""),116.45)</f>
        <v>116.45</v>
      </c>
      <c r="AD370" s="26">
        <f>IFERROR(__xludf.DUMMYFUNCTION("""COMPUTED_VALUE"""),249.64)</f>
        <v>249.64</v>
      </c>
      <c r="AE370" s="26">
        <f>IFERROR(__xludf.DUMMYFUNCTION("""COMPUTED_VALUE"""),391.44)</f>
        <v>391.44</v>
      </c>
      <c r="AF370" s="26">
        <f>IFERROR(__xludf.DUMMYFUNCTION("""COMPUTED_VALUE"""),343.48)</f>
        <v>343.48</v>
      </c>
      <c r="AG370" s="26">
        <f>IFERROR(__xludf.DUMMYFUNCTION("""COMPUTED_VALUE"""),69.13)</f>
        <v>69.13</v>
      </c>
      <c r="AH370" s="26">
        <f>IFERROR(__xludf.DUMMYFUNCTION("""COMPUTED_VALUE"""),118.5)</f>
        <v>118.5</v>
      </c>
      <c r="AI370" s="26">
        <f>IFERROR(__xludf.DUMMYFUNCTION("""COMPUTED_VALUE"""),783.06)</f>
        <v>783.06</v>
      </c>
      <c r="AJ370" s="26">
        <f>IFERROR(__xludf.DUMMYFUNCTION("""COMPUTED_VALUE"""),378.04)</f>
        <v>378.04</v>
      </c>
      <c r="AK370" s="26">
        <f>IFERROR(__xludf.DUMMYFUNCTION("""COMPUTED_VALUE"""),169.61)</f>
        <v>169.61</v>
      </c>
      <c r="AL370" s="26">
        <f>IFERROR(__xludf.DUMMYFUNCTION("""COMPUTED_VALUE"""),150.62)</f>
        <v>150.62</v>
      </c>
      <c r="AM370" s="26">
        <f>IFERROR(__xludf.DUMMYFUNCTION("""COMPUTED_VALUE"""),537.59)</f>
        <v>537.59</v>
      </c>
      <c r="AN370" s="26">
        <f>IFERROR(__xludf.DUMMYFUNCTION("""COMPUTED_VALUE"""),305.51)</f>
        <v>305.51</v>
      </c>
      <c r="AO370" s="26">
        <f>IFERROR(__xludf.DUMMYFUNCTION("""COMPUTED_VALUE"""),485.33)</f>
        <v>485.33</v>
      </c>
      <c r="AP370" s="26">
        <f>IFERROR(__xludf.DUMMYFUNCTION("""COMPUTED_VALUE"""),170.3)</f>
        <v>170.3</v>
      </c>
      <c r="AQ370" s="26">
        <f>IFERROR(__xludf.DUMMYFUNCTION("""COMPUTED_VALUE"""),32.54)</f>
        <v>32.54</v>
      </c>
      <c r="AR370" s="26">
        <f>IFERROR(__xludf.DUMMYFUNCTION("""COMPUTED_VALUE"""),91.73)</f>
        <v>91.73</v>
      </c>
      <c r="AS370" s="26">
        <f>IFERROR(__xludf.DUMMYFUNCTION("""COMPUTED_VALUE"""),78.32)</f>
        <v>78.32</v>
      </c>
      <c r="AT370" s="26">
        <f>IFERROR(__xludf.DUMMYFUNCTION("""COMPUTED_VALUE"""),541.55)</f>
        <v>541.55</v>
      </c>
      <c r="AU370" s="26">
        <f>IFERROR(__xludf.DUMMYFUNCTION("""COMPUTED_VALUE"""),81.76)</f>
        <v>81.76</v>
      </c>
      <c r="AV370" s="26">
        <f>IFERROR(__xludf.DUMMYFUNCTION("""COMPUTED_VALUE"""),207.04)</f>
        <v>207.04</v>
      </c>
      <c r="AW370" s="26">
        <f>IFERROR(__xludf.DUMMYFUNCTION("""COMPUTED_VALUE"""),93.38)</f>
        <v>93.38</v>
      </c>
      <c r="AX370" s="26">
        <f>IFERROR(__xludf.DUMMYFUNCTION("""COMPUTED_VALUE"""),39.29)</f>
        <v>39.29</v>
      </c>
      <c r="AY370" s="26">
        <f>IFERROR(__xludf.DUMMYFUNCTION("""COMPUTED_VALUE"""),198.81)</f>
        <v>198.81</v>
      </c>
      <c r="AZ370" s="26">
        <f>IFERROR(__xludf.DUMMYFUNCTION("""COMPUTED_VALUE"""),69.68)</f>
        <v>69.68</v>
      </c>
      <c r="BA370" s="26">
        <f>IFERROR(__xludf.DUMMYFUNCTION("""COMPUTED_VALUE"""),24.29)</f>
        <v>24.29</v>
      </c>
      <c r="BB370" s="26">
        <f>IFERROR(__xludf.DUMMYFUNCTION("""COMPUTED_VALUE"""),176.36)</f>
        <v>176.36</v>
      </c>
      <c r="BC370" s="26">
        <f>IFERROR(__xludf.DUMMYFUNCTION("""COMPUTED_VALUE"""),215.01)</f>
        <v>215.01</v>
      </c>
      <c r="BD370" s="26">
        <f>IFERROR(__xludf.DUMMYFUNCTION("""COMPUTED_VALUE"""),558.31)</f>
        <v>558.31</v>
      </c>
      <c r="BE370" s="26">
        <f>IFERROR(__xludf.DUMMYFUNCTION("""COMPUTED_VALUE"""),207.09)</f>
        <v>207.09</v>
      </c>
      <c r="BF370" s="26">
        <f>IFERROR(__xludf.DUMMYFUNCTION("""COMPUTED_VALUE"""),134.32)</f>
        <v>134.32</v>
      </c>
      <c r="BG370" s="26">
        <f>IFERROR(__xludf.DUMMYFUNCTION("""COMPUTED_VALUE"""),4.62)</f>
        <v>4.62</v>
      </c>
      <c r="BH370" s="26">
        <f>IFERROR(__xludf.DUMMYFUNCTION("""COMPUTED_VALUE"""),216.37)</f>
        <v>216.37</v>
      </c>
      <c r="BI370" s="26">
        <f>IFERROR(__xludf.DUMMYFUNCTION("""COMPUTED_VALUE"""),355.26)</f>
        <v>355.26</v>
      </c>
      <c r="BJ370" s="26">
        <f>IFERROR(__xludf.DUMMYFUNCTION("""COMPUTED_VALUE"""),49.98)</f>
        <v>49.98</v>
      </c>
      <c r="BK370" s="26">
        <f>IFERROR(__xludf.DUMMYFUNCTION("""COMPUTED_VALUE"""),10.27)</f>
        <v>10.27</v>
      </c>
      <c r="BL370" s="26">
        <f>IFERROR(__xludf.DUMMYFUNCTION("""COMPUTED_VALUE"""),197.53)</f>
        <v>197.53</v>
      </c>
      <c r="BM370" s="26">
        <f>IFERROR(__xludf.DUMMYFUNCTION("""COMPUTED_VALUE"""),110.24)</f>
        <v>110.24</v>
      </c>
    </row>
    <row r="371">
      <c r="A371" s="25">
        <v>45964.66666666667</v>
      </c>
      <c r="B371" s="17">
        <f>IFERROR(__xludf.DUMMYFUNCTION("""COMPUTED_VALUE"""),6822.34)</f>
        <v>6822.34</v>
      </c>
      <c r="C371" s="17">
        <f>IFERROR(__xludf.DUMMYFUNCTION("""COMPUTED_VALUE"""),23581.14)</f>
        <v>23581.14</v>
      </c>
      <c r="D371" s="17">
        <f>IFERROR(__xludf.DUMMYFUNCTION("""COMPUTED_VALUE"""),47522.12)</f>
        <v>47522.12</v>
      </c>
      <c r="E371" s="17">
        <f>IFERROR(__xludf.DUMMYFUNCTION("""COMPUTED_VALUE"""),2465.95)</f>
        <v>2465.95</v>
      </c>
      <c r="F371" s="26">
        <f>IFERROR(__xludf.DUMMYFUNCTION("""COMPUTED_VALUE"""),339.24)</f>
        <v>339.24</v>
      </c>
      <c r="G371" s="26">
        <f>IFERROR(__xludf.DUMMYFUNCTION("""COMPUTED_VALUE"""),222.86)</f>
        <v>222.86</v>
      </c>
      <c r="H371" s="26">
        <f>IFERROR(__xludf.DUMMYFUNCTION("""COMPUTED_VALUE"""),126.7)</f>
        <v>126.7</v>
      </c>
      <c r="I371" s="26">
        <f>IFERROR(__xludf.DUMMYFUNCTION("""COMPUTED_VALUE"""),271.4)</f>
        <v>271.4</v>
      </c>
      <c r="J371" s="26">
        <f>IFERROR(__xludf.DUMMYFUNCTION("""COMPUTED_VALUE"""),232.55)</f>
        <v>232.55</v>
      </c>
      <c r="K371" s="26">
        <f>IFERROR(__xludf.DUMMYFUNCTION("""COMPUTED_VALUE"""),107.92)</f>
        <v>107.92</v>
      </c>
      <c r="L371" s="26">
        <f>IFERROR(__xludf.DUMMYFUNCTION("""COMPUTED_VALUE"""),21.34)</f>
        <v>21.34</v>
      </c>
      <c r="M371" s="26">
        <f>IFERROR(__xludf.DUMMYFUNCTION("""COMPUTED_VALUE"""),478.52)</f>
        <v>478.52</v>
      </c>
      <c r="N371" s="26">
        <f>IFERROR(__xludf.DUMMYFUNCTION("""COMPUTED_VALUE"""),57.24)</f>
        <v>57.24</v>
      </c>
      <c r="O371" s="26">
        <f>IFERROR(__xludf.DUMMYFUNCTION("""COMPUTED_VALUE"""),149.61)</f>
        <v>149.61</v>
      </c>
      <c r="P371" s="26">
        <f>IFERROR(__xludf.DUMMYFUNCTION("""COMPUTED_VALUE"""),58.85)</f>
        <v>58.85</v>
      </c>
      <c r="Q371" s="26">
        <f>IFERROR(__xludf.DUMMYFUNCTION("""COMPUTED_VALUE"""),583.15)</f>
        <v>583.15</v>
      </c>
      <c r="R371" s="26">
        <f>IFERROR(__xludf.DUMMYFUNCTION("""COMPUTED_VALUE"""),104.72)</f>
        <v>104.72</v>
      </c>
      <c r="S371" s="26">
        <f>IFERROR(__xludf.DUMMYFUNCTION("""COMPUTED_VALUE"""),199.48)</f>
        <v>199.48</v>
      </c>
      <c r="T371" s="26">
        <f>IFERROR(__xludf.DUMMYFUNCTION("""COMPUTED_VALUE"""),153.52)</f>
        <v>153.52</v>
      </c>
      <c r="U371" s="26">
        <f>IFERROR(__xludf.DUMMYFUNCTION("""COMPUTED_VALUE"""),247.1)</f>
        <v>247.1</v>
      </c>
      <c r="V371" s="26">
        <f>IFERROR(__xludf.DUMMYFUNCTION("""COMPUTED_VALUE"""),50.57)</f>
        <v>50.57</v>
      </c>
      <c r="W371" s="26">
        <f>IFERROR(__xludf.DUMMYFUNCTION("""COMPUTED_VALUE"""),68.98)</f>
        <v>68.98</v>
      </c>
      <c r="X371" s="26">
        <f>IFERROR(__xludf.DUMMYFUNCTION("""COMPUTED_VALUE"""),98.19)</f>
        <v>98.19</v>
      </c>
      <c r="Y371" s="26">
        <f>IFERROR(__xludf.DUMMYFUNCTION("""COMPUTED_VALUE"""),170.75)</f>
        <v>170.75</v>
      </c>
      <c r="Z371" s="26">
        <f>IFERROR(__xludf.DUMMYFUNCTION("""COMPUTED_VALUE"""),98.8)</f>
        <v>98.8</v>
      </c>
      <c r="AA371" s="26">
        <f>IFERROR(__xludf.DUMMYFUNCTION("""COMPUTED_VALUE"""),403.96)</f>
        <v>403.96</v>
      </c>
      <c r="AB371" s="26">
        <f>IFERROR(__xludf.DUMMYFUNCTION("""COMPUTED_VALUE"""),83.73)</f>
        <v>83.73</v>
      </c>
      <c r="AC371" s="26">
        <f>IFERROR(__xludf.DUMMYFUNCTION("""COMPUTED_VALUE"""),114.69)</f>
        <v>114.69</v>
      </c>
      <c r="AD371" s="26">
        <f>IFERROR(__xludf.DUMMYFUNCTION("""COMPUTED_VALUE"""),248.93)</f>
        <v>248.93</v>
      </c>
      <c r="AE371" s="26">
        <f>IFERROR(__xludf.DUMMYFUNCTION("""COMPUTED_VALUE"""),396.0)</f>
        <v>396</v>
      </c>
      <c r="AF371" s="26">
        <f>IFERROR(__xludf.DUMMYFUNCTION("""COMPUTED_VALUE"""),344.66)</f>
        <v>344.66</v>
      </c>
      <c r="AG371" s="26">
        <f>IFERROR(__xludf.DUMMYFUNCTION("""COMPUTED_VALUE"""),68.67)</f>
        <v>68.67</v>
      </c>
      <c r="AH371" s="26">
        <f>IFERROR(__xludf.DUMMYFUNCTION("""COMPUTED_VALUE"""),118.44)</f>
        <v>118.44</v>
      </c>
      <c r="AI371" s="26">
        <f>IFERROR(__xludf.DUMMYFUNCTION("""COMPUTED_VALUE"""),790.16)</f>
        <v>790.16</v>
      </c>
      <c r="AJ371" s="26">
        <f>IFERROR(__xludf.DUMMYFUNCTION("""COMPUTED_VALUE"""),379.55)</f>
        <v>379.55</v>
      </c>
      <c r="AK371" s="26">
        <f>IFERROR(__xludf.DUMMYFUNCTION("""COMPUTED_VALUE"""),165.4)</f>
        <v>165.4</v>
      </c>
      <c r="AL371" s="26">
        <f>IFERROR(__xludf.DUMMYFUNCTION("""COMPUTED_VALUE"""),148.52)</f>
        <v>148.52</v>
      </c>
      <c r="AM371" s="26">
        <f>IFERROR(__xludf.DUMMYFUNCTION("""COMPUTED_VALUE"""),530.02)</f>
        <v>530.02</v>
      </c>
      <c r="AN371" s="26">
        <f>IFERROR(__xludf.DUMMYFUNCTION("""COMPUTED_VALUE"""),309.44)</f>
        <v>309.44</v>
      </c>
      <c r="AO371" s="26">
        <f>IFERROR(__xludf.DUMMYFUNCTION("""COMPUTED_VALUE"""),489.72)</f>
        <v>489.72</v>
      </c>
      <c r="AP371" s="26">
        <f>IFERROR(__xludf.DUMMYFUNCTION("""COMPUTED_VALUE"""),168.02)</f>
        <v>168.02</v>
      </c>
      <c r="AQ371" s="26">
        <f>IFERROR(__xludf.DUMMYFUNCTION("""COMPUTED_VALUE"""),32.15)</f>
        <v>32.15</v>
      </c>
      <c r="AR371" s="26">
        <f>IFERROR(__xludf.DUMMYFUNCTION("""COMPUTED_VALUE"""),90.97)</f>
        <v>90.97</v>
      </c>
      <c r="AS371" s="26">
        <f>IFERROR(__xludf.DUMMYFUNCTION("""COMPUTED_VALUE"""),79.16)</f>
        <v>79.16</v>
      </c>
      <c r="AT371" s="26">
        <f>IFERROR(__xludf.DUMMYFUNCTION("""COMPUTED_VALUE"""),525.76)</f>
        <v>525.76</v>
      </c>
      <c r="AU371" s="26">
        <f>IFERROR(__xludf.DUMMYFUNCTION("""COMPUTED_VALUE"""),81.64)</f>
        <v>81.64</v>
      </c>
      <c r="AV371" s="26">
        <f>IFERROR(__xludf.DUMMYFUNCTION("""COMPUTED_VALUE"""),202.89)</f>
        <v>202.89</v>
      </c>
      <c r="AW371" s="26">
        <f>IFERROR(__xludf.DUMMYFUNCTION("""COMPUTED_VALUE"""),92.49)</f>
        <v>92.49</v>
      </c>
      <c r="AX371" s="26">
        <f>IFERROR(__xludf.DUMMYFUNCTION("""COMPUTED_VALUE"""),37.23)</f>
        <v>37.23</v>
      </c>
      <c r="AY371" s="26">
        <f>IFERROR(__xludf.DUMMYFUNCTION("""COMPUTED_VALUE"""),194.55)</f>
        <v>194.55</v>
      </c>
      <c r="AZ371" s="26">
        <f>IFERROR(__xludf.DUMMYFUNCTION("""COMPUTED_VALUE"""),67.93)</f>
        <v>67.93</v>
      </c>
      <c r="BA371" s="26">
        <f>IFERROR(__xludf.DUMMYFUNCTION("""COMPUTED_VALUE"""),24.29)</f>
        <v>24.29</v>
      </c>
      <c r="BB371" s="26">
        <f>IFERROR(__xludf.DUMMYFUNCTION("""COMPUTED_VALUE"""),177.42)</f>
        <v>177.42</v>
      </c>
      <c r="BC371" s="26">
        <f>IFERROR(__xludf.DUMMYFUNCTION("""COMPUTED_VALUE"""),210.65)</f>
        <v>210.65</v>
      </c>
      <c r="BD371" s="26">
        <f>IFERROR(__xludf.DUMMYFUNCTION("""COMPUTED_VALUE"""),556.22)</f>
        <v>556.22</v>
      </c>
      <c r="BE371" s="26">
        <f>IFERROR(__xludf.DUMMYFUNCTION("""COMPUTED_VALUE"""),207.21)</f>
        <v>207.21</v>
      </c>
      <c r="BF371" s="26">
        <f>IFERROR(__xludf.DUMMYFUNCTION("""COMPUTED_VALUE"""),135.79)</f>
        <v>135.79</v>
      </c>
      <c r="BG371" s="26">
        <f>IFERROR(__xludf.DUMMYFUNCTION("""COMPUTED_VALUE"""),4.55)</f>
        <v>4.55</v>
      </c>
      <c r="BH371" s="26">
        <f>IFERROR(__xludf.DUMMYFUNCTION("""COMPUTED_VALUE"""),218.83)</f>
        <v>218.83</v>
      </c>
      <c r="BI371" s="26">
        <f>IFERROR(__xludf.DUMMYFUNCTION("""COMPUTED_VALUE"""),344.75)</f>
        <v>344.75</v>
      </c>
      <c r="BJ371" s="26">
        <f>IFERROR(__xludf.DUMMYFUNCTION("""COMPUTED_VALUE"""),49.98)</f>
        <v>49.98</v>
      </c>
      <c r="BK371" s="26">
        <f>IFERROR(__xludf.DUMMYFUNCTION("""COMPUTED_VALUE"""),10.36)</f>
        <v>10.36</v>
      </c>
      <c r="BL371" s="26">
        <f>IFERROR(__xludf.DUMMYFUNCTION("""COMPUTED_VALUE"""),200.57)</f>
        <v>200.57</v>
      </c>
      <c r="BM371" s="26">
        <f>IFERROR(__xludf.DUMMYFUNCTION("""COMPUTED_VALUE"""),111.84)</f>
        <v>111.84</v>
      </c>
    </row>
    <row r="372">
      <c r="A372" s="25"/>
      <c r="B372" s="17">
        <f>IFERROR(__xludf.DUMMYFUNCTION("""COMPUTED_VALUE"""),6840.2)</f>
        <v>6840.2</v>
      </c>
      <c r="C372" s="17">
        <f>IFERROR(__xludf.DUMMYFUNCTION("""COMPUTED_VALUE"""),23724.96)</f>
        <v>23724.96</v>
      </c>
      <c r="D372" s="17">
        <f>IFERROR(__xludf.DUMMYFUNCTION("""COMPUTED_VALUE"""),47562.87)</f>
        <v>47562.87</v>
      </c>
      <c r="E372" s="17">
        <f>IFERROR(__xludf.DUMMYFUNCTION("""COMPUTED_VALUE"""),2479.38)</f>
        <v>2479.38</v>
      </c>
      <c r="F372" s="26">
        <f>IFERROR(__xludf.DUMMYFUNCTION("""COMPUTED_VALUE"""),340.31)</f>
        <v>340.31</v>
      </c>
      <c r="G372" s="26">
        <f>IFERROR(__xludf.DUMMYFUNCTION("""COMPUTED_VALUE"""),244.22)</f>
        <v>244.22</v>
      </c>
      <c r="H372" s="26">
        <f>IFERROR(__xludf.DUMMYFUNCTION("""COMPUTED_VALUE"""),128.43)</f>
        <v>128.43</v>
      </c>
      <c r="I372" s="26">
        <f>IFERROR(__xludf.DUMMYFUNCTION("""COMPUTED_VALUE"""),270.37)</f>
        <v>270.37</v>
      </c>
      <c r="J372" s="26">
        <f>IFERROR(__xludf.DUMMYFUNCTION("""COMPUTED_VALUE"""),233.1)</f>
        <v>233.1</v>
      </c>
      <c r="K372" s="26">
        <f>IFERROR(__xludf.DUMMYFUNCTION("""COMPUTED_VALUE"""),107.93)</f>
        <v>107.93</v>
      </c>
      <c r="L372" s="26">
        <f>IFERROR(__xludf.DUMMYFUNCTION("""COMPUTED_VALUE"""),21.49)</f>
        <v>21.49</v>
      </c>
      <c r="M372" s="26">
        <f>IFERROR(__xludf.DUMMYFUNCTION("""COMPUTED_VALUE"""),477.54)</f>
        <v>477.54</v>
      </c>
      <c r="N372" s="26">
        <f>IFERROR(__xludf.DUMMYFUNCTION("""COMPUTED_VALUE"""),57.05)</f>
        <v>57.05</v>
      </c>
      <c r="O372" s="26">
        <f>IFERROR(__xludf.DUMMYFUNCTION("""COMPUTED_VALUE"""),154.27)</f>
        <v>154.27</v>
      </c>
      <c r="P372" s="26">
        <f>IFERROR(__xludf.DUMMYFUNCTION("""COMPUTED_VALUE"""),59.49)</f>
        <v>59.49</v>
      </c>
      <c r="Q372" s="26">
        <f>IFERROR(__xludf.DUMMYFUNCTION("""COMPUTED_VALUE"""),577.26)</f>
        <v>577.26</v>
      </c>
      <c r="R372" s="26">
        <f>IFERROR(__xludf.DUMMYFUNCTION("""COMPUTED_VALUE"""),102.21)</f>
        <v>102.21</v>
      </c>
      <c r="S372" s="26">
        <f>IFERROR(__xludf.DUMMYFUNCTION("""COMPUTED_VALUE"""),195.68)</f>
        <v>195.68</v>
      </c>
      <c r="T372" s="26">
        <f>IFERROR(__xludf.DUMMYFUNCTION("""COMPUTED_VALUE"""),157.72)</f>
        <v>157.72</v>
      </c>
      <c r="U372" s="26">
        <f>IFERROR(__xludf.DUMMYFUNCTION("""COMPUTED_VALUE"""),244.41)</f>
        <v>244.41</v>
      </c>
      <c r="V372" s="26">
        <f>IFERROR(__xludf.DUMMYFUNCTION("""COMPUTED_VALUE"""),50.87)</f>
        <v>50.87</v>
      </c>
      <c r="W372" s="26">
        <f>IFERROR(__xludf.DUMMYFUNCTION("""COMPUTED_VALUE"""),68.9)</f>
        <v>68.9</v>
      </c>
      <c r="X372" s="26">
        <f>IFERROR(__xludf.DUMMYFUNCTION("""COMPUTED_VALUE"""),97.41)</f>
        <v>97.41</v>
      </c>
      <c r="Y372" s="26">
        <f>IFERROR(__xludf.DUMMYFUNCTION("""COMPUTED_VALUE"""),170.41)</f>
        <v>170.41</v>
      </c>
      <c r="Z372" s="26">
        <f>IFERROR(__xludf.DUMMYFUNCTION("""COMPUTED_VALUE"""),99.12)</f>
        <v>99.12</v>
      </c>
      <c r="AA372" s="26">
        <f>IFERROR(__xludf.DUMMYFUNCTION("""COMPUTED_VALUE"""),398.46)</f>
        <v>398.46</v>
      </c>
      <c r="AB372" s="26">
        <f>IFERROR(__xludf.DUMMYFUNCTION("""COMPUTED_VALUE"""),81.31)</f>
        <v>81.31</v>
      </c>
      <c r="AC372" s="26">
        <f>IFERROR(__xludf.DUMMYFUNCTION("""COMPUTED_VALUE"""),114.36)</f>
        <v>114.36</v>
      </c>
      <c r="AD372" s="26">
        <f>IFERROR(__xludf.DUMMYFUNCTION("""COMPUTED_VALUE"""),253.82)</f>
        <v>253.82</v>
      </c>
      <c r="AE372" s="26">
        <f>IFERROR(__xludf.DUMMYFUNCTION("""COMPUTED_VALUE"""),403.95)</f>
        <v>403.95</v>
      </c>
      <c r="AF372" s="26">
        <f>IFERROR(__xludf.DUMMYFUNCTION("""COMPUTED_VALUE"""),344.9)</f>
        <v>344.9</v>
      </c>
      <c r="AG372" s="26">
        <f>IFERROR(__xludf.DUMMYFUNCTION("""COMPUTED_VALUE"""),69.09)</f>
        <v>69.09</v>
      </c>
      <c r="AH372" s="26">
        <f>IFERROR(__xludf.DUMMYFUNCTION("""COMPUTED_VALUE"""),119.79)</f>
        <v>119.79</v>
      </c>
      <c r="AI372" s="26">
        <f>IFERROR(__xludf.DUMMYFUNCTION("""COMPUTED_VALUE"""),789.37)</f>
        <v>789.37</v>
      </c>
      <c r="AJ372" s="26">
        <f>IFERROR(__xludf.DUMMYFUNCTION("""COMPUTED_VALUE"""),379.59)</f>
        <v>379.59</v>
      </c>
      <c r="AK372" s="26">
        <f>IFERROR(__xludf.DUMMYFUNCTION("""COMPUTED_VALUE"""),164.44)</f>
        <v>164.44</v>
      </c>
      <c r="AL372" s="26">
        <f>IFERROR(__xludf.DUMMYFUNCTION("""COMPUTED_VALUE"""),146.29)</f>
        <v>146.29</v>
      </c>
      <c r="AM372" s="26">
        <f>IFERROR(__xludf.DUMMYFUNCTION("""COMPUTED_VALUE"""),534.28)</f>
        <v>534.28</v>
      </c>
      <c r="AN372" s="26">
        <f>IFERROR(__xludf.DUMMYFUNCTION("""COMPUTED_VALUE"""),311.12)</f>
        <v>311.12</v>
      </c>
      <c r="AO372" s="26">
        <f>IFERROR(__xludf.DUMMYFUNCTION("""COMPUTED_VALUE"""),491.88)</f>
        <v>491.88</v>
      </c>
      <c r="AP372" s="26">
        <f>IFERROR(__xludf.DUMMYFUNCTION("""COMPUTED_VALUE"""),170.54)</f>
        <v>170.54</v>
      </c>
      <c r="AQ372" s="26">
        <f>IFERROR(__xludf.DUMMYFUNCTION("""COMPUTED_VALUE"""),32.37)</f>
        <v>32.37</v>
      </c>
      <c r="AR372" s="26">
        <f>IFERROR(__xludf.DUMMYFUNCTION("""COMPUTED_VALUE"""),90.7)</f>
        <v>90.7</v>
      </c>
      <c r="AS372" s="26">
        <f>IFERROR(__xludf.DUMMYFUNCTION("""COMPUTED_VALUE"""),79.82)</f>
        <v>79.82</v>
      </c>
      <c r="AT372" s="26">
        <f>IFERROR(__xludf.DUMMYFUNCTION("""COMPUTED_VALUE"""),517.81)</f>
        <v>517.81</v>
      </c>
      <c r="AU372" s="26">
        <f>IFERROR(__xludf.DUMMYFUNCTION("""COMPUTED_VALUE"""),81.4)</f>
        <v>81.4</v>
      </c>
      <c r="AV372" s="26">
        <f>IFERROR(__xludf.DUMMYFUNCTION("""COMPUTED_VALUE"""),202.49)</f>
        <v>202.49</v>
      </c>
      <c r="AW372" s="26">
        <f>IFERROR(__xludf.DUMMYFUNCTION("""COMPUTED_VALUE"""),92.76)</f>
        <v>92.76</v>
      </c>
      <c r="AX372" s="26">
        <f>IFERROR(__xludf.DUMMYFUNCTION("""COMPUTED_VALUE"""),37.15)</f>
        <v>37.15</v>
      </c>
      <c r="AY372" s="26">
        <f>IFERROR(__xludf.DUMMYFUNCTION("""COMPUTED_VALUE"""),200.47)</f>
        <v>200.47</v>
      </c>
      <c r="AZ372" s="26">
        <f>IFERROR(__xludf.DUMMYFUNCTION("""COMPUTED_VALUE"""),69.27)</f>
        <v>69.27</v>
      </c>
      <c r="BA372" s="26">
        <f>IFERROR(__xludf.DUMMYFUNCTION("""COMPUTED_VALUE"""),24.65)</f>
        <v>24.65</v>
      </c>
      <c r="BB372" s="26">
        <f>IFERROR(__xludf.DUMMYFUNCTION("""COMPUTED_VALUE"""),178.5)</f>
        <v>178.5</v>
      </c>
      <c r="BC372" s="26">
        <f>IFERROR(__xludf.DUMMYFUNCTION("""COMPUTED_VALUE"""),210.05)</f>
        <v>210.05</v>
      </c>
      <c r="BD372" s="26">
        <f>IFERROR(__xludf.DUMMYFUNCTION("""COMPUTED_VALUE"""),567.39)</f>
        <v>567.39</v>
      </c>
      <c r="BE372" s="26">
        <f>IFERROR(__xludf.DUMMYFUNCTION("""COMPUTED_VALUE"""),204.19)</f>
        <v>204.19</v>
      </c>
      <c r="BF372" s="26">
        <f>IFERROR(__xludf.DUMMYFUNCTION("""COMPUTED_VALUE"""),131.54)</f>
        <v>131.54</v>
      </c>
      <c r="BG372" s="26">
        <f>IFERROR(__xludf.DUMMYFUNCTION("""COMPUTED_VALUE"""),4.61)</f>
        <v>4.61</v>
      </c>
      <c r="BH372" s="26">
        <f>IFERROR(__xludf.DUMMYFUNCTION("""COMPUTED_VALUE"""),220.37)</f>
        <v>220.37</v>
      </c>
      <c r="BI372" s="26">
        <f>IFERROR(__xludf.DUMMYFUNCTION("""COMPUTED_VALUE"""),341.56)</f>
        <v>341.56</v>
      </c>
      <c r="BJ372" s="26">
        <f>IFERROR(__xludf.DUMMYFUNCTION("""COMPUTED_VALUE"""),50.04)</f>
        <v>50.04</v>
      </c>
      <c r="BK372" s="26">
        <f>IFERROR(__xludf.DUMMYFUNCTION("""COMPUTED_VALUE"""),10.36)</f>
        <v>10.36</v>
      </c>
      <c r="BL372" s="26">
        <f>IFERROR(__xludf.DUMMYFUNCTION("""COMPUTED_VALUE"""),199.77)</f>
        <v>199.77</v>
      </c>
      <c r="BM372" s="26">
        <f>IFERROR(__xludf.DUMMYFUNCTION("""COMPUTED_VALUE"""),112.62)</f>
        <v>112.62</v>
      </c>
    </row>
    <row r="373">
      <c r="A373" s="25"/>
      <c r="B373" s="17">
        <f>IFERROR(__xludf.DUMMYFUNCTION("""COMPUTED_VALUE"""),6851.97)</f>
        <v>6851.97</v>
      </c>
      <c r="C373" s="17">
        <f>IFERROR(__xludf.DUMMYFUNCTION("""COMPUTED_VALUE"""),23834.72)</f>
        <v>23834.72</v>
      </c>
      <c r="D373" s="17">
        <f>IFERROR(__xludf.DUMMYFUNCTION("""COMPUTED_VALUE"""),47336.68)</f>
        <v>47336.68</v>
      </c>
      <c r="E373" s="17">
        <f>IFERROR(__xludf.DUMMYFUNCTION("""COMPUTED_VALUE"""),2471.24)</f>
        <v>2471.24</v>
      </c>
      <c r="F373" s="26">
        <f>IFERROR(__xludf.DUMMYFUNCTION("""COMPUTED_VALUE"""),337.47)</f>
        <v>337.47</v>
      </c>
      <c r="G373" s="26">
        <f>IFERROR(__xludf.DUMMYFUNCTION("""COMPUTED_VALUE"""),254.0)</f>
        <v>254</v>
      </c>
      <c r="H373" s="26">
        <f>IFERROR(__xludf.DUMMYFUNCTION("""COMPUTED_VALUE"""),125.97)</f>
        <v>125.97</v>
      </c>
      <c r="I373" s="26">
        <f>IFERROR(__xludf.DUMMYFUNCTION("""COMPUTED_VALUE"""),269.05)</f>
        <v>269.05</v>
      </c>
      <c r="J373" s="26">
        <f>IFERROR(__xludf.DUMMYFUNCTION("""COMPUTED_VALUE"""),237.71)</f>
        <v>237.71</v>
      </c>
      <c r="K373" s="26">
        <f>IFERROR(__xludf.DUMMYFUNCTION("""COMPUTED_VALUE"""),108.06)</f>
        <v>108.06</v>
      </c>
      <c r="L373" s="26">
        <f>IFERROR(__xludf.DUMMYFUNCTION("""COMPUTED_VALUE"""),21.51)</f>
        <v>21.51</v>
      </c>
      <c r="M373" s="26">
        <f>IFERROR(__xludf.DUMMYFUNCTION("""COMPUTED_VALUE"""),475.68)</f>
        <v>475.68</v>
      </c>
      <c r="N373" s="26">
        <f>IFERROR(__xludf.DUMMYFUNCTION("""COMPUTED_VALUE"""),56.15)</f>
        <v>56.15</v>
      </c>
      <c r="O373" s="26">
        <f>IFERROR(__xludf.DUMMYFUNCTION("""COMPUTED_VALUE"""),151.44)</f>
        <v>151.44</v>
      </c>
      <c r="P373" s="26">
        <f>IFERROR(__xludf.DUMMYFUNCTION("""COMPUTED_VALUE"""),57.86)</f>
        <v>57.86</v>
      </c>
      <c r="Q373" s="26">
        <f>IFERROR(__xludf.DUMMYFUNCTION("""COMPUTED_VALUE"""),570.59)</f>
        <v>570.59</v>
      </c>
      <c r="R373" s="26">
        <f>IFERROR(__xludf.DUMMYFUNCTION("""COMPUTED_VALUE"""),100.85)</f>
        <v>100.85</v>
      </c>
      <c r="S373" s="26">
        <f>IFERROR(__xludf.DUMMYFUNCTION("""COMPUTED_VALUE"""),194.59)</f>
        <v>194.59</v>
      </c>
      <c r="T373" s="26">
        <f>IFERROR(__xludf.DUMMYFUNCTION("""COMPUTED_VALUE"""),154.04)</f>
        <v>154.04</v>
      </c>
      <c r="U373" s="26">
        <f>IFERROR(__xludf.DUMMYFUNCTION("""COMPUTED_VALUE"""),258.62)</f>
        <v>258.62</v>
      </c>
      <c r="V373" s="26">
        <f>IFERROR(__xludf.DUMMYFUNCTION("""COMPUTED_VALUE"""),51.01)</f>
        <v>51.01</v>
      </c>
      <c r="W373" s="26">
        <f>IFERROR(__xludf.DUMMYFUNCTION("""COMPUTED_VALUE"""),67.97)</f>
        <v>67.97</v>
      </c>
      <c r="X373" s="26">
        <f>IFERROR(__xludf.DUMMYFUNCTION("""COMPUTED_VALUE"""),96.64)</f>
        <v>96.64</v>
      </c>
      <c r="Y373" s="26">
        <f>IFERROR(__xludf.DUMMYFUNCTION("""COMPUTED_VALUE"""),171.96)</f>
        <v>171.96</v>
      </c>
      <c r="Z373" s="26">
        <f>IFERROR(__xludf.DUMMYFUNCTION("""COMPUTED_VALUE"""),100.85)</f>
        <v>100.85</v>
      </c>
      <c r="AA373" s="26">
        <f>IFERROR(__xludf.DUMMYFUNCTION("""COMPUTED_VALUE"""),403.63)</f>
        <v>403.63</v>
      </c>
      <c r="AB373" s="26">
        <f>IFERROR(__xludf.DUMMYFUNCTION("""COMPUTED_VALUE"""),82.77)</f>
        <v>82.77</v>
      </c>
      <c r="AC373" s="26">
        <f>IFERROR(__xludf.DUMMYFUNCTION("""COMPUTED_VALUE"""),113.76)</f>
        <v>113.76</v>
      </c>
      <c r="AD373" s="26">
        <f>IFERROR(__xludf.DUMMYFUNCTION("""COMPUTED_VALUE"""),252.99)</f>
        <v>252.99</v>
      </c>
      <c r="AE373" s="26">
        <f>IFERROR(__xludf.DUMMYFUNCTION("""COMPUTED_VALUE"""),392.03)</f>
        <v>392.03</v>
      </c>
      <c r="AF373" s="26">
        <f>IFERROR(__xludf.DUMMYFUNCTION("""COMPUTED_VALUE"""),341.87)</f>
        <v>341.87</v>
      </c>
      <c r="AG373" s="26">
        <f>IFERROR(__xludf.DUMMYFUNCTION("""COMPUTED_VALUE"""),68.22)</f>
        <v>68.22</v>
      </c>
      <c r="AH373" s="26">
        <f>IFERROR(__xludf.DUMMYFUNCTION("""COMPUTED_VALUE"""),122.05)</f>
        <v>122.05</v>
      </c>
      <c r="AI373" s="26">
        <f>IFERROR(__xludf.DUMMYFUNCTION("""COMPUTED_VALUE"""),785.52)</f>
        <v>785.52</v>
      </c>
      <c r="AJ373" s="26">
        <f>IFERROR(__xludf.DUMMYFUNCTION("""COMPUTED_VALUE"""),378.35)</f>
        <v>378.35</v>
      </c>
      <c r="AK373" s="26">
        <f>IFERROR(__xludf.DUMMYFUNCTION("""COMPUTED_VALUE"""),165.7)</f>
        <v>165.7</v>
      </c>
      <c r="AL373" s="26">
        <f>IFERROR(__xludf.DUMMYFUNCTION("""COMPUTED_VALUE"""),145.59)</f>
        <v>145.59</v>
      </c>
      <c r="AM373" s="26">
        <f>IFERROR(__xludf.DUMMYFUNCTION("""COMPUTED_VALUE"""),544.21)</f>
        <v>544.21</v>
      </c>
      <c r="AN373" s="26">
        <f>IFERROR(__xludf.DUMMYFUNCTION("""COMPUTED_VALUE"""),309.35)</f>
        <v>309.35</v>
      </c>
      <c r="AO373" s="26">
        <f>IFERROR(__xludf.DUMMYFUNCTION("""COMPUTED_VALUE"""),487.94)</f>
        <v>487.94</v>
      </c>
      <c r="AP373" s="26">
        <f>IFERROR(__xludf.DUMMYFUNCTION("""COMPUTED_VALUE"""),165.47)</f>
        <v>165.47</v>
      </c>
      <c r="AQ373" s="26">
        <f>IFERROR(__xludf.DUMMYFUNCTION("""COMPUTED_VALUE"""),33.02)</f>
        <v>33.02</v>
      </c>
      <c r="AR373" s="26">
        <f>IFERROR(__xludf.DUMMYFUNCTION("""COMPUTED_VALUE"""),90.2)</f>
        <v>90.2</v>
      </c>
      <c r="AS373" s="26">
        <f>IFERROR(__xludf.DUMMYFUNCTION("""COMPUTED_VALUE"""),79.21)</f>
        <v>79.21</v>
      </c>
      <c r="AT373" s="26">
        <f>IFERROR(__xludf.DUMMYFUNCTION("""COMPUTED_VALUE"""),517.03)</f>
        <v>517.03</v>
      </c>
      <c r="AU373" s="26">
        <f>IFERROR(__xludf.DUMMYFUNCTION("""COMPUTED_VALUE"""),81.78)</f>
        <v>81.78</v>
      </c>
      <c r="AV373" s="26">
        <f>IFERROR(__xludf.DUMMYFUNCTION("""COMPUTED_VALUE"""),206.88)</f>
        <v>206.88</v>
      </c>
      <c r="AW373" s="26">
        <f>IFERROR(__xludf.DUMMYFUNCTION("""COMPUTED_VALUE"""),90.17)</f>
        <v>90.17</v>
      </c>
      <c r="AX373" s="26">
        <f>IFERROR(__xludf.DUMMYFUNCTION("""COMPUTED_VALUE"""),36.46)</f>
        <v>36.46</v>
      </c>
      <c r="AY373" s="26">
        <f>IFERROR(__xludf.DUMMYFUNCTION("""COMPUTED_VALUE"""),207.18)</f>
        <v>207.18</v>
      </c>
      <c r="AZ373" s="26">
        <f>IFERROR(__xludf.DUMMYFUNCTION("""COMPUTED_VALUE"""),68.34)</f>
        <v>68.34</v>
      </c>
      <c r="BA373" s="26">
        <f>IFERROR(__xludf.DUMMYFUNCTION("""COMPUTED_VALUE"""),24.66)</f>
        <v>24.66</v>
      </c>
      <c r="BB373" s="26">
        <f>IFERROR(__xludf.DUMMYFUNCTION("""COMPUTED_VALUE"""),177.04)</f>
        <v>177.04</v>
      </c>
      <c r="BC373" s="26">
        <f>IFERROR(__xludf.DUMMYFUNCTION("""COMPUTED_VALUE"""),203.32)</f>
        <v>203.32</v>
      </c>
      <c r="BD373" s="26">
        <f>IFERROR(__xludf.DUMMYFUNCTION("""COMPUTED_VALUE"""),564.88)</f>
        <v>564.88</v>
      </c>
      <c r="BE373" s="26">
        <f>IFERROR(__xludf.DUMMYFUNCTION("""COMPUTED_VALUE"""),205.72)</f>
        <v>205.72</v>
      </c>
      <c r="BF373" s="26">
        <f>IFERROR(__xludf.DUMMYFUNCTION("""COMPUTED_VALUE"""),124.72)</f>
        <v>124.72</v>
      </c>
      <c r="BG373" s="26">
        <f>IFERROR(__xludf.DUMMYFUNCTION("""COMPUTED_VALUE"""),4.57)</f>
        <v>4.57</v>
      </c>
      <c r="BH373" s="26">
        <f>IFERROR(__xludf.DUMMYFUNCTION("""COMPUTED_VALUE"""),218.82)</f>
        <v>218.82</v>
      </c>
      <c r="BI373" s="26">
        <f>IFERROR(__xludf.DUMMYFUNCTION("""COMPUTED_VALUE"""),333.79)</f>
        <v>333.79</v>
      </c>
      <c r="BJ373" s="26">
        <f>IFERROR(__xludf.DUMMYFUNCTION("""COMPUTED_VALUE"""),50.04)</f>
        <v>50.04</v>
      </c>
      <c r="BK373" s="26">
        <f>IFERROR(__xludf.DUMMYFUNCTION("""COMPUTED_VALUE"""),10.53)</f>
        <v>10.53</v>
      </c>
      <c r="BL373" s="26">
        <f>IFERROR(__xludf.DUMMYFUNCTION("""COMPUTED_VALUE"""),196.77)</f>
        <v>196.77</v>
      </c>
      <c r="BM373" s="26">
        <f>IFERROR(__xludf.DUMMYFUNCTION("""COMPUTED_VALUE"""),112.12)</f>
        <v>112.12</v>
      </c>
    </row>
    <row r="374">
      <c r="A374" s="25"/>
      <c r="B374" s="17">
        <f>IFERROR(__xludf.DUMMYFUNCTION("""COMPUTED_VALUE"""),6771.55)</f>
        <v>6771.55</v>
      </c>
      <c r="C374" s="17">
        <f>IFERROR(__xludf.DUMMYFUNCTION("""COMPUTED_VALUE"""),23348.64)</f>
        <v>23348.64</v>
      </c>
      <c r="D374" s="17">
        <f>IFERROR(__xludf.DUMMYFUNCTION("""COMPUTED_VALUE"""),47085.24)</f>
        <v>47085.24</v>
      </c>
      <c r="E374" s="17">
        <f>IFERROR(__xludf.DUMMYFUNCTION("""COMPUTED_VALUE"""),2427.34)</f>
        <v>2427.34</v>
      </c>
      <c r="F374" s="26">
        <f>IFERROR(__xludf.DUMMYFUNCTION("""COMPUTED_VALUE"""),335.35)</f>
        <v>335.35</v>
      </c>
      <c r="G374" s="26">
        <f>IFERROR(__xludf.DUMMYFUNCTION("""COMPUTED_VALUE"""),249.32)</f>
        <v>249.32</v>
      </c>
      <c r="H374" s="26">
        <f>IFERROR(__xludf.DUMMYFUNCTION("""COMPUTED_VALUE"""),128.08)</f>
        <v>128.08</v>
      </c>
      <c r="I374" s="26">
        <f>IFERROR(__xludf.DUMMYFUNCTION("""COMPUTED_VALUE"""),270.04)</f>
        <v>270.04</v>
      </c>
      <c r="J374" s="26">
        <f>IFERROR(__xludf.DUMMYFUNCTION("""COMPUTED_VALUE"""),230.19)</f>
        <v>230.19</v>
      </c>
      <c r="K374" s="26">
        <f>IFERROR(__xludf.DUMMYFUNCTION("""COMPUTED_VALUE"""),108.0)</f>
        <v>108</v>
      </c>
      <c r="L374" s="26">
        <f>IFERROR(__xludf.DUMMYFUNCTION("""COMPUTED_VALUE"""),21.11)</f>
        <v>21.11</v>
      </c>
      <c r="M374" s="26">
        <f>IFERROR(__xludf.DUMMYFUNCTION("""COMPUTED_VALUE"""),487.66)</f>
        <v>487.66</v>
      </c>
      <c r="N374" s="26">
        <f>IFERROR(__xludf.DUMMYFUNCTION("""COMPUTED_VALUE"""),54.44)</f>
        <v>54.44</v>
      </c>
      <c r="O374" s="26">
        <f>IFERROR(__xludf.DUMMYFUNCTION("""COMPUTED_VALUE"""),149.33)</f>
        <v>149.33</v>
      </c>
      <c r="P374" s="26">
        <f>IFERROR(__xludf.DUMMYFUNCTION("""COMPUTED_VALUE"""),57.55)</f>
        <v>57.55</v>
      </c>
      <c r="Q374" s="26">
        <f>IFERROR(__xludf.DUMMYFUNCTION("""COMPUTED_VALUE"""),547.58)</f>
        <v>547.58</v>
      </c>
      <c r="R374" s="26">
        <f>IFERROR(__xludf.DUMMYFUNCTION("""COMPUTED_VALUE"""),96.95)</f>
        <v>96.95</v>
      </c>
      <c r="S374" s="26">
        <f>IFERROR(__xludf.DUMMYFUNCTION("""COMPUTED_VALUE"""),191.76)</f>
        <v>191.76</v>
      </c>
      <c r="T374" s="26">
        <f>IFERROR(__xludf.DUMMYFUNCTION("""COMPUTED_VALUE"""),153.39)</f>
        <v>153.39</v>
      </c>
      <c r="U374" s="26">
        <f>IFERROR(__xludf.DUMMYFUNCTION("""COMPUTED_VALUE"""),264.66)</f>
        <v>264.66</v>
      </c>
      <c r="V374" s="26">
        <f>IFERROR(__xludf.DUMMYFUNCTION("""COMPUTED_VALUE"""),50.73)</f>
        <v>50.73</v>
      </c>
      <c r="W374" s="26">
        <f>IFERROR(__xludf.DUMMYFUNCTION("""COMPUTED_VALUE"""),68.66)</f>
        <v>68.66</v>
      </c>
      <c r="X374" s="26">
        <f>IFERROR(__xludf.DUMMYFUNCTION("""COMPUTED_VALUE"""),97.96)</f>
        <v>97.96</v>
      </c>
      <c r="Y374" s="26">
        <f>IFERROR(__xludf.DUMMYFUNCTION("""COMPUTED_VALUE"""),168.27)</f>
        <v>168.27</v>
      </c>
      <c r="Z374" s="26">
        <f>IFERROR(__xludf.DUMMYFUNCTION("""COMPUTED_VALUE"""),102.07)</f>
        <v>102.07</v>
      </c>
      <c r="AA374" s="26">
        <f>IFERROR(__xludf.DUMMYFUNCTION("""COMPUTED_VALUE"""),406.88)</f>
        <v>406.88</v>
      </c>
      <c r="AB374" s="26">
        <f>IFERROR(__xludf.DUMMYFUNCTION("""COMPUTED_VALUE"""),81.68)</f>
        <v>81.68</v>
      </c>
      <c r="AC374" s="26">
        <f>IFERROR(__xludf.DUMMYFUNCTION("""COMPUTED_VALUE"""),114.14)</f>
        <v>114.14</v>
      </c>
      <c r="AD374" s="26">
        <f>IFERROR(__xludf.DUMMYFUNCTION("""COMPUTED_VALUE"""),251.88)</f>
        <v>251.88</v>
      </c>
      <c r="AE374" s="26">
        <f>IFERROR(__xludf.DUMMYFUNCTION("""COMPUTED_VALUE"""),399.39)</f>
        <v>399.39</v>
      </c>
      <c r="AF374" s="26">
        <f>IFERROR(__xludf.DUMMYFUNCTION("""COMPUTED_VALUE"""),343.47)</f>
        <v>343.47</v>
      </c>
      <c r="AG374" s="26">
        <f>IFERROR(__xludf.DUMMYFUNCTION("""COMPUTED_VALUE"""),66.87)</f>
        <v>66.87</v>
      </c>
      <c r="AH374" s="26">
        <f>IFERROR(__xludf.DUMMYFUNCTION("""COMPUTED_VALUE"""),123.0)</f>
        <v>123</v>
      </c>
      <c r="AI374" s="26">
        <f>IFERROR(__xludf.DUMMYFUNCTION("""COMPUTED_VALUE"""),790.83)</f>
        <v>790.83</v>
      </c>
      <c r="AJ374" s="26">
        <f>IFERROR(__xludf.DUMMYFUNCTION("""COMPUTED_VALUE"""),383.08)</f>
        <v>383.08</v>
      </c>
      <c r="AK374" s="26">
        <f>IFERROR(__xludf.DUMMYFUNCTION("""COMPUTED_VALUE"""),164.92)</f>
        <v>164.92</v>
      </c>
      <c r="AL374" s="26">
        <f>IFERROR(__xludf.DUMMYFUNCTION("""COMPUTED_VALUE"""),146.98)</f>
        <v>146.98</v>
      </c>
      <c r="AM374" s="26">
        <f>IFERROR(__xludf.DUMMYFUNCTION("""COMPUTED_VALUE"""),538.82)</f>
        <v>538.82</v>
      </c>
      <c r="AN374" s="26">
        <f>IFERROR(__xludf.DUMMYFUNCTION("""COMPUTED_VALUE"""),309.25)</f>
        <v>309.25</v>
      </c>
      <c r="AO374" s="26">
        <f>IFERROR(__xludf.DUMMYFUNCTION("""COMPUTED_VALUE"""),484.98)</f>
        <v>484.98</v>
      </c>
      <c r="AP374" s="26">
        <f>IFERROR(__xludf.DUMMYFUNCTION("""COMPUTED_VALUE"""),160.66)</f>
        <v>160.66</v>
      </c>
      <c r="AQ374" s="26">
        <f>IFERROR(__xludf.DUMMYFUNCTION("""COMPUTED_VALUE"""),32.85)</f>
        <v>32.85</v>
      </c>
      <c r="AR374" s="26">
        <f>IFERROR(__xludf.DUMMYFUNCTION("""COMPUTED_VALUE"""),90.42)</f>
        <v>90.42</v>
      </c>
      <c r="AS374" s="26">
        <f>IFERROR(__xludf.DUMMYFUNCTION("""COMPUTED_VALUE"""),79.46)</f>
        <v>79.46</v>
      </c>
      <c r="AT374" s="26">
        <f>IFERROR(__xludf.DUMMYFUNCTION("""COMPUTED_VALUE"""),514.33)</f>
        <v>514.33</v>
      </c>
      <c r="AU374" s="26">
        <f>IFERROR(__xludf.DUMMYFUNCTION("""COMPUTED_VALUE"""),81.69)</f>
        <v>81.69</v>
      </c>
      <c r="AV374" s="26">
        <f>IFERROR(__xludf.DUMMYFUNCTION("""COMPUTED_VALUE"""),198.69)</f>
        <v>198.69</v>
      </c>
      <c r="AW374" s="26">
        <f>IFERROR(__xludf.DUMMYFUNCTION("""COMPUTED_VALUE"""),90.7)</f>
        <v>90.7</v>
      </c>
      <c r="AX374" s="26">
        <f>IFERROR(__xludf.DUMMYFUNCTION("""COMPUTED_VALUE"""),36.2)</f>
        <v>36.2</v>
      </c>
      <c r="AY374" s="26">
        <f>IFERROR(__xludf.DUMMYFUNCTION("""COMPUTED_VALUE"""),190.74)</f>
        <v>190.74</v>
      </c>
      <c r="AZ374" s="26">
        <f>IFERROR(__xludf.DUMMYFUNCTION("""COMPUTED_VALUE"""),66.08)</f>
        <v>66.08</v>
      </c>
      <c r="BA374" s="26">
        <f>IFERROR(__xludf.DUMMYFUNCTION("""COMPUTED_VALUE"""),24.3)</f>
        <v>24.3</v>
      </c>
      <c r="BB374" s="26">
        <f>IFERROR(__xludf.DUMMYFUNCTION("""COMPUTED_VALUE"""),175.61)</f>
        <v>175.61</v>
      </c>
      <c r="BC374" s="26">
        <f>IFERROR(__xludf.DUMMYFUNCTION("""COMPUTED_VALUE"""),206.29)</f>
        <v>206.29</v>
      </c>
      <c r="BD374" s="26">
        <f>IFERROR(__xludf.DUMMYFUNCTION("""COMPUTED_VALUE"""),565.24)</f>
        <v>565.24</v>
      </c>
      <c r="BE374" s="26">
        <f>IFERROR(__xludf.DUMMYFUNCTION("""COMPUTED_VALUE"""),203.89)</f>
        <v>203.89</v>
      </c>
      <c r="BF374" s="26">
        <f>IFERROR(__xludf.DUMMYFUNCTION("""COMPUTED_VALUE"""),122.21)</f>
        <v>122.21</v>
      </c>
      <c r="BG374" s="26">
        <f>IFERROR(__xludf.DUMMYFUNCTION("""COMPUTED_VALUE"""),4.48)</f>
        <v>4.48</v>
      </c>
      <c r="BH374" s="26">
        <f>IFERROR(__xludf.DUMMYFUNCTION("""COMPUTED_VALUE"""),220.91)</f>
        <v>220.91</v>
      </c>
      <c r="BI374" s="26">
        <f>IFERROR(__xludf.DUMMYFUNCTION("""COMPUTED_VALUE"""),330.83)</f>
        <v>330.83</v>
      </c>
      <c r="BJ374" s="26">
        <f>IFERROR(__xludf.DUMMYFUNCTION("""COMPUTED_VALUE"""),50.05)</f>
        <v>50.05</v>
      </c>
      <c r="BK374" s="26">
        <f>IFERROR(__xludf.DUMMYFUNCTION("""COMPUTED_VALUE"""),10.49)</f>
        <v>10.49</v>
      </c>
      <c r="BL374" s="26">
        <f>IFERROR(__xludf.DUMMYFUNCTION("""COMPUTED_VALUE"""),200.68)</f>
        <v>200.68</v>
      </c>
      <c r="BM374" s="26">
        <f>IFERROR(__xludf.DUMMYFUNCTION("""COMPUTED_VALUE"""),111.47)</f>
        <v>111.47</v>
      </c>
    </row>
    <row r="375">
      <c r="A375" s="25"/>
      <c r="B375" s="17">
        <f>IFERROR(__xludf.DUMMYFUNCTION("""COMPUTED_VALUE"""),6796.29)</f>
        <v>6796.29</v>
      </c>
      <c r="C375" s="17">
        <f>IFERROR(__xludf.DUMMYFUNCTION("""COMPUTED_VALUE"""),23499.8)</f>
        <v>23499.8</v>
      </c>
      <c r="D375" s="17">
        <f>IFERROR(__xludf.DUMMYFUNCTION("""COMPUTED_VALUE"""),47311.0)</f>
        <v>47311</v>
      </c>
      <c r="E375" s="17">
        <f>IFERROR(__xludf.DUMMYFUNCTION("""COMPUTED_VALUE"""),2464.78)</f>
        <v>2464.78</v>
      </c>
      <c r="F375" s="26">
        <f>IFERROR(__xludf.DUMMYFUNCTION("""COMPUTED_VALUE"""),335.53)</f>
        <v>335.53</v>
      </c>
      <c r="G375" s="26">
        <f>IFERROR(__xludf.DUMMYFUNCTION("""COMPUTED_VALUE"""),250.2)</f>
        <v>250.2</v>
      </c>
      <c r="H375" s="26">
        <f>IFERROR(__xludf.DUMMYFUNCTION("""COMPUTED_VALUE"""),130.97)</f>
        <v>130.97</v>
      </c>
      <c r="I375" s="26">
        <f>IFERROR(__xludf.DUMMYFUNCTION("""COMPUTED_VALUE"""),270.14)</f>
        <v>270.14</v>
      </c>
      <c r="J375" s="26">
        <f>IFERROR(__xludf.DUMMYFUNCTION("""COMPUTED_VALUE"""),240.89)</f>
        <v>240.89</v>
      </c>
      <c r="K375" s="26">
        <f>IFERROR(__xludf.DUMMYFUNCTION("""COMPUTED_VALUE"""),108.69)</f>
        <v>108.69</v>
      </c>
      <c r="L375" s="26">
        <f>IFERROR(__xludf.DUMMYFUNCTION("""COMPUTED_VALUE"""),21.26)</f>
        <v>21.26</v>
      </c>
      <c r="M375" s="26">
        <f>IFERROR(__xludf.DUMMYFUNCTION("""COMPUTED_VALUE"""),488.77)</f>
        <v>488.77</v>
      </c>
      <c r="N375" s="26">
        <f>IFERROR(__xludf.DUMMYFUNCTION("""COMPUTED_VALUE"""),55.51)</f>
        <v>55.51</v>
      </c>
      <c r="O375" s="26">
        <f>IFERROR(__xludf.DUMMYFUNCTION("""COMPUTED_VALUE"""),153.43)</f>
        <v>153.43</v>
      </c>
      <c r="P375" s="26">
        <f>IFERROR(__xludf.DUMMYFUNCTION("""COMPUTED_VALUE"""),56.85)</f>
        <v>56.85</v>
      </c>
      <c r="Q375" s="26">
        <f>IFERROR(__xludf.DUMMYFUNCTION("""COMPUTED_VALUE"""),569.15)</f>
        <v>569.15</v>
      </c>
      <c r="R375" s="26">
        <f>IFERROR(__xludf.DUMMYFUNCTION("""COMPUTED_VALUE"""),95.24)</f>
        <v>95.24</v>
      </c>
      <c r="S375" s="26">
        <f>IFERROR(__xludf.DUMMYFUNCTION("""COMPUTED_VALUE"""),195.41)</f>
        <v>195.41</v>
      </c>
      <c r="T375" s="26">
        <f>IFERROR(__xludf.DUMMYFUNCTION("""COMPUTED_VALUE"""),152.66)</f>
        <v>152.66</v>
      </c>
      <c r="U375" s="26">
        <f>IFERROR(__xludf.DUMMYFUNCTION("""COMPUTED_VALUE"""),259.58)</f>
        <v>259.58</v>
      </c>
      <c r="V375" s="26">
        <f>IFERROR(__xludf.DUMMYFUNCTION("""COMPUTED_VALUE"""),51.44)</f>
        <v>51.44</v>
      </c>
      <c r="W375" s="26">
        <f>IFERROR(__xludf.DUMMYFUNCTION("""COMPUTED_VALUE"""),68.51)</f>
        <v>68.51</v>
      </c>
      <c r="X375" s="26">
        <f>IFERROR(__xludf.DUMMYFUNCTION("""COMPUTED_VALUE"""),96.11)</f>
        <v>96.11</v>
      </c>
      <c r="Y375" s="26">
        <f>IFERROR(__xludf.DUMMYFUNCTION("""COMPUTED_VALUE"""),166.52)</f>
        <v>166.52</v>
      </c>
      <c r="Z375" s="26">
        <f>IFERROR(__xludf.DUMMYFUNCTION("""COMPUTED_VALUE"""),104.92)</f>
        <v>104.92</v>
      </c>
      <c r="AA375" s="26">
        <f>IFERROR(__xludf.DUMMYFUNCTION("""COMPUTED_VALUE"""),400.41)</f>
        <v>400.41</v>
      </c>
      <c r="AB375" s="26">
        <f>IFERROR(__xludf.DUMMYFUNCTION("""COMPUTED_VALUE"""),81.01)</f>
        <v>81.01</v>
      </c>
      <c r="AC375" s="26">
        <f>IFERROR(__xludf.DUMMYFUNCTION("""COMPUTED_VALUE"""),113.68)</f>
        <v>113.68</v>
      </c>
      <c r="AD375" s="26">
        <f>IFERROR(__xludf.DUMMYFUNCTION("""COMPUTED_VALUE"""),256.1)</f>
        <v>256.1</v>
      </c>
      <c r="AE375" s="26">
        <f>IFERROR(__xludf.DUMMYFUNCTION("""COMPUTED_VALUE"""),406.67)</f>
        <v>406.67</v>
      </c>
      <c r="AF375" s="26">
        <f>IFERROR(__xludf.DUMMYFUNCTION("""COMPUTED_VALUE"""),342.91)</f>
        <v>342.91</v>
      </c>
      <c r="AG375" s="26">
        <f>IFERROR(__xludf.DUMMYFUNCTION("""COMPUTED_VALUE"""),68.77)</f>
        <v>68.77</v>
      </c>
      <c r="AH375" s="26">
        <f>IFERROR(__xludf.DUMMYFUNCTION("""COMPUTED_VALUE"""),122.58)</f>
        <v>122.58</v>
      </c>
      <c r="AI375" s="26">
        <f>IFERROR(__xludf.DUMMYFUNCTION("""COMPUTED_VALUE"""),793.09)</f>
        <v>793.09</v>
      </c>
      <c r="AJ375" s="26">
        <f>IFERROR(__xludf.DUMMYFUNCTION("""COMPUTED_VALUE"""),373.84)</f>
        <v>373.84</v>
      </c>
      <c r="AK375" s="26">
        <f>IFERROR(__xludf.DUMMYFUNCTION("""COMPUTED_VALUE"""),167.57)</f>
        <v>167.57</v>
      </c>
      <c r="AL375" s="26">
        <f>IFERROR(__xludf.DUMMYFUNCTION("""COMPUTED_VALUE"""),146.21)</f>
        <v>146.21</v>
      </c>
      <c r="AM375" s="26">
        <f>IFERROR(__xludf.DUMMYFUNCTION("""COMPUTED_VALUE"""),548.55)</f>
        <v>548.55</v>
      </c>
      <c r="AN375" s="26">
        <f>IFERROR(__xludf.DUMMYFUNCTION("""COMPUTED_VALUE"""),311.68)</f>
        <v>311.68</v>
      </c>
      <c r="AO375" s="26">
        <f>IFERROR(__xludf.DUMMYFUNCTION("""COMPUTED_VALUE"""),473.14)</f>
        <v>473.14</v>
      </c>
      <c r="AP375" s="26">
        <f>IFERROR(__xludf.DUMMYFUNCTION("""COMPUTED_VALUE"""),167.59)</f>
        <v>167.59</v>
      </c>
      <c r="AQ375" s="26">
        <f>IFERROR(__xludf.DUMMYFUNCTION("""COMPUTED_VALUE"""),33.3)</f>
        <v>33.3</v>
      </c>
      <c r="AR375" s="26">
        <f>IFERROR(__xludf.DUMMYFUNCTION("""COMPUTED_VALUE"""),90.4)</f>
        <v>90.4</v>
      </c>
      <c r="AS375" s="26">
        <f>IFERROR(__xludf.DUMMYFUNCTION("""COMPUTED_VALUE"""),78.68)</f>
        <v>78.68</v>
      </c>
      <c r="AT375" s="26">
        <f>IFERROR(__xludf.DUMMYFUNCTION("""COMPUTED_VALUE"""),507.16)</f>
        <v>507.16</v>
      </c>
      <c r="AU375" s="26">
        <f>IFERROR(__xludf.DUMMYFUNCTION("""COMPUTED_VALUE"""),82.14)</f>
        <v>82.14</v>
      </c>
      <c r="AV375" s="26">
        <f>IFERROR(__xludf.DUMMYFUNCTION("""COMPUTED_VALUE"""),195.21)</f>
        <v>195.21</v>
      </c>
      <c r="AW375" s="26">
        <f>IFERROR(__xludf.DUMMYFUNCTION("""COMPUTED_VALUE"""),91.24)</f>
        <v>91.24</v>
      </c>
      <c r="AX375" s="26">
        <f>IFERROR(__xludf.DUMMYFUNCTION("""COMPUTED_VALUE"""),36.08)</f>
        <v>36.08</v>
      </c>
      <c r="AY375" s="26">
        <f>IFERROR(__xludf.DUMMYFUNCTION("""COMPUTED_VALUE"""),187.9)</f>
        <v>187.9</v>
      </c>
      <c r="AZ375" s="26">
        <f>IFERROR(__xludf.DUMMYFUNCTION("""COMPUTED_VALUE"""),68.06)</f>
        <v>68.06</v>
      </c>
      <c r="BA375" s="26">
        <f>IFERROR(__xludf.DUMMYFUNCTION("""COMPUTED_VALUE"""),24.61)</f>
        <v>24.61</v>
      </c>
      <c r="BB375" s="26">
        <f>IFERROR(__xludf.DUMMYFUNCTION("""COMPUTED_VALUE"""),174.0)</f>
        <v>174</v>
      </c>
      <c r="BC375" s="26">
        <f>IFERROR(__xludf.DUMMYFUNCTION("""COMPUTED_VALUE"""),204.74)</f>
        <v>204.74</v>
      </c>
      <c r="BD375" s="26">
        <f>IFERROR(__xludf.DUMMYFUNCTION("""COMPUTED_VALUE"""),567.64)</f>
        <v>567.64</v>
      </c>
      <c r="BE375" s="26">
        <f>IFERROR(__xludf.DUMMYFUNCTION("""COMPUTED_VALUE"""),199.15)</f>
        <v>199.15</v>
      </c>
      <c r="BF375" s="26">
        <f>IFERROR(__xludf.DUMMYFUNCTION("""COMPUTED_VALUE"""),124.46)</f>
        <v>124.46</v>
      </c>
      <c r="BG375" s="26">
        <f>IFERROR(__xludf.DUMMYFUNCTION("""COMPUTED_VALUE"""),4.61)</f>
        <v>4.61</v>
      </c>
      <c r="BH375" s="26">
        <f>IFERROR(__xludf.DUMMYFUNCTION("""COMPUTED_VALUE"""),217.38)</f>
        <v>217.38</v>
      </c>
      <c r="BI375" s="26">
        <f>IFERROR(__xludf.DUMMYFUNCTION("""COMPUTED_VALUE"""),327.74)</f>
        <v>327.74</v>
      </c>
      <c r="BJ375" s="26">
        <f>IFERROR(__xludf.DUMMYFUNCTION("""COMPUTED_VALUE"""),49.99)</f>
        <v>49.99</v>
      </c>
      <c r="BK375" s="26">
        <f>IFERROR(__xludf.DUMMYFUNCTION("""COMPUTED_VALUE"""),10.75)</f>
        <v>10.75</v>
      </c>
      <c r="BL375" s="26">
        <f>IFERROR(__xludf.DUMMYFUNCTION("""COMPUTED_VALUE"""),200.54)</f>
        <v>200.54</v>
      </c>
      <c r="BM375" s="26">
        <f>IFERROR(__xludf.DUMMYFUNCTION("""COMPUTED_VALUE"""),111.36)</f>
        <v>111.36</v>
      </c>
    </row>
    <row r="376">
      <c r="A376" s="25"/>
      <c r="B376" s="17">
        <f>IFERROR(__xludf.DUMMYFUNCTION("""COMPUTED_VALUE"""),6720.32)</f>
        <v>6720.32</v>
      </c>
      <c r="C376" s="17">
        <f>IFERROR(__xludf.DUMMYFUNCTION("""COMPUTED_VALUE"""),23053.99)</f>
        <v>23053.99</v>
      </c>
      <c r="D376" s="17">
        <f>IFERROR(__xludf.DUMMYFUNCTION("""COMPUTED_VALUE"""),46912.3)</f>
        <v>46912.3</v>
      </c>
      <c r="E376" s="17">
        <f>IFERROR(__xludf.DUMMYFUNCTION("""COMPUTED_VALUE"""),2418.82)</f>
        <v>2418.82</v>
      </c>
      <c r="F376" s="26">
        <f>IFERROR(__xludf.DUMMYFUNCTION("""COMPUTED_VALUE"""),327.35)</f>
        <v>327.35</v>
      </c>
      <c r="G376" s="26">
        <f>IFERROR(__xludf.DUMMYFUNCTION("""COMPUTED_VALUE"""),243.04)</f>
        <v>243.04</v>
      </c>
      <c r="H376" s="26">
        <f>IFERROR(__xludf.DUMMYFUNCTION("""COMPUTED_VALUE"""),129.5)</f>
        <v>129.5</v>
      </c>
      <c r="I376" s="26">
        <f>IFERROR(__xludf.DUMMYFUNCTION("""COMPUTED_VALUE"""),269.77)</f>
        <v>269.77</v>
      </c>
      <c r="J376" s="26">
        <f>IFERROR(__xludf.DUMMYFUNCTION("""COMPUTED_VALUE"""),233.53)</f>
        <v>233.53</v>
      </c>
      <c r="K376" s="26">
        <f>IFERROR(__xludf.DUMMYFUNCTION("""COMPUTED_VALUE"""),108.42)</f>
        <v>108.42</v>
      </c>
      <c r="L376" s="26">
        <f>IFERROR(__xludf.DUMMYFUNCTION("""COMPUTED_VALUE"""),21.59)</f>
        <v>21.59</v>
      </c>
      <c r="M376" s="26">
        <f>IFERROR(__xludf.DUMMYFUNCTION("""COMPUTED_VALUE"""),493.15)</f>
        <v>493.15</v>
      </c>
      <c r="N376" s="26">
        <f>IFERROR(__xludf.DUMMYFUNCTION("""COMPUTED_VALUE"""),55.61)</f>
        <v>55.61</v>
      </c>
      <c r="O376" s="26">
        <f>IFERROR(__xludf.DUMMYFUNCTION("""COMPUTED_VALUE"""),156.74)</f>
        <v>156.74</v>
      </c>
      <c r="P376" s="26">
        <f>IFERROR(__xludf.DUMMYFUNCTION("""COMPUTED_VALUE"""),56.57)</f>
        <v>56.57</v>
      </c>
      <c r="Q376" s="26">
        <f>IFERROR(__xludf.DUMMYFUNCTION("""COMPUTED_VALUE"""),569.78)</f>
        <v>569.78</v>
      </c>
      <c r="R376" s="26">
        <f>IFERROR(__xludf.DUMMYFUNCTION("""COMPUTED_VALUE"""),90.24)</f>
        <v>90.24</v>
      </c>
      <c r="S376" s="26">
        <f>IFERROR(__xludf.DUMMYFUNCTION("""COMPUTED_VALUE"""),196.52)</f>
        <v>196.52</v>
      </c>
      <c r="T376" s="26">
        <f>IFERROR(__xludf.DUMMYFUNCTION("""COMPUTED_VALUE"""),152.94)</f>
        <v>152.94</v>
      </c>
      <c r="U376" s="26">
        <f>IFERROR(__xludf.DUMMYFUNCTION("""COMPUTED_VALUE"""),256.38)</f>
        <v>256.38</v>
      </c>
      <c r="V376" s="26">
        <f>IFERROR(__xludf.DUMMYFUNCTION("""COMPUTED_VALUE"""),50.9)</f>
        <v>50.9</v>
      </c>
      <c r="W376" s="26">
        <f>IFERROR(__xludf.DUMMYFUNCTION("""COMPUTED_VALUE"""),69.06)</f>
        <v>69.06</v>
      </c>
      <c r="X376" s="26">
        <f>IFERROR(__xludf.DUMMYFUNCTION("""COMPUTED_VALUE"""),96.99)</f>
        <v>96.99</v>
      </c>
      <c r="Y376" s="26">
        <f>IFERROR(__xludf.DUMMYFUNCTION("""COMPUTED_VALUE"""),168.35)</f>
        <v>168.35</v>
      </c>
      <c r="Z376" s="26">
        <f>IFERROR(__xludf.DUMMYFUNCTION("""COMPUTED_VALUE"""),101.97)</f>
        <v>101.97</v>
      </c>
      <c r="AA376" s="26">
        <f>IFERROR(__xludf.DUMMYFUNCTION("""COMPUTED_VALUE"""),401.46)</f>
        <v>401.46</v>
      </c>
      <c r="AB376" s="26">
        <f>IFERROR(__xludf.DUMMYFUNCTION("""COMPUTED_VALUE"""),80.85)</f>
        <v>80.85</v>
      </c>
      <c r="AC376" s="26">
        <f>IFERROR(__xludf.DUMMYFUNCTION("""COMPUTED_VALUE"""),114.5)</f>
        <v>114.5</v>
      </c>
      <c r="AD376" s="26">
        <f>IFERROR(__xludf.DUMMYFUNCTION("""COMPUTED_VALUE"""),258.86)</f>
        <v>258.86</v>
      </c>
      <c r="AE376" s="26">
        <f>IFERROR(__xludf.DUMMYFUNCTION("""COMPUTED_VALUE"""),405.62)</f>
        <v>405.62</v>
      </c>
      <c r="AF376" s="26">
        <f>IFERROR(__xludf.DUMMYFUNCTION("""COMPUTED_VALUE"""),340.3)</f>
        <v>340.3</v>
      </c>
      <c r="AG376" s="26">
        <f>IFERROR(__xludf.DUMMYFUNCTION("""COMPUTED_VALUE"""),68.84)</f>
        <v>68.84</v>
      </c>
      <c r="AH376" s="26">
        <f>IFERROR(__xludf.DUMMYFUNCTION("""COMPUTED_VALUE"""),123.4)</f>
        <v>123.4</v>
      </c>
      <c r="AI376" s="26">
        <f>IFERROR(__xludf.DUMMYFUNCTION("""COMPUTED_VALUE"""),787.58)</f>
        <v>787.58</v>
      </c>
      <c r="AJ376" s="26">
        <f>IFERROR(__xludf.DUMMYFUNCTION("""COMPUTED_VALUE"""),369.07)</f>
        <v>369.07</v>
      </c>
      <c r="AK376" s="26">
        <f>IFERROR(__xludf.DUMMYFUNCTION("""COMPUTED_VALUE"""),166.54)</f>
        <v>166.54</v>
      </c>
      <c r="AL376" s="26">
        <f>IFERROR(__xludf.DUMMYFUNCTION("""COMPUTED_VALUE"""),147.52)</f>
        <v>147.52</v>
      </c>
      <c r="AM376" s="26">
        <f>IFERROR(__xludf.DUMMYFUNCTION("""COMPUTED_VALUE"""),547.78)</f>
        <v>547.78</v>
      </c>
      <c r="AN376" s="26">
        <f>IFERROR(__xludf.DUMMYFUNCTION("""COMPUTED_VALUE"""),313.42)</f>
        <v>313.42</v>
      </c>
      <c r="AO376" s="26">
        <f>IFERROR(__xludf.DUMMYFUNCTION("""COMPUTED_VALUE"""),468.92)</f>
        <v>468.92</v>
      </c>
      <c r="AP376" s="26">
        <f>IFERROR(__xludf.DUMMYFUNCTION("""COMPUTED_VALUE"""),163.55)</f>
        <v>163.55</v>
      </c>
      <c r="AQ376" s="26">
        <f>IFERROR(__xludf.DUMMYFUNCTION("""COMPUTED_VALUE"""),33.18)</f>
        <v>33.18</v>
      </c>
      <c r="AR376" s="26">
        <f>IFERROR(__xludf.DUMMYFUNCTION("""COMPUTED_VALUE"""),90.06)</f>
        <v>90.06</v>
      </c>
      <c r="AS376" s="26">
        <f>IFERROR(__xludf.DUMMYFUNCTION("""COMPUTED_VALUE"""),75.97)</f>
        <v>75.97</v>
      </c>
      <c r="AT376" s="26">
        <f>IFERROR(__xludf.DUMMYFUNCTION("""COMPUTED_VALUE"""),497.1)</f>
        <v>497.1</v>
      </c>
      <c r="AU376" s="26">
        <f>IFERROR(__xludf.DUMMYFUNCTION("""COMPUTED_VALUE"""),82.0)</f>
        <v>82</v>
      </c>
      <c r="AV376" s="26">
        <f>IFERROR(__xludf.DUMMYFUNCTION("""COMPUTED_VALUE"""),188.08)</f>
        <v>188.08</v>
      </c>
      <c r="AW376" s="26">
        <f>IFERROR(__xludf.DUMMYFUNCTION("""COMPUTED_VALUE"""),91.15)</f>
        <v>91.15</v>
      </c>
      <c r="AX376" s="26">
        <f>IFERROR(__xludf.DUMMYFUNCTION("""COMPUTED_VALUE"""),35.51)</f>
        <v>35.51</v>
      </c>
      <c r="AY376" s="26">
        <f>IFERROR(__xludf.DUMMYFUNCTION("""COMPUTED_VALUE"""),175.05)</f>
        <v>175.05</v>
      </c>
      <c r="AZ376" s="26">
        <f>IFERROR(__xludf.DUMMYFUNCTION("""COMPUTED_VALUE"""),66.26)</f>
        <v>66.26</v>
      </c>
      <c r="BA376" s="26">
        <f>IFERROR(__xludf.DUMMYFUNCTION("""COMPUTED_VALUE"""),24.85)</f>
        <v>24.85</v>
      </c>
      <c r="BB376" s="26">
        <f>IFERROR(__xludf.DUMMYFUNCTION("""COMPUTED_VALUE"""),175.1)</f>
        <v>175.1</v>
      </c>
      <c r="BC376" s="26">
        <f>IFERROR(__xludf.DUMMYFUNCTION("""COMPUTED_VALUE"""),201.01)</f>
        <v>201.01</v>
      </c>
      <c r="BD376" s="26">
        <f>IFERROR(__xludf.DUMMYFUNCTION("""COMPUTED_VALUE"""),565.98)</f>
        <v>565.98</v>
      </c>
      <c r="BE376" s="26">
        <f>IFERROR(__xludf.DUMMYFUNCTION("""COMPUTED_VALUE"""),202.94)</f>
        <v>202.94</v>
      </c>
      <c r="BF376" s="26">
        <f>IFERROR(__xludf.DUMMYFUNCTION("""COMPUTED_VALUE"""),124.98)</f>
        <v>124.98</v>
      </c>
      <c r="BG376" s="26">
        <f>IFERROR(__xludf.DUMMYFUNCTION("""COMPUTED_VALUE"""),4.55)</f>
        <v>4.55</v>
      </c>
      <c r="BH376" s="26">
        <f>IFERROR(__xludf.DUMMYFUNCTION("""COMPUTED_VALUE"""),217.99)</f>
        <v>217.99</v>
      </c>
      <c r="BI376" s="26">
        <f>IFERROR(__xludf.DUMMYFUNCTION("""COMPUTED_VALUE"""),321.56)</f>
        <v>321.56</v>
      </c>
      <c r="BJ376" s="26">
        <f>IFERROR(__xludf.DUMMYFUNCTION("""COMPUTED_VALUE"""),50.03)</f>
        <v>50.03</v>
      </c>
      <c r="BK376" s="26">
        <f>IFERROR(__xludf.DUMMYFUNCTION("""COMPUTED_VALUE"""),10.11)</f>
        <v>10.11</v>
      </c>
      <c r="BL376" s="26">
        <f>IFERROR(__xludf.DUMMYFUNCTION("""COMPUTED_VALUE"""),199.62)</f>
        <v>199.62</v>
      </c>
      <c r="BM376" s="26">
        <f>IFERROR(__xludf.DUMMYFUNCTION("""COMPUTED_VALUE"""),110.49)</f>
        <v>110.49</v>
      </c>
    </row>
    <row r="377">
      <c r="A377" s="25"/>
      <c r="B377" s="17">
        <f>IFERROR(__xludf.DUMMYFUNCTION("""COMPUTED_VALUE"""),6728.8)</f>
        <v>6728.8</v>
      </c>
      <c r="C377" s="17">
        <f>IFERROR(__xludf.DUMMYFUNCTION("""COMPUTED_VALUE"""),23004.54)</f>
        <v>23004.54</v>
      </c>
      <c r="D377" s="17">
        <f>IFERROR(__xludf.DUMMYFUNCTION("""COMPUTED_VALUE"""),46987.1)</f>
        <v>46987.1</v>
      </c>
      <c r="E377" s="17">
        <f>IFERROR(__xludf.DUMMYFUNCTION("""COMPUTED_VALUE"""),2432.82)</f>
        <v>2432.82</v>
      </c>
      <c r="F377" s="26">
        <f>IFERROR(__xludf.DUMMYFUNCTION("""COMPUTED_VALUE"""),326.95)</f>
        <v>326.95</v>
      </c>
      <c r="G377" s="26">
        <f>IFERROR(__xludf.DUMMYFUNCTION("""COMPUTED_VALUE"""),244.41)</f>
        <v>244.41</v>
      </c>
      <c r="H377" s="26">
        <f>IFERROR(__xludf.DUMMYFUNCTION("""COMPUTED_VALUE"""),130.84)</f>
        <v>130.84</v>
      </c>
      <c r="I377" s="26">
        <f>IFERROR(__xludf.DUMMYFUNCTION("""COMPUTED_VALUE"""),268.47)</f>
        <v>268.47</v>
      </c>
      <c r="J377" s="26">
        <f>IFERROR(__xludf.DUMMYFUNCTION("""COMPUTED_VALUE"""),230.07)</f>
        <v>230.07</v>
      </c>
      <c r="K377" s="26">
        <f>IFERROR(__xludf.DUMMYFUNCTION("""COMPUTED_VALUE"""),109.64)</f>
        <v>109.64</v>
      </c>
      <c r="L377" s="26">
        <f>IFERROR(__xludf.DUMMYFUNCTION("""COMPUTED_VALUE"""),21.75)</f>
        <v>21.75</v>
      </c>
      <c r="M377" s="26">
        <f>IFERROR(__xludf.DUMMYFUNCTION("""COMPUTED_VALUE"""),499.06)</f>
        <v>499.06</v>
      </c>
      <c r="N377" s="26">
        <f>IFERROR(__xludf.DUMMYFUNCTION("""COMPUTED_VALUE"""),55.16)</f>
        <v>55.16</v>
      </c>
      <c r="O377" s="26">
        <f>IFERROR(__xludf.DUMMYFUNCTION("""COMPUTED_VALUE"""),155.51)</f>
        <v>155.51</v>
      </c>
      <c r="P377" s="26">
        <f>IFERROR(__xludf.DUMMYFUNCTION("""COMPUTED_VALUE"""),57.51)</f>
        <v>57.51</v>
      </c>
      <c r="Q377" s="26">
        <f>IFERROR(__xludf.DUMMYFUNCTION("""COMPUTED_VALUE"""),563.1)</f>
        <v>563.1</v>
      </c>
      <c r="R377" s="26">
        <f>IFERROR(__xludf.DUMMYFUNCTION("""COMPUTED_VALUE"""),92.26)</f>
        <v>92.26</v>
      </c>
      <c r="S377" s="26">
        <f>IFERROR(__xludf.DUMMYFUNCTION("""COMPUTED_VALUE"""),200.29)</f>
        <v>200.29</v>
      </c>
      <c r="T377" s="26">
        <f>IFERROR(__xludf.DUMMYFUNCTION("""COMPUTED_VALUE"""),155.02)</f>
        <v>155.02</v>
      </c>
      <c r="U377" s="26">
        <f>IFERROR(__xludf.DUMMYFUNCTION("""COMPUTED_VALUE"""),264.58)</f>
        <v>264.58</v>
      </c>
      <c r="V377" s="26">
        <f>IFERROR(__xludf.DUMMYFUNCTION("""COMPUTED_VALUE"""),51.7)</f>
        <v>51.7</v>
      </c>
      <c r="W377" s="26">
        <f>IFERROR(__xludf.DUMMYFUNCTION("""COMPUTED_VALUE"""),70.55)</f>
        <v>70.55</v>
      </c>
      <c r="X377" s="26">
        <f>IFERROR(__xludf.DUMMYFUNCTION("""COMPUTED_VALUE"""),98.52)</f>
        <v>98.52</v>
      </c>
      <c r="Y377" s="26">
        <f>IFERROR(__xludf.DUMMYFUNCTION("""COMPUTED_VALUE"""),169.89)</f>
        <v>169.89</v>
      </c>
      <c r="Z377" s="26">
        <f>IFERROR(__xludf.DUMMYFUNCTION("""COMPUTED_VALUE"""),105.74)</f>
        <v>105.74</v>
      </c>
      <c r="AA377" s="26">
        <f>IFERROR(__xludf.DUMMYFUNCTION("""COMPUTED_VALUE"""),410.18)</f>
        <v>410.18</v>
      </c>
      <c r="AB377" s="26">
        <f>IFERROR(__xludf.DUMMYFUNCTION("""COMPUTED_VALUE"""),83.8)</f>
        <v>83.8</v>
      </c>
      <c r="AC377" s="26">
        <f>IFERROR(__xludf.DUMMYFUNCTION("""COMPUTED_VALUE"""),117.22)</f>
        <v>117.22</v>
      </c>
      <c r="AD377" s="26">
        <f>IFERROR(__xludf.DUMMYFUNCTION("""COMPUTED_VALUE"""),262.09)</f>
        <v>262.09</v>
      </c>
      <c r="AE377" s="26">
        <f>IFERROR(__xludf.DUMMYFUNCTION("""COMPUTED_VALUE"""),413.26)</f>
        <v>413.26</v>
      </c>
      <c r="AF377" s="26">
        <f>IFERROR(__xludf.DUMMYFUNCTION("""COMPUTED_VALUE"""),346.34)</f>
        <v>346.34</v>
      </c>
      <c r="AG377" s="26">
        <f>IFERROR(__xludf.DUMMYFUNCTION("""COMPUTED_VALUE"""),70.75)</f>
        <v>70.75</v>
      </c>
      <c r="AH377" s="26">
        <f>IFERROR(__xludf.DUMMYFUNCTION("""COMPUTED_VALUE"""),118.84)</f>
        <v>118.84</v>
      </c>
      <c r="AI377" s="26">
        <f>IFERROR(__xludf.DUMMYFUNCTION("""COMPUTED_VALUE"""),786.34)</f>
        <v>786.34</v>
      </c>
      <c r="AJ377" s="26">
        <f>IFERROR(__xludf.DUMMYFUNCTION("""COMPUTED_VALUE"""),371.11)</f>
        <v>371.11</v>
      </c>
      <c r="AK377" s="26">
        <f>IFERROR(__xludf.DUMMYFUNCTION("""COMPUTED_VALUE"""),165.69)</f>
        <v>165.69</v>
      </c>
      <c r="AL377" s="26">
        <f>IFERROR(__xludf.DUMMYFUNCTION("""COMPUTED_VALUE"""),149.0)</f>
        <v>149</v>
      </c>
      <c r="AM377" s="26">
        <f>IFERROR(__xludf.DUMMYFUNCTION("""COMPUTED_VALUE"""),560.0)</f>
        <v>560</v>
      </c>
      <c r="AN377" s="26">
        <f>IFERROR(__xludf.DUMMYFUNCTION("""COMPUTED_VALUE"""),314.21)</f>
        <v>314.21</v>
      </c>
      <c r="AO377" s="26">
        <f>IFERROR(__xludf.DUMMYFUNCTION("""COMPUTED_VALUE"""),458.35)</f>
        <v>458.35</v>
      </c>
      <c r="AP377" s="26">
        <f>IFERROR(__xludf.DUMMYFUNCTION("""COMPUTED_VALUE"""),166.13)</f>
        <v>166.13</v>
      </c>
      <c r="AQ377" s="26">
        <f>IFERROR(__xludf.DUMMYFUNCTION("""COMPUTED_VALUE"""),33.41)</f>
        <v>33.41</v>
      </c>
      <c r="AR377" s="26">
        <f>IFERROR(__xludf.DUMMYFUNCTION("""COMPUTED_VALUE"""),92.2)</f>
        <v>92.2</v>
      </c>
      <c r="AS377" s="26">
        <f>IFERROR(__xludf.DUMMYFUNCTION("""COMPUTED_VALUE"""),76.15)</f>
        <v>76.15</v>
      </c>
      <c r="AT377" s="26">
        <f>IFERROR(__xludf.DUMMYFUNCTION("""COMPUTED_VALUE"""),496.82)</f>
        <v>496.82</v>
      </c>
      <c r="AU377" s="26">
        <f>IFERROR(__xludf.DUMMYFUNCTION("""COMPUTED_VALUE"""),83.93)</f>
        <v>83.93</v>
      </c>
      <c r="AV377" s="26">
        <f>IFERROR(__xludf.DUMMYFUNCTION("""COMPUTED_VALUE"""),188.15)</f>
        <v>188.15</v>
      </c>
      <c r="AW377" s="26">
        <f>IFERROR(__xludf.DUMMYFUNCTION("""COMPUTED_VALUE"""),91.02)</f>
        <v>91.02</v>
      </c>
      <c r="AX377" s="26">
        <f>IFERROR(__xludf.DUMMYFUNCTION("""COMPUTED_VALUE"""),35.0)</f>
        <v>35</v>
      </c>
      <c r="AY377" s="26">
        <f>IFERROR(__xludf.DUMMYFUNCTION("""COMPUTED_VALUE"""),177.93)</f>
        <v>177.93</v>
      </c>
      <c r="AZ377" s="26">
        <f>IFERROR(__xludf.DUMMYFUNCTION("""COMPUTED_VALUE"""),66.22)</f>
        <v>66.22</v>
      </c>
      <c r="BA377" s="26">
        <f>IFERROR(__xludf.DUMMYFUNCTION("""COMPUTED_VALUE"""),24.43)</f>
        <v>24.43</v>
      </c>
      <c r="BB377" s="26">
        <f>IFERROR(__xludf.DUMMYFUNCTION("""COMPUTED_VALUE"""),176.97)</f>
        <v>176.97</v>
      </c>
      <c r="BC377" s="26">
        <f>IFERROR(__xludf.DUMMYFUNCTION("""COMPUTED_VALUE"""),207.0)</f>
        <v>207</v>
      </c>
      <c r="BD377" s="26">
        <f>IFERROR(__xludf.DUMMYFUNCTION("""COMPUTED_VALUE"""),572.41)</f>
        <v>572.41</v>
      </c>
      <c r="BE377" s="26">
        <f>IFERROR(__xludf.DUMMYFUNCTION("""COMPUTED_VALUE"""),201.98)</f>
        <v>201.98</v>
      </c>
      <c r="BF377" s="26">
        <f>IFERROR(__xludf.DUMMYFUNCTION("""COMPUTED_VALUE"""),119.17)</f>
        <v>119.17</v>
      </c>
      <c r="BG377" s="26">
        <f>IFERROR(__xludf.DUMMYFUNCTION("""COMPUTED_VALUE"""),4.66)</f>
        <v>4.66</v>
      </c>
      <c r="BH377" s="26">
        <f>IFERROR(__xludf.DUMMYFUNCTION("""COMPUTED_VALUE"""),221.48)</f>
        <v>221.48</v>
      </c>
      <c r="BI377" s="26">
        <f>IFERROR(__xludf.DUMMYFUNCTION("""COMPUTED_VALUE"""),324.21)</f>
        <v>324.21</v>
      </c>
      <c r="BJ377" s="26">
        <f>IFERROR(__xludf.DUMMYFUNCTION("""COMPUTED_VALUE"""),50.06)</f>
        <v>50.06</v>
      </c>
      <c r="BK377" s="26">
        <f>IFERROR(__xludf.DUMMYFUNCTION("""COMPUTED_VALUE"""),10.12)</f>
        <v>10.12</v>
      </c>
      <c r="BL377" s="26">
        <f>IFERROR(__xludf.DUMMYFUNCTION("""COMPUTED_VALUE"""),201.92)</f>
        <v>201.92</v>
      </c>
      <c r="BM377" s="26">
        <f>IFERROR(__xludf.DUMMYFUNCTION("""COMPUTED_VALUE"""),110.74)</f>
        <v>110.74</v>
      </c>
    </row>
    <row r="378">
      <c r="A378" s="25"/>
      <c r="B378" s="17">
        <f>IFERROR(__xludf.DUMMYFUNCTION("""COMPUTED_VALUE"""),6832.43)</f>
        <v>6832.43</v>
      </c>
      <c r="C378" s="17">
        <f>IFERROR(__xludf.DUMMYFUNCTION("""COMPUTED_VALUE"""),23527.17)</f>
        <v>23527.17</v>
      </c>
      <c r="D378" s="17">
        <f>IFERROR(__xludf.DUMMYFUNCTION("""COMPUTED_VALUE"""),47368.63)</f>
        <v>47368.63</v>
      </c>
      <c r="E378" s="17">
        <f>IFERROR(__xludf.DUMMYFUNCTION("""COMPUTED_VALUE"""),2455.65)</f>
        <v>2455.65</v>
      </c>
      <c r="F378" s="26">
        <f>IFERROR(__xludf.DUMMYFUNCTION("""COMPUTED_VALUE"""),328.85)</f>
        <v>328.85</v>
      </c>
      <c r="G378" s="26">
        <f>IFERROR(__xludf.DUMMYFUNCTION("""COMPUTED_VALUE"""),248.4)</f>
        <v>248.4</v>
      </c>
      <c r="H378" s="26">
        <f>IFERROR(__xludf.DUMMYFUNCTION("""COMPUTED_VALUE"""),128.94)</f>
        <v>128.94</v>
      </c>
      <c r="I378" s="26">
        <f>IFERROR(__xludf.DUMMYFUNCTION("""COMPUTED_VALUE"""),269.43)</f>
        <v>269.43</v>
      </c>
      <c r="J378" s="26">
        <f>IFERROR(__xludf.DUMMYFUNCTION("""COMPUTED_VALUE"""),235.08)</f>
        <v>235.08</v>
      </c>
      <c r="K378" s="26">
        <f>IFERROR(__xludf.DUMMYFUNCTION("""COMPUTED_VALUE"""),110.96)</f>
        <v>110.96</v>
      </c>
      <c r="L378" s="26">
        <f>IFERROR(__xludf.DUMMYFUNCTION("""COMPUTED_VALUE"""),22.21)</f>
        <v>22.21</v>
      </c>
      <c r="M378" s="26">
        <f>IFERROR(__xludf.DUMMYFUNCTION("""COMPUTED_VALUE"""),496.98)</f>
        <v>496.98</v>
      </c>
      <c r="N378" s="26">
        <f>IFERROR(__xludf.DUMMYFUNCTION("""COMPUTED_VALUE"""),55.86)</f>
        <v>55.86</v>
      </c>
      <c r="O378" s="26">
        <f>IFERROR(__xludf.DUMMYFUNCTION("""COMPUTED_VALUE"""),156.26)</f>
        <v>156.26</v>
      </c>
      <c r="P378" s="26">
        <f>IFERROR(__xludf.DUMMYFUNCTION("""COMPUTED_VALUE"""),57.33)</f>
        <v>57.33</v>
      </c>
      <c r="Q378" s="26">
        <f>IFERROR(__xludf.DUMMYFUNCTION("""COMPUTED_VALUE"""),570.85)</f>
        <v>570.85</v>
      </c>
      <c r="R378" s="26">
        <f>IFERROR(__xludf.DUMMYFUNCTION("""COMPUTED_VALUE"""),94.24)</f>
        <v>94.24</v>
      </c>
      <c r="S378" s="26">
        <f>IFERROR(__xludf.DUMMYFUNCTION("""COMPUTED_VALUE"""),202.11)</f>
        <v>202.11</v>
      </c>
      <c r="T378" s="26">
        <f>IFERROR(__xludf.DUMMYFUNCTION("""COMPUTED_VALUE"""),155.65)</f>
        <v>155.65</v>
      </c>
      <c r="U378" s="26">
        <f>IFERROR(__xludf.DUMMYFUNCTION("""COMPUTED_VALUE"""),258.16)</f>
        <v>258.16</v>
      </c>
      <c r="V378" s="26">
        <f>IFERROR(__xludf.DUMMYFUNCTION("""COMPUTED_VALUE"""),52.35)</f>
        <v>52.35</v>
      </c>
      <c r="W378" s="26">
        <f>IFERROR(__xludf.DUMMYFUNCTION("""COMPUTED_VALUE"""),70.52)</f>
        <v>70.52</v>
      </c>
      <c r="X378" s="26">
        <f>IFERROR(__xludf.DUMMYFUNCTION("""COMPUTED_VALUE"""),98.24)</f>
        <v>98.24</v>
      </c>
      <c r="Y378" s="26">
        <f>IFERROR(__xludf.DUMMYFUNCTION("""COMPUTED_VALUE"""),169.21)</f>
        <v>169.21</v>
      </c>
      <c r="Z378" s="26">
        <f>IFERROR(__xludf.DUMMYFUNCTION("""COMPUTED_VALUE"""),106.29)</f>
        <v>106.29</v>
      </c>
      <c r="AA378" s="26">
        <f>IFERROR(__xludf.DUMMYFUNCTION("""COMPUTED_VALUE"""),407.59)</f>
        <v>407.59</v>
      </c>
      <c r="AB378" s="26">
        <f>IFERROR(__xludf.DUMMYFUNCTION("""COMPUTED_VALUE"""),85.18)</f>
        <v>85.18</v>
      </c>
      <c r="AC378" s="26">
        <f>IFERROR(__xludf.DUMMYFUNCTION("""COMPUTED_VALUE"""),118.22)</f>
        <v>118.22</v>
      </c>
      <c r="AD378" s="26">
        <f>IFERROR(__xludf.DUMMYFUNCTION("""COMPUTED_VALUE"""),253.89)</f>
        <v>253.89</v>
      </c>
      <c r="AE378" s="26">
        <f>IFERROR(__xludf.DUMMYFUNCTION("""COMPUTED_VALUE"""),411.4)</f>
        <v>411.4</v>
      </c>
      <c r="AF378" s="26">
        <f>IFERROR(__xludf.DUMMYFUNCTION("""COMPUTED_VALUE"""),349.49)</f>
        <v>349.49</v>
      </c>
      <c r="AG378" s="26">
        <f>IFERROR(__xludf.DUMMYFUNCTION("""COMPUTED_VALUE"""),71.05)</f>
        <v>71.05</v>
      </c>
      <c r="AH378" s="26">
        <f>IFERROR(__xludf.DUMMYFUNCTION("""COMPUTED_VALUE"""),118.15)</f>
        <v>118.15</v>
      </c>
      <c r="AI378" s="26">
        <f>IFERROR(__xludf.DUMMYFUNCTION("""COMPUTED_VALUE"""),797.2)</f>
        <v>797.2</v>
      </c>
      <c r="AJ378" s="26">
        <f>IFERROR(__xludf.DUMMYFUNCTION("""COMPUTED_VALUE"""),370.43)</f>
        <v>370.43</v>
      </c>
      <c r="AK378" s="26">
        <f>IFERROR(__xludf.DUMMYFUNCTION("""COMPUTED_VALUE"""),166.2)</f>
        <v>166.2</v>
      </c>
      <c r="AL378" s="26">
        <f>IFERROR(__xludf.DUMMYFUNCTION("""COMPUTED_VALUE"""),149.5)</f>
        <v>149.5</v>
      </c>
      <c r="AM378" s="26">
        <f>IFERROR(__xludf.DUMMYFUNCTION("""COMPUTED_VALUE"""),576.2)</f>
        <v>576.2</v>
      </c>
      <c r="AN378" s="26">
        <f>IFERROR(__xludf.DUMMYFUNCTION("""COMPUTED_VALUE"""),316.89)</f>
        <v>316.89</v>
      </c>
      <c r="AO378" s="26">
        <f>IFERROR(__xludf.DUMMYFUNCTION("""COMPUTED_VALUE"""),452.1)</f>
        <v>452.1</v>
      </c>
      <c r="AP378" s="26">
        <f>IFERROR(__xludf.DUMMYFUNCTION("""COMPUTED_VALUE"""),170.35)</f>
        <v>170.35</v>
      </c>
      <c r="AQ378" s="26">
        <f>IFERROR(__xludf.DUMMYFUNCTION("""COMPUTED_VALUE"""),33.41)</f>
        <v>33.41</v>
      </c>
      <c r="AR378" s="26">
        <f>IFERROR(__xludf.DUMMYFUNCTION("""COMPUTED_VALUE"""),92.66)</f>
        <v>92.66</v>
      </c>
      <c r="AS378" s="26">
        <f>IFERROR(__xludf.DUMMYFUNCTION("""COMPUTED_VALUE"""),77.18)</f>
        <v>77.18</v>
      </c>
      <c r="AT378" s="26">
        <f>IFERROR(__xludf.DUMMYFUNCTION("""COMPUTED_VALUE"""),506.0)</f>
        <v>506</v>
      </c>
      <c r="AU378" s="26">
        <f>IFERROR(__xludf.DUMMYFUNCTION("""COMPUTED_VALUE"""),84.77)</f>
        <v>84.77</v>
      </c>
      <c r="AV378" s="26">
        <f>IFERROR(__xludf.DUMMYFUNCTION("""COMPUTED_VALUE"""),199.05)</f>
        <v>199.05</v>
      </c>
      <c r="AW378" s="26">
        <f>IFERROR(__xludf.DUMMYFUNCTION("""COMPUTED_VALUE"""),90.26)</f>
        <v>90.26</v>
      </c>
      <c r="AX378" s="26">
        <f>IFERROR(__xludf.DUMMYFUNCTION("""COMPUTED_VALUE"""),34.96)</f>
        <v>34.96</v>
      </c>
      <c r="AY378" s="26">
        <f>IFERROR(__xludf.DUMMYFUNCTION("""COMPUTED_VALUE"""),193.61)</f>
        <v>193.61</v>
      </c>
      <c r="AZ378" s="26">
        <f>IFERROR(__xludf.DUMMYFUNCTION("""COMPUTED_VALUE"""),66.25)</f>
        <v>66.25</v>
      </c>
      <c r="BA378" s="26">
        <f>IFERROR(__xludf.DUMMYFUNCTION("""COMPUTED_VALUE"""),24.39)</f>
        <v>24.39</v>
      </c>
      <c r="BB378" s="26">
        <f>IFERROR(__xludf.DUMMYFUNCTION("""COMPUTED_VALUE"""),179.03)</f>
        <v>179.03</v>
      </c>
      <c r="BC378" s="26">
        <f>IFERROR(__xludf.DUMMYFUNCTION("""COMPUTED_VALUE"""),205.87)</f>
        <v>205.87</v>
      </c>
      <c r="BD378" s="26">
        <f>IFERROR(__xludf.DUMMYFUNCTION("""COMPUTED_VALUE"""),576.35)</f>
        <v>576.35</v>
      </c>
      <c r="BE378" s="26">
        <f>IFERROR(__xludf.DUMMYFUNCTION("""COMPUTED_VALUE"""),203.94)</f>
        <v>203.94</v>
      </c>
      <c r="BF378" s="26">
        <f>IFERROR(__xludf.DUMMYFUNCTION("""COMPUTED_VALUE"""),122.39)</f>
        <v>122.39</v>
      </c>
      <c r="BG378" s="26">
        <f>IFERROR(__xludf.DUMMYFUNCTION("""COMPUTED_VALUE"""),4.48)</f>
        <v>4.48</v>
      </c>
      <c r="BH378" s="26">
        <f>IFERROR(__xludf.DUMMYFUNCTION("""COMPUTED_VALUE"""),223.88)</f>
        <v>223.88</v>
      </c>
      <c r="BI378" s="26">
        <f>IFERROR(__xludf.DUMMYFUNCTION("""COMPUTED_VALUE"""),321.58)</f>
        <v>321.58</v>
      </c>
      <c r="BJ378" s="26">
        <f>IFERROR(__xludf.DUMMYFUNCTION("""COMPUTED_VALUE"""),50.05)</f>
        <v>50.05</v>
      </c>
      <c r="BK378" s="26">
        <f>IFERROR(__xludf.DUMMYFUNCTION("""COMPUTED_VALUE"""),10.17)</f>
        <v>10.17</v>
      </c>
      <c r="BL378" s="26">
        <f>IFERROR(__xludf.DUMMYFUNCTION("""COMPUTED_VALUE"""),200.47)</f>
        <v>200.47</v>
      </c>
      <c r="BM378" s="26">
        <f>IFERROR(__xludf.DUMMYFUNCTION("""COMPUTED_VALUE"""),112.24)</f>
        <v>112.24</v>
      </c>
    </row>
    <row r="379">
      <c r="A379" s="25"/>
      <c r="B379" s="17">
        <f>IFERROR(__xludf.DUMMYFUNCTION("""COMPUTED_VALUE"""),6846.61)</f>
        <v>6846.61</v>
      </c>
      <c r="C379" s="17">
        <f>IFERROR(__xludf.DUMMYFUNCTION("""COMPUTED_VALUE"""),23468.3)</f>
        <v>23468.3</v>
      </c>
      <c r="D379" s="17">
        <f>IFERROR(__xludf.DUMMYFUNCTION("""COMPUTED_VALUE"""),47927.96)</f>
        <v>47927.96</v>
      </c>
      <c r="E379" s="17">
        <f>IFERROR(__xludf.DUMMYFUNCTION("""COMPUTED_VALUE"""),2458.28)</f>
        <v>2458.28</v>
      </c>
      <c r="F379" s="26">
        <f>IFERROR(__xludf.DUMMYFUNCTION("""COMPUTED_VALUE"""),333.22)</f>
        <v>333.22</v>
      </c>
      <c r="G379" s="26">
        <f>IFERROR(__xludf.DUMMYFUNCTION("""COMPUTED_VALUE"""),249.1)</f>
        <v>249.1</v>
      </c>
      <c r="H379" s="26">
        <f>IFERROR(__xludf.DUMMYFUNCTION("""COMPUTED_VALUE"""),130.01)</f>
        <v>130.01</v>
      </c>
      <c r="I379" s="26">
        <f>IFERROR(__xludf.DUMMYFUNCTION("""COMPUTED_VALUE"""),275.25)</f>
        <v>275.25</v>
      </c>
      <c r="J379" s="26">
        <f>IFERROR(__xludf.DUMMYFUNCTION("""COMPUTED_VALUE"""),228.67)</f>
        <v>228.67</v>
      </c>
      <c r="K379" s="26">
        <f>IFERROR(__xludf.DUMMYFUNCTION("""COMPUTED_VALUE"""),111.25)</f>
        <v>111.25</v>
      </c>
      <c r="L379" s="26">
        <f>IFERROR(__xludf.DUMMYFUNCTION("""COMPUTED_VALUE"""),22.18)</f>
        <v>22.18</v>
      </c>
      <c r="M379" s="26">
        <f>IFERROR(__xludf.DUMMYFUNCTION("""COMPUTED_VALUE"""),497.07)</f>
        <v>497.07</v>
      </c>
      <c r="N379" s="26">
        <f>IFERROR(__xludf.DUMMYFUNCTION("""COMPUTED_VALUE"""),55.77)</f>
        <v>55.77</v>
      </c>
      <c r="O379" s="26">
        <f>IFERROR(__xludf.DUMMYFUNCTION("""COMPUTED_VALUE"""),159.56)</f>
        <v>159.56</v>
      </c>
      <c r="P379" s="26">
        <f>IFERROR(__xludf.DUMMYFUNCTION("""COMPUTED_VALUE"""),56.97)</f>
        <v>56.97</v>
      </c>
      <c r="Q379" s="26">
        <f>IFERROR(__xludf.DUMMYFUNCTION("""COMPUTED_VALUE"""),567.93)</f>
        <v>567.93</v>
      </c>
      <c r="R379" s="26">
        <f>IFERROR(__xludf.DUMMYFUNCTION("""COMPUTED_VALUE"""),92.52)</f>
        <v>92.52</v>
      </c>
      <c r="S379" s="26">
        <f>IFERROR(__xludf.DUMMYFUNCTION("""COMPUTED_VALUE"""),204.39)</f>
        <v>204.39</v>
      </c>
      <c r="T379" s="26">
        <f>IFERROR(__xludf.DUMMYFUNCTION("""COMPUTED_VALUE"""),156.24)</f>
        <v>156.24</v>
      </c>
      <c r="U379" s="26">
        <f>IFERROR(__xludf.DUMMYFUNCTION("""COMPUTED_VALUE"""),268.0)</f>
        <v>268</v>
      </c>
      <c r="V379" s="26">
        <f>IFERROR(__xludf.DUMMYFUNCTION("""COMPUTED_VALUE"""),52.24)</f>
        <v>52.24</v>
      </c>
      <c r="W379" s="26">
        <f>IFERROR(__xludf.DUMMYFUNCTION("""COMPUTED_VALUE"""),71.61)</f>
        <v>71.61</v>
      </c>
      <c r="X379" s="26">
        <f>IFERROR(__xludf.DUMMYFUNCTION("""COMPUTED_VALUE"""),99.59)</f>
        <v>99.59</v>
      </c>
      <c r="Y379" s="26">
        <f>IFERROR(__xludf.DUMMYFUNCTION("""COMPUTED_VALUE"""),168.57)</f>
        <v>168.57</v>
      </c>
      <c r="Z379" s="26">
        <f>IFERROR(__xludf.DUMMYFUNCTION("""COMPUTED_VALUE"""),105.98)</f>
        <v>105.98</v>
      </c>
      <c r="AA379" s="26">
        <f>IFERROR(__xludf.DUMMYFUNCTION("""COMPUTED_VALUE"""),409.23)</f>
        <v>409.23</v>
      </c>
      <c r="AB379" s="26">
        <f>IFERROR(__xludf.DUMMYFUNCTION("""COMPUTED_VALUE"""),87.26)</f>
        <v>87.26</v>
      </c>
      <c r="AC379" s="26">
        <f>IFERROR(__xludf.DUMMYFUNCTION("""COMPUTED_VALUE"""),119.78)</f>
        <v>119.78</v>
      </c>
      <c r="AD379" s="26">
        <f>IFERROR(__xludf.DUMMYFUNCTION("""COMPUTED_VALUE"""),267.72)</f>
        <v>267.72</v>
      </c>
      <c r="AE379" s="26">
        <f>IFERROR(__xludf.DUMMYFUNCTION("""COMPUTED_VALUE"""),422.46)</f>
        <v>422.46</v>
      </c>
      <c r="AF379" s="26">
        <f>IFERROR(__xludf.DUMMYFUNCTION("""COMPUTED_VALUE"""),352.42)</f>
        <v>352.42</v>
      </c>
      <c r="AG379" s="26">
        <f>IFERROR(__xludf.DUMMYFUNCTION("""COMPUTED_VALUE"""),71.22)</f>
        <v>71.22</v>
      </c>
      <c r="AH379" s="26">
        <f>IFERROR(__xludf.DUMMYFUNCTION("""COMPUTED_VALUE"""),122.56)</f>
        <v>122.56</v>
      </c>
      <c r="AI379" s="26">
        <f>IFERROR(__xludf.DUMMYFUNCTION("""COMPUTED_VALUE"""),810.31)</f>
        <v>810.31</v>
      </c>
      <c r="AJ379" s="26">
        <f>IFERROR(__xludf.DUMMYFUNCTION("""COMPUTED_VALUE"""),374.24)</f>
        <v>374.24</v>
      </c>
      <c r="AK379" s="26">
        <f>IFERROR(__xludf.DUMMYFUNCTION("""COMPUTED_VALUE"""),167.14)</f>
        <v>167.14</v>
      </c>
      <c r="AL379" s="26">
        <f>IFERROR(__xludf.DUMMYFUNCTION("""COMPUTED_VALUE"""),151.99)</f>
        <v>151.99</v>
      </c>
      <c r="AM379" s="26">
        <f>IFERROR(__xludf.DUMMYFUNCTION("""COMPUTED_VALUE"""),572.17)</f>
        <v>572.17</v>
      </c>
      <c r="AN379" s="26">
        <f>IFERROR(__xludf.DUMMYFUNCTION("""COMPUTED_VALUE"""),315.62)</f>
        <v>315.62</v>
      </c>
      <c r="AO379" s="26">
        <f>IFERROR(__xludf.DUMMYFUNCTION("""COMPUTED_VALUE"""),457.07)</f>
        <v>457.07</v>
      </c>
      <c r="AP379" s="26">
        <f>IFERROR(__xludf.DUMMYFUNCTION("""COMPUTED_VALUE"""),169.81)</f>
        <v>169.81</v>
      </c>
      <c r="AQ379" s="26">
        <f>IFERROR(__xludf.DUMMYFUNCTION("""COMPUTED_VALUE"""),33.54)</f>
        <v>33.54</v>
      </c>
      <c r="AR379" s="26">
        <f>IFERROR(__xludf.DUMMYFUNCTION("""COMPUTED_VALUE"""),95.4)</f>
        <v>95.4</v>
      </c>
      <c r="AS379" s="26">
        <f>IFERROR(__xludf.DUMMYFUNCTION("""COMPUTED_VALUE"""),77.79)</f>
        <v>77.79</v>
      </c>
      <c r="AT379" s="26">
        <f>IFERROR(__xludf.DUMMYFUNCTION("""COMPUTED_VALUE"""),508.68)</f>
        <v>508.68</v>
      </c>
      <c r="AU379" s="26">
        <f>IFERROR(__xludf.DUMMYFUNCTION("""COMPUTED_VALUE"""),85.76)</f>
        <v>85.76</v>
      </c>
      <c r="AV379" s="26">
        <f>IFERROR(__xludf.DUMMYFUNCTION("""COMPUTED_VALUE"""),193.16)</f>
        <v>193.16</v>
      </c>
      <c r="AW379" s="26">
        <f>IFERROR(__xludf.DUMMYFUNCTION("""COMPUTED_VALUE"""),90.32)</f>
        <v>90.32</v>
      </c>
      <c r="AX379" s="26">
        <f>IFERROR(__xludf.DUMMYFUNCTION("""COMPUTED_VALUE"""),35.18)</f>
        <v>35.18</v>
      </c>
      <c r="AY379" s="26">
        <f>IFERROR(__xludf.DUMMYFUNCTION("""COMPUTED_VALUE"""),190.96)</f>
        <v>190.96</v>
      </c>
      <c r="AZ379" s="26">
        <f>IFERROR(__xludf.DUMMYFUNCTION("""COMPUTED_VALUE"""),67.4)</f>
        <v>67.4</v>
      </c>
      <c r="BA379" s="26">
        <f>IFERROR(__xludf.DUMMYFUNCTION("""COMPUTED_VALUE"""),25.51)</f>
        <v>25.51</v>
      </c>
      <c r="BB379" s="26">
        <f>IFERROR(__xludf.DUMMYFUNCTION("""COMPUTED_VALUE"""),179.22)</f>
        <v>179.22</v>
      </c>
      <c r="BC379" s="26">
        <f>IFERROR(__xludf.DUMMYFUNCTION("""COMPUTED_VALUE"""),211.98)</f>
        <v>211.98</v>
      </c>
      <c r="BD379" s="26">
        <f>IFERROR(__xludf.DUMMYFUNCTION("""COMPUTED_VALUE"""),586.49)</f>
        <v>586.49</v>
      </c>
      <c r="BE379" s="26">
        <f>IFERROR(__xludf.DUMMYFUNCTION("""COMPUTED_VALUE"""),205.99)</f>
        <v>205.99</v>
      </c>
      <c r="BF379" s="26">
        <f>IFERROR(__xludf.DUMMYFUNCTION("""COMPUTED_VALUE"""),122.14)</f>
        <v>122.14</v>
      </c>
      <c r="BG379" s="26">
        <f>IFERROR(__xludf.DUMMYFUNCTION("""COMPUTED_VALUE"""),4.63)</f>
        <v>4.63</v>
      </c>
      <c r="BH379" s="26">
        <f>IFERROR(__xludf.DUMMYFUNCTION("""COMPUTED_VALUE"""),224.8)</f>
        <v>224.8</v>
      </c>
      <c r="BI379" s="26">
        <f>IFERROR(__xludf.DUMMYFUNCTION("""COMPUTED_VALUE"""),327.45)</f>
        <v>327.45</v>
      </c>
      <c r="BJ379" s="26">
        <f>IFERROR(__xludf.DUMMYFUNCTION("""COMPUTED_VALUE"""),50.13)</f>
        <v>50.13</v>
      </c>
      <c r="BK379" s="26">
        <f>IFERROR(__xludf.DUMMYFUNCTION("""COMPUTED_VALUE"""),11.2)</f>
        <v>11.2</v>
      </c>
      <c r="BL379" s="26">
        <f>IFERROR(__xludf.DUMMYFUNCTION("""COMPUTED_VALUE"""),203.27)</f>
        <v>203.27</v>
      </c>
      <c r="BM379" s="26">
        <f>IFERROR(__xludf.DUMMYFUNCTION("""COMPUTED_VALUE"""),114.85)</f>
        <v>114.85</v>
      </c>
    </row>
    <row r="380">
      <c r="A380" s="25"/>
      <c r="B380" s="17">
        <f>IFERROR(__xludf.DUMMYFUNCTION("""COMPUTED_VALUE"""),6850.92)</f>
        <v>6850.92</v>
      </c>
      <c r="C380" s="17">
        <f>IFERROR(__xludf.DUMMYFUNCTION("""COMPUTED_VALUE"""),23406.46)</f>
        <v>23406.46</v>
      </c>
      <c r="D380" s="17">
        <f>IFERROR(__xludf.DUMMYFUNCTION("""COMPUTED_VALUE"""),48254.82)</f>
        <v>48254.82</v>
      </c>
      <c r="E380" s="17">
        <f>IFERROR(__xludf.DUMMYFUNCTION("""COMPUTED_VALUE"""),2450.8)</f>
        <v>2450.8</v>
      </c>
      <c r="F380" s="26">
        <f>IFERROR(__xludf.DUMMYFUNCTION("""COMPUTED_VALUE"""),337.05)</f>
        <v>337.05</v>
      </c>
      <c r="G380" s="26">
        <f>IFERROR(__xludf.DUMMYFUNCTION("""COMPUTED_VALUE"""),244.2)</f>
        <v>244.2</v>
      </c>
      <c r="H380" s="26">
        <f>IFERROR(__xludf.DUMMYFUNCTION("""COMPUTED_VALUE"""),129.77)</f>
        <v>129.77</v>
      </c>
      <c r="I380" s="26">
        <f>IFERROR(__xludf.DUMMYFUNCTION("""COMPUTED_VALUE"""),273.47)</f>
        <v>273.47</v>
      </c>
      <c r="J380" s="26">
        <f>IFERROR(__xludf.DUMMYFUNCTION("""COMPUTED_VALUE"""),230.73)</f>
        <v>230.73</v>
      </c>
      <c r="K380" s="26">
        <f>IFERROR(__xludf.DUMMYFUNCTION("""COMPUTED_VALUE"""),112.64)</f>
        <v>112.64</v>
      </c>
      <c r="L380" s="26">
        <f>IFERROR(__xludf.DUMMYFUNCTION("""COMPUTED_VALUE"""),22.51)</f>
        <v>22.51</v>
      </c>
      <c r="M380" s="26">
        <f>IFERROR(__xludf.DUMMYFUNCTION("""COMPUTED_VALUE"""),502.4)</f>
        <v>502.4</v>
      </c>
      <c r="N380" s="26">
        <f>IFERROR(__xludf.DUMMYFUNCTION("""COMPUTED_VALUE"""),56.32)</f>
        <v>56.32</v>
      </c>
      <c r="O380" s="26">
        <f>IFERROR(__xludf.DUMMYFUNCTION("""COMPUTED_VALUE"""),161.48)</f>
        <v>161.48</v>
      </c>
      <c r="P380" s="26">
        <f>IFERROR(__xludf.DUMMYFUNCTION("""COMPUTED_VALUE"""),55.99)</f>
        <v>55.99</v>
      </c>
      <c r="Q380" s="26">
        <f>IFERROR(__xludf.DUMMYFUNCTION("""COMPUTED_VALUE"""),573.02)</f>
        <v>573.02</v>
      </c>
      <c r="R380" s="26">
        <f>IFERROR(__xludf.DUMMYFUNCTION("""COMPUTED_VALUE"""),92.57)</f>
        <v>92.57</v>
      </c>
      <c r="S380" s="26">
        <f>IFERROR(__xludf.DUMMYFUNCTION("""COMPUTED_VALUE"""),202.31)</f>
        <v>202.31</v>
      </c>
      <c r="T380" s="26">
        <f>IFERROR(__xludf.DUMMYFUNCTION("""COMPUTED_VALUE"""),153.32)</f>
        <v>153.32</v>
      </c>
      <c r="U380" s="26">
        <f>IFERROR(__xludf.DUMMYFUNCTION("""COMPUTED_VALUE"""),270.61)</f>
        <v>270.61</v>
      </c>
      <c r="V380" s="26">
        <f>IFERROR(__xludf.DUMMYFUNCTION("""COMPUTED_VALUE"""),52.66)</f>
        <v>52.66</v>
      </c>
      <c r="W380" s="26">
        <f>IFERROR(__xludf.DUMMYFUNCTION("""COMPUTED_VALUE"""),71.51)</f>
        <v>71.51</v>
      </c>
      <c r="X380" s="26">
        <f>IFERROR(__xludf.DUMMYFUNCTION("""COMPUTED_VALUE"""),100.19)</f>
        <v>100.19</v>
      </c>
      <c r="Y380" s="26">
        <f>IFERROR(__xludf.DUMMYFUNCTION("""COMPUTED_VALUE"""),163.9)</f>
        <v>163.9</v>
      </c>
      <c r="Z380" s="26">
        <f>IFERROR(__xludf.DUMMYFUNCTION("""COMPUTED_VALUE"""),106.18)</f>
        <v>106.18</v>
      </c>
      <c r="AA380" s="26">
        <f>IFERROR(__xludf.DUMMYFUNCTION("""COMPUTED_VALUE"""),403.76)</f>
        <v>403.76</v>
      </c>
      <c r="AB380" s="26">
        <f>IFERROR(__xludf.DUMMYFUNCTION("""COMPUTED_VALUE"""),87.79)</f>
        <v>87.79</v>
      </c>
      <c r="AC380" s="26">
        <f>IFERROR(__xludf.DUMMYFUNCTION("""COMPUTED_VALUE"""),118.12)</f>
        <v>118.12</v>
      </c>
      <c r="AD380" s="26">
        <f>IFERROR(__xludf.DUMMYFUNCTION("""COMPUTED_VALUE"""),268.67)</f>
        <v>268.67</v>
      </c>
      <c r="AE380" s="26">
        <f>IFERROR(__xludf.DUMMYFUNCTION("""COMPUTED_VALUE"""),419.52)</f>
        <v>419.52</v>
      </c>
      <c r="AF380" s="26">
        <f>IFERROR(__xludf.DUMMYFUNCTION("""COMPUTED_VALUE"""),349.45)</f>
        <v>349.45</v>
      </c>
      <c r="AG380" s="26">
        <f>IFERROR(__xludf.DUMMYFUNCTION("""COMPUTED_VALUE"""),71.84)</f>
        <v>71.84</v>
      </c>
      <c r="AH380" s="26">
        <f>IFERROR(__xludf.DUMMYFUNCTION("""COMPUTED_VALUE"""),123.4)</f>
        <v>123.4</v>
      </c>
      <c r="AI380" s="26">
        <f>IFERROR(__xludf.DUMMYFUNCTION("""COMPUTED_VALUE"""),838.97)</f>
        <v>838.97</v>
      </c>
      <c r="AJ380" s="26">
        <f>IFERROR(__xludf.DUMMYFUNCTION("""COMPUTED_VALUE"""),371.13)</f>
        <v>371.13</v>
      </c>
      <c r="AK380" s="26">
        <f>IFERROR(__xludf.DUMMYFUNCTION("""COMPUTED_VALUE"""),165.48)</f>
        <v>165.48</v>
      </c>
      <c r="AL380" s="26">
        <f>IFERROR(__xludf.DUMMYFUNCTION("""COMPUTED_VALUE"""),154.05)</f>
        <v>154.05</v>
      </c>
      <c r="AM380" s="26">
        <f>IFERROR(__xludf.DUMMYFUNCTION("""COMPUTED_VALUE"""),572.45)</f>
        <v>572.45</v>
      </c>
      <c r="AN380" s="26">
        <f>IFERROR(__xludf.DUMMYFUNCTION("""COMPUTED_VALUE"""),320.41)</f>
        <v>320.41</v>
      </c>
      <c r="AO380" s="26">
        <f>IFERROR(__xludf.DUMMYFUNCTION("""COMPUTED_VALUE"""),457.04)</f>
        <v>457.04</v>
      </c>
      <c r="AP380" s="26">
        <f>IFERROR(__xludf.DUMMYFUNCTION("""COMPUTED_VALUE"""),170.9)</f>
        <v>170.9</v>
      </c>
      <c r="AQ380" s="26">
        <f>IFERROR(__xludf.DUMMYFUNCTION("""COMPUTED_VALUE"""),34.43)</f>
        <v>34.43</v>
      </c>
      <c r="AR380" s="26">
        <f>IFERROR(__xludf.DUMMYFUNCTION("""COMPUTED_VALUE"""),95.81)</f>
        <v>95.81</v>
      </c>
      <c r="AS380" s="26">
        <f>IFERROR(__xludf.DUMMYFUNCTION("""COMPUTED_VALUE"""),80.21)</f>
        <v>80.21</v>
      </c>
      <c r="AT380" s="26">
        <f>IFERROR(__xludf.DUMMYFUNCTION("""COMPUTED_VALUE"""),511.14)</f>
        <v>511.14</v>
      </c>
      <c r="AU380" s="26">
        <f>IFERROR(__xludf.DUMMYFUNCTION("""COMPUTED_VALUE"""),85.89)</f>
        <v>85.89</v>
      </c>
      <c r="AV380" s="26">
        <f>IFERROR(__xludf.DUMMYFUNCTION("""COMPUTED_VALUE"""),193.8)</f>
        <v>193.8</v>
      </c>
      <c r="AW380" s="26">
        <f>IFERROR(__xludf.DUMMYFUNCTION("""COMPUTED_VALUE"""),90.98)</f>
        <v>90.98</v>
      </c>
      <c r="AX380" s="26">
        <f>IFERROR(__xludf.DUMMYFUNCTION("""COMPUTED_VALUE"""),41.51)</f>
        <v>41.51</v>
      </c>
      <c r="AY380" s="26">
        <f>IFERROR(__xludf.DUMMYFUNCTION("""COMPUTED_VALUE"""),184.17)</f>
        <v>184.17</v>
      </c>
      <c r="AZ380" s="26">
        <f>IFERROR(__xludf.DUMMYFUNCTION("""COMPUTED_VALUE"""),67.2)</f>
        <v>67.2</v>
      </c>
      <c r="BA380" s="26">
        <f>IFERROR(__xludf.DUMMYFUNCTION("""COMPUTED_VALUE"""),25.87)</f>
        <v>25.87</v>
      </c>
      <c r="BB380" s="26">
        <f>IFERROR(__xludf.DUMMYFUNCTION("""COMPUTED_VALUE"""),177.69)</f>
        <v>177.69</v>
      </c>
      <c r="BC380" s="26">
        <f>IFERROR(__xludf.DUMMYFUNCTION("""COMPUTED_VALUE"""),212.68)</f>
        <v>212.68</v>
      </c>
      <c r="BD380" s="26">
        <f>IFERROR(__xludf.DUMMYFUNCTION("""COMPUTED_VALUE"""),588.02)</f>
        <v>588.02</v>
      </c>
      <c r="BE380" s="26">
        <f>IFERROR(__xludf.DUMMYFUNCTION("""COMPUTED_VALUE"""),207.29)</f>
        <v>207.29</v>
      </c>
      <c r="BF380" s="26">
        <f>IFERROR(__xludf.DUMMYFUNCTION("""COMPUTED_VALUE"""),119.18)</f>
        <v>119.18</v>
      </c>
      <c r="BG380" s="26">
        <f>IFERROR(__xludf.DUMMYFUNCTION("""COMPUTED_VALUE"""),4.81)</f>
        <v>4.81</v>
      </c>
      <c r="BH380" s="26">
        <f>IFERROR(__xludf.DUMMYFUNCTION("""COMPUTED_VALUE"""),223.55)</f>
        <v>223.55</v>
      </c>
      <c r="BI380" s="26">
        <f>IFERROR(__xludf.DUMMYFUNCTION("""COMPUTED_VALUE"""),339.06)</f>
        <v>339.06</v>
      </c>
      <c r="BJ380" s="26">
        <f>IFERROR(__xludf.DUMMYFUNCTION("""COMPUTED_VALUE"""),50.06)</f>
        <v>50.06</v>
      </c>
      <c r="BK380" s="26">
        <f>IFERROR(__xludf.DUMMYFUNCTION("""COMPUTED_VALUE"""),11.01)</f>
        <v>11.01</v>
      </c>
      <c r="BL380" s="26">
        <f>IFERROR(__xludf.DUMMYFUNCTION("""COMPUTED_VALUE"""),203.8)</f>
        <v>203.8</v>
      </c>
      <c r="BM380" s="26">
        <f>IFERROR(__xludf.DUMMYFUNCTION("""COMPUTED_VALUE"""),116.65)</f>
        <v>116.65</v>
      </c>
    </row>
    <row r="381">
      <c r="A381" s="25"/>
      <c r="B381" s="17">
        <f>IFERROR(__xludf.DUMMYFUNCTION("""COMPUTED_VALUE"""),6737.49)</f>
        <v>6737.49</v>
      </c>
      <c r="C381" s="17">
        <f>IFERROR(__xludf.DUMMYFUNCTION("""COMPUTED_VALUE"""),22870.36)</f>
        <v>22870.36</v>
      </c>
      <c r="D381" s="17">
        <f>IFERROR(__xludf.DUMMYFUNCTION("""COMPUTED_VALUE"""),47457.22)</f>
        <v>47457.22</v>
      </c>
      <c r="E381" s="17">
        <f>IFERROR(__xludf.DUMMYFUNCTION("""COMPUTED_VALUE"""),2382.98)</f>
        <v>2382.98</v>
      </c>
      <c r="F381" s="26">
        <f>IFERROR(__xludf.DUMMYFUNCTION("""COMPUTED_VALUE"""),333.6)</f>
        <v>333.6</v>
      </c>
      <c r="G381" s="26">
        <f>IFERROR(__xludf.DUMMYFUNCTION("""COMPUTED_VALUE"""),237.58)</f>
        <v>237.58</v>
      </c>
      <c r="H381" s="26">
        <f>IFERROR(__xludf.DUMMYFUNCTION("""COMPUTED_VALUE"""),131.46)</f>
        <v>131.46</v>
      </c>
      <c r="I381" s="26">
        <f>IFERROR(__xludf.DUMMYFUNCTION("""COMPUTED_VALUE"""),272.95)</f>
        <v>272.95</v>
      </c>
      <c r="J381" s="26">
        <f>IFERROR(__xludf.DUMMYFUNCTION("""COMPUTED_VALUE"""),223.23)</f>
        <v>223.23</v>
      </c>
      <c r="K381" s="26">
        <f>IFERROR(__xludf.DUMMYFUNCTION("""COMPUTED_VALUE"""),111.04)</f>
        <v>111.04</v>
      </c>
      <c r="L381" s="26">
        <f>IFERROR(__xludf.DUMMYFUNCTION("""COMPUTED_VALUE"""),22.25)</f>
        <v>22.25</v>
      </c>
      <c r="M381" s="26">
        <f>IFERROR(__xludf.DUMMYFUNCTION("""COMPUTED_VALUE"""),513.11)</f>
        <v>513.11</v>
      </c>
      <c r="N381" s="26">
        <f>IFERROR(__xludf.DUMMYFUNCTION("""COMPUTED_VALUE"""),55.95)</f>
        <v>55.95</v>
      </c>
      <c r="O381" s="26">
        <f>IFERROR(__xludf.DUMMYFUNCTION("""COMPUTED_VALUE"""),164.73)</f>
        <v>164.73</v>
      </c>
      <c r="P381" s="26">
        <f>IFERROR(__xludf.DUMMYFUNCTION("""COMPUTED_VALUE"""),55.16)</f>
        <v>55.16</v>
      </c>
      <c r="Q381" s="26">
        <f>IFERROR(__xludf.DUMMYFUNCTION("""COMPUTED_VALUE"""),553.55)</f>
        <v>553.55</v>
      </c>
      <c r="R381" s="26">
        <f>IFERROR(__xludf.DUMMYFUNCTION("""COMPUTED_VALUE"""),85.98)</f>
        <v>85.98</v>
      </c>
      <c r="S381" s="26">
        <f>IFERROR(__xludf.DUMMYFUNCTION("""COMPUTED_VALUE"""),198.81)</f>
        <v>198.81</v>
      </c>
      <c r="T381" s="26">
        <f>IFERROR(__xludf.DUMMYFUNCTION("""COMPUTED_VALUE"""),155.58)</f>
        <v>155.58</v>
      </c>
      <c r="U381" s="26">
        <f>IFERROR(__xludf.DUMMYFUNCTION("""COMPUTED_VALUE"""),270.89)</f>
        <v>270.89</v>
      </c>
      <c r="V381" s="26">
        <f>IFERROR(__xludf.DUMMYFUNCTION("""COMPUTED_VALUE"""),51.71)</f>
        <v>51.71</v>
      </c>
      <c r="W381" s="26">
        <f>IFERROR(__xludf.DUMMYFUNCTION("""COMPUTED_VALUE"""),71.07)</f>
        <v>71.07</v>
      </c>
      <c r="X381" s="26">
        <f>IFERROR(__xludf.DUMMYFUNCTION("""COMPUTED_VALUE"""),100.95)</f>
        <v>100.95</v>
      </c>
      <c r="Y381" s="26">
        <f>IFERROR(__xludf.DUMMYFUNCTION("""COMPUTED_VALUE"""),158.11)</f>
        <v>158.11</v>
      </c>
      <c r="Z381" s="26">
        <f>IFERROR(__xludf.DUMMYFUNCTION("""COMPUTED_VALUE"""),103.15)</f>
        <v>103.15</v>
      </c>
      <c r="AA381" s="26">
        <f>IFERROR(__xludf.DUMMYFUNCTION("""COMPUTED_VALUE"""),408.68)</f>
        <v>408.68</v>
      </c>
      <c r="AB381" s="26">
        <f>IFERROR(__xludf.DUMMYFUNCTION("""COMPUTED_VALUE"""),84.43)</f>
        <v>84.43</v>
      </c>
      <c r="AC381" s="26">
        <f>IFERROR(__xludf.DUMMYFUNCTION("""COMPUTED_VALUE"""),118.79)</f>
        <v>118.79</v>
      </c>
      <c r="AD381" s="26">
        <f>IFERROR(__xludf.DUMMYFUNCTION("""COMPUTED_VALUE"""),267.34)</f>
        <v>267.34</v>
      </c>
      <c r="AE381" s="26">
        <f>IFERROR(__xludf.DUMMYFUNCTION("""COMPUTED_VALUE"""),417.81)</f>
        <v>417.81</v>
      </c>
      <c r="AF381" s="26">
        <f>IFERROR(__xludf.DUMMYFUNCTION("""COMPUTED_VALUE"""),344.06)</f>
        <v>344.06</v>
      </c>
      <c r="AG381" s="26">
        <f>IFERROR(__xludf.DUMMYFUNCTION("""COMPUTED_VALUE"""),71.89)</f>
        <v>71.89</v>
      </c>
      <c r="AH381" s="26">
        <f>IFERROR(__xludf.DUMMYFUNCTION("""COMPUTED_VALUE"""),125.2)</f>
        <v>125.2</v>
      </c>
      <c r="AI381" s="26">
        <f>IFERROR(__xludf.DUMMYFUNCTION("""COMPUTED_VALUE"""),805.5)</f>
        <v>805.5</v>
      </c>
      <c r="AJ381" s="26">
        <f>IFERROR(__xludf.DUMMYFUNCTION("""COMPUTED_VALUE"""),368.07)</f>
        <v>368.07</v>
      </c>
      <c r="AK381" s="26">
        <f>IFERROR(__xludf.DUMMYFUNCTION("""COMPUTED_VALUE"""),161.77)</f>
        <v>161.77</v>
      </c>
      <c r="AL381" s="26">
        <f>IFERROR(__xludf.DUMMYFUNCTION("""COMPUTED_VALUE"""),152.7)</f>
        <v>152.7</v>
      </c>
      <c r="AM381" s="26">
        <f>IFERROR(__xludf.DUMMYFUNCTION("""COMPUTED_VALUE"""),565.51)</f>
        <v>565.51</v>
      </c>
      <c r="AN381" s="26">
        <f>IFERROR(__xludf.DUMMYFUNCTION("""COMPUTED_VALUE"""),309.48)</f>
        <v>309.48</v>
      </c>
      <c r="AO381" s="26">
        <f>IFERROR(__xludf.DUMMYFUNCTION("""COMPUTED_VALUE"""),455.85)</f>
        <v>455.85</v>
      </c>
      <c r="AP381" s="26">
        <f>IFERROR(__xludf.DUMMYFUNCTION("""COMPUTED_VALUE"""),169.66)</f>
        <v>169.66</v>
      </c>
      <c r="AQ381" s="26">
        <f>IFERROR(__xludf.DUMMYFUNCTION("""COMPUTED_VALUE"""),34.43)</f>
        <v>34.43</v>
      </c>
      <c r="AR381" s="26">
        <f>IFERROR(__xludf.DUMMYFUNCTION("""COMPUTED_VALUE"""),96.14)</f>
        <v>96.14</v>
      </c>
      <c r="AS381" s="26">
        <f>IFERROR(__xludf.DUMMYFUNCTION("""COMPUTED_VALUE"""),79.47)</f>
        <v>79.47</v>
      </c>
      <c r="AT381" s="26">
        <f>IFERROR(__xludf.DUMMYFUNCTION("""COMPUTED_VALUE"""),503.29)</f>
        <v>503.29</v>
      </c>
      <c r="AU381" s="26">
        <f>IFERROR(__xludf.DUMMYFUNCTION("""COMPUTED_VALUE"""),83.99)</f>
        <v>83.99</v>
      </c>
      <c r="AV381" s="26">
        <f>IFERROR(__xludf.DUMMYFUNCTION("""COMPUTED_VALUE"""),186.86)</f>
        <v>186.86</v>
      </c>
      <c r="AW381" s="26">
        <f>IFERROR(__xludf.DUMMYFUNCTION("""COMPUTED_VALUE"""),90.59)</f>
        <v>90.59</v>
      </c>
      <c r="AX381" s="26">
        <f>IFERROR(__xludf.DUMMYFUNCTION("""COMPUTED_VALUE"""),42.4)</f>
        <v>42.4</v>
      </c>
      <c r="AY381" s="26">
        <f>IFERROR(__xludf.DUMMYFUNCTION("""COMPUTED_VALUE"""),172.14)</f>
        <v>172.14</v>
      </c>
      <c r="AZ381" s="26">
        <f>IFERROR(__xludf.DUMMYFUNCTION("""COMPUTED_VALUE"""),65.33)</f>
        <v>65.33</v>
      </c>
      <c r="BA381" s="26">
        <f>IFERROR(__xludf.DUMMYFUNCTION("""COMPUTED_VALUE"""),25.79)</f>
        <v>25.79</v>
      </c>
      <c r="BB381" s="26">
        <f>IFERROR(__xludf.DUMMYFUNCTION("""COMPUTED_VALUE"""),173.96)</f>
        <v>173.96</v>
      </c>
      <c r="BC381" s="26">
        <f>IFERROR(__xludf.DUMMYFUNCTION("""COMPUTED_VALUE"""),214.57)</f>
        <v>214.57</v>
      </c>
      <c r="BD381" s="26">
        <f>IFERROR(__xludf.DUMMYFUNCTION("""COMPUTED_VALUE"""),580.13)</f>
        <v>580.13</v>
      </c>
      <c r="BE381" s="26">
        <f>IFERROR(__xludf.DUMMYFUNCTION("""COMPUTED_VALUE"""),203.26)</f>
        <v>203.26</v>
      </c>
      <c r="BF381" s="26">
        <f>IFERROR(__xludf.DUMMYFUNCTION("""COMPUTED_VALUE"""),115.55)</f>
        <v>115.55</v>
      </c>
      <c r="BG381" s="26">
        <f>IFERROR(__xludf.DUMMYFUNCTION("""COMPUTED_VALUE"""),4.66)</f>
        <v>4.66</v>
      </c>
      <c r="BH381" s="26">
        <f>IFERROR(__xludf.DUMMYFUNCTION("""COMPUTED_VALUE"""),221.48)</f>
        <v>221.48</v>
      </c>
      <c r="BI381" s="26">
        <f>IFERROR(__xludf.DUMMYFUNCTION("""COMPUTED_VALUE"""),332.52)</f>
        <v>332.52</v>
      </c>
      <c r="BJ381" s="26">
        <f>IFERROR(__xludf.DUMMYFUNCTION("""COMPUTED_VALUE"""),50.05)</f>
        <v>50.05</v>
      </c>
      <c r="BK381" s="26">
        <f>IFERROR(__xludf.DUMMYFUNCTION("""COMPUTED_VALUE"""),10.91)</f>
        <v>10.91</v>
      </c>
      <c r="BL381" s="26">
        <f>IFERROR(__xludf.DUMMYFUNCTION("""COMPUTED_VALUE"""),204.51)</f>
        <v>204.51</v>
      </c>
      <c r="BM381" s="26">
        <f>IFERROR(__xludf.DUMMYFUNCTION("""COMPUTED_VALUE"""),107.61)</f>
        <v>107.61</v>
      </c>
    </row>
    <row r="382">
      <c r="A382" s="25"/>
      <c r="B382" s="17">
        <f>IFERROR(__xludf.DUMMYFUNCTION("""COMPUTED_VALUE"""),6734.11)</f>
        <v>6734.11</v>
      </c>
      <c r="C382" s="17">
        <f>IFERROR(__xludf.DUMMYFUNCTION("""COMPUTED_VALUE"""),22900.59)</f>
        <v>22900.59</v>
      </c>
      <c r="D382" s="17">
        <f>IFERROR(__xludf.DUMMYFUNCTION("""COMPUTED_VALUE"""),47147.48)</f>
        <v>47147.48</v>
      </c>
      <c r="E382" s="17">
        <f>IFERROR(__xludf.DUMMYFUNCTION("""COMPUTED_VALUE"""),2388.23)</f>
        <v>2388.23</v>
      </c>
      <c r="F382" s="26">
        <f>IFERROR(__xludf.DUMMYFUNCTION("""COMPUTED_VALUE"""),331.11)</f>
        <v>331.11</v>
      </c>
      <c r="G382" s="26">
        <f>IFERROR(__xludf.DUMMYFUNCTION("""COMPUTED_VALUE"""),234.69)</f>
        <v>234.69</v>
      </c>
      <c r="H382" s="26">
        <f>IFERROR(__xludf.DUMMYFUNCTION("""COMPUTED_VALUE"""),131.62)</f>
        <v>131.62</v>
      </c>
      <c r="I382" s="26">
        <f>IFERROR(__xludf.DUMMYFUNCTION("""COMPUTED_VALUE"""),272.41)</f>
        <v>272.41</v>
      </c>
      <c r="J382" s="26">
        <f>IFERROR(__xludf.DUMMYFUNCTION("""COMPUTED_VALUE"""),226.01)</f>
        <v>226.01</v>
      </c>
      <c r="K382" s="26">
        <f>IFERROR(__xludf.DUMMYFUNCTION("""COMPUTED_VALUE"""),110.48)</f>
        <v>110.48</v>
      </c>
      <c r="L382" s="26">
        <f>IFERROR(__xludf.DUMMYFUNCTION("""COMPUTED_VALUE"""),21.7)</f>
        <v>21.7</v>
      </c>
      <c r="M382" s="26">
        <f>IFERROR(__xludf.DUMMYFUNCTION("""COMPUTED_VALUE"""),508.94)</f>
        <v>508.94</v>
      </c>
      <c r="N382" s="26">
        <f>IFERROR(__xludf.DUMMYFUNCTION("""COMPUTED_VALUE"""),55.23)</f>
        <v>55.23</v>
      </c>
      <c r="O382" s="26">
        <f>IFERROR(__xludf.DUMMYFUNCTION("""COMPUTED_VALUE"""),167.55)</f>
        <v>167.55</v>
      </c>
      <c r="P382" s="26">
        <f>IFERROR(__xludf.DUMMYFUNCTION("""COMPUTED_VALUE"""),54.1)</f>
        <v>54.1</v>
      </c>
      <c r="Q382" s="26">
        <f>IFERROR(__xludf.DUMMYFUNCTION("""COMPUTED_VALUE"""),554.03)</f>
        <v>554.03</v>
      </c>
      <c r="R382" s="26">
        <f>IFERROR(__xludf.DUMMYFUNCTION("""COMPUTED_VALUE"""),84.76)</f>
        <v>84.76</v>
      </c>
      <c r="S382" s="26">
        <f>IFERROR(__xludf.DUMMYFUNCTION("""COMPUTED_VALUE"""),197.52)</f>
        <v>197.52</v>
      </c>
      <c r="T382" s="26">
        <f>IFERROR(__xludf.DUMMYFUNCTION("""COMPUTED_VALUE"""),157.62)</f>
        <v>157.62</v>
      </c>
      <c r="U382" s="26">
        <f>IFERROR(__xludf.DUMMYFUNCTION("""COMPUTED_VALUE"""),269.66)</f>
        <v>269.66</v>
      </c>
      <c r="V382" s="26">
        <f>IFERROR(__xludf.DUMMYFUNCTION("""COMPUTED_VALUE"""),51.69)</f>
        <v>51.69</v>
      </c>
      <c r="W382" s="26">
        <f>IFERROR(__xludf.DUMMYFUNCTION("""COMPUTED_VALUE"""),71.16)</f>
        <v>71.16</v>
      </c>
      <c r="X382" s="26">
        <f>IFERROR(__xludf.DUMMYFUNCTION("""COMPUTED_VALUE"""),101.66)</f>
        <v>101.66</v>
      </c>
      <c r="Y382" s="26">
        <f>IFERROR(__xludf.DUMMYFUNCTION("""COMPUTED_VALUE"""),158.18)</f>
        <v>158.18</v>
      </c>
      <c r="Z382" s="26">
        <f>IFERROR(__xludf.DUMMYFUNCTION("""COMPUTED_VALUE"""),104.75)</f>
        <v>104.75</v>
      </c>
      <c r="AA382" s="26">
        <f>IFERROR(__xludf.DUMMYFUNCTION("""COMPUTED_VALUE"""),410.16)</f>
        <v>410.16</v>
      </c>
      <c r="AB382" s="26">
        <f>IFERROR(__xludf.DUMMYFUNCTION("""COMPUTED_VALUE"""),83.85)</f>
        <v>83.85</v>
      </c>
      <c r="AC382" s="26">
        <f>IFERROR(__xludf.DUMMYFUNCTION("""COMPUTED_VALUE"""),119.29)</f>
        <v>119.29</v>
      </c>
      <c r="AD382" s="26">
        <f>IFERROR(__xludf.DUMMYFUNCTION("""COMPUTED_VALUE"""),267.56)</f>
        <v>267.56</v>
      </c>
      <c r="AE382" s="26">
        <f>IFERROR(__xludf.DUMMYFUNCTION("""COMPUTED_VALUE"""),417.16)</f>
        <v>417.16</v>
      </c>
      <c r="AF382" s="26">
        <f>IFERROR(__xludf.DUMMYFUNCTION("""COMPUTED_VALUE"""),344.25)</f>
        <v>344.25</v>
      </c>
      <c r="AG382" s="26">
        <f>IFERROR(__xludf.DUMMYFUNCTION("""COMPUTED_VALUE"""),70.52)</f>
        <v>70.52</v>
      </c>
      <c r="AH382" s="26">
        <f>IFERROR(__xludf.DUMMYFUNCTION("""COMPUTED_VALUE"""),125.02)</f>
        <v>125.02</v>
      </c>
      <c r="AI382" s="26">
        <f>IFERROR(__xludf.DUMMYFUNCTION("""COMPUTED_VALUE"""),790.91)</f>
        <v>790.91</v>
      </c>
      <c r="AJ382" s="26">
        <f>IFERROR(__xludf.DUMMYFUNCTION("""COMPUTED_VALUE"""),362.36)</f>
        <v>362.36</v>
      </c>
      <c r="AK382" s="26">
        <f>IFERROR(__xludf.DUMMYFUNCTION("""COMPUTED_VALUE"""),165.5)</f>
        <v>165.5</v>
      </c>
      <c r="AL382" s="26">
        <f>IFERROR(__xludf.DUMMYFUNCTION("""COMPUTED_VALUE"""),152.07)</f>
        <v>152.07</v>
      </c>
      <c r="AM382" s="26">
        <f>IFERROR(__xludf.DUMMYFUNCTION("""COMPUTED_VALUE"""),549.51)</f>
        <v>549.51</v>
      </c>
      <c r="AN382" s="26">
        <f>IFERROR(__xludf.DUMMYFUNCTION("""COMPUTED_VALUE"""),303.61)</f>
        <v>303.61</v>
      </c>
      <c r="AO382" s="26">
        <f>IFERROR(__xludf.DUMMYFUNCTION("""COMPUTED_VALUE"""),465.77)</f>
        <v>465.77</v>
      </c>
      <c r="AP382" s="26">
        <f>IFERROR(__xludf.DUMMYFUNCTION("""COMPUTED_VALUE"""),170.68)</f>
        <v>170.68</v>
      </c>
      <c r="AQ382" s="26">
        <f>IFERROR(__xludf.DUMMYFUNCTION("""COMPUTED_VALUE"""),34.36)</f>
        <v>34.36</v>
      </c>
      <c r="AR382" s="26">
        <f>IFERROR(__xludf.DUMMYFUNCTION("""COMPUTED_VALUE"""),95.87)</f>
        <v>95.87</v>
      </c>
      <c r="AS382" s="26">
        <f>IFERROR(__xludf.DUMMYFUNCTION("""COMPUTED_VALUE"""),78.64)</f>
        <v>78.64</v>
      </c>
      <c r="AT382" s="26">
        <f>IFERROR(__xludf.DUMMYFUNCTION("""COMPUTED_VALUE"""),510.18)</f>
        <v>510.18</v>
      </c>
      <c r="AU382" s="26">
        <f>IFERROR(__xludf.DUMMYFUNCTION("""COMPUTED_VALUE"""),83.88)</f>
        <v>83.88</v>
      </c>
      <c r="AV382" s="26">
        <f>IFERROR(__xludf.DUMMYFUNCTION("""COMPUTED_VALUE"""),190.17)</f>
        <v>190.17</v>
      </c>
      <c r="AW382" s="26">
        <f>IFERROR(__xludf.DUMMYFUNCTION("""COMPUTED_VALUE"""),88.77)</f>
        <v>88.77</v>
      </c>
      <c r="AX382" s="26">
        <f>IFERROR(__xludf.DUMMYFUNCTION("""COMPUTED_VALUE"""),42.4)</f>
        <v>42.4</v>
      </c>
      <c r="AY382" s="26">
        <f>IFERROR(__xludf.DUMMYFUNCTION("""COMPUTED_VALUE"""),174.01)</f>
        <v>174.01</v>
      </c>
      <c r="AZ382" s="26">
        <f>IFERROR(__xludf.DUMMYFUNCTION("""COMPUTED_VALUE"""),62.81)</f>
        <v>62.81</v>
      </c>
      <c r="BA382" s="26">
        <f>IFERROR(__xludf.DUMMYFUNCTION("""COMPUTED_VALUE"""),25.06)</f>
        <v>25.06</v>
      </c>
      <c r="BB382" s="26">
        <f>IFERROR(__xludf.DUMMYFUNCTION("""COMPUTED_VALUE"""),175.57)</f>
        <v>175.57</v>
      </c>
      <c r="BC382" s="26">
        <f>IFERROR(__xludf.DUMMYFUNCTION("""COMPUTED_VALUE"""),216.08)</f>
        <v>216.08</v>
      </c>
      <c r="BD382" s="26">
        <f>IFERROR(__xludf.DUMMYFUNCTION("""COMPUTED_VALUE"""),578.71)</f>
        <v>578.71</v>
      </c>
      <c r="BE382" s="26">
        <f>IFERROR(__xludf.DUMMYFUNCTION("""COMPUTED_VALUE"""),204.08)</f>
        <v>204.08</v>
      </c>
      <c r="BF382" s="26">
        <f>IFERROR(__xludf.DUMMYFUNCTION("""COMPUTED_VALUE"""),115.01)</f>
        <v>115.01</v>
      </c>
      <c r="BG382" s="26">
        <f>IFERROR(__xludf.DUMMYFUNCTION("""COMPUTED_VALUE"""),4.53)</f>
        <v>4.53</v>
      </c>
      <c r="BH382" s="26">
        <f>IFERROR(__xludf.DUMMYFUNCTION("""COMPUTED_VALUE"""),223.02)</f>
        <v>223.02</v>
      </c>
      <c r="BI382" s="26">
        <f>IFERROR(__xludf.DUMMYFUNCTION("""COMPUTED_VALUE"""),321.86)</f>
        <v>321.86</v>
      </c>
      <c r="BJ382" s="26">
        <f>IFERROR(__xludf.DUMMYFUNCTION("""COMPUTED_VALUE"""),50.04)</f>
        <v>50.04</v>
      </c>
      <c r="BK382" s="26">
        <f>IFERROR(__xludf.DUMMYFUNCTION("""COMPUTED_VALUE"""),10.72)</f>
        <v>10.72</v>
      </c>
      <c r="BL382" s="26">
        <f>IFERROR(__xludf.DUMMYFUNCTION("""COMPUTED_VALUE"""),209.17)</f>
        <v>209.17</v>
      </c>
      <c r="BM382" s="26">
        <f>IFERROR(__xludf.DUMMYFUNCTION("""COMPUTED_VALUE"""),105.8)</f>
        <v>105.8</v>
      </c>
    </row>
    <row r="383">
      <c r="A383" s="25"/>
      <c r="B383" s="17">
        <f>IFERROR(__xludf.DUMMYFUNCTION("""COMPUTED_VALUE"""),6672.41)</f>
        <v>6672.41</v>
      </c>
      <c r="C383" s="17">
        <f>IFERROR(__xludf.DUMMYFUNCTION("""COMPUTED_VALUE"""),22708.08)</f>
        <v>22708.08</v>
      </c>
      <c r="D383" s="17">
        <f>IFERROR(__xludf.DUMMYFUNCTION("""COMPUTED_VALUE"""),46590.24)</f>
        <v>46590.24</v>
      </c>
      <c r="E383" s="17">
        <f>IFERROR(__xludf.DUMMYFUNCTION("""COMPUTED_VALUE"""),2341.38)</f>
        <v>2341.38</v>
      </c>
      <c r="F383" s="26">
        <f>IFERROR(__xludf.DUMMYFUNCTION("""COMPUTED_VALUE"""),325.07)</f>
        <v>325.07</v>
      </c>
      <c r="G383" s="26">
        <f>IFERROR(__xludf.DUMMYFUNCTION("""COMPUTED_VALUE"""),232.87)</f>
        <v>232.87</v>
      </c>
      <c r="H383" s="26">
        <f>IFERROR(__xludf.DUMMYFUNCTION("""COMPUTED_VALUE"""),132.68)</f>
        <v>132.68</v>
      </c>
      <c r="I383" s="26">
        <f>IFERROR(__xludf.DUMMYFUNCTION("""COMPUTED_VALUE"""),267.46)</f>
        <v>267.46</v>
      </c>
      <c r="J383" s="26">
        <f>IFERROR(__xludf.DUMMYFUNCTION("""COMPUTED_VALUE"""),228.71)</f>
        <v>228.71</v>
      </c>
      <c r="K383" s="26">
        <f>IFERROR(__xludf.DUMMYFUNCTION("""COMPUTED_VALUE"""),106.77)</f>
        <v>106.77</v>
      </c>
      <c r="L383" s="26">
        <f>IFERROR(__xludf.DUMMYFUNCTION("""COMPUTED_VALUE"""),21.16)</f>
        <v>21.16</v>
      </c>
      <c r="M383" s="26">
        <f>IFERROR(__xludf.DUMMYFUNCTION("""COMPUTED_VALUE"""),503.26)</f>
        <v>503.26</v>
      </c>
      <c r="N383" s="26">
        <f>IFERROR(__xludf.DUMMYFUNCTION("""COMPUTED_VALUE"""),54.59)</f>
        <v>54.59</v>
      </c>
      <c r="O383" s="26">
        <f>IFERROR(__xludf.DUMMYFUNCTION("""COMPUTED_VALUE"""),164.68)</f>
        <v>164.68</v>
      </c>
      <c r="P383" s="26">
        <f>IFERROR(__xludf.DUMMYFUNCTION("""COMPUTED_VALUE"""),53.13)</f>
        <v>53.13</v>
      </c>
      <c r="Q383" s="26">
        <f>IFERROR(__xludf.DUMMYFUNCTION("""COMPUTED_VALUE"""),552.05)</f>
        <v>552.05</v>
      </c>
      <c r="R383" s="26">
        <f>IFERROR(__xludf.DUMMYFUNCTION("""COMPUTED_VALUE"""),83.03)</f>
        <v>83.03</v>
      </c>
      <c r="S383" s="26">
        <f>IFERROR(__xludf.DUMMYFUNCTION("""COMPUTED_VALUE"""),192.1)</f>
        <v>192.1</v>
      </c>
      <c r="T383" s="26">
        <f>IFERROR(__xludf.DUMMYFUNCTION("""COMPUTED_VALUE"""),154.82)</f>
        <v>154.82</v>
      </c>
      <c r="U383" s="26">
        <f>IFERROR(__xludf.DUMMYFUNCTION("""COMPUTED_VALUE"""),271.33)</f>
        <v>271.33</v>
      </c>
      <c r="V383" s="26">
        <f>IFERROR(__xludf.DUMMYFUNCTION("""COMPUTED_VALUE"""),49.71)</f>
        <v>49.71</v>
      </c>
      <c r="W383" s="26">
        <f>IFERROR(__xludf.DUMMYFUNCTION("""COMPUTED_VALUE"""),70.68)</f>
        <v>70.68</v>
      </c>
      <c r="X383" s="26">
        <f>IFERROR(__xludf.DUMMYFUNCTION("""COMPUTED_VALUE"""),103.85)</f>
        <v>103.85</v>
      </c>
      <c r="Y383" s="26">
        <f>IFERROR(__xludf.DUMMYFUNCTION("""COMPUTED_VALUE"""),157.7)</f>
        <v>157.7</v>
      </c>
      <c r="Z383" s="26">
        <f>IFERROR(__xludf.DUMMYFUNCTION("""COMPUTED_VALUE"""),103.67)</f>
        <v>103.67</v>
      </c>
      <c r="AA383" s="26">
        <f>IFERROR(__xludf.DUMMYFUNCTION("""COMPUTED_VALUE"""),404.63)</f>
        <v>404.63</v>
      </c>
      <c r="AB383" s="26">
        <f>IFERROR(__xludf.DUMMYFUNCTION("""COMPUTED_VALUE"""),82.16)</f>
        <v>82.16</v>
      </c>
      <c r="AC383" s="26">
        <f>IFERROR(__xludf.DUMMYFUNCTION("""COMPUTED_VALUE"""),117.68)</f>
        <v>117.68</v>
      </c>
      <c r="AD383" s="26">
        <f>IFERROR(__xludf.DUMMYFUNCTION("""COMPUTED_VALUE"""),264.73)</f>
        <v>264.73</v>
      </c>
      <c r="AE383" s="26">
        <f>IFERROR(__xludf.DUMMYFUNCTION("""COMPUTED_VALUE"""),405.38)</f>
        <v>405.38</v>
      </c>
      <c r="AF383" s="26">
        <f>IFERROR(__xludf.DUMMYFUNCTION("""COMPUTED_VALUE"""),341.78)</f>
        <v>341.78</v>
      </c>
      <c r="AG383" s="26">
        <f>IFERROR(__xludf.DUMMYFUNCTION("""COMPUTED_VALUE"""),67.91)</f>
        <v>67.91</v>
      </c>
      <c r="AH383" s="26">
        <f>IFERROR(__xludf.DUMMYFUNCTION("""COMPUTED_VALUE"""),124.09)</f>
        <v>124.09</v>
      </c>
      <c r="AI383" s="26">
        <f>IFERROR(__xludf.DUMMYFUNCTION("""COMPUTED_VALUE"""),775.56)</f>
        <v>775.56</v>
      </c>
      <c r="AJ383" s="26">
        <f>IFERROR(__xludf.DUMMYFUNCTION("""COMPUTED_VALUE"""),358.03)</f>
        <v>358.03</v>
      </c>
      <c r="AK383" s="26">
        <f>IFERROR(__xludf.DUMMYFUNCTION("""COMPUTED_VALUE"""),160.53)</f>
        <v>160.53</v>
      </c>
      <c r="AL383" s="26">
        <f>IFERROR(__xludf.DUMMYFUNCTION("""COMPUTED_VALUE"""),150.33)</f>
        <v>150.33</v>
      </c>
      <c r="AM383" s="26">
        <f>IFERROR(__xludf.DUMMYFUNCTION("""COMPUTED_VALUE"""),546.71)</f>
        <v>546.71</v>
      </c>
      <c r="AN383" s="26">
        <f>IFERROR(__xludf.DUMMYFUNCTION("""COMPUTED_VALUE"""),300.37)</f>
        <v>300.37</v>
      </c>
      <c r="AO383" s="26">
        <f>IFERROR(__xludf.DUMMYFUNCTION("""COMPUTED_VALUE"""),470.78)</f>
        <v>470.78</v>
      </c>
      <c r="AP383" s="26">
        <f>IFERROR(__xludf.DUMMYFUNCTION("""COMPUTED_VALUE"""),164.16)</f>
        <v>164.16</v>
      </c>
      <c r="AQ383" s="26">
        <f>IFERROR(__xludf.DUMMYFUNCTION("""COMPUTED_VALUE"""),33.79)</f>
        <v>33.79</v>
      </c>
      <c r="AR383" s="26">
        <f>IFERROR(__xludf.DUMMYFUNCTION("""COMPUTED_VALUE"""),96.28)</f>
        <v>96.28</v>
      </c>
      <c r="AS383" s="26">
        <f>IFERROR(__xludf.DUMMYFUNCTION("""COMPUTED_VALUE"""),75.53)</f>
        <v>75.53</v>
      </c>
      <c r="AT383" s="26">
        <f>IFERROR(__xludf.DUMMYFUNCTION("""COMPUTED_VALUE"""),507.49)</f>
        <v>507.49</v>
      </c>
      <c r="AU383" s="26">
        <f>IFERROR(__xludf.DUMMYFUNCTION("""COMPUTED_VALUE"""),85.75)</f>
        <v>85.75</v>
      </c>
      <c r="AV383" s="26">
        <f>IFERROR(__xludf.DUMMYFUNCTION("""COMPUTED_VALUE"""),186.6)</f>
        <v>186.6</v>
      </c>
      <c r="AW383" s="26">
        <f>IFERROR(__xludf.DUMMYFUNCTION("""COMPUTED_VALUE"""),88.07)</f>
        <v>88.07</v>
      </c>
      <c r="AX383" s="26">
        <f>IFERROR(__xludf.DUMMYFUNCTION("""COMPUTED_VALUE"""),41.4)</f>
        <v>41.4</v>
      </c>
      <c r="AY383" s="26">
        <f>IFERROR(__xludf.DUMMYFUNCTION("""COMPUTED_VALUE"""),171.25)</f>
        <v>171.25</v>
      </c>
      <c r="AZ383" s="26">
        <f>IFERROR(__xludf.DUMMYFUNCTION("""COMPUTED_VALUE"""),61.89)</f>
        <v>61.89</v>
      </c>
      <c r="BA383" s="26">
        <f>IFERROR(__xludf.DUMMYFUNCTION("""COMPUTED_VALUE"""),25.08)</f>
        <v>25.08</v>
      </c>
      <c r="BB383" s="26">
        <f>IFERROR(__xludf.DUMMYFUNCTION("""COMPUTED_VALUE"""),175.63)</f>
        <v>175.63</v>
      </c>
      <c r="BC383" s="26">
        <f>IFERROR(__xludf.DUMMYFUNCTION("""COMPUTED_VALUE"""),215.84)</f>
        <v>215.84</v>
      </c>
      <c r="BD383" s="26">
        <f>IFERROR(__xludf.DUMMYFUNCTION("""COMPUTED_VALUE"""),567.16)</f>
        <v>567.16</v>
      </c>
      <c r="BE383" s="26">
        <f>IFERROR(__xludf.DUMMYFUNCTION("""COMPUTED_VALUE"""),199.0)</f>
        <v>199</v>
      </c>
      <c r="BF383" s="26">
        <f>IFERROR(__xludf.DUMMYFUNCTION("""COMPUTED_VALUE"""),113.4)</f>
        <v>113.4</v>
      </c>
      <c r="BG383" s="26">
        <f>IFERROR(__xludf.DUMMYFUNCTION("""COMPUTED_VALUE"""),4.26)</f>
        <v>4.26</v>
      </c>
      <c r="BH383" s="26">
        <f>IFERROR(__xludf.DUMMYFUNCTION("""COMPUTED_VALUE"""),221.0)</f>
        <v>221</v>
      </c>
      <c r="BI383" s="26">
        <f>IFERROR(__xludf.DUMMYFUNCTION("""COMPUTED_VALUE"""),320.52)</f>
        <v>320.52</v>
      </c>
      <c r="BJ383" s="26">
        <f>IFERROR(__xludf.DUMMYFUNCTION("""COMPUTED_VALUE"""),50.04)</f>
        <v>50.04</v>
      </c>
      <c r="BK383" s="26">
        <f>IFERROR(__xludf.DUMMYFUNCTION("""COMPUTED_VALUE"""),10.66)</f>
        <v>10.66</v>
      </c>
      <c r="BL383" s="26">
        <f>IFERROR(__xludf.DUMMYFUNCTION("""COMPUTED_VALUE"""),207.97)</f>
        <v>207.97</v>
      </c>
      <c r="BM383" s="26">
        <f>IFERROR(__xludf.DUMMYFUNCTION("""COMPUTED_VALUE"""),105.69)</f>
        <v>105.69</v>
      </c>
    </row>
    <row r="384">
      <c r="A384" s="25"/>
      <c r="B384" s="17">
        <f>IFERROR(__xludf.DUMMYFUNCTION("""COMPUTED_VALUE"""),6617.32)</f>
        <v>6617.32</v>
      </c>
      <c r="C384" s="17">
        <f>IFERROR(__xludf.DUMMYFUNCTION("""COMPUTED_VALUE"""),22432.85)</f>
        <v>22432.85</v>
      </c>
      <c r="D384" s="17">
        <f>IFERROR(__xludf.DUMMYFUNCTION("""COMPUTED_VALUE"""),46091.74)</f>
        <v>46091.74</v>
      </c>
      <c r="E384" s="17">
        <f>IFERROR(__xludf.DUMMYFUNCTION("""COMPUTED_VALUE"""),2348.74)</f>
        <v>2348.74</v>
      </c>
      <c r="F384" s="26">
        <f>IFERROR(__xludf.DUMMYFUNCTION("""COMPUTED_VALUE"""),324.47)</f>
        <v>324.47</v>
      </c>
      <c r="G384" s="26">
        <f>IFERROR(__xludf.DUMMYFUNCTION("""COMPUTED_VALUE"""),222.55)</f>
        <v>222.55</v>
      </c>
      <c r="H384" s="26">
        <f>IFERROR(__xludf.DUMMYFUNCTION("""COMPUTED_VALUE"""),129.91)</f>
        <v>129.91</v>
      </c>
      <c r="I384" s="26">
        <f>IFERROR(__xludf.DUMMYFUNCTION("""COMPUTED_VALUE"""),267.44)</f>
        <v>267.44</v>
      </c>
      <c r="J384" s="26">
        <f>IFERROR(__xludf.DUMMYFUNCTION("""COMPUTED_VALUE"""),225.12)</f>
        <v>225.12</v>
      </c>
      <c r="K384" s="26">
        <f>IFERROR(__xludf.DUMMYFUNCTION("""COMPUTED_VALUE"""),107.5)</f>
        <v>107.5</v>
      </c>
      <c r="L384" s="26">
        <f>IFERROR(__xludf.DUMMYFUNCTION("""COMPUTED_VALUE"""),21.09)</f>
        <v>21.09</v>
      </c>
      <c r="M384" s="26">
        <f>IFERROR(__xludf.DUMMYFUNCTION("""COMPUTED_VALUE"""),504.37)</f>
        <v>504.37</v>
      </c>
      <c r="N384" s="26">
        <f>IFERROR(__xludf.DUMMYFUNCTION("""COMPUTED_VALUE"""),53.71)</f>
        <v>53.71</v>
      </c>
      <c r="O384" s="26">
        <f>IFERROR(__xludf.DUMMYFUNCTION("""COMPUTED_VALUE"""),168.83)</f>
        <v>168.83</v>
      </c>
      <c r="P384" s="26">
        <f>IFERROR(__xludf.DUMMYFUNCTION("""COMPUTED_VALUE"""),52.01)</f>
        <v>52.01</v>
      </c>
      <c r="Q384" s="26">
        <f>IFERROR(__xludf.DUMMYFUNCTION("""COMPUTED_VALUE"""),546.88)</f>
        <v>546.88</v>
      </c>
      <c r="R384" s="26">
        <f>IFERROR(__xludf.DUMMYFUNCTION("""COMPUTED_VALUE"""),83.3)</f>
        <v>83.3</v>
      </c>
      <c r="S384" s="26">
        <f>IFERROR(__xludf.DUMMYFUNCTION("""COMPUTED_VALUE"""),190.7)</f>
        <v>190.7</v>
      </c>
      <c r="T384" s="26">
        <f>IFERROR(__xludf.DUMMYFUNCTION("""COMPUTED_VALUE"""),153.62)</f>
        <v>153.62</v>
      </c>
      <c r="U384" s="26">
        <f>IFERROR(__xludf.DUMMYFUNCTION("""COMPUTED_VALUE"""),272.61)</f>
        <v>272.61</v>
      </c>
      <c r="V384" s="26">
        <f>IFERROR(__xludf.DUMMYFUNCTION("""COMPUTED_VALUE"""),50.43)</f>
        <v>50.43</v>
      </c>
      <c r="W384" s="26">
        <f>IFERROR(__xludf.DUMMYFUNCTION("""COMPUTED_VALUE"""),71.22)</f>
        <v>71.22</v>
      </c>
      <c r="X384" s="26">
        <f>IFERROR(__xludf.DUMMYFUNCTION("""COMPUTED_VALUE"""),102.91)</f>
        <v>102.91</v>
      </c>
      <c r="Y384" s="26">
        <f>IFERROR(__xludf.DUMMYFUNCTION("""COMPUTED_VALUE"""),159.62)</f>
        <v>159.62</v>
      </c>
      <c r="Z384" s="26">
        <f>IFERROR(__xludf.DUMMYFUNCTION("""COMPUTED_VALUE"""),101.57)</f>
        <v>101.57</v>
      </c>
      <c r="AA384" s="26">
        <f>IFERROR(__xludf.DUMMYFUNCTION("""COMPUTED_VALUE"""),403.34)</f>
        <v>403.34</v>
      </c>
      <c r="AB384" s="26">
        <f>IFERROR(__xludf.DUMMYFUNCTION("""COMPUTED_VALUE"""),81.83)</f>
        <v>81.83</v>
      </c>
      <c r="AC384" s="26">
        <f>IFERROR(__xludf.DUMMYFUNCTION("""COMPUTED_VALUE"""),119.03)</f>
        <v>119.03</v>
      </c>
      <c r="AD384" s="26">
        <f>IFERROR(__xludf.DUMMYFUNCTION("""COMPUTED_VALUE"""),263.08)</f>
        <v>263.08</v>
      </c>
      <c r="AE384" s="26">
        <f>IFERROR(__xludf.DUMMYFUNCTION("""COMPUTED_VALUE"""),397.83)</f>
        <v>397.83</v>
      </c>
      <c r="AF384" s="26">
        <f>IFERROR(__xludf.DUMMYFUNCTION("""COMPUTED_VALUE"""),341.29)</f>
        <v>341.29</v>
      </c>
      <c r="AG384" s="26">
        <f>IFERROR(__xludf.DUMMYFUNCTION("""COMPUTED_VALUE"""),67.93)</f>
        <v>67.93</v>
      </c>
      <c r="AH384" s="26">
        <f>IFERROR(__xludf.DUMMYFUNCTION("""COMPUTED_VALUE"""),127.18)</f>
        <v>127.18</v>
      </c>
      <c r="AI384" s="26">
        <f>IFERROR(__xludf.DUMMYFUNCTION("""COMPUTED_VALUE"""),776.3)</f>
        <v>776.3</v>
      </c>
      <c r="AJ384" s="26">
        <f>IFERROR(__xludf.DUMMYFUNCTION("""COMPUTED_VALUE"""),336.48)</f>
        <v>336.48</v>
      </c>
      <c r="AK384" s="26">
        <f>IFERROR(__xludf.DUMMYFUNCTION("""COMPUTED_VALUE"""),161.0)</f>
        <v>161</v>
      </c>
      <c r="AL384" s="26">
        <f>IFERROR(__xludf.DUMMYFUNCTION("""COMPUTED_VALUE"""),152.78)</f>
        <v>152.78</v>
      </c>
      <c r="AM384" s="26">
        <f>IFERROR(__xludf.DUMMYFUNCTION("""COMPUTED_VALUE"""),546.77)</f>
        <v>546.77</v>
      </c>
      <c r="AN384" s="26">
        <f>IFERROR(__xludf.DUMMYFUNCTION("""COMPUTED_VALUE"""),299.41)</f>
        <v>299.41</v>
      </c>
      <c r="AO384" s="26">
        <f>IFERROR(__xludf.DUMMYFUNCTION("""COMPUTED_VALUE"""),474.72)</f>
        <v>474.72</v>
      </c>
      <c r="AP384" s="26">
        <f>IFERROR(__xludf.DUMMYFUNCTION("""COMPUTED_VALUE"""),163.97)</f>
        <v>163.97</v>
      </c>
      <c r="AQ384" s="26">
        <f>IFERROR(__xludf.DUMMYFUNCTION("""COMPUTED_VALUE"""),33.56)</f>
        <v>33.56</v>
      </c>
      <c r="AR384" s="26">
        <f>IFERROR(__xludf.DUMMYFUNCTION("""COMPUTED_VALUE"""),100.8)</f>
        <v>100.8</v>
      </c>
      <c r="AS384" s="26">
        <f>IFERROR(__xludf.DUMMYFUNCTION("""COMPUTED_VALUE"""),75.37)</f>
        <v>75.37</v>
      </c>
      <c r="AT384" s="26">
        <f>IFERROR(__xludf.DUMMYFUNCTION("""COMPUTED_VALUE"""),493.79)</f>
        <v>493.79</v>
      </c>
      <c r="AU384" s="26">
        <f>IFERROR(__xludf.DUMMYFUNCTION("""COMPUTED_VALUE"""),84.64)</f>
        <v>84.64</v>
      </c>
      <c r="AV384" s="26">
        <f>IFERROR(__xludf.DUMMYFUNCTION("""COMPUTED_VALUE"""),181.36)</f>
        <v>181.36</v>
      </c>
      <c r="AW384" s="26">
        <f>IFERROR(__xludf.DUMMYFUNCTION("""COMPUTED_VALUE"""),87.7)</f>
        <v>87.7</v>
      </c>
      <c r="AX384" s="26">
        <f>IFERROR(__xludf.DUMMYFUNCTION("""COMPUTED_VALUE"""),42.66)</f>
        <v>42.66</v>
      </c>
      <c r="AY384" s="26">
        <f>IFERROR(__xludf.DUMMYFUNCTION("""COMPUTED_VALUE"""),167.33)</f>
        <v>167.33</v>
      </c>
      <c r="AZ384" s="26">
        <f>IFERROR(__xludf.DUMMYFUNCTION("""COMPUTED_VALUE"""),60.7)</f>
        <v>60.7</v>
      </c>
      <c r="BA384" s="26">
        <f>IFERROR(__xludf.DUMMYFUNCTION("""COMPUTED_VALUE"""),25.45)</f>
        <v>25.45</v>
      </c>
      <c r="BB384" s="26">
        <f>IFERROR(__xludf.DUMMYFUNCTION("""COMPUTED_VALUE"""),174.72)</f>
        <v>174.72</v>
      </c>
      <c r="BC384" s="26">
        <f>IFERROR(__xludf.DUMMYFUNCTION("""COMPUTED_VALUE"""),213.08)</f>
        <v>213.08</v>
      </c>
      <c r="BD384" s="26">
        <f>IFERROR(__xludf.DUMMYFUNCTION("""COMPUTED_VALUE"""),576.03)</f>
        <v>576.03</v>
      </c>
      <c r="BE384" s="26">
        <f>IFERROR(__xludf.DUMMYFUNCTION("""COMPUTED_VALUE"""),195.96)</f>
        <v>195.96</v>
      </c>
      <c r="BF384" s="26">
        <f>IFERROR(__xludf.DUMMYFUNCTION("""COMPUTED_VALUE"""),117.07)</f>
        <v>117.07</v>
      </c>
      <c r="BG384" s="26">
        <f>IFERROR(__xludf.DUMMYFUNCTION("""COMPUTED_VALUE"""),4.27)</f>
        <v>4.27</v>
      </c>
      <c r="BH384" s="26">
        <f>IFERROR(__xludf.DUMMYFUNCTION("""COMPUTED_VALUE"""),220.82)</f>
        <v>220.82</v>
      </c>
      <c r="BI384" s="26">
        <f>IFERROR(__xludf.DUMMYFUNCTION("""COMPUTED_VALUE"""),313.58)</f>
        <v>313.58</v>
      </c>
      <c r="BJ384" s="26">
        <f>IFERROR(__xludf.DUMMYFUNCTION("""COMPUTED_VALUE"""),50.06)</f>
        <v>50.06</v>
      </c>
      <c r="BK384" s="26">
        <f>IFERROR(__xludf.DUMMYFUNCTION("""COMPUTED_VALUE"""),10.71)</f>
        <v>10.71</v>
      </c>
      <c r="BL384" s="26">
        <f>IFERROR(__xludf.DUMMYFUNCTION("""COMPUTED_VALUE"""),211.3)</f>
        <v>211.3</v>
      </c>
      <c r="BM384" s="26">
        <f>IFERROR(__xludf.DUMMYFUNCTION("""COMPUTED_VALUE"""),106.28)</f>
        <v>106.28</v>
      </c>
    </row>
    <row r="385">
      <c r="A385" s="25"/>
      <c r="B385" s="17">
        <f>IFERROR(__xludf.DUMMYFUNCTION("""COMPUTED_VALUE"""),6642.16)</f>
        <v>6642.16</v>
      </c>
      <c r="C385" s="17">
        <f>IFERROR(__xludf.DUMMYFUNCTION("""COMPUTED_VALUE"""),22564.23)</f>
        <v>22564.23</v>
      </c>
      <c r="D385" s="17">
        <f>IFERROR(__xludf.DUMMYFUNCTION("""COMPUTED_VALUE"""),46138.77)</f>
        <v>46138.77</v>
      </c>
      <c r="E385" s="17">
        <f>IFERROR(__xludf.DUMMYFUNCTION("""COMPUTED_VALUE"""),2347.89)</f>
        <v>2347.89</v>
      </c>
      <c r="F385" s="26">
        <f>IFERROR(__xludf.DUMMYFUNCTION("""COMPUTED_VALUE"""),318.11)</f>
        <v>318.11</v>
      </c>
      <c r="G385" s="26">
        <f>IFERROR(__xludf.DUMMYFUNCTION("""COMPUTED_VALUE"""),222.69)</f>
        <v>222.69</v>
      </c>
      <c r="H385" s="26">
        <f>IFERROR(__xludf.DUMMYFUNCTION("""COMPUTED_VALUE"""),127.12)</f>
        <v>127.12</v>
      </c>
      <c r="I385" s="26">
        <f>IFERROR(__xludf.DUMMYFUNCTION("""COMPUTED_VALUE"""),268.56)</f>
        <v>268.56</v>
      </c>
      <c r="J385" s="26">
        <f>IFERROR(__xludf.DUMMYFUNCTION("""COMPUTED_VALUE"""),235.13)</f>
        <v>235.13</v>
      </c>
      <c r="K385" s="26">
        <f>IFERROR(__xludf.DUMMYFUNCTION("""COMPUTED_VALUE"""),107.51)</f>
        <v>107.51</v>
      </c>
      <c r="L385" s="26">
        <f>IFERROR(__xludf.DUMMYFUNCTION("""COMPUTED_VALUE"""),21.12)</f>
        <v>21.12</v>
      </c>
      <c r="M385" s="26">
        <f>IFERROR(__xludf.DUMMYFUNCTION("""COMPUTED_VALUE"""),501.26)</f>
        <v>501.26</v>
      </c>
      <c r="N385" s="26">
        <f>IFERROR(__xludf.DUMMYFUNCTION("""COMPUTED_VALUE"""),53.47)</f>
        <v>53.47</v>
      </c>
      <c r="O385" s="26">
        <f>IFERROR(__xludf.DUMMYFUNCTION("""COMPUTED_VALUE"""),167.93)</f>
        <v>167.93</v>
      </c>
      <c r="P385" s="26">
        <f>IFERROR(__xludf.DUMMYFUNCTION("""COMPUTED_VALUE"""),51.25)</f>
        <v>51.25</v>
      </c>
      <c r="Q385" s="26">
        <f>IFERROR(__xludf.DUMMYFUNCTION("""COMPUTED_VALUE"""),553.11)</f>
        <v>553.11</v>
      </c>
      <c r="R385" s="26">
        <f>IFERROR(__xludf.DUMMYFUNCTION("""COMPUTED_VALUE"""),86.24)</f>
        <v>86.24</v>
      </c>
      <c r="S385" s="26">
        <f>IFERROR(__xludf.DUMMYFUNCTION("""COMPUTED_VALUE"""),185.64)</f>
        <v>185.64</v>
      </c>
      <c r="T385" s="26">
        <f>IFERROR(__xludf.DUMMYFUNCTION("""COMPUTED_VALUE"""),151.7)</f>
        <v>151.7</v>
      </c>
      <c r="U385" s="26">
        <f>IFERROR(__xludf.DUMMYFUNCTION("""COMPUTED_VALUE"""),271.99)</f>
        <v>271.99</v>
      </c>
      <c r="V385" s="26">
        <f>IFERROR(__xludf.DUMMYFUNCTION("""COMPUTED_VALUE"""),51.16)</f>
        <v>51.16</v>
      </c>
      <c r="W385" s="26">
        <f>IFERROR(__xludf.DUMMYFUNCTION("""COMPUTED_VALUE"""),71.11)</f>
        <v>71.11</v>
      </c>
      <c r="X385" s="26">
        <f>IFERROR(__xludf.DUMMYFUNCTION("""COMPUTED_VALUE"""),100.38)</f>
        <v>100.38</v>
      </c>
      <c r="Y385" s="26">
        <f>IFERROR(__xludf.DUMMYFUNCTION("""COMPUTED_VALUE"""),159.3)</f>
        <v>159.3</v>
      </c>
      <c r="Z385" s="26">
        <f>IFERROR(__xludf.DUMMYFUNCTION("""COMPUTED_VALUE"""),99.95)</f>
        <v>99.95</v>
      </c>
      <c r="AA385" s="26">
        <f>IFERROR(__xludf.DUMMYFUNCTION("""COMPUTED_VALUE"""),399.67)</f>
        <v>399.67</v>
      </c>
      <c r="AB385" s="26">
        <f>IFERROR(__xludf.DUMMYFUNCTION("""COMPUTED_VALUE"""),81.28)</f>
        <v>81.28</v>
      </c>
      <c r="AC385" s="26">
        <f>IFERROR(__xludf.DUMMYFUNCTION("""COMPUTED_VALUE"""),117.35)</f>
        <v>117.35</v>
      </c>
      <c r="AD385" s="26">
        <f>IFERROR(__xludf.DUMMYFUNCTION("""COMPUTED_VALUE"""),262.57)</f>
        <v>262.57</v>
      </c>
      <c r="AE385" s="26">
        <f>IFERROR(__xludf.DUMMYFUNCTION("""COMPUTED_VALUE"""),389.83)</f>
        <v>389.83</v>
      </c>
      <c r="AF385" s="26">
        <f>IFERROR(__xludf.DUMMYFUNCTION("""COMPUTED_VALUE"""),343.06)</f>
        <v>343.06</v>
      </c>
      <c r="AG385" s="26">
        <f>IFERROR(__xludf.DUMMYFUNCTION("""COMPUTED_VALUE"""),68.5)</f>
        <v>68.5</v>
      </c>
      <c r="AH385" s="26">
        <f>IFERROR(__xludf.DUMMYFUNCTION("""COMPUTED_VALUE"""),128.07)</f>
        <v>128.07</v>
      </c>
      <c r="AI385" s="26">
        <f>IFERROR(__xludf.DUMMYFUNCTION("""COMPUTED_VALUE"""),785.99)</f>
        <v>785.99</v>
      </c>
      <c r="AJ385" s="26">
        <f>IFERROR(__xludf.DUMMYFUNCTION("""COMPUTED_VALUE"""),334.5)</f>
        <v>334.5</v>
      </c>
      <c r="AK385" s="26">
        <f>IFERROR(__xludf.DUMMYFUNCTION("""COMPUTED_VALUE"""),162.38)</f>
        <v>162.38</v>
      </c>
      <c r="AL385" s="26">
        <f>IFERROR(__xludf.DUMMYFUNCTION("""COMPUTED_VALUE"""),153.65)</f>
        <v>153.65</v>
      </c>
      <c r="AM385" s="26">
        <f>IFERROR(__xludf.DUMMYFUNCTION("""COMPUTED_VALUE"""),564.64)</f>
        <v>564.64</v>
      </c>
      <c r="AN385" s="26">
        <f>IFERROR(__xludf.DUMMYFUNCTION("""COMPUTED_VALUE"""),303.27)</f>
        <v>303.27</v>
      </c>
      <c r="AO385" s="26">
        <f>IFERROR(__xludf.DUMMYFUNCTION("""COMPUTED_VALUE"""),469.91)</f>
        <v>469.91</v>
      </c>
      <c r="AP385" s="26">
        <f>IFERROR(__xludf.DUMMYFUNCTION("""COMPUTED_VALUE"""),166.06)</f>
        <v>166.06</v>
      </c>
      <c r="AQ385" s="26">
        <f>IFERROR(__xludf.DUMMYFUNCTION("""COMPUTED_VALUE"""),33.85)</f>
        <v>33.85</v>
      </c>
      <c r="AR385" s="26">
        <f>IFERROR(__xludf.DUMMYFUNCTION("""COMPUTED_VALUE"""),100.34)</f>
        <v>100.34</v>
      </c>
      <c r="AS385" s="26">
        <f>IFERROR(__xludf.DUMMYFUNCTION("""COMPUTED_VALUE"""),74.76)</f>
        <v>74.76</v>
      </c>
      <c r="AT385" s="26">
        <f>IFERROR(__xludf.DUMMYFUNCTION("""COMPUTED_VALUE"""),487.12)</f>
        <v>487.12</v>
      </c>
      <c r="AU385" s="26">
        <f>IFERROR(__xludf.DUMMYFUNCTION("""COMPUTED_VALUE"""),84.27)</f>
        <v>84.27</v>
      </c>
      <c r="AV385" s="26">
        <f>IFERROR(__xludf.DUMMYFUNCTION("""COMPUTED_VALUE"""),186.52)</f>
        <v>186.52</v>
      </c>
      <c r="AW385" s="26">
        <f>IFERROR(__xludf.DUMMYFUNCTION("""COMPUTED_VALUE"""),86.58)</f>
        <v>86.58</v>
      </c>
      <c r="AX385" s="26">
        <f>IFERROR(__xludf.DUMMYFUNCTION("""COMPUTED_VALUE"""),43.3)</f>
        <v>43.3</v>
      </c>
      <c r="AY385" s="26">
        <f>IFERROR(__xludf.DUMMYFUNCTION("""COMPUTED_VALUE"""),165.42)</f>
        <v>165.42</v>
      </c>
      <c r="AZ385" s="26">
        <f>IFERROR(__xludf.DUMMYFUNCTION("""COMPUTED_VALUE"""),60.11)</f>
        <v>60.11</v>
      </c>
      <c r="BA385" s="26">
        <f>IFERROR(__xludf.DUMMYFUNCTION("""COMPUTED_VALUE"""),24.88)</f>
        <v>24.88</v>
      </c>
      <c r="BB385" s="26">
        <f>IFERROR(__xludf.DUMMYFUNCTION("""COMPUTED_VALUE"""),173.77)</f>
        <v>173.77</v>
      </c>
      <c r="BC385" s="26">
        <f>IFERROR(__xludf.DUMMYFUNCTION("""COMPUTED_VALUE"""),211.27)</f>
        <v>211.27</v>
      </c>
      <c r="BD385" s="26">
        <f>IFERROR(__xludf.DUMMYFUNCTION("""COMPUTED_VALUE"""),573.79)</f>
        <v>573.79</v>
      </c>
      <c r="BE385" s="26">
        <f>IFERROR(__xludf.DUMMYFUNCTION("""COMPUTED_VALUE"""),196.78)</f>
        <v>196.78</v>
      </c>
      <c r="BF385" s="26">
        <f>IFERROR(__xludf.DUMMYFUNCTION("""COMPUTED_VALUE"""),133.47)</f>
        <v>133.47</v>
      </c>
      <c r="BG385" s="26">
        <f>IFERROR(__xludf.DUMMYFUNCTION("""COMPUTED_VALUE"""),4.23)</f>
        <v>4.23</v>
      </c>
      <c r="BH385" s="26">
        <f>IFERROR(__xludf.DUMMYFUNCTION("""COMPUTED_VALUE"""),221.17)</f>
        <v>221.17</v>
      </c>
      <c r="BI385" s="26">
        <f>IFERROR(__xludf.DUMMYFUNCTION("""COMPUTED_VALUE"""),309.09)</f>
        <v>309.09</v>
      </c>
      <c r="BJ385" s="26">
        <f>IFERROR(__xludf.DUMMYFUNCTION("""COMPUTED_VALUE"""),50.04)</f>
        <v>50.04</v>
      </c>
      <c r="BK385" s="26">
        <f>IFERROR(__xludf.DUMMYFUNCTION("""COMPUTED_VALUE"""),10.46)</f>
        <v>10.46</v>
      </c>
      <c r="BL385" s="26">
        <f>IFERROR(__xludf.DUMMYFUNCTION("""COMPUTED_VALUE"""),215.66)</f>
        <v>215.66</v>
      </c>
      <c r="BM385" s="26">
        <f>IFERROR(__xludf.DUMMYFUNCTION("""COMPUTED_VALUE"""),104.67)</f>
        <v>104.67</v>
      </c>
    </row>
    <row r="386">
      <c r="A386" s="25"/>
      <c r="B386" s="17">
        <f>IFERROR(__xludf.DUMMYFUNCTION("""COMPUTED_VALUE"""),6538.76)</f>
        <v>6538.76</v>
      </c>
      <c r="C386" s="17">
        <f>IFERROR(__xludf.DUMMYFUNCTION("""COMPUTED_VALUE"""),22078.05)</f>
        <v>22078.05</v>
      </c>
      <c r="D386" s="17">
        <f>IFERROR(__xludf.DUMMYFUNCTION("""COMPUTED_VALUE"""),45752.26)</f>
        <v>45752.26</v>
      </c>
      <c r="E386" s="17">
        <f>IFERROR(__xludf.DUMMYFUNCTION("""COMPUTED_VALUE"""),2305.11)</f>
        <v>2305.11</v>
      </c>
      <c r="F386" s="26">
        <f>IFERROR(__xludf.DUMMYFUNCTION("""COMPUTED_VALUE"""),312.4)</f>
        <v>312.4</v>
      </c>
      <c r="G386" s="26">
        <f>IFERROR(__xludf.DUMMYFUNCTION("""COMPUTED_VALUE"""),217.14)</f>
        <v>217.14</v>
      </c>
      <c r="H386" s="26">
        <f>IFERROR(__xludf.DUMMYFUNCTION("""COMPUTED_VALUE"""),128.13)</f>
        <v>128.13</v>
      </c>
      <c r="I386" s="26">
        <f>IFERROR(__xludf.DUMMYFUNCTION("""COMPUTED_VALUE"""),266.25)</f>
        <v>266.25</v>
      </c>
      <c r="J386" s="26">
        <f>IFERROR(__xludf.DUMMYFUNCTION("""COMPUTED_VALUE"""),220.23)</f>
        <v>220.23</v>
      </c>
      <c r="K386" s="26">
        <f>IFERROR(__xludf.DUMMYFUNCTION("""COMPUTED_VALUE"""),106.46)</f>
        <v>106.46</v>
      </c>
      <c r="L386" s="26">
        <f>IFERROR(__xludf.DUMMYFUNCTION("""COMPUTED_VALUE"""),20.53)</f>
        <v>20.53</v>
      </c>
      <c r="M386" s="26">
        <f>IFERROR(__xludf.DUMMYFUNCTION("""COMPUTED_VALUE"""),501.12)</f>
        <v>501.12</v>
      </c>
      <c r="N386" s="26">
        <f>IFERROR(__xludf.DUMMYFUNCTION("""COMPUTED_VALUE"""),52.58)</f>
        <v>52.58</v>
      </c>
      <c r="O386" s="26">
        <f>IFERROR(__xludf.DUMMYFUNCTION("""COMPUTED_VALUE"""),168.18)</f>
        <v>168.18</v>
      </c>
      <c r="P386" s="26">
        <f>IFERROR(__xludf.DUMMYFUNCTION("""COMPUTED_VALUE"""),50.36)</f>
        <v>50.36</v>
      </c>
      <c r="Q386" s="26">
        <f>IFERROR(__xludf.DUMMYFUNCTION("""COMPUTED_VALUE"""),546.13)</f>
        <v>546.13</v>
      </c>
      <c r="R386" s="26">
        <f>IFERROR(__xludf.DUMMYFUNCTION("""COMPUTED_VALUE"""),81.98)</f>
        <v>81.98</v>
      </c>
      <c r="S386" s="26">
        <f>IFERROR(__xludf.DUMMYFUNCTION("""COMPUTED_VALUE"""),183.93)</f>
        <v>183.93</v>
      </c>
      <c r="T386" s="26">
        <f>IFERROR(__xludf.DUMMYFUNCTION("""COMPUTED_VALUE"""),150.31)</f>
        <v>150.31</v>
      </c>
      <c r="U386" s="26">
        <f>IFERROR(__xludf.DUMMYFUNCTION("""COMPUTED_VALUE"""),269.6)</f>
        <v>269.6</v>
      </c>
      <c r="V386" s="26">
        <f>IFERROR(__xludf.DUMMYFUNCTION("""COMPUTED_VALUE"""),50.7)</f>
        <v>50.7</v>
      </c>
      <c r="W386" s="26">
        <f>IFERROR(__xludf.DUMMYFUNCTION("""COMPUTED_VALUE"""),71.21)</f>
        <v>71.21</v>
      </c>
      <c r="X386" s="26">
        <f>IFERROR(__xludf.DUMMYFUNCTION("""COMPUTED_VALUE"""),100.95)</f>
        <v>100.95</v>
      </c>
      <c r="Y386" s="26">
        <f>IFERROR(__xludf.DUMMYFUNCTION("""COMPUTED_VALUE"""),157.59)</f>
        <v>157.59</v>
      </c>
      <c r="Z386" s="26">
        <f>IFERROR(__xludf.DUMMYFUNCTION("""COMPUTED_VALUE"""),98.56)</f>
        <v>98.56</v>
      </c>
      <c r="AA386" s="26">
        <f>IFERROR(__xludf.DUMMYFUNCTION("""COMPUTED_VALUE"""),397.21)</f>
        <v>397.21</v>
      </c>
      <c r="AB386" s="26">
        <f>IFERROR(__xludf.DUMMYFUNCTION("""COMPUTED_VALUE"""),80.05)</f>
        <v>80.05</v>
      </c>
      <c r="AC386" s="26">
        <f>IFERROR(__xludf.DUMMYFUNCTION("""COMPUTED_VALUE"""),117.02)</f>
        <v>117.02</v>
      </c>
      <c r="AD386" s="26">
        <f>IFERROR(__xludf.DUMMYFUNCTION("""COMPUTED_VALUE"""),263.1)</f>
        <v>263.1</v>
      </c>
      <c r="AE386" s="26">
        <f>IFERROR(__xludf.DUMMYFUNCTION("""COMPUTED_VALUE"""),383.15)</f>
        <v>383.15</v>
      </c>
      <c r="AF386" s="26">
        <f>IFERROR(__xludf.DUMMYFUNCTION("""COMPUTED_VALUE"""),339.44)</f>
        <v>339.44</v>
      </c>
      <c r="AG386" s="26">
        <f>IFERROR(__xludf.DUMMYFUNCTION("""COMPUTED_VALUE"""),68.04)</f>
        <v>68.04</v>
      </c>
      <c r="AH386" s="26">
        <f>IFERROR(__xludf.DUMMYFUNCTION("""COMPUTED_VALUE"""),124.99)</f>
        <v>124.99</v>
      </c>
      <c r="AI386" s="26">
        <f>IFERROR(__xludf.DUMMYFUNCTION("""COMPUTED_VALUE"""),773.7)</f>
        <v>773.7</v>
      </c>
      <c r="AJ386" s="26">
        <f>IFERROR(__xludf.DUMMYFUNCTION("""COMPUTED_VALUE"""),332.38)</f>
        <v>332.38</v>
      </c>
      <c r="AK386" s="26">
        <f>IFERROR(__xludf.DUMMYFUNCTION("""COMPUTED_VALUE"""),162.96)</f>
        <v>162.96</v>
      </c>
      <c r="AL386" s="26">
        <f>IFERROR(__xludf.DUMMYFUNCTION("""COMPUTED_VALUE"""),151.66)</f>
        <v>151.66</v>
      </c>
      <c r="AM386" s="26">
        <f>IFERROR(__xludf.DUMMYFUNCTION("""COMPUTED_VALUE"""),552.23)</f>
        <v>552.23</v>
      </c>
      <c r="AN386" s="26">
        <f>IFERROR(__xludf.DUMMYFUNCTION("""COMPUTED_VALUE"""),298.38)</f>
        <v>298.38</v>
      </c>
      <c r="AO386" s="26">
        <f>IFERROR(__xludf.DUMMYFUNCTION("""COMPUTED_VALUE"""),468.26)</f>
        <v>468.26</v>
      </c>
      <c r="AP386" s="26">
        <f>IFERROR(__xludf.DUMMYFUNCTION("""COMPUTED_VALUE"""),164.69)</f>
        <v>164.69</v>
      </c>
      <c r="AQ386" s="26">
        <f>IFERROR(__xludf.DUMMYFUNCTION("""COMPUTED_VALUE"""),33.86)</f>
        <v>33.86</v>
      </c>
      <c r="AR386" s="26">
        <f>IFERROR(__xludf.DUMMYFUNCTION("""COMPUTED_VALUE"""),99.35)</f>
        <v>99.35</v>
      </c>
      <c r="AS386" s="26">
        <f>IFERROR(__xludf.DUMMYFUNCTION("""COMPUTED_VALUE"""),73.92)</f>
        <v>73.92</v>
      </c>
      <c r="AT386" s="26">
        <f>IFERROR(__xludf.DUMMYFUNCTION("""COMPUTED_VALUE"""),478.43)</f>
        <v>478.43</v>
      </c>
      <c r="AU386" s="26">
        <f>IFERROR(__xludf.DUMMYFUNCTION("""COMPUTED_VALUE"""),84.3)</f>
        <v>84.3</v>
      </c>
      <c r="AV386" s="26">
        <f>IFERROR(__xludf.DUMMYFUNCTION("""COMPUTED_VALUE"""),180.64)</f>
        <v>180.64</v>
      </c>
      <c r="AW386" s="26">
        <f>IFERROR(__xludf.DUMMYFUNCTION("""COMPUTED_VALUE"""),86.86)</f>
        <v>86.86</v>
      </c>
      <c r="AX386" s="26">
        <f>IFERROR(__xludf.DUMMYFUNCTION("""COMPUTED_VALUE"""),41.42)</f>
        <v>41.42</v>
      </c>
      <c r="AY386" s="26">
        <f>IFERROR(__xludf.DUMMYFUNCTION("""COMPUTED_VALUE"""),155.75)</f>
        <v>155.75</v>
      </c>
      <c r="AZ386" s="26">
        <f>IFERROR(__xludf.DUMMYFUNCTION("""COMPUTED_VALUE"""),58.11)</f>
        <v>58.11</v>
      </c>
      <c r="BA386" s="26">
        <f>IFERROR(__xludf.DUMMYFUNCTION("""COMPUTED_VALUE"""),24.4)</f>
        <v>24.4</v>
      </c>
      <c r="BB386" s="26">
        <f>IFERROR(__xludf.DUMMYFUNCTION("""COMPUTED_VALUE"""),172.73)</f>
        <v>172.73</v>
      </c>
      <c r="BC386" s="26">
        <f>IFERROR(__xludf.DUMMYFUNCTION("""COMPUTED_VALUE"""),210.51)</f>
        <v>210.51</v>
      </c>
      <c r="BD386" s="26">
        <f>IFERROR(__xludf.DUMMYFUNCTION("""COMPUTED_VALUE"""),572.74)</f>
        <v>572.74</v>
      </c>
      <c r="BE386" s="26">
        <f>IFERROR(__xludf.DUMMYFUNCTION("""COMPUTED_VALUE"""),191.25)</f>
        <v>191.25</v>
      </c>
      <c r="BF386" s="26">
        <f>IFERROR(__xludf.DUMMYFUNCTION("""COMPUTED_VALUE"""),123.82)</f>
        <v>123.82</v>
      </c>
      <c r="BG386" s="26">
        <f>IFERROR(__xludf.DUMMYFUNCTION("""COMPUTED_VALUE"""),4.17)</f>
        <v>4.17</v>
      </c>
      <c r="BH386" s="26">
        <f>IFERROR(__xludf.DUMMYFUNCTION("""COMPUTED_VALUE"""),221.21)</f>
        <v>221.21</v>
      </c>
      <c r="BI386" s="26">
        <f>IFERROR(__xludf.DUMMYFUNCTION("""COMPUTED_VALUE"""),311.54)</f>
        <v>311.54</v>
      </c>
      <c r="BJ386" s="26">
        <f>IFERROR(__xludf.DUMMYFUNCTION("""COMPUTED_VALUE"""),50.07)</f>
        <v>50.07</v>
      </c>
      <c r="BK386" s="26">
        <f>IFERROR(__xludf.DUMMYFUNCTION("""COMPUTED_VALUE"""),10.19)</f>
        <v>10.19</v>
      </c>
      <c r="BL386" s="26">
        <f>IFERROR(__xludf.DUMMYFUNCTION("""COMPUTED_VALUE"""),216.8)</f>
        <v>216.8</v>
      </c>
      <c r="BM386" s="26">
        <f>IFERROR(__xludf.DUMMYFUNCTION("""COMPUTED_VALUE"""),102.7)</f>
        <v>102.7</v>
      </c>
    </row>
    <row r="387">
      <c r="A387" s="25"/>
      <c r="B387" s="17">
        <f>IFERROR(__xludf.DUMMYFUNCTION("""COMPUTED_VALUE"""),6602.99)</f>
        <v>6602.99</v>
      </c>
      <c r="C387" s="17">
        <f>IFERROR(__xludf.DUMMYFUNCTION("""COMPUTED_VALUE"""),22273.08)</f>
        <v>22273.08</v>
      </c>
      <c r="D387" s="17">
        <f>IFERROR(__xludf.DUMMYFUNCTION("""COMPUTED_VALUE"""),46245.41)</f>
        <v>46245.41</v>
      </c>
      <c r="E387" s="17">
        <f>IFERROR(__xludf.DUMMYFUNCTION("""COMPUTED_VALUE"""),2369.59)</f>
        <v>2369.59</v>
      </c>
      <c r="F387" s="26">
        <f>IFERROR(__xludf.DUMMYFUNCTION("""COMPUTED_VALUE"""),324.19)</f>
        <v>324.19</v>
      </c>
      <c r="G387" s="26">
        <f>IFERROR(__xludf.DUMMYFUNCTION("""COMPUTED_VALUE"""),220.69)</f>
        <v>220.69</v>
      </c>
      <c r="H387" s="26">
        <f>IFERROR(__xludf.DUMMYFUNCTION("""COMPUTED_VALUE"""),132.74)</f>
        <v>132.74</v>
      </c>
      <c r="I387" s="26">
        <f>IFERROR(__xludf.DUMMYFUNCTION("""COMPUTED_VALUE"""),271.49)</f>
        <v>271.49</v>
      </c>
      <c r="J387" s="26">
        <f>IFERROR(__xludf.DUMMYFUNCTION("""COMPUTED_VALUE"""),224.01)</f>
        <v>224.01</v>
      </c>
      <c r="K387" s="26">
        <f>IFERROR(__xludf.DUMMYFUNCTION("""COMPUTED_VALUE"""),106.43)</f>
        <v>106.43</v>
      </c>
      <c r="L387" s="26">
        <f>IFERROR(__xludf.DUMMYFUNCTION("""COMPUTED_VALUE"""),20.84)</f>
        <v>20.84</v>
      </c>
      <c r="M387" s="26">
        <f>IFERROR(__xludf.DUMMYFUNCTION("""COMPUTED_VALUE"""),504.04)</f>
        <v>504.04</v>
      </c>
      <c r="N387" s="26">
        <f>IFERROR(__xludf.DUMMYFUNCTION("""COMPUTED_VALUE"""),53.08)</f>
        <v>53.08</v>
      </c>
      <c r="O387" s="26">
        <f>IFERROR(__xludf.DUMMYFUNCTION("""COMPUTED_VALUE"""),175.3)</f>
        <v>175.3</v>
      </c>
      <c r="P387" s="26">
        <f>IFERROR(__xludf.DUMMYFUNCTION("""COMPUTED_VALUE"""),52.41)</f>
        <v>52.41</v>
      </c>
      <c r="Q387" s="26">
        <f>IFERROR(__xludf.DUMMYFUNCTION("""COMPUTED_VALUE"""),550.43)</f>
        <v>550.43</v>
      </c>
      <c r="R387" s="26">
        <f>IFERROR(__xludf.DUMMYFUNCTION("""COMPUTED_VALUE"""),79.44)</f>
        <v>79.44</v>
      </c>
      <c r="S387" s="26">
        <f>IFERROR(__xludf.DUMMYFUNCTION("""COMPUTED_VALUE"""),187.08)</f>
        <v>187.08</v>
      </c>
      <c r="T387" s="26">
        <f>IFERROR(__xludf.DUMMYFUNCTION("""COMPUTED_VALUE"""),149.98)</f>
        <v>149.98</v>
      </c>
      <c r="U387" s="26">
        <f>IFERROR(__xludf.DUMMYFUNCTION("""COMPUTED_VALUE"""),278.09)</f>
        <v>278.09</v>
      </c>
      <c r="V387" s="26">
        <f>IFERROR(__xludf.DUMMYFUNCTION("""COMPUTED_VALUE"""),52.3)</f>
        <v>52.3</v>
      </c>
      <c r="W387" s="26">
        <f>IFERROR(__xludf.DUMMYFUNCTION("""COMPUTED_VALUE"""),72.95)</f>
        <v>72.95</v>
      </c>
      <c r="X387" s="26">
        <f>IFERROR(__xludf.DUMMYFUNCTION("""COMPUTED_VALUE"""),100.16)</f>
        <v>100.16</v>
      </c>
      <c r="Y387" s="26">
        <f>IFERROR(__xludf.DUMMYFUNCTION("""COMPUTED_VALUE"""),157.18)</f>
        <v>157.18</v>
      </c>
      <c r="Z387" s="26">
        <f>IFERROR(__xludf.DUMMYFUNCTION("""COMPUTED_VALUE"""),101.82)</f>
        <v>101.82</v>
      </c>
      <c r="AA387" s="26">
        <f>IFERROR(__xludf.DUMMYFUNCTION("""COMPUTED_VALUE"""),407.4)</f>
        <v>407.4</v>
      </c>
      <c r="AB387" s="26">
        <f>IFERROR(__xludf.DUMMYFUNCTION("""COMPUTED_VALUE"""),80.84)</f>
        <v>80.84</v>
      </c>
      <c r="AC387" s="26">
        <f>IFERROR(__xludf.DUMMYFUNCTION("""COMPUTED_VALUE"""),117.08)</f>
        <v>117.08</v>
      </c>
      <c r="AD387" s="26">
        <f>IFERROR(__xludf.DUMMYFUNCTION("""COMPUTED_VALUE"""),269.43)</f>
        <v>269.43</v>
      </c>
      <c r="AE387" s="26">
        <f>IFERROR(__xludf.DUMMYFUNCTION("""COMPUTED_VALUE"""),389.19)</f>
        <v>389.19</v>
      </c>
      <c r="AF387" s="26">
        <f>IFERROR(__xludf.DUMMYFUNCTION("""COMPUTED_VALUE"""),340.34)</f>
        <v>340.34</v>
      </c>
      <c r="AG387" s="26">
        <f>IFERROR(__xludf.DUMMYFUNCTION("""COMPUTED_VALUE"""),70.33)</f>
        <v>70.33</v>
      </c>
      <c r="AH387" s="26">
        <f>IFERROR(__xludf.DUMMYFUNCTION("""COMPUTED_VALUE"""),126.64)</f>
        <v>126.64</v>
      </c>
      <c r="AI387" s="26">
        <f>IFERROR(__xludf.DUMMYFUNCTION("""COMPUTED_VALUE"""),774.03)</f>
        <v>774.03</v>
      </c>
      <c r="AJ387" s="26">
        <f>IFERROR(__xludf.DUMMYFUNCTION("""COMPUTED_VALUE"""),343.32)</f>
        <v>343.32</v>
      </c>
      <c r="AK387" s="26">
        <f>IFERROR(__xludf.DUMMYFUNCTION("""COMPUTED_VALUE"""),163.35)</f>
        <v>163.35</v>
      </c>
      <c r="AL387" s="26">
        <f>IFERROR(__xludf.DUMMYFUNCTION("""COMPUTED_VALUE"""),154.43)</f>
        <v>154.43</v>
      </c>
      <c r="AM387" s="26">
        <f>IFERROR(__xludf.DUMMYFUNCTION("""COMPUTED_VALUE"""),561.61)</f>
        <v>561.61</v>
      </c>
      <c r="AN387" s="26">
        <f>IFERROR(__xludf.DUMMYFUNCTION("""COMPUTED_VALUE"""),298.02)</f>
        <v>298.02</v>
      </c>
      <c r="AO387" s="26">
        <f>IFERROR(__xludf.DUMMYFUNCTION("""COMPUTED_VALUE"""),460.78)</f>
        <v>460.78</v>
      </c>
      <c r="AP387" s="26">
        <f>IFERROR(__xludf.DUMMYFUNCTION("""COMPUTED_VALUE"""),168.18)</f>
        <v>168.18</v>
      </c>
      <c r="AQ387" s="26">
        <f>IFERROR(__xludf.DUMMYFUNCTION("""COMPUTED_VALUE"""),34.54)</f>
        <v>34.54</v>
      </c>
      <c r="AR387" s="26">
        <f>IFERROR(__xludf.DUMMYFUNCTION("""COMPUTED_VALUE"""),101.2)</f>
        <v>101.2</v>
      </c>
      <c r="AS387" s="26">
        <f>IFERROR(__xludf.DUMMYFUNCTION("""COMPUTED_VALUE"""),75.07)</f>
        <v>75.07</v>
      </c>
      <c r="AT387" s="26">
        <f>IFERROR(__xludf.DUMMYFUNCTION("""COMPUTED_VALUE"""),472.12)</f>
        <v>472.12</v>
      </c>
      <c r="AU387" s="26">
        <f>IFERROR(__xludf.DUMMYFUNCTION("""COMPUTED_VALUE"""),83.48)</f>
        <v>83.48</v>
      </c>
      <c r="AV387" s="26">
        <f>IFERROR(__xludf.DUMMYFUNCTION("""COMPUTED_VALUE"""),178.88)</f>
        <v>178.88</v>
      </c>
      <c r="AW387" s="26">
        <f>IFERROR(__xludf.DUMMYFUNCTION("""COMPUTED_VALUE"""),88.06)</f>
        <v>88.06</v>
      </c>
      <c r="AX387" s="26">
        <f>IFERROR(__xludf.DUMMYFUNCTION("""COMPUTED_VALUE"""),41.28)</f>
        <v>41.28</v>
      </c>
      <c r="AY387" s="26">
        <f>IFERROR(__xludf.DUMMYFUNCTION("""COMPUTED_VALUE"""),154.85)</f>
        <v>154.85</v>
      </c>
      <c r="AZ387" s="26">
        <f>IFERROR(__xludf.DUMMYFUNCTION("""COMPUTED_VALUE"""),60.57)</f>
        <v>60.57</v>
      </c>
      <c r="BA387" s="26">
        <f>IFERROR(__xludf.DUMMYFUNCTION("""COMPUTED_VALUE"""),25.04)</f>
        <v>25.04</v>
      </c>
      <c r="BB387" s="26">
        <f>IFERROR(__xludf.DUMMYFUNCTION("""COMPUTED_VALUE"""),169.68)</f>
        <v>169.68</v>
      </c>
      <c r="BC387" s="26">
        <f>IFERROR(__xludf.DUMMYFUNCTION("""COMPUTED_VALUE"""),209.48)</f>
        <v>209.48</v>
      </c>
      <c r="BD387" s="26">
        <f>IFERROR(__xludf.DUMMYFUNCTION("""COMPUTED_VALUE"""),587.48)</f>
        <v>587.48</v>
      </c>
      <c r="BE387" s="26">
        <f>IFERROR(__xludf.DUMMYFUNCTION("""COMPUTED_VALUE"""),197.62)</f>
        <v>197.62</v>
      </c>
      <c r="BF387" s="26">
        <f>IFERROR(__xludf.DUMMYFUNCTION("""COMPUTED_VALUE"""),130.93)</f>
        <v>130.93</v>
      </c>
      <c r="BG387" s="26">
        <f>IFERROR(__xludf.DUMMYFUNCTION("""COMPUTED_VALUE"""),4.28)</f>
        <v>4.28</v>
      </c>
      <c r="BH387" s="26">
        <f>IFERROR(__xludf.DUMMYFUNCTION("""COMPUTED_VALUE"""),226.22)</f>
        <v>226.22</v>
      </c>
      <c r="BI387" s="26">
        <f>IFERROR(__xludf.DUMMYFUNCTION("""COMPUTED_VALUE"""),319.97)</f>
        <v>319.97</v>
      </c>
      <c r="BJ387" s="26">
        <f>IFERROR(__xludf.DUMMYFUNCTION("""COMPUTED_VALUE"""),50.12)</f>
        <v>50.12</v>
      </c>
      <c r="BK387" s="26">
        <f>IFERROR(__xludf.DUMMYFUNCTION("""COMPUTED_VALUE"""),10.46)</f>
        <v>10.46</v>
      </c>
      <c r="BL387" s="26">
        <f>IFERROR(__xludf.DUMMYFUNCTION("""COMPUTED_VALUE"""),216.62)</f>
        <v>216.62</v>
      </c>
      <c r="BM387" s="26">
        <f>IFERROR(__xludf.DUMMYFUNCTION("""COMPUTED_VALUE"""),104.28)</f>
        <v>104.28</v>
      </c>
    </row>
    <row r="388">
      <c r="A388" s="25"/>
      <c r="B388" s="17">
        <f>IFERROR(__xludf.DUMMYFUNCTION("""COMPUTED_VALUE"""),6705.12)</f>
        <v>6705.12</v>
      </c>
      <c r="C388" s="17">
        <f>IFERROR(__xludf.DUMMYFUNCTION("""COMPUTED_VALUE"""),22872.01)</f>
        <v>22872.01</v>
      </c>
      <c r="D388" s="17">
        <f>IFERROR(__xludf.DUMMYFUNCTION("""COMPUTED_VALUE"""),46448.27)</f>
        <v>46448.27</v>
      </c>
      <c r="E388" s="17">
        <f>IFERROR(__xludf.DUMMYFUNCTION("""COMPUTED_VALUE"""),2414.28)</f>
        <v>2414.28</v>
      </c>
      <c r="F388" s="26">
        <f>IFERROR(__xludf.DUMMYFUNCTION("""COMPUTED_VALUE"""),318.73)</f>
        <v>318.73</v>
      </c>
      <c r="G388" s="26">
        <f>IFERROR(__xludf.DUMMYFUNCTION("""COMPUTED_VALUE"""),226.28)</f>
        <v>226.28</v>
      </c>
      <c r="H388" s="26">
        <f>IFERROR(__xludf.DUMMYFUNCTION("""COMPUTED_VALUE"""),131.51)</f>
        <v>131.51</v>
      </c>
      <c r="I388" s="26">
        <f>IFERROR(__xludf.DUMMYFUNCTION("""COMPUTED_VALUE"""),275.92)</f>
        <v>275.92</v>
      </c>
      <c r="J388" s="26">
        <f>IFERROR(__xludf.DUMMYFUNCTION("""COMPUTED_VALUE"""),230.91)</f>
        <v>230.91</v>
      </c>
      <c r="K388" s="26">
        <f>IFERROR(__xludf.DUMMYFUNCTION("""COMPUTED_VALUE"""),108.07)</f>
        <v>108.07</v>
      </c>
      <c r="L388" s="26">
        <f>IFERROR(__xludf.DUMMYFUNCTION("""COMPUTED_VALUE"""),21.12)</f>
        <v>21.12</v>
      </c>
      <c r="M388" s="26">
        <f>IFERROR(__xludf.DUMMYFUNCTION("""COMPUTED_VALUE"""),507.81)</f>
        <v>507.81</v>
      </c>
      <c r="N388" s="26">
        <f>IFERROR(__xludf.DUMMYFUNCTION("""COMPUTED_VALUE"""),52.93)</f>
        <v>52.93</v>
      </c>
      <c r="O388" s="26">
        <f>IFERROR(__xludf.DUMMYFUNCTION("""COMPUTED_VALUE"""),176.82)</f>
        <v>176.82</v>
      </c>
      <c r="P388" s="26">
        <f>IFERROR(__xludf.DUMMYFUNCTION("""COMPUTED_VALUE"""),51.75)</f>
        <v>51.75</v>
      </c>
      <c r="Q388" s="26">
        <f>IFERROR(__xludf.DUMMYFUNCTION("""COMPUTED_VALUE"""),559.6)</f>
        <v>559.6</v>
      </c>
      <c r="R388" s="26">
        <f>IFERROR(__xludf.DUMMYFUNCTION("""COMPUTED_VALUE"""),83.34)</f>
        <v>83.34</v>
      </c>
      <c r="S388" s="26">
        <f>IFERROR(__xludf.DUMMYFUNCTION("""COMPUTED_VALUE"""),183.55)</f>
        <v>183.55</v>
      </c>
      <c r="T388" s="26">
        <f>IFERROR(__xludf.DUMMYFUNCTION("""COMPUTED_VALUE"""),149.75)</f>
        <v>149.75</v>
      </c>
      <c r="U388" s="26">
        <f>IFERROR(__xludf.DUMMYFUNCTION("""COMPUTED_VALUE"""),271.47)</f>
        <v>271.47</v>
      </c>
      <c r="V388" s="26">
        <f>IFERROR(__xludf.DUMMYFUNCTION("""COMPUTED_VALUE"""),52.79)</f>
        <v>52.79</v>
      </c>
      <c r="W388" s="26">
        <f>IFERROR(__xludf.DUMMYFUNCTION("""COMPUTED_VALUE"""),72.59)</f>
        <v>72.59</v>
      </c>
      <c r="X388" s="26">
        <f>IFERROR(__xludf.DUMMYFUNCTION("""COMPUTED_VALUE"""),98.92)</f>
        <v>98.92</v>
      </c>
      <c r="Y388" s="26">
        <f>IFERROR(__xludf.DUMMYFUNCTION("""COMPUTED_VALUE"""),159.01)</f>
        <v>159.01</v>
      </c>
      <c r="Z388" s="26">
        <f>IFERROR(__xludf.DUMMYFUNCTION("""COMPUTED_VALUE"""),100.25)</f>
        <v>100.25</v>
      </c>
      <c r="AA388" s="26">
        <f>IFERROR(__xludf.DUMMYFUNCTION("""COMPUTED_VALUE"""),402.67)</f>
        <v>402.67</v>
      </c>
      <c r="AB388" s="26">
        <f>IFERROR(__xludf.DUMMYFUNCTION("""COMPUTED_VALUE"""),80.89)</f>
        <v>80.89</v>
      </c>
      <c r="AC388" s="26">
        <f>IFERROR(__xludf.DUMMYFUNCTION("""COMPUTED_VALUE"""),115.97)</f>
        <v>115.97</v>
      </c>
      <c r="AD388" s="26">
        <f>IFERROR(__xludf.DUMMYFUNCTION("""COMPUTED_VALUE"""),266.98)</f>
        <v>266.98</v>
      </c>
      <c r="AE388" s="26">
        <f>IFERROR(__xludf.DUMMYFUNCTION("""COMPUTED_VALUE"""),381.58)</f>
        <v>381.58</v>
      </c>
      <c r="AF388" s="26">
        <f>IFERROR(__xludf.DUMMYFUNCTION("""COMPUTED_VALUE"""),338.13)</f>
        <v>338.13</v>
      </c>
      <c r="AG388" s="26">
        <f>IFERROR(__xludf.DUMMYFUNCTION("""COMPUTED_VALUE"""),71.0)</f>
        <v>71</v>
      </c>
      <c r="AH388" s="26">
        <f>IFERROR(__xludf.DUMMYFUNCTION("""COMPUTED_VALUE"""),125.27)</f>
        <v>125.27</v>
      </c>
      <c r="AI388" s="26">
        <f>IFERROR(__xludf.DUMMYFUNCTION("""COMPUTED_VALUE"""),790.71)</f>
        <v>790.71</v>
      </c>
      <c r="AJ388" s="26">
        <f>IFERROR(__xludf.DUMMYFUNCTION("""COMPUTED_VALUE"""),336.58)</f>
        <v>336.58</v>
      </c>
      <c r="AK388" s="26">
        <f>IFERROR(__xludf.DUMMYFUNCTION("""COMPUTED_VALUE"""),161.13)</f>
        <v>161.13</v>
      </c>
      <c r="AL388" s="26">
        <f>IFERROR(__xludf.DUMMYFUNCTION("""COMPUTED_VALUE"""),152.9)</f>
        <v>152.9</v>
      </c>
      <c r="AM388" s="26">
        <f>IFERROR(__xludf.DUMMYFUNCTION("""COMPUTED_VALUE"""),568.48)</f>
        <v>568.48</v>
      </c>
      <c r="AN388" s="26">
        <f>IFERROR(__xludf.DUMMYFUNCTION("""COMPUTED_VALUE"""),298.0)</f>
        <v>298</v>
      </c>
      <c r="AO388" s="26">
        <f>IFERROR(__xludf.DUMMYFUNCTION("""COMPUTED_VALUE"""),451.06)</f>
        <v>451.06</v>
      </c>
      <c r="AP388" s="26">
        <f>IFERROR(__xludf.DUMMYFUNCTION("""COMPUTED_VALUE"""),169.67)</f>
        <v>169.67</v>
      </c>
      <c r="AQ388" s="26">
        <f>IFERROR(__xludf.DUMMYFUNCTION("""COMPUTED_VALUE"""),34.87)</f>
        <v>34.87</v>
      </c>
      <c r="AR388" s="26">
        <f>IFERROR(__xludf.DUMMYFUNCTION("""COMPUTED_VALUE"""),103.2)</f>
        <v>103.2</v>
      </c>
      <c r="AS388" s="26">
        <f>IFERROR(__xludf.DUMMYFUNCTION("""COMPUTED_VALUE"""),75.19)</f>
        <v>75.19</v>
      </c>
      <c r="AT388" s="26">
        <f>IFERROR(__xludf.DUMMYFUNCTION("""COMPUTED_VALUE"""),474.0)</f>
        <v>474</v>
      </c>
      <c r="AU388" s="26">
        <f>IFERROR(__xludf.DUMMYFUNCTION("""COMPUTED_VALUE"""),84.23)</f>
        <v>84.23</v>
      </c>
      <c r="AV388" s="26">
        <f>IFERROR(__xludf.DUMMYFUNCTION("""COMPUTED_VALUE"""),182.55)</f>
        <v>182.55</v>
      </c>
      <c r="AW388" s="26">
        <f>IFERROR(__xludf.DUMMYFUNCTION("""COMPUTED_VALUE"""),86.96)</f>
        <v>86.96</v>
      </c>
      <c r="AX388" s="26">
        <f>IFERROR(__xludf.DUMMYFUNCTION("""COMPUTED_VALUE"""),40.79)</f>
        <v>40.79</v>
      </c>
      <c r="AY388" s="26">
        <f>IFERROR(__xludf.DUMMYFUNCTION("""COMPUTED_VALUE"""),162.25)</f>
        <v>162.25</v>
      </c>
      <c r="AZ388" s="26">
        <f>IFERROR(__xludf.DUMMYFUNCTION("""COMPUTED_VALUE"""),60.56)</f>
        <v>60.56</v>
      </c>
      <c r="BA388" s="26">
        <f>IFERROR(__xludf.DUMMYFUNCTION("""COMPUTED_VALUE"""),25.22)</f>
        <v>25.22</v>
      </c>
      <c r="BB388" s="26">
        <f>IFERROR(__xludf.DUMMYFUNCTION("""COMPUTED_VALUE"""),173.21)</f>
        <v>173.21</v>
      </c>
      <c r="BC388" s="26">
        <f>IFERROR(__xludf.DUMMYFUNCTION("""COMPUTED_VALUE"""),207.34)</f>
        <v>207.34</v>
      </c>
      <c r="BD388" s="26">
        <f>IFERROR(__xludf.DUMMYFUNCTION("""COMPUTED_VALUE"""),586.07)</f>
        <v>586.07</v>
      </c>
      <c r="BE388" s="26">
        <f>IFERROR(__xludf.DUMMYFUNCTION("""COMPUTED_VALUE"""),199.06)</f>
        <v>199.06</v>
      </c>
      <c r="BF388" s="26">
        <f>IFERROR(__xludf.DUMMYFUNCTION("""COMPUTED_VALUE"""),140.21)</f>
        <v>140.21</v>
      </c>
      <c r="BG388" s="26">
        <f>IFERROR(__xludf.DUMMYFUNCTION("""COMPUTED_VALUE"""),4.4)</f>
        <v>4.4</v>
      </c>
      <c r="BH388" s="26">
        <f>IFERROR(__xludf.DUMMYFUNCTION("""COMPUTED_VALUE"""),224.5)</f>
        <v>224.5</v>
      </c>
      <c r="BI388" s="26">
        <f>IFERROR(__xludf.DUMMYFUNCTION("""COMPUTED_VALUE"""),319.05)</f>
        <v>319.05</v>
      </c>
      <c r="BJ388" s="26">
        <f>IFERROR(__xludf.DUMMYFUNCTION("""COMPUTED_VALUE"""),50.11)</f>
        <v>50.11</v>
      </c>
      <c r="BK388" s="26">
        <f>IFERROR(__xludf.DUMMYFUNCTION("""COMPUTED_VALUE"""),10.57)</f>
        <v>10.57</v>
      </c>
      <c r="BL388" s="26">
        <f>IFERROR(__xludf.DUMMYFUNCTION("""COMPUTED_VALUE"""),211.84)</f>
        <v>211.84</v>
      </c>
      <c r="BM388" s="26">
        <f>IFERROR(__xludf.DUMMYFUNCTION("""COMPUTED_VALUE"""),101.94)</f>
        <v>101.94</v>
      </c>
    </row>
    <row r="389">
      <c r="A389" s="25"/>
      <c r="B389" s="17">
        <f>IFERROR(__xludf.DUMMYFUNCTION("""COMPUTED_VALUE"""),6765.88)</f>
        <v>6765.88</v>
      </c>
      <c r="C389" s="17">
        <f>IFERROR(__xludf.DUMMYFUNCTION("""COMPUTED_VALUE"""),23025.59)</f>
        <v>23025.59</v>
      </c>
      <c r="D389" s="17">
        <f>IFERROR(__xludf.DUMMYFUNCTION("""COMPUTED_VALUE"""),47112.45)</f>
        <v>47112.45</v>
      </c>
      <c r="E389" s="17">
        <f>IFERROR(__xludf.DUMMYFUNCTION("""COMPUTED_VALUE"""),2465.98)</f>
        <v>2465.98</v>
      </c>
      <c r="F389" s="26">
        <f>IFERROR(__xludf.DUMMYFUNCTION("""COMPUTED_VALUE"""),319.55)</f>
        <v>319.55</v>
      </c>
      <c r="G389" s="26">
        <f>IFERROR(__xludf.DUMMYFUNCTION("""COMPUTED_VALUE"""),229.67)</f>
        <v>229.67</v>
      </c>
      <c r="H389" s="26">
        <f>IFERROR(__xludf.DUMMYFUNCTION("""COMPUTED_VALUE"""),130.39)</f>
        <v>130.39</v>
      </c>
      <c r="I389" s="26">
        <f>IFERROR(__xludf.DUMMYFUNCTION("""COMPUTED_VALUE"""),276.97)</f>
        <v>276.97</v>
      </c>
      <c r="J389" s="26">
        <f>IFERROR(__xludf.DUMMYFUNCTION("""COMPUTED_VALUE"""),242.46)</f>
        <v>242.46</v>
      </c>
      <c r="K389" s="26">
        <f>IFERROR(__xludf.DUMMYFUNCTION("""COMPUTED_VALUE"""),109.13)</f>
        <v>109.13</v>
      </c>
      <c r="L389" s="26">
        <f>IFERROR(__xludf.DUMMYFUNCTION("""COMPUTED_VALUE"""),21.69)</f>
        <v>21.69</v>
      </c>
      <c r="M389" s="26">
        <f>IFERROR(__xludf.DUMMYFUNCTION("""COMPUTED_VALUE"""),508.57)</f>
        <v>508.57</v>
      </c>
      <c r="N389" s="26">
        <f>IFERROR(__xludf.DUMMYFUNCTION("""COMPUTED_VALUE"""),53.68)</f>
        <v>53.68</v>
      </c>
      <c r="O389" s="26">
        <f>IFERROR(__xludf.DUMMYFUNCTION("""COMPUTED_VALUE"""),181.96)</f>
        <v>181.96</v>
      </c>
      <c r="P389" s="26">
        <f>IFERROR(__xludf.DUMMYFUNCTION("""COMPUTED_VALUE"""),53.95)</f>
        <v>53.95</v>
      </c>
      <c r="Q389" s="26">
        <f>IFERROR(__xludf.DUMMYFUNCTION("""COMPUTED_VALUE"""),566.61)</f>
        <v>566.61</v>
      </c>
      <c r="R389" s="26">
        <f>IFERROR(__xludf.DUMMYFUNCTION("""COMPUTED_VALUE"""),87.35)</f>
        <v>87.35</v>
      </c>
      <c r="S389" s="26">
        <f>IFERROR(__xludf.DUMMYFUNCTION("""COMPUTED_VALUE"""),185.9)</f>
        <v>185.9</v>
      </c>
      <c r="T389" s="26">
        <f>IFERROR(__xludf.DUMMYFUNCTION("""COMPUTED_VALUE"""),148.53)</f>
        <v>148.53</v>
      </c>
      <c r="U389" s="26">
        <f>IFERROR(__xludf.DUMMYFUNCTION("""COMPUTED_VALUE"""),278.2)</f>
        <v>278.2</v>
      </c>
      <c r="V389" s="26">
        <f>IFERROR(__xludf.DUMMYFUNCTION("""COMPUTED_VALUE"""),54.19)</f>
        <v>54.19</v>
      </c>
      <c r="W389" s="26">
        <f>IFERROR(__xludf.DUMMYFUNCTION("""COMPUTED_VALUE"""),72.61)</f>
        <v>72.61</v>
      </c>
      <c r="X389" s="26">
        <f>IFERROR(__xludf.DUMMYFUNCTION("""COMPUTED_VALUE"""),98.85)</f>
        <v>98.85</v>
      </c>
      <c r="Y389" s="26">
        <f>IFERROR(__xludf.DUMMYFUNCTION("""COMPUTED_VALUE"""),157.37)</f>
        <v>157.37</v>
      </c>
      <c r="Z389" s="26">
        <f>IFERROR(__xludf.DUMMYFUNCTION("""COMPUTED_VALUE"""),105.66)</f>
        <v>105.66</v>
      </c>
      <c r="AA389" s="26">
        <f>IFERROR(__xludf.DUMMYFUNCTION("""COMPUTED_VALUE"""),417.62)</f>
        <v>417.62</v>
      </c>
      <c r="AB389" s="26">
        <f>IFERROR(__xludf.DUMMYFUNCTION("""COMPUTED_VALUE"""),82.79)</f>
        <v>82.79</v>
      </c>
      <c r="AC389" s="26">
        <f>IFERROR(__xludf.DUMMYFUNCTION("""COMPUTED_VALUE"""),114.51)</f>
        <v>114.51</v>
      </c>
      <c r="AD389" s="26">
        <f>IFERROR(__xludf.DUMMYFUNCTION("""COMPUTED_VALUE"""),273.87)</f>
        <v>273.87</v>
      </c>
      <c r="AE389" s="26">
        <f>IFERROR(__xludf.DUMMYFUNCTION("""COMPUTED_VALUE"""),385.14)</f>
        <v>385.14</v>
      </c>
      <c r="AF389" s="26">
        <f>IFERROR(__xludf.DUMMYFUNCTION("""COMPUTED_VALUE"""),341.07)</f>
        <v>341.07</v>
      </c>
      <c r="AG389" s="26">
        <f>IFERROR(__xludf.DUMMYFUNCTION("""COMPUTED_VALUE"""),72.78)</f>
        <v>72.78</v>
      </c>
      <c r="AH389" s="26">
        <f>IFERROR(__xludf.DUMMYFUNCTION("""COMPUTED_VALUE"""),127.12)</f>
        <v>127.12</v>
      </c>
      <c r="AI389" s="26">
        <f>IFERROR(__xludf.DUMMYFUNCTION("""COMPUTED_VALUE"""),802.32)</f>
        <v>802.32</v>
      </c>
      <c r="AJ389" s="26">
        <f>IFERROR(__xludf.DUMMYFUNCTION("""COMPUTED_VALUE"""),351.07)</f>
        <v>351.07</v>
      </c>
      <c r="AK389" s="26">
        <f>IFERROR(__xludf.DUMMYFUNCTION("""COMPUTED_VALUE"""),164.98)</f>
        <v>164.98</v>
      </c>
      <c r="AL389" s="26">
        <f>IFERROR(__xludf.DUMMYFUNCTION("""COMPUTED_VALUE"""),155.96)</f>
        <v>155.96</v>
      </c>
      <c r="AM389" s="26">
        <f>IFERROR(__xludf.DUMMYFUNCTION("""COMPUTED_VALUE"""),578.87)</f>
        <v>578.87</v>
      </c>
      <c r="AN389" s="26">
        <f>IFERROR(__xludf.DUMMYFUNCTION("""COMPUTED_VALUE"""),303.0)</f>
        <v>303</v>
      </c>
      <c r="AO389" s="26">
        <f>IFERROR(__xludf.DUMMYFUNCTION("""COMPUTED_VALUE"""),452.41)</f>
        <v>452.41</v>
      </c>
      <c r="AP389" s="26">
        <f>IFERROR(__xludf.DUMMYFUNCTION("""COMPUTED_VALUE"""),177.51)</f>
        <v>177.51</v>
      </c>
      <c r="AQ389" s="26">
        <f>IFERROR(__xludf.DUMMYFUNCTION("""COMPUTED_VALUE"""),35.31)</f>
        <v>35.31</v>
      </c>
      <c r="AR389" s="26">
        <f>IFERROR(__xludf.DUMMYFUNCTION("""COMPUTED_VALUE"""),105.35)</f>
        <v>105.35</v>
      </c>
      <c r="AS389" s="26">
        <f>IFERROR(__xludf.DUMMYFUNCTION("""COMPUTED_VALUE"""),75.74)</f>
        <v>75.74</v>
      </c>
      <c r="AT389" s="26">
        <f>IFERROR(__xludf.DUMMYFUNCTION("""COMPUTED_VALUE"""),476.99)</f>
        <v>476.99</v>
      </c>
      <c r="AU389" s="26">
        <f>IFERROR(__xludf.DUMMYFUNCTION("""COMPUTED_VALUE"""),84.83)</f>
        <v>84.83</v>
      </c>
      <c r="AV389" s="26">
        <f>IFERROR(__xludf.DUMMYFUNCTION("""COMPUTED_VALUE"""),177.82)</f>
        <v>177.82</v>
      </c>
      <c r="AW389" s="26">
        <f>IFERROR(__xludf.DUMMYFUNCTION("""COMPUTED_VALUE"""),88.44)</f>
        <v>88.44</v>
      </c>
      <c r="AX389" s="26">
        <f>IFERROR(__xludf.DUMMYFUNCTION("""COMPUTED_VALUE"""),41.76)</f>
        <v>41.76</v>
      </c>
      <c r="AY389" s="26">
        <f>IFERROR(__xludf.DUMMYFUNCTION("""COMPUTED_VALUE"""),163.55)</f>
        <v>163.55</v>
      </c>
      <c r="AZ389" s="26">
        <f>IFERROR(__xludf.DUMMYFUNCTION("""COMPUTED_VALUE"""),61.22)</f>
        <v>61.22</v>
      </c>
      <c r="BA389" s="26">
        <f>IFERROR(__xludf.DUMMYFUNCTION("""COMPUTED_VALUE"""),25.72)</f>
        <v>25.72</v>
      </c>
      <c r="BB389" s="26">
        <f>IFERROR(__xludf.DUMMYFUNCTION("""COMPUTED_VALUE"""),172.15)</f>
        <v>172.15</v>
      </c>
      <c r="BC389" s="26">
        <f>IFERROR(__xludf.DUMMYFUNCTION("""COMPUTED_VALUE"""),206.9)</f>
        <v>206.9</v>
      </c>
      <c r="BD389" s="26">
        <f>IFERROR(__xludf.DUMMYFUNCTION("""COMPUTED_VALUE"""),597.78)</f>
        <v>597.78</v>
      </c>
      <c r="BE389" s="26">
        <f>IFERROR(__xludf.DUMMYFUNCTION("""COMPUTED_VALUE"""),200.26)</f>
        <v>200.26</v>
      </c>
      <c r="BF389" s="26">
        <f>IFERROR(__xludf.DUMMYFUNCTION("""COMPUTED_VALUE"""),146.0)</f>
        <v>146</v>
      </c>
      <c r="BG389" s="26">
        <f>IFERROR(__xludf.DUMMYFUNCTION("""COMPUTED_VALUE"""),4.5)</f>
        <v>4.5</v>
      </c>
      <c r="BH389" s="26">
        <f>IFERROR(__xludf.DUMMYFUNCTION("""COMPUTED_VALUE"""),229.13)</f>
        <v>229.13</v>
      </c>
      <c r="BI389" s="26">
        <f>IFERROR(__xludf.DUMMYFUNCTION("""COMPUTED_VALUE"""),326.28)</f>
        <v>326.28</v>
      </c>
      <c r="BJ389" s="26">
        <f>IFERROR(__xludf.DUMMYFUNCTION("""COMPUTED_VALUE"""),50.15)</f>
        <v>50.15</v>
      </c>
      <c r="BK389" s="26">
        <f>IFERROR(__xludf.DUMMYFUNCTION("""COMPUTED_VALUE"""),10.56)</f>
        <v>10.56</v>
      </c>
      <c r="BL389" s="26">
        <f>IFERROR(__xludf.DUMMYFUNCTION("""COMPUTED_VALUE"""),216.23)</f>
        <v>216.23</v>
      </c>
      <c r="BM389" s="26">
        <f>IFERROR(__xludf.DUMMYFUNCTION("""COMPUTED_VALUE"""),103.31)</f>
        <v>103.31</v>
      </c>
    </row>
    <row r="390">
      <c r="A390" s="25"/>
      <c r="B390" s="17">
        <f>IFERROR(__xludf.DUMMYFUNCTION("""COMPUTED_VALUE"""),6812.61)</f>
        <v>6812.61</v>
      </c>
      <c r="C390" s="17">
        <f>IFERROR(__xludf.DUMMYFUNCTION("""COMPUTED_VALUE"""),23214.69)</f>
        <v>23214.69</v>
      </c>
      <c r="D390" s="17">
        <f>IFERROR(__xludf.DUMMYFUNCTION("""COMPUTED_VALUE"""),47427.12)</f>
        <v>47427.12</v>
      </c>
      <c r="E390" s="17">
        <f>IFERROR(__xludf.DUMMYFUNCTION("""COMPUTED_VALUE"""),2486.12)</f>
        <v>2486.12</v>
      </c>
      <c r="F390" s="26">
        <f>IFERROR(__xludf.DUMMYFUNCTION("""COMPUTED_VALUE"""),317.52)</f>
        <v>317.52</v>
      </c>
      <c r="G390" s="26">
        <f>IFERROR(__xludf.DUMMYFUNCTION("""COMPUTED_VALUE"""),229.16)</f>
        <v>229.16</v>
      </c>
      <c r="H390" s="26">
        <f>IFERROR(__xludf.DUMMYFUNCTION("""COMPUTED_VALUE"""),129.85)</f>
        <v>129.85</v>
      </c>
      <c r="I390" s="26">
        <f>IFERROR(__xludf.DUMMYFUNCTION("""COMPUTED_VALUE"""),277.55)</f>
        <v>277.55</v>
      </c>
      <c r="J390" s="26">
        <f>IFERROR(__xludf.DUMMYFUNCTION("""COMPUTED_VALUE"""),249.97)</f>
        <v>249.97</v>
      </c>
      <c r="K390" s="26">
        <f>IFERROR(__xludf.DUMMYFUNCTION("""COMPUTED_VALUE"""),111.39)</f>
        <v>111.39</v>
      </c>
      <c r="L390" s="26">
        <f>IFERROR(__xludf.DUMMYFUNCTION("""COMPUTED_VALUE"""),22.38)</f>
        <v>22.38</v>
      </c>
      <c r="M390" s="26">
        <f>IFERROR(__xludf.DUMMYFUNCTION("""COMPUTED_VALUE"""),511.23)</f>
        <v>511.23</v>
      </c>
      <c r="N390" s="26">
        <f>IFERROR(__xludf.DUMMYFUNCTION("""COMPUTED_VALUE"""),54.88)</f>
        <v>54.88</v>
      </c>
      <c r="O390" s="26">
        <f>IFERROR(__xludf.DUMMYFUNCTION("""COMPUTED_VALUE"""),181.94)</f>
        <v>181.94</v>
      </c>
      <c r="P390" s="26">
        <f>IFERROR(__xludf.DUMMYFUNCTION("""COMPUTED_VALUE"""),54.36)</f>
        <v>54.36</v>
      </c>
      <c r="Q390" s="26">
        <f>IFERROR(__xludf.DUMMYFUNCTION("""COMPUTED_VALUE"""),573.73)</f>
        <v>573.73</v>
      </c>
      <c r="R390" s="26">
        <f>IFERROR(__xludf.DUMMYFUNCTION("""COMPUTED_VALUE"""),88.81)</f>
        <v>88.81</v>
      </c>
      <c r="S390" s="26">
        <f>IFERROR(__xludf.DUMMYFUNCTION("""COMPUTED_VALUE"""),184.34)</f>
        <v>184.34</v>
      </c>
      <c r="T390" s="26">
        <f>IFERROR(__xludf.DUMMYFUNCTION("""COMPUTED_VALUE"""),149.51)</f>
        <v>149.51</v>
      </c>
      <c r="U390" s="26">
        <f>IFERROR(__xludf.DUMMYFUNCTION("""COMPUTED_VALUE"""),278.35)</f>
        <v>278.35</v>
      </c>
      <c r="V390" s="26">
        <f>IFERROR(__xludf.DUMMYFUNCTION("""COMPUTED_VALUE"""),53.98)</f>
        <v>53.98</v>
      </c>
      <c r="W390" s="26">
        <f>IFERROR(__xludf.DUMMYFUNCTION("""COMPUTED_VALUE"""),72.88)</f>
        <v>72.88</v>
      </c>
      <c r="X390" s="26">
        <f>IFERROR(__xludf.DUMMYFUNCTION("""COMPUTED_VALUE"""),100.14)</f>
        <v>100.14</v>
      </c>
      <c r="Y390" s="26">
        <f>IFERROR(__xludf.DUMMYFUNCTION("""COMPUTED_VALUE"""),158.91)</f>
        <v>158.91</v>
      </c>
      <c r="Z390" s="26">
        <f>IFERROR(__xludf.DUMMYFUNCTION("""COMPUTED_VALUE"""),109.75)</f>
        <v>109.75</v>
      </c>
      <c r="AA390" s="26">
        <f>IFERROR(__xludf.DUMMYFUNCTION("""COMPUTED_VALUE"""),415.59)</f>
        <v>415.59</v>
      </c>
      <c r="AB390" s="26">
        <f>IFERROR(__xludf.DUMMYFUNCTION("""COMPUTED_VALUE"""),82.49)</f>
        <v>82.49</v>
      </c>
      <c r="AC390" s="26">
        <f>IFERROR(__xludf.DUMMYFUNCTION("""COMPUTED_VALUE"""),114.77)</f>
        <v>114.77</v>
      </c>
      <c r="AD390" s="26">
        <f>IFERROR(__xludf.DUMMYFUNCTION("""COMPUTED_VALUE"""),275.83)</f>
        <v>275.83</v>
      </c>
      <c r="AE390" s="26">
        <f>IFERROR(__xludf.DUMMYFUNCTION("""COMPUTED_VALUE"""),382.8)</f>
        <v>382.8</v>
      </c>
      <c r="AF390" s="26">
        <f>IFERROR(__xludf.DUMMYFUNCTION("""COMPUTED_VALUE"""),340.04)</f>
        <v>340.04</v>
      </c>
      <c r="AG390" s="26">
        <f>IFERROR(__xludf.DUMMYFUNCTION("""COMPUTED_VALUE"""),72.81)</f>
        <v>72.81</v>
      </c>
      <c r="AH390" s="26">
        <f>IFERROR(__xludf.DUMMYFUNCTION("""COMPUTED_VALUE"""),127.51)</f>
        <v>127.51</v>
      </c>
      <c r="AI390" s="26">
        <f>IFERROR(__xludf.DUMMYFUNCTION("""COMPUTED_VALUE"""),816.01)</f>
        <v>816.01</v>
      </c>
      <c r="AJ390" s="26">
        <f>IFERROR(__xludf.DUMMYFUNCTION("""COMPUTED_VALUE"""),355.47)</f>
        <v>355.47</v>
      </c>
      <c r="AK390" s="26">
        <f>IFERROR(__xludf.DUMMYFUNCTION("""COMPUTED_VALUE"""),165.01)</f>
        <v>165.01</v>
      </c>
      <c r="AL390" s="26">
        <f>IFERROR(__xludf.DUMMYFUNCTION("""COMPUTED_VALUE"""),156.29)</f>
        <v>156.29</v>
      </c>
      <c r="AM390" s="26">
        <f>IFERROR(__xludf.DUMMYFUNCTION("""COMPUTED_VALUE"""),574.23)</f>
        <v>574.23</v>
      </c>
      <c r="AN390" s="26">
        <f>IFERROR(__xludf.DUMMYFUNCTION("""COMPUTED_VALUE"""),307.64)</f>
        <v>307.64</v>
      </c>
      <c r="AO390" s="26">
        <f>IFERROR(__xludf.DUMMYFUNCTION("""COMPUTED_VALUE"""),454.16)</f>
        <v>454.16</v>
      </c>
      <c r="AP390" s="26">
        <f>IFERROR(__xludf.DUMMYFUNCTION("""COMPUTED_VALUE"""),181.94)</f>
        <v>181.94</v>
      </c>
      <c r="AQ390" s="26">
        <f>IFERROR(__xludf.DUMMYFUNCTION("""COMPUTED_VALUE"""),34.74)</f>
        <v>34.74</v>
      </c>
      <c r="AR390" s="26">
        <f>IFERROR(__xludf.DUMMYFUNCTION("""COMPUTED_VALUE"""),105.02)</f>
        <v>105.02</v>
      </c>
      <c r="AS390" s="26">
        <f>IFERROR(__xludf.DUMMYFUNCTION("""COMPUTED_VALUE"""),76.33)</f>
        <v>76.33</v>
      </c>
      <c r="AT390" s="26">
        <f>IFERROR(__xludf.DUMMYFUNCTION("""COMPUTED_VALUE"""),485.5)</f>
        <v>485.5</v>
      </c>
      <c r="AU390" s="26">
        <f>IFERROR(__xludf.DUMMYFUNCTION("""COMPUTED_VALUE"""),85.54)</f>
        <v>85.54</v>
      </c>
      <c r="AV390" s="26">
        <f>IFERROR(__xludf.DUMMYFUNCTION("""COMPUTED_VALUE"""),180.26)</f>
        <v>180.26</v>
      </c>
      <c r="AW390" s="26">
        <f>IFERROR(__xludf.DUMMYFUNCTION("""COMPUTED_VALUE"""),88.57)</f>
        <v>88.57</v>
      </c>
      <c r="AX390" s="26">
        <f>IFERROR(__xludf.DUMMYFUNCTION("""COMPUTED_VALUE"""),43.19)</f>
        <v>43.19</v>
      </c>
      <c r="AY390" s="26">
        <f>IFERROR(__xludf.DUMMYFUNCTION("""COMPUTED_VALUE"""),165.77)</f>
        <v>165.77</v>
      </c>
      <c r="AZ390" s="26">
        <f>IFERROR(__xludf.DUMMYFUNCTION("""COMPUTED_VALUE"""),61.83)</f>
        <v>61.83</v>
      </c>
      <c r="BA390" s="26">
        <f>IFERROR(__xludf.DUMMYFUNCTION("""COMPUTED_VALUE"""),25.71)</f>
        <v>25.71</v>
      </c>
      <c r="BB390" s="26">
        <f>IFERROR(__xludf.DUMMYFUNCTION("""COMPUTED_VALUE"""),173.19)</f>
        <v>173.19</v>
      </c>
      <c r="BC390" s="26">
        <f>IFERROR(__xludf.DUMMYFUNCTION("""COMPUTED_VALUE"""),206.73)</f>
        <v>206.73</v>
      </c>
      <c r="BD390" s="26">
        <f>IFERROR(__xludf.DUMMYFUNCTION("""COMPUTED_VALUE"""),593.25)</f>
        <v>593.25</v>
      </c>
      <c r="BE390" s="26">
        <f>IFERROR(__xludf.DUMMYFUNCTION("""COMPUTED_VALUE"""),202.44)</f>
        <v>202.44</v>
      </c>
      <c r="BF390" s="26">
        <f>IFERROR(__xludf.DUMMYFUNCTION("""COMPUTED_VALUE"""),145.75)</f>
        <v>145.75</v>
      </c>
      <c r="BG390" s="26">
        <f>IFERROR(__xludf.DUMMYFUNCTION("""COMPUTED_VALUE"""),4.62)</f>
        <v>4.62</v>
      </c>
      <c r="BH390" s="26">
        <f>IFERROR(__xludf.DUMMYFUNCTION("""COMPUTED_VALUE"""),230.66)</f>
        <v>230.66</v>
      </c>
      <c r="BI390" s="26">
        <f>IFERROR(__xludf.DUMMYFUNCTION("""COMPUTED_VALUE"""),329.71)</f>
        <v>329.71</v>
      </c>
      <c r="BJ390" s="26">
        <f>IFERROR(__xludf.DUMMYFUNCTION("""COMPUTED_VALUE"""),50.18)</f>
        <v>50.18</v>
      </c>
      <c r="BK390" s="26">
        <f>IFERROR(__xludf.DUMMYFUNCTION("""COMPUTED_VALUE"""),10.64)</f>
        <v>10.64</v>
      </c>
      <c r="BL390" s="26">
        <f>IFERROR(__xludf.DUMMYFUNCTION("""COMPUTED_VALUE"""),217.35)</f>
        <v>217.35</v>
      </c>
      <c r="BM390" s="26">
        <f>IFERROR(__xludf.DUMMYFUNCTION("""COMPUTED_VALUE"""),103.43)</f>
        <v>103.43</v>
      </c>
    </row>
    <row r="391">
      <c r="A391" s="25"/>
      <c r="B391" s="17">
        <f>IFERROR(__xludf.DUMMYFUNCTION("""COMPUTED_VALUE"""),6849.09)</f>
        <v>6849.09</v>
      </c>
      <c r="C391" s="17">
        <f>IFERROR(__xludf.DUMMYFUNCTION("""COMPUTED_VALUE"""),23365.69)</f>
        <v>23365.69</v>
      </c>
      <c r="D391" s="17">
        <f>IFERROR(__xludf.DUMMYFUNCTION("""COMPUTED_VALUE"""),47716.42)</f>
        <v>47716.42</v>
      </c>
      <c r="E391" s="17">
        <f>IFERROR(__xludf.DUMMYFUNCTION("""COMPUTED_VALUE"""),2500.43)</f>
        <v>2500.43</v>
      </c>
      <c r="F391" s="26">
        <f>IFERROR(__xludf.DUMMYFUNCTION("""COMPUTED_VALUE"""),320.13)</f>
        <v>320.13</v>
      </c>
      <c r="G391" s="26">
        <f>IFERROR(__xludf.DUMMYFUNCTION("""COMPUTED_VALUE"""),233.22)</f>
        <v>233.22</v>
      </c>
      <c r="H391" s="26">
        <f>IFERROR(__xludf.DUMMYFUNCTION("""COMPUTED_VALUE"""),130.07)</f>
        <v>130.07</v>
      </c>
      <c r="I391" s="26">
        <f>IFERROR(__xludf.DUMMYFUNCTION("""COMPUTED_VALUE"""),278.85)</f>
        <v>278.85</v>
      </c>
      <c r="J391" s="26">
        <f>IFERROR(__xludf.DUMMYFUNCTION("""COMPUTED_VALUE"""),252.25)</f>
        <v>252.25</v>
      </c>
      <c r="K391" s="26">
        <f>IFERROR(__xludf.DUMMYFUNCTION("""COMPUTED_VALUE"""),112.1)</f>
        <v>112.1</v>
      </c>
      <c r="L391" s="26">
        <f>IFERROR(__xludf.DUMMYFUNCTION("""COMPUTED_VALUE"""),22.79)</f>
        <v>22.79</v>
      </c>
      <c r="M391" s="26">
        <f>IFERROR(__xludf.DUMMYFUNCTION("""COMPUTED_VALUE"""),513.81)</f>
        <v>513.81</v>
      </c>
      <c r="N391" s="26">
        <f>IFERROR(__xludf.DUMMYFUNCTION("""COMPUTED_VALUE"""),54.73)</f>
        <v>54.73</v>
      </c>
      <c r="O391" s="26">
        <f>IFERROR(__xludf.DUMMYFUNCTION("""COMPUTED_VALUE"""),182.09)</f>
        <v>182.09</v>
      </c>
      <c r="P391" s="26">
        <f>IFERROR(__xludf.DUMMYFUNCTION("""COMPUTED_VALUE"""),54.88)</f>
        <v>54.88</v>
      </c>
      <c r="Q391" s="26">
        <f>IFERROR(__xludf.DUMMYFUNCTION("""COMPUTED_VALUE"""),575.76)</f>
        <v>575.76</v>
      </c>
      <c r="R391" s="26">
        <f>IFERROR(__xludf.DUMMYFUNCTION("""COMPUTED_VALUE"""),88.51)</f>
        <v>88.51</v>
      </c>
      <c r="S391" s="26">
        <f>IFERROR(__xludf.DUMMYFUNCTION("""COMPUTED_VALUE"""),186.77)</f>
        <v>186.77</v>
      </c>
      <c r="T391" s="26">
        <f>IFERROR(__xludf.DUMMYFUNCTION("""COMPUTED_VALUE"""),151.13)</f>
        <v>151.13</v>
      </c>
      <c r="U391" s="26">
        <f>IFERROR(__xludf.DUMMYFUNCTION("""COMPUTED_VALUE"""),277.28)</f>
        <v>277.28</v>
      </c>
      <c r="V391" s="26">
        <f>IFERROR(__xludf.DUMMYFUNCTION("""COMPUTED_VALUE"""),54.1)</f>
        <v>54.1</v>
      </c>
      <c r="W391" s="26">
        <f>IFERROR(__xludf.DUMMYFUNCTION("""COMPUTED_VALUE"""),73.12)</f>
        <v>73.12</v>
      </c>
      <c r="X391" s="26">
        <f>IFERROR(__xludf.DUMMYFUNCTION("""COMPUTED_VALUE"""),100.36)</f>
        <v>100.36</v>
      </c>
      <c r="Y391" s="26">
        <f>IFERROR(__xludf.DUMMYFUNCTION("""COMPUTED_VALUE"""),160.12)</f>
        <v>160.12</v>
      </c>
      <c r="Z391" s="26">
        <f>IFERROR(__xludf.DUMMYFUNCTION("""COMPUTED_VALUE"""),110.81)</f>
        <v>110.81</v>
      </c>
      <c r="AA391" s="26">
        <f>IFERROR(__xludf.DUMMYFUNCTION("""COMPUTED_VALUE"""),419.63)</f>
        <v>419.63</v>
      </c>
      <c r="AB391" s="26">
        <f>IFERROR(__xludf.DUMMYFUNCTION("""COMPUTED_VALUE"""),82.79)</f>
        <v>82.79</v>
      </c>
      <c r="AC391" s="26">
        <f>IFERROR(__xludf.DUMMYFUNCTION("""COMPUTED_VALUE"""),115.92)</f>
        <v>115.92</v>
      </c>
      <c r="AD391" s="26">
        <f>IFERROR(__xludf.DUMMYFUNCTION("""COMPUTED_VALUE"""),275.68)</f>
        <v>275.68</v>
      </c>
      <c r="AE391" s="26">
        <f>IFERROR(__xludf.DUMMYFUNCTION("""COMPUTED_VALUE"""),391.9)</f>
        <v>391.9</v>
      </c>
      <c r="AF391" s="26">
        <f>IFERROR(__xludf.DUMMYFUNCTION("""COMPUTED_VALUE"""),341.63)</f>
        <v>341.63</v>
      </c>
      <c r="AG391" s="26">
        <f>IFERROR(__xludf.DUMMYFUNCTION("""COMPUTED_VALUE"""),73.52)</f>
        <v>73.52</v>
      </c>
      <c r="AH391" s="26">
        <f>IFERROR(__xludf.DUMMYFUNCTION("""COMPUTED_VALUE"""),125.84)</f>
        <v>125.84</v>
      </c>
      <c r="AI391" s="26">
        <f>IFERROR(__xludf.DUMMYFUNCTION("""COMPUTED_VALUE"""),826.04)</f>
        <v>826.04</v>
      </c>
      <c r="AJ391" s="26">
        <f>IFERROR(__xludf.DUMMYFUNCTION("""COMPUTED_VALUE"""),356.92)</f>
        <v>356.92</v>
      </c>
      <c r="AK391" s="26">
        <f>IFERROR(__xludf.DUMMYFUNCTION("""COMPUTED_VALUE"""),164.61)</f>
        <v>164.61</v>
      </c>
      <c r="AL391" s="26">
        <f>IFERROR(__xludf.DUMMYFUNCTION("""COMPUTED_VALUE"""),157.3)</f>
        <v>157.3</v>
      </c>
      <c r="AM391" s="26">
        <f>IFERROR(__xludf.DUMMYFUNCTION("""COMPUTED_VALUE"""),573.48)</f>
        <v>573.48</v>
      </c>
      <c r="AN391" s="26">
        <f>IFERROR(__xludf.DUMMYFUNCTION("""COMPUTED_VALUE"""),313.08)</f>
        <v>313.08</v>
      </c>
      <c r="AO391" s="26">
        <f>IFERROR(__xludf.DUMMYFUNCTION("""COMPUTED_VALUE"""),457.86)</f>
        <v>457.86</v>
      </c>
      <c r="AP391" s="26">
        <f>IFERROR(__xludf.DUMMYFUNCTION("""COMPUTED_VALUE"""),184.18)</f>
        <v>184.18</v>
      </c>
      <c r="AQ391" s="26">
        <f>IFERROR(__xludf.DUMMYFUNCTION("""COMPUTED_VALUE"""),35.21)</f>
        <v>35.21</v>
      </c>
      <c r="AR391" s="26">
        <f>IFERROR(__xludf.DUMMYFUNCTION("""COMPUTED_VALUE"""),105.33)</f>
        <v>105.33</v>
      </c>
      <c r="AS391" s="26">
        <f>IFERROR(__xludf.DUMMYFUNCTION("""COMPUTED_VALUE"""),76.56)</f>
        <v>76.56</v>
      </c>
      <c r="AT391" s="26">
        <f>IFERROR(__xludf.DUMMYFUNCTION("""COMPUTED_VALUE"""),492.01)</f>
        <v>492.01</v>
      </c>
      <c r="AU391" s="26">
        <f>IFERROR(__xludf.DUMMYFUNCTION("""COMPUTED_VALUE"""),86.29)</f>
        <v>86.29</v>
      </c>
      <c r="AV391" s="26">
        <f>IFERROR(__xludf.DUMMYFUNCTION("""COMPUTED_VALUE"""),177.0)</f>
        <v>177</v>
      </c>
      <c r="AW391" s="26">
        <f>IFERROR(__xludf.DUMMYFUNCTION("""COMPUTED_VALUE"""),88.85)</f>
        <v>88.85</v>
      </c>
      <c r="AX391" s="26">
        <f>IFERROR(__xludf.DUMMYFUNCTION("""COMPUTED_VALUE"""),43.99)</f>
        <v>43.99</v>
      </c>
      <c r="AY391" s="26">
        <f>IFERROR(__xludf.DUMMYFUNCTION("""COMPUTED_VALUE"""),168.45)</f>
        <v>168.45</v>
      </c>
      <c r="AZ391" s="26">
        <f>IFERROR(__xludf.DUMMYFUNCTION("""COMPUTED_VALUE"""),62.69)</f>
        <v>62.69</v>
      </c>
      <c r="BA391" s="26">
        <f>IFERROR(__xludf.DUMMYFUNCTION("""COMPUTED_VALUE"""),25.74)</f>
        <v>25.74</v>
      </c>
      <c r="BB391" s="26">
        <f>IFERROR(__xludf.DUMMYFUNCTION("""COMPUTED_VALUE"""),174.91)</f>
        <v>174.91</v>
      </c>
      <c r="BC391" s="26">
        <f>IFERROR(__xludf.DUMMYFUNCTION("""COMPUTED_VALUE"""),209.01)</f>
        <v>209.01</v>
      </c>
      <c r="BD391" s="26">
        <f>IFERROR(__xludf.DUMMYFUNCTION("""COMPUTED_VALUE"""),590.83)</f>
        <v>590.83</v>
      </c>
      <c r="BE391" s="26">
        <f>IFERROR(__xludf.DUMMYFUNCTION("""COMPUTED_VALUE"""),201.87)</f>
        <v>201.87</v>
      </c>
      <c r="BF391" s="26">
        <f>IFERROR(__xludf.DUMMYFUNCTION("""COMPUTED_VALUE"""),146.31)</f>
        <v>146.31</v>
      </c>
      <c r="BG391" s="26">
        <f>IFERROR(__xludf.DUMMYFUNCTION("""COMPUTED_VALUE"""),4.62)</f>
        <v>4.62</v>
      </c>
      <c r="BH391" s="26">
        <f>IFERROR(__xludf.DUMMYFUNCTION("""COMPUTED_VALUE"""),231.83)</f>
        <v>231.83</v>
      </c>
      <c r="BI391" s="26">
        <f>IFERROR(__xludf.DUMMYFUNCTION("""COMPUTED_VALUE"""),329.77)</f>
        <v>329.77</v>
      </c>
      <c r="BJ391" s="26">
        <f>IFERROR(__xludf.DUMMYFUNCTION("""COMPUTED_VALUE"""),50.15)</f>
        <v>50.15</v>
      </c>
      <c r="BK391" s="26">
        <f>IFERROR(__xludf.DUMMYFUNCTION("""COMPUTED_VALUE"""),10.69)</f>
        <v>10.69</v>
      </c>
      <c r="BL391" s="26">
        <f>IFERROR(__xludf.DUMMYFUNCTION("""COMPUTED_VALUE"""),217.87)</f>
        <v>217.87</v>
      </c>
      <c r="BM391" s="26">
        <f>IFERROR(__xludf.DUMMYFUNCTION("""COMPUTED_VALUE"""),104.47)</f>
        <v>104.47</v>
      </c>
    </row>
    <row r="392">
      <c r="A392" s="25"/>
      <c r="B392" s="17">
        <f>IFERROR(__xludf.DUMMYFUNCTION("""COMPUTED_VALUE"""),6812.63)</f>
        <v>6812.63</v>
      </c>
      <c r="C392" s="17">
        <f>IFERROR(__xludf.DUMMYFUNCTION("""COMPUTED_VALUE"""),23275.92)</f>
        <v>23275.92</v>
      </c>
      <c r="D392" s="17">
        <f>IFERROR(__xludf.DUMMYFUNCTION("""COMPUTED_VALUE"""),47289.33)</f>
        <v>47289.33</v>
      </c>
      <c r="E392" s="17">
        <f>IFERROR(__xludf.DUMMYFUNCTION("""COMPUTED_VALUE"""),2469.13)</f>
        <v>2469.13</v>
      </c>
      <c r="F392" s="26">
        <f>IFERROR(__xludf.DUMMYFUNCTION("""COMPUTED_VALUE"""),322.85)</f>
        <v>322.85</v>
      </c>
      <c r="G392" s="26">
        <f>IFERROR(__xludf.DUMMYFUNCTION("""COMPUTED_VALUE"""),233.88)</f>
        <v>233.88</v>
      </c>
      <c r="H392" s="26">
        <f>IFERROR(__xludf.DUMMYFUNCTION("""COMPUTED_VALUE"""),131.0)</f>
        <v>131</v>
      </c>
      <c r="I392" s="26">
        <f>IFERROR(__xludf.DUMMYFUNCTION("""COMPUTED_VALUE"""),283.1)</f>
        <v>283.1</v>
      </c>
      <c r="J392" s="26">
        <f>IFERROR(__xludf.DUMMYFUNCTION("""COMPUTED_VALUE"""),254.75)</f>
        <v>254.75</v>
      </c>
      <c r="K392" s="26">
        <f>IFERROR(__xludf.DUMMYFUNCTION("""COMPUTED_VALUE"""),111.81)</f>
        <v>111.81</v>
      </c>
      <c r="L392" s="26">
        <f>IFERROR(__xludf.DUMMYFUNCTION("""COMPUTED_VALUE"""),22.75)</f>
        <v>22.75</v>
      </c>
      <c r="M392" s="26">
        <f>IFERROR(__xludf.DUMMYFUNCTION("""COMPUTED_VALUE"""),508.55)</f>
        <v>508.55</v>
      </c>
      <c r="N392" s="26">
        <f>IFERROR(__xludf.DUMMYFUNCTION("""COMPUTED_VALUE"""),55.17)</f>
        <v>55.17</v>
      </c>
      <c r="O392" s="26">
        <f>IFERROR(__xludf.DUMMYFUNCTION("""COMPUTED_VALUE"""),177.78)</f>
        <v>177.78</v>
      </c>
      <c r="P392" s="26">
        <f>IFERROR(__xludf.DUMMYFUNCTION("""COMPUTED_VALUE"""),54.25)</f>
        <v>54.25</v>
      </c>
      <c r="Q392" s="26">
        <f>IFERROR(__xludf.DUMMYFUNCTION("""COMPUTED_VALUE"""),568.06)</f>
        <v>568.06</v>
      </c>
      <c r="R392" s="26">
        <f>IFERROR(__xludf.DUMMYFUNCTION("""COMPUTED_VALUE"""),87.53)</f>
        <v>87.53</v>
      </c>
      <c r="S392" s="26">
        <f>IFERROR(__xludf.DUMMYFUNCTION("""COMPUTED_VALUE"""),187.05)</f>
        <v>187.05</v>
      </c>
      <c r="T392" s="26">
        <f>IFERROR(__xludf.DUMMYFUNCTION("""COMPUTED_VALUE"""),152.54)</f>
        <v>152.54</v>
      </c>
      <c r="U392" s="26">
        <f>IFERROR(__xludf.DUMMYFUNCTION("""COMPUTED_VALUE"""),273.57)</f>
        <v>273.57</v>
      </c>
      <c r="V392" s="26">
        <f>IFERROR(__xludf.DUMMYFUNCTION("""COMPUTED_VALUE"""),54.58)</f>
        <v>54.58</v>
      </c>
      <c r="W392" s="26">
        <f>IFERROR(__xludf.DUMMYFUNCTION("""COMPUTED_VALUE"""),71.95)</f>
        <v>71.95</v>
      </c>
      <c r="X392" s="26">
        <f>IFERROR(__xludf.DUMMYFUNCTION("""COMPUTED_VALUE"""),97.88)</f>
        <v>97.88</v>
      </c>
      <c r="Y392" s="26">
        <f>IFERROR(__xludf.DUMMYFUNCTION("""COMPUTED_VALUE"""),156.39)</f>
        <v>156.39</v>
      </c>
      <c r="Z392" s="26">
        <f>IFERROR(__xludf.DUMMYFUNCTION("""COMPUTED_VALUE"""),109.89)</f>
        <v>109.89</v>
      </c>
      <c r="AA392" s="26">
        <f>IFERROR(__xludf.DUMMYFUNCTION("""COMPUTED_VALUE"""),423.85)</f>
        <v>423.85</v>
      </c>
      <c r="AB392" s="26">
        <f>IFERROR(__xludf.DUMMYFUNCTION("""COMPUTED_VALUE"""),82.73)</f>
        <v>82.73</v>
      </c>
      <c r="AC392" s="26">
        <f>IFERROR(__xludf.DUMMYFUNCTION("""COMPUTED_VALUE"""),116.63)</f>
        <v>116.63</v>
      </c>
      <c r="AD392" s="26">
        <f>IFERROR(__xludf.DUMMYFUNCTION("""COMPUTED_VALUE"""),273.34)</f>
        <v>273.34</v>
      </c>
      <c r="AE392" s="26">
        <f>IFERROR(__xludf.DUMMYFUNCTION("""COMPUTED_VALUE"""),386.93)</f>
        <v>386.93</v>
      </c>
      <c r="AF392" s="26">
        <f>IFERROR(__xludf.DUMMYFUNCTION("""COMPUTED_VALUE"""),332.38)</f>
        <v>332.38</v>
      </c>
      <c r="AG392" s="26">
        <f>IFERROR(__xludf.DUMMYFUNCTION("""COMPUTED_VALUE"""),72.95)</f>
        <v>72.95</v>
      </c>
      <c r="AH392" s="26">
        <f>IFERROR(__xludf.DUMMYFUNCTION("""COMPUTED_VALUE"""),124.33)</f>
        <v>124.33</v>
      </c>
      <c r="AI392" s="26">
        <f>IFERROR(__xludf.DUMMYFUNCTION("""COMPUTED_VALUE"""),810.86)</f>
        <v>810.86</v>
      </c>
      <c r="AJ392" s="26">
        <f>IFERROR(__xludf.DUMMYFUNCTION("""COMPUTED_VALUE"""),357.33)</f>
        <v>357.33</v>
      </c>
      <c r="AK392" s="26">
        <f>IFERROR(__xludf.DUMMYFUNCTION("""COMPUTED_VALUE"""),163.77)</f>
        <v>163.77</v>
      </c>
      <c r="AL392" s="26">
        <f>IFERROR(__xludf.DUMMYFUNCTION("""COMPUTED_VALUE"""),156.94)</f>
        <v>156.94</v>
      </c>
      <c r="AM392" s="26">
        <f>IFERROR(__xludf.DUMMYFUNCTION("""COMPUTED_VALUE"""),567.37)</f>
        <v>567.37</v>
      </c>
      <c r="AN392" s="26">
        <f>IFERROR(__xludf.DUMMYFUNCTION("""COMPUTED_VALUE"""),308.92)</f>
        <v>308.92</v>
      </c>
      <c r="AO392" s="26">
        <f>IFERROR(__xludf.DUMMYFUNCTION("""COMPUTED_VALUE"""),439.19)</f>
        <v>439.19</v>
      </c>
      <c r="AP392" s="26">
        <f>IFERROR(__xludf.DUMMYFUNCTION("""COMPUTED_VALUE"""),182.41)</f>
        <v>182.41</v>
      </c>
      <c r="AQ392" s="26">
        <f>IFERROR(__xludf.DUMMYFUNCTION("""COMPUTED_VALUE"""),35.14)</f>
        <v>35.14</v>
      </c>
      <c r="AR392" s="26">
        <f>IFERROR(__xludf.DUMMYFUNCTION("""COMPUTED_VALUE"""),103.34)</f>
        <v>103.34</v>
      </c>
      <c r="AS392" s="26">
        <f>IFERROR(__xludf.DUMMYFUNCTION("""COMPUTED_VALUE"""),76.31)</f>
        <v>76.31</v>
      </c>
      <c r="AT392" s="26">
        <f>IFERROR(__xludf.DUMMYFUNCTION("""COMPUTED_VALUE"""),486.74)</f>
        <v>486.74</v>
      </c>
      <c r="AU392" s="26">
        <f>IFERROR(__xludf.DUMMYFUNCTION("""COMPUTED_VALUE"""),84.65)</f>
        <v>84.65</v>
      </c>
      <c r="AV392" s="26">
        <f>IFERROR(__xludf.DUMMYFUNCTION("""COMPUTED_VALUE"""),179.92)</f>
        <v>179.92</v>
      </c>
      <c r="AW392" s="26">
        <f>IFERROR(__xludf.DUMMYFUNCTION("""COMPUTED_VALUE"""),88.15)</f>
        <v>88.15</v>
      </c>
      <c r="AX392" s="26">
        <f>IFERROR(__xludf.DUMMYFUNCTION("""COMPUTED_VALUE"""),44.68)</f>
        <v>44.68</v>
      </c>
      <c r="AY392" s="26">
        <f>IFERROR(__xludf.DUMMYFUNCTION("""COMPUTED_VALUE"""),167.49)</f>
        <v>167.49</v>
      </c>
      <c r="AZ392" s="26">
        <f>IFERROR(__xludf.DUMMYFUNCTION("""COMPUTED_VALUE"""),62.58)</f>
        <v>62.58</v>
      </c>
      <c r="BA392" s="26">
        <f>IFERROR(__xludf.DUMMYFUNCTION("""COMPUTED_VALUE"""),25.27)</f>
        <v>25.27</v>
      </c>
      <c r="BB392" s="26">
        <f>IFERROR(__xludf.DUMMYFUNCTION("""COMPUTED_VALUE"""),168.02)</f>
        <v>168.02</v>
      </c>
      <c r="BC392" s="26">
        <f>IFERROR(__xludf.DUMMYFUNCTION("""COMPUTED_VALUE"""),206.63)</f>
        <v>206.63</v>
      </c>
      <c r="BD392" s="26">
        <f>IFERROR(__xludf.DUMMYFUNCTION("""COMPUTED_VALUE"""),585.15)</f>
        <v>585.15</v>
      </c>
      <c r="BE392" s="26">
        <f>IFERROR(__xludf.DUMMYFUNCTION("""COMPUTED_VALUE"""),199.22)</f>
        <v>199.22</v>
      </c>
      <c r="BF392" s="26">
        <f>IFERROR(__xludf.DUMMYFUNCTION("""COMPUTED_VALUE"""),150.42)</f>
        <v>150.42</v>
      </c>
      <c r="BG392" s="26">
        <f>IFERROR(__xludf.DUMMYFUNCTION("""COMPUTED_VALUE"""),4.58)</f>
        <v>4.58</v>
      </c>
      <c r="BH392" s="26">
        <f>IFERROR(__xludf.DUMMYFUNCTION("""COMPUTED_VALUE"""),231.36)</f>
        <v>231.36</v>
      </c>
      <c r="BI392" s="26">
        <f>IFERROR(__xludf.DUMMYFUNCTION("""COMPUTED_VALUE"""),323.21)</f>
        <v>323.21</v>
      </c>
      <c r="BJ392" s="26">
        <f>IFERROR(__xludf.DUMMYFUNCTION("""COMPUTED_VALUE"""),50.13)</f>
        <v>50.13</v>
      </c>
      <c r="BK392" s="26">
        <f>IFERROR(__xludf.DUMMYFUNCTION("""COMPUTED_VALUE"""),10.7)</f>
        <v>10.7</v>
      </c>
      <c r="BL392" s="26">
        <f>IFERROR(__xludf.DUMMYFUNCTION("""COMPUTED_VALUE"""),215.93)</f>
        <v>215.93</v>
      </c>
      <c r="BM392" s="26">
        <f>IFERROR(__xludf.DUMMYFUNCTION("""COMPUTED_VALUE"""),106.77)</f>
        <v>106.77</v>
      </c>
    </row>
    <row r="393">
      <c r="A393" s="25"/>
      <c r="B393" s="17">
        <f>IFERROR(__xludf.DUMMYFUNCTION("""COMPUTED_VALUE"""),6829.37)</f>
        <v>6829.37</v>
      </c>
      <c r="C393" s="17">
        <f>IFERROR(__xludf.DUMMYFUNCTION("""COMPUTED_VALUE"""),23413.67)</f>
        <v>23413.67</v>
      </c>
      <c r="D393" s="17">
        <f>IFERROR(__xludf.DUMMYFUNCTION("""COMPUTED_VALUE"""),47474.46)</f>
        <v>47474.46</v>
      </c>
      <c r="E393" s="17">
        <f>IFERROR(__xludf.DUMMYFUNCTION("""COMPUTED_VALUE"""),2464.98)</f>
        <v>2464.98</v>
      </c>
      <c r="F393" s="26">
        <f>IFERROR(__xludf.DUMMYFUNCTION("""COMPUTED_VALUE"""),322.81)</f>
        <v>322.81</v>
      </c>
      <c r="G393" s="26">
        <f>IFERROR(__xludf.DUMMYFUNCTION("""COMPUTED_VALUE"""),234.42)</f>
        <v>234.42</v>
      </c>
      <c r="H393" s="26">
        <f>IFERROR(__xludf.DUMMYFUNCTION("""COMPUTED_VALUE"""),130.75)</f>
        <v>130.75</v>
      </c>
      <c r="I393" s="26">
        <f>IFERROR(__xludf.DUMMYFUNCTION("""COMPUTED_VALUE"""),286.19)</f>
        <v>286.19</v>
      </c>
      <c r="J393" s="26">
        <f>IFERROR(__xludf.DUMMYFUNCTION("""COMPUTED_VALUE"""),265.33)</f>
        <v>265.33</v>
      </c>
      <c r="K393" s="26">
        <f>IFERROR(__xludf.DUMMYFUNCTION("""COMPUTED_VALUE"""),112.08)</f>
        <v>112.08</v>
      </c>
      <c r="L393" s="26">
        <f>IFERROR(__xludf.DUMMYFUNCTION("""COMPUTED_VALUE"""),23.09)</f>
        <v>23.09</v>
      </c>
      <c r="M393" s="26">
        <f>IFERROR(__xludf.DUMMYFUNCTION("""COMPUTED_VALUE"""),506.65)</f>
        <v>506.65</v>
      </c>
      <c r="N393" s="26">
        <f>IFERROR(__xludf.DUMMYFUNCTION("""COMPUTED_VALUE"""),56.27)</f>
        <v>56.27</v>
      </c>
      <c r="O393" s="26">
        <f>IFERROR(__xludf.DUMMYFUNCTION("""COMPUTED_VALUE"""),180.18)</f>
        <v>180.18</v>
      </c>
      <c r="P393" s="26">
        <f>IFERROR(__xludf.DUMMYFUNCTION("""COMPUTED_VALUE"""),53.82)</f>
        <v>53.82</v>
      </c>
      <c r="Q393" s="26">
        <f>IFERROR(__xludf.DUMMYFUNCTION("""COMPUTED_VALUE"""),582.47)</f>
        <v>582.47</v>
      </c>
      <c r="R393" s="26">
        <f>IFERROR(__xludf.DUMMYFUNCTION("""COMPUTED_VALUE"""),88.23)</f>
        <v>88.23</v>
      </c>
      <c r="S393" s="26">
        <f>IFERROR(__xludf.DUMMYFUNCTION("""COMPUTED_VALUE"""),187.25)</f>
        <v>187.25</v>
      </c>
      <c r="T393" s="26">
        <f>IFERROR(__xludf.DUMMYFUNCTION("""COMPUTED_VALUE"""),150.25)</f>
        <v>150.25</v>
      </c>
      <c r="U393" s="26">
        <f>IFERROR(__xludf.DUMMYFUNCTION("""COMPUTED_VALUE"""),274.1)</f>
        <v>274.1</v>
      </c>
      <c r="V393" s="26">
        <f>IFERROR(__xludf.DUMMYFUNCTION("""COMPUTED_VALUE"""),54.66)</f>
        <v>54.66</v>
      </c>
      <c r="W393" s="26">
        <f>IFERROR(__xludf.DUMMYFUNCTION("""COMPUTED_VALUE"""),70.67)</f>
        <v>70.67</v>
      </c>
      <c r="X393" s="26">
        <f>IFERROR(__xludf.DUMMYFUNCTION("""COMPUTED_VALUE"""),96.87)</f>
        <v>96.87</v>
      </c>
      <c r="Y393" s="26">
        <f>IFERROR(__xludf.DUMMYFUNCTION("""COMPUTED_VALUE"""),156.5)</f>
        <v>156.5</v>
      </c>
      <c r="Z393" s="26">
        <f>IFERROR(__xludf.DUMMYFUNCTION("""COMPUTED_VALUE"""),108.99)</f>
        <v>108.99</v>
      </c>
      <c r="AA393" s="26">
        <f>IFERROR(__xludf.DUMMYFUNCTION("""COMPUTED_VALUE"""),424.64)</f>
        <v>424.64</v>
      </c>
      <c r="AB393" s="26">
        <f>IFERROR(__xludf.DUMMYFUNCTION("""COMPUTED_VALUE"""),82.91)</f>
        <v>82.91</v>
      </c>
      <c r="AC393" s="26">
        <f>IFERROR(__xludf.DUMMYFUNCTION("""COMPUTED_VALUE"""),115.38)</f>
        <v>115.38</v>
      </c>
      <c r="AD393" s="26">
        <f>IFERROR(__xludf.DUMMYFUNCTION("""COMPUTED_VALUE"""),270.37)</f>
        <v>270.37</v>
      </c>
      <c r="AE393" s="26">
        <f>IFERROR(__xludf.DUMMYFUNCTION("""COMPUTED_VALUE"""),386.56)</f>
        <v>386.56</v>
      </c>
      <c r="AF393" s="26">
        <f>IFERROR(__xludf.DUMMYFUNCTION("""COMPUTED_VALUE"""),335.8)</f>
        <v>335.8</v>
      </c>
      <c r="AG393" s="26">
        <f>IFERROR(__xludf.DUMMYFUNCTION("""COMPUTED_VALUE"""),73.66)</f>
        <v>73.66</v>
      </c>
      <c r="AH393" s="26">
        <f>IFERROR(__xludf.DUMMYFUNCTION("""COMPUTED_VALUE"""),123.91)</f>
        <v>123.91</v>
      </c>
      <c r="AI393" s="26">
        <f>IFERROR(__xludf.DUMMYFUNCTION("""COMPUTED_VALUE"""),815.21)</f>
        <v>815.21</v>
      </c>
      <c r="AJ393" s="26">
        <f>IFERROR(__xludf.DUMMYFUNCTION("""COMPUTED_VALUE"""),354.03)</f>
        <v>354.03</v>
      </c>
      <c r="AK393" s="26">
        <f>IFERROR(__xludf.DUMMYFUNCTION("""COMPUTED_VALUE"""),164.81)</f>
        <v>164.81</v>
      </c>
      <c r="AL393" s="26">
        <f>IFERROR(__xludf.DUMMYFUNCTION("""COMPUTED_VALUE"""),155.36)</f>
        <v>155.36</v>
      </c>
      <c r="AM393" s="26">
        <f>IFERROR(__xludf.DUMMYFUNCTION("""COMPUTED_VALUE"""),567.72)</f>
        <v>567.72</v>
      </c>
      <c r="AN393" s="26">
        <f>IFERROR(__xludf.DUMMYFUNCTION("""COMPUTED_VALUE"""),307.88)</f>
        <v>307.88</v>
      </c>
      <c r="AO393" s="26">
        <f>IFERROR(__xludf.DUMMYFUNCTION("""COMPUTED_VALUE"""),441.82)</f>
        <v>441.82</v>
      </c>
      <c r="AP393" s="26">
        <f>IFERROR(__xludf.DUMMYFUNCTION("""COMPUTED_VALUE"""),182.4)</f>
        <v>182.4</v>
      </c>
      <c r="AQ393" s="26">
        <f>IFERROR(__xludf.DUMMYFUNCTION("""COMPUTED_VALUE"""),34.94)</f>
        <v>34.94</v>
      </c>
      <c r="AR393" s="26">
        <f>IFERROR(__xludf.DUMMYFUNCTION("""COMPUTED_VALUE"""),102.03)</f>
        <v>102.03</v>
      </c>
      <c r="AS393" s="26">
        <f>IFERROR(__xludf.DUMMYFUNCTION("""COMPUTED_VALUE"""),76.27)</f>
        <v>76.27</v>
      </c>
      <c r="AT393" s="26">
        <f>IFERROR(__xludf.DUMMYFUNCTION("""COMPUTED_VALUE"""),490.0)</f>
        <v>490</v>
      </c>
      <c r="AU393" s="26">
        <f>IFERROR(__xludf.DUMMYFUNCTION("""COMPUTED_VALUE"""),84.58)</f>
        <v>84.58</v>
      </c>
      <c r="AV393" s="26">
        <f>IFERROR(__xludf.DUMMYFUNCTION("""COMPUTED_VALUE"""),181.46)</f>
        <v>181.46</v>
      </c>
      <c r="AW393" s="26">
        <f>IFERROR(__xludf.DUMMYFUNCTION("""COMPUTED_VALUE"""),87.24)</f>
        <v>87.24</v>
      </c>
      <c r="AX393" s="26">
        <f>IFERROR(__xludf.DUMMYFUNCTION("""COMPUTED_VALUE"""),45.15)</f>
        <v>45.15</v>
      </c>
      <c r="AY393" s="26">
        <f>IFERROR(__xludf.DUMMYFUNCTION("""COMPUTED_VALUE"""),170.69)</f>
        <v>170.69</v>
      </c>
      <c r="AZ393" s="26">
        <f>IFERROR(__xludf.DUMMYFUNCTION("""COMPUTED_VALUE"""),62.9)</f>
        <v>62.9</v>
      </c>
      <c r="BA393" s="26">
        <f>IFERROR(__xludf.DUMMYFUNCTION("""COMPUTED_VALUE"""),25.15)</f>
        <v>25.15</v>
      </c>
      <c r="BB393" s="26">
        <f>IFERROR(__xludf.DUMMYFUNCTION("""COMPUTED_VALUE"""),168.8)</f>
        <v>168.8</v>
      </c>
      <c r="BC393" s="26">
        <f>IFERROR(__xludf.DUMMYFUNCTION("""COMPUTED_VALUE"""),210.13)</f>
        <v>210.13</v>
      </c>
      <c r="BD393" s="26">
        <f>IFERROR(__xludf.DUMMYFUNCTION("""COMPUTED_VALUE"""),580.37)</f>
        <v>580.37</v>
      </c>
      <c r="BE393" s="26">
        <f>IFERROR(__xludf.DUMMYFUNCTION("""COMPUTED_VALUE"""),196.99)</f>
        <v>196.99</v>
      </c>
      <c r="BF393" s="26">
        <f>IFERROR(__xludf.DUMMYFUNCTION("""COMPUTED_VALUE"""),141.77)</f>
        <v>141.77</v>
      </c>
      <c r="BG393" s="26">
        <f>IFERROR(__xludf.DUMMYFUNCTION("""COMPUTED_VALUE"""),4.56)</f>
        <v>4.56</v>
      </c>
      <c r="BH393" s="26">
        <f>IFERROR(__xludf.DUMMYFUNCTION("""COMPUTED_VALUE"""),232.24)</f>
        <v>232.24</v>
      </c>
      <c r="BI393" s="26">
        <f>IFERROR(__xludf.DUMMYFUNCTION("""COMPUTED_VALUE"""),324.54)</f>
        <v>324.54</v>
      </c>
      <c r="BJ393" s="26">
        <f>IFERROR(__xludf.DUMMYFUNCTION("""COMPUTED_VALUE"""),50.14)</f>
        <v>50.14</v>
      </c>
      <c r="BK393" s="26">
        <f>IFERROR(__xludf.DUMMYFUNCTION("""COMPUTED_VALUE"""),10.71)</f>
        <v>10.71</v>
      </c>
      <c r="BL393" s="26">
        <f>IFERROR(__xludf.DUMMYFUNCTION("""COMPUTED_VALUE"""),214.54)</f>
        <v>214.54</v>
      </c>
      <c r="BM393" s="26">
        <f>IFERROR(__xludf.DUMMYFUNCTION("""COMPUTED_VALUE"""),104.83)</f>
        <v>104.83</v>
      </c>
    </row>
    <row r="394">
      <c r="A394" s="25"/>
      <c r="B394" s="17">
        <f>IFERROR(__xludf.DUMMYFUNCTION("""COMPUTED_VALUE"""),6849.72)</f>
        <v>6849.72</v>
      </c>
      <c r="C394" s="17">
        <f>IFERROR(__xludf.DUMMYFUNCTION("""COMPUTED_VALUE"""),23454.09)</f>
        <v>23454.09</v>
      </c>
      <c r="D394" s="17">
        <f>IFERROR(__xludf.DUMMYFUNCTION("""COMPUTED_VALUE"""),47882.9)</f>
        <v>47882.9</v>
      </c>
      <c r="E394" s="17">
        <f>IFERROR(__xludf.DUMMYFUNCTION("""COMPUTED_VALUE"""),2512.14)</f>
        <v>2512.14</v>
      </c>
      <c r="F394" s="26">
        <f>IFERROR(__xludf.DUMMYFUNCTION("""COMPUTED_VALUE"""),326.78)</f>
        <v>326.78</v>
      </c>
      <c r="G394" s="26">
        <f>IFERROR(__xludf.DUMMYFUNCTION("""COMPUTED_VALUE"""),232.38)</f>
        <v>232.38</v>
      </c>
      <c r="H394" s="26">
        <f>IFERROR(__xludf.DUMMYFUNCTION("""COMPUTED_VALUE"""),130.97)</f>
        <v>130.97</v>
      </c>
      <c r="I394" s="26">
        <f>IFERROR(__xludf.DUMMYFUNCTION("""COMPUTED_VALUE"""),284.15)</f>
        <v>284.15</v>
      </c>
      <c r="J394" s="26">
        <f>IFERROR(__xludf.DUMMYFUNCTION("""COMPUTED_VALUE"""),268.63)</f>
        <v>268.63</v>
      </c>
      <c r="K394" s="26">
        <f>IFERROR(__xludf.DUMMYFUNCTION("""COMPUTED_VALUE"""),113.09)</f>
        <v>113.09</v>
      </c>
      <c r="L394" s="26">
        <f>IFERROR(__xludf.DUMMYFUNCTION("""COMPUTED_VALUE"""),23.26)</f>
        <v>23.26</v>
      </c>
      <c r="M394" s="26">
        <f>IFERROR(__xludf.DUMMYFUNCTION("""COMPUTED_VALUE"""),503.6)</f>
        <v>503.6</v>
      </c>
      <c r="N394" s="26">
        <f>IFERROR(__xludf.DUMMYFUNCTION("""COMPUTED_VALUE"""),57.92)</f>
        <v>57.92</v>
      </c>
      <c r="O394" s="26">
        <f>IFERROR(__xludf.DUMMYFUNCTION("""COMPUTED_VALUE"""),180.75)</f>
        <v>180.75</v>
      </c>
      <c r="P394" s="26">
        <f>IFERROR(__xludf.DUMMYFUNCTION("""COMPUTED_VALUE"""),54.62)</f>
        <v>54.62</v>
      </c>
      <c r="Q394" s="26">
        <f>IFERROR(__xludf.DUMMYFUNCTION("""COMPUTED_VALUE"""),591.49)</f>
        <v>591.49</v>
      </c>
      <c r="R394" s="26">
        <f>IFERROR(__xludf.DUMMYFUNCTION("""COMPUTED_VALUE"""),89.45)</f>
        <v>89.45</v>
      </c>
      <c r="S394" s="26">
        <f>IFERROR(__xludf.DUMMYFUNCTION("""COMPUTED_VALUE"""),191.1)</f>
        <v>191.1</v>
      </c>
      <c r="T394" s="26">
        <f>IFERROR(__xludf.DUMMYFUNCTION("""COMPUTED_VALUE"""),151.59)</f>
        <v>151.59</v>
      </c>
      <c r="U394" s="26">
        <f>IFERROR(__xludf.DUMMYFUNCTION("""COMPUTED_VALUE"""),270.32)</f>
        <v>270.32</v>
      </c>
      <c r="V394" s="26">
        <f>IFERROR(__xludf.DUMMYFUNCTION("""COMPUTED_VALUE"""),55.68)</f>
        <v>55.68</v>
      </c>
      <c r="W394" s="26">
        <f>IFERROR(__xludf.DUMMYFUNCTION("""COMPUTED_VALUE"""),70.81)</f>
        <v>70.81</v>
      </c>
      <c r="X394" s="26">
        <f>IFERROR(__xludf.DUMMYFUNCTION("""COMPUTED_VALUE"""),96.45)</f>
        <v>96.45</v>
      </c>
      <c r="Y394" s="26">
        <f>IFERROR(__xludf.DUMMYFUNCTION("""COMPUTED_VALUE"""),159.69)</f>
        <v>159.69</v>
      </c>
      <c r="Z394" s="26">
        <f>IFERROR(__xludf.DUMMYFUNCTION("""COMPUTED_VALUE"""),112.92)</f>
        <v>112.92</v>
      </c>
      <c r="AA394" s="26">
        <f>IFERROR(__xludf.DUMMYFUNCTION("""COMPUTED_VALUE"""),431.69)</f>
        <v>431.69</v>
      </c>
      <c r="AB394" s="26">
        <f>IFERROR(__xludf.DUMMYFUNCTION("""COMPUTED_VALUE"""),82.0)</f>
        <v>82</v>
      </c>
      <c r="AC394" s="26">
        <f>IFERROR(__xludf.DUMMYFUNCTION("""COMPUTED_VALUE"""),117.8)</f>
        <v>117.8</v>
      </c>
      <c r="AD394" s="26">
        <f>IFERROR(__xludf.DUMMYFUNCTION("""COMPUTED_VALUE"""),270.45)</f>
        <v>270.45</v>
      </c>
      <c r="AE394" s="26">
        <f>IFERROR(__xludf.DUMMYFUNCTION("""COMPUTED_VALUE"""),393.84)</f>
        <v>393.84</v>
      </c>
      <c r="AF394" s="26">
        <f>IFERROR(__xludf.DUMMYFUNCTION("""COMPUTED_VALUE"""),338.08)</f>
        <v>338.08</v>
      </c>
      <c r="AG394" s="26">
        <f>IFERROR(__xludf.DUMMYFUNCTION("""COMPUTED_VALUE"""),74.69)</f>
        <v>74.69</v>
      </c>
      <c r="AH394" s="26">
        <f>IFERROR(__xludf.DUMMYFUNCTION("""COMPUTED_VALUE"""),125.0)</f>
        <v>125</v>
      </c>
      <c r="AI394" s="26">
        <f>IFERROR(__xludf.DUMMYFUNCTION("""COMPUTED_VALUE"""),836.57)</f>
        <v>836.57</v>
      </c>
      <c r="AJ394" s="26">
        <f>IFERROR(__xludf.DUMMYFUNCTION("""COMPUTED_VALUE"""),357.91)</f>
        <v>357.91</v>
      </c>
      <c r="AK394" s="26">
        <f>IFERROR(__xludf.DUMMYFUNCTION("""COMPUTED_VALUE"""),166.23)</f>
        <v>166.23</v>
      </c>
      <c r="AL394" s="26">
        <f>IFERROR(__xludf.DUMMYFUNCTION("""COMPUTED_VALUE"""),156.85)</f>
        <v>156.85</v>
      </c>
      <c r="AM394" s="26">
        <f>IFERROR(__xludf.DUMMYFUNCTION("""COMPUTED_VALUE"""),569.71)</f>
        <v>569.71</v>
      </c>
      <c r="AN394" s="26">
        <f>IFERROR(__xludf.DUMMYFUNCTION("""COMPUTED_VALUE"""),312.13)</f>
        <v>312.13</v>
      </c>
      <c r="AO394" s="26">
        <f>IFERROR(__xludf.DUMMYFUNCTION("""COMPUTED_VALUE"""),446.8)</f>
        <v>446.8</v>
      </c>
      <c r="AP394" s="26">
        <f>IFERROR(__xludf.DUMMYFUNCTION("""COMPUTED_VALUE"""),182.3)</f>
        <v>182.3</v>
      </c>
      <c r="AQ394" s="26">
        <f>IFERROR(__xludf.DUMMYFUNCTION("""COMPUTED_VALUE"""),35.1)</f>
        <v>35.1</v>
      </c>
      <c r="AR394" s="26">
        <f>IFERROR(__xludf.DUMMYFUNCTION("""COMPUTED_VALUE"""),101.97)</f>
        <v>101.97</v>
      </c>
      <c r="AS394" s="26">
        <f>IFERROR(__xludf.DUMMYFUNCTION("""COMPUTED_VALUE"""),77.51)</f>
        <v>77.51</v>
      </c>
      <c r="AT394" s="26">
        <f>IFERROR(__xludf.DUMMYFUNCTION("""COMPUTED_VALUE"""),477.73)</f>
        <v>477.73</v>
      </c>
      <c r="AU394" s="26">
        <f>IFERROR(__xludf.DUMMYFUNCTION("""COMPUTED_VALUE"""),84.95)</f>
        <v>84.95</v>
      </c>
      <c r="AV394" s="26">
        <f>IFERROR(__xludf.DUMMYFUNCTION("""COMPUTED_VALUE"""),179.59)</f>
        <v>179.59</v>
      </c>
      <c r="AW394" s="26">
        <f>IFERROR(__xludf.DUMMYFUNCTION("""COMPUTED_VALUE"""),86.94)</f>
        <v>86.94</v>
      </c>
      <c r="AX394" s="26">
        <f>IFERROR(__xludf.DUMMYFUNCTION("""COMPUTED_VALUE"""),47.07)</f>
        <v>47.07</v>
      </c>
      <c r="AY394" s="26">
        <f>IFERROR(__xludf.DUMMYFUNCTION("""COMPUTED_VALUE"""),176.08)</f>
        <v>176.08</v>
      </c>
      <c r="AZ394" s="26">
        <f>IFERROR(__xludf.DUMMYFUNCTION("""COMPUTED_VALUE"""),61.24)</f>
        <v>61.24</v>
      </c>
      <c r="BA394" s="26">
        <f>IFERROR(__xludf.DUMMYFUNCTION("""COMPUTED_VALUE"""),25.57)</f>
        <v>25.57</v>
      </c>
      <c r="BB394" s="26">
        <f>IFERROR(__xludf.DUMMYFUNCTION("""COMPUTED_VALUE"""),168.45)</f>
        <v>168.45</v>
      </c>
      <c r="BC394" s="26">
        <f>IFERROR(__xludf.DUMMYFUNCTION("""COMPUTED_VALUE"""),208.51)</f>
        <v>208.51</v>
      </c>
      <c r="BD394" s="26">
        <f>IFERROR(__xludf.DUMMYFUNCTION("""COMPUTED_VALUE"""),580.45)</f>
        <v>580.45</v>
      </c>
      <c r="BE394" s="26">
        <f>IFERROR(__xludf.DUMMYFUNCTION("""COMPUTED_VALUE"""),195.44)</f>
        <v>195.44</v>
      </c>
      <c r="BF394" s="26">
        <f>IFERROR(__xludf.DUMMYFUNCTION("""COMPUTED_VALUE"""),140.1)</f>
        <v>140.1</v>
      </c>
      <c r="BG394" s="26">
        <f>IFERROR(__xludf.DUMMYFUNCTION("""COMPUTED_VALUE"""),4.64)</f>
        <v>4.64</v>
      </c>
      <c r="BH394" s="26">
        <f>IFERROR(__xludf.DUMMYFUNCTION("""COMPUTED_VALUE"""),235.23)</f>
        <v>235.23</v>
      </c>
      <c r="BI394" s="26">
        <f>IFERROR(__xludf.DUMMYFUNCTION("""COMPUTED_VALUE"""),339.71)</f>
        <v>339.71</v>
      </c>
      <c r="BJ394" s="26">
        <f>IFERROR(__xludf.DUMMYFUNCTION("""COMPUTED_VALUE"""),50.18)</f>
        <v>50.18</v>
      </c>
      <c r="BK394" s="26">
        <f>IFERROR(__xludf.DUMMYFUNCTION("""COMPUTED_VALUE"""),10.84)</f>
        <v>10.84</v>
      </c>
      <c r="BL394" s="26">
        <f>IFERROR(__xludf.DUMMYFUNCTION("""COMPUTED_VALUE"""),216.15)</f>
        <v>216.15</v>
      </c>
      <c r="BM394" s="26">
        <f>IFERROR(__xludf.DUMMYFUNCTION("""COMPUTED_VALUE"""),105.74)</f>
        <v>105.74</v>
      </c>
    </row>
    <row r="395">
      <c r="A395" s="25"/>
      <c r="B395" s="17">
        <f>IFERROR(__xludf.DUMMYFUNCTION("""COMPUTED_VALUE"""),6857.12)</f>
        <v>6857.12</v>
      </c>
      <c r="C395" s="17">
        <f>IFERROR(__xludf.DUMMYFUNCTION("""COMPUTED_VALUE"""),23505.14)</f>
        <v>23505.14</v>
      </c>
      <c r="D395" s="17">
        <f>IFERROR(__xludf.DUMMYFUNCTION("""COMPUTED_VALUE"""),47850.94)</f>
        <v>47850.94</v>
      </c>
      <c r="E395" s="17">
        <f>IFERROR(__xludf.DUMMYFUNCTION("""COMPUTED_VALUE"""),2531.16)</f>
        <v>2531.16</v>
      </c>
      <c r="F395" s="26">
        <f>IFERROR(__xludf.DUMMYFUNCTION("""COMPUTED_VALUE"""),328.73)</f>
        <v>328.73</v>
      </c>
      <c r="G395" s="26">
        <f>IFERROR(__xludf.DUMMYFUNCTION("""COMPUTED_VALUE"""),229.11)</f>
        <v>229.11</v>
      </c>
      <c r="H395" s="26">
        <f>IFERROR(__xludf.DUMMYFUNCTION("""COMPUTED_VALUE"""),128.93)</f>
        <v>128.93</v>
      </c>
      <c r="I395" s="26">
        <f>IFERROR(__xludf.DUMMYFUNCTION("""COMPUTED_VALUE"""),280.7)</f>
        <v>280.7</v>
      </c>
      <c r="J395" s="26">
        <f>IFERROR(__xludf.DUMMYFUNCTION("""COMPUTED_VALUE"""),269.44)</f>
        <v>269.44</v>
      </c>
      <c r="K395" s="26">
        <f>IFERROR(__xludf.DUMMYFUNCTION("""COMPUTED_VALUE"""),113.95)</f>
        <v>113.95</v>
      </c>
      <c r="L395" s="26">
        <f>IFERROR(__xludf.DUMMYFUNCTION("""COMPUTED_VALUE"""),23.4)</f>
        <v>23.4</v>
      </c>
      <c r="M395" s="26">
        <f>IFERROR(__xludf.DUMMYFUNCTION("""COMPUTED_VALUE"""),503.23)</f>
        <v>503.23</v>
      </c>
      <c r="N395" s="26">
        <f>IFERROR(__xludf.DUMMYFUNCTION("""COMPUTED_VALUE"""),58.97)</f>
        <v>58.97</v>
      </c>
      <c r="O395" s="26">
        <f>IFERROR(__xludf.DUMMYFUNCTION("""COMPUTED_VALUE"""),181.98)</f>
        <v>181.98</v>
      </c>
      <c r="P395" s="26">
        <f>IFERROR(__xludf.DUMMYFUNCTION("""COMPUTED_VALUE"""),54.5)</f>
        <v>54.5</v>
      </c>
      <c r="Q395" s="26">
        <f>IFERROR(__xludf.DUMMYFUNCTION("""COMPUTED_VALUE"""),599.15)</f>
        <v>599.15</v>
      </c>
      <c r="R395" s="26">
        <f>IFERROR(__xludf.DUMMYFUNCTION("""COMPUTED_VALUE"""),94.09)</f>
        <v>94.09</v>
      </c>
      <c r="S395" s="26">
        <f>IFERROR(__xludf.DUMMYFUNCTION("""COMPUTED_VALUE"""),195.83)</f>
        <v>195.83</v>
      </c>
      <c r="T395" s="26">
        <f>IFERROR(__xludf.DUMMYFUNCTION("""COMPUTED_VALUE"""),152.26)</f>
        <v>152.26</v>
      </c>
      <c r="U395" s="26">
        <f>IFERROR(__xludf.DUMMYFUNCTION("""COMPUTED_VALUE"""),268.42)</f>
        <v>268.42</v>
      </c>
      <c r="V395" s="26">
        <f>IFERROR(__xludf.DUMMYFUNCTION("""COMPUTED_VALUE"""),55.88)</f>
        <v>55.88</v>
      </c>
      <c r="W395" s="26">
        <f>IFERROR(__xludf.DUMMYFUNCTION("""COMPUTED_VALUE"""),70.45)</f>
        <v>70.45</v>
      </c>
      <c r="X395" s="26">
        <f>IFERROR(__xludf.DUMMYFUNCTION("""COMPUTED_VALUE"""),96.22)</f>
        <v>96.22</v>
      </c>
      <c r="Y395" s="26">
        <f>IFERROR(__xludf.DUMMYFUNCTION("""COMPUTED_VALUE"""),161.02)</f>
        <v>161.02</v>
      </c>
      <c r="Z395" s="26">
        <f>IFERROR(__xludf.DUMMYFUNCTION("""COMPUTED_VALUE"""),115.87)</f>
        <v>115.87</v>
      </c>
      <c r="AA395" s="26">
        <f>IFERROR(__xludf.DUMMYFUNCTION("""COMPUTED_VALUE"""),427.07)</f>
        <v>427.07</v>
      </c>
      <c r="AB395" s="26">
        <f>IFERROR(__xludf.DUMMYFUNCTION("""COMPUTED_VALUE"""),82.13)</f>
        <v>82.13</v>
      </c>
      <c r="AC395" s="26">
        <f>IFERROR(__xludf.DUMMYFUNCTION("""COMPUTED_VALUE"""),117.14)</f>
        <v>117.14</v>
      </c>
      <c r="AD395" s="26">
        <f>IFERROR(__xludf.DUMMYFUNCTION("""COMPUTED_VALUE"""),274.05)</f>
        <v>274.05</v>
      </c>
      <c r="AE395" s="26">
        <f>IFERROR(__xludf.DUMMYFUNCTION("""COMPUTED_VALUE"""),393.23)</f>
        <v>393.23</v>
      </c>
      <c r="AF395" s="26">
        <f>IFERROR(__xludf.DUMMYFUNCTION("""COMPUTED_VALUE"""),341.7)</f>
        <v>341.7</v>
      </c>
      <c r="AG395" s="26">
        <f>IFERROR(__xludf.DUMMYFUNCTION("""COMPUTED_VALUE"""),75.29)</f>
        <v>75.29</v>
      </c>
      <c r="AH395" s="26">
        <f>IFERROR(__xludf.DUMMYFUNCTION("""COMPUTED_VALUE"""),122.62)</f>
        <v>122.62</v>
      </c>
      <c r="AI395" s="26">
        <f>IFERROR(__xludf.DUMMYFUNCTION("""COMPUTED_VALUE"""),837.83)</f>
        <v>837.83</v>
      </c>
      <c r="AJ395" s="26">
        <f>IFERROR(__xludf.DUMMYFUNCTION("""COMPUTED_VALUE"""),351.17)</f>
        <v>351.17</v>
      </c>
      <c r="AK395" s="26">
        <f>IFERROR(__xludf.DUMMYFUNCTION("""COMPUTED_VALUE"""),170.52)</f>
        <v>170.52</v>
      </c>
      <c r="AL395" s="26">
        <f>IFERROR(__xludf.DUMMYFUNCTION("""COMPUTED_VALUE"""),159.11)</f>
        <v>159.11</v>
      </c>
      <c r="AM395" s="26">
        <f>IFERROR(__xludf.DUMMYFUNCTION("""COMPUTED_VALUE"""),568.63)</f>
        <v>568.63</v>
      </c>
      <c r="AN395" s="26">
        <f>IFERROR(__xludf.DUMMYFUNCTION("""COMPUTED_VALUE"""),316.1)</f>
        <v>316.1</v>
      </c>
      <c r="AO395" s="26">
        <f>IFERROR(__xludf.DUMMYFUNCTION("""COMPUTED_VALUE"""),448.35)</f>
        <v>448.35</v>
      </c>
      <c r="AP395" s="26">
        <f>IFERROR(__xludf.DUMMYFUNCTION("""COMPUTED_VALUE"""),183.6)</f>
        <v>183.6</v>
      </c>
      <c r="AQ395" s="26">
        <f>IFERROR(__xludf.DUMMYFUNCTION("""COMPUTED_VALUE"""),35.26)</f>
        <v>35.26</v>
      </c>
      <c r="AR395" s="26">
        <f>IFERROR(__xludf.DUMMYFUNCTION("""COMPUTED_VALUE"""),101.99)</f>
        <v>101.99</v>
      </c>
      <c r="AS395" s="26">
        <f>IFERROR(__xludf.DUMMYFUNCTION("""COMPUTED_VALUE"""),78.03)</f>
        <v>78.03</v>
      </c>
      <c r="AT395" s="26">
        <f>IFERROR(__xludf.DUMMYFUNCTION("""COMPUTED_VALUE"""),480.84)</f>
        <v>480.84</v>
      </c>
      <c r="AU395" s="26">
        <f>IFERROR(__xludf.DUMMYFUNCTION("""COMPUTED_VALUE"""),83.39)</f>
        <v>83.39</v>
      </c>
      <c r="AV395" s="26">
        <f>IFERROR(__xludf.DUMMYFUNCTION("""COMPUTED_VALUE"""),183.38)</f>
        <v>183.38</v>
      </c>
      <c r="AW395" s="26">
        <f>IFERROR(__xludf.DUMMYFUNCTION("""COMPUTED_VALUE"""),86.91)</f>
        <v>86.91</v>
      </c>
      <c r="AX395" s="26">
        <f>IFERROR(__xludf.DUMMYFUNCTION("""COMPUTED_VALUE"""),46.51)</f>
        <v>46.51</v>
      </c>
      <c r="AY395" s="26">
        <f>IFERROR(__xludf.DUMMYFUNCTION("""COMPUTED_VALUE"""),177.92)</f>
        <v>177.92</v>
      </c>
      <c r="AZ395" s="26">
        <f>IFERROR(__xludf.DUMMYFUNCTION("""COMPUTED_VALUE"""),61.73)</f>
        <v>61.73</v>
      </c>
      <c r="BA395" s="26">
        <f>IFERROR(__xludf.DUMMYFUNCTION("""COMPUTED_VALUE"""),25.7)</f>
        <v>25.7</v>
      </c>
      <c r="BB395" s="26">
        <f>IFERROR(__xludf.DUMMYFUNCTION("""COMPUTED_VALUE"""),171.31)</f>
        <v>171.31</v>
      </c>
      <c r="BC395" s="26">
        <f>IFERROR(__xludf.DUMMYFUNCTION("""COMPUTED_VALUE"""),208.01)</f>
        <v>208.01</v>
      </c>
      <c r="BD395" s="26">
        <f>IFERROR(__xludf.DUMMYFUNCTION("""COMPUTED_VALUE"""),575.24)</f>
        <v>575.24</v>
      </c>
      <c r="BE395" s="26">
        <f>IFERROR(__xludf.DUMMYFUNCTION("""COMPUTED_VALUE"""),198.27)</f>
        <v>198.27</v>
      </c>
      <c r="BF395" s="26">
        <f>IFERROR(__xludf.DUMMYFUNCTION("""COMPUTED_VALUE"""),138.63)</f>
        <v>138.63</v>
      </c>
      <c r="BG395" s="26">
        <f>IFERROR(__xludf.DUMMYFUNCTION("""COMPUTED_VALUE"""),4.53)</f>
        <v>4.53</v>
      </c>
      <c r="BH395" s="26">
        <f>IFERROR(__xludf.DUMMYFUNCTION("""COMPUTED_VALUE"""),237.29)</f>
        <v>237.29</v>
      </c>
      <c r="BI395" s="26">
        <f>IFERROR(__xludf.DUMMYFUNCTION("""COMPUTED_VALUE"""),333.49)</f>
        <v>333.49</v>
      </c>
      <c r="BJ395" s="26">
        <f>IFERROR(__xludf.DUMMYFUNCTION("""COMPUTED_VALUE"""),50.16)</f>
        <v>50.16</v>
      </c>
      <c r="BK395" s="26">
        <f>IFERROR(__xludf.DUMMYFUNCTION("""COMPUTED_VALUE"""),10.76)</f>
        <v>10.76</v>
      </c>
      <c r="BL395" s="26">
        <f>IFERROR(__xludf.DUMMYFUNCTION("""COMPUTED_VALUE"""),214.19)</f>
        <v>214.19</v>
      </c>
      <c r="BM395" s="26">
        <f>IFERROR(__xludf.DUMMYFUNCTION("""COMPUTED_VALUE"""),105.47)</f>
        <v>105.47</v>
      </c>
    </row>
    <row r="396">
      <c r="A396" s="25"/>
      <c r="B396" s="17">
        <f>IFERROR(__xludf.DUMMYFUNCTION("""COMPUTED_VALUE"""),6870.4)</f>
        <v>6870.4</v>
      </c>
      <c r="C396" s="17">
        <f>IFERROR(__xludf.DUMMYFUNCTION("""COMPUTED_VALUE"""),23578.13)</f>
        <v>23578.13</v>
      </c>
      <c r="D396" s="17">
        <f>IFERROR(__xludf.DUMMYFUNCTION("""COMPUTED_VALUE"""),47954.99)</f>
        <v>47954.99</v>
      </c>
      <c r="E396" s="17">
        <f>IFERROR(__xludf.DUMMYFUNCTION("""COMPUTED_VALUE"""),2521.48)</f>
        <v>2521.48</v>
      </c>
      <c r="F396" s="26">
        <f>IFERROR(__xludf.DUMMYFUNCTION("""COMPUTED_VALUE"""),346.26)</f>
        <v>346.26</v>
      </c>
      <c r="G396" s="26">
        <f>IFERROR(__xludf.DUMMYFUNCTION("""COMPUTED_VALUE"""),229.53)</f>
        <v>229.53</v>
      </c>
      <c r="H396" s="26">
        <f>IFERROR(__xludf.DUMMYFUNCTION("""COMPUTED_VALUE"""),129.5)</f>
        <v>129.5</v>
      </c>
      <c r="I396" s="26">
        <f>IFERROR(__xludf.DUMMYFUNCTION("""COMPUTED_VALUE"""),278.78)</f>
        <v>278.78</v>
      </c>
      <c r="J396" s="26">
        <f>IFERROR(__xludf.DUMMYFUNCTION("""COMPUTED_VALUE"""),268.0)</f>
        <v>268</v>
      </c>
      <c r="K396" s="26">
        <f>IFERROR(__xludf.DUMMYFUNCTION("""COMPUTED_VALUE"""),114.02)</f>
        <v>114.02</v>
      </c>
      <c r="L396" s="26">
        <f>IFERROR(__xludf.DUMMYFUNCTION("""COMPUTED_VALUE"""),23.22)</f>
        <v>23.22</v>
      </c>
      <c r="M396" s="26">
        <f>IFERROR(__xludf.DUMMYFUNCTION("""COMPUTED_VALUE"""),504.34)</f>
        <v>504.34</v>
      </c>
      <c r="N396" s="26">
        <f>IFERROR(__xludf.DUMMYFUNCTION("""COMPUTED_VALUE"""),58.85)</f>
        <v>58.85</v>
      </c>
      <c r="O396" s="26">
        <f>IFERROR(__xludf.DUMMYFUNCTION("""COMPUTED_VALUE"""),181.3)</f>
        <v>181.3</v>
      </c>
      <c r="P396" s="26">
        <f>IFERROR(__xludf.DUMMYFUNCTION("""COMPUTED_VALUE"""),54.29)</f>
        <v>54.29</v>
      </c>
      <c r="Q396" s="26">
        <f>IFERROR(__xludf.DUMMYFUNCTION("""COMPUTED_VALUE"""),603.17)</f>
        <v>603.17</v>
      </c>
      <c r="R396" s="26">
        <f>IFERROR(__xludf.DUMMYFUNCTION("""COMPUTED_VALUE"""),91.27)</f>
        <v>91.27</v>
      </c>
      <c r="S396" s="26">
        <f>IFERROR(__xludf.DUMMYFUNCTION("""COMPUTED_VALUE"""),193.06)</f>
        <v>193.06</v>
      </c>
      <c r="T396" s="26">
        <f>IFERROR(__xludf.DUMMYFUNCTION("""COMPUTED_VALUE"""),150.0)</f>
        <v>150</v>
      </c>
      <c r="U396" s="26">
        <f>IFERROR(__xludf.DUMMYFUNCTION("""COMPUTED_VALUE"""),265.44)</f>
        <v>265.44</v>
      </c>
      <c r="V396" s="26">
        <f>IFERROR(__xludf.DUMMYFUNCTION("""COMPUTED_VALUE"""),55.46)</f>
        <v>55.46</v>
      </c>
      <c r="W396" s="26">
        <f>IFERROR(__xludf.DUMMYFUNCTION("""COMPUTED_VALUE"""),70.0)</f>
        <v>70</v>
      </c>
      <c r="X396" s="26">
        <f>IFERROR(__xludf.DUMMYFUNCTION("""COMPUTED_VALUE"""),96.6)</f>
        <v>96.6</v>
      </c>
      <c r="Y396" s="26">
        <f>IFERROR(__xludf.DUMMYFUNCTION("""COMPUTED_VALUE"""),164.73)</f>
        <v>164.73</v>
      </c>
      <c r="Z396" s="26">
        <f>IFERROR(__xludf.DUMMYFUNCTION("""COMPUTED_VALUE"""),122.44)</f>
        <v>122.44</v>
      </c>
      <c r="AA396" s="26">
        <f>IFERROR(__xludf.DUMMYFUNCTION("""COMPUTED_VALUE"""),416.55)</f>
        <v>416.55</v>
      </c>
      <c r="AB396" s="26">
        <f>IFERROR(__xludf.DUMMYFUNCTION("""COMPUTED_VALUE"""),82.47)</f>
        <v>82.47</v>
      </c>
      <c r="AC396" s="26">
        <f>IFERROR(__xludf.DUMMYFUNCTION("""COMPUTED_VALUE"""),116.54)</f>
        <v>116.54</v>
      </c>
      <c r="AD396" s="26">
        <f>IFERROR(__xludf.DUMMYFUNCTION("""COMPUTED_VALUE"""),274.29)</f>
        <v>274.29</v>
      </c>
      <c r="AE396" s="26">
        <f>IFERROR(__xludf.DUMMYFUNCTION("""COMPUTED_VALUE"""),393.21)</f>
        <v>393.21</v>
      </c>
      <c r="AF396" s="26">
        <f>IFERROR(__xludf.DUMMYFUNCTION("""COMPUTED_VALUE"""),337.31)</f>
        <v>337.31</v>
      </c>
      <c r="AG396" s="26">
        <f>IFERROR(__xludf.DUMMYFUNCTION("""COMPUTED_VALUE"""),76.05)</f>
        <v>76.05</v>
      </c>
      <c r="AH396" s="26">
        <f>IFERROR(__xludf.DUMMYFUNCTION("""COMPUTED_VALUE"""),121.22)</f>
        <v>121.22</v>
      </c>
      <c r="AI396" s="26">
        <f>IFERROR(__xludf.DUMMYFUNCTION("""COMPUTED_VALUE"""),854.56)</f>
        <v>854.56</v>
      </c>
      <c r="AJ396" s="26">
        <f>IFERROR(__xludf.DUMMYFUNCTION("""COMPUTED_VALUE"""),354.61)</f>
        <v>354.61</v>
      </c>
      <c r="AK396" s="26">
        <f>IFERROR(__xludf.DUMMYFUNCTION("""COMPUTED_VALUE"""),170.84)</f>
        <v>170.84</v>
      </c>
      <c r="AL396" s="26">
        <f>IFERROR(__xludf.DUMMYFUNCTION("""COMPUTED_VALUE"""),157.82)</f>
        <v>157.82</v>
      </c>
      <c r="AM396" s="26">
        <f>IFERROR(__xludf.DUMMYFUNCTION("""COMPUTED_VALUE"""),575.34)</f>
        <v>575.34</v>
      </c>
      <c r="AN396" s="26">
        <f>IFERROR(__xludf.DUMMYFUNCTION("""COMPUTED_VALUE"""),315.04)</f>
        <v>315.04</v>
      </c>
      <c r="AO396" s="26">
        <f>IFERROR(__xludf.DUMMYFUNCTION("""COMPUTED_VALUE"""),452.2)</f>
        <v>452.2</v>
      </c>
      <c r="AP396" s="26">
        <f>IFERROR(__xludf.DUMMYFUNCTION("""COMPUTED_VALUE"""),190.01)</f>
        <v>190.01</v>
      </c>
      <c r="AQ396" s="26">
        <f>IFERROR(__xludf.DUMMYFUNCTION("""COMPUTED_VALUE"""),35.29)</f>
        <v>35.29</v>
      </c>
      <c r="AR396" s="26">
        <f>IFERROR(__xludf.DUMMYFUNCTION("""COMPUTED_VALUE"""),101.36)</f>
        <v>101.36</v>
      </c>
      <c r="AS396" s="26">
        <f>IFERROR(__xludf.DUMMYFUNCTION("""COMPUTED_VALUE"""),78.66)</f>
        <v>78.66</v>
      </c>
      <c r="AT396" s="26">
        <f>IFERROR(__xludf.DUMMYFUNCTION("""COMPUTED_VALUE"""),483.16)</f>
        <v>483.16</v>
      </c>
      <c r="AU396" s="26">
        <f>IFERROR(__xludf.DUMMYFUNCTION("""COMPUTED_VALUE"""),83.13)</f>
        <v>83.13</v>
      </c>
      <c r="AV396" s="26">
        <f>IFERROR(__xludf.DUMMYFUNCTION("""COMPUTED_VALUE"""),182.41)</f>
        <v>182.41</v>
      </c>
      <c r="AW396" s="26">
        <f>IFERROR(__xludf.DUMMYFUNCTION("""COMPUTED_VALUE"""),86.45)</f>
        <v>86.45</v>
      </c>
      <c r="AX396" s="26">
        <f>IFERROR(__xludf.DUMMYFUNCTION("""COMPUTED_VALUE"""),48.14)</f>
        <v>48.14</v>
      </c>
      <c r="AY396" s="26">
        <f>IFERROR(__xludf.DUMMYFUNCTION("""COMPUTED_VALUE"""),181.76)</f>
        <v>181.76</v>
      </c>
      <c r="AZ396" s="26">
        <f>IFERROR(__xludf.DUMMYFUNCTION("""COMPUTED_VALUE"""),62.28)</f>
        <v>62.28</v>
      </c>
      <c r="BA396" s="26">
        <f>IFERROR(__xludf.DUMMYFUNCTION("""COMPUTED_VALUE"""),26.03)</f>
        <v>26.03</v>
      </c>
      <c r="BB396" s="26">
        <f>IFERROR(__xludf.DUMMYFUNCTION("""COMPUTED_VALUE"""),171.1)</f>
        <v>171.1</v>
      </c>
      <c r="BC396" s="26">
        <f>IFERROR(__xludf.DUMMYFUNCTION("""COMPUTED_VALUE"""),209.63)</f>
        <v>209.63</v>
      </c>
      <c r="BD396" s="26">
        <f>IFERROR(__xludf.DUMMYFUNCTION("""COMPUTED_VALUE"""),572.77)</f>
        <v>572.77</v>
      </c>
      <c r="BE396" s="26">
        <f>IFERROR(__xludf.DUMMYFUNCTION("""COMPUTED_VALUE"""),196.56)</f>
        <v>196.56</v>
      </c>
      <c r="BF396" s="26">
        <f>IFERROR(__xludf.DUMMYFUNCTION("""COMPUTED_VALUE"""),136.51)</f>
        <v>136.51</v>
      </c>
      <c r="BG396" s="26">
        <f>IFERROR(__xludf.DUMMYFUNCTION("""COMPUTED_VALUE"""),4.55)</f>
        <v>4.55</v>
      </c>
      <c r="BH396" s="26">
        <f>IFERROR(__xludf.DUMMYFUNCTION("""COMPUTED_VALUE"""),235.31)</f>
        <v>235.31</v>
      </c>
      <c r="BI396" s="26">
        <f>IFERROR(__xludf.DUMMYFUNCTION("""COMPUTED_VALUE"""),330.91)</f>
        <v>330.91</v>
      </c>
      <c r="BJ396" s="26">
        <f>IFERROR(__xludf.DUMMYFUNCTION("""COMPUTED_VALUE"""),50.15)</f>
        <v>50.15</v>
      </c>
      <c r="BK396" s="26">
        <f>IFERROR(__xludf.DUMMYFUNCTION("""COMPUTED_VALUE"""),10.93)</f>
        <v>10.93</v>
      </c>
      <c r="BL396" s="26">
        <f>IFERROR(__xludf.DUMMYFUNCTION("""COMPUTED_VALUE"""),213.58)</f>
        <v>213.58</v>
      </c>
      <c r="BM396" s="26">
        <f>IFERROR(__xludf.DUMMYFUNCTION("""COMPUTED_VALUE"""),105.3)</f>
        <v>105.3</v>
      </c>
    </row>
    <row r="397">
      <c r="A397" s="25"/>
      <c r="B397" s="17">
        <f>IFERROR(__xludf.DUMMYFUNCTION("""COMPUTED_VALUE"""),6846.51)</f>
        <v>6846.51</v>
      </c>
      <c r="C397" s="17">
        <f>IFERROR(__xludf.DUMMYFUNCTION("""COMPUTED_VALUE"""),23545.9)</f>
        <v>23545.9</v>
      </c>
      <c r="D397" s="17">
        <f>IFERROR(__xludf.DUMMYFUNCTION("""COMPUTED_VALUE"""),47739.32)</f>
        <v>47739.32</v>
      </c>
      <c r="E397" s="17">
        <f>IFERROR(__xludf.DUMMYFUNCTION("""COMPUTED_VALUE"""),2520.98)</f>
        <v>2520.98</v>
      </c>
      <c r="F397" s="26">
        <f>IFERROR(__xludf.DUMMYFUNCTION("""COMPUTED_VALUE"""),339.12)</f>
        <v>339.12</v>
      </c>
      <c r="G397" s="26">
        <f>IFERROR(__xludf.DUMMYFUNCTION("""COMPUTED_VALUE"""),226.89)</f>
        <v>226.89</v>
      </c>
      <c r="H397" s="26">
        <f>IFERROR(__xludf.DUMMYFUNCTION("""COMPUTED_VALUE"""),128.46)</f>
        <v>128.46</v>
      </c>
      <c r="I397" s="26">
        <f>IFERROR(__xludf.DUMMYFUNCTION("""COMPUTED_VALUE"""),277.89)</f>
        <v>277.89</v>
      </c>
      <c r="J397" s="26">
        <f>IFERROR(__xludf.DUMMYFUNCTION("""COMPUTED_VALUE"""),268.16)</f>
        <v>268.16</v>
      </c>
      <c r="K397" s="26">
        <f>IFERROR(__xludf.DUMMYFUNCTION("""COMPUTED_VALUE"""),114.44)</f>
        <v>114.44</v>
      </c>
      <c r="L397" s="26">
        <f>IFERROR(__xludf.DUMMYFUNCTION("""COMPUTED_VALUE"""),23.26)</f>
        <v>23.26</v>
      </c>
      <c r="M397" s="26">
        <f>IFERROR(__xludf.DUMMYFUNCTION("""COMPUTED_VALUE"""),497.23)</f>
        <v>497.23</v>
      </c>
      <c r="N397" s="26">
        <f>IFERROR(__xludf.DUMMYFUNCTION("""COMPUTED_VALUE"""),58.34)</f>
        <v>58.34</v>
      </c>
      <c r="O397" s="26">
        <f>IFERROR(__xludf.DUMMYFUNCTION("""COMPUTED_VALUE"""),180.44)</f>
        <v>180.44</v>
      </c>
      <c r="P397" s="26">
        <f>IFERROR(__xludf.DUMMYFUNCTION("""COMPUTED_VALUE"""),53.03)</f>
        <v>53.03</v>
      </c>
      <c r="Q397" s="26">
        <f>IFERROR(__xludf.DUMMYFUNCTION("""COMPUTED_VALUE"""),596.5)</f>
        <v>596.5</v>
      </c>
      <c r="R397" s="26">
        <f>IFERROR(__xludf.DUMMYFUNCTION("""COMPUTED_VALUE"""),90.9)</f>
        <v>90.9</v>
      </c>
      <c r="S397" s="26">
        <f>IFERROR(__xludf.DUMMYFUNCTION("""COMPUTED_VALUE"""),190.85)</f>
        <v>190.85</v>
      </c>
      <c r="T397" s="26">
        <f>IFERROR(__xludf.DUMMYFUNCTION("""COMPUTED_VALUE"""),148.71)</f>
        <v>148.71</v>
      </c>
      <c r="U397" s="26">
        <f>IFERROR(__xludf.DUMMYFUNCTION("""COMPUTED_VALUE"""),263.54)</f>
        <v>263.54</v>
      </c>
      <c r="V397" s="26">
        <f>IFERROR(__xludf.DUMMYFUNCTION("""COMPUTED_VALUE"""),55.76)</f>
        <v>55.76</v>
      </c>
      <c r="W397" s="26">
        <f>IFERROR(__xludf.DUMMYFUNCTION("""COMPUTED_VALUE"""),70.25)</f>
        <v>70.25</v>
      </c>
      <c r="X397" s="26">
        <f>IFERROR(__xludf.DUMMYFUNCTION("""COMPUTED_VALUE"""),95.45)</f>
        <v>95.45</v>
      </c>
      <c r="Y397" s="26">
        <f>IFERROR(__xludf.DUMMYFUNCTION("""COMPUTED_VALUE"""),163.78)</f>
        <v>163.78</v>
      </c>
      <c r="Z397" s="26">
        <f>IFERROR(__xludf.DUMMYFUNCTION("""COMPUTED_VALUE"""),120.33)</f>
        <v>120.33</v>
      </c>
      <c r="AA397" s="26">
        <f>IFERROR(__xludf.DUMMYFUNCTION("""COMPUTED_VALUE"""),418.47)</f>
        <v>418.47</v>
      </c>
      <c r="AB397" s="26">
        <f>IFERROR(__xludf.DUMMYFUNCTION("""COMPUTED_VALUE"""),83.85)</f>
        <v>83.85</v>
      </c>
      <c r="AC397" s="26">
        <f>IFERROR(__xludf.DUMMYFUNCTION("""COMPUTED_VALUE"""),115.98)</f>
        <v>115.98</v>
      </c>
      <c r="AD397" s="26">
        <f>IFERROR(__xludf.DUMMYFUNCTION("""COMPUTED_VALUE"""),276.64)</f>
        <v>276.64</v>
      </c>
      <c r="AE397" s="26">
        <f>IFERROR(__xludf.DUMMYFUNCTION("""COMPUTED_VALUE"""),382.98)</f>
        <v>382.98</v>
      </c>
      <c r="AF397" s="26">
        <f>IFERROR(__xludf.DUMMYFUNCTION("""COMPUTED_VALUE"""),336.01)</f>
        <v>336.01</v>
      </c>
      <c r="AG397" s="26">
        <f>IFERROR(__xludf.DUMMYFUNCTION("""COMPUTED_VALUE"""),75.71)</f>
        <v>75.71</v>
      </c>
      <c r="AH397" s="26">
        <f>IFERROR(__xludf.DUMMYFUNCTION("""COMPUTED_VALUE"""),121.19)</f>
        <v>121.19</v>
      </c>
      <c r="AI397" s="26">
        <f>IFERROR(__xludf.DUMMYFUNCTION("""COMPUTED_VALUE"""),866.69)</f>
        <v>866.69</v>
      </c>
      <c r="AJ397" s="26">
        <f>IFERROR(__xludf.DUMMYFUNCTION("""COMPUTED_VALUE"""),349.91)</f>
        <v>349.91</v>
      </c>
      <c r="AK397" s="26">
        <f>IFERROR(__xludf.DUMMYFUNCTION("""COMPUTED_VALUE"""),171.03)</f>
        <v>171.03</v>
      </c>
      <c r="AL397" s="26">
        <f>IFERROR(__xludf.DUMMYFUNCTION("""COMPUTED_VALUE"""),157.03)</f>
        <v>157.03</v>
      </c>
      <c r="AM397" s="26">
        <f>IFERROR(__xludf.DUMMYFUNCTION("""COMPUTED_VALUE"""),566.89)</f>
        <v>566.89</v>
      </c>
      <c r="AN397" s="26">
        <f>IFERROR(__xludf.DUMMYFUNCTION("""COMPUTED_VALUE"""),315.21)</f>
        <v>315.21</v>
      </c>
      <c r="AO397" s="26">
        <f>IFERROR(__xludf.DUMMYFUNCTION("""COMPUTED_VALUE"""),465.38)</f>
        <v>465.38</v>
      </c>
      <c r="AP397" s="26">
        <f>IFERROR(__xludf.DUMMYFUNCTION("""COMPUTED_VALUE"""),183.04)</f>
        <v>183.04</v>
      </c>
      <c r="AQ397" s="26">
        <f>IFERROR(__xludf.DUMMYFUNCTION("""COMPUTED_VALUE"""),34.94)</f>
        <v>34.94</v>
      </c>
      <c r="AR397" s="26">
        <f>IFERROR(__xludf.DUMMYFUNCTION("""COMPUTED_VALUE"""),101.26)</f>
        <v>101.26</v>
      </c>
      <c r="AS397" s="26">
        <f>IFERROR(__xludf.DUMMYFUNCTION("""COMPUTED_VALUE"""),78.08)</f>
        <v>78.08</v>
      </c>
      <c r="AT397" s="26">
        <f>IFERROR(__xludf.DUMMYFUNCTION("""COMPUTED_VALUE"""),491.02)</f>
        <v>491.02</v>
      </c>
      <c r="AU397" s="26">
        <f>IFERROR(__xludf.DUMMYFUNCTION("""COMPUTED_VALUE"""),80.55)</f>
        <v>80.55</v>
      </c>
      <c r="AV397" s="26">
        <f>IFERROR(__xludf.DUMMYFUNCTION("""COMPUTED_VALUE"""),185.55)</f>
        <v>185.55</v>
      </c>
      <c r="AW397" s="26">
        <f>IFERROR(__xludf.DUMMYFUNCTION("""COMPUTED_VALUE"""),86.12)</f>
        <v>86.12</v>
      </c>
      <c r="AX397" s="26">
        <f>IFERROR(__xludf.DUMMYFUNCTION("""COMPUTED_VALUE"""),47.02)</f>
        <v>47.02</v>
      </c>
      <c r="AY397" s="26">
        <f>IFERROR(__xludf.DUMMYFUNCTION("""COMPUTED_VALUE"""),181.49)</f>
        <v>181.49</v>
      </c>
      <c r="AZ397" s="26">
        <f>IFERROR(__xludf.DUMMYFUNCTION("""COMPUTED_VALUE"""),61.12)</f>
        <v>61.12</v>
      </c>
      <c r="BA397" s="26">
        <f>IFERROR(__xludf.DUMMYFUNCTION("""COMPUTED_VALUE"""),25.77)</f>
        <v>25.77</v>
      </c>
      <c r="BB397" s="26">
        <f>IFERROR(__xludf.DUMMYFUNCTION("""COMPUTED_VALUE"""),171.52)</f>
        <v>171.52</v>
      </c>
      <c r="BC397" s="26">
        <f>IFERROR(__xludf.DUMMYFUNCTION("""COMPUTED_VALUE"""),204.44)</f>
        <v>204.44</v>
      </c>
      <c r="BD397" s="26">
        <f>IFERROR(__xludf.DUMMYFUNCTION("""COMPUTED_VALUE"""),568.21)</f>
        <v>568.21</v>
      </c>
      <c r="BE397" s="26">
        <f>IFERROR(__xludf.DUMMYFUNCTION("""COMPUTED_VALUE"""),195.21)</f>
        <v>195.21</v>
      </c>
      <c r="BF397" s="26">
        <f>IFERROR(__xludf.DUMMYFUNCTION("""COMPUTED_VALUE"""),136.6)</f>
        <v>136.6</v>
      </c>
      <c r="BG397" s="26">
        <f>IFERROR(__xludf.DUMMYFUNCTION("""COMPUTED_VALUE"""),4.36)</f>
        <v>4.36</v>
      </c>
      <c r="BH397" s="26">
        <f>IFERROR(__xludf.DUMMYFUNCTION("""COMPUTED_VALUE"""),235.44)</f>
        <v>235.44</v>
      </c>
      <c r="BI397" s="26">
        <f>IFERROR(__xludf.DUMMYFUNCTION("""COMPUTED_VALUE"""),323.62)</f>
        <v>323.62</v>
      </c>
      <c r="BJ397" s="26">
        <f>IFERROR(__xludf.DUMMYFUNCTION("""COMPUTED_VALUE"""),50.11)</f>
        <v>50.11</v>
      </c>
      <c r="BK397" s="26">
        <f>IFERROR(__xludf.DUMMYFUNCTION("""COMPUTED_VALUE"""),11.09)</f>
        <v>11.09</v>
      </c>
      <c r="BL397" s="26">
        <f>IFERROR(__xludf.DUMMYFUNCTION("""COMPUTED_VALUE"""),210.23)</f>
        <v>210.23</v>
      </c>
      <c r="BM397" s="26">
        <f>IFERROR(__xludf.DUMMYFUNCTION("""COMPUTED_VALUE"""),107.63)</f>
        <v>107.63</v>
      </c>
    </row>
    <row r="398">
      <c r="A398" s="25"/>
      <c r="B398" s="17">
        <f>IFERROR(__xludf.DUMMYFUNCTION("""COMPUTED_VALUE"""),6840.51)</f>
        <v>6840.51</v>
      </c>
      <c r="C398" s="17">
        <f>IFERROR(__xludf.DUMMYFUNCTION("""COMPUTED_VALUE"""),23576.49)</f>
        <v>23576.49</v>
      </c>
      <c r="D398" s="17">
        <f>IFERROR(__xludf.DUMMYFUNCTION("""COMPUTED_VALUE"""),47560.29)</f>
        <v>47560.29</v>
      </c>
      <c r="E398" s="17">
        <f>IFERROR(__xludf.DUMMYFUNCTION("""COMPUTED_VALUE"""),2526.24)</f>
        <v>2526.24</v>
      </c>
      <c r="F398" s="26">
        <f>IFERROR(__xludf.DUMMYFUNCTION("""COMPUTED_VALUE"""),344.32)</f>
        <v>344.32</v>
      </c>
      <c r="G398" s="26">
        <f>IFERROR(__xludf.DUMMYFUNCTION("""COMPUTED_VALUE"""),227.92)</f>
        <v>227.92</v>
      </c>
      <c r="H398" s="26">
        <f>IFERROR(__xludf.DUMMYFUNCTION("""COMPUTED_VALUE"""),128.15)</f>
        <v>128.15</v>
      </c>
      <c r="I398" s="26">
        <f>IFERROR(__xludf.DUMMYFUNCTION("""COMPUTED_VALUE"""),277.18)</f>
        <v>277.18</v>
      </c>
      <c r="J398" s="26">
        <f>IFERROR(__xludf.DUMMYFUNCTION("""COMPUTED_VALUE"""),267.14)</f>
        <v>267.14</v>
      </c>
      <c r="K398" s="26">
        <f>IFERROR(__xludf.DUMMYFUNCTION("""COMPUTED_VALUE"""),115.93)</f>
        <v>115.93</v>
      </c>
      <c r="L398" s="26">
        <f>IFERROR(__xludf.DUMMYFUNCTION("""COMPUTED_VALUE"""),23.14)</f>
        <v>23.14</v>
      </c>
      <c r="M398" s="26">
        <f>IFERROR(__xludf.DUMMYFUNCTION("""COMPUTED_VALUE"""),491.43)</f>
        <v>491.43</v>
      </c>
      <c r="N398" s="26">
        <f>IFERROR(__xludf.DUMMYFUNCTION("""COMPUTED_VALUE"""),59.01)</f>
        <v>59.01</v>
      </c>
      <c r="O398" s="26">
        <f>IFERROR(__xludf.DUMMYFUNCTION("""COMPUTED_VALUE"""),175.84)</f>
        <v>175.84</v>
      </c>
      <c r="P398" s="26">
        <f>IFERROR(__xludf.DUMMYFUNCTION("""COMPUTED_VALUE"""),52.84)</f>
        <v>52.84</v>
      </c>
      <c r="Q398" s="26">
        <f>IFERROR(__xludf.DUMMYFUNCTION("""COMPUTED_VALUE"""),594.36)</f>
        <v>594.36</v>
      </c>
      <c r="R398" s="26">
        <f>IFERROR(__xludf.DUMMYFUNCTION("""COMPUTED_VALUE"""),93.36)</f>
        <v>93.36</v>
      </c>
      <c r="S398" s="26">
        <f>IFERROR(__xludf.DUMMYFUNCTION("""COMPUTED_VALUE"""),194.19)</f>
        <v>194.19</v>
      </c>
      <c r="T398" s="26">
        <f>IFERROR(__xludf.DUMMYFUNCTION("""COMPUTED_VALUE"""),148.49)</f>
        <v>148.49</v>
      </c>
      <c r="U398" s="26">
        <f>IFERROR(__xludf.DUMMYFUNCTION("""COMPUTED_VALUE"""),262.71)</f>
        <v>262.71</v>
      </c>
      <c r="V398" s="26">
        <f>IFERROR(__xludf.DUMMYFUNCTION("""COMPUTED_VALUE"""),55.94)</f>
        <v>55.94</v>
      </c>
      <c r="W398" s="26">
        <f>IFERROR(__xludf.DUMMYFUNCTION("""COMPUTED_VALUE"""),70.09)</f>
        <v>70.09</v>
      </c>
      <c r="X398" s="26">
        <f>IFERROR(__xludf.DUMMYFUNCTION("""COMPUTED_VALUE"""),95.82)</f>
        <v>95.82</v>
      </c>
      <c r="Y398" s="26">
        <f>IFERROR(__xludf.DUMMYFUNCTION("""COMPUTED_VALUE"""),162.76)</f>
        <v>162.76</v>
      </c>
      <c r="Z398" s="26">
        <f>IFERROR(__xludf.DUMMYFUNCTION("""COMPUTED_VALUE"""),119.68)</f>
        <v>119.68</v>
      </c>
      <c r="AA398" s="26">
        <f>IFERROR(__xludf.DUMMYFUNCTION("""COMPUTED_VALUE"""),417.19)</f>
        <v>417.19</v>
      </c>
      <c r="AB398" s="26">
        <f>IFERROR(__xludf.DUMMYFUNCTION("""COMPUTED_VALUE"""),83.89)</f>
        <v>83.89</v>
      </c>
      <c r="AC398" s="26">
        <f>IFERROR(__xludf.DUMMYFUNCTION("""COMPUTED_VALUE"""),118.25)</f>
        <v>118.25</v>
      </c>
      <c r="AD398" s="26">
        <f>IFERROR(__xludf.DUMMYFUNCTION("""COMPUTED_VALUE"""),275.13)</f>
        <v>275.13</v>
      </c>
      <c r="AE398" s="26">
        <f>IFERROR(__xludf.DUMMYFUNCTION("""COMPUTED_VALUE"""),375.35)</f>
        <v>375.35</v>
      </c>
      <c r="AF398" s="26">
        <f>IFERROR(__xludf.DUMMYFUNCTION("""COMPUTED_VALUE"""),334.27)</f>
        <v>334.27</v>
      </c>
      <c r="AG398" s="26">
        <f>IFERROR(__xludf.DUMMYFUNCTION("""COMPUTED_VALUE"""),77.16)</f>
        <v>77.16</v>
      </c>
      <c r="AH398" s="26">
        <f>IFERROR(__xludf.DUMMYFUNCTION("""COMPUTED_VALUE"""),119.36)</f>
        <v>119.36</v>
      </c>
      <c r="AI398" s="26">
        <f>IFERROR(__xludf.DUMMYFUNCTION("""COMPUTED_VALUE"""),876.58)</f>
        <v>876.58</v>
      </c>
      <c r="AJ398" s="26">
        <f>IFERROR(__xludf.DUMMYFUNCTION("""COMPUTED_VALUE"""),345.27)</f>
        <v>345.27</v>
      </c>
      <c r="AK398" s="26">
        <f>IFERROR(__xludf.DUMMYFUNCTION("""COMPUTED_VALUE"""),172.75)</f>
        <v>172.75</v>
      </c>
      <c r="AL398" s="26">
        <f>IFERROR(__xludf.DUMMYFUNCTION("""COMPUTED_VALUE"""),158.01)</f>
        <v>158.01</v>
      </c>
      <c r="AM398" s="26">
        <f>IFERROR(__xludf.DUMMYFUNCTION("""COMPUTED_VALUE"""),558.13)</f>
        <v>558.13</v>
      </c>
      <c r="AN398" s="26">
        <f>IFERROR(__xludf.DUMMYFUNCTION("""COMPUTED_VALUE"""),300.51)</f>
        <v>300.51</v>
      </c>
      <c r="AO398" s="26">
        <f>IFERROR(__xludf.DUMMYFUNCTION("""COMPUTED_VALUE"""),466.89)</f>
        <v>466.89</v>
      </c>
      <c r="AP398" s="26">
        <f>IFERROR(__xludf.DUMMYFUNCTION("""COMPUTED_VALUE"""),182.28)</f>
        <v>182.28</v>
      </c>
      <c r="AQ398" s="26">
        <f>IFERROR(__xludf.DUMMYFUNCTION("""COMPUTED_VALUE"""),35.22)</f>
        <v>35.22</v>
      </c>
      <c r="AR398" s="26">
        <f>IFERROR(__xludf.DUMMYFUNCTION("""COMPUTED_VALUE"""),99.62)</f>
        <v>99.62</v>
      </c>
      <c r="AS398" s="26">
        <f>IFERROR(__xludf.DUMMYFUNCTION("""COMPUTED_VALUE"""),77.82)</f>
        <v>77.82</v>
      </c>
      <c r="AT398" s="26">
        <f>IFERROR(__xludf.DUMMYFUNCTION("""COMPUTED_VALUE"""),492.02)</f>
        <v>492.02</v>
      </c>
      <c r="AU398" s="26">
        <f>IFERROR(__xludf.DUMMYFUNCTION("""COMPUTED_VALUE"""),79.64)</f>
        <v>79.64</v>
      </c>
      <c r="AV398" s="26">
        <f>IFERROR(__xludf.DUMMYFUNCTION("""COMPUTED_VALUE"""),184.97)</f>
        <v>184.97</v>
      </c>
      <c r="AW398" s="26">
        <f>IFERROR(__xludf.DUMMYFUNCTION("""COMPUTED_VALUE"""),87.09)</f>
        <v>87.09</v>
      </c>
      <c r="AX398" s="26">
        <f>IFERROR(__xludf.DUMMYFUNCTION("""COMPUTED_VALUE"""),47.31)</f>
        <v>47.31</v>
      </c>
      <c r="AY398" s="26">
        <f>IFERROR(__xludf.DUMMYFUNCTION("""COMPUTED_VALUE"""),181.84)</f>
        <v>181.84</v>
      </c>
      <c r="AZ398" s="26">
        <f>IFERROR(__xludf.DUMMYFUNCTION("""COMPUTED_VALUE"""),60.78)</f>
        <v>60.78</v>
      </c>
      <c r="BA398" s="26">
        <f>IFERROR(__xludf.DUMMYFUNCTION("""COMPUTED_VALUE"""),25.33)</f>
        <v>25.33</v>
      </c>
      <c r="BB398" s="26">
        <f>IFERROR(__xludf.DUMMYFUNCTION("""COMPUTED_VALUE"""),171.93)</f>
        <v>171.93</v>
      </c>
      <c r="BC398" s="26">
        <f>IFERROR(__xludf.DUMMYFUNCTION("""COMPUTED_VALUE"""),201.35)</f>
        <v>201.35</v>
      </c>
      <c r="BD398" s="26">
        <f>IFERROR(__xludf.DUMMYFUNCTION("""COMPUTED_VALUE"""),563.07)</f>
        <v>563.07</v>
      </c>
      <c r="BE398" s="26">
        <f>IFERROR(__xludf.DUMMYFUNCTION("""COMPUTED_VALUE"""),196.34)</f>
        <v>196.34</v>
      </c>
      <c r="BF398" s="26">
        <f>IFERROR(__xludf.DUMMYFUNCTION("""COMPUTED_VALUE"""),134.8)</f>
        <v>134.8</v>
      </c>
      <c r="BG398" s="26">
        <f>IFERROR(__xludf.DUMMYFUNCTION("""COMPUTED_VALUE"""),4.31)</f>
        <v>4.31</v>
      </c>
      <c r="BH398" s="26">
        <f>IFERROR(__xludf.DUMMYFUNCTION("""COMPUTED_VALUE"""),231.56)</f>
        <v>231.56</v>
      </c>
      <c r="BI398" s="26">
        <f>IFERROR(__xludf.DUMMYFUNCTION("""COMPUTED_VALUE"""),323.6)</f>
        <v>323.6</v>
      </c>
      <c r="BJ398" s="26">
        <f>IFERROR(__xludf.DUMMYFUNCTION("""COMPUTED_VALUE"""),50.06)</f>
        <v>50.06</v>
      </c>
      <c r="BK398" s="26">
        <f>IFERROR(__xludf.DUMMYFUNCTION("""COMPUTED_VALUE"""),11.19)</f>
        <v>11.19</v>
      </c>
      <c r="BL398" s="26">
        <f>IFERROR(__xludf.DUMMYFUNCTION("""COMPUTED_VALUE"""),209.31)</f>
        <v>209.31</v>
      </c>
      <c r="BM398" s="26">
        <f>IFERROR(__xludf.DUMMYFUNCTION("""COMPUTED_VALUE"""),107.02)</f>
        <v>107.02</v>
      </c>
    </row>
    <row r="399">
      <c r="A399" s="25"/>
      <c r="B399" s="17">
        <f>IFERROR(__xludf.DUMMYFUNCTION("""COMPUTED_VALUE"""),6886.68)</f>
        <v>6886.68</v>
      </c>
      <c r="C399" s="17">
        <f>IFERROR(__xludf.DUMMYFUNCTION("""COMPUTED_VALUE"""),23654.16)</f>
        <v>23654.16</v>
      </c>
      <c r="D399" s="17">
        <f>IFERROR(__xludf.DUMMYFUNCTION("""COMPUTED_VALUE"""),48057.75)</f>
        <v>48057.75</v>
      </c>
      <c r="E399" s="17">
        <f>IFERROR(__xludf.DUMMYFUNCTION("""COMPUTED_VALUE"""),2559.61)</f>
        <v>2559.61</v>
      </c>
      <c r="F399" s="26">
        <f>IFERROR(__xludf.DUMMYFUNCTION("""COMPUTED_VALUE"""),343.13)</f>
        <v>343.13</v>
      </c>
      <c r="G399" s="26">
        <f>IFERROR(__xludf.DUMMYFUNCTION("""COMPUTED_VALUE"""),231.78)</f>
        <v>231.78</v>
      </c>
      <c r="H399" s="26">
        <f>IFERROR(__xludf.DUMMYFUNCTION("""COMPUTED_VALUE"""),128.72)</f>
        <v>128.72</v>
      </c>
      <c r="I399" s="26">
        <f>IFERROR(__xludf.DUMMYFUNCTION("""COMPUTED_VALUE"""),278.78)</f>
        <v>278.78</v>
      </c>
      <c r="J399" s="26">
        <f>IFERROR(__xludf.DUMMYFUNCTION("""COMPUTED_VALUE"""),275.15)</f>
        <v>275.15</v>
      </c>
      <c r="K399" s="26">
        <f>IFERROR(__xludf.DUMMYFUNCTION("""COMPUTED_VALUE"""),118.38)</f>
        <v>118.38</v>
      </c>
      <c r="L399" s="26">
        <f>IFERROR(__xludf.DUMMYFUNCTION("""COMPUTED_VALUE"""),23.82)</f>
        <v>23.82</v>
      </c>
      <c r="M399" s="26">
        <f>IFERROR(__xludf.DUMMYFUNCTION("""COMPUTED_VALUE"""),490.43)</f>
        <v>490.43</v>
      </c>
      <c r="N399" s="26">
        <f>IFERROR(__xludf.DUMMYFUNCTION("""COMPUTED_VALUE"""),60.53)</f>
        <v>60.53</v>
      </c>
      <c r="O399" s="26">
        <f>IFERROR(__xludf.DUMMYFUNCTION("""COMPUTED_VALUE"""),177.55)</f>
        <v>177.55</v>
      </c>
      <c r="P399" s="26">
        <f>IFERROR(__xludf.DUMMYFUNCTION("""COMPUTED_VALUE"""),53.4)</f>
        <v>53.4</v>
      </c>
      <c r="Q399" s="26">
        <f>IFERROR(__xludf.DUMMYFUNCTION("""COMPUTED_VALUE"""),615.35)</f>
        <v>615.35</v>
      </c>
      <c r="R399" s="26">
        <f>IFERROR(__xludf.DUMMYFUNCTION("""COMPUTED_VALUE"""),93.76)</f>
        <v>93.76</v>
      </c>
      <c r="S399" s="26">
        <f>IFERROR(__xludf.DUMMYFUNCTION("""COMPUTED_VALUE"""),197.5)</f>
        <v>197.5</v>
      </c>
      <c r="T399" s="26">
        <f>IFERROR(__xludf.DUMMYFUNCTION("""COMPUTED_VALUE"""),151.41)</f>
        <v>151.41</v>
      </c>
      <c r="U399" s="26">
        <f>IFERROR(__xludf.DUMMYFUNCTION("""COMPUTED_VALUE"""),262.6)</f>
        <v>262.6</v>
      </c>
      <c r="V399" s="26">
        <f>IFERROR(__xludf.DUMMYFUNCTION("""COMPUTED_VALUE"""),58.46)</f>
        <v>58.46</v>
      </c>
      <c r="W399" s="26">
        <f>IFERROR(__xludf.DUMMYFUNCTION("""COMPUTED_VALUE"""),70.21)</f>
        <v>70.21</v>
      </c>
      <c r="X399" s="26">
        <f>IFERROR(__xludf.DUMMYFUNCTION("""COMPUTED_VALUE"""),95.41)</f>
        <v>95.41</v>
      </c>
      <c r="Y399" s="26">
        <f>IFERROR(__xludf.DUMMYFUNCTION("""COMPUTED_VALUE"""),159.51)</f>
        <v>159.51</v>
      </c>
      <c r="Z399" s="26">
        <f>IFERROR(__xludf.DUMMYFUNCTION("""COMPUTED_VALUE"""),124.24)</f>
        <v>124.24</v>
      </c>
      <c r="AA399" s="26">
        <f>IFERROR(__xludf.DUMMYFUNCTION("""COMPUTED_VALUE"""),418.88)</f>
        <v>418.88</v>
      </c>
      <c r="AB399" s="26">
        <f>IFERROR(__xludf.DUMMYFUNCTION("""COMPUTED_VALUE"""),82.63)</f>
        <v>82.63</v>
      </c>
      <c r="AC399" s="26">
        <f>IFERROR(__xludf.DUMMYFUNCTION("""COMPUTED_VALUE"""),119.54)</f>
        <v>119.54</v>
      </c>
      <c r="AD399" s="26">
        <f>IFERROR(__xludf.DUMMYFUNCTION("""COMPUTED_VALUE"""),284.31)</f>
        <v>284.31</v>
      </c>
      <c r="AE399" s="26">
        <f>IFERROR(__xludf.DUMMYFUNCTION("""COMPUTED_VALUE"""),364.04)</f>
        <v>364.04</v>
      </c>
      <c r="AF399" s="26">
        <f>IFERROR(__xludf.DUMMYFUNCTION("""COMPUTED_VALUE"""),342.23)</f>
        <v>342.23</v>
      </c>
      <c r="AG399" s="26">
        <f>IFERROR(__xludf.DUMMYFUNCTION("""COMPUTED_VALUE"""),80.8)</f>
        <v>80.8</v>
      </c>
      <c r="AH399" s="26">
        <f>IFERROR(__xludf.DUMMYFUNCTION("""COMPUTED_VALUE"""),121.34)</f>
        <v>121.34</v>
      </c>
      <c r="AI399" s="26">
        <f>IFERROR(__xludf.DUMMYFUNCTION("""COMPUTED_VALUE"""),889.24)</f>
        <v>889.24</v>
      </c>
      <c r="AJ399" s="26">
        <f>IFERROR(__xludf.DUMMYFUNCTION("""COMPUTED_VALUE"""),351.13)</f>
        <v>351.13</v>
      </c>
      <c r="AK399" s="26">
        <f>IFERROR(__xludf.DUMMYFUNCTION("""COMPUTED_VALUE"""),174.1)</f>
        <v>174.1</v>
      </c>
      <c r="AL399" s="26">
        <f>IFERROR(__xludf.DUMMYFUNCTION("""COMPUTED_VALUE"""),160.38)</f>
        <v>160.38</v>
      </c>
      <c r="AM399" s="26">
        <f>IFERROR(__xludf.DUMMYFUNCTION("""COMPUTED_VALUE"""),555.92)</f>
        <v>555.92</v>
      </c>
      <c r="AN399" s="26">
        <f>IFERROR(__xludf.DUMMYFUNCTION("""COMPUTED_VALUE"""),310.11)</f>
        <v>310.11</v>
      </c>
      <c r="AO399" s="26">
        <f>IFERROR(__xludf.DUMMYFUNCTION("""COMPUTED_VALUE"""),467.94)</f>
        <v>467.94</v>
      </c>
      <c r="AP399" s="26">
        <f>IFERROR(__xludf.DUMMYFUNCTION("""COMPUTED_VALUE"""),187.62)</f>
        <v>187.62</v>
      </c>
      <c r="AQ399" s="26">
        <f>IFERROR(__xludf.DUMMYFUNCTION("""COMPUTED_VALUE"""),35.49)</f>
        <v>35.49</v>
      </c>
      <c r="AR399" s="26">
        <f>IFERROR(__xludf.DUMMYFUNCTION("""COMPUTED_VALUE"""),100.77)</f>
        <v>100.77</v>
      </c>
      <c r="AS399" s="26">
        <f>IFERROR(__xludf.DUMMYFUNCTION("""COMPUTED_VALUE"""),79.82)</f>
        <v>79.82</v>
      </c>
      <c r="AT399" s="26">
        <f>IFERROR(__xludf.DUMMYFUNCTION("""COMPUTED_VALUE"""),478.56)</f>
        <v>478.56</v>
      </c>
      <c r="AU399" s="26">
        <f>IFERROR(__xludf.DUMMYFUNCTION("""COMPUTED_VALUE"""),81.27)</f>
        <v>81.27</v>
      </c>
      <c r="AV399" s="26">
        <f>IFERROR(__xludf.DUMMYFUNCTION("""COMPUTED_VALUE"""),183.78)</f>
        <v>183.78</v>
      </c>
      <c r="AW399" s="26">
        <f>IFERROR(__xludf.DUMMYFUNCTION("""COMPUTED_VALUE"""),87.85)</f>
        <v>87.85</v>
      </c>
      <c r="AX399" s="26">
        <f>IFERROR(__xludf.DUMMYFUNCTION("""COMPUTED_VALUE"""),48.72)</f>
        <v>48.72</v>
      </c>
      <c r="AY399" s="26">
        <f>IFERROR(__xludf.DUMMYFUNCTION("""COMPUTED_VALUE"""),187.91)</f>
        <v>187.91</v>
      </c>
      <c r="AZ399" s="26">
        <f>IFERROR(__xludf.DUMMYFUNCTION("""COMPUTED_VALUE"""),61.16)</f>
        <v>61.16</v>
      </c>
      <c r="BA399" s="26">
        <f>IFERROR(__xludf.DUMMYFUNCTION("""COMPUTED_VALUE"""),25.78)</f>
        <v>25.78</v>
      </c>
      <c r="BB399" s="26">
        <f>IFERROR(__xludf.DUMMYFUNCTION("""COMPUTED_VALUE"""),174.72)</f>
        <v>174.72</v>
      </c>
      <c r="BC399" s="26">
        <f>IFERROR(__xludf.DUMMYFUNCTION("""COMPUTED_VALUE"""),195.32)</f>
        <v>195.32</v>
      </c>
      <c r="BD399" s="26">
        <f>IFERROR(__xludf.DUMMYFUNCTION("""COMPUTED_VALUE"""),573.81)</f>
        <v>573.81</v>
      </c>
      <c r="BE399" s="26">
        <f>IFERROR(__xludf.DUMMYFUNCTION("""COMPUTED_VALUE"""),200.78)</f>
        <v>200.78</v>
      </c>
      <c r="BF399" s="26">
        <f>IFERROR(__xludf.DUMMYFUNCTION("""COMPUTED_VALUE"""),131.21)</f>
        <v>131.21</v>
      </c>
      <c r="BG399" s="26">
        <f>IFERROR(__xludf.DUMMYFUNCTION("""COMPUTED_VALUE"""),4.38)</f>
        <v>4.38</v>
      </c>
      <c r="BH399" s="26">
        <f>IFERROR(__xludf.DUMMYFUNCTION("""COMPUTED_VALUE"""),235.46)</f>
        <v>235.46</v>
      </c>
      <c r="BI399" s="26">
        <f>IFERROR(__xludf.DUMMYFUNCTION("""COMPUTED_VALUE"""),328.37)</f>
        <v>328.37</v>
      </c>
      <c r="BJ399" s="26">
        <f>IFERROR(__xludf.DUMMYFUNCTION("""COMPUTED_VALUE"""),50.12)</f>
        <v>50.12</v>
      </c>
      <c r="BK399" s="26">
        <f>IFERROR(__xludf.DUMMYFUNCTION("""COMPUTED_VALUE"""),11.6)</f>
        <v>11.6</v>
      </c>
      <c r="BL399" s="26">
        <f>IFERROR(__xludf.DUMMYFUNCTION("""COMPUTED_VALUE"""),209.15)</f>
        <v>209.15</v>
      </c>
      <c r="BM399" s="26">
        <f>IFERROR(__xludf.DUMMYFUNCTION("""COMPUTED_VALUE"""),108.83)</f>
        <v>108.83</v>
      </c>
    </row>
    <row r="400">
      <c r="A400" s="25"/>
      <c r="B400" s="17">
        <f>IFERROR(__xludf.DUMMYFUNCTION("""COMPUTED_VALUE"""),6901.0)</f>
        <v>6901</v>
      </c>
      <c r="C400" s="17">
        <f>IFERROR(__xludf.DUMMYFUNCTION("""COMPUTED_VALUE"""),23593.86)</f>
        <v>23593.86</v>
      </c>
      <c r="D400" s="17">
        <f>IFERROR(__xludf.DUMMYFUNCTION("""COMPUTED_VALUE"""),48704.01)</f>
        <v>48704.01</v>
      </c>
      <c r="E400" s="17">
        <f>IFERROR(__xludf.DUMMYFUNCTION("""COMPUTED_VALUE"""),2590.61)</f>
        <v>2590.61</v>
      </c>
      <c r="F400" s="26">
        <f>IFERROR(__xludf.DUMMYFUNCTION("""COMPUTED_VALUE"""),350.43)</f>
        <v>350.43</v>
      </c>
      <c r="G400" s="26">
        <f>IFERROR(__xludf.DUMMYFUNCTION("""COMPUTED_VALUE"""),230.28)</f>
        <v>230.28</v>
      </c>
      <c r="H400" s="26">
        <f>IFERROR(__xludf.DUMMYFUNCTION("""COMPUTED_VALUE"""),130.09)</f>
        <v>130.09</v>
      </c>
      <c r="I400" s="26">
        <f>IFERROR(__xludf.DUMMYFUNCTION("""COMPUTED_VALUE"""),278.03)</f>
        <v>278.03</v>
      </c>
      <c r="J400" s="26">
        <f>IFERROR(__xludf.DUMMYFUNCTION("""COMPUTED_VALUE"""),270.11)</f>
        <v>270.11</v>
      </c>
      <c r="K400" s="26">
        <f>IFERROR(__xludf.DUMMYFUNCTION("""COMPUTED_VALUE"""),118.68)</f>
        <v>118.68</v>
      </c>
      <c r="L400" s="26">
        <f>IFERROR(__xludf.DUMMYFUNCTION("""COMPUTED_VALUE"""),24.19)</f>
        <v>24.19</v>
      </c>
      <c r="M400" s="26">
        <f>IFERROR(__xludf.DUMMYFUNCTION("""COMPUTED_VALUE"""),495.85)</f>
        <v>495.85</v>
      </c>
      <c r="N400" s="26">
        <f>IFERROR(__xludf.DUMMYFUNCTION("""COMPUTED_VALUE"""),60.92)</f>
        <v>60.92</v>
      </c>
      <c r="O400" s="26">
        <f>IFERROR(__xludf.DUMMYFUNCTION("""COMPUTED_VALUE"""),172.5)</f>
        <v>172.5</v>
      </c>
      <c r="P400" s="26">
        <f>IFERROR(__xludf.DUMMYFUNCTION("""COMPUTED_VALUE"""),54.15)</f>
        <v>54.15</v>
      </c>
      <c r="Q400" s="26">
        <f>IFERROR(__xludf.DUMMYFUNCTION("""COMPUTED_VALUE"""),625.61)</f>
        <v>625.61</v>
      </c>
      <c r="R400" s="26">
        <f>IFERROR(__xludf.DUMMYFUNCTION("""COMPUTED_VALUE"""),95.74)</f>
        <v>95.74</v>
      </c>
      <c r="S400" s="26">
        <f>IFERROR(__xludf.DUMMYFUNCTION("""COMPUTED_VALUE"""),198.48)</f>
        <v>198.48</v>
      </c>
      <c r="T400" s="26">
        <f>IFERROR(__xludf.DUMMYFUNCTION("""COMPUTED_VALUE"""),150.72)</f>
        <v>150.72</v>
      </c>
      <c r="U400" s="26">
        <f>IFERROR(__xludf.DUMMYFUNCTION("""COMPUTED_VALUE"""),272.26)</f>
        <v>272.26</v>
      </c>
      <c r="V400" s="26">
        <f>IFERROR(__xludf.DUMMYFUNCTION("""COMPUTED_VALUE"""),58.35)</f>
        <v>58.35</v>
      </c>
      <c r="W400" s="26">
        <f>IFERROR(__xludf.DUMMYFUNCTION("""COMPUTED_VALUE"""),69.11)</f>
        <v>69.11</v>
      </c>
      <c r="X400" s="26">
        <f>IFERROR(__xludf.DUMMYFUNCTION("""COMPUTED_VALUE"""),95.64)</f>
        <v>95.64</v>
      </c>
      <c r="Y400" s="26">
        <f>IFERROR(__xludf.DUMMYFUNCTION("""COMPUTED_VALUE"""),158.82)</f>
        <v>158.82</v>
      </c>
      <c r="Z400" s="26">
        <f>IFERROR(__xludf.DUMMYFUNCTION("""COMPUTED_VALUE"""),129.97)</f>
        <v>129.97</v>
      </c>
      <c r="AA400" s="26">
        <f>IFERROR(__xludf.DUMMYFUNCTION("""COMPUTED_VALUE"""),433.67)</f>
        <v>433.67</v>
      </c>
      <c r="AB400" s="26">
        <f>IFERROR(__xludf.DUMMYFUNCTION("""COMPUTED_VALUE"""),84.4)</f>
        <v>84.4</v>
      </c>
      <c r="AC400" s="26">
        <f>IFERROR(__xludf.DUMMYFUNCTION("""COMPUTED_VALUE"""),119.54)</f>
        <v>119.54</v>
      </c>
      <c r="AD400" s="26">
        <f>IFERROR(__xludf.DUMMYFUNCTION("""COMPUTED_VALUE"""),284.78)</f>
        <v>284.78</v>
      </c>
      <c r="AE400" s="26">
        <f>IFERROR(__xludf.DUMMYFUNCTION("""COMPUTED_VALUE"""),367.96)</f>
        <v>367.96</v>
      </c>
      <c r="AF400" s="26">
        <f>IFERROR(__xludf.DUMMYFUNCTION("""COMPUTED_VALUE"""),341.48)</f>
        <v>341.48</v>
      </c>
      <c r="AG400" s="26">
        <f>IFERROR(__xludf.DUMMYFUNCTION("""COMPUTED_VALUE"""),80.85)</f>
        <v>80.85</v>
      </c>
      <c r="AH400" s="26">
        <f>IFERROR(__xludf.DUMMYFUNCTION("""COMPUTED_VALUE"""),123.21)</f>
        <v>123.21</v>
      </c>
      <c r="AI400" s="26">
        <f>IFERROR(__xludf.DUMMYFUNCTION("""COMPUTED_VALUE"""),911.03)</f>
        <v>911.03</v>
      </c>
      <c r="AJ400" s="26">
        <f>IFERROR(__xludf.DUMMYFUNCTION("""COMPUTED_VALUE"""),357.46)</f>
        <v>357.46</v>
      </c>
      <c r="AK400" s="26">
        <f>IFERROR(__xludf.DUMMYFUNCTION("""COMPUTED_VALUE"""),176.4)</f>
        <v>176.4</v>
      </c>
      <c r="AL400" s="26">
        <f>IFERROR(__xludf.DUMMYFUNCTION("""COMPUTED_VALUE"""),163.1)</f>
        <v>163.1</v>
      </c>
      <c r="AM400" s="26">
        <f>IFERROR(__xludf.DUMMYFUNCTION("""COMPUTED_VALUE"""),547.36)</f>
        <v>547.36</v>
      </c>
      <c r="AN400" s="26">
        <f>IFERROR(__xludf.DUMMYFUNCTION("""COMPUTED_VALUE"""),317.38)</f>
        <v>317.38</v>
      </c>
      <c r="AO400" s="26">
        <f>IFERROR(__xludf.DUMMYFUNCTION("""COMPUTED_VALUE"""),474.88)</f>
        <v>474.88</v>
      </c>
      <c r="AP400" s="26">
        <f>IFERROR(__xludf.DUMMYFUNCTION("""COMPUTED_VALUE"""),187.01)</f>
        <v>187.01</v>
      </c>
      <c r="AQ400" s="26">
        <f>IFERROR(__xludf.DUMMYFUNCTION("""COMPUTED_VALUE"""),35.65)</f>
        <v>35.65</v>
      </c>
      <c r="AR400" s="26">
        <f>IFERROR(__xludf.DUMMYFUNCTION("""COMPUTED_VALUE"""),99.75)</f>
        <v>99.75</v>
      </c>
      <c r="AS400" s="26">
        <f>IFERROR(__xludf.DUMMYFUNCTION("""COMPUTED_VALUE"""),82.25)</f>
        <v>82.25</v>
      </c>
      <c r="AT400" s="26">
        <f>IFERROR(__xludf.DUMMYFUNCTION("""COMPUTED_VALUE"""),483.47)</f>
        <v>483.47</v>
      </c>
      <c r="AU400" s="26">
        <f>IFERROR(__xludf.DUMMYFUNCTION("""COMPUTED_VALUE"""),81.21)</f>
        <v>81.21</v>
      </c>
      <c r="AV400" s="26">
        <f>IFERROR(__xludf.DUMMYFUNCTION("""COMPUTED_VALUE"""),180.93)</f>
        <v>180.93</v>
      </c>
      <c r="AW400" s="26">
        <f>IFERROR(__xludf.DUMMYFUNCTION("""COMPUTED_VALUE"""),87.73)</f>
        <v>87.73</v>
      </c>
      <c r="AX400" s="26">
        <f>IFERROR(__xludf.DUMMYFUNCTION("""COMPUTED_VALUE"""),49.5)</f>
        <v>49.5</v>
      </c>
      <c r="AY400" s="26">
        <f>IFERROR(__xludf.DUMMYFUNCTION("""COMPUTED_VALUE"""),187.54)</f>
        <v>187.54</v>
      </c>
      <c r="AZ400" s="26">
        <f>IFERROR(__xludf.DUMMYFUNCTION("""COMPUTED_VALUE"""),61.69)</f>
        <v>61.69</v>
      </c>
      <c r="BA400" s="26">
        <f>IFERROR(__xludf.DUMMYFUNCTION("""COMPUTED_VALUE"""),25.8)</f>
        <v>25.8</v>
      </c>
      <c r="BB400" s="26">
        <f>IFERROR(__xludf.DUMMYFUNCTION("""COMPUTED_VALUE"""),177.42)</f>
        <v>177.42</v>
      </c>
      <c r="BC400" s="26">
        <f>IFERROR(__xludf.DUMMYFUNCTION("""COMPUTED_VALUE"""),195.33)</f>
        <v>195.33</v>
      </c>
      <c r="BD400" s="26">
        <f>IFERROR(__xludf.DUMMYFUNCTION("""COMPUTED_VALUE"""),578.9)</f>
        <v>578.9</v>
      </c>
      <c r="BE400" s="26">
        <f>IFERROR(__xludf.DUMMYFUNCTION("""COMPUTED_VALUE"""),203.56)</f>
        <v>203.56</v>
      </c>
      <c r="BF400" s="26">
        <f>IFERROR(__xludf.DUMMYFUNCTION("""COMPUTED_VALUE"""),127.62)</f>
        <v>127.62</v>
      </c>
      <c r="BG400" s="26">
        <f>IFERROR(__xludf.DUMMYFUNCTION("""COMPUTED_VALUE"""),4.42)</f>
        <v>4.42</v>
      </c>
      <c r="BH400" s="26">
        <f>IFERROR(__xludf.DUMMYFUNCTION("""COMPUTED_VALUE"""),236.12)</f>
        <v>236.12</v>
      </c>
      <c r="BI400" s="26">
        <f>IFERROR(__xludf.DUMMYFUNCTION("""COMPUTED_VALUE"""),336.73)</f>
        <v>336.73</v>
      </c>
      <c r="BJ400" s="26">
        <f>IFERROR(__xludf.DUMMYFUNCTION("""COMPUTED_VALUE"""),50.13)</f>
        <v>50.13</v>
      </c>
      <c r="BK400" s="26">
        <f>IFERROR(__xludf.DUMMYFUNCTION("""COMPUTED_VALUE"""),11.59)</f>
        <v>11.59</v>
      </c>
      <c r="BL400" s="26">
        <f>IFERROR(__xludf.DUMMYFUNCTION("""COMPUTED_VALUE"""),212.05)</f>
        <v>212.05</v>
      </c>
      <c r="BM400" s="26">
        <f>IFERROR(__xludf.DUMMYFUNCTION("""COMPUTED_VALUE"""),111.46)</f>
        <v>111.46</v>
      </c>
    </row>
    <row r="401">
      <c r="A401" s="25"/>
      <c r="B401" s="17">
        <f>IFERROR(__xludf.DUMMYFUNCTION("""COMPUTED_VALUE"""),6827.41)</f>
        <v>6827.41</v>
      </c>
      <c r="C401" s="17">
        <f>IFERROR(__xludf.DUMMYFUNCTION("""COMPUTED_VALUE"""),23195.17)</f>
        <v>23195.17</v>
      </c>
      <c r="D401" s="17">
        <f>IFERROR(__xludf.DUMMYFUNCTION("""COMPUTED_VALUE"""),48458.05)</f>
        <v>48458.05</v>
      </c>
      <c r="E401" s="17">
        <f>IFERROR(__xludf.DUMMYFUNCTION("""COMPUTED_VALUE"""),2551.46)</f>
        <v>2551.46</v>
      </c>
      <c r="F401" s="26">
        <f>IFERROR(__xludf.DUMMYFUNCTION("""COMPUTED_VALUE"""),356.43)</f>
        <v>356.43</v>
      </c>
      <c r="G401" s="26">
        <f>IFERROR(__xludf.DUMMYFUNCTION("""COMPUTED_VALUE"""),226.19)</f>
        <v>226.19</v>
      </c>
      <c r="H401" s="26">
        <f>IFERROR(__xludf.DUMMYFUNCTION("""COMPUTED_VALUE"""),131.55)</f>
        <v>131.55</v>
      </c>
      <c r="I401" s="26">
        <f>IFERROR(__xludf.DUMMYFUNCTION("""COMPUTED_VALUE"""),278.28)</f>
        <v>278.28</v>
      </c>
      <c r="J401" s="26">
        <f>IFERROR(__xludf.DUMMYFUNCTION("""COMPUTED_VALUE"""),259.21)</f>
        <v>259.21</v>
      </c>
      <c r="K401" s="26">
        <f>IFERROR(__xludf.DUMMYFUNCTION("""COMPUTED_VALUE"""),117.03)</f>
        <v>117.03</v>
      </c>
      <c r="L401" s="26">
        <f>IFERROR(__xludf.DUMMYFUNCTION("""COMPUTED_VALUE"""),23.84)</f>
        <v>23.84</v>
      </c>
      <c r="M401" s="26">
        <f>IFERROR(__xludf.DUMMYFUNCTION("""COMPUTED_VALUE"""),499.52)</f>
        <v>499.52</v>
      </c>
      <c r="N401" s="26">
        <f>IFERROR(__xludf.DUMMYFUNCTION("""COMPUTED_VALUE"""),59.64)</f>
        <v>59.64</v>
      </c>
      <c r="O401" s="26">
        <f>IFERROR(__xludf.DUMMYFUNCTION("""COMPUTED_VALUE"""),174.1)</f>
        <v>174.1</v>
      </c>
      <c r="P401" s="26">
        <f>IFERROR(__xludf.DUMMYFUNCTION("""COMPUTED_VALUE"""),52.94)</f>
        <v>52.94</v>
      </c>
      <c r="Q401" s="26">
        <f>IFERROR(__xludf.DUMMYFUNCTION("""COMPUTED_VALUE"""),597.89)</f>
        <v>597.89</v>
      </c>
      <c r="R401" s="26">
        <f>IFERROR(__xludf.DUMMYFUNCTION("""COMPUTED_VALUE"""),91.49)</f>
        <v>91.49</v>
      </c>
      <c r="S401" s="26">
        <f>IFERROR(__xludf.DUMMYFUNCTION("""COMPUTED_VALUE"""),192.12)</f>
        <v>192.12</v>
      </c>
      <c r="T401" s="26">
        <f>IFERROR(__xludf.DUMMYFUNCTION("""COMPUTED_VALUE"""),149.99)</f>
        <v>149.99</v>
      </c>
      <c r="U401" s="26">
        <f>IFERROR(__xludf.DUMMYFUNCTION("""COMPUTED_VALUE"""),274.7)</f>
        <v>274.7</v>
      </c>
      <c r="V401" s="26">
        <f>IFERROR(__xludf.DUMMYFUNCTION("""COMPUTED_VALUE"""),58.39)</f>
        <v>58.39</v>
      </c>
      <c r="W401" s="26">
        <f>IFERROR(__xludf.DUMMYFUNCTION("""COMPUTED_VALUE"""),70.52)</f>
        <v>70.52</v>
      </c>
      <c r="X401" s="26">
        <f>IFERROR(__xludf.DUMMYFUNCTION("""COMPUTED_VALUE"""),97.53)</f>
        <v>97.53</v>
      </c>
      <c r="Y401" s="26">
        <f>IFERROR(__xludf.DUMMYFUNCTION("""COMPUTED_VALUE"""),153.63)</f>
        <v>153.63</v>
      </c>
      <c r="Z401" s="26">
        <f>IFERROR(__xludf.DUMMYFUNCTION("""COMPUTED_VALUE"""),129.87)</f>
        <v>129.87</v>
      </c>
      <c r="AA401" s="26">
        <f>IFERROR(__xludf.DUMMYFUNCTION("""COMPUTED_VALUE"""),431.73)</f>
        <v>431.73</v>
      </c>
      <c r="AB401" s="26">
        <f>IFERROR(__xludf.DUMMYFUNCTION("""COMPUTED_VALUE"""),85.36)</f>
        <v>85.36</v>
      </c>
      <c r="AC401" s="26">
        <f>IFERROR(__xludf.DUMMYFUNCTION("""COMPUTED_VALUE"""),118.82)</f>
        <v>118.82</v>
      </c>
      <c r="AD401" s="26">
        <f>IFERROR(__xludf.DUMMYFUNCTION("""COMPUTED_VALUE"""),284.34)</f>
        <v>284.34</v>
      </c>
      <c r="AE401" s="26">
        <f>IFERROR(__xludf.DUMMYFUNCTION("""COMPUTED_VALUE"""),367.13)</f>
        <v>367.13</v>
      </c>
      <c r="AF401" s="26">
        <f>IFERROR(__xludf.DUMMYFUNCTION("""COMPUTED_VALUE"""),337.49)</f>
        <v>337.49</v>
      </c>
      <c r="AG401" s="26">
        <f>IFERROR(__xludf.DUMMYFUNCTION("""COMPUTED_VALUE"""),80.89)</f>
        <v>80.89</v>
      </c>
      <c r="AH401" s="26">
        <f>IFERROR(__xludf.DUMMYFUNCTION("""COMPUTED_VALUE"""),120.4)</f>
        <v>120.4</v>
      </c>
      <c r="AI401" s="26">
        <f>IFERROR(__xludf.DUMMYFUNCTION("""COMPUTED_VALUE"""),887.96)</f>
        <v>887.96</v>
      </c>
      <c r="AJ401" s="26">
        <f>IFERROR(__xludf.DUMMYFUNCTION("""COMPUTED_VALUE"""),359.65)</f>
        <v>359.65</v>
      </c>
      <c r="AK401" s="26">
        <f>IFERROR(__xludf.DUMMYFUNCTION("""COMPUTED_VALUE"""),179.51)</f>
        <v>179.51</v>
      </c>
      <c r="AL401" s="26">
        <f>IFERROR(__xludf.DUMMYFUNCTION("""COMPUTED_VALUE"""),163.21)</f>
        <v>163.21</v>
      </c>
      <c r="AM401" s="26">
        <f>IFERROR(__xludf.DUMMYFUNCTION("""COMPUTED_VALUE"""),542.32)</f>
        <v>542.32</v>
      </c>
      <c r="AN401" s="26">
        <f>IFERROR(__xludf.DUMMYFUNCTION("""COMPUTED_VALUE"""),318.52)</f>
        <v>318.52</v>
      </c>
      <c r="AO401" s="26">
        <f>IFERROR(__xludf.DUMMYFUNCTION("""COMPUTED_VALUE"""),480.25)</f>
        <v>480.25</v>
      </c>
      <c r="AP401" s="26">
        <f>IFERROR(__xludf.DUMMYFUNCTION("""COMPUTED_VALUE"""),204.97)</f>
        <v>204.97</v>
      </c>
      <c r="AQ401" s="26">
        <f>IFERROR(__xludf.DUMMYFUNCTION("""COMPUTED_VALUE"""),35.48)</f>
        <v>35.48</v>
      </c>
      <c r="AR401" s="26">
        <f>IFERROR(__xludf.DUMMYFUNCTION("""COMPUTED_VALUE"""),99.87)</f>
        <v>99.87</v>
      </c>
      <c r="AS401" s="26">
        <f>IFERROR(__xludf.DUMMYFUNCTION("""COMPUTED_VALUE"""),82.16)</f>
        <v>82.16</v>
      </c>
      <c r="AT401" s="26">
        <f>IFERROR(__xludf.DUMMYFUNCTION("""COMPUTED_VALUE"""),478.53)</f>
        <v>478.53</v>
      </c>
      <c r="AU401" s="26">
        <f>IFERROR(__xludf.DUMMYFUNCTION("""COMPUTED_VALUE"""),81.65)</f>
        <v>81.65</v>
      </c>
      <c r="AV401" s="26">
        <f>IFERROR(__xludf.DUMMYFUNCTION("""COMPUTED_VALUE"""),175.02)</f>
        <v>175.02</v>
      </c>
      <c r="AW401" s="26">
        <f>IFERROR(__xludf.DUMMYFUNCTION("""COMPUTED_VALUE"""),88.14)</f>
        <v>88.14</v>
      </c>
      <c r="AX401" s="26">
        <f>IFERROR(__xludf.DUMMYFUNCTION("""COMPUTED_VALUE"""),48.76)</f>
        <v>48.76</v>
      </c>
      <c r="AY401" s="26">
        <f>IFERROR(__xludf.DUMMYFUNCTION("""COMPUTED_VALUE"""),183.57)</f>
        <v>183.57</v>
      </c>
      <c r="AZ401" s="26">
        <f>IFERROR(__xludf.DUMMYFUNCTION("""COMPUTED_VALUE"""),61.66)</f>
        <v>61.66</v>
      </c>
      <c r="BA401" s="26">
        <f>IFERROR(__xludf.DUMMYFUNCTION("""COMPUTED_VALUE"""),25.85)</f>
        <v>25.85</v>
      </c>
      <c r="BB401" s="26">
        <f>IFERROR(__xludf.DUMMYFUNCTION("""COMPUTED_VALUE"""),178.66)</f>
        <v>178.66</v>
      </c>
      <c r="BC401" s="26">
        <f>IFERROR(__xludf.DUMMYFUNCTION("""COMPUTED_VALUE"""),195.16)</f>
        <v>195.16</v>
      </c>
      <c r="BD401" s="26">
        <f>IFERROR(__xludf.DUMMYFUNCTION("""COMPUTED_VALUE"""),572.28)</f>
        <v>572.28</v>
      </c>
      <c r="BE401" s="26">
        <f>IFERROR(__xludf.DUMMYFUNCTION("""COMPUTED_VALUE"""),208.12)</f>
        <v>208.12</v>
      </c>
      <c r="BF401" s="26">
        <f>IFERROR(__xludf.DUMMYFUNCTION("""COMPUTED_VALUE"""),126.79)</f>
        <v>126.79</v>
      </c>
      <c r="BG401" s="26">
        <f>IFERROR(__xludf.DUMMYFUNCTION("""COMPUTED_VALUE"""),4.33)</f>
        <v>4.33</v>
      </c>
      <c r="BH401" s="26">
        <f>IFERROR(__xludf.DUMMYFUNCTION("""COMPUTED_VALUE"""),239.95)</f>
        <v>239.95</v>
      </c>
      <c r="BI401" s="26">
        <f>IFERROR(__xludf.DUMMYFUNCTION("""COMPUTED_VALUE"""),341.84)</f>
        <v>341.84</v>
      </c>
      <c r="BJ401" s="26">
        <f>IFERROR(__xludf.DUMMYFUNCTION("""COMPUTED_VALUE"""),50.12)</f>
        <v>50.12</v>
      </c>
      <c r="BK401" s="26">
        <f>IFERROR(__xludf.DUMMYFUNCTION("""COMPUTED_VALUE"""),11.65)</f>
        <v>11.65</v>
      </c>
      <c r="BL401" s="26">
        <f>IFERROR(__xludf.DUMMYFUNCTION("""COMPUTED_VALUE"""),215.61)</f>
        <v>215.61</v>
      </c>
      <c r="BM401" s="26">
        <f>IFERROR(__xludf.DUMMYFUNCTION("""COMPUTED_VALUE"""),111.6)</f>
        <v>111.6</v>
      </c>
    </row>
    <row r="402">
      <c r="A402" s="25"/>
      <c r="B402" s="17">
        <f>IFERROR(__xludf.DUMMYFUNCTION("""COMPUTED_VALUE"""),6816.51)</f>
        <v>6816.51</v>
      </c>
      <c r="C402" s="17">
        <f>IFERROR(__xludf.DUMMYFUNCTION("""COMPUTED_VALUE"""),23057.41)</f>
        <v>23057.41</v>
      </c>
      <c r="D402" s="17">
        <f>IFERROR(__xludf.DUMMYFUNCTION("""COMPUTED_VALUE"""),48416.56)</f>
        <v>48416.56</v>
      </c>
      <c r="E402" s="17">
        <f>IFERROR(__xludf.DUMMYFUNCTION("""COMPUTED_VALUE"""),2530.67)</f>
        <v>2530.67</v>
      </c>
      <c r="F402" s="26">
        <f>IFERROR(__xludf.DUMMYFUNCTION("""COMPUTED_VALUE"""),351.15)</f>
        <v>351.15</v>
      </c>
      <c r="G402" s="26">
        <f>IFERROR(__xludf.DUMMYFUNCTION("""COMPUTED_VALUE"""),222.54)</f>
        <v>222.54</v>
      </c>
      <c r="H402" s="26">
        <f>IFERROR(__xludf.DUMMYFUNCTION("""COMPUTED_VALUE"""),134.13)</f>
        <v>134.13</v>
      </c>
      <c r="I402" s="26">
        <f>IFERROR(__xludf.DUMMYFUNCTION("""COMPUTED_VALUE"""),274.11)</f>
        <v>274.11</v>
      </c>
      <c r="J402" s="26">
        <f>IFERROR(__xludf.DUMMYFUNCTION("""COMPUTED_VALUE"""),261.27)</f>
        <v>261.27</v>
      </c>
      <c r="K402" s="26">
        <f>IFERROR(__xludf.DUMMYFUNCTION("""COMPUTED_VALUE"""),116.96)</f>
        <v>116.96</v>
      </c>
      <c r="L402" s="26">
        <f>IFERROR(__xludf.DUMMYFUNCTION("""COMPUTED_VALUE"""),24.34)</f>
        <v>24.34</v>
      </c>
      <c r="M402" s="26">
        <f>IFERROR(__xludf.DUMMYFUNCTION("""COMPUTED_VALUE"""),506.38)</f>
        <v>506.38</v>
      </c>
      <c r="N402" s="26">
        <f>IFERROR(__xludf.DUMMYFUNCTION("""COMPUTED_VALUE"""),59.19)</f>
        <v>59.19</v>
      </c>
      <c r="O402" s="26">
        <f>IFERROR(__xludf.DUMMYFUNCTION("""COMPUTED_VALUE"""),175.74)</f>
        <v>175.74</v>
      </c>
      <c r="P402" s="26">
        <f>IFERROR(__xludf.DUMMYFUNCTION("""COMPUTED_VALUE"""),52.58)</f>
        <v>52.58</v>
      </c>
      <c r="Q402" s="26">
        <f>IFERROR(__xludf.DUMMYFUNCTION("""COMPUTED_VALUE"""),589.76)</f>
        <v>589.76</v>
      </c>
      <c r="R402" s="26">
        <f>IFERROR(__xludf.DUMMYFUNCTION("""COMPUTED_VALUE"""),89.78)</f>
        <v>89.78</v>
      </c>
      <c r="S402" s="26">
        <f>IFERROR(__xludf.DUMMYFUNCTION("""COMPUTED_VALUE"""),187.29)</f>
        <v>187.29</v>
      </c>
      <c r="T402" s="26">
        <f>IFERROR(__xludf.DUMMYFUNCTION("""COMPUTED_VALUE"""),149.8)</f>
        <v>149.8</v>
      </c>
      <c r="U402" s="26">
        <f>IFERROR(__xludf.DUMMYFUNCTION("""COMPUTED_VALUE"""),277.15)</f>
        <v>277.15</v>
      </c>
      <c r="V402" s="26">
        <f>IFERROR(__xludf.DUMMYFUNCTION("""COMPUTED_VALUE"""),58.44)</f>
        <v>58.44</v>
      </c>
      <c r="W402" s="26">
        <f>IFERROR(__xludf.DUMMYFUNCTION("""COMPUTED_VALUE"""),70.97)</f>
        <v>70.97</v>
      </c>
      <c r="X402" s="26">
        <f>IFERROR(__xludf.DUMMYFUNCTION("""COMPUTED_VALUE"""),99.39)</f>
        <v>99.39</v>
      </c>
      <c r="Y402" s="26">
        <f>IFERROR(__xludf.DUMMYFUNCTION("""COMPUTED_VALUE"""),152.89)</f>
        <v>152.89</v>
      </c>
      <c r="Z402" s="26">
        <f>IFERROR(__xludf.DUMMYFUNCTION("""COMPUTED_VALUE"""),131.17)</f>
        <v>131.17</v>
      </c>
      <c r="AA402" s="26">
        <f>IFERROR(__xludf.DUMMYFUNCTION("""COMPUTED_VALUE"""),437.5)</f>
        <v>437.5</v>
      </c>
      <c r="AB402" s="26">
        <f>IFERROR(__xludf.DUMMYFUNCTION("""COMPUTED_VALUE"""),82.59)</f>
        <v>82.59</v>
      </c>
      <c r="AC402" s="26">
        <f>IFERROR(__xludf.DUMMYFUNCTION("""COMPUTED_VALUE"""),117.76)</f>
        <v>117.76</v>
      </c>
      <c r="AD402" s="26">
        <f>IFERROR(__xludf.DUMMYFUNCTION("""COMPUTED_VALUE"""),281.23)</f>
        <v>281.23</v>
      </c>
      <c r="AE402" s="26">
        <f>IFERROR(__xludf.DUMMYFUNCTION("""COMPUTED_VALUE"""),368.6)</f>
        <v>368.6</v>
      </c>
      <c r="AF402" s="26">
        <f>IFERROR(__xludf.DUMMYFUNCTION("""COMPUTED_VALUE"""),340.69)</f>
        <v>340.69</v>
      </c>
      <c r="AG402" s="26">
        <f>IFERROR(__xludf.DUMMYFUNCTION("""COMPUTED_VALUE"""),81.98)</f>
        <v>81.98</v>
      </c>
      <c r="AH402" s="26">
        <f>IFERROR(__xludf.DUMMYFUNCTION("""COMPUTED_VALUE"""),119.78)</f>
        <v>119.78</v>
      </c>
      <c r="AI402" s="26">
        <f>IFERROR(__xludf.DUMMYFUNCTION("""COMPUTED_VALUE"""),889.59)</f>
        <v>889.59</v>
      </c>
      <c r="AJ402" s="26">
        <f>IFERROR(__xludf.DUMMYFUNCTION("""COMPUTED_VALUE"""),356.99)</f>
        <v>356.99</v>
      </c>
      <c r="AK402" s="26">
        <f>IFERROR(__xludf.DUMMYFUNCTION("""COMPUTED_VALUE"""),178.4)</f>
        <v>178.4</v>
      </c>
      <c r="AL402" s="26">
        <f>IFERROR(__xludf.DUMMYFUNCTION("""COMPUTED_VALUE"""),161.4)</f>
        <v>161.4</v>
      </c>
      <c r="AM402" s="26">
        <f>IFERROR(__xludf.DUMMYFUNCTION("""COMPUTED_VALUE"""),559.52)</f>
        <v>559.52</v>
      </c>
      <c r="AN402" s="26">
        <f>IFERROR(__xludf.DUMMYFUNCTION("""COMPUTED_VALUE"""),320.02)</f>
        <v>320.02</v>
      </c>
      <c r="AO402" s="26">
        <f>IFERROR(__xludf.DUMMYFUNCTION("""COMPUTED_VALUE"""),484.42)</f>
        <v>484.42</v>
      </c>
      <c r="AP402" s="26">
        <f>IFERROR(__xludf.DUMMYFUNCTION("""COMPUTED_VALUE"""),206.29)</f>
        <v>206.29</v>
      </c>
      <c r="AQ402" s="26">
        <f>IFERROR(__xludf.DUMMYFUNCTION("""COMPUTED_VALUE"""),35.76)</f>
        <v>35.76</v>
      </c>
      <c r="AR402" s="26">
        <f>IFERROR(__xludf.DUMMYFUNCTION("""COMPUTED_VALUE"""),98.57)</f>
        <v>98.57</v>
      </c>
      <c r="AS402" s="26">
        <f>IFERROR(__xludf.DUMMYFUNCTION("""COMPUTED_VALUE"""),82.61)</f>
        <v>82.61</v>
      </c>
      <c r="AT402" s="26">
        <f>IFERROR(__xludf.DUMMYFUNCTION("""COMPUTED_VALUE"""),474.82)</f>
        <v>474.82</v>
      </c>
      <c r="AU402" s="26">
        <f>IFERROR(__xludf.DUMMYFUNCTION("""COMPUTED_VALUE"""),81.65)</f>
        <v>81.65</v>
      </c>
      <c r="AV402" s="26">
        <f>IFERROR(__xludf.DUMMYFUNCTION("""COMPUTED_VALUE"""),176.29)</f>
        <v>176.29</v>
      </c>
      <c r="AW402" s="26">
        <f>IFERROR(__xludf.DUMMYFUNCTION("""COMPUTED_VALUE"""),88.57)</f>
        <v>88.57</v>
      </c>
      <c r="AX402" s="26">
        <f>IFERROR(__xludf.DUMMYFUNCTION("""COMPUTED_VALUE"""),47.79)</f>
        <v>47.79</v>
      </c>
      <c r="AY402" s="26">
        <f>IFERROR(__xludf.DUMMYFUNCTION("""COMPUTED_VALUE"""),183.25)</f>
        <v>183.25</v>
      </c>
      <c r="AZ402" s="26">
        <f>IFERROR(__xludf.DUMMYFUNCTION("""COMPUTED_VALUE"""),60.74)</f>
        <v>60.74</v>
      </c>
      <c r="BA402" s="26">
        <f>IFERROR(__xludf.DUMMYFUNCTION("""COMPUTED_VALUE"""),26.43)</f>
        <v>26.43</v>
      </c>
      <c r="BB402" s="26">
        <f>IFERROR(__xludf.DUMMYFUNCTION("""COMPUTED_VALUE"""),182.11)</f>
        <v>182.11</v>
      </c>
      <c r="BC402" s="26">
        <f>IFERROR(__xludf.DUMMYFUNCTION("""COMPUTED_VALUE"""),196.16)</f>
        <v>196.16</v>
      </c>
      <c r="BD402" s="26">
        <f>IFERROR(__xludf.DUMMYFUNCTION("""COMPUTED_VALUE"""),575.91)</f>
        <v>575.91</v>
      </c>
      <c r="BE402" s="26">
        <f>IFERROR(__xludf.DUMMYFUNCTION("""COMPUTED_VALUE"""),214.81)</f>
        <v>214.81</v>
      </c>
      <c r="BF402" s="26">
        <f>IFERROR(__xludf.DUMMYFUNCTION("""COMPUTED_VALUE"""),123.15)</f>
        <v>123.15</v>
      </c>
      <c r="BG402" s="26">
        <f>IFERROR(__xludf.DUMMYFUNCTION("""COMPUTED_VALUE"""),4.3)</f>
        <v>4.3</v>
      </c>
      <c r="BH402" s="26">
        <f>IFERROR(__xludf.DUMMYFUNCTION("""COMPUTED_VALUE"""),240.47)</f>
        <v>240.47</v>
      </c>
      <c r="BI402" s="26">
        <f>IFERROR(__xludf.DUMMYFUNCTION("""COMPUTED_VALUE"""),341.1)</f>
        <v>341.1</v>
      </c>
      <c r="BJ402" s="26">
        <f>IFERROR(__xludf.DUMMYFUNCTION("""COMPUTED_VALUE"""),50.11)</f>
        <v>50.11</v>
      </c>
      <c r="BK402" s="26">
        <f>IFERROR(__xludf.DUMMYFUNCTION("""COMPUTED_VALUE"""),11.66)</f>
        <v>11.66</v>
      </c>
      <c r="BL402" s="26">
        <f>IFERROR(__xludf.DUMMYFUNCTION("""COMPUTED_VALUE"""),218.32)</f>
        <v>218.32</v>
      </c>
      <c r="BM402" s="26">
        <f>IFERROR(__xludf.DUMMYFUNCTION("""COMPUTED_VALUE"""),110.49)</f>
        <v>110.49</v>
      </c>
    </row>
    <row r="403">
      <c r="A403" s="25"/>
      <c r="B403" s="17">
        <f>IFERROR(__xludf.DUMMYFUNCTION("""COMPUTED_VALUE"""),6800.26)</f>
        <v>6800.26</v>
      </c>
      <c r="C403" s="17">
        <f>IFERROR(__xludf.DUMMYFUNCTION("""COMPUTED_VALUE"""),23111.46)</f>
        <v>23111.46</v>
      </c>
      <c r="D403" s="17">
        <f>IFERROR(__xludf.DUMMYFUNCTION("""COMPUTED_VALUE"""),48114.26)</f>
        <v>48114.26</v>
      </c>
      <c r="E403" s="17">
        <f>IFERROR(__xludf.DUMMYFUNCTION("""COMPUTED_VALUE"""),2519.3)</f>
        <v>2519.3</v>
      </c>
      <c r="F403" s="26">
        <f>IFERROR(__xludf.DUMMYFUNCTION("""COMPUTED_VALUE"""),347.89)</f>
        <v>347.89</v>
      </c>
      <c r="G403" s="26">
        <f>IFERROR(__xludf.DUMMYFUNCTION("""COMPUTED_VALUE"""),222.56)</f>
        <v>222.56</v>
      </c>
      <c r="H403" s="26">
        <f>IFERROR(__xludf.DUMMYFUNCTION("""COMPUTED_VALUE"""),132.72)</f>
        <v>132.72</v>
      </c>
      <c r="I403" s="26">
        <f>IFERROR(__xludf.DUMMYFUNCTION("""COMPUTED_VALUE"""),274.61)</f>
        <v>274.61</v>
      </c>
      <c r="J403" s="26">
        <f>IFERROR(__xludf.DUMMYFUNCTION("""COMPUTED_VALUE"""),258.84)</f>
        <v>258.84</v>
      </c>
      <c r="K403" s="26">
        <f>IFERROR(__xludf.DUMMYFUNCTION("""COMPUTED_VALUE"""),114.35)</f>
        <v>114.35</v>
      </c>
      <c r="L403" s="26">
        <f>IFERROR(__xludf.DUMMYFUNCTION("""COMPUTED_VALUE"""),24.26)</f>
        <v>24.26</v>
      </c>
      <c r="M403" s="26">
        <f>IFERROR(__xludf.DUMMYFUNCTION("""COMPUTED_VALUE"""),499.84)</f>
        <v>499.84</v>
      </c>
      <c r="N403" s="26">
        <f>IFERROR(__xludf.DUMMYFUNCTION("""COMPUTED_VALUE"""),58.62)</f>
        <v>58.62</v>
      </c>
      <c r="O403" s="26">
        <f>IFERROR(__xludf.DUMMYFUNCTION("""COMPUTED_VALUE"""),171.5)</f>
        <v>171.5</v>
      </c>
      <c r="P403" s="26">
        <f>IFERROR(__xludf.DUMMYFUNCTION("""COMPUTED_VALUE"""),53.44)</f>
        <v>53.44</v>
      </c>
      <c r="Q403" s="26">
        <f>IFERROR(__xludf.DUMMYFUNCTION("""COMPUTED_VALUE"""),588.93)</f>
        <v>588.93</v>
      </c>
      <c r="R403" s="26">
        <f>IFERROR(__xludf.DUMMYFUNCTION("""COMPUTED_VALUE"""),87.05)</f>
        <v>87.05</v>
      </c>
      <c r="S403" s="26">
        <f>IFERROR(__xludf.DUMMYFUNCTION("""COMPUTED_VALUE"""),188.19)</f>
        <v>188.19</v>
      </c>
      <c r="T403" s="26">
        <f>IFERROR(__xludf.DUMMYFUNCTION("""COMPUTED_VALUE"""),146.75)</f>
        <v>146.75</v>
      </c>
      <c r="U403" s="26">
        <f>IFERROR(__xludf.DUMMYFUNCTION("""COMPUTED_VALUE"""),276.11)</f>
        <v>276.11</v>
      </c>
      <c r="V403" s="26">
        <f>IFERROR(__xludf.DUMMYFUNCTION("""COMPUTED_VALUE"""),58.14)</f>
        <v>58.14</v>
      </c>
      <c r="W403" s="26">
        <f>IFERROR(__xludf.DUMMYFUNCTION("""COMPUTED_VALUE"""),70.37)</f>
        <v>70.37</v>
      </c>
      <c r="X403" s="26">
        <f>IFERROR(__xludf.DUMMYFUNCTION("""COMPUTED_VALUE"""),98.9)</f>
        <v>98.9</v>
      </c>
      <c r="Y403" s="26">
        <f>IFERROR(__xludf.DUMMYFUNCTION("""COMPUTED_VALUE"""),150.28)</f>
        <v>150.28</v>
      </c>
      <c r="Z403" s="26">
        <f>IFERROR(__xludf.DUMMYFUNCTION("""COMPUTED_VALUE"""),131.15)</f>
        <v>131.15</v>
      </c>
      <c r="AA403" s="26">
        <f>IFERROR(__xludf.DUMMYFUNCTION("""COMPUTED_VALUE"""),433.9)</f>
        <v>433.9</v>
      </c>
      <c r="AB403" s="26">
        <f>IFERROR(__xludf.DUMMYFUNCTION("""COMPUTED_VALUE"""),81.67)</f>
        <v>81.67</v>
      </c>
      <c r="AC403" s="26">
        <f>IFERROR(__xludf.DUMMYFUNCTION("""COMPUTED_VALUE"""),114.68)</f>
        <v>114.68</v>
      </c>
      <c r="AD403" s="26">
        <f>IFERROR(__xludf.DUMMYFUNCTION("""COMPUTED_VALUE"""),282.46)</f>
        <v>282.46</v>
      </c>
      <c r="AE403" s="26">
        <f>IFERROR(__xludf.DUMMYFUNCTION("""COMPUTED_VALUE"""),370.42)</f>
        <v>370.42</v>
      </c>
      <c r="AF403" s="26">
        <f>IFERROR(__xludf.DUMMYFUNCTION("""COMPUTED_VALUE"""),337.49)</f>
        <v>337.49</v>
      </c>
      <c r="AG403" s="26">
        <f>IFERROR(__xludf.DUMMYFUNCTION("""COMPUTED_VALUE"""),81.76)</f>
        <v>81.76</v>
      </c>
      <c r="AH403" s="26">
        <f>IFERROR(__xludf.DUMMYFUNCTION("""COMPUTED_VALUE"""),118.78)</f>
        <v>118.78</v>
      </c>
      <c r="AI403" s="26">
        <f>IFERROR(__xludf.DUMMYFUNCTION("""COMPUTED_VALUE"""),879.15)</f>
        <v>879.15</v>
      </c>
      <c r="AJ403" s="26">
        <f>IFERROR(__xludf.DUMMYFUNCTION("""COMPUTED_VALUE"""),352.68)</f>
        <v>352.68</v>
      </c>
      <c r="AK403" s="26">
        <f>IFERROR(__xludf.DUMMYFUNCTION("""COMPUTED_VALUE"""),179.14)</f>
        <v>179.14</v>
      </c>
      <c r="AL403" s="26">
        <f>IFERROR(__xludf.DUMMYFUNCTION("""COMPUTED_VALUE"""),160.05)</f>
        <v>160.05</v>
      </c>
      <c r="AM403" s="26">
        <f>IFERROR(__xludf.DUMMYFUNCTION("""COMPUTED_VALUE"""),554.58)</f>
        <v>554.58</v>
      </c>
      <c r="AN403" s="26">
        <f>IFERROR(__xludf.DUMMYFUNCTION("""COMPUTED_VALUE"""),315.55)</f>
        <v>315.55</v>
      </c>
      <c r="AO403" s="26">
        <f>IFERROR(__xludf.DUMMYFUNCTION("""COMPUTED_VALUE"""),477.06)</f>
        <v>477.06</v>
      </c>
      <c r="AP403" s="26">
        <f>IFERROR(__xludf.DUMMYFUNCTION("""COMPUTED_VALUE"""),206.74)</f>
        <v>206.74</v>
      </c>
      <c r="AQ403" s="26">
        <f>IFERROR(__xludf.DUMMYFUNCTION("""COMPUTED_VALUE"""),35.92)</f>
        <v>35.92</v>
      </c>
      <c r="AR403" s="26">
        <f>IFERROR(__xludf.DUMMYFUNCTION("""COMPUTED_VALUE"""),97.72)</f>
        <v>97.72</v>
      </c>
      <c r="AS403" s="26">
        <f>IFERROR(__xludf.DUMMYFUNCTION("""COMPUTED_VALUE"""),82.28)</f>
        <v>82.28</v>
      </c>
      <c r="AT403" s="26">
        <f>IFERROR(__xludf.DUMMYFUNCTION("""COMPUTED_VALUE"""),476.39)</f>
        <v>476.39</v>
      </c>
      <c r="AU403" s="26">
        <f>IFERROR(__xludf.DUMMYFUNCTION("""COMPUTED_VALUE"""),81.32)</f>
        <v>81.32</v>
      </c>
      <c r="AV403" s="26">
        <f>IFERROR(__xludf.DUMMYFUNCTION("""COMPUTED_VALUE"""),177.72)</f>
        <v>177.72</v>
      </c>
      <c r="AW403" s="26">
        <f>IFERROR(__xludf.DUMMYFUNCTION("""COMPUTED_VALUE"""),87.96)</f>
        <v>87.96</v>
      </c>
      <c r="AX403" s="26">
        <f>IFERROR(__xludf.DUMMYFUNCTION("""COMPUTED_VALUE"""),48.29)</f>
        <v>48.29</v>
      </c>
      <c r="AY403" s="26">
        <f>IFERROR(__xludf.DUMMYFUNCTION("""COMPUTED_VALUE"""),187.75)</f>
        <v>187.75</v>
      </c>
      <c r="AZ403" s="26">
        <f>IFERROR(__xludf.DUMMYFUNCTION("""COMPUTED_VALUE"""),61.33)</f>
        <v>61.33</v>
      </c>
      <c r="BA403" s="26">
        <f>IFERROR(__xludf.DUMMYFUNCTION("""COMPUTED_VALUE"""),25.53)</f>
        <v>25.53</v>
      </c>
      <c r="BB403" s="26">
        <f>IFERROR(__xludf.DUMMYFUNCTION("""COMPUTED_VALUE"""),179.93)</f>
        <v>179.93</v>
      </c>
      <c r="BC403" s="26">
        <f>IFERROR(__xludf.DUMMYFUNCTION("""COMPUTED_VALUE"""),198.0)</f>
        <v>198</v>
      </c>
      <c r="BD403" s="26">
        <f>IFERROR(__xludf.DUMMYFUNCTION("""COMPUTED_VALUE"""),570.16)</f>
        <v>570.16</v>
      </c>
      <c r="BE403" s="26">
        <f>IFERROR(__xludf.DUMMYFUNCTION("""COMPUTED_VALUE"""),214.42)</f>
        <v>214.42</v>
      </c>
      <c r="BF403" s="26">
        <f>IFERROR(__xludf.DUMMYFUNCTION("""COMPUTED_VALUE"""),125.04)</f>
        <v>125.04</v>
      </c>
      <c r="BG403" s="26">
        <f>IFERROR(__xludf.DUMMYFUNCTION("""COMPUTED_VALUE"""),4.35)</f>
        <v>4.35</v>
      </c>
      <c r="BH403" s="26">
        <f>IFERROR(__xludf.DUMMYFUNCTION("""COMPUTED_VALUE"""),235.88)</f>
        <v>235.88</v>
      </c>
      <c r="BI403" s="26">
        <f>IFERROR(__xludf.DUMMYFUNCTION("""COMPUTED_VALUE"""),334.2)</f>
        <v>334.2</v>
      </c>
      <c r="BJ403" s="26">
        <f>IFERROR(__xludf.DUMMYFUNCTION("""COMPUTED_VALUE"""),50.09)</f>
        <v>50.09</v>
      </c>
      <c r="BK403" s="26">
        <f>IFERROR(__xludf.DUMMYFUNCTION("""COMPUTED_VALUE"""),11.46)</f>
        <v>11.46</v>
      </c>
      <c r="BL403" s="26">
        <f>IFERROR(__xludf.DUMMYFUNCTION("""COMPUTED_VALUE"""),218.9)</f>
        <v>218.9</v>
      </c>
      <c r="BM403" s="26">
        <f>IFERROR(__xludf.DUMMYFUNCTION("""COMPUTED_VALUE"""),111.62)</f>
        <v>111.62</v>
      </c>
    </row>
    <row r="404">
      <c r="A404" s="25"/>
      <c r="B404" s="17">
        <f>IFERROR(__xludf.DUMMYFUNCTION("""COMPUTED_VALUE"""),6721.43)</f>
        <v>6721.43</v>
      </c>
      <c r="C404" s="17">
        <f>IFERROR(__xludf.DUMMYFUNCTION("""COMPUTED_VALUE"""),22693.32)</f>
        <v>22693.32</v>
      </c>
      <c r="D404" s="17">
        <f>IFERROR(__xludf.DUMMYFUNCTION("""COMPUTED_VALUE"""),47885.97)</f>
        <v>47885.97</v>
      </c>
      <c r="E404" s="17">
        <f>IFERROR(__xludf.DUMMYFUNCTION("""COMPUTED_VALUE"""),2492.29)</f>
        <v>2492.29</v>
      </c>
      <c r="F404" s="26">
        <f>IFERROR(__xludf.DUMMYFUNCTION("""COMPUTED_VALUE"""),354.66)</f>
        <v>354.66</v>
      </c>
      <c r="G404" s="26">
        <f>IFERROR(__xludf.DUMMYFUNCTION("""COMPUTED_VALUE"""),221.27)</f>
        <v>221.27</v>
      </c>
      <c r="H404" s="26">
        <f>IFERROR(__xludf.DUMMYFUNCTION("""COMPUTED_VALUE"""),134.01)</f>
        <v>134.01</v>
      </c>
      <c r="I404" s="26">
        <f>IFERROR(__xludf.DUMMYFUNCTION("""COMPUTED_VALUE"""),271.84)</f>
        <v>271.84</v>
      </c>
      <c r="J404" s="26">
        <f>IFERROR(__xludf.DUMMYFUNCTION("""COMPUTED_VALUE"""),248.27)</f>
        <v>248.27</v>
      </c>
      <c r="K404" s="26">
        <f>IFERROR(__xludf.DUMMYFUNCTION("""COMPUTED_VALUE"""),113.56)</f>
        <v>113.56</v>
      </c>
      <c r="L404" s="26">
        <f>IFERROR(__xludf.DUMMYFUNCTION("""COMPUTED_VALUE"""),24.37)</f>
        <v>24.37</v>
      </c>
      <c r="M404" s="26">
        <f>IFERROR(__xludf.DUMMYFUNCTION("""COMPUTED_VALUE"""),504.27)</f>
        <v>504.27</v>
      </c>
      <c r="N404" s="26">
        <f>IFERROR(__xludf.DUMMYFUNCTION("""COMPUTED_VALUE"""),59.05)</f>
        <v>59.05</v>
      </c>
      <c r="O404" s="26">
        <f>IFERROR(__xludf.DUMMYFUNCTION("""COMPUTED_VALUE"""),172.1)</f>
        <v>172.1</v>
      </c>
      <c r="P404" s="26">
        <f>IFERROR(__xludf.DUMMYFUNCTION("""COMPUTED_VALUE"""),52.4)</f>
        <v>52.4</v>
      </c>
      <c r="Q404" s="26">
        <f>IFERROR(__xludf.DUMMYFUNCTION("""COMPUTED_VALUE"""),561.89)</f>
        <v>561.89</v>
      </c>
      <c r="R404" s="26">
        <f>IFERROR(__xludf.DUMMYFUNCTION("""COMPUTED_VALUE"""),84.85)</f>
        <v>84.85</v>
      </c>
      <c r="S404" s="26">
        <f>IFERROR(__xludf.DUMMYFUNCTION("""COMPUTED_VALUE"""),187.34)</f>
        <v>187.34</v>
      </c>
      <c r="T404" s="26">
        <f>IFERROR(__xludf.DUMMYFUNCTION("""COMPUTED_VALUE"""),149.52)</f>
        <v>149.52</v>
      </c>
      <c r="U404" s="26">
        <f>IFERROR(__xludf.DUMMYFUNCTION("""COMPUTED_VALUE"""),273.84)</f>
        <v>273.84</v>
      </c>
      <c r="V404" s="26">
        <f>IFERROR(__xludf.DUMMYFUNCTION("""COMPUTED_VALUE"""),58.61)</f>
        <v>58.61</v>
      </c>
      <c r="W404" s="26">
        <f>IFERROR(__xludf.DUMMYFUNCTION("""COMPUTED_VALUE"""),70.67)</f>
        <v>70.67</v>
      </c>
      <c r="X404" s="26">
        <f>IFERROR(__xludf.DUMMYFUNCTION("""COMPUTED_VALUE"""),100.21)</f>
        <v>100.21</v>
      </c>
      <c r="Y404" s="26">
        <f>IFERROR(__xludf.DUMMYFUNCTION("""COMPUTED_VALUE"""),148.39)</f>
        <v>148.39</v>
      </c>
      <c r="Z404" s="26">
        <f>IFERROR(__xludf.DUMMYFUNCTION("""COMPUTED_VALUE"""),128.35)</f>
        <v>128.35</v>
      </c>
      <c r="AA404" s="26">
        <f>IFERROR(__xludf.DUMMYFUNCTION("""COMPUTED_VALUE"""),438.42)</f>
        <v>438.42</v>
      </c>
      <c r="AB404" s="26">
        <f>IFERROR(__xludf.DUMMYFUNCTION("""COMPUTED_VALUE"""),82.71)</f>
        <v>82.71</v>
      </c>
      <c r="AC404" s="26">
        <f>IFERROR(__xludf.DUMMYFUNCTION("""COMPUTED_VALUE"""),117.41)</f>
        <v>117.41</v>
      </c>
      <c r="AD404" s="26">
        <f>IFERROR(__xludf.DUMMYFUNCTION("""COMPUTED_VALUE"""),282.21)</f>
        <v>282.21</v>
      </c>
      <c r="AE404" s="26">
        <f>IFERROR(__xludf.DUMMYFUNCTION("""COMPUTED_VALUE"""),365.51)</f>
        <v>365.51</v>
      </c>
      <c r="AF404" s="26">
        <f>IFERROR(__xludf.DUMMYFUNCTION("""COMPUTED_VALUE"""),336.41)</f>
        <v>336.41</v>
      </c>
      <c r="AG404" s="26">
        <f>IFERROR(__xludf.DUMMYFUNCTION("""COMPUTED_VALUE"""),80.51)</f>
        <v>80.51</v>
      </c>
      <c r="AH404" s="26">
        <f>IFERROR(__xludf.DUMMYFUNCTION("""COMPUTED_VALUE"""),121.36)</f>
        <v>121.36</v>
      </c>
      <c r="AI404" s="26">
        <f>IFERROR(__xludf.DUMMYFUNCTION("""COMPUTED_VALUE"""),872.33)</f>
        <v>872.33</v>
      </c>
      <c r="AJ404" s="26">
        <f>IFERROR(__xludf.DUMMYFUNCTION("""COMPUTED_VALUE"""),356.75)</f>
        <v>356.75</v>
      </c>
      <c r="AK404" s="26">
        <f>IFERROR(__xludf.DUMMYFUNCTION("""COMPUTED_VALUE"""),179.7)</f>
        <v>179.7</v>
      </c>
      <c r="AL404" s="26">
        <f>IFERROR(__xludf.DUMMYFUNCTION("""COMPUTED_VALUE"""),160.86)</f>
        <v>160.86</v>
      </c>
      <c r="AM404" s="26">
        <f>IFERROR(__xludf.DUMMYFUNCTION("""COMPUTED_VALUE"""),556.86)</f>
        <v>556.86</v>
      </c>
      <c r="AN404" s="26">
        <f>IFERROR(__xludf.DUMMYFUNCTION("""COMPUTED_VALUE"""),314.98)</f>
        <v>314.98</v>
      </c>
      <c r="AO404" s="26">
        <f>IFERROR(__xludf.DUMMYFUNCTION("""COMPUTED_VALUE"""),474.79)</f>
        <v>474.79</v>
      </c>
      <c r="AP404" s="26">
        <f>IFERROR(__xludf.DUMMYFUNCTION("""COMPUTED_VALUE"""),207.87)</f>
        <v>207.87</v>
      </c>
      <c r="AQ404" s="26">
        <f>IFERROR(__xludf.DUMMYFUNCTION("""COMPUTED_VALUE"""),35.63)</f>
        <v>35.63</v>
      </c>
      <c r="AR404" s="26">
        <f>IFERROR(__xludf.DUMMYFUNCTION("""COMPUTED_VALUE"""),98.3)</f>
        <v>98.3</v>
      </c>
      <c r="AS404" s="26">
        <f>IFERROR(__xludf.DUMMYFUNCTION("""COMPUTED_VALUE"""),82.53)</f>
        <v>82.53</v>
      </c>
      <c r="AT404" s="26">
        <f>IFERROR(__xludf.DUMMYFUNCTION("""COMPUTED_VALUE"""),476.12)</f>
        <v>476.12</v>
      </c>
      <c r="AU404" s="26">
        <f>IFERROR(__xludf.DUMMYFUNCTION("""COMPUTED_VALUE"""),80.29)</f>
        <v>80.29</v>
      </c>
      <c r="AV404" s="26">
        <f>IFERROR(__xludf.DUMMYFUNCTION("""COMPUTED_VALUE"""),170.94)</f>
        <v>170.94</v>
      </c>
      <c r="AW404" s="26">
        <f>IFERROR(__xludf.DUMMYFUNCTION("""COMPUTED_VALUE"""),89.0)</f>
        <v>89</v>
      </c>
      <c r="AX404" s="26">
        <f>IFERROR(__xludf.DUMMYFUNCTION("""COMPUTED_VALUE"""),48.1)</f>
        <v>48.1</v>
      </c>
      <c r="AY404" s="26">
        <f>IFERROR(__xludf.DUMMYFUNCTION("""COMPUTED_VALUE"""),177.29)</f>
        <v>177.29</v>
      </c>
      <c r="AZ404" s="26">
        <f>IFERROR(__xludf.DUMMYFUNCTION("""COMPUTED_VALUE"""),60.18)</f>
        <v>60.18</v>
      </c>
      <c r="BA404" s="26">
        <f>IFERROR(__xludf.DUMMYFUNCTION("""COMPUTED_VALUE"""),25.04)</f>
        <v>25.04</v>
      </c>
      <c r="BB404" s="26">
        <f>IFERROR(__xludf.DUMMYFUNCTION("""COMPUTED_VALUE"""),177.2)</f>
        <v>177.2</v>
      </c>
      <c r="BC404" s="26">
        <f>IFERROR(__xludf.DUMMYFUNCTION("""COMPUTED_VALUE"""),199.38)</f>
        <v>199.38</v>
      </c>
      <c r="BD404" s="26">
        <f>IFERROR(__xludf.DUMMYFUNCTION("""COMPUTED_VALUE"""),562.56)</f>
        <v>562.56</v>
      </c>
      <c r="BE404" s="26">
        <f>IFERROR(__xludf.DUMMYFUNCTION("""COMPUTED_VALUE"""),214.24)</f>
        <v>214.24</v>
      </c>
      <c r="BF404" s="26">
        <f>IFERROR(__xludf.DUMMYFUNCTION("""COMPUTED_VALUE"""),121.93)</f>
        <v>121.93</v>
      </c>
      <c r="BG404" s="26">
        <f>IFERROR(__xludf.DUMMYFUNCTION("""COMPUTED_VALUE"""),4.37)</f>
        <v>4.37</v>
      </c>
      <c r="BH404" s="26">
        <f>IFERROR(__xludf.DUMMYFUNCTION("""COMPUTED_VALUE"""),236.74)</f>
        <v>236.74</v>
      </c>
      <c r="BI404" s="26">
        <f>IFERROR(__xludf.DUMMYFUNCTION("""COMPUTED_VALUE"""),331.63)</f>
        <v>331.63</v>
      </c>
      <c r="BJ404" s="26">
        <f>IFERROR(__xludf.DUMMYFUNCTION("""COMPUTED_VALUE"""),50.12)</f>
        <v>50.12</v>
      </c>
      <c r="BK404" s="26">
        <f>IFERROR(__xludf.DUMMYFUNCTION("""COMPUTED_VALUE"""),11.7)</f>
        <v>11.7</v>
      </c>
      <c r="BL404" s="26">
        <f>IFERROR(__xludf.DUMMYFUNCTION("""COMPUTED_VALUE"""),219.77)</f>
        <v>219.77</v>
      </c>
      <c r="BM404" s="26">
        <f>IFERROR(__xludf.DUMMYFUNCTION("""COMPUTED_VALUE"""),110.63)</f>
        <v>110.63</v>
      </c>
    </row>
    <row r="405">
      <c r="A405" s="25"/>
      <c r="B405" s="17">
        <f>IFERROR(__xludf.DUMMYFUNCTION("""COMPUTED_VALUE"""),6774.76)</f>
        <v>6774.76</v>
      </c>
      <c r="C405" s="17">
        <f>IFERROR(__xludf.DUMMYFUNCTION("""COMPUTED_VALUE"""),23006.36)</f>
        <v>23006.36</v>
      </c>
      <c r="D405" s="17">
        <f>IFERROR(__xludf.DUMMYFUNCTION("""COMPUTED_VALUE"""),47951.85)</f>
        <v>47951.85</v>
      </c>
      <c r="E405" s="17">
        <f>IFERROR(__xludf.DUMMYFUNCTION("""COMPUTED_VALUE"""),2507.87)</f>
        <v>2507.87</v>
      </c>
      <c r="F405" s="26">
        <f>IFERROR(__xludf.DUMMYFUNCTION("""COMPUTED_VALUE"""),355.81)</f>
        <v>355.81</v>
      </c>
      <c r="G405" s="26">
        <f>IFERROR(__xludf.DUMMYFUNCTION("""COMPUTED_VALUE"""),226.76)</f>
        <v>226.76</v>
      </c>
      <c r="H405" s="26">
        <f>IFERROR(__xludf.DUMMYFUNCTION("""COMPUTED_VALUE"""),133.02)</f>
        <v>133.02</v>
      </c>
      <c r="I405" s="26">
        <f>IFERROR(__xludf.DUMMYFUNCTION("""COMPUTED_VALUE"""),272.19)</f>
        <v>272.19</v>
      </c>
      <c r="J405" s="26">
        <f>IFERROR(__xludf.DUMMYFUNCTION("""COMPUTED_VALUE"""),253.5)</f>
        <v>253.5</v>
      </c>
      <c r="K405" s="26">
        <f>IFERROR(__xludf.DUMMYFUNCTION("""COMPUTED_VALUE"""),114.45)</f>
        <v>114.45</v>
      </c>
      <c r="L405" s="26">
        <f>IFERROR(__xludf.DUMMYFUNCTION("""COMPUTED_VALUE"""),24.79)</f>
        <v>24.79</v>
      </c>
      <c r="M405" s="26">
        <f>IFERROR(__xludf.DUMMYFUNCTION("""COMPUTED_VALUE"""),503.39)</f>
        <v>503.39</v>
      </c>
      <c r="N405" s="26">
        <f>IFERROR(__xludf.DUMMYFUNCTION("""COMPUTED_VALUE"""),59.27)</f>
        <v>59.27</v>
      </c>
      <c r="O405" s="26">
        <f>IFERROR(__xludf.DUMMYFUNCTION("""COMPUTED_VALUE"""),169.91)</f>
        <v>169.91</v>
      </c>
      <c r="P405" s="26">
        <f>IFERROR(__xludf.DUMMYFUNCTION("""COMPUTED_VALUE"""),53.2)</f>
        <v>53.2</v>
      </c>
      <c r="Q405" s="26">
        <f>IFERROR(__xludf.DUMMYFUNCTION("""COMPUTED_VALUE"""),565.83)</f>
        <v>565.83</v>
      </c>
      <c r="R405" s="26">
        <f>IFERROR(__xludf.DUMMYFUNCTION("""COMPUTED_VALUE"""),87.58)</f>
        <v>87.58</v>
      </c>
      <c r="S405" s="26">
        <f>IFERROR(__xludf.DUMMYFUNCTION("""COMPUTED_VALUE"""),188.0)</f>
        <v>188</v>
      </c>
      <c r="T405" s="26">
        <f>IFERROR(__xludf.DUMMYFUNCTION("""COMPUTED_VALUE"""),147.69)</f>
        <v>147.69</v>
      </c>
      <c r="U405" s="26">
        <f>IFERROR(__xludf.DUMMYFUNCTION("""COMPUTED_VALUE"""),274.0)</f>
        <v>274</v>
      </c>
      <c r="V405" s="26">
        <f>IFERROR(__xludf.DUMMYFUNCTION("""COMPUTED_VALUE"""),58.41)</f>
        <v>58.41</v>
      </c>
      <c r="W405" s="26">
        <f>IFERROR(__xludf.DUMMYFUNCTION("""COMPUTED_VALUE"""),70.36)</f>
        <v>70.36</v>
      </c>
      <c r="X405" s="26">
        <f>IFERROR(__xludf.DUMMYFUNCTION("""COMPUTED_VALUE"""),99.99)</f>
        <v>99.99</v>
      </c>
      <c r="Y405" s="26">
        <f>IFERROR(__xludf.DUMMYFUNCTION("""COMPUTED_VALUE"""),147.93)</f>
        <v>147.93</v>
      </c>
      <c r="Z405" s="26">
        <f>IFERROR(__xludf.DUMMYFUNCTION("""COMPUTED_VALUE"""),126.9)</f>
        <v>126.9</v>
      </c>
      <c r="AA405" s="26">
        <f>IFERROR(__xludf.DUMMYFUNCTION("""COMPUTED_VALUE"""),431.37)</f>
        <v>431.37</v>
      </c>
      <c r="AB405" s="26">
        <f>IFERROR(__xludf.DUMMYFUNCTION("""COMPUTED_VALUE"""),83.66)</f>
        <v>83.66</v>
      </c>
      <c r="AC405" s="26">
        <f>IFERROR(__xludf.DUMMYFUNCTION("""COMPUTED_VALUE"""),116.54)</f>
        <v>116.54</v>
      </c>
      <c r="AD405" s="26">
        <f>IFERROR(__xludf.DUMMYFUNCTION("""COMPUTED_VALUE"""),287.12)</f>
        <v>287.12</v>
      </c>
      <c r="AE405" s="26">
        <f>IFERROR(__xludf.DUMMYFUNCTION("""COMPUTED_VALUE"""),372.65)</f>
        <v>372.65</v>
      </c>
      <c r="AF405" s="26">
        <f>IFERROR(__xludf.DUMMYFUNCTION("""COMPUTED_VALUE"""),337.34)</f>
        <v>337.34</v>
      </c>
      <c r="AG405" s="26">
        <f>IFERROR(__xludf.DUMMYFUNCTION("""COMPUTED_VALUE"""),81.17)</f>
        <v>81.17</v>
      </c>
      <c r="AH405" s="26">
        <f>IFERROR(__xludf.DUMMYFUNCTION("""COMPUTED_VALUE"""),121.47)</f>
        <v>121.47</v>
      </c>
      <c r="AI405" s="26">
        <f>IFERROR(__xludf.DUMMYFUNCTION("""COMPUTED_VALUE"""),876.3)</f>
        <v>876.3</v>
      </c>
      <c r="AJ405" s="26">
        <f>IFERROR(__xludf.DUMMYFUNCTION("""COMPUTED_VALUE"""),354.99)</f>
        <v>354.99</v>
      </c>
      <c r="AK405" s="26">
        <f>IFERROR(__xludf.DUMMYFUNCTION("""COMPUTED_VALUE"""),178.7)</f>
        <v>178.7</v>
      </c>
      <c r="AL405" s="26">
        <f>IFERROR(__xludf.DUMMYFUNCTION("""COMPUTED_VALUE"""),160.07)</f>
        <v>160.07</v>
      </c>
      <c r="AM405" s="26">
        <f>IFERROR(__xludf.DUMMYFUNCTION("""COMPUTED_VALUE"""),561.89)</f>
        <v>561.89</v>
      </c>
      <c r="AN405" s="26">
        <f>IFERROR(__xludf.DUMMYFUNCTION("""COMPUTED_VALUE"""),313.0)</f>
        <v>313</v>
      </c>
      <c r="AO405" s="26">
        <f>IFERROR(__xludf.DUMMYFUNCTION("""COMPUTED_VALUE"""),470.14)</f>
        <v>470.14</v>
      </c>
      <c r="AP405" s="26">
        <f>IFERROR(__xludf.DUMMYFUNCTION("""COMPUTED_VALUE"""),215.11)</f>
        <v>215.11</v>
      </c>
      <c r="AQ405" s="26">
        <f>IFERROR(__xludf.DUMMYFUNCTION("""COMPUTED_VALUE"""),36.17)</f>
        <v>36.17</v>
      </c>
      <c r="AR405" s="26">
        <f>IFERROR(__xludf.DUMMYFUNCTION("""COMPUTED_VALUE"""),98.48)</f>
        <v>98.48</v>
      </c>
      <c r="AS405" s="26">
        <f>IFERROR(__xludf.DUMMYFUNCTION("""COMPUTED_VALUE"""),81.71)</f>
        <v>81.71</v>
      </c>
      <c r="AT405" s="26">
        <f>IFERROR(__xludf.DUMMYFUNCTION("""COMPUTED_VALUE"""),483.98)</f>
        <v>483.98</v>
      </c>
      <c r="AU405" s="26">
        <f>IFERROR(__xludf.DUMMYFUNCTION("""COMPUTED_VALUE"""),80.85)</f>
        <v>80.85</v>
      </c>
      <c r="AV405" s="26">
        <f>IFERROR(__xludf.DUMMYFUNCTION("""COMPUTED_VALUE"""),174.14)</f>
        <v>174.14</v>
      </c>
      <c r="AW405" s="26">
        <f>IFERROR(__xludf.DUMMYFUNCTION("""COMPUTED_VALUE"""),87.35)</f>
        <v>87.35</v>
      </c>
      <c r="AX405" s="26">
        <f>IFERROR(__xludf.DUMMYFUNCTION("""COMPUTED_VALUE"""),48.46)</f>
        <v>48.46</v>
      </c>
      <c r="AY405" s="26">
        <f>IFERROR(__xludf.DUMMYFUNCTION("""COMPUTED_VALUE"""),185.69)</f>
        <v>185.69</v>
      </c>
      <c r="AZ405" s="26">
        <f>IFERROR(__xludf.DUMMYFUNCTION("""COMPUTED_VALUE"""),59.44)</f>
        <v>59.44</v>
      </c>
      <c r="BA405" s="26">
        <f>IFERROR(__xludf.DUMMYFUNCTION("""COMPUTED_VALUE"""),25.04)</f>
        <v>25.04</v>
      </c>
      <c r="BB405" s="26">
        <f>IFERROR(__xludf.DUMMYFUNCTION("""COMPUTED_VALUE"""),178.29)</f>
        <v>178.29</v>
      </c>
      <c r="BC405" s="26">
        <f>IFERROR(__xludf.DUMMYFUNCTION("""COMPUTED_VALUE"""),200.27)</f>
        <v>200.27</v>
      </c>
      <c r="BD405" s="26">
        <f>IFERROR(__xludf.DUMMYFUNCTION("""COMPUTED_VALUE"""),562.39)</f>
        <v>562.39</v>
      </c>
      <c r="BE405" s="26">
        <f>IFERROR(__xludf.DUMMYFUNCTION("""COMPUTED_VALUE"""),216.08)</f>
        <v>216.08</v>
      </c>
      <c r="BF405" s="26">
        <f>IFERROR(__xludf.DUMMYFUNCTION("""COMPUTED_VALUE"""),121.07)</f>
        <v>121.07</v>
      </c>
      <c r="BG405" s="26">
        <f>IFERROR(__xludf.DUMMYFUNCTION("""COMPUTED_VALUE"""),4.54)</f>
        <v>4.54</v>
      </c>
      <c r="BH405" s="26">
        <f>IFERROR(__xludf.DUMMYFUNCTION("""COMPUTED_VALUE"""),234.42)</f>
        <v>234.42</v>
      </c>
      <c r="BI405" s="26">
        <f>IFERROR(__xludf.DUMMYFUNCTION("""COMPUTED_VALUE"""),328.14)</f>
        <v>328.14</v>
      </c>
      <c r="BJ405" s="26">
        <f>IFERROR(__xludf.DUMMYFUNCTION("""COMPUTED_VALUE"""),49.43)</f>
        <v>49.43</v>
      </c>
      <c r="BK405" s="26">
        <f>IFERROR(__xludf.DUMMYFUNCTION("""COMPUTED_VALUE"""),11.94)</f>
        <v>11.94</v>
      </c>
      <c r="BL405" s="26">
        <f>IFERROR(__xludf.DUMMYFUNCTION("""COMPUTED_VALUE"""),218.32)</f>
        <v>218.32</v>
      </c>
      <c r="BM405" s="26">
        <f>IFERROR(__xludf.DUMMYFUNCTION("""COMPUTED_VALUE"""),111.87)</f>
        <v>111.87</v>
      </c>
    </row>
    <row r="406">
      <c r="A406" s="25"/>
      <c r="B406" s="17">
        <f>IFERROR(__xludf.DUMMYFUNCTION("""COMPUTED_VALUE"""),6834.5)</f>
        <v>6834.5</v>
      </c>
      <c r="C406" s="17">
        <f>IFERROR(__xludf.DUMMYFUNCTION("""COMPUTED_VALUE"""),23307.62)</f>
        <v>23307.62</v>
      </c>
      <c r="D406" s="17">
        <f>IFERROR(__xludf.DUMMYFUNCTION("""COMPUTED_VALUE"""),48134.89)</f>
        <v>48134.89</v>
      </c>
      <c r="E406" s="17">
        <f>IFERROR(__xludf.DUMMYFUNCTION("""COMPUTED_VALUE"""),2529.42)</f>
        <v>2529.42</v>
      </c>
      <c r="F406" s="26">
        <f>IFERROR(__xludf.DUMMYFUNCTION("""COMPUTED_VALUE"""),355.86)</f>
        <v>355.86</v>
      </c>
      <c r="G406" s="26">
        <f>IFERROR(__xludf.DUMMYFUNCTION("""COMPUTED_VALUE"""),227.35)</f>
        <v>227.35</v>
      </c>
      <c r="H406" s="26">
        <f>IFERROR(__xludf.DUMMYFUNCTION("""COMPUTED_VALUE"""),130.25)</f>
        <v>130.25</v>
      </c>
      <c r="I406" s="26">
        <f>IFERROR(__xludf.DUMMYFUNCTION("""COMPUTED_VALUE"""),273.67)</f>
        <v>273.67</v>
      </c>
      <c r="J406" s="26">
        <f>IFERROR(__xludf.DUMMYFUNCTION("""COMPUTED_VALUE"""),256.41)</f>
        <v>256.41</v>
      </c>
      <c r="K406" s="26">
        <f>IFERROR(__xludf.DUMMYFUNCTION("""COMPUTED_VALUE"""),115.84)</f>
        <v>115.84</v>
      </c>
      <c r="L406" s="26">
        <f>IFERROR(__xludf.DUMMYFUNCTION("""COMPUTED_VALUE"""),25.14)</f>
        <v>25.14</v>
      </c>
      <c r="M406" s="26">
        <f>IFERROR(__xludf.DUMMYFUNCTION("""COMPUTED_VALUE"""),494.53)</f>
        <v>494.53</v>
      </c>
      <c r="N406" s="26">
        <f>IFERROR(__xludf.DUMMYFUNCTION("""COMPUTED_VALUE"""),59.32)</f>
        <v>59.32</v>
      </c>
      <c r="O406" s="26">
        <f>IFERROR(__xludf.DUMMYFUNCTION("""COMPUTED_VALUE"""),174.8)</f>
        <v>174.8</v>
      </c>
      <c r="P406" s="26">
        <f>IFERROR(__xludf.DUMMYFUNCTION("""COMPUTED_VALUE"""),53.77)</f>
        <v>53.77</v>
      </c>
      <c r="Q406" s="26">
        <f>IFERROR(__xludf.DUMMYFUNCTION("""COMPUTED_VALUE"""),576.22)</f>
        <v>576.22</v>
      </c>
      <c r="R406" s="26">
        <f>IFERROR(__xludf.DUMMYFUNCTION("""COMPUTED_VALUE"""),89.99)</f>
        <v>89.99</v>
      </c>
      <c r="S406" s="26">
        <f>IFERROR(__xludf.DUMMYFUNCTION("""COMPUTED_VALUE"""),189.14)</f>
        <v>189.14</v>
      </c>
      <c r="T406" s="26">
        <f>IFERROR(__xludf.DUMMYFUNCTION("""COMPUTED_VALUE"""),147.75)</f>
        <v>147.75</v>
      </c>
      <c r="U406" s="26">
        <f>IFERROR(__xludf.DUMMYFUNCTION("""COMPUTED_VALUE"""),271.89)</f>
        <v>271.89</v>
      </c>
      <c r="V406" s="26">
        <f>IFERROR(__xludf.DUMMYFUNCTION("""COMPUTED_VALUE"""),59.19)</f>
        <v>59.19</v>
      </c>
      <c r="W406" s="26">
        <f>IFERROR(__xludf.DUMMYFUNCTION("""COMPUTED_VALUE"""),70.06)</f>
        <v>70.06</v>
      </c>
      <c r="X406" s="26">
        <f>IFERROR(__xludf.DUMMYFUNCTION("""COMPUTED_VALUE"""),98.06)</f>
        <v>98.06</v>
      </c>
      <c r="Y406" s="26">
        <f>IFERROR(__xludf.DUMMYFUNCTION("""COMPUTED_VALUE"""),149.99)</f>
        <v>149.99</v>
      </c>
      <c r="Z406" s="26">
        <f>IFERROR(__xludf.DUMMYFUNCTION("""COMPUTED_VALUE"""),127.84)</f>
        <v>127.84</v>
      </c>
      <c r="AA406" s="26">
        <f>IFERROR(__xludf.DUMMYFUNCTION("""COMPUTED_VALUE"""),431.51)</f>
        <v>431.51</v>
      </c>
      <c r="AB406" s="26">
        <f>IFERROR(__xludf.DUMMYFUNCTION("""COMPUTED_VALUE"""),84.66)</f>
        <v>84.66</v>
      </c>
      <c r="AC406" s="26">
        <f>IFERROR(__xludf.DUMMYFUNCTION("""COMPUTED_VALUE"""),116.69)</f>
        <v>116.69</v>
      </c>
      <c r="AD406" s="26">
        <f>IFERROR(__xludf.DUMMYFUNCTION("""COMPUTED_VALUE"""),288.78)</f>
        <v>288.78</v>
      </c>
      <c r="AE406" s="26">
        <f>IFERROR(__xludf.DUMMYFUNCTION("""COMPUTED_VALUE"""),378.29)</f>
        <v>378.29</v>
      </c>
      <c r="AF406" s="26">
        <f>IFERROR(__xludf.DUMMYFUNCTION("""COMPUTED_VALUE"""),339.36)</f>
        <v>339.36</v>
      </c>
      <c r="AG406" s="26">
        <f>IFERROR(__xludf.DUMMYFUNCTION("""COMPUTED_VALUE"""),82.35)</f>
        <v>82.35</v>
      </c>
      <c r="AH406" s="26">
        <f>IFERROR(__xludf.DUMMYFUNCTION("""COMPUTED_VALUE"""),124.29)</f>
        <v>124.29</v>
      </c>
      <c r="AI406" s="26">
        <f>IFERROR(__xludf.DUMMYFUNCTION("""COMPUTED_VALUE"""),893.48)</f>
        <v>893.48</v>
      </c>
      <c r="AJ406" s="26">
        <f>IFERROR(__xludf.DUMMYFUNCTION("""COMPUTED_VALUE"""),345.0)</f>
        <v>345</v>
      </c>
      <c r="AK406" s="26">
        <f>IFERROR(__xludf.DUMMYFUNCTION("""COMPUTED_VALUE"""),180.63)</f>
        <v>180.63</v>
      </c>
      <c r="AL406" s="26">
        <f>IFERROR(__xludf.DUMMYFUNCTION("""COMPUTED_VALUE"""),160.3)</f>
        <v>160.3</v>
      </c>
      <c r="AM406" s="26">
        <f>IFERROR(__xludf.DUMMYFUNCTION("""COMPUTED_VALUE"""),572.47)</f>
        <v>572.47</v>
      </c>
      <c r="AN406" s="26">
        <f>IFERROR(__xludf.DUMMYFUNCTION("""COMPUTED_VALUE"""),317.21)</f>
        <v>317.21</v>
      </c>
      <c r="AO406" s="26">
        <f>IFERROR(__xludf.DUMMYFUNCTION("""COMPUTED_VALUE"""),474.13)</f>
        <v>474.13</v>
      </c>
      <c r="AP406" s="26">
        <f>IFERROR(__xludf.DUMMYFUNCTION("""COMPUTED_VALUE"""),209.45)</f>
        <v>209.45</v>
      </c>
      <c r="AQ406" s="26">
        <f>IFERROR(__xludf.DUMMYFUNCTION("""COMPUTED_VALUE"""),36.16)</f>
        <v>36.16</v>
      </c>
      <c r="AR406" s="26">
        <f>IFERROR(__xludf.DUMMYFUNCTION("""COMPUTED_VALUE"""),98.63)</f>
        <v>98.63</v>
      </c>
      <c r="AS406" s="26">
        <f>IFERROR(__xludf.DUMMYFUNCTION("""COMPUTED_VALUE"""),81.57)</f>
        <v>81.57</v>
      </c>
      <c r="AT406" s="26">
        <f>IFERROR(__xludf.DUMMYFUNCTION("""COMPUTED_VALUE"""),485.92)</f>
        <v>485.92</v>
      </c>
      <c r="AU406" s="26">
        <f>IFERROR(__xludf.DUMMYFUNCTION("""COMPUTED_VALUE"""),79.54)</f>
        <v>79.54</v>
      </c>
      <c r="AV406" s="26">
        <f>IFERROR(__xludf.DUMMYFUNCTION("""COMPUTED_VALUE"""),180.99)</f>
        <v>180.99</v>
      </c>
      <c r="AW406" s="26">
        <f>IFERROR(__xludf.DUMMYFUNCTION("""COMPUTED_VALUE"""),87.06)</f>
        <v>87.06</v>
      </c>
      <c r="AX406" s="26">
        <f>IFERROR(__xludf.DUMMYFUNCTION("""COMPUTED_VALUE"""),48.57)</f>
        <v>48.57</v>
      </c>
      <c r="AY406" s="26">
        <f>IFERROR(__xludf.DUMMYFUNCTION("""COMPUTED_VALUE"""),193.38)</f>
        <v>193.38</v>
      </c>
      <c r="AZ406" s="26">
        <f>IFERROR(__xludf.DUMMYFUNCTION("""COMPUTED_VALUE"""),59.81)</f>
        <v>59.81</v>
      </c>
      <c r="BA406" s="26">
        <f>IFERROR(__xludf.DUMMYFUNCTION("""COMPUTED_VALUE"""),25.19)</f>
        <v>25.19</v>
      </c>
      <c r="BB406" s="26">
        <f>IFERROR(__xludf.DUMMYFUNCTION("""COMPUTED_VALUE"""),182.01)</f>
        <v>182.01</v>
      </c>
      <c r="BC406" s="26">
        <f>IFERROR(__xludf.DUMMYFUNCTION("""COMPUTED_VALUE"""),196.73)</f>
        <v>196.73</v>
      </c>
      <c r="BD406" s="26">
        <f>IFERROR(__xludf.DUMMYFUNCTION("""COMPUTED_VALUE"""),567.83)</f>
        <v>567.83</v>
      </c>
      <c r="BE406" s="26">
        <f>IFERROR(__xludf.DUMMYFUNCTION("""COMPUTED_VALUE"""),219.38)</f>
        <v>219.38</v>
      </c>
      <c r="BF406" s="26">
        <f>IFERROR(__xludf.DUMMYFUNCTION("""COMPUTED_VALUE"""),127.67)</f>
        <v>127.67</v>
      </c>
      <c r="BG406" s="26">
        <f>IFERROR(__xludf.DUMMYFUNCTION("""COMPUTED_VALUE"""),4.53)</f>
        <v>4.53</v>
      </c>
      <c r="BH406" s="26">
        <f>IFERROR(__xludf.DUMMYFUNCTION("""COMPUTED_VALUE"""),234.23)</f>
        <v>234.23</v>
      </c>
      <c r="BI406" s="26">
        <f>IFERROR(__xludf.DUMMYFUNCTION("""COMPUTED_VALUE"""),327.42)</f>
        <v>327.42</v>
      </c>
      <c r="BJ406" s="26">
        <f>IFERROR(__xludf.DUMMYFUNCTION("""COMPUTED_VALUE"""),49.42)</f>
        <v>49.42</v>
      </c>
      <c r="BK406" s="26">
        <f>IFERROR(__xludf.DUMMYFUNCTION("""COMPUTED_VALUE"""),11.93)</f>
        <v>11.93</v>
      </c>
      <c r="BL406" s="26">
        <f>IFERROR(__xludf.DUMMYFUNCTION("""COMPUTED_VALUE"""),216.34)</f>
        <v>216.34</v>
      </c>
      <c r="BM406" s="26">
        <f>IFERROR(__xludf.DUMMYFUNCTION("""COMPUTED_VALUE"""),111.24)</f>
        <v>111.24</v>
      </c>
    </row>
    <row r="407">
      <c r="A407" s="25"/>
      <c r="B407" s="17">
        <f>IFERROR(__xludf.DUMMYFUNCTION("""COMPUTED_VALUE"""),6878.49)</f>
        <v>6878.49</v>
      </c>
      <c r="C407" s="17">
        <f>IFERROR(__xludf.DUMMYFUNCTION("""COMPUTED_VALUE"""),23428.83)</f>
        <v>23428.83</v>
      </c>
      <c r="D407" s="17">
        <f>IFERROR(__xludf.DUMMYFUNCTION("""COMPUTED_VALUE"""),48362.68)</f>
        <v>48362.68</v>
      </c>
      <c r="E407" s="17">
        <f>IFERROR(__xludf.DUMMYFUNCTION("""COMPUTED_VALUE"""),2558.78)</f>
        <v>2558.78</v>
      </c>
      <c r="F407" s="26">
        <f>IFERROR(__xludf.DUMMYFUNCTION("""COMPUTED_VALUE"""),357.53)</f>
        <v>357.53</v>
      </c>
      <c r="G407" s="26">
        <f>IFERROR(__xludf.DUMMYFUNCTION("""COMPUTED_VALUE"""),228.43)</f>
        <v>228.43</v>
      </c>
      <c r="H407" s="26">
        <f>IFERROR(__xludf.DUMMYFUNCTION("""COMPUTED_VALUE"""),131.67)</f>
        <v>131.67</v>
      </c>
      <c r="I407" s="26">
        <f>IFERROR(__xludf.DUMMYFUNCTION("""COMPUTED_VALUE"""),270.97)</f>
        <v>270.97</v>
      </c>
      <c r="J407" s="26">
        <f>IFERROR(__xludf.DUMMYFUNCTION("""COMPUTED_VALUE"""),259.01)</f>
        <v>259.01</v>
      </c>
      <c r="K407" s="26">
        <f>IFERROR(__xludf.DUMMYFUNCTION("""COMPUTED_VALUE"""),117.26)</f>
        <v>117.26</v>
      </c>
      <c r="L407" s="26">
        <f>IFERROR(__xludf.DUMMYFUNCTION("""COMPUTED_VALUE"""),25.33)</f>
        <v>25.33</v>
      </c>
      <c r="M407" s="26">
        <f>IFERROR(__xludf.DUMMYFUNCTION("""COMPUTED_VALUE"""),499.95)</f>
        <v>499.95</v>
      </c>
      <c r="N407" s="26">
        <f>IFERROR(__xludf.DUMMYFUNCTION("""COMPUTED_VALUE"""),60.77)</f>
        <v>60.77</v>
      </c>
      <c r="O407" s="26">
        <f>IFERROR(__xludf.DUMMYFUNCTION("""COMPUTED_VALUE"""),174.7)</f>
        <v>174.7</v>
      </c>
      <c r="P407" s="26">
        <f>IFERROR(__xludf.DUMMYFUNCTION("""COMPUTED_VALUE"""),53.2)</f>
        <v>53.2</v>
      </c>
      <c r="Q407" s="26">
        <f>IFERROR(__xludf.DUMMYFUNCTION("""COMPUTED_VALUE"""),582.41)</f>
        <v>582.41</v>
      </c>
      <c r="R407" s="26">
        <f>IFERROR(__xludf.DUMMYFUNCTION("""COMPUTED_VALUE"""),91.71)</f>
        <v>91.71</v>
      </c>
      <c r="S407" s="26">
        <f>IFERROR(__xludf.DUMMYFUNCTION("""COMPUTED_VALUE"""),190.73)</f>
        <v>190.73</v>
      </c>
      <c r="T407" s="26">
        <f>IFERROR(__xludf.DUMMYFUNCTION("""COMPUTED_VALUE"""),149.8)</f>
        <v>149.8</v>
      </c>
      <c r="U407" s="26">
        <f>IFERROR(__xludf.DUMMYFUNCTION("""COMPUTED_VALUE"""),275.6)</f>
        <v>275.6</v>
      </c>
      <c r="V407" s="26">
        <f>IFERROR(__xludf.DUMMYFUNCTION("""COMPUTED_VALUE"""),59.88)</f>
        <v>59.88</v>
      </c>
      <c r="W407" s="26">
        <f>IFERROR(__xludf.DUMMYFUNCTION("""COMPUTED_VALUE"""),70.21)</f>
        <v>70.21</v>
      </c>
      <c r="X407" s="26">
        <f>IFERROR(__xludf.DUMMYFUNCTION("""COMPUTED_VALUE"""),98.57)</f>
        <v>98.57</v>
      </c>
      <c r="Y407" s="26">
        <f>IFERROR(__xludf.DUMMYFUNCTION("""COMPUTED_VALUE"""),153.51)</f>
        <v>153.51</v>
      </c>
      <c r="Z407" s="26">
        <f>IFERROR(__xludf.DUMMYFUNCTION("""COMPUTED_VALUE"""),122.49)</f>
        <v>122.49</v>
      </c>
      <c r="AA407" s="26">
        <f>IFERROR(__xludf.DUMMYFUNCTION("""COMPUTED_VALUE"""),427.89)</f>
        <v>427.89</v>
      </c>
      <c r="AB407" s="26">
        <f>IFERROR(__xludf.DUMMYFUNCTION("""COMPUTED_VALUE"""),84.0)</f>
        <v>84</v>
      </c>
      <c r="AC407" s="26">
        <f>IFERROR(__xludf.DUMMYFUNCTION("""COMPUTED_VALUE"""),118.15)</f>
        <v>118.15</v>
      </c>
      <c r="AD407" s="26">
        <f>IFERROR(__xludf.DUMMYFUNCTION("""COMPUTED_VALUE"""),292.78)</f>
        <v>292.78</v>
      </c>
      <c r="AE407" s="26">
        <f>IFERROR(__xludf.DUMMYFUNCTION("""COMPUTED_VALUE"""),375.25)</f>
        <v>375.25</v>
      </c>
      <c r="AF407" s="26">
        <f>IFERROR(__xludf.DUMMYFUNCTION("""COMPUTED_VALUE"""),345.19)</f>
        <v>345.19</v>
      </c>
      <c r="AG407" s="26">
        <f>IFERROR(__xludf.DUMMYFUNCTION("""COMPUTED_VALUE"""),83.03)</f>
        <v>83.03</v>
      </c>
      <c r="AH407" s="26">
        <f>IFERROR(__xludf.DUMMYFUNCTION("""COMPUTED_VALUE"""),124.16)</f>
        <v>124.16</v>
      </c>
      <c r="AI407" s="26">
        <f>IFERROR(__xludf.DUMMYFUNCTION("""COMPUTED_VALUE"""),899.0)</f>
        <v>899</v>
      </c>
      <c r="AJ407" s="26">
        <f>IFERROR(__xludf.DUMMYFUNCTION("""COMPUTED_VALUE"""),346.39)</f>
        <v>346.39</v>
      </c>
      <c r="AK407" s="26">
        <f>IFERROR(__xludf.DUMMYFUNCTION("""COMPUTED_VALUE"""),179.0)</f>
        <v>179</v>
      </c>
      <c r="AL407" s="26">
        <f>IFERROR(__xludf.DUMMYFUNCTION("""COMPUTED_VALUE"""),161.45)</f>
        <v>161.45</v>
      </c>
      <c r="AM407" s="26">
        <f>IFERROR(__xludf.DUMMYFUNCTION("""COMPUTED_VALUE"""),579.83)</f>
        <v>579.83</v>
      </c>
      <c r="AN407" s="26">
        <f>IFERROR(__xludf.DUMMYFUNCTION("""COMPUTED_VALUE"""),323.09)</f>
        <v>323.09</v>
      </c>
      <c r="AO407" s="26">
        <f>IFERROR(__xludf.DUMMYFUNCTION("""COMPUTED_VALUE"""),483.57)</f>
        <v>483.57</v>
      </c>
      <c r="AP407" s="26">
        <f>IFERROR(__xludf.DUMMYFUNCTION("""COMPUTED_VALUE"""),212.37)</f>
        <v>212.37</v>
      </c>
      <c r="AQ407" s="26">
        <f>IFERROR(__xludf.DUMMYFUNCTION("""COMPUTED_VALUE"""),36.53)</f>
        <v>36.53</v>
      </c>
      <c r="AR407" s="26">
        <f>IFERROR(__xludf.DUMMYFUNCTION("""COMPUTED_VALUE"""),97.71)</f>
        <v>97.71</v>
      </c>
      <c r="AS407" s="26">
        <f>IFERROR(__xludf.DUMMYFUNCTION("""COMPUTED_VALUE"""),81.35)</f>
        <v>81.35</v>
      </c>
      <c r="AT407" s="26">
        <f>IFERROR(__xludf.DUMMYFUNCTION("""COMPUTED_VALUE"""),484.92)</f>
        <v>484.92</v>
      </c>
      <c r="AU407" s="26">
        <f>IFERROR(__xludf.DUMMYFUNCTION("""COMPUTED_VALUE"""),80.04)</f>
        <v>80.04</v>
      </c>
      <c r="AV407" s="26">
        <f>IFERROR(__xludf.DUMMYFUNCTION("""COMPUTED_VALUE"""),183.69)</f>
        <v>183.69</v>
      </c>
      <c r="AW407" s="26">
        <f>IFERROR(__xludf.DUMMYFUNCTION("""COMPUTED_VALUE"""),87.24)</f>
        <v>87.24</v>
      </c>
      <c r="AX407" s="26">
        <f>IFERROR(__xludf.DUMMYFUNCTION("""COMPUTED_VALUE"""),48.14)</f>
        <v>48.14</v>
      </c>
      <c r="AY407" s="26">
        <f>IFERROR(__xludf.DUMMYFUNCTION("""COMPUTED_VALUE"""),193.98)</f>
        <v>193.98</v>
      </c>
      <c r="AZ407" s="26">
        <f>IFERROR(__xludf.DUMMYFUNCTION("""COMPUTED_VALUE"""),59.86)</f>
        <v>59.86</v>
      </c>
      <c r="BA407" s="26">
        <f>IFERROR(__xludf.DUMMYFUNCTION("""COMPUTED_VALUE"""),25.21)</f>
        <v>25.21</v>
      </c>
      <c r="BB407" s="26">
        <f>IFERROR(__xludf.DUMMYFUNCTION("""COMPUTED_VALUE"""),185.68)</f>
        <v>185.68</v>
      </c>
      <c r="BC407" s="26">
        <f>IFERROR(__xludf.DUMMYFUNCTION("""COMPUTED_VALUE"""),195.76)</f>
        <v>195.76</v>
      </c>
      <c r="BD407" s="26">
        <f>IFERROR(__xludf.DUMMYFUNCTION("""COMPUTED_VALUE"""),575.7)</f>
        <v>575.7</v>
      </c>
      <c r="BE407" s="26">
        <f>IFERROR(__xludf.DUMMYFUNCTION("""COMPUTED_VALUE"""),219.51)</f>
        <v>219.51</v>
      </c>
      <c r="BF407" s="26">
        <f>IFERROR(__xludf.DUMMYFUNCTION("""COMPUTED_VALUE"""),129.35)</f>
        <v>129.35</v>
      </c>
      <c r="BG407" s="26">
        <f>IFERROR(__xludf.DUMMYFUNCTION("""COMPUTED_VALUE"""),4.55)</f>
        <v>4.55</v>
      </c>
      <c r="BH407" s="26">
        <f>IFERROR(__xludf.DUMMYFUNCTION("""COMPUTED_VALUE"""),234.61)</f>
        <v>234.61</v>
      </c>
      <c r="BI407" s="26">
        <f>IFERROR(__xludf.DUMMYFUNCTION("""COMPUTED_VALUE"""),325.16)</f>
        <v>325.16</v>
      </c>
      <c r="BJ407" s="26">
        <f>IFERROR(__xludf.DUMMYFUNCTION("""COMPUTED_VALUE"""),49.4)</f>
        <v>49.4</v>
      </c>
      <c r="BK407" s="26">
        <f>IFERROR(__xludf.DUMMYFUNCTION("""COMPUTED_VALUE"""),12.01)</f>
        <v>12.01</v>
      </c>
      <c r="BL407" s="26">
        <f>IFERROR(__xludf.DUMMYFUNCTION("""COMPUTED_VALUE"""),219.66)</f>
        <v>219.66</v>
      </c>
      <c r="BM407" s="26">
        <f>IFERROR(__xludf.DUMMYFUNCTION("""COMPUTED_VALUE"""),112.38)</f>
        <v>112.38</v>
      </c>
    </row>
    <row r="408">
      <c r="A408" s="25"/>
      <c r="B408" s="17">
        <f>IFERROR(__xludf.DUMMYFUNCTION("""COMPUTED_VALUE"""),6909.79)</f>
        <v>6909.79</v>
      </c>
      <c r="C408" s="17">
        <f>IFERROR(__xludf.DUMMYFUNCTION("""COMPUTED_VALUE"""),23561.84)</f>
        <v>23561.84</v>
      </c>
      <c r="D408" s="17">
        <f>IFERROR(__xludf.DUMMYFUNCTION("""COMPUTED_VALUE"""),48442.41)</f>
        <v>48442.41</v>
      </c>
      <c r="E408" s="17">
        <f>IFERROR(__xludf.DUMMYFUNCTION("""COMPUTED_VALUE"""),2541.12)</f>
        <v>2541.12</v>
      </c>
      <c r="F408" s="26">
        <f>IFERROR(__xludf.DUMMYFUNCTION("""COMPUTED_VALUE"""),352.42)</f>
        <v>352.42</v>
      </c>
      <c r="G408" s="26">
        <f>IFERROR(__xludf.DUMMYFUNCTION("""COMPUTED_VALUE"""),232.14)</f>
        <v>232.14</v>
      </c>
      <c r="H408" s="26">
        <f>IFERROR(__xludf.DUMMYFUNCTION("""COMPUTED_VALUE"""),130.75)</f>
        <v>130.75</v>
      </c>
      <c r="I408" s="26">
        <f>IFERROR(__xludf.DUMMYFUNCTION("""COMPUTED_VALUE"""),272.36)</f>
        <v>272.36</v>
      </c>
      <c r="J408" s="26">
        <f>IFERROR(__xludf.DUMMYFUNCTION("""COMPUTED_VALUE"""),260.23)</f>
        <v>260.23</v>
      </c>
      <c r="K408" s="26">
        <f>IFERROR(__xludf.DUMMYFUNCTION("""COMPUTED_VALUE"""),117.22)</f>
        <v>117.22</v>
      </c>
      <c r="L408" s="26">
        <f>IFERROR(__xludf.DUMMYFUNCTION("""COMPUTED_VALUE"""),25.48)</f>
        <v>25.48</v>
      </c>
      <c r="M408" s="26">
        <f>IFERROR(__xludf.DUMMYFUNCTION("""COMPUTED_VALUE"""),500.51)</f>
        <v>500.51</v>
      </c>
      <c r="N408" s="26">
        <f>IFERROR(__xludf.DUMMYFUNCTION("""COMPUTED_VALUE"""),61.08)</f>
        <v>61.08</v>
      </c>
      <c r="O408" s="26">
        <f>IFERROR(__xludf.DUMMYFUNCTION("""COMPUTED_VALUE"""),174.82)</f>
        <v>174.82</v>
      </c>
      <c r="P408" s="26">
        <f>IFERROR(__xludf.DUMMYFUNCTION("""COMPUTED_VALUE"""),53.34)</f>
        <v>53.34</v>
      </c>
      <c r="Q408" s="26">
        <f>IFERROR(__xludf.DUMMYFUNCTION("""COMPUTED_VALUE"""),582.42)</f>
        <v>582.42</v>
      </c>
      <c r="R408" s="26">
        <f>IFERROR(__xludf.DUMMYFUNCTION("""COMPUTED_VALUE"""),93.41)</f>
        <v>93.41</v>
      </c>
      <c r="S408" s="26">
        <f>IFERROR(__xludf.DUMMYFUNCTION("""COMPUTED_VALUE"""),189.44)</f>
        <v>189.44</v>
      </c>
      <c r="T408" s="26">
        <f>IFERROR(__xludf.DUMMYFUNCTION("""COMPUTED_VALUE"""),150.51)</f>
        <v>150.51</v>
      </c>
      <c r="U408" s="26">
        <f>IFERROR(__xludf.DUMMYFUNCTION("""COMPUTED_VALUE"""),273.75)</f>
        <v>273.75</v>
      </c>
      <c r="V408" s="26">
        <f>IFERROR(__xludf.DUMMYFUNCTION("""COMPUTED_VALUE"""),59.51)</f>
        <v>59.51</v>
      </c>
      <c r="W408" s="26">
        <f>IFERROR(__xludf.DUMMYFUNCTION("""COMPUTED_VALUE"""),69.87)</f>
        <v>69.87</v>
      </c>
      <c r="X408" s="26">
        <f>IFERROR(__xludf.DUMMYFUNCTION("""COMPUTED_VALUE"""),98.95)</f>
        <v>98.95</v>
      </c>
      <c r="Y408" s="26">
        <f>IFERROR(__xludf.DUMMYFUNCTION("""COMPUTED_VALUE"""),153.88)</f>
        <v>153.88</v>
      </c>
      <c r="Z408" s="26">
        <f>IFERROR(__xludf.DUMMYFUNCTION("""COMPUTED_VALUE"""),119.53)</f>
        <v>119.53</v>
      </c>
      <c r="AA408" s="26">
        <f>IFERROR(__xludf.DUMMYFUNCTION("""COMPUTED_VALUE"""),426.18)</f>
        <v>426.18</v>
      </c>
      <c r="AB408" s="26">
        <f>IFERROR(__xludf.DUMMYFUNCTION("""COMPUTED_VALUE"""),84.05)</f>
        <v>84.05</v>
      </c>
      <c r="AC408" s="26">
        <f>IFERROR(__xludf.DUMMYFUNCTION("""COMPUTED_VALUE"""),119.42)</f>
        <v>119.42</v>
      </c>
      <c r="AD408" s="26">
        <f>IFERROR(__xludf.DUMMYFUNCTION("""COMPUTED_VALUE"""),295.21)</f>
        <v>295.21</v>
      </c>
      <c r="AE408" s="26">
        <f>IFERROR(__xludf.DUMMYFUNCTION("""COMPUTED_VALUE"""),375.91)</f>
        <v>375.91</v>
      </c>
      <c r="AF408" s="26">
        <f>IFERROR(__xludf.DUMMYFUNCTION("""COMPUTED_VALUE"""),343.84)</f>
        <v>343.84</v>
      </c>
      <c r="AG408" s="26">
        <f>IFERROR(__xludf.DUMMYFUNCTION("""COMPUTED_VALUE"""),82.75)</f>
        <v>82.75</v>
      </c>
      <c r="AH408" s="26">
        <f>IFERROR(__xludf.DUMMYFUNCTION("""COMPUTED_VALUE"""),125.19)</f>
        <v>125.19</v>
      </c>
      <c r="AI408" s="26">
        <f>IFERROR(__xludf.DUMMYFUNCTION("""COMPUTED_VALUE"""),901.71)</f>
        <v>901.71</v>
      </c>
      <c r="AJ408" s="26">
        <f>IFERROR(__xludf.DUMMYFUNCTION("""COMPUTED_VALUE"""),344.97)</f>
        <v>344.97</v>
      </c>
      <c r="AK408" s="26">
        <f>IFERROR(__xludf.DUMMYFUNCTION("""COMPUTED_VALUE"""),178.2)</f>
        <v>178.2</v>
      </c>
      <c r="AL408" s="26">
        <f>IFERROR(__xludf.DUMMYFUNCTION("""COMPUTED_VALUE"""),161.95)</f>
        <v>161.95</v>
      </c>
      <c r="AM408" s="26">
        <f>IFERROR(__xludf.DUMMYFUNCTION("""COMPUTED_VALUE"""),577.34)</f>
        <v>577.34</v>
      </c>
      <c r="AN408" s="26">
        <f>IFERROR(__xludf.DUMMYFUNCTION("""COMPUTED_VALUE"""),325.93)</f>
        <v>325.93</v>
      </c>
      <c r="AO408" s="26">
        <f>IFERROR(__xludf.DUMMYFUNCTION("""COMPUTED_VALUE"""),482.55)</f>
        <v>482.55</v>
      </c>
      <c r="AP408" s="26">
        <f>IFERROR(__xludf.DUMMYFUNCTION("""COMPUTED_VALUE"""),212.68)</f>
        <v>212.68</v>
      </c>
      <c r="AQ408" s="26">
        <f>IFERROR(__xludf.DUMMYFUNCTION("""COMPUTED_VALUE"""),36.75)</f>
        <v>36.75</v>
      </c>
      <c r="AR408" s="26">
        <f>IFERROR(__xludf.DUMMYFUNCTION("""COMPUTED_VALUE"""),97.47)</f>
        <v>97.47</v>
      </c>
      <c r="AS408" s="26">
        <f>IFERROR(__xludf.DUMMYFUNCTION("""COMPUTED_VALUE"""),80.91)</f>
        <v>80.91</v>
      </c>
      <c r="AT408" s="26">
        <f>IFERROR(__xludf.DUMMYFUNCTION("""COMPUTED_VALUE"""),486.85)</f>
        <v>486.85</v>
      </c>
      <c r="AU408" s="26">
        <f>IFERROR(__xludf.DUMMYFUNCTION("""COMPUTED_VALUE"""),79.79)</f>
        <v>79.79</v>
      </c>
      <c r="AV408" s="26">
        <f>IFERROR(__xludf.DUMMYFUNCTION("""COMPUTED_VALUE"""),189.21)</f>
        <v>189.21</v>
      </c>
      <c r="AW408" s="26">
        <f>IFERROR(__xludf.DUMMYFUNCTION("""COMPUTED_VALUE"""),87.83)</f>
        <v>87.83</v>
      </c>
      <c r="AX408" s="26">
        <f>IFERROR(__xludf.DUMMYFUNCTION("""COMPUTED_VALUE"""),47.89)</f>
        <v>47.89</v>
      </c>
      <c r="AY408" s="26">
        <f>IFERROR(__xludf.DUMMYFUNCTION("""COMPUTED_VALUE"""),194.13)</f>
        <v>194.13</v>
      </c>
      <c r="AZ408" s="26">
        <f>IFERROR(__xludf.DUMMYFUNCTION("""COMPUTED_VALUE"""),59.41)</f>
        <v>59.41</v>
      </c>
      <c r="BA408" s="26">
        <f>IFERROR(__xludf.DUMMYFUNCTION("""COMPUTED_VALUE"""),24.88)</f>
        <v>24.88</v>
      </c>
      <c r="BB408" s="26">
        <f>IFERROR(__xludf.DUMMYFUNCTION("""COMPUTED_VALUE"""),185.76)</f>
        <v>185.76</v>
      </c>
      <c r="BC408" s="26">
        <f>IFERROR(__xludf.DUMMYFUNCTION("""COMPUTED_VALUE"""),197.67)</f>
        <v>197.67</v>
      </c>
      <c r="BD408" s="26">
        <f>IFERROR(__xludf.DUMMYFUNCTION("""COMPUTED_VALUE"""),579.94)</f>
        <v>579.94</v>
      </c>
      <c r="BE408" s="26">
        <f>IFERROR(__xludf.DUMMYFUNCTION("""COMPUTED_VALUE"""),219.24)</f>
        <v>219.24</v>
      </c>
      <c r="BF408" s="26">
        <f>IFERROR(__xludf.DUMMYFUNCTION("""COMPUTED_VALUE"""),128.2)</f>
        <v>128.2</v>
      </c>
      <c r="BG408" s="26">
        <f>IFERROR(__xludf.DUMMYFUNCTION("""COMPUTED_VALUE"""),4.56)</f>
        <v>4.56</v>
      </c>
      <c r="BH408" s="26">
        <f>IFERROR(__xludf.DUMMYFUNCTION("""COMPUTED_VALUE"""),234.15)</f>
        <v>234.15</v>
      </c>
      <c r="BI408" s="26">
        <f>IFERROR(__xludf.DUMMYFUNCTION("""COMPUTED_VALUE"""),324.8)</f>
        <v>324.8</v>
      </c>
      <c r="BJ408" s="26">
        <f>IFERROR(__xludf.DUMMYFUNCTION("""COMPUTED_VALUE"""),49.39)</f>
        <v>49.39</v>
      </c>
      <c r="BK408" s="26">
        <f>IFERROR(__xludf.DUMMYFUNCTION("""COMPUTED_VALUE"""),12.02)</f>
        <v>12.02</v>
      </c>
      <c r="BL408" s="26">
        <f>IFERROR(__xludf.DUMMYFUNCTION("""COMPUTED_VALUE"""),220.34)</f>
        <v>220.34</v>
      </c>
      <c r="BM408" s="26">
        <f>IFERROR(__xludf.DUMMYFUNCTION("""COMPUTED_VALUE"""),113.22)</f>
        <v>113.22</v>
      </c>
    </row>
    <row r="409">
      <c r="A409" s="25"/>
      <c r="B409" s="17">
        <f>IFERROR(__xludf.DUMMYFUNCTION("""COMPUTED_VALUE"""),6932.05)</f>
        <v>6932.05</v>
      </c>
      <c r="C409" s="17">
        <f>IFERROR(__xludf.DUMMYFUNCTION("""COMPUTED_VALUE"""),23613.31)</f>
        <v>23613.31</v>
      </c>
      <c r="D409" s="17">
        <f>IFERROR(__xludf.DUMMYFUNCTION("""COMPUTED_VALUE"""),48731.16)</f>
        <v>48731.16</v>
      </c>
      <c r="E409" s="17">
        <f>IFERROR(__xludf.DUMMYFUNCTION("""COMPUTED_VALUE"""),2548.08)</f>
        <v>2548.08</v>
      </c>
      <c r="F409" s="26">
        <f>IFERROR(__xludf.DUMMYFUNCTION("""COMPUTED_VALUE"""),352.98)</f>
        <v>352.98</v>
      </c>
      <c r="G409" s="26">
        <f>IFERROR(__xludf.DUMMYFUNCTION("""COMPUTED_VALUE"""),232.38)</f>
        <v>232.38</v>
      </c>
      <c r="H409" s="26">
        <f>IFERROR(__xludf.DUMMYFUNCTION("""COMPUTED_VALUE"""),131.28)</f>
        <v>131.28</v>
      </c>
      <c r="I409" s="26">
        <f>IFERROR(__xludf.DUMMYFUNCTION("""COMPUTED_VALUE"""),273.81)</f>
        <v>273.81</v>
      </c>
      <c r="J409" s="26">
        <f>IFERROR(__xludf.DUMMYFUNCTION("""COMPUTED_VALUE"""),260.78)</f>
        <v>260.78</v>
      </c>
      <c r="K409" s="26">
        <f>IFERROR(__xludf.DUMMYFUNCTION("""COMPUTED_VALUE"""),118.22)</f>
        <v>118.22</v>
      </c>
      <c r="L409" s="26">
        <f>IFERROR(__xludf.DUMMYFUNCTION("""COMPUTED_VALUE"""),25.63)</f>
        <v>25.63</v>
      </c>
      <c r="M409" s="26">
        <f>IFERROR(__xludf.DUMMYFUNCTION("""COMPUTED_VALUE"""),501.34)</f>
        <v>501.34</v>
      </c>
      <c r="N409" s="26">
        <f>IFERROR(__xludf.DUMMYFUNCTION("""COMPUTED_VALUE"""),60.87)</f>
        <v>60.87</v>
      </c>
      <c r="O409" s="26">
        <f>IFERROR(__xludf.DUMMYFUNCTION("""COMPUTED_VALUE"""),176.33)</f>
        <v>176.33</v>
      </c>
      <c r="P409" s="26">
        <f>IFERROR(__xludf.DUMMYFUNCTION("""COMPUTED_VALUE"""),53.5)</f>
        <v>53.5</v>
      </c>
      <c r="Q409" s="26">
        <f>IFERROR(__xludf.DUMMYFUNCTION("""COMPUTED_VALUE"""),583.76)</f>
        <v>583.76</v>
      </c>
      <c r="R409" s="26">
        <f>IFERROR(__xludf.DUMMYFUNCTION("""COMPUTED_VALUE"""),93.34)</f>
        <v>93.34</v>
      </c>
      <c r="S409" s="26">
        <f>IFERROR(__xludf.DUMMYFUNCTION("""COMPUTED_VALUE"""),188.52)</f>
        <v>188.52</v>
      </c>
      <c r="T409" s="26">
        <f>IFERROR(__xludf.DUMMYFUNCTION("""COMPUTED_VALUE"""),150.5)</f>
        <v>150.5</v>
      </c>
      <c r="U409" s="26">
        <f>IFERROR(__xludf.DUMMYFUNCTION("""COMPUTED_VALUE"""),274.86)</f>
        <v>274.86</v>
      </c>
      <c r="V409" s="26">
        <f>IFERROR(__xludf.DUMMYFUNCTION("""COMPUTED_VALUE"""),59.86)</f>
        <v>59.86</v>
      </c>
      <c r="W409" s="26">
        <f>IFERROR(__xludf.DUMMYFUNCTION("""COMPUTED_VALUE"""),70.11)</f>
        <v>70.11</v>
      </c>
      <c r="X409" s="26">
        <f>IFERROR(__xludf.DUMMYFUNCTION("""COMPUTED_VALUE"""),99.53)</f>
        <v>99.53</v>
      </c>
      <c r="Y409" s="26">
        <f>IFERROR(__xludf.DUMMYFUNCTION("""COMPUTED_VALUE"""),155.19)</f>
        <v>155.19</v>
      </c>
      <c r="Z409" s="26">
        <f>IFERROR(__xludf.DUMMYFUNCTION("""COMPUTED_VALUE"""),122.01)</f>
        <v>122.01</v>
      </c>
      <c r="AA409" s="26">
        <f>IFERROR(__xludf.DUMMYFUNCTION("""COMPUTED_VALUE"""),425.43)</f>
        <v>425.43</v>
      </c>
      <c r="AB409" s="26">
        <f>IFERROR(__xludf.DUMMYFUNCTION("""COMPUTED_VALUE"""),84.6)</f>
        <v>84.6</v>
      </c>
      <c r="AC409" s="26">
        <f>IFERROR(__xludf.DUMMYFUNCTION("""COMPUTED_VALUE"""),119.22)</f>
        <v>119.22</v>
      </c>
      <c r="AD409" s="26">
        <f>IFERROR(__xludf.DUMMYFUNCTION("""COMPUTED_VALUE"""),295.9)</f>
        <v>295.9</v>
      </c>
      <c r="AE409" s="26">
        <f>IFERROR(__xludf.DUMMYFUNCTION("""COMPUTED_VALUE"""),376.34)</f>
        <v>376.34</v>
      </c>
      <c r="AF409" s="26">
        <f>IFERROR(__xludf.DUMMYFUNCTION("""COMPUTED_VALUE"""),345.39)</f>
        <v>345.39</v>
      </c>
      <c r="AG409" s="26">
        <f>IFERROR(__xludf.DUMMYFUNCTION("""COMPUTED_VALUE"""),82.88)</f>
        <v>82.88</v>
      </c>
      <c r="AH409" s="26">
        <f>IFERROR(__xludf.DUMMYFUNCTION("""COMPUTED_VALUE"""),125.67)</f>
        <v>125.67</v>
      </c>
      <c r="AI409" s="26">
        <f>IFERROR(__xludf.DUMMYFUNCTION("""COMPUTED_VALUE"""),910.78)</f>
        <v>910.78</v>
      </c>
      <c r="AJ409" s="26">
        <f>IFERROR(__xludf.DUMMYFUNCTION("""COMPUTED_VALUE"""),347.34)</f>
        <v>347.34</v>
      </c>
      <c r="AK409" s="26">
        <f>IFERROR(__xludf.DUMMYFUNCTION("""COMPUTED_VALUE"""),180.06)</f>
        <v>180.06</v>
      </c>
      <c r="AL409" s="26">
        <f>IFERROR(__xludf.DUMMYFUNCTION("""COMPUTED_VALUE"""),162.63)</f>
        <v>162.63</v>
      </c>
      <c r="AM409" s="26">
        <f>IFERROR(__xludf.DUMMYFUNCTION("""COMPUTED_VALUE"""),577.15)</f>
        <v>577.15</v>
      </c>
      <c r="AN409" s="26">
        <f>IFERROR(__xludf.DUMMYFUNCTION("""COMPUTED_VALUE"""),329.17)</f>
        <v>329.17</v>
      </c>
      <c r="AO409" s="26">
        <f>IFERROR(__xludf.DUMMYFUNCTION("""COMPUTED_VALUE"""),485.75)</f>
        <v>485.75</v>
      </c>
      <c r="AP409" s="26">
        <f>IFERROR(__xludf.DUMMYFUNCTION("""COMPUTED_VALUE"""),210.4)</f>
        <v>210.4</v>
      </c>
      <c r="AQ409" s="26">
        <f>IFERROR(__xludf.DUMMYFUNCTION("""COMPUTED_VALUE"""),36.66)</f>
        <v>36.66</v>
      </c>
      <c r="AR409" s="26">
        <f>IFERROR(__xludf.DUMMYFUNCTION("""COMPUTED_VALUE"""),97.27)</f>
        <v>97.27</v>
      </c>
      <c r="AS409" s="26">
        <f>IFERROR(__xludf.DUMMYFUNCTION("""COMPUTED_VALUE"""),81.05)</f>
        <v>81.05</v>
      </c>
      <c r="AT409" s="26">
        <f>IFERROR(__xludf.DUMMYFUNCTION("""COMPUTED_VALUE"""),488.02)</f>
        <v>488.02</v>
      </c>
      <c r="AU409" s="26">
        <f>IFERROR(__xludf.DUMMYFUNCTION("""COMPUTED_VALUE"""),80.45)</f>
        <v>80.45</v>
      </c>
      <c r="AV409" s="26">
        <f>IFERROR(__xludf.DUMMYFUNCTION("""COMPUTED_VALUE"""),188.61)</f>
        <v>188.61</v>
      </c>
      <c r="AW409" s="26">
        <f>IFERROR(__xludf.DUMMYFUNCTION("""COMPUTED_VALUE"""),87.9)</f>
        <v>87.9</v>
      </c>
      <c r="AX409" s="26">
        <f>IFERROR(__xludf.DUMMYFUNCTION("""COMPUTED_VALUE"""),46.49)</f>
        <v>46.49</v>
      </c>
      <c r="AY409" s="26">
        <f>IFERROR(__xludf.DUMMYFUNCTION("""COMPUTED_VALUE"""),194.17)</f>
        <v>194.17</v>
      </c>
      <c r="AZ409" s="26">
        <f>IFERROR(__xludf.DUMMYFUNCTION("""COMPUTED_VALUE"""),60.04)</f>
        <v>60.04</v>
      </c>
      <c r="BA409" s="26">
        <f>IFERROR(__xludf.DUMMYFUNCTION("""COMPUTED_VALUE"""),25.03)</f>
        <v>25.03</v>
      </c>
      <c r="BB409" s="26">
        <f>IFERROR(__xludf.DUMMYFUNCTION("""COMPUTED_VALUE"""),186.38)</f>
        <v>186.38</v>
      </c>
      <c r="BC409" s="26">
        <f>IFERROR(__xludf.DUMMYFUNCTION("""COMPUTED_VALUE"""),199.02)</f>
        <v>199.02</v>
      </c>
      <c r="BD409" s="26">
        <f>IFERROR(__xludf.DUMMYFUNCTION("""COMPUTED_VALUE"""),579.12)</f>
        <v>579.12</v>
      </c>
      <c r="BE409" s="26">
        <f>IFERROR(__xludf.DUMMYFUNCTION("""COMPUTED_VALUE"""),216.73)</f>
        <v>216.73</v>
      </c>
      <c r="BF409" s="26">
        <f>IFERROR(__xludf.DUMMYFUNCTION("""COMPUTED_VALUE"""),126.99)</f>
        <v>126.99</v>
      </c>
      <c r="BG409" s="26">
        <f>IFERROR(__xludf.DUMMYFUNCTION("""COMPUTED_VALUE"""),4.62)</f>
        <v>4.62</v>
      </c>
      <c r="BH409" s="26">
        <f>IFERROR(__xludf.DUMMYFUNCTION("""COMPUTED_VALUE"""),235.05)</f>
        <v>235.05</v>
      </c>
      <c r="BI409" s="26">
        <f>IFERROR(__xludf.DUMMYFUNCTION("""COMPUTED_VALUE"""),327.58)</f>
        <v>327.58</v>
      </c>
      <c r="BJ409" s="26">
        <f>IFERROR(__xludf.DUMMYFUNCTION("""COMPUTED_VALUE"""),49.42)</f>
        <v>49.42</v>
      </c>
      <c r="BK409" s="26">
        <f>IFERROR(__xludf.DUMMYFUNCTION("""COMPUTED_VALUE"""),12.24)</f>
        <v>12.24</v>
      </c>
      <c r="BL409" s="26">
        <f>IFERROR(__xludf.DUMMYFUNCTION("""COMPUTED_VALUE"""),221.36)</f>
        <v>221.36</v>
      </c>
      <c r="BM409" s="26">
        <f>IFERROR(__xludf.DUMMYFUNCTION("""COMPUTED_VALUE"""),114.48)</f>
        <v>114.48</v>
      </c>
    </row>
    <row r="410">
      <c r="A410" s="25"/>
      <c r="B410" s="17">
        <f>IFERROR(__xludf.DUMMYFUNCTION("""COMPUTED_VALUE"""),6929.94)</f>
        <v>6929.94</v>
      </c>
      <c r="C410" s="17">
        <f>IFERROR(__xludf.DUMMYFUNCTION("""COMPUTED_VALUE"""),23593.1)</f>
        <v>23593.1</v>
      </c>
      <c r="D410" s="17">
        <f>IFERROR(__xludf.DUMMYFUNCTION("""COMPUTED_VALUE"""),48710.97)</f>
        <v>48710.97</v>
      </c>
      <c r="E410" s="17">
        <f>IFERROR(__xludf.DUMMYFUNCTION("""COMPUTED_VALUE"""),2534.35)</f>
        <v>2534.35</v>
      </c>
      <c r="F410" s="26">
        <f>IFERROR(__xludf.DUMMYFUNCTION("""COMPUTED_VALUE"""),353.8)</f>
        <v>353.8</v>
      </c>
      <c r="G410" s="26">
        <f>IFERROR(__xludf.DUMMYFUNCTION("""COMPUTED_VALUE"""),232.52)</f>
        <v>232.52</v>
      </c>
      <c r="H410" s="26">
        <f>IFERROR(__xludf.DUMMYFUNCTION("""COMPUTED_VALUE"""),130.55)</f>
        <v>130.55</v>
      </c>
      <c r="I410" s="26">
        <f>IFERROR(__xludf.DUMMYFUNCTION("""COMPUTED_VALUE"""),273.4)</f>
        <v>273.4</v>
      </c>
      <c r="J410" s="26">
        <f>IFERROR(__xludf.DUMMYFUNCTION("""COMPUTED_VALUE"""),261.9)</f>
        <v>261.9</v>
      </c>
      <c r="K410" s="26">
        <f>IFERROR(__xludf.DUMMYFUNCTION("""COMPUTED_VALUE"""),117.47)</f>
        <v>117.47</v>
      </c>
      <c r="L410" s="26">
        <f>IFERROR(__xludf.DUMMYFUNCTION("""COMPUTED_VALUE"""),25.74)</f>
        <v>25.74</v>
      </c>
      <c r="M410" s="26">
        <f>IFERROR(__xludf.DUMMYFUNCTION("""COMPUTED_VALUE"""),498.3)</f>
        <v>498.3</v>
      </c>
      <c r="N410" s="26">
        <f>IFERROR(__xludf.DUMMYFUNCTION("""COMPUTED_VALUE"""),61.89)</f>
        <v>61.89</v>
      </c>
      <c r="O410" s="26">
        <f>IFERROR(__xludf.DUMMYFUNCTION("""COMPUTED_VALUE"""),177.08)</f>
        <v>177.08</v>
      </c>
      <c r="P410" s="26">
        <f>IFERROR(__xludf.DUMMYFUNCTION("""COMPUTED_VALUE"""),53.59)</f>
        <v>53.59</v>
      </c>
      <c r="Q410" s="26">
        <f>IFERROR(__xludf.DUMMYFUNCTION("""COMPUTED_VALUE"""),583.0)</f>
        <v>583</v>
      </c>
      <c r="R410" s="26">
        <f>IFERROR(__xludf.DUMMYFUNCTION("""COMPUTED_VALUE"""),92.84)</f>
        <v>92.84</v>
      </c>
      <c r="S410" s="26">
        <f>IFERROR(__xludf.DUMMYFUNCTION("""COMPUTED_VALUE"""),189.64)</f>
        <v>189.64</v>
      </c>
      <c r="T410" s="26">
        <f>IFERROR(__xludf.DUMMYFUNCTION("""COMPUTED_VALUE"""),150.02)</f>
        <v>150.02</v>
      </c>
      <c r="U410" s="26">
        <f>IFERROR(__xludf.DUMMYFUNCTION("""COMPUTED_VALUE"""),276.51)</f>
        <v>276.51</v>
      </c>
      <c r="V410" s="26">
        <f>IFERROR(__xludf.DUMMYFUNCTION("""COMPUTED_VALUE"""),59.83)</f>
        <v>59.83</v>
      </c>
      <c r="W410" s="26">
        <f>IFERROR(__xludf.DUMMYFUNCTION("""COMPUTED_VALUE"""),69.87)</f>
        <v>69.87</v>
      </c>
      <c r="X410" s="26">
        <f>IFERROR(__xludf.DUMMYFUNCTION("""COMPUTED_VALUE"""),99.3)</f>
        <v>99.3</v>
      </c>
      <c r="Y410" s="26">
        <f>IFERROR(__xludf.DUMMYFUNCTION("""COMPUTED_VALUE"""),155.01)</f>
        <v>155.01</v>
      </c>
      <c r="Z410" s="26">
        <f>IFERROR(__xludf.DUMMYFUNCTION("""COMPUTED_VALUE"""),123.95)</f>
        <v>123.95</v>
      </c>
      <c r="AA410" s="26">
        <f>IFERROR(__xludf.DUMMYFUNCTION("""COMPUTED_VALUE"""),425.56)</f>
        <v>425.56</v>
      </c>
      <c r="AB410" s="26">
        <f>IFERROR(__xludf.DUMMYFUNCTION("""COMPUTED_VALUE"""),85.21)</f>
        <v>85.21</v>
      </c>
      <c r="AC410" s="26">
        <f>IFERROR(__xludf.DUMMYFUNCTION("""COMPUTED_VALUE"""),119.11)</f>
        <v>119.11</v>
      </c>
      <c r="AD410" s="26">
        <f>IFERROR(__xludf.DUMMYFUNCTION("""COMPUTED_VALUE"""),296.33)</f>
        <v>296.33</v>
      </c>
      <c r="AE410" s="26">
        <f>IFERROR(__xludf.DUMMYFUNCTION("""COMPUTED_VALUE"""),378.13)</f>
        <v>378.13</v>
      </c>
      <c r="AF410" s="26">
        <f>IFERROR(__xludf.DUMMYFUNCTION("""COMPUTED_VALUE"""),342.2)</f>
        <v>342.2</v>
      </c>
      <c r="AG410" s="26">
        <f>IFERROR(__xludf.DUMMYFUNCTION("""COMPUTED_VALUE"""),83.06)</f>
        <v>83.06</v>
      </c>
      <c r="AH410" s="26">
        <f>IFERROR(__xludf.DUMMYFUNCTION("""COMPUTED_VALUE"""),124.7)</f>
        <v>124.7</v>
      </c>
      <c r="AI410" s="26">
        <f>IFERROR(__xludf.DUMMYFUNCTION("""COMPUTED_VALUE"""),907.04)</f>
        <v>907.04</v>
      </c>
      <c r="AJ410" s="26">
        <f>IFERROR(__xludf.DUMMYFUNCTION("""COMPUTED_VALUE"""),349.78)</f>
        <v>349.78</v>
      </c>
      <c r="AK410" s="26">
        <f>IFERROR(__xludf.DUMMYFUNCTION("""COMPUTED_VALUE"""),180.66)</f>
        <v>180.66</v>
      </c>
      <c r="AL410" s="26">
        <f>IFERROR(__xludf.DUMMYFUNCTION("""COMPUTED_VALUE"""),163.52)</f>
        <v>163.52</v>
      </c>
      <c r="AM410" s="26">
        <f>IFERROR(__xludf.DUMMYFUNCTION("""COMPUTED_VALUE"""),577.81)</f>
        <v>577.81</v>
      </c>
      <c r="AN410" s="26">
        <f>IFERROR(__xludf.DUMMYFUNCTION("""COMPUTED_VALUE"""),327.91)</f>
        <v>327.91</v>
      </c>
      <c r="AO410" s="26">
        <f>IFERROR(__xludf.DUMMYFUNCTION("""COMPUTED_VALUE"""),483.03)</f>
        <v>483.03</v>
      </c>
      <c r="AP410" s="26">
        <f>IFERROR(__xludf.DUMMYFUNCTION("""COMPUTED_VALUE"""),208.97)</f>
        <v>208.97</v>
      </c>
      <c r="AQ410" s="26">
        <f>IFERROR(__xludf.DUMMYFUNCTION("""COMPUTED_VALUE"""),36.58)</f>
        <v>36.58</v>
      </c>
      <c r="AR410" s="26">
        <f>IFERROR(__xludf.DUMMYFUNCTION("""COMPUTED_VALUE"""),96.52)</f>
        <v>96.52</v>
      </c>
      <c r="AS410" s="26">
        <f>IFERROR(__xludf.DUMMYFUNCTION("""COMPUTED_VALUE"""),80.3)</f>
        <v>80.3</v>
      </c>
      <c r="AT410" s="26">
        <f>IFERROR(__xludf.DUMMYFUNCTION("""COMPUTED_VALUE"""),487.71)</f>
        <v>487.71</v>
      </c>
      <c r="AU410" s="26">
        <f>IFERROR(__xludf.DUMMYFUNCTION("""COMPUTED_VALUE"""),80.41)</f>
        <v>80.41</v>
      </c>
      <c r="AV410" s="26">
        <f>IFERROR(__xludf.DUMMYFUNCTION("""COMPUTED_VALUE"""),190.53)</f>
        <v>190.53</v>
      </c>
      <c r="AW410" s="26">
        <f>IFERROR(__xludf.DUMMYFUNCTION("""COMPUTED_VALUE"""),87.62)</f>
        <v>87.62</v>
      </c>
      <c r="AX410" s="26">
        <f>IFERROR(__xludf.DUMMYFUNCTION("""COMPUTED_VALUE"""),46.78)</f>
        <v>46.78</v>
      </c>
      <c r="AY410" s="26">
        <f>IFERROR(__xludf.DUMMYFUNCTION("""COMPUTED_VALUE"""),188.71)</f>
        <v>188.71</v>
      </c>
      <c r="AZ410" s="26">
        <f>IFERROR(__xludf.DUMMYFUNCTION("""COMPUTED_VALUE"""),59.97)</f>
        <v>59.97</v>
      </c>
      <c r="BA410" s="26">
        <f>IFERROR(__xludf.DUMMYFUNCTION("""COMPUTED_VALUE"""),25.09)</f>
        <v>25.09</v>
      </c>
      <c r="BB410" s="26">
        <f>IFERROR(__xludf.DUMMYFUNCTION("""COMPUTED_VALUE"""),185.17)</f>
        <v>185.17</v>
      </c>
      <c r="BC410" s="26">
        <f>IFERROR(__xludf.DUMMYFUNCTION("""COMPUTED_VALUE"""),201.0)</f>
        <v>201</v>
      </c>
      <c r="BD410" s="26">
        <f>IFERROR(__xludf.DUMMYFUNCTION("""COMPUTED_VALUE"""),580.74)</f>
        <v>580.74</v>
      </c>
      <c r="BE410" s="26">
        <f>IFERROR(__xludf.DUMMYFUNCTION("""COMPUTED_VALUE"""),216.62)</f>
        <v>216.62</v>
      </c>
      <c r="BF410" s="26">
        <f>IFERROR(__xludf.DUMMYFUNCTION("""COMPUTED_VALUE"""),124.2)</f>
        <v>124.2</v>
      </c>
      <c r="BG410" s="26">
        <f>IFERROR(__xludf.DUMMYFUNCTION("""COMPUTED_VALUE"""),4.65)</f>
        <v>4.65</v>
      </c>
      <c r="BH410" s="26">
        <f>IFERROR(__xludf.DUMMYFUNCTION("""COMPUTED_VALUE"""),233.44)</f>
        <v>233.44</v>
      </c>
      <c r="BI410" s="26">
        <f>IFERROR(__xludf.DUMMYFUNCTION("""COMPUTED_VALUE"""),331.83)</f>
        <v>331.83</v>
      </c>
      <c r="BJ410" s="26">
        <f>IFERROR(__xludf.DUMMYFUNCTION("""COMPUTED_VALUE"""),49.44)</f>
        <v>49.44</v>
      </c>
      <c r="BK410" s="26">
        <f>IFERROR(__xludf.DUMMYFUNCTION("""COMPUTED_VALUE"""),12.32)</f>
        <v>12.32</v>
      </c>
      <c r="BL410" s="26">
        <f>IFERROR(__xludf.DUMMYFUNCTION("""COMPUTED_VALUE"""),221.1)</f>
        <v>221.1</v>
      </c>
      <c r="BM410" s="26">
        <f>IFERROR(__xludf.DUMMYFUNCTION("""COMPUTED_VALUE"""),113.56)</f>
        <v>113.56</v>
      </c>
    </row>
    <row r="411">
      <c r="A411" s="25"/>
      <c r="B411" s="17">
        <f>IFERROR(__xludf.DUMMYFUNCTION("""COMPUTED_VALUE"""),6905.74)</f>
        <v>6905.74</v>
      </c>
      <c r="C411" s="17">
        <f>IFERROR(__xludf.DUMMYFUNCTION("""COMPUTED_VALUE"""),23474.35)</f>
        <v>23474.35</v>
      </c>
      <c r="D411" s="17">
        <f>IFERROR(__xludf.DUMMYFUNCTION("""COMPUTED_VALUE"""),48461.93)</f>
        <v>48461.93</v>
      </c>
      <c r="E411" s="17">
        <f>IFERROR(__xludf.DUMMYFUNCTION("""COMPUTED_VALUE"""),2519.8)</f>
        <v>2519.8</v>
      </c>
      <c r="F411" s="26">
        <f>IFERROR(__xludf.DUMMYFUNCTION("""COMPUTED_VALUE"""),353.16)</f>
        <v>353.16</v>
      </c>
      <c r="G411" s="26">
        <f>IFERROR(__xludf.DUMMYFUNCTION("""COMPUTED_VALUE"""),232.07)</f>
        <v>232.07</v>
      </c>
      <c r="H411" s="26">
        <f>IFERROR(__xludf.DUMMYFUNCTION("""COMPUTED_VALUE"""),130.95)</f>
        <v>130.95</v>
      </c>
      <c r="I411" s="26">
        <f>IFERROR(__xludf.DUMMYFUNCTION("""COMPUTED_VALUE"""),273.76)</f>
        <v>273.76</v>
      </c>
      <c r="J411" s="26">
        <f>IFERROR(__xludf.DUMMYFUNCTION("""COMPUTED_VALUE"""),263.05)</f>
        <v>263.05</v>
      </c>
      <c r="K411" s="26">
        <f>IFERROR(__xludf.DUMMYFUNCTION("""COMPUTED_VALUE"""),117.47)</f>
        <v>117.47</v>
      </c>
      <c r="L411" s="26">
        <f>IFERROR(__xludf.DUMMYFUNCTION("""COMPUTED_VALUE"""),25.48)</f>
        <v>25.48</v>
      </c>
      <c r="M411" s="26">
        <f>IFERROR(__xludf.DUMMYFUNCTION("""COMPUTED_VALUE"""),501.05)</f>
        <v>501.05</v>
      </c>
      <c r="N411" s="26">
        <f>IFERROR(__xludf.DUMMYFUNCTION("""COMPUTED_VALUE"""),60.39)</f>
        <v>60.39</v>
      </c>
      <c r="O411" s="26">
        <f>IFERROR(__xludf.DUMMYFUNCTION("""COMPUTED_VALUE"""),176.83)</f>
        <v>176.83</v>
      </c>
      <c r="P411" s="26">
        <f>IFERROR(__xludf.DUMMYFUNCTION("""COMPUTED_VALUE"""),53.61)</f>
        <v>53.61</v>
      </c>
      <c r="Q411" s="26">
        <f>IFERROR(__xludf.DUMMYFUNCTION("""COMPUTED_VALUE"""),578.61)</f>
        <v>578.61</v>
      </c>
      <c r="R411" s="26">
        <f>IFERROR(__xludf.DUMMYFUNCTION("""COMPUTED_VALUE"""),92.84)</f>
        <v>92.84</v>
      </c>
      <c r="S411" s="26">
        <f>IFERROR(__xludf.DUMMYFUNCTION("""COMPUTED_VALUE"""),188.58)</f>
        <v>188.58</v>
      </c>
      <c r="T411" s="26">
        <f>IFERROR(__xludf.DUMMYFUNCTION("""COMPUTED_VALUE"""),150.99)</f>
        <v>150.99</v>
      </c>
      <c r="U411" s="26">
        <f>IFERROR(__xludf.DUMMYFUNCTION("""COMPUTED_VALUE"""),276.01)</f>
        <v>276.01</v>
      </c>
      <c r="V411" s="26">
        <f>IFERROR(__xludf.DUMMYFUNCTION("""COMPUTED_VALUE"""),59.14)</f>
        <v>59.14</v>
      </c>
      <c r="W411" s="26">
        <f>IFERROR(__xludf.DUMMYFUNCTION("""COMPUTED_VALUE"""),70.16)</f>
        <v>70.16</v>
      </c>
      <c r="X411" s="26">
        <f>IFERROR(__xludf.DUMMYFUNCTION("""COMPUTED_VALUE"""),99.54)</f>
        <v>99.54</v>
      </c>
      <c r="Y411" s="26">
        <f>IFERROR(__xludf.DUMMYFUNCTION("""COMPUTED_VALUE"""),155.65)</f>
        <v>155.65</v>
      </c>
      <c r="Z411" s="26">
        <f>IFERROR(__xludf.DUMMYFUNCTION("""COMPUTED_VALUE"""),123.93)</f>
        <v>123.93</v>
      </c>
      <c r="AA411" s="26">
        <f>IFERROR(__xludf.DUMMYFUNCTION("""COMPUTED_VALUE"""),421.25)</f>
        <v>421.25</v>
      </c>
      <c r="AB411" s="26">
        <f>IFERROR(__xludf.DUMMYFUNCTION("""COMPUTED_VALUE"""),87.74)</f>
        <v>87.74</v>
      </c>
      <c r="AC411" s="26">
        <f>IFERROR(__xludf.DUMMYFUNCTION("""COMPUTED_VALUE"""),120.53)</f>
        <v>120.53</v>
      </c>
      <c r="AD411" s="26">
        <f>IFERROR(__xludf.DUMMYFUNCTION("""COMPUTED_VALUE"""),292.89)</f>
        <v>292.89</v>
      </c>
      <c r="AE411" s="26">
        <f>IFERROR(__xludf.DUMMYFUNCTION("""COMPUTED_VALUE"""),375.75)</f>
        <v>375.75</v>
      </c>
      <c r="AF411" s="26">
        <f>IFERROR(__xludf.DUMMYFUNCTION("""COMPUTED_VALUE"""),340.48)</f>
        <v>340.48</v>
      </c>
      <c r="AG411" s="26">
        <f>IFERROR(__xludf.DUMMYFUNCTION("""COMPUTED_VALUE"""),82.93)</f>
        <v>82.93</v>
      </c>
      <c r="AH411" s="26">
        <f>IFERROR(__xludf.DUMMYFUNCTION("""COMPUTED_VALUE"""),124.91)</f>
        <v>124.91</v>
      </c>
      <c r="AI411" s="26">
        <f>IFERROR(__xludf.DUMMYFUNCTION("""COMPUTED_VALUE"""),892.18)</f>
        <v>892.18</v>
      </c>
      <c r="AJ411" s="26">
        <f>IFERROR(__xludf.DUMMYFUNCTION("""COMPUTED_VALUE"""),347.45)</f>
        <v>347.45</v>
      </c>
      <c r="AK411" s="26">
        <f>IFERROR(__xludf.DUMMYFUNCTION("""COMPUTED_VALUE"""),179.34)</f>
        <v>179.34</v>
      </c>
      <c r="AL411" s="26">
        <f>IFERROR(__xludf.DUMMYFUNCTION("""COMPUTED_VALUE"""),163.98)</f>
        <v>163.98</v>
      </c>
      <c r="AM411" s="26">
        <f>IFERROR(__xludf.DUMMYFUNCTION("""COMPUTED_VALUE"""),575.4)</f>
        <v>575.4</v>
      </c>
      <c r="AN411" s="26">
        <f>IFERROR(__xludf.DUMMYFUNCTION("""COMPUTED_VALUE"""),323.75)</f>
        <v>323.75</v>
      </c>
      <c r="AO411" s="26">
        <f>IFERROR(__xludf.DUMMYFUNCTION("""COMPUTED_VALUE"""),488.87)</f>
        <v>488.87</v>
      </c>
      <c r="AP411" s="26">
        <f>IFERROR(__xludf.DUMMYFUNCTION("""COMPUTED_VALUE"""),212.54)</f>
        <v>212.54</v>
      </c>
      <c r="AQ411" s="26">
        <f>IFERROR(__xludf.DUMMYFUNCTION("""COMPUTED_VALUE"""),36.66)</f>
        <v>36.66</v>
      </c>
      <c r="AR411" s="26">
        <f>IFERROR(__xludf.DUMMYFUNCTION("""COMPUTED_VALUE"""),96.15)</f>
        <v>96.15</v>
      </c>
      <c r="AS411" s="26">
        <f>IFERROR(__xludf.DUMMYFUNCTION("""COMPUTED_VALUE"""),79.99)</f>
        <v>79.99</v>
      </c>
      <c r="AT411" s="26">
        <f>IFERROR(__xludf.DUMMYFUNCTION("""COMPUTED_VALUE"""),487.1)</f>
        <v>487.1</v>
      </c>
      <c r="AU411" s="26">
        <f>IFERROR(__xludf.DUMMYFUNCTION("""COMPUTED_VALUE"""),80.27)</f>
        <v>80.27</v>
      </c>
      <c r="AV411" s="26">
        <f>IFERROR(__xludf.DUMMYFUNCTION("""COMPUTED_VALUE"""),188.22)</f>
        <v>188.22</v>
      </c>
      <c r="AW411" s="26">
        <f>IFERROR(__xludf.DUMMYFUNCTION("""COMPUTED_VALUE"""),87.95)</f>
        <v>87.95</v>
      </c>
      <c r="AX411" s="26">
        <f>IFERROR(__xludf.DUMMYFUNCTION("""COMPUTED_VALUE"""),47.46)</f>
        <v>47.46</v>
      </c>
      <c r="AY411" s="26">
        <f>IFERROR(__xludf.DUMMYFUNCTION("""COMPUTED_VALUE"""),184.18)</f>
        <v>184.18</v>
      </c>
      <c r="AZ411" s="26">
        <f>IFERROR(__xludf.DUMMYFUNCTION("""COMPUTED_VALUE"""),59.49)</f>
        <v>59.49</v>
      </c>
      <c r="BA411" s="26">
        <f>IFERROR(__xludf.DUMMYFUNCTION("""COMPUTED_VALUE"""),25.0)</f>
        <v>25</v>
      </c>
      <c r="BB411" s="26">
        <f>IFERROR(__xludf.DUMMYFUNCTION("""COMPUTED_VALUE"""),184.42)</f>
        <v>184.42</v>
      </c>
      <c r="BC411" s="26">
        <f>IFERROR(__xludf.DUMMYFUNCTION("""COMPUTED_VALUE"""),203.15)</f>
        <v>203.15</v>
      </c>
      <c r="BD411" s="26">
        <f>IFERROR(__xludf.DUMMYFUNCTION("""COMPUTED_VALUE"""),585.07)</f>
        <v>585.07</v>
      </c>
      <c r="BE411" s="26">
        <f>IFERROR(__xludf.DUMMYFUNCTION("""COMPUTED_VALUE"""),216.44)</f>
        <v>216.44</v>
      </c>
      <c r="BF411" s="26">
        <f>IFERROR(__xludf.DUMMYFUNCTION("""COMPUTED_VALUE"""),123.06)</f>
        <v>123.06</v>
      </c>
      <c r="BG411" s="26">
        <f>IFERROR(__xludf.DUMMYFUNCTION("""COMPUTED_VALUE"""),4.78)</f>
        <v>4.78</v>
      </c>
      <c r="BH411" s="26">
        <f>IFERROR(__xludf.DUMMYFUNCTION("""COMPUTED_VALUE"""),234.53)</f>
        <v>234.53</v>
      </c>
      <c r="BI411" s="26">
        <f>IFERROR(__xludf.DUMMYFUNCTION("""COMPUTED_VALUE"""),328.94)</f>
        <v>328.94</v>
      </c>
      <c r="BJ411" s="26">
        <f>IFERROR(__xludf.DUMMYFUNCTION("""COMPUTED_VALUE"""),49.46)</f>
        <v>49.46</v>
      </c>
      <c r="BK411" s="26">
        <f>IFERROR(__xludf.DUMMYFUNCTION("""COMPUTED_VALUE"""),12.37)</f>
        <v>12.37</v>
      </c>
      <c r="BL411" s="26">
        <f>IFERROR(__xludf.DUMMYFUNCTION("""COMPUTED_VALUE"""),222.29)</f>
        <v>222.29</v>
      </c>
      <c r="BM411" s="26">
        <f>IFERROR(__xludf.DUMMYFUNCTION("""COMPUTED_VALUE"""),114.19)</f>
        <v>114.19</v>
      </c>
    </row>
    <row r="412">
      <c r="A412" s="25"/>
      <c r="B412" s="17">
        <f>IFERROR(__xludf.DUMMYFUNCTION("""COMPUTED_VALUE"""),6896.24)</f>
        <v>6896.24</v>
      </c>
      <c r="C412" s="17">
        <f>IFERROR(__xludf.DUMMYFUNCTION("""COMPUTED_VALUE"""),23419.08)</f>
        <v>23419.08</v>
      </c>
      <c r="D412" s="17">
        <f>IFERROR(__xludf.DUMMYFUNCTION("""COMPUTED_VALUE"""),48367.06)</f>
        <v>48367.06</v>
      </c>
      <c r="E412" s="17">
        <f>IFERROR(__xludf.DUMMYFUNCTION("""COMPUTED_VALUE"""),2500.59)</f>
        <v>2500.59</v>
      </c>
      <c r="F412" s="26">
        <f>IFERROR(__xludf.DUMMYFUNCTION("""COMPUTED_VALUE"""),352.51)</f>
        <v>352.51</v>
      </c>
      <c r="G412" s="26">
        <f>IFERROR(__xludf.DUMMYFUNCTION("""COMPUTED_VALUE"""),232.53)</f>
        <v>232.53</v>
      </c>
      <c r="H412" s="26">
        <f>IFERROR(__xludf.DUMMYFUNCTION("""COMPUTED_VALUE"""),131.13)</f>
        <v>131.13</v>
      </c>
      <c r="I412" s="26">
        <f>IFERROR(__xludf.DUMMYFUNCTION("""COMPUTED_VALUE"""),273.08)</f>
        <v>273.08</v>
      </c>
      <c r="J412" s="26">
        <f>IFERROR(__xludf.DUMMYFUNCTION("""COMPUTED_VALUE"""),259.97)</f>
        <v>259.97</v>
      </c>
      <c r="K412" s="26">
        <f>IFERROR(__xludf.DUMMYFUNCTION("""COMPUTED_VALUE"""),116.87)</f>
        <v>116.87</v>
      </c>
      <c r="L412" s="26">
        <f>IFERROR(__xludf.DUMMYFUNCTION("""COMPUTED_VALUE"""),25.59)</f>
        <v>25.59</v>
      </c>
      <c r="M412" s="26">
        <f>IFERROR(__xludf.DUMMYFUNCTION("""COMPUTED_VALUE"""),503.71)</f>
        <v>503.71</v>
      </c>
      <c r="N412" s="26">
        <f>IFERROR(__xludf.DUMMYFUNCTION("""COMPUTED_VALUE"""),60.92)</f>
        <v>60.92</v>
      </c>
      <c r="O412" s="26">
        <f>IFERROR(__xludf.DUMMYFUNCTION("""COMPUTED_VALUE"""),176.4)</f>
        <v>176.4</v>
      </c>
      <c r="P412" s="26">
        <f>IFERROR(__xludf.DUMMYFUNCTION("""COMPUTED_VALUE"""),53.43)</f>
        <v>53.43</v>
      </c>
      <c r="Q412" s="26">
        <f>IFERROR(__xludf.DUMMYFUNCTION("""COMPUTED_VALUE"""),577.39)</f>
        <v>577.39</v>
      </c>
      <c r="R412" s="26">
        <f>IFERROR(__xludf.DUMMYFUNCTION("""COMPUTED_VALUE"""),91.37)</f>
        <v>91.37</v>
      </c>
      <c r="S412" s="26">
        <f>IFERROR(__xludf.DUMMYFUNCTION("""COMPUTED_VALUE"""),187.46)</f>
        <v>187.46</v>
      </c>
      <c r="T412" s="26">
        <f>IFERROR(__xludf.DUMMYFUNCTION("""COMPUTED_VALUE"""),152.31)</f>
        <v>152.31</v>
      </c>
      <c r="U412" s="26">
        <f>IFERROR(__xludf.DUMMYFUNCTION("""COMPUTED_VALUE"""),276.48)</f>
        <v>276.48</v>
      </c>
      <c r="V412" s="26">
        <f>IFERROR(__xludf.DUMMYFUNCTION("""COMPUTED_VALUE"""),58.95)</f>
        <v>58.95</v>
      </c>
      <c r="W412" s="26">
        <f>IFERROR(__xludf.DUMMYFUNCTION("""COMPUTED_VALUE"""),70.07)</f>
        <v>70.07</v>
      </c>
      <c r="X412" s="26">
        <f>IFERROR(__xludf.DUMMYFUNCTION("""COMPUTED_VALUE"""),99.89)</f>
        <v>99.89</v>
      </c>
      <c r="Y412" s="26">
        <f>IFERROR(__xludf.DUMMYFUNCTION("""COMPUTED_VALUE"""),156.39)</f>
        <v>156.39</v>
      </c>
      <c r="Z412" s="26">
        <f>IFERROR(__xludf.DUMMYFUNCTION("""COMPUTED_VALUE"""),124.02)</f>
        <v>124.02</v>
      </c>
      <c r="AA412" s="26">
        <f>IFERROR(__xludf.DUMMYFUNCTION("""COMPUTED_VALUE"""),421.92)</f>
        <v>421.92</v>
      </c>
      <c r="AB412" s="26">
        <f>IFERROR(__xludf.DUMMYFUNCTION("""COMPUTED_VALUE"""),87.1)</f>
        <v>87.1</v>
      </c>
      <c r="AC412" s="26">
        <f>IFERROR(__xludf.DUMMYFUNCTION("""COMPUTED_VALUE"""),120.99)</f>
        <v>120.99</v>
      </c>
      <c r="AD412" s="26">
        <f>IFERROR(__xludf.DUMMYFUNCTION("""COMPUTED_VALUE"""),291.06)</f>
        <v>291.06</v>
      </c>
      <c r="AE412" s="26">
        <f>IFERROR(__xludf.DUMMYFUNCTION("""COMPUTED_VALUE"""),372.48)</f>
        <v>372.48</v>
      </c>
      <c r="AF412" s="26">
        <f>IFERROR(__xludf.DUMMYFUNCTION("""COMPUTED_VALUE"""),339.47)</f>
        <v>339.47</v>
      </c>
      <c r="AG412" s="26">
        <f>IFERROR(__xludf.DUMMYFUNCTION("""COMPUTED_VALUE"""),82.33)</f>
        <v>82.33</v>
      </c>
      <c r="AH412" s="26">
        <f>IFERROR(__xludf.DUMMYFUNCTION("""COMPUTED_VALUE"""),123.18)</f>
        <v>123.18</v>
      </c>
      <c r="AI412" s="26">
        <f>IFERROR(__xludf.DUMMYFUNCTION("""COMPUTED_VALUE"""),884.42)</f>
        <v>884.42</v>
      </c>
      <c r="AJ412" s="26">
        <f>IFERROR(__xludf.DUMMYFUNCTION("""COMPUTED_VALUE"""),346.35)</f>
        <v>346.35</v>
      </c>
      <c r="AK412" s="26">
        <f>IFERROR(__xludf.DUMMYFUNCTION("""COMPUTED_VALUE"""),175.35)</f>
        <v>175.35</v>
      </c>
      <c r="AL412" s="26">
        <f>IFERROR(__xludf.DUMMYFUNCTION("""COMPUTED_VALUE"""),163.16)</f>
        <v>163.16</v>
      </c>
      <c r="AM412" s="26">
        <f>IFERROR(__xludf.DUMMYFUNCTION("""COMPUTED_VALUE"""),572.63)</f>
        <v>572.63</v>
      </c>
      <c r="AN412" s="26">
        <f>IFERROR(__xludf.DUMMYFUNCTION("""COMPUTED_VALUE"""),323.42)</f>
        <v>323.42</v>
      </c>
      <c r="AO412" s="26">
        <f>IFERROR(__xludf.DUMMYFUNCTION("""COMPUTED_VALUE"""),488.0)</f>
        <v>488</v>
      </c>
      <c r="AP412" s="26">
        <f>IFERROR(__xludf.DUMMYFUNCTION("""COMPUTED_VALUE"""),210.67)</f>
        <v>210.67</v>
      </c>
      <c r="AQ412" s="26">
        <f>IFERROR(__xludf.DUMMYFUNCTION("""COMPUTED_VALUE"""),36.53)</f>
        <v>36.53</v>
      </c>
      <c r="AR412" s="26">
        <f>IFERROR(__xludf.DUMMYFUNCTION("""COMPUTED_VALUE"""),96.66)</f>
        <v>96.66</v>
      </c>
      <c r="AS412" s="26">
        <f>IFERROR(__xludf.DUMMYFUNCTION("""COMPUTED_VALUE"""),79.78)</f>
        <v>79.78</v>
      </c>
      <c r="AT412" s="26">
        <f>IFERROR(__xludf.DUMMYFUNCTION("""COMPUTED_VALUE"""),487.48)</f>
        <v>487.48</v>
      </c>
      <c r="AU412" s="26">
        <f>IFERROR(__xludf.DUMMYFUNCTION("""COMPUTED_VALUE"""),80.53)</f>
        <v>80.53</v>
      </c>
      <c r="AV412" s="26">
        <f>IFERROR(__xludf.DUMMYFUNCTION("""COMPUTED_VALUE"""),187.54)</f>
        <v>187.54</v>
      </c>
      <c r="AW412" s="26">
        <f>IFERROR(__xludf.DUMMYFUNCTION("""COMPUTED_VALUE"""),88.01)</f>
        <v>88.01</v>
      </c>
      <c r="AX412" s="26">
        <f>IFERROR(__xludf.DUMMYFUNCTION("""COMPUTED_VALUE"""),47.45)</f>
        <v>47.45</v>
      </c>
      <c r="AY412" s="26">
        <f>IFERROR(__xludf.DUMMYFUNCTION("""COMPUTED_VALUE"""),180.84)</f>
        <v>180.84</v>
      </c>
      <c r="AZ412" s="26">
        <f>IFERROR(__xludf.DUMMYFUNCTION("""COMPUTED_VALUE"""),59.1)</f>
        <v>59.1</v>
      </c>
      <c r="BA412" s="26">
        <f>IFERROR(__xludf.DUMMYFUNCTION("""COMPUTED_VALUE"""),24.99)</f>
        <v>24.99</v>
      </c>
      <c r="BB412" s="26">
        <f>IFERROR(__xludf.DUMMYFUNCTION("""COMPUTED_VALUE"""),184.01)</f>
        <v>184.01</v>
      </c>
      <c r="BC412" s="26">
        <f>IFERROR(__xludf.DUMMYFUNCTION("""COMPUTED_VALUE"""),203.8)</f>
        <v>203.8</v>
      </c>
      <c r="BD412" s="26">
        <f>IFERROR(__xludf.DUMMYFUNCTION("""COMPUTED_VALUE"""),583.45)</f>
        <v>583.45</v>
      </c>
      <c r="BE412" s="26">
        <f>IFERROR(__xludf.DUMMYFUNCTION("""COMPUTED_VALUE"""),214.85)</f>
        <v>214.85</v>
      </c>
      <c r="BF412" s="26">
        <f>IFERROR(__xludf.DUMMYFUNCTION("""COMPUTED_VALUE"""),121.92)</f>
        <v>121.92</v>
      </c>
      <c r="BG412" s="26">
        <f>IFERROR(__xludf.DUMMYFUNCTION("""COMPUTED_VALUE"""),5.14)</f>
        <v>5.14</v>
      </c>
      <c r="BH412" s="26">
        <f>IFERROR(__xludf.DUMMYFUNCTION("""COMPUTED_VALUE"""),233.06)</f>
        <v>233.06</v>
      </c>
      <c r="BI412" s="26">
        <f>IFERROR(__xludf.DUMMYFUNCTION("""COMPUTED_VALUE"""),332.16)</f>
        <v>332.16</v>
      </c>
      <c r="BJ412" s="26">
        <f>IFERROR(__xludf.DUMMYFUNCTION("""COMPUTED_VALUE"""),49.47)</f>
        <v>49.47</v>
      </c>
      <c r="BK412" s="26">
        <f>IFERROR(__xludf.DUMMYFUNCTION("""COMPUTED_VALUE"""),12.54)</f>
        <v>12.54</v>
      </c>
      <c r="BL412" s="26">
        <f>IFERROR(__xludf.DUMMYFUNCTION("""COMPUTED_VALUE"""),222.12)</f>
        <v>222.12</v>
      </c>
      <c r="BM412" s="26">
        <f>IFERROR(__xludf.DUMMYFUNCTION("""COMPUTED_VALUE"""),114.79)</f>
        <v>114.79</v>
      </c>
    </row>
    <row r="413">
      <c r="A413" s="25"/>
      <c r="B413" s="17">
        <f>IFERROR(__xludf.DUMMYFUNCTION("""COMPUTED_VALUE"""),6845.5)</f>
        <v>6845.5</v>
      </c>
      <c r="C413" s="17">
        <f>IFERROR(__xludf.DUMMYFUNCTION("""COMPUTED_VALUE"""),23241.99)</f>
        <v>23241.99</v>
      </c>
      <c r="D413" s="17">
        <f>IFERROR(__xludf.DUMMYFUNCTION("""COMPUTED_VALUE"""),48063.29)</f>
        <v>48063.29</v>
      </c>
      <c r="E413" s="17">
        <f>IFERROR(__xludf.DUMMYFUNCTION("""COMPUTED_VALUE"""),2481.91)</f>
        <v>2481.91</v>
      </c>
      <c r="F413" s="26">
        <f>IFERROR(__xludf.DUMMYFUNCTION("""COMPUTED_VALUE"""),349.99)</f>
        <v>349.99</v>
      </c>
      <c r="G413" s="26">
        <f>IFERROR(__xludf.DUMMYFUNCTION("""COMPUTED_VALUE"""),230.82)</f>
        <v>230.82</v>
      </c>
      <c r="H413" s="26">
        <f>IFERROR(__xludf.DUMMYFUNCTION("""COMPUTED_VALUE"""),130.5)</f>
        <v>130.5</v>
      </c>
      <c r="I413" s="26">
        <f>IFERROR(__xludf.DUMMYFUNCTION("""COMPUTED_VALUE"""),271.86)</f>
        <v>271.86</v>
      </c>
      <c r="J413" s="26">
        <f>IFERROR(__xludf.DUMMYFUNCTION("""COMPUTED_VALUE"""),256.99)</f>
        <v>256.99</v>
      </c>
      <c r="K413" s="26">
        <f>IFERROR(__xludf.DUMMYFUNCTION("""COMPUTED_VALUE"""),116.09)</f>
        <v>116.09</v>
      </c>
      <c r="L413" s="26">
        <f>IFERROR(__xludf.DUMMYFUNCTION("""COMPUTED_VALUE"""),25.45)</f>
        <v>25.45</v>
      </c>
      <c r="M413" s="26">
        <f>IFERROR(__xludf.DUMMYFUNCTION("""COMPUTED_VALUE"""),502.65)</f>
        <v>502.65</v>
      </c>
      <c r="N413" s="26">
        <f>IFERROR(__xludf.DUMMYFUNCTION("""COMPUTED_VALUE"""),60.37)</f>
        <v>60.37</v>
      </c>
      <c r="O413" s="26">
        <f>IFERROR(__xludf.DUMMYFUNCTION("""COMPUTED_VALUE"""),175.99)</f>
        <v>175.99</v>
      </c>
      <c r="P413" s="26">
        <f>IFERROR(__xludf.DUMMYFUNCTION("""COMPUTED_VALUE"""),52.84)</f>
        <v>52.84</v>
      </c>
      <c r="Q413" s="26">
        <f>IFERROR(__xludf.DUMMYFUNCTION("""COMPUTED_VALUE"""),572.87)</f>
        <v>572.87</v>
      </c>
      <c r="R413" s="26">
        <f>IFERROR(__xludf.DUMMYFUNCTION("""COMPUTED_VALUE"""),91.49)</f>
        <v>91.49</v>
      </c>
      <c r="S413" s="26">
        <f>IFERROR(__xludf.DUMMYFUNCTION("""COMPUTED_VALUE"""),185.56)</f>
        <v>185.56</v>
      </c>
      <c r="T413" s="26">
        <f>IFERROR(__xludf.DUMMYFUNCTION("""COMPUTED_VALUE"""),152.41)</f>
        <v>152.41</v>
      </c>
      <c r="U413" s="26">
        <f>IFERROR(__xludf.DUMMYFUNCTION("""COMPUTED_VALUE"""),275.23)</f>
        <v>275.23</v>
      </c>
      <c r="V413" s="26">
        <f>IFERROR(__xludf.DUMMYFUNCTION("""COMPUTED_VALUE"""),58.41)</f>
        <v>58.41</v>
      </c>
      <c r="W413" s="26">
        <f>IFERROR(__xludf.DUMMYFUNCTION("""COMPUTED_VALUE"""),69.91)</f>
        <v>69.91</v>
      </c>
      <c r="X413" s="26">
        <f>IFERROR(__xludf.DUMMYFUNCTION("""COMPUTED_VALUE"""),99.32)</f>
        <v>99.32</v>
      </c>
      <c r="Y413" s="26">
        <f>IFERROR(__xludf.DUMMYFUNCTION("""COMPUTED_VALUE"""),154.71)</f>
        <v>154.71</v>
      </c>
      <c r="Z413" s="26">
        <f>IFERROR(__xludf.DUMMYFUNCTION("""COMPUTED_VALUE"""),123.01)</f>
        <v>123.01</v>
      </c>
      <c r="AA413" s="26">
        <f>IFERROR(__xludf.DUMMYFUNCTION("""COMPUTED_VALUE"""),416.82)</f>
        <v>416.82</v>
      </c>
      <c r="AB413" s="26">
        <f>IFERROR(__xludf.DUMMYFUNCTION("""COMPUTED_VALUE"""),87.1)</f>
        <v>87.1</v>
      </c>
      <c r="AC413" s="26">
        <f>IFERROR(__xludf.DUMMYFUNCTION("""COMPUTED_VALUE"""),120.34)</f>
        <v>120.34</v>
      </c>
      <c r="AD413" s="26">
        <f>IFERROR(__xludf.DUMMYFUNCTION("""COMPUTED_VALUE"""),288.86)</f>
        <v>288.86</v>
      </c>
      <c r="AE413" s="26">
        <f>IFERROR(__xludf.DUMMYFUNCTION("""COMPUTED_VALUE"""),369.56)</f>
        <v>369.56</v>
      </c>
      <c r="AF413" s="26">
        <f>IFERROR(__xludf.DUMMYFUNCTION("""COMPUTED_VALUE"""),336.66)</f>
        <v>336.66</v>
      </c>
      <c r="AG413" s="26">
        <f>IFERROR(__xludf.DUMMYFUNCTION("""COMPUTED_VALUE"""),81.32)</f>
        <v>81.32</v>
      </c>
      <c r="AH413" s="26">
        <f>IFERROR(__xludf.DUMMYFUNCTION("""COMPUTED_VALUE"""),122.74)</f>
        <v>122.74</v>
      </c>
      <c r="AI413" s="26">
        <f>IFERROR(__xludf.DUMMYFUNCTION("""COMPUTED_VALUE"""),879.0)</f>
        <v>879</v>
      </c>
      <c r="AJ413" s="26">
        <f>IFERROR(__xludf.DUMMYFUNCTION("""COMPUTED_VALUE"""),344.1)</f>
        <v>344.1</v>
      </c>
      <c r="AK413" s="26">
        <f>IFERROR(__xludf.DUMMYFUNCTION("""COMPUTED_VALUE"""),172.91)</f>
        <v>172.91</v>
      </c>
      <c r="AL413" s="26">
        <f>IFERROR(__xludf.DUMMYFUNCTION("""COMPUTED_VALUE"""),161.96)</f>
        <v>161.96</v>
      </c>
      <c r="AM413" s="26">
        <f>IFERROR(__xludf.DUMMYFUNCTION("""COMPUTED_VALUE"""),566.36)</f>
        <v>566.36</v>
      </c>
      <c r="AN413" s="26">
        <f>IFERROR(__xludf.DUMMYFUNCTION("""COMPUTED_VALUE"""),322.22)</f>
        <v>322.22</v>
      </c>
      <c r="AO413" s="26">
        <f>IFERROR(__xludf.DUMMYFUNCTION("""COMPUTED_VALUE"""),483.67)</f>
        <v>483.67</v>
      </c>
      <c r="AP413" s="26">
        <f>IFERROR(__xludf.DUMMYFUNCTION("""COMPUTED_VALUE"""),207.81)</f>
        <v>207.81</v>
      </c>
      <c r="AQ413" s="26">
        <f>IFERROR(__xludf.DUMMYFUNCTION("""COMPUTED_VALUE"""),36.28)</f>
        <v>36.28</v>
      </c>
      <c r="AR413" s="26">
        <f>IFERROR(__xludf.DUMMYFUNCTION("""COMPUTED_VALUE"""),96.06)</f>
        <v>96.06</v>
      </c>
      <c r="AS413" s="26">
        <f>IFERROR(__xludf.DUMMYFUNCTION("""COMPUTED_VALUE"""),78.94)</f>
        <v>78.94</v>
      </c>
      <c r="AT413" s="26">
        <f>IFERROR(__xludf.DUMMYFUNCTION("""COMPUTED_VALUE"""),483.62)</f>
        <v>483.62</v>
      </c>
      <c r="AU413" s="26">
        <f>IFERROR(__xludf.DUMMYFUNCTION("""COMPUTED_VALUE"""),80.28)</f>
        <v>80.28</v>
      </c>
      <c r="AV413" s="26">
        <f>IFERROR(__xludf.DUMMYFUNCTION("""COMPUTED_VALUE"""),186.5)</f>
        <v>186.5</v>
      </c>
      <c r="AW413" s="26">
        <f>IFERROR(__xludf.DUMMYFUNCTION("""COMPUTED_VALUE"""),87.35)</f>
        <v>87.35</v>
      </c>
      <c r="AX413" s="26">
        <f>IFERROR(__xludf.DUMMYFUNCTION("""COMPUTED_VALUE"""),46.48)</f>
        <v>46.48</v>
      </c>
      <c r="AY413" s="26">
        <f>IFERROR(__xludf.DUMMYFUNCTION("""COMPUTED_VALUE"""),177.75)</f>
        <v>177.75</v>
      </c>
      <c r="AZ413" s="26">
        <f>IFERROR(__xludf.DUMMYFUNCTION("""COMPUTED_VALUE"""),58.38)</f>
        <v>58.38</v>
      </c>
      <c r="BA413" s="26">
        <f>IFERROR(__xludf.DUMMYFUNCTION("""COMPUTED_VALUE"""),24.9)</f>
        <v>24.9</v>
      </c>
      <c r="BB413" s="26">
        <f>IFERROR(__xludf.DUMMYFUNCTION("""COMPUTED_VALUE"""),183.4)</f>
        <v>183.4</v>
      </c>
      <c r="BC413" s="26">
        <f>IFERROR(__xludf.DUMMYFUNCTION("""COMPUTED_VALUE"""),203.04)</f>
        <v>203.04</v>
      </c>
      <c r="BD413" s="26">
        <f>IFERROR(__xludf.DUMMYFUNCTION("""COMPUTED_VALUE"""),579.45)</f>
        <v>579.45</v>
      </c>
      <c r="BE413" s="26">
        <f>IFERROR(__xludf.DUMMYFUNCTION("""COMPUTED_VALUE"""),214.06)</f>
        <v>214.06</v>
      </c>
      <c r="BF413" s="26">
        <f>IFERROR(__xludf.DUMMYFUNCTION("""COMPUTED_VALUE"""),121.65)</f>
        <v>121.65</v>
      </c>
      <c r="BG413" s="26">
        <f>IFERROR(__xludf.DUMMYFUNCTION("""COMPUTED_VALUE"""),4.97)</f>
        <v>4.97</v>
      </c>
      <c r="BH413" s="26">
        <f>IFERROR(__xludf.DUMMYFUNCTION("""COMPUTED_VALUE"""),231.32)</f>
        <v>231.32</v>
      </c>
      <c r="BI413" s="26">
        <f>IFERROR(__xludf.DUMMYFUNCTION("""COMPUTED_VALUE"""),330.11)</f>
        <v>330.11</v>
      </c>
      <c r="BJ413" s="26">
        <f>IFERROR(__xludf.DUMMYFUNCTION("""COMPUTED_VALUE"""),49.46)</f>
        <v>49.46</v>
      </c>
      <c r="BK413" s="26">
        <f>IFERROR(__xludf.DUMMYFUNCTION("""COMPUTED_VALUE"""),12.45)</f>
        <v>12.45</v>
      </c>
      <c r="BL413" s="26">
        <f>IFERROR(__xludf.DUMMYFUNCTION("""COMPUTED_VALUE"""),219.71)</f>
        <v>219.71</v>
      </c>
      <c r="BM413" s="26">
        <f>IFERROR(__xludf.DUMMYFUNCTION("""COMPUTED_VALUE"""),113.77)</f>
        <v>113.77</v>
      </c>
    </row>
    <row r="414">
      <c r="A414" s="25"/>
      <c r="B414" s="17">
        <f>IFERROR(__xludf.DUMMYFUNCTION("""COMPUTED_VALUE"""),6858.47)</f>
        <v>6858.47</v>
      </c>
      <c r="C414" s="17">
        <f>IFERROR(__xludf.DUMMYFUNCTION("""COMPUTED_VALUE"""),23235.63)</f>
        <v>23235.63</v>
      </c>
      <c r="D414" s="17">
        <f>IFERROR(__xludf.DUMMYFUNCTION("""COMPUTED_VALUE"""),48382.39)</f>
        <v>48382.39</v>
      </c>
      <c r="E414" s="17">
        <f>IFERROR(__xludf.DUMMYFUNCTION("""COMPUTED_VALUE"""),2508.22)</f>
        <v>2508.22</v>
      </c>
      <c r="F414" s="26">
        <f>IFERROR(__xludf.DUMMYFUNCTION("""COMPUTED_VALUE"""),333.3)</f>
        <v>333.3</v>
      </c>
      <c r="G414" s="26">
        <f>IFERROR(__xludf.DUMMYFUNCTION("""COMPUTED_VALUE"""),226.5)</f>
        <v>226.5</v>
      </c>
      <c r="H414" s="26">
        <f>IFERROR(__xludf.DUMMYFUNCTION("""COMPUTED_VALUE"""),130.32)</f>
        <v>130.32</v>
      </c>
      <c r="I414" s="26">
        <f>IFERROR(__xludf.DUMMYFUNCTION("""COMPUTED_VALUE"""),271.01)</f>
        <v>271.01</v>
      </c>
      <c r="J414" s="26">
        <f>IFERROR(__xludf.DUMMYFUNCTION("""COMPUTED_VALUE"""),268.87)</f>
        <v>268.87</v>
      </c>
      <c r="K414" s="26">
        <f>IFERROR(__xludf.DUMMYFUNCTION("""COMPUTED_VALUE"""),117.04)</f>
        <v>117.04</v>
      </c>
      <c r="L414" s="26">
        <f>IFERROR(__xludf.DUMMYFUNCTION("""COMPUTED_VALUE"""),26.05)</f>
        <v>26.05</v>
      </c>
      <c r="M414" s="26">
        <f>IFERROR(__xludf.DUMMYFUNCTION("""COMPUTED_VALUE"""),496.85)</f>
        <v>496.85</v>
      </c>
      <c r="N414" s="26">
        <f>IFERROR(__xludf.DUMMYFUNCTION("""COMPUTED_VALUE"""),61.76)</f>
        <v>61.76</v>
      </c>
      <c r="O414" s="26">
        <f>IFERROR(__xludf.DUMMYFUNCTION("""COMPUTED_VALUE"""),177.82)</f>
        <v>177.82</v>
      </c>
      <c r="P414" s="26">
        <f>IFERROR(__xludf.DUMMYFUNCTION("""COMPUTED_VALUE"""),53.52)</f>
        <v>53.52</v>
      </c>
      <c r="Q414" s="26">
        <f>IFERROR(__xludf.DUMMYFUNCTION("""COMPUTED_VALUE"""),598.41)</f>
        <v>598.41</v>
      </c>
      <c r="R414" s="26">
        <f>IFERROR(__xludf.DUMMYFUNCTION("""COMPUTED_VALUE"""),98.56)</f>
        <v>98.56</v>
      </c>
      <c r="S414" s="26">
        <f>IFERROR(__xludf.DUMMYFUNCTION("""COMPUTED_VALUE"""),181.03)</f>
        <v>181.03</v>
      </c>
      <c r="T414" s="26">
        <f>IFERROR(__xludf.DUMMYFUNCTION("""COMPUTED_VALUE"""),155.9)</f>
        <v>155.9</v>
      </c>
      <c r="U414" s="26">
        <f>IFERROR(__xludf.DUMMYFUNCTION("""COMPUTED_VALUE"""),279.12)</f>
        <v>279.12</v>
      </c>
      <c r="V414" s="26">
        <f>IFERROR(__xludf.DUMMYFUNCTION("""COMPUTED_VALUE"""),59.39)</f>
        <v>59.39</v>
      </c>
      <c r="W414" s="26">
        <f>IFERROR(__xludf.DUMMYFUNCTION("""COMPUTED_VALUE"""),69.12)</f>
        <v>69.12</v>
      </c>
      <c r="X414" s="26">
        <f>IFERROR(__xludf.DUMMYFUNCTION("""COMPUTED_VALUE"""),99.99)</f>
        <v>99.99</v>
      </c>
      <c r="Y414" s="26">
        <f>IFERROR(__xludf.DUMMYFUNCTION("""COMPUTED_VALUE"""),155.03)</f>
        <v>155.03</v>
      </c>
      <c r="Z414" s="26">
        <f>IFERROR(__xludf.DUMMYFUNCTION("""COMPUTED_VALUE"""),127.7)</f>
        <v>127.7</v>
      </c>
      <c r="AA414" s="26">
        <f>IFERROR(__xludf.DUMMYFUNCTION("""COMPUTED_VALUE"""),425.28)</f>
        <v>425.28</v>
      </c>
      <c r="AB414" s="26">
        <f>IFERROR(__xludf.DUMMYFUNCTION("""COMPUTED_VALUE"""),87.06)</f>
        <v>87.06</v>
      </c>
      <c r="AC414" s="26">
        <f>IFERROR(__xludf.DUMMYFUNCTION("""COMPUTED_VALUE"""),122.65)</f>
        <v>122.65</v>
      </c>
      <c r="AD414" s="26">
        <f>IFERROR(__xludf.DUMMYFUNCTION("""COMPUTED_VALUE"""),293.13)</f>
        <v>293.13</v>
      </c>
      <c r="AE414" s="26">
        <f>IFERROR(__xludf.DUMMYFUNCTION("""COMPUTED_VALUE"""),371.89)</f>
        <v>371.89</v>
      </c>
      <c r="AF414" s="26">
        <f>IFERROR(__xludf.DUMMYFUNCTION("""COMPUTED_VALUE"""),343.4)</f>
        <v>343.4</v>
      </c>
      <c r="AG414" s="26">
        <f>IFERROR(__xludf.DUMMYFUNCTION("""COMPUTED_VALUE"""),80.98)</f>
        <v>80.98</v>
      </c>
      <c r="AH414" s="26">
        <f>IFERROR(__xludf.DUMMYFUNCTION("""COMPUTED_VALUE"""),121.6)</f>
        <v>121.6</v>
      </c>
      <c r="AI414" s="26">
        <f>IFERROR(__xludf.DUMMYFUNCTION("""COMPUTED_VALUE"""),914.34)</f>
        <v>914.34</v>
      </c>
      <c r="AJ414" s="26">
        <f>IFERROR(__xludf.DUMMYFUNCTION("""COMPUTED_VALUE"""),345.82)</f>
        <v>345.82</v>
      </c>
      <c r="AK414" s="26">
        <f>IFERROR(__xludf.DUMMYFUNCTION("""COMPUTED_VALUE"""),171.05)</f>
        <v>171.05</v>
      </c>
      <c r="AL414" s="26">
        <f>IFERROR(__xludf.DUMMYFUNCTION("""COMPUTED_VALUE"""),159.99)</f>
        <v>159.99</v>
      </c>
      <c r="AM414" s="26">
        <f>IFERROR(__xludf.DUMMYFUNCTION("""COMPUTED_VALUE"""),561.98)</f>
        <v>561.98</v>
      </c>
      <c r="AN414" s="26">
        <f>IFERROR(__xludf.DUMMYFUNCTION("""COMPUTED_VALUE"""),325.48)</f>
        <v>325.48</v>
      </c>
      <c r="AO414" s="26">
        <f>IFERROR(__xludf.DUMMYFUNCTION("""COMPUTED_VALUE"""),497.07)</f>
        <v>497.07</v>
      </c>
      <c r="AP414" s="26">
        <f>IFERROR(__xludf.DUMMYFUNCTION("""COMPUTED_VALUE"""),210.81)</f>
        <v>210.81</v>
      </c>
      <c r="AQ414" s="26">
        <f>IFERROR(__xludf.DUMMYFUNCTION("""COMPUTED_VALUE"""),36.24)</f>
        <v>36.24</v>
      </c>
      <c r="AR414" s="26">
        <f>IFERROR(__xludf.DUMMYFUNCTION("""COMPUTED_VALUE"""),96.05)</f>
        <v>96.05</v>
      </c>
      <c r="AS414" s="26">
        <f>IFERROR(__xludf.DUMMYFUNCTION("""COMPUTED_VALUE"""),80.32)</f>
        <v>80.32</v>
      </c>
      <c r="AT414" s="26">
        <f>IFERROR(__xludf.DUMMYFUNCTION("""COMPUTED_VALUE"""),472.94)</f>
        <v>472.94</v>
      </c>
      <c r="AU414" s="26">
        <f>IFERROR(__xludf.DUMMYFUNCTION("""COMPUTED_VALUE"""),80.93)</f>
        <v>80.93</v>
      </c>
      <c r="AV414" s="26">
        <f>IFERROR(__xludf.DUMMYFUNCTION("""COMPUTED_VALUE"""),188.85)</f>
        <v>188.85</v>
      </c>
      <c r="AW414" s="26">
        <f>IFERROR(__xludf.DUMMYFUNCTION("""COMPUTED_VALUE"""),88.34)</f>
        <v>88.34</v>
      </c>
      <c r="AX414" s="26">
        <f>IFERROR(__xludf.DUMMYFUNCTION("""COMPUTED_VALUE"""),46.95)</f>
        <v>46.95</v>
      </c>
      <c r="AY414" s="26">
        <f>IFERROR(__xludf.DUMMYFUNCTION("""COMPUTED_VALUE"""),167.86)</f>
        <v>167.86</v>
      </c>
      <c r="AZ414" s="26">
        <f>IFERROR(__xludf.DUMMYFUNCTION("""COMPUTED_VALUE"""),58.14)</f>
        <v>58.14</v>
      </c>
      <c r="BA414" s="26">
        <f>IFERROR(__xludf.DUMMYFUNCTION("""COMPUTED_VALUE"""),25.18)</f>
        <v>25.18</v>
      </c>
      <c r="BB414" s="26">
        <f>IFERROR(__xludf.DUMMYFUNCTION("""COMPUTED_VALUE"""),187.25)</f>
        <v>187.25</v>
      </c>
      <c r="BC414" s="26">
        <f>IFERROR(__xludf.DUMMYFUNCTION("""COMPUTED_VALUE"""),199.58)</f>
        <v>199.58</v>
      </c>
      <c r="BD414" s="26">
        <f>IFERROR(__xludf.DUMMYFUNCTION("""COMPUTED_VALUE"""),592.51)</f>
        <v>592.51</v>
      </c>
      <c r="BE414" s="26">
        <f>IFERROR(__xludf.DUMMYFUNCTION("""COMPUTED_VALUE"""),217.87)</f>
        <v>217.87</v>
      </c>
      <c r="BF414" s="26">
        <f>IFERROR(__xludf.DUMMYFUNCTION("""COMPUTED_VALUE"""),122.69)</f>
        <v>122.69</v>
      </c>
      <c r="BG414" s="26">
        <f>IFERROR(__xludf.DUMMYFUNCTION("""COMPUTED_VALUE"""),5.29)</f>
        <v>5.29</v>
      </c>
      <c r="BH414" s="26">
        <f>IFERROR(__xludf.DUMMYFUNCTION("""COMPUTED_VALUE"""),231.91)</f>
        <v>231.91</v>
      </c>
      <c r="BI414" s="26">
        <f>IFERROR(__xludf.DUMMYFUNCTION("""COMPUTED_VALUE"""),336.4)</f>
        <v>336.4</v>
      </c>
      <c r="BJ414" s="26">
        <f>IFERROR(__xludf.DUMMYFUNCTION("""COMPUTED_VALUE"""),49.45)</f>
        <v>49.45</v>
      </c>
      <c r="BK414" s="26">
        <f>IFERROR(__xludf.DUMMYFUNCTION("""COMPUTED_VALUE"""),12.46)</f>
        <v>12.46</v>
      </c>
      <c r="BL414" s="26">
        <f>IFERROR(__xludf.DUMMYFUNCTION("""COMPUTED_VALUE"""),218.4)</f>
        <v>218.4</v>
      </c>
      <c r="BM414" s="26">
        <f>IFERROR(__xludf.DUMMYFUNCTION("""COMPUTED_VALUE"""),111.85)</f>
        <v>111.85</v>
      </c>
    </row>
    <row r="415">
      <c r="A415" s="25"/>
      <c r="B415" s="17">
        <f>IFERROR(__xludf.DUMMYFUNCTION("""COMPUTED_VALUE"""),6902.05)</f>
        <v>6902.05</v>
      </c>
      <c r="C415" s="17">
        <f>IFERROR(__xludf.DUMMYFUNCTION("""COMPUTED_VALUE"""),23395.82)</f>
        <v>23395.82</v>
      </c>
      <c r="D415" s="17">
        <f>IFERROR(__xludf.DUMMYFUNCTION("""COMPUTED_VALUE"""),48977.18)</f>
        <v>48977.18</v>
      </c>
      <c r="E415" s="17">
        <f>IFERROR(__xludf.DUMMYFUNCTION("""COMPUTED_VALUE"""),2547.92)</f>
        <v>2547.92</v>
      </c>
      <c r="F415" s="26">
        <f>IFERROR(__xludf.DUMMYFUNCTION("""COMPUTED_VALUE"""),331.56)</f>
        <v>331.56</v>
      </c>
      <c r="G415" s="26">
        <f>IFERROR(__xludf.DUMMYFUNCTION("""COMPUTED_VALUE"""),233.06)</f>
        <v>233.06</v>
      </c>
      <c r="H415" s="26">
        <f>IFERROR(__xludf.DUMMYFUNCTION("""COMPUTED_VALUE"""),127.4)</f>
        <v>127.4</v>
      </c>
      <c r="I415" s="26">
        <f>IFERROR(__xludf.DUMMYFUNCTION("""COMPUTED_VALUE"""),267.26)</f>
        <v>267.26</v>
      </c>
      <c r="J415" s="26">
        <f>IFERROR(__xludf.DUMMYFUNCTION("""COMPUTED_VALUE"""),284.32)</f>
        <v>284.32</v>
      </c>
      <c r="K415" s="26">
        <f>IFERROR(__xludf.DUMMYFUNCTION("""COMPUTED_VALUE"""),121.04)</f>
        <v>121.04</v>
      </c>
      <c r="L415" s="26">
        <f>IFERROR(__xludf.DUMMYFUNCTION("""COMPUTED_VALUE"""),26.32)</f>
        <v>26.32</v>
      </c>
      <c r="M415" s="26">
        <f>IFERROR(__xludf.DUMMYFUNCTION("""COMPUTED_VALUE"""),498.52)</f>
        <v>498.52</v>
      </c>
      <c r="N415" s="26">
        <f>IFERROR(__xludf.DUMMYFUNCTION("""COMPUTED_VALUE"""),63.14)</f>
        <v>63.14</v>
      </c>
      <c r="O415" s="26">
        <f>IFERROR(__xludf.DUMMYFUNCTION("""COMPUTED_VALUE"""),174.63)</f>
        <v>174.63</v>
      </c>
      <c r="P415" s="26">
        <f>IFERROR(__xludf.DUMMYFUNCTION("""COMPUTED_VALUE"""),53.79)</f>
        <v>53.79</v>
      </c>
      <c r="Q415" s="26">
        <f>IFERROR(__xludf.DUMMYFUNCTION("""COMPUTED_VALUE"""),616.1)</f>
        <v>616.1</v>
      </c>
      <c r="R415" s="26">
        <f>IFERROR(__xludf.DUMMYFUNCTION("""COMPUTED_VALUE"""),100.17)</f>
        <v>100.17</v>
      </c>
      <c r="S415" s="26">
        <f>IFERROR(__xludf.DUMMYFUNCTION("""COMPUTED_VALUE"""),185.1)</f>
        <v>185.1</v>
      </c>
      <c r="T415" s="26">
        <f>IFERROR(__xludf.DUMMYFUNCTION("""COMPUTED_VALUE"""),163.85)</f>
        <v>163.85</v>
      </c>
      <c r="U415" s="26">
        <f>IFERROR(__xludf.DUMMYFUNCTION("""COMPUTED_VALUE"""),283.97)</f>
        <v>283.97</v>
      </c>
      <c r="V415" s="26">
        <f>IFERROR(__xludf.DUMMYFUNCTION("""COMPUTED_VALUE"""),61.05)</f>
        <v>61.05</v>
      </c>
      <c r="W415" s="26">
        <f>IFERROR(__xludf.DUMMYFUNCTION("""COMPUTED_VALUE"""),67.94)</f>
        <v>67.94</v>
      </c>
      <c r="X415" s="26">
        <f>IFERROR(__xludf.DUMMYFUNCTION("""COMPUTED_VALUE"""),98.5)</f>
        <v>98.5</v>
      </c>
      <c r="Y415" s="26">
        <f>IFERROR(__xludf.DUMMYFUNCTION("""COMPUTED_VALUE"""),155.77)</f>
        <v>155.77</v>
      </c>
      <c r="Z415" s="26">
        <f>IFERROR(__xludf.DUMMYFUNCTION("""COMPUTED_VALUE"""),128.57)</f>
        <v>128.57</v>
      </c>
      <c r="AA415" s="26">
        <f>IFERROR(__xludf.DUMMYFUNCTION("""COMPUTED_VALUE"""),411.44)</f>
        <v>411.44</v>
      </c>
      <c r="AB415" s="26">
        <f>IFERROR(__xludf.DUMMYFUNCTION("""COMPUTED_VALUE"""),90.47)</f>
        <v>90.47</v>
      </c>
      <c r="AC415" s="26">
        <f>IFERROR(__xludf.DUMMYFUNCTION("""COMPUTED_VALUE"""),125.36)</f>
        <v>125.36</v>
      </c>
      <c r="AD415" s="26">
        <f>IFERROR(__xludf.DUMMYFUNCTION("""COMPUTED_VALUE"""),297.46)</f>
        <v>297.46</v>
      </c>
      <c r="AE415" s="26">
        <f>IFERROR(__xludf.DUMMYFUNCTION("""COMPUTED_VALUE"""),379.27)</f>
        <v>379.27</v>
      </c>
      <c r="AF415" s="26">
        <f>IFERROR(__xludf.DUMMYFUNCTION("""COMPUTED_VALUE"""),355.56)</f>
        <v>355.56</v>
      </c>
      <c r="AG415" s="26">
        <f>IFERROR(__xludf.DUMMYFUNCTION("""COMPUTED_VALUE"""),83.15)</f>
        <v>83.15</v>
      </c>
      <c r="AH415" s="26">
        <f>IFERROR(__xludf.DUMMYFUNCTION("""COMPUTED_VALUE"""),118.3)</f>
        <v>118.3</v>
      </c>
      <c r="AI415" s="26">
        <f>IFERROR(__xludf.DUMMYFUNCTION("""COMPUTED_VALUE"""),948.44)</f>
        <v>948.44</v>
      </c>
      <c r="AJ415" s="26">
        <f>IFERROR(__xludf.DUMMYFUNCTION("""COMPUTED_VALUE"""),344.09)</f>
        <v>344.09</v>
      </c>
      <c r="AK415" s="26">
        <f>IFERROR(__xludf.DUMMYFUNCTION("""COMPUTED_VALUE"""),180.92)</f>
        <v>180.92</v>
      </c>
      <c r="AL415" s="26">
        <f>IFERROR(__xludf.DUMMYFUNCTION("""COMPUTED_VALUE"""),165.62)</f>
        <v>165.62</v>
      </c>
      <c r="AM415" s="26">
        <f>IFERROR(__xludf.DUMMYFUNCTION("""COMPUTED_VALUE"""),566.38)</f>
        <v>566.38</v>
      </c>
      <c r="AN415" s="26">
        <f>IFERROR(__xludf.DUMMYFUNCTION("""COMPUTED_VALUE"""),334.04)</f>
        <v>334.04</v>
      </c>
      <c r="AO415" s="26">
        <f>IFERROR(__xludf.DUMMYFUNCTION("""COMPUTED_VALUE"""),511.57)</f>
        <v>511.57</v>
      </c>
      <c r="AP415" s="26">
        <f>IFERROR(__xludf.DUMMYFUNCTION("""COMPUTED_VALUE"""),212.4)</f>
        <v>212.4</v>
      </c>
      <c r="AQ415" s="26">
        <f>IFERROR(__xludf.DUMMYFUNCTION("""COMPUTED_VALUE"""),36.68)</f>
        <v>36.68</v>
      </c>
      <c r="AR415" s="26">
        <f>IFERROR(__xludf.DUMMYFUNCTION("""COMPUTED_VALUE"""),97.36)</f>
        <v>97.36</v>
      </c>
      <c r="AS415" s="26">
        <f>IFERROR(__xludf.DUMMYFUNCTION("""COMPUTED_VALUE"""),81.77)</f>
        <v>81.77</v>
      </c>
      <c r="AT415" s="26">
        <f>IFERROR(__xludf.DUMMYFUNCTION("""COMPUTED_VALUE"""),472.85)</f>
        <v>472.85</v>
      </c>
      <c r="AU415" s="26">
        <f>IFERROR(__xludf.DUMMYFUNCTION("""COMPUTED_VALUE"""),81.32)</f>
        <v>81.32</v>
      </c>
      <c r="AV415" s="26">
        <f>IFERROR(__xludf.DUMMYFUNCTION("""COMPUTED_VALUE"""),188.12)</f>
        <v>188.12</v>
      </c>
      <c r="AW415" s="26">
        <f>IFERROR(__xludf.DUMMYFUNCTION("""COMPUTED_VALUE"""),89.18)</f>
        <v>89.18</v>
      </c>
      <c r="AX415" s="26">
        <f>IFERROR(__xludf.DUMMYFUNCTION("""COMPUTED_VALUE"""),49.0)</f>
        <v>49</v>
      </c>
      <c r="AY415" s="26">
        <f>IFERROR(__xludf.DUMMYFUNCTION("""COMPUTED_VALUE"""),174.04)</f>
        <v>174.04</v>
      </c>
      <c r="AZ415" s="26">
        <f>IFERROR(__xludf.DUMMYFUNCTION("""COMPUTED_VALUE"""),59.29)</f>
        <v>59.29</v>
      </c>
      <c r="BA415" s="26">
        <f>IFERROR(__xludf.DUMMYFUNCTION("""COMPUTED_VALUE"""),25.17)</f>
        <v>25.17</v>
      </c>
      <c r="BB415" s="26">
        <f>IFERROR(__xludf.DUMMYFUNCTION("""COMPUTED_VALUE"""),188.26)</f>
        <v>188.26</v>
      </c>
      <c r="BC415" s="26">
        <f>IFERROR(__xludf.DUMMYFUNCTION("""COMPUTED_VALUE"""),200.86)</f>
        <v>200.86</v>
      </c>
      <c r="BD415" s="26">
        <f>IFERROR(__xludf.DUMMYFUNCTION("""COMPUTED_VALUE"""),611.2)</f>
        <v>611.2</v>
      </c>
      <c r="BE415" s="26">
        <f>IFERROR(__xludf.DUMMYFUNCTION("""COMPUTED_VALUE"""),218.86)</f>
        <v>218.86</v>
      </c>
      <c r="BF415" s="26">
        <f>IFERROR(__xludf.DUMMYFUNCTION("""COMPUTED_VALUE"""),126.28)</f>
        <v>126.28</v>
      </c>
      <c r="BG415" s="26">
        <f>IFERROR(__xludf.DUMMYFUNCTION("""COMPUTED_VALUE"""),5.42)</f>
        <v>5.42</v>
      </c>
      <c r="BH415" s="26">
        <f>IFERROR(__xludf.DUMMYFUNCTION("""COMPUTED_VALUE"""),231.97)</f>
        <v>231.97</v>
      </c>
      <c r="BI415" s="26">
        <f>IFERROR(__xludf.DUMMYFUNCTION("""COMPUTED_VALUE"""),342.02)</f>
        <v>342.02</v>
      </c>
      <c r="BJ415" s="26">
        <f>IFERROR(__xludf.DUMMYFUNCTION("""COMPUTED_VALUE"""),49.5)</f>
        <v>49.5</v>
      </c>
      <c r="BK415" s="26">
        <f>IFERROR(__xludf.DUMMYFUNCTION("""COMPUTED_VALUE"""),12.37)</f>
        <v>12.37</v>
      </c>
      <c r="BL415" s="26">
        <f>IFERROR(__xludf.DUMMYFUNCTION("""COMPUTED_VALUE"""),219.44)</f>
        <v>219.44</v>
      </c>
      <c r="BM415" s="26">
        <f>IFERROR(__xludf.DUMMYFUNCTION("""COMPUTED_VALUE"""),114.07)</f>
        <v>114.07</v>
      </c>
    </row>
    <row r="416">
      <c r="A416" s="25"/>
      <c r="B416" s="17">
        <f>IFERROR(__xludf.DUMMYFUNCTION("""COMPUTED_VALUE"""),6944.82)</f>
        <v>6944.82</v>
      </c>
      <c r="C416" s="17">
        <f>IFERROR(__xludf.DUMMYFUNCTION("""COMPUTED_VALUE"""),23547.17)</f>
        <v>23547.17</v>
      </c>
      <c r="D416" s="17">
        <f>IFERROR(__xludf.DUMMYFUNCTION("""COMPUTED_VALUE"""),49462.08)</f>
        <v>49462.08</v>
      </c>
      <c r="E416" s="17">
        <f>IFERROR(__xludf.DUMMYFUNCTION("""COMPUTED_VALUE"""),2582.9)</f>
        <v>2582.9</v>
      </c>
      <c r="F416" s="26">
        <f>IFERROR(__xludf.DUMMYFUNCTION("""COMPUTED_VALUE"""),335.99)</f>
        <v>335.99</v>
      </c>
      <c r="G416" s="26">
        <f>IFERROR(__xludf.DUMMYFUNCTION("""COMPUTED_VALUE"""),240.93)</f>
        <v>240.93</v>
      </c>
      <c r="H416" s="26">
        <f>IFERROR(__xludf.DUMMYFUNCTION("""COMPUTED_VALUE"""),128.97)</f>
        <v>128.97</v>
      </c>
      <c r="I416" s="26">
        <f>IFERROR(__xludf.DUMMYFUNCTION("""COMPUTED_VALUE"""),262.36)</f>
        <v>262.36</v>
      </c>
      <c r="J416" s="26">
        <f>IFERROR(__xludf.DUMMYFUNCTION("""COMPUTED_VALUE"""),296.01)</f>
        <v>296.01</v>
      </c>
      <c r="K416" s="26">
        <f>IFERROR(__xludf.DUMMYFUNCTION("""COMPUTED_VALUE"""),121.31)</f>
        <v>121.31</v>
      </c>
      <c r="L416" s="26">
        <f>IFERROR(__xludf.DUMMYFUNCTION("""COMPUTED_VALUE"""),26.25)</f>
        <v>26.25</v>
      </c>
      <c r="M416" s="26">
        <f>IFERROR(__xludf.DUMMYFUNCTION("""COMPUTED_VALUE"""),499.05)</f>
        <v>499.05</v>
      </c>
      <c r="N416" s="26">
        <f>IFERROR(__xludf.DUMMYFUNCTION("""COMPUTED_VALUE"""),64.8)</f>
        <v>64.8</v>
      </c>
      <c r="O416" s="26">
        <f>IFERROR(__xludf.DUMMYFUNCTION("""COMPUTED_VALUE"""),182.61)</f>
        <v>182.61</v>
      </c>
      <c r="P416" s="26">
        <f>IFERROR(__xludf.DUMMYFUNCTION("""COMPUTED_VALUE"""),53.5)</f>
        <v>53.5</v>
      </c>
      <c r="Q416" s="26">
        <f>IFERROR(__xludf.DUMMYFUNCTION("""COMPUTED_VALUE"""),623.09)</f>
        <v>623.09</v>
      </c>
      <c r="R416" s="26">
        <f>IFERROR(__xludf.DUMMYFUNCTION("""COMPUTED_VALUE"""),102.09)</f>
        <v>102.09</v>
      </c>
      <c r="S416" s="26">
        <f>IFERROR(__xludf.DUMMYFUNCTION("""COMPUTED_VALUE"""),186.01)</f>
        <v>186.01</v>
      </c>
      <c r="T416" s="26">
        <f>IFERROR(__xludf.DUMMYFUNCTION("""COMPUTED_VALUE"""),156.54)</f>
        <v>156.54</v>
      </c>
      <c r="U416" s="26">
        <f>IFERROR(__xludf.DUMMYFUNCTION("""COMPUTED_VALUE"""),284.76)</f>
        <v>284.76</v>
      </c>
      <c r="V416" s="26">
        <f>IFERROR(__xludf.DUMMYFUNCTION("""COMPUTED_VALUE"""),62.14)</f>
        <v>62.14</v>
      </c>
      <c r="W416" s="26">
        <f>IFERROR(__xludf.DUMMYFUNCTION("""COMPUTED_VALUE"""),67.84)</f>
        <v>67.84</v>
      </c>
      <c r="X416" s="26">
        <f>IFERROR(__xludf.DUMMYFUNCTION("""COMPUTED_VALUE"""),99.32)</f>
        <v>99.32</v>
      </c>
      <c r="Y416" s="26">
        <f>IFERROR(__xludf.DUMMYFUNCTION("""COMPUTED_VALUE"""),156.78)</f>
        <v>156.78</v>
      </c>
      <c r="Z416" s="26">
        <f>IFERROR(__xludf.DUMMYFUNCTION("""COMPUTED_VALUE"""),133.78)</f>
        <v>133.78</v>
      </c>
      <c r="AA416" s="26">
        <f>IFERROR(__xludf.DUMMYFUNCTION("""COMPUTED_VALUE"""),406.5)</f>
        <v>406.5</v>
      </c>
      <c r="AB416" s="26">
        <f>IFERROR(__xludf.DUMMYFUNCTION("""COMPUTED_VALUE"""),91.51)</f>
        <v>91.51</v>
      </c>
      <c r="AC416" s="26">
        <f>IFERROR(__xludf.DUMMYFUNCTION("""COMPUTED_VALUE"""),121.05)</f>
        <v>121.05</v>
      </c>
      <c r="AD416" s="26">
        <f>IFERROR(__xludf.DUMMYFUNCTION("""COMPUTED_VALUE"""),307.93)</f>
        <v>307.93</v>
      </c>
      <c r="AE416" s="26">
        <f>IFERROR(__xludf.DUMMYFUNCTION("""COMPUTED_VALUE"""),371.96)</f>
        <v>371.96</v>
      </c>
      <c r="AF416" s="26">
        <f>IFERROR(__xludf.DUMMYFUNCTION("""COMPUTED_VALUE"""),360.71)</f>
        <v>360.71</v>
      </c>
      <c r="AG416" s="26">
        <f>IFERROR(__xludf.DUMMYFUNCTION("""COMPUTED_VALUE"""),82.18)</f>
        <v>82.18</v>
      </c>
      <c r="AH416" s="26">
        <f>IFERROR(__xludf.DUMMYFUNCTION("""COMPUTED_VALUE"""),121.36)</f>
        <v>121.36</v>
      </c>
      <c r="AI416" s="26">
        <f>IFERROR(__xludf.DUMMYFUNCTION("""COMPUTED_VALUE"""),955.47)</f>
        <v>955.47</v>
      </c>
      <c r="AJ416" s="26">
        <f>IFERROR(__xludf.DUMMYFUNCTION("""COMPUTED_VALUE"""),349.29)</f>
        <v>349.29</v>
      </c>
      <c r="AK416" s="26">
        <f>IFERROR(__xludf.DUMMYFUNCTION("""COMPUTED_VALUE"""),178.01)</f>
        <v>178.01</v>
      </c>
      <c r="AL416" s="26">
        <f>IFERROR(__xludf.DUMMYFUNCTION("""COMPUTED_VALUE"""),166.01)</f>
        <v>166.01</v>
      </c>
      <c r="AM416" s="26">
        <f>IFERROR(__xludf.DUMMYFUNCTION("""COMPUTED_VALUE"""),592.85)</f>
        <v>592.85</v>
      </c>
      <c r="AN416" s="26">
        <f>IFERROR(__xludf.DUMMYFUNCTION("""COMPUTED_VALUE"""),334.61)</f>
        <v>334.61</v>
      </c>
      <c r="AO416" s="26">
        <f>IFERROR(__xludf.DUMMYFUNCTION("""COMPUTED_VALUE"""),522.04)</f>
        <v>522.04</v>
      </c>
      <c r="AP416" s="26">
        <f>IFERROR(__xludf.DUMMYFUNCTION("""COMPUTED_VALUE"""),215.88)</f>
        <v>215.88</v>
      </c>
      <c r="AQ416" s="26">
        <f>IFERROR(__xludf.DUMMYFUNCTION("""COMPUTED_VALUE"""),37.4)</f>
        <v>37.4</v>
      </c>
      <c r="AR416" s="26">
        <f>IFERROR(__xludf.DUMMYFUNCTION("""COMPUTED_VALUE"""),100.31)</f>
        <v>100.31</v>
      </c>
      <c r="AS416" s="26">
        <f>IFERROR(__xludf.DUMMYFUNCTION("""COMPUTED_VALUE"""),81.18)</f>
        <v>81.18</v>
      </c>
      <c r="AT416" s="26">
        <f>IFERROR(__xludf.DUMMYFUNCTION("""COMPUTED_VALUE"""),478.51)</f>
        <v>478.51</v>
      </c>
      <c r="AU416" s="26">
        <f>IFERROR(__xludf.DUMMYFUNCTION("""COMPUTED_VALUE"""),81.05)</f>
        <v>81.05</v>
      </c>
      <c r="AV416" s="26">
        <f>IFERROR(__xludf.DUMMYFUNCTION("""COMPUTED_VALUE"""),187.24)</f>
        <v>187.24</v>
      </c>
      <c r="AW416" s="26">
        <f>IFERROR(__xludf.DUMMYFUNCTION("""COMPUTED_VALUE"""),89.89)</f>
        <v>89.89</v>
      </c>
      <c r="AX416" s="26">
        <f>IFERROR(__xludf.DUMMYFUNCTION("""COMPUTED_VALUE"""),49.04)</f>
        <v>49.04</v>
      </c>
      <c r="AY416" s="26">
        <f>IFERROR(__xludf.DUMMYFUNCTION("""COMPUTED_VALUE"""),179.71)</f>
        <v>179.71</v>
      </c>
      <c r="AZ416" s="26">
        <f>IFERROR(__xludf.DUMMYFUNCTION("""COMPUTED_VALUE"""),59.81)</f>
        <v>59.81</v>
      </c>
      <c r="BA416" s="26">
        <f>IFERROR(__xludf.DUMMYFUNCTION("""COMPUTED_VALUE"""),25.43)</f>
        <v>25.43</v>
      </c>
      <c r="BB416" s="26">
        <f>IFERROR(__xludf.DUMMYFUNCTION("""COMPUTED_VALUE"""),190.4)</f>
        <v>190.4</v>
      </c>
      <c r="BC416" s="26">
        <f>IFERROR(__xludf.DUMMYFUNCTION("""COMPUTED_VALUE"""),198.6)</f>
        <v>198.6</v>
      </c>
      <c r="BD416" s="26">
        <f>IFERROR(__xludf.DUMMYFUNCTION("""COMPUTED_VALUE"""),620.72)</f>
        <v>620.72</v>
      </c>
      <c r="BE416" s="26">
        <f>IFERROR(__xludf.DUMMYFUNCTION("""COMPUTED_VALUE"""),215.27)</f>
        <v>215.27</v>
      </c>
      <c r="BF416" s="26">
        <f>IFERROR(__xludf.DUMMYFUNCTION("""COMPUTED_VALUE"""),132.67)</f>
        <v>132.67</v>
      </c>
      <c r="BG416" s="26">
        <f>IFERROR(__xludf.DUMMYFUNCTION("""COMPUTED_VALUE"""),5.69)</f>
        <v>5.69</v>
      </c>
      <c r="BH416" s="26">
        <f>IFERROR(__xludf.DUMMYFUNCTION("""COMPUTED_VALUE"""),233.62)</f>
        <v>233.62</v>
      </c>
      <c r="BI416" s="26">
        <f>IFERROR(__xludf.DUMMYFUNCTION("""COMPUTED_VALUE"""),348.97)</f>
        <v>348.97</v>
      </c>
      <c r="BJ416" s="26">
        <f>IFERROR(__xludf.DUMMYFUNCTION("""COMPUTED_VALUE"""),49.52)</f>
        <v>49.52</v>
      </c>
      <c r="BK416" s="26">
        <f>IFERROR(__xludf.DUMMYFUNCTION("""COMPUTED_VALUE"""),12.4)</f>
        <v>12.4</v>
      </c>
      <c r="BL416" s="26">
        <f>IFERROR(__xludf.DUMMYFUNCTION("""COMPUTED_VALUE"""),219.08)</f>
        <v>219.08</v>
      </c>
      <c r="BM416" s="26">
        <f>IFERROR(__xludf.DUMMYFUNCTION("""COMPUTED_VALUE"""),114.57)</f>
        <v>114.57</v>
      </c>
    </row>
    <row r="417">
      <c r="A417" s="25"/>
      <c r="B417" s="17">
        <f>IFERROR(__xludf.DUMMYFUNCTION("""COMPUTED_VALUE"""),6920.93)</f>
        <v>6920.93</v>
      </c>
      <c r="C417" s="17">
        <f>IFERROR(__xludf.DUMMYFUNCTION("""COMPUTED_VALUE"""),23584.28)</f>
        <v>23584.28</v>
      </c>
      <c r="D417" s="17">
        <f>IFERROR(__xludf.DUMMYFUNCTION("""COMPUTED_VALUE"""),48996.08)</f>
        <v>48996.08</v>
      </c>
      <c r="E417" s="17">
        <f>IFERROR(__xludf.DUMMYFUNCTION("""COMPUTED_VALUE"""),2575.42)</f>
        <v>2575.42</v>
      </c>
      <c r="F417" s="26">
        <f>IFERROR(__xludf.DUMMYFUNCTION("""COMPUTED_VALUE"""),338.1)</f>
        <v>338.1</v>
      </c>
      <c r="G417" s="26">
        <f>IFERROR(__xludf.DUMMYFUNCTION("""COMPUTED_VALUE"""),241.56)</f>
        <v>241.56</v>
      </c>
      <c r="H417" s="26">
        <f>IFERROR(__xludf.DUMMYFUNCTION("""COMPUTED_VALUE"""),127.27)</f>
        <v>127.27</v>
      </c>
      <c r="I417" s="26">
        <f>IFERROR(__xludf.DUMMYFUNCTION("""COMPUTED_VALUE"""),260.33)</f>
        <v>260.33</v>
      </c>
      <c r="J417" s="26">
        <f>IFERROR(__xludf.DUMMYFUNCTION("""COMPUTED_VALUE"""),292.2)</f>
        <v>292.2</v>
      </c>
      <c r="K417" s="26">
        <f>IFERROR(__xludf.DUMMYFUNCTION("""COMPUTED_VALUE"""),120.45)</f>
        <v>120.45</v>
      </c>
      <c r="L417" s="26">
        <f>IFERROR(__xludf.DUMMYFUNCTION("""COMPUTED_VALUE"""),25.83)</f>
        <v>25.83</v>
      </c>
      <c r="M417" s="26">
        <f>IFERROR(__xludf.DUMMYFUNCTION("""COMPUTED_VALUE"""),496.12)</f>
        <v>496.12</v>
      </c>
      <c r="N417" s="26">
        <f>IFERROR(__xludf.DUMMYFUNCTION("""COMPUTED_VALUE"""),63.86)</f>
        <v>63.86</v>
      </c>
      <c r="O417" s="26">
        <f>IFERROR(__xludf.DUMMYFUNCTION("""COMPUTED_VALUE"""),186.91)</f>
        <v>186.91</v>
      </c>
      <c r="P417" s="26">
        <f>IFERROR(__xludf.DUMMYFUNCTION("""COMPUTED_VALUE"""),52.57)</f>
        <v>52.57</v>
      </c>
      <c r="Q417" s="26">
        <f>IFERROR(__xludf.DUMMYFUNCTION("""COMPUTED_VALUE"""),596.52)</f>
        <v>596.52</v>
      </c>
      <c r="R417" s="26">
        <f>IFERROR(__xludf.DUMMYFUNCTION("""COMPUTED_VALUE"""),103.94)</f>
        <v>103.94</v>
      </c>
      <c r="S417" s="26">
        <f>IFERROR(__xludf.DUMMYFUNCTION("""COMPUTED_VALUE"""),189.56)</f>
        <v>189.56</v>
      </c>
      <c r="T417" s="26">
        <f>IFERROR(__xludf.DUMMYFUNCTION("""COMPUTED_VALUE"""),155.2)</f>
        <v>155.2</v>
      </c>
      <c r="U417" s="26">
        <f>IFERROR(__xludf.DUMMYFUNCTION("""COMPUTED_VALUE"""),279.12)</f>
        <v>279.12</v>
      </c>
      <c r="V417" s="26">
        <f>IFERROR(__xludf.DUMMYFUNCTION("""COMPUTED_VALUE"""),60.99)</f>
        <v>60.99</v>
      </c>
      <c r="W417" s="26">
        <f>IFERROR(__xludf.DUMMYFUNCTION("""COMPUTED_VALUE"""),67.54)</f>
        <v>67.54</v>
      </c>
      <c r="X417" s="26">
        <f>IFERROR(__xludf.DUMMYFUNCTION("""COMPUTED_VALUE"""),99.37)</f>
        <v>99.37</v>
      </c>
      <c r="Y417" s="26">
        <f>IFERROR(__xludf.DUMMYFUNCTION("""COMPUTED_VALUE"""),154.87)</f>
        <v>154.87</v>
      </c>
      <c r="Z417" s="26">
        <f>IFERROR(__xludf.DUMMYFUNCTION("""COMPUTED_VALUE"""),131.56)</f>
        <v>131.56</v>
      </c>
      <c r="AA417" s="26">
        <f>IFERROR(__xludf.DUMMYFUNCTION("""COMPUTED_VALUE"""),405.5)</f>
        <v>405.5</v>
      </c>
      <c r="AB417" s="26">
        <f>IFERROR(__xludf.DUMMYFUNCTION("""COMPUTED_VALUE"""),90.15)</f>
        <v>90.15</v>
      </c>
      <c r="AC417" s="26">
        <f>IFERROR(__xludf.DUMMYFUNCTION("""COMPUTED_VALUE"""),118.49)</f>
        <v>118.49</v>
      </c>
      <c r="AD417" s="26">
        <f>IFERROR(__xludf.DUMMYFUNCTION("""COMPUTED_VALUE"""),307.33)</f>
        <v>307.33</v>
      </c>
      <c r="AE417" s="26">
        <f>IFERROR(__xludf.DUMMYFUNCTION("""COMPUTED_VALUE"""),366.81)</f>
        <v>366.81</v>
      </c>
      <c r="AF417" s="26">
        <f>IFERROR(__xludf.DUMMYFUNCTION("""COMPUTED_VALUE"""),345.64)</f>
        <v>345.64</v>
      </c>
      <c r="AG417" s="26">
        <f>IFERROR(__xludf.DUMMYFUNCTION("""COMPUTED_VALUE"""),81.91)</f>
        <v>81.91</v>
      </c>
      <c r="AH417" s="26">
        <f>IFERROR(__xludf.DUMMYFUNCTION("""COMPUTED_VALUE"""),124.35)</f>
        <v>124.35</v>
      </c>
      <c r="AI417" s="26">
        <f>IFERROR(__xludf.DUMMYFUNCTION("""COMPUTED_VALUE"""),941.02)</f>
        <v>941.02</v>
      </c>
      <c r="AJ417" s="26">
        <f>IFERROR(__xludf.DUMMYFUNCTION("""COMPUTED_VALUE"""),349.06)</f>
        <v>349.06</v>
      </c>
      <c r="AK417" s="26">
        <f>IFERROR(__xludf.DUMMYFUNCTION("""COMPUTED_VALUE"""),179.2)</f>
        <v>179.2</v>
      </c>
      <c r="AL417" s="26">
        <f>IFERROR(__xludf.DUMMYFUNCTION("""COMPUTED_VALUE"""),161.92)</f>
        <v>161.92</v>
      </c>
      <c r="AM417" s="26">
        <f>IFERROR(__xludf.DUMMYFUNCTION("""COMPUTED_VALUE"""),592.27)</f>
        <v>592.27</v>
      </c>
      <c r="AN417" s="26">
        <f>IFERROR(__xludf.DUMMYFUNCTION("""COMPUTED_VALUE"""),326.99)</f>
        <v>326.99</v>
      </c>
      <c r="AO417" s="26">
        <f>IFERROR(__xludf.DUMMYFUNCTION("""COMPUTED_VALUE"""),496.87)</f>
        <v>496.87</v>
      </c>
      <c r="AP417" s="26">
        <f>IFERROR(__xludf.DUMMYFUNCTION("""COMPUTED_VALUE"""),211.72)</f>
        <v>211.72</v>
      </c>
      <c r="AQ417" s="26">
        <f>IFERROR(__xludf.DUMMYFUNCTION("""COMPUTED_VALUE"""),36.58)</f>
        <v>36.58</v>
      </c>
      <c r="AR417" s="26">
        <f>IFERROR(__xludf.DUMMYFUNCTION("""COMPUTED_VALUE"""),99.77)</f>
        <v>99.77</v>
      </c>
      <c r="AS417" s="26">
        <f>IFERROR(__xludf.DUMMYFUNCTION("""COMPUTED_VALUE"""),78.27)</f>
        <v>78.27</v>
      </c>
      <c r="AT417" s="26">
        <f>IFERROR(__xludf.DUMMYFUNCTION("""COMPUTED_VALUE"""),483.47)</f>
        <v>483.47</v>
      </c>
      <c r="AU417" s="26">
        <f>IFERROR(__xludf.DUMMYFUNCTION("""COMPUTED_VALUE"""),78.37)</f>
        <v>78.37</v>
      </c>
      <c r="AV417" s="26">
        <f>IFERROR(__xludf.DUMMYFUNCTION("""COMPUTED_VALUE"""),189.11)</f>
        <v>189.11</v>
      </c>
      <c r="AW417" s="26">
        <f>IFERROR(__xludf.DUMMYFUNCTION("""COMPUTED_VALUE"""),88.42)</f>
        <v>88.42</v>
      </c>
      <c r="AX417" s="26">
        <f>IFERROR(__xludf.DUMMYFUNCTION("""COMPUTED_VALUE"""),48.66)</f>
        <v>48.66</v>
      </c>
      <c r="AY417" s="26">
        <f>IFERROR(__xludf.DUMMYFUNCTION("""COMPUTED_VALUE"""),181.68)</f>
        <v>181.68</v>
      </c>
      <c r="AZ417" s="26">
        <f>IFERROR(__xludf.DUMMYFUNCTION("""COMPUTED_VALUE"""),58.51)</f>
        <v>58.51</v>
      </c>
      <c r="BA417" s="26">
        <f>IFERROR(__xludf.DUMMYFUNCTION("""COMPUTED_VALUE"""),25.28)</f>
        <v>25.28</v>
      </c>
      <c r="BB417" s="26">
        <f>IFERROR(__xludf.DUMMYFUNCTION("""COMPUTED_VALUE"""),185.73)</f>
        <v>185.73</v>
      </c>
      <c r="BC417" s="26">
        <f>IFERROR(__xludf.DUMMYFUNCTION("""COMPUTED_VALUE"""),197.29)</f>
        <v>197.29</v>
      </c>
      <c r="BD417" s="26">
        <f>IFERROR(__xludf.DUMMYFUNCTION("""COMPUTED_VALUE"""),617.15)</f>
        <v>617.15</v>
      </c>
      <c r="BE417" s="26">
        <f>IFERROR(__xludf.DUMMYFUNCTION("""COMPUTED_VALUE"""),213.33)</f>
        <v>213.33</v>
      </c>
      <c r="BF417" s="26">
        <f>IFERROR(__xludf.DUMMYFUNCTION("""COMPUTED_VALUE"""),137.27)</f>
        <v>137.27</v>
      </c>
      <c r="BG417" s="26">
        <f>IFERROR(__xludf.DUMMYFUNCTION("""COMPUTED_VALUE"""),5.72)</f>
        <v>5.72</v>
      </c>
      <c r="BH417" s="26">
        <f>IFERROR(__xludf.DUMMYFUNCTION("""COMPUTED_VALUE"""),224.48)</f>
        <v>224.48</v>
      </c>
      <c r="BI417" s="26">
        <f>IFERROR(__xludf.DUMMYFUNCTION("""COMPUTED_VALUE"""),341.7)</f>
        <v>341.7</v>
      </c>
      <c r="BJ417" s="26">
        <f>IFERROR(__xludf.DUMMYFUNCTION("""COMPUTED_VALUE"""),49.52)</f>
        <v>49.52</v>
      </c>
      <c r="BK417" s="26">
        <f>IFERROR(__xludf.DUMMYFUNCTION("""COMPUTED_VALUE"""),12.46)</f>
        <v>12.46</v>
      </c>
      <c r="BL417" s="26">
        <f>IFERROR(__xludf.DUMMYFUNCTION("""COMPUTED_VALUE"""),215.97)</f>
        <v>215.97</v>
      </c>
      <c r="BM417" s="26">
        <f>IFERROR(__xludf.DUMMYFUNCTION("""COMPUTED_VALUE"""),112.91)</f>
        <v>112.91</v>
      </c>
    </row>
    <row r="418">
      <c r="A418" s="25"/>
      <c r="B418" s="17">
        <f>IFERROR(__xludf.DUMMYFUNCTION("""COMPUTED_VALUE"""),6921.46)</f>
        <v>6921.46</v>
      </c>
      <c r="C418" s="17">
        <f>IFERROR(__xludf.DUMMYFUNCTION("""COMPUTED_VALUE"""),23480.02)</f>
        <v>23480.02</v>
      </c>
      <c r="D418" s="17">
        <f>IFERROR(__xludf.DUMMYFUNCTION("""COMPUTED_VALUE"""),49266.11)</f>
        <v>49266.11</v>
      </c>
      <c r="E418" s="17">
        <f>IFERROR(__xludf.DUMMYFUNCTION("""COMPUTED_VALUE"""),2603.91)</f>
        <v>2603.91</v>
      </c>
      <c r="F418" s="26">
        <f>IFERROR(__xludf.DUMMYFUNCTION("""COMPUTED_VALUE"""),339.04)</f>
        <v>339.04</v>
      </c>
      <c r="G418" s="26">
        <f>IFERROR(__xludf.DUMMYFUNCTION("""COMPUTED_VALUE"""),246.29)</f>
        <v>246.29</v>
      </c>
      <c r="H418" s="26">
        <f>IFERROR(__xludf.DUMMYFUNCTION("""COMPUTED_VALUE"""),129.27)</f>
        <v>129.27</v>
      </c>
      <c r="I418" s="26">
        <f>IFERROR(__xludf.DUMMYFUNCTION("""COMPUTED_VALUE"""),259.04)</f>
        <v>259.04</v>
      </c>
      <c r="J418" s="26">
        <f>IFERROR(__xludf.DUMMYFUNCTION("""COMPUTED_VALUE"""),281.64)</f>
        <v>281.64</v>
      </c>
      <c r="K418" s="26">
        <f>IFERROR(__xludf.DUMMYFUNCTION("""COMPUTED_VALUE"""),120.05)</f>
        <v>120.05</v>
      </c>
      <c r="L418" s="26">
        <f>IFERROR(__xludf.DUMMYFUNCTION("""COMPUTED_VALUE"""),26.07)</f>
        <v>26.07</v>
      </c>
      <c r="M418" s="26">
        <f>IFERROR(__xludf.DUMMYFUNCTION("""COMPUTED_VALUE"""),499.77)</f>
        <v>499.77</v>
      </c>
      <c r="N418" s="26">
        <f>IFERROR(__xludf.DUMMYFUNCTION("""COMPUTED_VALUE"""),62.95)</f>
        <v>62.95</v>
      </c>
      <c r="O418" s="26">
        <f>IFERROR(__xludf.DUMMYFUNCTION("""COMPUTED_VALUE"""),186.0)</f>
        <v>186</v>
      </c>
      <c r="P418" s="26">
        <f>IFERROR(__xludf.DUMMYFUNCTION("""COMPUTED_VALUE"""),53.86)</f>
        <v>53.86</v>
      </c>
      <c r="Q418" s="26">
        <f>IFERROR(__xludf.DUMMYFUNCTION("""COMPUTED_VALUE"""),608.13)</f>
        <v>608.13</v>
      </c>
      <c r="R418" s="26">
        <f>IFERROR(__xludf.DUMMYFUNCTION("""COMPUTED_VALUE"""),105.76)</f>
        <v>105.76</v>
      </c>
      <c r="S418" s="26">
        <f>IFERROR(__xludf.DUMMYFUNCTION("""COMPUTED_VALUE"""),190.76)</f>
        <v>190.76</v>
      </c>
      <c r="T418" s="26">
        <f>IFERROR(__xludf.DUMMYFUNCTION("""COMPUTED_VALUE"""),159.25)</f>
        <v>159.25</v>
      </c>
      <c r="U418" s="26">
        <f>IFERROR(__xludf.DUMMYFUNCTION("""COMPUTED_VALUE"""),283.91)</f>
        <v>283.91</v>
      </c>
      <c r="V418" s="26">
        <f>IFERROR(__xludf.DUMMYFUNCTION("""COMPUTED_VALUE"""),61.23)</f>
        <v>61.23</v>
      </c>
      <c r="W418" s="26">
        <f>IFERROR(__xludf.DUMMYFUNCTION("""COMPUTED_VALUE"""),69.37)</f>
        <v>69.37</v>
      </c>
      <c r="X418" s="26">
        <f>IFERROR(__xludf.DUMMYFUNCTION("""COMPUTED_VALUE"""),100.18)</f>
        <v>100.18</v>
      </c>
      <c r="Y418" s="26">
        <f>IFERROR(__xludf.DUMMYFUNCTION("""COMPUTED_VALUE"""),152.93)</f>
        <v>152.93</v>
      </c>
      <c r="Z418" s="26">
        <f>IFERROR(__xludf.DUMMYFUNCTION("""COMPUTED_VALUE"""),131.61)</f>
        <v>131.61</v>
      </c>
      <c r="AA418" s="26">
        <f>IFERROR(__xludf.DUMMYFUNCTION("""COMPUTED_VALUE"""),406.58)</f>
        <v>406.58</v>
      </c>
      <c r="AB418" s="26">
        <f>IFERROR(__xludf.DUMMYFUNCTION("""COMPUTED_VALUE"""),90.88)</f>
        <v>90.88</v>
      </c>
      <c r="AC418" s="26">
        <f>IFERROR(__xludf.DUMMYFUNCTION("""COMPUTED_VALUE"""),122.91)</f>
        <v>122.91</v>
      </c>
      <c r="AD418" s="26">
        <f>IFERROR(__xludf.DUMMYFUNCTION("""COMPUTED_VALUE"""),309.01)</f>
        <v>309.01</v>
      </c>
      <c r="AE418" s="26">
        <f>IFERROR(__xludf.DUMMYFUNCTION("""COMPUTED_VALUE"""),370.85)</f>
        <v>370.85</v>
      </c>
      <c r="AF418" s="26">
        <f>IFERROR(__xludf.DUMMYFUNCTION("""COMPUTED_VALUE"""),351.44)</f>
        <v>351.44</v>
      </c>
      <c r="AG418" s="26">
        <f>IFERROR(__xludf.DUMMYFUNCTION("""COMPUTED_VALUE"""),85.13)</f>
        <v>85.13</v>
      </c>
      <c r="AH418" s="26">
        <f>IFERROR(__xludf.DUMMYFUNCTION("""COMPUTED_VALUE"""),120.67)</f>
        <v>120.67</v>
      </c>
      <c r="AI418" s="26">
        <f>IFERROR(__xludf.DUMMYFUNCTION("""COMPUTED_VALUE"""),934.83)</f>
        <v>934.83</v>
      </c>
      <c r="AJ418" s="26">
        <f>IFERROR(__xludf.DUMMYFUNCTION("""COMPUTED_VALUE"""),359.56)</f>
        <v>359.56</v>
      </c>
      <c r="AK418" s="26">
        <f>IFERROR(__xludf.DUMMYFUNCTION("""COMPUTED_VALUE"""),178.52)</f>
        <v>178.52</v>
      </c>
      <c r="AL418" s="26">
        <f>IFERROR(__xludf.DUMMYFUNCTION("""COMPUTED_VALUE"""),161.98)</f>
        <v>161.98</v>
      </c>
      <c r="AM418" s="26">
        <f>IFERROR(__xludf.DUMMYFUNCTION("""COMPUTED_VALUE"""),585.08)</f>
        <v>585.08</v>
      </c>
      <c r="AN418" s="26">
        <f>IFERROR(__xludf.DUMMYFUNCTION("""COMPUTED_VALUE"""),329.79)</f>
        <v>329.79</v>
      </c>
      <c r="AO418" s="26">
        <f>IFERROR(__xludf.DUMMYFUNCTION("""COMPUTED_VALUE"""),518.44)</f>
        <v>518.44</v>
      </c>
      <c r="AP418" s="26">
        <f>IFERROR(__xludf.DUMMYFUNCTION("""COMPUTED_VALUE"""),212.17)</f>
        <v>212.17</v>
      </c>
      <c r="AQ418" s="26">
        <f>IFERROR(__xludf.DUMMYFUNCTION("""COMPUTED_VALUE"""),37.15)</f>
        <v>37.15</v>
      </c>
      <c r="AR418" s="26">
        <f>IFERROR(__xludf.DUMMYFUNCTION("""COMPUTED_VALUE"""),98.69)</f>
        <v>98.69</v>
      </c>
      <c r="AS418" s="26">
        <f>IFERROR(__xludf.DUMMYFUNCTION("""COMPUTED_VALUE"""),79.78)</f>
        <v>79.78</v>
      </c>
      <c r="AT418" s="26">
        <f>IFERROR(__xludf.DUMMYFUNCTION("""COMPUTED_VALUE"""),478.11)</f>
        <v>478.11</v>
      </c>
      <c r="AU418" s="26">
        <f>IFERROR(__xludf.DUMMYFUNCTION("""COMPUTED_VALUE"""),79.49)</f>
        <v>79.49</v>
      </c>
      <c r="AV418" s="26">
        <f>IFERROR(__xludf.DUMMYFUNCTION("""COMPUTED_VALUE"""),185.04)</f>
        <v>185.04</v>
      </c>
      <c r="AW418" s="26">
        <f>IFERROR(__xludf.DUMMYFUNCTION("""COMPUTED_VALUE"""),90.39)</f>
        <v>90.39</v>
      </c>
      <c r="AX418" s="26">
        <f>IFERROR(__xludf.DUMMYFUNCTION("""COMPUTED_VALUE"""),50.63)</f>
        <v>50.63</v>
      </c>
      <c r="AY418" s="26">
        <f>IFERROR(__xludf.DUMMYFUNCTION("""COMPUTED_VALUE"""),176.86)</f>
        <v>176.86</v>
      </c>
      <c r="AZ418" s="26">
        <f>IFERROR(__xludf.DUMMYFUNCTION("""COMPUTED_VALUE"""),58.27)</f>
        <v>58.27</v>
      </c>
      <c r="BA418" s="26">
        <f>IFERROR(__xludf.DUMMYFUNCTION("""COMPUTED_VALUE"""),25.29)</f>
        <v>25.29</v>
      </c>
      <c r="BB418" s="26">
        <f>IFERROR(__xludf.DUMMYFUNCTION("""COMPUTED_VALUE"""),187.17)</f>
        <v>187.17</v>
      </c>
      <c r="BC418" s="26">
        <f>IFERROR(__xludf.DUMMYFUNCTION("""COMPUTED_VALUE"""),197.91)</f>
        <v>197.91</v>
      </c>
      <c r="BD418" s="26">
        <f>IFERROR(__xludf.DUMMYFUNCTION("""COMPUTED_VALUE"""),606.5)</f>
        <v>606.5</v>
      </c>
      <c r="BE418" s="26">
        <f>IFERROR(__xludf.DUMMYFUNCTION("""COMPUTED_VALUE"""),214.73)</f>
        <v>214.73</v>
      </c>
      <c r="BF418" s="26">
        <f>IFERROR(__xludf.DUMMYFUNCTION("""COMPUTED_VALUE"""),137.57)</f>
        <v>137.57</v>
      </c>
      <c r="BG418" s="26">
        <f>IFERROR(__xludf.DUMMYFUNCTION("""COMPUTED_VALUE"""),6.0)</f>
        <v>6</v>
      </c>
      <c r="BH418" s="26">
        <f>IFERROR(__xludf.DUMMYFUNCTION("""COMPUTED_VALUE"""),229.85)</f>
        <v>229.85</v>
      </c>
      <c r="BI418" s="26">
        <f>IFERROR(__xludf.DUMMYFUNCTION("""COMPUTED_VALUE"""),346.85)</f>
        <v>346.85</v>
      </c>
      <c r="BJ418" s="26">
        <f>IFERROR(__xludf.DUMMYFUNCTION("""COMPUTED_VALUE"""),49.51)</f>
        <v>49.51</v>
      </c>
      <c r="BK418" s="26">
        <f>IFERROR(__xludf.DUMMYFUNCTION("""COMPUTED_VALUE"""),12.6)</f>
        <v>12.6</v>
      </c>
      <c r="BL418" s="26">
        <f>IFERROR(__xludf.DUMMYFUNCTION("""COMPUTED_VALUE"""),217.86)</f>
        <v>217.86</v>
      </c>
      <c r="BM418" s="26">
        <f>IFERROR(__xludf.DUMMYFUNCTION("""COMPUTED_VALUE"""),114.17)</f>
        <v>114.17</v>
      </c>
    </row>
    <row r="419">
      <c r="A419" s="25"/>
      <c r="B419" s="17">
        <f>IFERROR(__xludf.DUMMYFUNCTION("""COMPUTED_VALUE"""),6966.28)</f>
        <v>6966.28</v>
      </c>
      <c r="C419" s="17">
        <f>IFERROR(__xludf.DUMMYFUNCTION("""COMPUTED_VALUE"""),23671.35)</f>
        <v>23671.35</v>
      </c>
      <c r="D419" s="17">
        <f>IFERROR(__xludf.DUMMYFUNCTION("""COMPUTED_VALUE"""),49504.07)</f>
        <v>49504.07</v>
      </c>
      <c r="E419" s="17">
        <f>IFERROR(__xludf.DUMMYFUNCTION("""COMPUTED_VALUE"""),2624.22)</f>
        <v>2624.22</v>
      </c>
      <c r="F419" s="26">
        <f>IFERROR(__xludf.DUMMYFUNCTION("""COMPUTED_VALUE"""),333.95)</f>
        <v>333.95</v>
      </c>
      <c r="G419" s="26">
        <f>IFERROR(__xludf.DUMMYFUNCTION("""COMPUTED_VALUE"""),247.38)</f>
        <v>247.38</v>
      </c>
      <c r="H419" s="26">
        <f>IFERROR(__xludf.DUMMYFUNCTION("""COMPUTED_VALUE"""),127.98)</f>
        <v>127.98</v>
      </c>
      <c r="I419" s="26">
        <f>IFERROR(__xludf.DUMMYFUNCTION("""COMPUTED_VALUE"""),259.37)</f>
        <v>259.37</v>
      </c>
      <c r="J419" s="26">
        <f>IFERROR(__xludf.DUMMYFUNCTION("""COMPUTED_VALUE"""),301.18)</f>
        <v>301.18</v>
      </c>
      <c r="K419" s="26">
        <f>IFERROR(__xludf.DUMMYFUNCTION("""COMPUTED_VALUE"""),119.04)</f>
        <v>119.04</v>
      </c>
      <c r="L419" s="26">
        <f>IFERROR(__xludf.DUMMYFUNCTION("""COMPUTED_VALUE"""),25.96)</f>
        <v>25.96</v>
      </c>
      <c r="M419" s="26">
        <f>IFERROR(__xludf.DUMMYFUNCTION("""COMPUTED_VALUE"""),499.1)</f>
        <v>499.1</v>
      </c>
      <c r="N419" s="26">
        <f>IFERROR(__xludf.DUMMYFUNCTION("""COMPUTED_VALUE"""),61.72)</f>
        <v>61.72</v>
      </c>
      <c r="O419" s="26">
        <f>IFERROR(__xludf.DUMMYFUNCTION("""COMPUTED_VALUE"""),187.62)</f>
        <v>187.62</v>
      </c>
      <c r="P419" s="26">
        <f>IFERROR(__xludf.DUMMYFUNCTION("""COMPUTED_VALUE"""),56.25)</f>
        <v>56.25</v>
      </c>
      <c r="Q419" s="26">
        <f>IFERROR(__xludf.DUMMYFUNCTION("""COMPUTED_VALUE"""),617.62)</f>
        <v>617.62</v>
      </c>
      <c r="R419" s="26">
        <f>IFERROR(__xludf.DUMMYFUNCTION("""COMPUTED_VALUE"""),107.56)</f>
        <v>107.56</v>
      </c>
      <c r="S419" s="26">
        <f>IFERROR(__xludf.DUMMYFUNCTION("""COMPUTED_VALUE"""),192.67)</f>
        <v>192.67</v>
      </c>
      <c r="T419" s="26">
        <f>IFERROR(__xludf.DUMMYFUNCTION("""COMPUTED_VALUE"""),162.11)</f>
        <v>162.11</v>
      </c>
      <c r="U419" s="26">
        <f>IFERROR(__xludf.DUMMYFUNCTION("""COMPUTED_VALUE"""),278.95)</f>
        <v>278.95</v>
      </c>
      <c r="V419" s="26">
        <f>IFERROR(__xludf.DUMMYFUNCTION("""COMPUTED_VALUE"""),60.53)</f>
        <v>60.53</v>
      </c>
      <c r="W419" s="26">
        <f>IFERROR(__xludf.DUMMYFUNCTION("""COMPUTED_VALUE"""),70.51)</f>
        <v>70.51</v>
      </c>
      <c r="X419" s="26">
        <f>IFERROR(__xludf.DUMMYFUNCTION("""COMPUTED_VALUE"""),99.21)</f>
        <v>99.21</v>
      </c>
      <c r="Y419" s="26">
        <f>IFERROR(__xludf.DUMMYFUNCTION("""COMPUTED_VALUE"""),158.55)</f>
        <v>158.55</v>
      </c>
      <c r="Z419" s="26">
        <f>IFERROR(__xludf.DUMMYFUNCTION("""COMPUTED_VALUE"""),132.38)</f>
        <v>132.38</v>
      </c>
      <c r="AA419" s="26">
        <f>IFERROR(__xludf.DUMMYFUNCTION("""COMPUTED_VALUE"""),405.09)</f>
        <v>405.09</v>
      </c>
      <c r="AB419" s="26">
        <f>IFERROR(__xludf.DUMMYFUNCTION("""COMPUTED_VALUE"""),90.91)</f>
        <v>90.91</v>
      </c>
      <c r="AC419" s="26">
        <f>IFERROR(__xludf.DUMMYFUNCTION("""COMPUTED_VALUE"""),124.61)</f>
        <v>124.61</v>
      </c>
      <c r="AD419" s="26">
        <f>IFERROR(__xludf.DUMMYFUNCTION("""COMPUTED_VALUE"""),312.36)</f>
        <v>312.36</v>
      </c>
      <c r="AE419" s="26">
        <f>IFERROR(__xludf.DUMMYFUNCTION("""COMPUTED_VALUE"""),376.19)</f>
        <v>376.19</v>
      </c>
      <c r="AF419" s="26">
        <f>IFERROR(__xludf.DUMMYFUNCTION("""COMPUTED_VALUE"""),353.89)</f>
        <v>353.89</v>
      </c>
      <c r="AG419" s="26">
        <f>IFERROR(__xludf.DUMMYFUNCTION("""COMPUTED_VALUE"""),82.87)</f>
        <v>82.87</v>
      </c>
      <c r="AH419" s="26">
        <f>IFERROR(__xludf.DUMMYFUNCTION("""COMPUTED_VALUE"""),121.1)</f>
        <v>121.1</v>
      </c>
      <c r="AI419" s="26">
        <f>IFERROR(__xludf.DUMMYFUNCTION("""COMPUTED_VALUE"""),938.98)</f>
        <v>938.98</v>
      </c>
      <c r="AJ419" s="26">
        <f>IFERROR(__xludf.DUMMYFUNCTION("""COMPUTED_VALUE"""),374.64)</f>
        <v>374.64</v>
      </c>
      <c r="AK419" s="26">
        <f>IFERROR(__xludf.DUMMYFUNCTION("""COMPUTED_VALUE"""),181.34)</f>
        <v>181.34</v>
      </c>
      <c r="AL419" s="26">
        <f>IFERROR(__xludf.DUMMYFUNCTION("""COMPUTED_VALUE"""),165.98)</f>
        <v>165.98</v>
      </c>
      <c r="AM419" s="26">
        <f>IFERROR(__xludf.DUMMYFUNCTION("""COMPUTED_VALUE"""),586.24)</f>
        <v>586.24</v>
      </c>
      <c r="AN419" s="26">
        <f>IFERROR(__xludf.DUMMYFUNCTION("""COMPUTED_VALUE"""),329.19)</f>
        <v>329.19</v>
      </c>
      <c r="AO419" s="26">
        <f>IFERROR(__xludf.DUMMYFUNCTION("""COMPUTED_VALUE"""),542.92)</f>
        <v>542.92</v>
      </c>
      <c r="AP419" s="26">
        <f>IFERROR(__xludf.DUMMYFUNCTION("""COMPUTED_VALUE"""),203.9)</f>
        <v>203.9</v>
      </c>
      <c r="AQ419" s="26">
        <f>IFERROR(__xludf.DUMMYFUNCTION("""COMPUTED_VALUE"""),37.36)</f>
        <v>37.36</v>
      </c>
      <c r="AR419" s="26">
        <f>IFERROR(__xludf.DUMMYFUNCTION("""COMPUTED_VALUE"""),97.53)</f>
        <v>97.53</v>
      </c>
      <c r="AS419" s="26">
        <f>IFERROR(__xludf.DUMMYFUNCTION("""COMPUTED_VALUE"""),79.41)</f>
        <v>79.41</v>
      </c>
      <c r="AT419" s="26">
        <f>IFERROR(__xludf.DUMMYFUNCTION("""COMPUTED_VALUE"""),479.28)</f>
        <v>479.28</v>
      </c>
      <c r="AU419" s="26">
        <f>IFERROR(__xludf.DUMMYFUNCTION("""COMPUTED_VALUE"""),79.89)</f>
        <v>79.89</v>
      </c>
      <c r="AV419" s="26">
        <f>IFERROR(__xludf.DUMMYFUNCTION("""COMPUTED_VALUE"""),184.86)</f>
        <v>184.86</v>
      </c>
      <c r="AW419" s="26">
        <f>IFERROR(__xludf.DUMMYFUNCTION("""COMPUTED_VALUE"""),90.27)</f>
        <v>90.27</v>
      </c>
      <c r="AX419" s="26">
        <f>IFERROR(__xludf.DUMMYFUNCTION("""COMPUTED_VALUE"""),49.12)</f>
        <v>49.12</v>
      </c>
      <c r="AY419" s="26">
        <f>IFERROR(__xludf.DUMMYFUNCTION("""COMPUTED_VALUE"""),177.49)</f>
        <v>177.49</v>
      </c>
      <c r="AZ419" s="26">
        <f>IFERROR(__xludf.DUMMYFUNCTION("""COMPUTED_VALUE"""),57.66)</f>
        <v>57.66</v>
      </c>
      <c r="BA419" s="26">
        <f>IFERROR(__xludf.DUMMYFUNCTION("""COMPUTED_VALUE"""),25.48)</f>
        <v>25.48</v>
      </c>
      <c r="BB419" s="26">
        <f>IFERROR(__xludf.DUMMYFUNCTION("""COMPUTED_VALUE"""),188.5)</f>
        <v>188.5</v>
      </c>
      <c r="BC419" s="26">
        <f>IFERROR(__xludf.DUMMYFUNCTION("""COMPUTED_VALUE"""),200.56)</f>
        <v>200.56</v>
      </c>
      <c r="BD419" s="26">
        <f>IFERROR(__xludf.DUMMYFUNCTION("""COMPUTED_VALUE"""),618.86)</f>
        <v>618.86</v>
      </c>
      <c r="BE419" s="26">
        <f>IFERROR(__xludf.DUMMYFUNCTION("""COMPUTED_VALUE"""),221.52)</f>
        <v>221.52</v>
      </c>
      <c r="BF419" s="26">
        <f>IFERROR(__xludf.DUMMYFUNCTION("""COMPUTED_VALUE"""),137.07)</f>
        <v>137.07</v>
      </c>
      <c r="BG419" s="26">
        <f>IFERROR(__xludf.DUMMYFUNCTION("""COMPUTED_VALUE"""),5.64)</f>
        <v>5.64</v>
      </c>
      <c r="BH419" s="26">
        <f>IFERROR(__xludf.DUMMYFUNCTION("""COMPUTED_VALUE"""),228.44)</f>
        <v>228.44</v>
      </c>
      <c r="BI419" s="26">
        <f>IFERROR(__xludf.DUMMYFUNCTION("""COMPUTED_VALUE"""),343.98)</f>
        <v>343.98</v>
      </c>
      <c r="BJ419" s="26">
        <f>IFERROR(__xludf.DUMMYFUNCTION("""COMPUTED_VALUE"""),49.5)</f>
        <v>49.5</v>
      </c>
      <c r="BK419" s="26">
        <f>IFERROR(__xludf.DUMMYFUNCTION("""COMPUTED_VALUE"""),12.76)</f>
        <v>12.76</v>
      </c>
      <c r="BL419" s="26">
        <f>IFERROR(__xludf.DUMMYFUNCTION("""COMPUTED_VALUE"""),220.91)</f>
        <v>220.91</v>
      </c>
      <c r="BM419" s="26">
        <f>IFERROR(__xludf.DUMMYFUNCTION("""COMPUTED_VALUE"""),115.88)</f>
        <v>115.88</v>
      </c>
    </row>
    <row r="420">
      <c r="A420" s="25"/>
      <c r="B420" s="17">
        <f>IFERROR(__xludf.DUMMYFUNCTION("""COMPUTED_VALUE"""),6963.74)</f>
        <v>6963.74</v>
      </c>
      <c r="C420" s="17">
        <f>IFERROR(__xludf.DUMMYFUNCTION("""COMPUTED_VALUE"""),23733.9)</f>
        <v>23733.9</v>
      </c>
      <c r="D420" s="17">
        <f>IFERROR(__xludf.DUMMYFUNCTION("""COMPUTED_VALUE"""),49590.2)</f>
        <v>49590.2</v>
      </c>
      <c r="E420" s="17">
        <f>IFERROR(__xludf.DUMMYFUNCTION("""COMPUTED_VALUE"""),2635.69)</f>
        <v>2635.69</v>
      </c>
      <c r="F420" s="26">
        <f>IFERROR(__xludf.DUMMYFUNCTION("""COMPUTED_VALUE"""),327.65)</f>
        <v>327.65</v>
      </c>
      <c r="G420" s="26">
        <f>IFERROR(__xludf.DUMMYFUNCTION("""COMPUTED_VALUE"""),246.47)</f>
        <v>246.47</v>
      </c>
      <c r="H420" s="26">
        <f>IFERROR(__xludf.DUMMYFUNCTION("""COMPUTED_VALUE"""),130.3)</f>
        <v>130.3</v>
      </c>
      <c r="I420" s="26">
        <f>IFERROR(__xludf.DUMMYFUNCTION("""COMPUTED_VALUE"""),260.25)</f>
        <v>260.25</v>
      </c>
      <c r="J420" s="26">
        <f>IFERROR(__xludf.DUMMYFUNCTION("""COMPUTED_VALUE"""),307.24)</f>
        <v>307.24</v>
      </c>
      <c r="K420" s="26">
        <f>IFERROR(__xludf.DUMMYFUNCTION("""COMPUTED_VALUE"""),120.66)</f>
        <v>120.66</v>
      </c>
      <c r="L420" s="26">
        <f>IFERROR(__xludf.DUMMYFUNCTION("""COMPUTED_VALUE"""),25.63)</f>
        <v>25.63</v>
      </c>
      <c r="M420" s="26">
        <f>IFERROR(__xludf.DUMMYFUNCTION("""COMPUTED_VALUE"""),498.67)</f>
        <v>498.67</v>
      </c>
      <c r="N420" s="26">
        <f>IFERROR(__xludf.DUMMYFUNCTION("""COMPUTED_VALUE"""),62.8)</f>
        <v>62.8</v>
      </c>
      <c r="O420" s="26">
        <f>IFERROR(__xludf.DUMMYFUNCTION("""COMPUTED_VALUE"""),185.63)</f>
        <v>185.63</v>
      </c>
      <c r="P420" s="26">
        <f>IFERROR(__xludf.DUMMYFUNCTION("""COMPUTED_VALUE"""),55.38)</f>
        <v>55.38</v>
      </c>
      <c r="Q420" s="26">
        <f>IFERROR(__xludf.DUMMYFUNCTION("""COMPUTED_VALUE"""),629.77)</f>
        <v>629.77</v>
      </c>
      <c r="R420" s="26">
        <f>IFERROR(__xludf.DUMMYFUNCTION("""COMPUTED_VALUE"""),109.79)</f>
        <v>109.79</v>
      </c>
      <c r="S420" s="26">
        <f>IFERROR(__xludf.DUMMYFUNCTION("""COMPUTED_VALUE"""),190.0)</f>
        <v>190</v>
      </c>
      <c r="T420" s="26">
        <f>IFERROR(__xludf.DUMMYFUNCTION("""COMPUTED_VALUE"""),162.34)</f>
        <v>162.34</v>
      </c>
      <c r="U420" s="26">
        <f>IFERROR(__xludf.DUMMYFUNCTION("""COMPUTED_VALUE"""),276.02)</f>
        <v>276.02</v>
      </c>
      <c r="V420" s="26">
        <f>IFERROR(__xludf.DUMMYFUNCTION("""COMPUTED_VALUE"""),60.2)</f>
        <v>60.2</v>
      </c>
      <c r="W420" s="26">
        <f>IFERROR(__xludf.DUMMYFUNCTION("""COMPUTED_VALUE"""),70.5)</f>
        <v>70.5</v>
      </c>
      <c r="X420" s="26">
        <f>IFERROR(__xludf.DUMMYFUNCTION("""COMPUTED_VALUE"""),98.83)</f>
        <v>98.83</v>
      </c>
      <c r="Y420" s="26">
        <f>IFERROR(__xludf.DUMMYFUNCTION("""COMPUTED_VALUE"""),157.87)</f>
        <v>157.87</v>
      </c>
      <c r="Z420" s="26">
        <f>IFERROR(__xludf.DUMMYFUNCTION("""COMPUTED_VALUE"""),137.24)</f>
        <v>137.24</v>
      </c>
      <c r="AA420" s="26">
        <f>IFERROR(__xludf.DUMMYFUNCTION("""COMPUTED_VALUE"""),415.95)</f>
        <v>415.95</v>
      </c>
      <c r="AB420" s="26">
        <f>IFERROR(__xludf.DUMMYFUNCTION("""COMPUTED_VALUE"""),93.3)</f>
        <v>93.3</v>
      </c>
      <c r="AC420" s="26">
        <f>IFERROR(__xludf.DUMMYFUNCTION("""COMPUTED_VALUE"""),124.03)</f>
        <v>124.03</v>
      </c>
      <c r="AD420" s="26">
        <f>IFERROR(__xludf.DUMMYFUNCTION("""COMPUTED_VALUE"""),311.92)</f>
        <v>311.92</v>
      </c>
      <c r="AE420" s="26">
        <f>IFERROR(__xludf.DUMMYFUNCTION("""COMPUTED_VALUE"""),377.2)</f>
        <v>377.2</v>
      </c>
      <c r="AF420" s="26">
        <f>IFERROR(__xludf.DUMMYFUNCTION("""COMPUTED_VALUE"""),360.94)</f>
        <v>360.94</v>
      </c>
      <c r="AG420" s="26">
        <f>IFERROR(__xludf.DUMMYFUNCTION("""COMPUTED_VALUE"""),82.9)</f>
        <v>82.9</v>
      </c>
      <c r="AH420" s="26">
        <f>IFERROR(__xludf.DUMMYFUNCTION("""COMPUTED_VALUE"""),122.6)</f>
        <v>122.6</v>
      </c>
      <c r="AI420" s="26">
        <f>IFERROR(__xludf.DUMMYFUNCTION("""COMPUTED_VALUE"""),949.55)</f>
        <v>949.55</v>
      </c>
      <c r="AJ420" s="26">
        <f>IFERROR(__xludf.DUMMYFUNCTION("""COMPUTED_VALUE"""),374.94)</f>
        <v>374.94</v>
      </c>
      <c r="AK420" s="26">
        <f>IFERROR(__xludf.DUMMYFUNCTION("""COMPUTED_VALUE"""),183.23)</f>
        <v>183.23</v>
      </c>
      <c r="AL420" s="26">
        <f>IFERROR(__xludf.DUMMYFUNCTION("""COMPUTED_VALUE"""),166.25)</f>
        <v>166.25</v>
      </c>
      <c r="AM420" s="26">
        <f>IFERROR(__xludf.DUMMYFUNCTION("""COMPUTED_VALUE"""),572.75)</f>
        <v>572.75</v>
      </c>
      <c r="AN420" s="26">
        <f>IFERROR(__xludf.DUMMYFUNCTION("""COMPUTED_VALUE"""),324.49)</f>
        <v>324.49</v>
      </c>
      <c r="AO420" s="26">
        <f>IFERROR(__xludf.DUMMYFUNCTION("""COMPUTED_VALUE"""),551.24)</f>
        <v>551.24</v>
      </c>
      <c r="AP420" s="26">
        <f>IFERROR(__xludf.DUMMYFUNCTION("""COMPUTED_VALUE"""),209.04)</f>
        <v>209.04</v>
      </c>
      <c r="AQ420" s="26">
        <f>IFERROR(__xludf.DUMMYFUNCTION("""COMPUTED_VALUE"""),37.13)</f>
        <v>37.13</v>
      </c>
      <c r="AR420" s="26">
        <f>IFERROR(__xludf.DUMMYFUNCTION("""COMPUTED_VALUE"""),96.95)</f>
        <v>96.95</v>
      </c>
      <c r="AS420" s="26">
        <f>IFERROR(__xludf.DUMMYFUNCTION("""COMPUTED_VALUE"""),78.32)</f>
        <v>78.32</v>
      </c>
      <c r="AT420" s="26">
        <f>IFERROR(__xludf.DUMMYFUNCTION("""COMPUTED_VALUE"""),477.18)</f>
        <v>477.18</v>
      </c>
      <c r="AU420" s="26">
        <f>IFERROR(__xludf.DUMMYFUNCTION("""COMPUTED_VALUE"""),81.12)</f>
        <v>81.12</v>
      </c>
      <c r="AV420" s="26">
        <f>IFERROR(__xludf.DUMMYFUNCTION("""COMPUTED_VALUE"""),184.94)</f>
        <v>184.94</v>
      </c>
      <c r="AW420" s="26">
        <f>IFERROR(__xludf.DUMMYFUNCTION("""COMPUTED_VALUE"""),89.49)</f>
        <v>89.49</v>
      </c>
      <c r="AX420" s="26">
        <f>IFERROR(__xludf.DUMMYFUNCTION("""COMPUTED_VALUE"""),48.91)</f>
        <v>48.91</v>
      </c>
      <c r="AY420" s="26">
        <f>IFERROR(__xludf.DUMMYFUNCTION("""COMPUTED_VALUE"""),179.41)</f>
        <v>179.41</v>
      </c>
      <c r="AZ420" s="26">
        <f>IFERROR(__xludf.DUMMYFUNCTION("""COMPUTED_VALUE"""),57.29)</f>
        <v>57.29</v>
      </c>
      <c r="BA420" s="26">
        <f>IFERROR(__xludf.DUMMYFUNCTION("""COMPUTED_VALUE"""),25.27)</f>
        <v>25.27</v>
      </c>
      <c r="BB420" s="26">
        <f>IFERROR(__xludf.DUMMYFUNCTION("""COMPUTED_VALUE"""),193.85)</f>
        <v>193.85</v>
      </c>
      <c r="BC420" s="26">
        <f>IFERROR(__xludf.DUMMYFUNCTION("""COMPUTED_VALUE"""),197.51)</f>
        <v>197.51</v>
      </c>
      <c r="BD420" s="26">
        <f>IFERROR(__xludf.DUMMYFUNCTION("""COMPUTED_VALUE"""),615.45)</f>
        <v>615.45</v>
      </c>
      <c r="BE420" s="26">
        <f>IFERROR(__xludf.DUMMYFUNCTION("""COMPUTED_VALUE"""),222.59)</f>
        <v>222.59</v>
      </c>
      <c r="BF420" s="26">
        <f>IFERROR(__xludf.DUMMYFUNCTION("""COMPUTED_VALUE"""),134.66)</f>
        <v>134.66</v>
      </c>
      <c r="BG420" s="26">
        <f>IFERROR(__xludf.DUMMYFUNCTION("""COMPUTED_VALUE"""),5.59)</f>
        <v>5.59</v>
      </c>
      <c r="BH420" s="26">
        <f>IFERROR(__xludf.DUMMYFUNCTION("""COMPUTED_VALUE"""),229.5)</f>
        <v>229.5</v>
      </c>
      <c r="BI420" s="26">
        <f>IFERROR(__xludf.DUMMYFUNCTION("""COMPUTED_VALUE"""),340.51)</f>
        <v>340.51</v>
      </c>
      <c r="BJ420" s="26">
        <f>IFERROR(__xludf.DUMMYFUNCTION("""COMPUTED_VALUE"""),49.51)</f>
        <v>49.51</v>
      </c>
      <c r="BK420" s="26">
        <f>IFERROR(__xludf.DUMMYFUNCTION("""COMPUTED_VALUE"""),12.68)</f>
        <v>12.68</v>
      </c>
      <c r="BL420" s="26">
        <f>IFERROR(__xludf.DUMMYFUNCTION("""COMPUTED_VALUE"""),218.57)</f>
        <v>218.57</v>
      </c>
      <c r="BM420" s="26">
        <f>IFERROR(__xludf.DUMMYFUNCTION("""COMPUTED_VALUE"""),112.82)</f>
        <v>112.82</v>
      </c>
    </row>
    <row r="421">
      <c r="A421" s="25"/>
      <c r="B421" s="17">
        <f>IFERROR(__xludf.DUMMYFUNCTION("""COMPUTED_VALUE"""),6926.6)</f>
        <v>6926.6</v>
      </c>
      <c r="C421" s="17">
        <f>IFERROR(__xludf.DUMMYFUNCTION("""COMPUTED_VALUE"""),23709.87)</f>
        <v>23709.87</v>
      </c>
      <c r="D421" s="17">
        <f>IFERROR(__xludf.DUMMYFUNCTION("""COMPUTED_VALUE"""),49191.99)</f>
        <v>49191.99</v>
      </c>
      <c r="E421" s="17">
        <f>IFERROR(__xludf.DUMMYFUNCTION("""COMPUTED_VALUE"""),2633.1)</f>
        <v>2633.1</v>
      </c>
      <c r="F421" s="26">
        <f>IFERROR(__xludf.DUMMYFUNCTION("""COMPUTED_VALUE"""),309.93)</f>
        <v>309.93</v>
      </c>
      <c r="G421" s="26">
        <f>IFERROR(__xludf.DUMMYFUNCTION("""COMPUTED_VALUE"""),242.6)</f>
        <v>242.6</v>
      </c>
      <c r="H421" s="26">
        <f>IFERROR(__xludf.DUMMYFUNCTION("""COMPUTED_VALUE"""),131.26)</f>
        <v>131.26</v>
      </c>
      <c r="I421" s="26">
        <f>IFERROR(__xludf.DUMMYFUNCTION("""COMPUTED_VALUE"""),261.05)</f>
        <v>261.05</v>
      </c>
      <c r="J421" s="26">
        <f>IFERROR(__xludf.DUMMYFUNCTION("""COMPUTED_VALUE"""),304.87)</f>
        <v>304.87</v>
      </c>
      <c r="K421" s="26">
        <f>IFERROR(__xludf.DUMMYFUNCTION("""COMPUTED_VALUE"""),122.93)</f>
        <v>122.93</v>
      </c>
      <c r="L421" s="26">
        <f>IFERROR(__xludf.DUMMYFUNCTION("""COMPUTED_VALUE"""),25.78)</f>
        <v>25.78</v>
      </c>
      <c r="M421" s="26">
        <f>IFERROR(__xludf.DUMMYFUNCTION("""COMPUTED_VALUE"""),495.24)</f>
        <v>495.24</v>
      </c>
      <c r="N421" s="26">
        <f>IFERROR(__xludf.DUMMYFUNCTION("""COMPUTED_VALUE"""),63.99)</f>
        <v>63.99</v>
      </c>
      <c r="O421" s="26">
        <f>IFERROR(__xludf.DUMMYFUNCTION("""COMPUTED_VALUE"""),178.3)</f>
        <v>178.3</v>
      </c>
      <c r="P421" s="26">
        <f>IFERROR(__xludf.DUMMYFUNCTION("""COMPUTED_VALUE"""),55.21)</f>
        <v>55.21</v>
      </c>
      <c r="Q421" s="26">
        <f>IFERROR(__xludf.DUMMYFUNCTION("""COMPUTED_VALUE"""),636.53)</f>
        <v>636.53</v>
      </c>
      <c r="R421" s="26">
        <f>IFERROR(__xludf.DUMMYFUNCTION("""COMPUTED_VALUE"""),108.92)</f>
        <v>108.92</v>
      </c>
      <c r="S421" s="26">
        <f>IFERROR(__xludf.DUMMYFUNCTION("""COMPUTED_VALUE"""),186.57)</f>
        <v>186.57</v>
      </c>
      <c r="T421" s="26">
        <f>IFERROR(__xludf.DUMMYFUNCTION("""COMPUTED_VALUE"""),163.87)</f>
        <v>163.87</v>
      </c>
      <c r="U421" s="26">
        <f>IFERROR(__xludf.DUMMYFUNCTION("""COMPUTED_VALUE"""),271.81)</f>
        <v>271.81</v>
      </c>
      <c r="V421" s="26">
        <f>IFERROR(__xludf.DUMMYFUNCTION("""COMPUTED_VALUE"""),59.78)</f>
        <v>59.78</v>
      </c>
      <c r="W421" s="26">
        <f>IFERROR(__xludf.DUMMYFUNCTION("""COMPUTED_VALUE"""),71.24)</f>
        <v>71.24</v>
      </c>
      <c r="X421" s="26">
        <f>IFERROR(__xludf.DUMMYFUNCTION("""COMPUTED_VALUE"""),100.21)</f>
        <v>100.21</v>
      </c>
      <c r="Y421" s="26">
        <f>IFERROR(__xludf.DUMMYFUNCTION("""COMPUTED_VALUE"""),160.71)</f>
        <v>160.71</v>
      </c>
      <c r="Z421" s="26">
        <f>IFERROR(__xludf.DUMMYFUNCTION("""COMPUTED_VALUE"""),137.37)</f>
        <v>137.37</v>
      </c>
      <c r="AA421" s="26">
        <f>IFERROR(__xludf.DUMMYFUNCTION("""COMPUTED_VALUE"""),410.91)</f>
        <v>410.91</v>
      </c>
      <c r="AB421" s="26">
        <f>IFERROR(__xludf.DUMMYFUNCTION("""COMPUTED_VALUE"""),94.37)</f>
        <v>94.37</v>
      </c>
      <c r="AC421" s="26">
        <f>IFERROR(__xludf.DUMMYFUNCTION("""COMPUTED_VALUE"""),126.54)</f>
        <v>126.54</v>
      </c>
      <c r="AD421" s="26">
        <f>IFERROR(__xludf.DUMMYFUNCTION("""COMPUTED_VALUE"""),309.66)</f>
        <v>309.66</v>
      </c>
      <c r="AE421" s="26">
        <f>IFERROR(__xludf.DUMMYFUNCTION("""COMPUTED_VALUE"""),360.09)</f>
        <v>360.09</v>
      </c>
      <c r="AF421" s="26">
        <f>IFERROR(__xludf.DUMMYFUNCTION("""COMPUTED_VALUE"""),363.3)</f>
        <v>363.3</v>
      </c>
      <c r="AG421" s="26">
        <f>IFERROR(__xludf.DUMMYFUNCTION("""COMPUTED_VALUE"""),83.24)</f>
        <v>83.24</v>
      </c>
      <c r="AH421" s="26">
        <f>IFERROR(__xludf.DUMMYFUNCTION("""COMPUTED_VALUE"""),121.76)</f>
        <v>121.76</v>
      </c>
      <c r="AI421" s="26">
        <f>IFERROR(__xludf.DUMMYFUNCTION("""COMPUTED_VALUE"""),938.15)</f>
        <v>938.15</v>
      </c>
      <c r="AJ421" s="26">
        <f>IFERROR(__xludf.DUMMYFUNCTION("""COMPUTED_VALUE"""),379.74)</f>
        <v>379.74</v>
      </c>
      <c r="AK421" s="26">
        <f>IFERROR(__xludf.DUMMYFUNCTION("""COMPUTED_VALUE"""),183.45)</f>
        <v>183.45</v>
      </c>
      <c r="AL421" s="26">
        <f>IFERROR(__xludf.DUMMYFUNCTION("""COMPUTED_VALUE"""),166.69)</f>
        <v>166.69</v>
      </c>
      <c r="AM421" s="26">
        <f>IFERROR(__xludf.DUMMYFUNCTION("""COMPUTED_VALUE"""),561.82)</f>
        <v>561.82</v>
      </c>
      <c r="AN421" s="26">
        <f>IFERROR(__xludf.DUMMYFUNCTION("""COMPUTED_VALUE"""),310.9)</f>
        <v>310.9</v>
      </c>
      <c r="AO421" s="26">
        <f>IFERROR(__xludf.DUMMYFUNCTION("""COMPUTED_VALUE"""),558.3)</f>
        <v>558.3</v>
      </c>
      <c r="AP421" s="26">
        <f>IFERROR(__xludf.DUMMYFUNCTION("""COMPUTED_VALUE"""),211.9)</f>
        <v>211.9</v>
      </c>
      <c r="AQ421" s="26">
        <f>IFERROR(__xludf.DUMMYFUNCTION("""COMPUTED_VALUE"""),36.79)</f>
        <v>36.79</v>
      </c>
      <c r="AR421" s="26">
        <f>IFERROR(__xludf.DUMMYFUNCTION("""COMPUTED_VALUE"""),96.42)</f>
        <v>96.42</v>
      </c>
      <c r="AS421" s="26">
        <f>IFERROR(__xludf.DUMMYFUNCTION("""COMPUTED_VALUE"""),77.08)</f>
        <v>77.08</v>
      </c>
      <c r="AT421" s="26">
        <f>IFERROR(__xludf.DUMMYFUNCTION("""COMPUTED_VALUE"""),470.67)</f>
        <v>470.67</v>
      </c>
      <c r="AU421" s="26">
        <f>IFERROR(__xludf.DUMMYFUNCTION("""COMPUTED_VALUE"""),81.64)</f>
        <v>81.64</v>
      </c>
      <c r="AV421" s="26">
        <f>IFERROR(__xludf.DUMMYFUNCTION("""COMPUTED_VALUE"""),185.81)</f>
        <v>185.81</v>
      </c>
      <c r="AW421" s="26">
        <f>IFERROR(__xludf.DUMMYFUNCTION("""COMPUTED_VALUE"""),89.78)</f>
        <v>89.78</v>
      </c>
      <c r="AX421" s="26">
        <f>IFERROR(__xludf.DUMMYFUNCTION("""COMPUTED_VALUE"""),47.26)</f>
        <v>47.26</v>
      </c>
      <c r="AY421" s="26">
        <f>IFERROR(__xludf.DUMMYFUNCTION("""COMPUTED_VALUE"""),178.96)</f>
        <v>178.96</v>
      </c>
      <c r="AZ421" s="26">
        <f>IFERROR(__xludf.DUMMYFUNCTION("""COMPUTED_VALUE"""),56.56)</f>
        <v>56.56</v>
      </c>
      <c r="BA421" s="26">
        <f>IFERROR(__xludf.DUMMYFUNCTION("""COMPUTED_VALUE"""),25.15)</f>
        <v>25.15</v>
      </c>
      <c r="BB421" s="26">
        <f>IFERROR(__xludf.DUMMYFUNCTION("""COMPUTED_VALUE"""),194.08)</f>
        <v>194.08</v>
      </c>
      <c r="BC421" s="26">
        <f>IFERROR(__xludf.DUMMYFUNCTION("""COMPUTED_VALUE"""),189.67)</f>
        <v>189.67</v>
      </c>
      <c r="BD421" s="26">
        <f>IFERROR(__xludf.DUMMYFUNCTION("""COMPUTED_VALUE"""),607.08)</f>
        <v>607.08</v>
      </c>
      <c r="BE421" s="26">
        <f>IFERROR(__xludf.DUMMYFUNCTION("""COMPUTED_VALUE"""),229.03)</f>
        <v>229.03</v>
      </c>
      <c r="BF421" s="26">
        <f>IFERROR(__xludf.DUMMYFUNCTION("""COMPUTED_VALUE"""),142.71)</f>
        <v>142.71</v>
      </c>
      <c r="BG421" s="26">
        <f>IFERROR(__xludf.DUMMYFUNCTION("""COMPUTED_VALUE"""),5.61)</f>
        <v>5.61</v>
      </c>
      <c r="BH421" s="26">
        <f>IFERROR(__xludf.DUMMYFUNCTION("""COMPUTED_VALUE"""),229.29)</f>
        <v>229.29</v>
      </c>
      <c r="BI421" s="26">
        <f>IFERROR(__xludf.DUMMYFUNCTION("""COMPUTED_VALUE"""),333.93)</f>
        <v>333.93</v>
      </c>
      <c r="BJ421" s="26">
        <f>IFERROR(__xludf.DUMMYFUNCTION("""COMPUTED_VALUE"""),49.53)</f>
        <v>49.53</v>
      </c>
      <c r="BK421" s="26">
        <f>IFERROR(__xludf.DUMMYFUNCTION("""COMPUTED_VALUE"""),13.37)</f>
        <v>13.37</v>
      </c>
      <c r="BL421" s="26">
        <f>IFERROR(__xludf.DUMMYFUNCTION("""COMPUTED_VALUE"""),216.18)</f>
        <v>216.18</v>
      </c>
      <c r="BM421" s="26">
        <f>IFERROR(__xludf.DUMMYFUNCTION("""COMPUTED_VALUE"""),112.98)</f>
        <v>112.98</v>
      </c>
    </row>
    <row r="422">
      <c r="A422" s="25"/>
      <c r="B422" s="17">
        <f>IFERROR(__xludf.DUMMYFUNCTION("""COMPUTED_VALUE"""),6944.47)</f>
        <v>6944.47</v>
      </c>
      <c r="C422" s="17">
        <f>IFERROR(__xludf.DUMMYFUNCTION("""COMPUTED_VALUE"""),23471.75)</f>
        <v>23471.75</v>
      </c>
      <c r="D422" s="17">
        <f>IFERROR(__xludf.DUMMYFUNCTION("""COMPUTED_VALUE"""),49149.63)</f>
        <v>49149.63</v>
      </c>
      <c r="E422" s="17">
        <f>IFERROR(__xludf.DUMMYFUNCTION("""COMPUTED_VALUE"""),2651.64)</f>
        <v>2651.64</v>
      </c>
      <c r="F422" s="26">
        <f>IFERROR(__xludf.DUMMYFUNCTION("""COMPUTED_VALUE"""),304.44)</f>
        <v>304.44</v>
      </c>
      <c r="G422" s="26">
        <f>IFERROR(__xludf.DUMMYFUNCTION("""COMPUTED_VALUE"""),236.65)</f>
        <v>236.65</v>
      </c>
      <c r="H422" s="26">
        <f>IFERROR(__xludf.DUMMYFUNCTION("""COMPUTED_VALUE"""),132.45)</f>
        <v>132.45</v>
      </c>
      <c r="I422" s="26">
        <f>IFERROR(__xludf.DUMMYFUNCTION("""COMPUTED_VALUE"""),259.96)</f>
        <v>259.96</v>
      </c>
      <c r="J422" s="26">
        <f>IFERROR(__xludf.DUMMYFUNCTION("""COMPUTED_VALUE"""),301.89)</f>
        <v>301.89</v>
      </c>
      <c r="K422" s="26">
        <f>IFERROR(__xludf.DUMMYFUNCTION("""COMPUTED_VALUE"""),124.59)</f>
        <v>124.59</v>
      </c>
      <c r="L422" s="26">
        <f>IFERROR(__xludf.DUMMYFUNCTION("""COMPUTED_VALUE"""),25.89)</f>
        <v>25.89</v>
      </c>
      <c r="M422" s="26">
        <f>IFERROR(__xludf.DUMMYFUNCTION("""COMPUTED_VALUE"""),493.15)</f>
        <v>493.15</v>
      </c>
      <c r="N422" s="26">
        <f>IFERROR(__xludf.DUMMYFUNCTION("""COMPUTED_VALUE"""),66.02)</f>
        <v>66.02</v>
      </c>
      <c r="O422" s="26">
        <f>IFERROR(__xludf.DUMMYFUNCTION("""COMPUTED_VALUE"""),169.31)</f>
        <v>169.31</v>
      </c>
      <c r="P422" s="26">
        <f>IFERROR(__xludf.DUMMYFUNCTION("""COMPUTED_VALUE"""),55.6)</f>
        <v>55.6</v>
      </c>
      <c r="Q422" s="26">
        <f>IFERROR(__xludf.DUMMYFUNCTION("""COMPUTED_VALUE"""),638.75)</f>
        <v>638.75</v>
      </c>
      <c r="R422" s="26">
        <f>IFERROR(__xludf.DUMMYFUNCTION("""COMPUTED_VALUE"""),110.79)</f>
        <v>110.79</v>
      </c>
      <c r="S422" s="26">
        <f>IFERROR(__xludf.DUMMYFUNCTION("""COMPUTED_VALUE"""),188.17)</f>
        <v>188.17</v>
      </c>
      <c r="T422" s="26">
        <f>IFERROR(__xludf.DUMMYFUNCTION("""COMPUTED_VALUE"""),167.24)</f>
        <v>167.24</v>
      </c>
      <c r="U422" s="26">
        <f>IFERROR(__xludf.DUMMYFUNCTION("""COMPUTED_VALUE"""),271.0)</f>
        <v>271</v>
      </c>
      <c r="V422" s="26">
        <f>IFERROR(__xludf.DUMMYFUNCTION("""COMPUTED_VALUE"""),59.93)</f>
        <v>59.93</v>
      </c>
      <c r="W422" s="26">
        <f>IFERROR(__xludf.DUMMYFUNCTION("""COMPUTED_VALUE"""),71.44)</f>
        <v>71.44</v>
      </c>
      <c r="X422" s="26">
        <f>IFERROR(__xludf.DUMMYFUNCTION("""COMPUTED_VALUE"""),101.47)</f>
        <v>101.47</v>
      </c>
      <c r="Y422" s="26">
        <f>IFERROR(__xludf.DUMMYFUNCTION("""COMPUTED_VALUE"""),159.26)</f>
        <v>159.26</v>
      </c>
      <c r="Z422" s="26">
        <f>IFERROR(__xludf.DUMMYFUNCTION("""COMPUTED_VALUE"""),140.29)</f>
        <v>140.29</v>
      </c>
      <c r="AA422" s="26">
        <f>IFERROR(__xludf.DUMMYFUNCTION("""COMPUTED_VALUE"""),407.38)</f>
        <v>407.38</v>
      </c>
      <c r="AB422" s="26">
        <f>IFERROR(__xludf.DUMMYFUNCTION("""COMPUTED_VALUE"""),94.42)</f>
        <v>94.42</v>
      </c>
      <c r="AC422" s="26">
        <f>IFERROR(__xludf.DUMMYFUNCTION("""COMPUTED_VALUE"""),130.2)</f>
        <v>130.2</v>
      </c>
      <c r="AD422" s="26">
        <f>IFERROR(__xludf.DUMMYFUNCTION("""COMPUTED_VALUE"""),313.55)</f>
        <v>313.55</v>
      </c>
      <c r="AE422" s="26">
        <f>IFERROR(__xludf.DUMMYFUNCTION("""COMPUTED_VALUE"""),353.39)</f>
        <v>353.39</v>
      </c>
      <c r="AF422" s="26">
        <f>IFERROR(__xludf.DUMMYFUNCTION("""COMPUTED_VALUE"""),366.0)</f>
        <v>366</v>
      </c>
      <c r="AG422" s="26">
        <f>IFERROR(__xludf.DUMMYFUNCTION("""COMPUTED_VALUE"""),81.23)</f>
        <v>81.23</v>
      </c>
      <c r="AH422" s="26">
        <f>IFERROR(__xludf.DUMMYFUNCTION("""COMPUTED_VALUE"""),124.07)</f>
        <v>124.07</v>
      </c>
      <c r="AI422" s="26">
        <f>IFERROR(__xludf.DUMMYFUNCTION("""COMPUTED_VALUE"""),932.67)</f>
        <v>932.67</v>
      </c>
      <c r="AJ422" s="26">
        <f>IFERROR(__xludf.DUMMYFUNCTION("""COMPUTED_VALUE"""),375.95)</f>
        <v>375.95</v>
      </c>
      <c r="AK422" s="26">
        <f>IFERROR(__xludf.DUMMYFUNCTION("""COMPUTED_VALUE"""),183.72)</f>
        <v>183.72</v>
      </c>
      <c r="AL422" s="26">
        <f>IFERROR(__xludf.DUMMYFUNCTION("""COMPUTED_VALUE"""),172.94)</f>
        <v>172.94</v>
      </c>
      <c r="AM422" s="26">
        <f>IFERROR(__xludf.DUMMYFUNCTION("""COMPUTED_VALUE"""),546.76)</f>
        <v>546.76</v>
      </c>
      <c r="AN422" s="26">
        <f>IFERROR(__xludf.DUMMYFUNCTION("""COMPUTED_VALUE"""),307.87)</f>
        <v>307.87</v>
      </c>
      <c r="AO422" s="26">
        <f>IFERROR(__xludf.DUMMYFUNCTION("""COMPUTED_VALUE"""),572.7)</f>
        <v>572.7</v>
      </c>
      <c r="AP422" s="26">
        <f>IFERROR(__xludf.DUMMYFUNCTION("""COMPUTED_VALUE"""),203.14)</f>
        <v>203.14</v>
      </c>
      <c r="AQ422" s="26">
        <f>IFERROR(__xludf.DUMMYFUNCTION("""COMPUTED_VALUE"""),37.33)</f>
        <v>37.33</v>
      </c>
      <c r="AR422" s="26">
        <f>IFERROR(__xludf.DUMMYFUNCTION("""COMPUTED_VALUE"""),98.74)</f>
        <v>98.74</v>
      </c>
      <c r="AS422" s="26">
        <f>IFERROR(__xludf.DUMMYFUNCTION("""COMPUTED_VALUE"""),78.65)</f>
        <v>78.65</v>
      </c>
      <c r="AT422" s="26">
        <f>IFERROR(__xludf.DUMMYFUNCTION("""COMPUTED_VALUE"""),459.38)</f>
        <v>459.38</v>
      </c>
      <c r="AU422" s="26">
        <f>IFERROR(__xludf.DUMMYFUNCTION("""COMPUTED_VALUE"""),81.98)</f>
        <v>81.98</v>
      </c>
      <c r="AV422" s="26">
        <f>IFERROR(__xludf.DUMMYFUNCTION("""COMPUTED_VALUE"""),183.14)</f>
        <v>183.14</v>
      </c>
      <c r="AW422" s="26">
        <f>IFERROR(__xludf.DUMMYFUNCTION("""COMPUTED_VALUE"""),89.95)</f>
        <v>89.95</v>
      </c>
      <c r="AX422" s="26">
        <f>IFERROR(__xludf.DUMMYFUNCTION("""COMPUTED_VALUE"""),45.07)</f>
        <v>45.07</v>
      </c>
      <c r="AY422" s="26">
        <f>IFERROR(__xludf.DUMMYFUNCTION("""COMPUTED_VALUE"""),178.4)</f>
        <v>178.4</v>
      </c>
      <c r="AZ422" s="26">
        <f>IFERROR(__xludf.DUMMYFUNCTION("""COMPUTED_VALUE"""),57.66)</f>
        <v>57.66</v>
      </c>
      <c r="BA422" s="26">
        <f>IFERROR(__xludf.DUMMYFUNCTION("""COMPUTED_VALUE"""),25.58)</f>
        <v>25.58</v>
      </c>
      <c r="BB422" s="26">
        <f>IFERROR(__xludf.DUMMYFUNCTION("""COMPUTED_VALUE"""),198.84)</f>
        <v>198.84</v>
      </c>
      <c r="BC422" s="26">
        <f>IFERROR(__xludf.DUMMYFUNCTION("""COMPUTED_VALUE"""),192.02)</f>
        <v>192.02</v>
      </c>
      <c r="BD422" s="26">
        <f>IFERROR(__xludf.DUMMYFUNCTION("""COMPUTED_VALUE"""),621.83)</f>
        <v>621.83</v>
      </c>
      <c r="BE422" s="26">
        <f>IFERROR(__xludf.DUMMYFUNCTION("""COMPUTED_VALUE"""),227.3)</f>
        <v>227.3</v>
      </c>
      <c r="BF422" s="26">
        <f>IFERROR(__xludf.DUMMYFUNCTION("""COMPUTED_VALUE"""),141.96)</f>
        <v>141.96</v>
      </c>
      <c r="BG422" s="26">
        <f>IFERROR(__xludf.DUMMYFUNCTION("""COMPUTED_VALUE"""),5.8)</f>
        <v>5.8</v>
      </c>
      <c r="BH422" s="26">
        <f>IFERROR(__xludf.DUMMYFUNCTION("""COMPUTED_VALUE"""),227.14)</f>
        <v>227.14</v>
      </c>
      <c r="BI422" s="26">
        <f>IFERROR(__xludf.DUMMYFUNCTION("""COMPUTED_VALUE"""),334.96)</f>
        <v>334.96</v>
      </c>
      <c r="BJ422" s="26">
        <f>IFERROR(__xludf.DUMMYFUNCTION("""COMPUTED_VALUE"""),49.53)</f>
        <v>49.53</v>
      </c>
      <c r="BK422" s="26">
        <f>IFERROR(__xludf.DUMMYFUNCTION("""COMPUTED_VALUE"""),13.15)</f>
        <v>13.15</v>
      </c>
      <c r="BL422" s="26">
        <f>IFERROR(__xludf.DUMMYFUNCTION("""COMPUTED_VALUE"""),218.79)</f>
        <v>218.79</v>
      </c>
      <c r="BM422" s="26">
        <f>IFERROR(__xludf.DUMMYFUNCTION("""COMPUTED_VALUE"""),113.53)</f>
        <v>113.53</v>
      </c>
    </row>
    <row r="423">
      <c r="A423" s="25"/>
      <c r="B423" s="17">
        <f>IFERROR(__xludf.DUMMYFUNCTION("""COMPUTED_VALUE"""),6940.01)</f>
        <v>6940.01</v>
      </c>
      <c r="C423" s="17">
        <f>IFERROR(__xludf.DUMMYFUNCTION("""COMPUTED_VALUE"""),23530.02)</f>
        <v>23530.02</v>
      </c>
      <c r="D423" s="17">
        <f>IFERROR(__xludf.DUMMYFUNCTION("""COMPUTED_VALUE"""),49442.44)</f>
        <v>49442.44</v>
      </c>
      <c r="E423" s="17">
        <f>IFERROR(__xludf.DUMMYFUNCTION("""COMPUTED_VALUE"""),2674.56)</f>
        <v>2674.56</v>
      </c>
      <c r="F423" s="26">
        <f>IFERROR(__xludf.DUMMYFUNCTION("""COMPUTED_VALUE"""),304.09)</f>
        <v>304.09</v>
      </c>
      <c r="G423" s="26">
        <f>IFERROR(__xludf.DUMMYFUNCTION("""COMPUTED_VALUE"""),238.18)</f>
        <v>238.18</v>
      </c>
      <c r="H423" s="26">
        <f>IFERROR(__xludf.DUMMYFUNCTION("""COMPUTED_VALUE"""),133.35)</f>
        <v>133.35</v>
      </c>
      <c r="I423" s="26">
        <f>IFERROR(__xludf.DUMMYFUNCTION("""COMPUTED_VALUE"""),258.21)</f>
        <v>258.21</v>
      </c>
      <c r="J423" s="26">
        <f>IFERROR(__xludf.DUMMYFUNCTION("""COMPUTED_VALUE"""),319.08)</f>
        <v>319.08</v>
      </c>
      <c r="K423" s="26">
        <f>IFERROR(__xludf.DUMMYFUNCTION("""COMPUTED_VALUE"""),123.97)</f>
        <v>123.97</v>
      </c>
      <c r="L423" s="26">
        <f>IFERROR(__xludf.DUMMYFUNCTION("""COMPUTED_VALUE"""),25.9)</f>
        <v>25.9</v>
      </c>
      <c r="M423" s="26">
        <f>IFERROR(__xludf.DUMMYFUNCTION("""COMPUTED_VALUE"""),492.62)</f>
        <v>492.62</v>
      </c>
      <c r="N423" s="26">
        <f>IFERROR(__xludf.DUMMYFUNCTION("""COMPUTED_VALUE"""),66.03)</f>
        <v>66.03</v>
      </c>
      <c r="O423" s="26">
        <f>IFERROR(__xludf.DUMMYFUNCTION("""COMPUTED_VALUE"""),168.57)</f>
        <v>168.57</v>
      </c>
      <c r="P423" s="26">
        <f>IFERROR(__xludf.DUMMYFUNCTION("""COMPUTED_VALUE"""),55.55)</f>
        <v>55.55</v>
      </c>
      <c r="Q423" s="26">
        <f>IFERROR(__xludf.DUMMYFUNCTION("""COMPUTED_VALUE"""),647.18)</f>
        <v>647.18</v>
      </c>
      <c r="R423" s="26">
        <f>IFERROR(__xludf.DUMMYFUNCTION("""COMPUTED_VALUE"""),112.84)</f>
        <v>112.84</v>
      </c>
      <c r="S423" s="26">
        <f>IFERROR(__xludf.DUMMYFUNCTION("""COMPUTED_VALUE"""),188.54)</f>
        <v>188.54</v>
      </c>
      <c r="T423" s="26">
        <f>IFERROR(__xludf.DUMMYFUNCTION("""COMPUTED_VALUE"""),166.16)</f>
        <v>166.16</v>
      </c>
      <c r="U423" s="26">
        <f>IFERROR(__xludf.DUMMYFUNCTION("""COMPUTED_VALUE"""),277.94)</f>
        <v>277.94</v>
      </c>
      <c r="V423" s="26">
        <f>IFERROR(__xludf.DUMMYFUNCTION("""COMPUTED_VALUE"""),60.61)</f>
        <v>60.61</v>
      </c>
      <c r="W423" s="26">
        <f>IFERROR(__xludf.DUMMYFUNCTION("""COMPUTED_VALUE"""),70.48)</f>
        <v>70.48</v>
      </c>
      <c r="X423" s="26">
        <f>IFERROR(__xludf.DUMMYFUNCTION("""COMPUTED_VALUE"""),102.58)</f>
        <v>102.58</v>
      </c>
      <c r="Y423" s="26">
        <f>IFERROR(__xludf.DUMMYFUNCTION("""COMPUTED_VALUE"""),160.57)</f>
        <v>160.57</v>
      </c>
      <c r="Z423" s="26">
        <f>IFERROR(__xludf.DUMMYFUNCTION("""COMPUTED_VALUE"""),141.21)</f>
        <v>141.21</v>
      </c>
      <c r="AA423" s="26">
        <f>IFERROR(__xludf.DUMMYFUNCTION("""COMPUTED_VALUE"""),409.09)</f>
        <v>409.09</v>
      </c>
      <c r="AB423" s="26">
        <f>IFERROR(__xludf.DUMMYFUNCTION("""COMPUTED_VALUE"""),96.07)</f>
        <v>96.07</v>
      </c>
      <c r="AC423" s="26">
        <f>IFERROR(__xludf.DUMMYFUNCTION("""COMPUTED_VALUE"""),129.13)</f>
        <v>129.13</v>
      </c>
      <c r="AD423" s="26">
        <f>IFERROR(__xludf.DUMMYFUNCTION("""COMPUTED_VALUE"""),313.16)</f>
        <v>313.16</v>
      </c>
      <c r="AE423" s="26">
        <f>IFERROR(__xludf.DUMMYFUNCTION("""COMPUTED_VALUE"""),354.57)</f>
        <v>354.57</v>
      </c>
      <c r="AF423" s="26">
        <f>IFERROR(__xludf.DUMMYFUNCTION("""COMPUTED_VALUE"""),368.69)</f>
        <v>368.69</v>
      </c>
      <c r="AG423" s="26">
        <f>IFERROR(__xludf.DUMMYFUNCTION("""COMPUTED_VALUE"""),80.91)</f>
        <v>80.91</v>
      </c>
      <c r="AH423" s="26">
        <f>IFERROR(__xludf.DUMMYFUNCTION("""COMPUTED_VALUE"""),121.26)</f>
        <v>121.26</v>
      </c>
      <c r="AI423" s="26">
        <f>IFERROR(__xludf.DUMMYFUNCTION("""COMPUTED_VALUE"""),975.86)</f>
        <v>975.86</v>
      </c>
      <c r="AJ423" s="26">
        <f>IFERROR(__xludf.DUMMYFUNCTION("""COMPUTED_VALUE"""),379.16)</f>
        <v>379.16</v>
      </c>
      <c r="AK423" s="26">
        <f>IFERROR(__xludf.DUMMYFUNCTION("""COMPUTED_VALUE"""),185.58)</f>
        <v>185.58</v>
      </c>
      <c r="AL423" s="26">
        <f>IFERROR(__xludf.DUMMYFUNCTION("""COMPUTED_VALUE"""),173.28)</f>
        <v>173.28</v>
      </c>
      <c r="AM423" s="26">
        <f>IFERROR(__xludf.DUMMYFUNCTION("""COMPUTED_VALUE"""),541.34)</f>
        <v>541.34</v>
      </c>
      <c r="AN423" s="26">
        <f>IFERROR(__xludf.DUMMYFUNCTION("""COMPUTED_VALUE"""),309.26)</f>
        <v>309.26</v>
      </c>
      <c r="AO423" s="26">
        <f>IFERROR(__xludf.DUMMYFUNCTION("""COMPUTED_VALUE"""),577.89)</f>
        <v>577.89</v>
      </c>
      <c r="AP423" s="26">
        <f>IFERROR(__xludf.DUMMYFUNCTION("""COMPUTED_VALUE"""),205.01)</f>
        <v>205.01</v>
      </c>
      <c r="AQ423" s="26">
        <f>IFERROR(__xludf.DUMMYFUNCTION("""COMPUTED_VALUE"""),37.6)</f>
        <v>37.6</v>
      </c>
      <c r="AR423" s="26">
        <f>IFERROR(__xludf.DUMMYFUNCTION("""COMPUTED_VALUE"""),99.0)</f>
        <v>99</v>
      </c>
      <c r="AS423" s="26">
        <f>IFERROR(__xludf.DUMMYFUNCTION("""COMPUTED_VALUE"""),77.9)</f>
        <v>77.9</v>
      </c>
      <c r="AT423" s="26">
        <f>IFERROR(__xludf.DUMMYFUNCTION("""COMPUTED_VALUE"""),456.66)</f>
        <v>456.66</v>
      </c>
      <c r="AU423" s="26">
        <f>IFERROR(__xludf.DUMMYFUNCTION("""COMPUTED_VALUE"""),82.19)</f>
        <v>82.19</v>
      </c>
      <c r="AV423" s="26">
        <f>IFERROR(__xludf.DUMMYFUNCTION("""COMPUTED_VALUE"""),187.05)</f>
        <v>187.05</v>
      </c>
      <c r="AW423" s="26">
        <f>IFERROR(__xludf.DUMMYFUNCTION("""COMPUTED_VALUE"""),90.35)</f>
        <v>90.35</v>
      </c>
      <c r="AX423" s="26">
        <f>IFERROR(__xludf.DUMMYFUNCTION("""COMPUTED_VALUE"""),46.0)</f>
        <v>46</v>
      </c>
      <c r="AY423" s="26">
        <f>IFERROR(__xludf.DUMMYFUNCTION("""COMPUTED_VALUE"""),177.07)</f>
        <v>177.07</v>
      </c>
      <c r="AZ423" s="26">
        <f>IFERROR(__xludf.DUMMYFUNCTION("""COMPUTED_VALUE"""),56.74)</f>
        <v>56.74</v>
      </c>
      <c r="BA423" s="26">
        <f>IFERROR(__xludf.DUMMYFUNCTION("""COMPUTED_VALUE"""),25.89)</f>
        <v>25.89</v>
      </c>
      <c r="BB423" s="26">
        <f>IFERROR(__xludf.DUMMYFUNCTION("""COMPUTED_VALUE"""),199.83)</f>
        <v>199.83</v>
      </c>
      <c r="BC423" s="26">
        <f>IFERROR(__xludf.DUMMYFUNCTION("""COMPUTED_VALUE"""),190.66)</f>
        <v>190.66</v>
      </c>
      <c r="BD423" s="26">
        <f>IFERROR(__xludf.DUMMYFUNCTION("""COMPUTED_VALUE"""),624.65)</f>
        <v>624.65</v>
      </c>
      <c r="BE423" s="26">
        <f>IFERROR(__xludf.DUMMYFUNCTION("""COMPUTED_VALUE"""),232.33)</f>
        <v>232.33</v>
      </c>
      <c r="BF423" s="26">
        <f>IFERROR(__xludf.DUMMYFUNCTION("""COMPUTED_VALUE"""),143.69)</f>
        <v>143.69</v>
      </c>
      <c r="BG423" s="26">
        <f>IFERROR(__xludf.DUMMYFUNCTION("""COMPUTED_VALUE"""),5.76)</f>
        <v>5.76</v>
      </c>
      <c r="BH423" s="26">
        <f>IFERROR(__xludf.DUMMYFUNCTION("""COMPUTED_VALUE"""),230.51)</f>
        <v>230.51</v>
      </c>
      <c r="BI423" s="26">
        <f>IFERROR(__xludf.DUMMYFUNCTION("""COMPUTED_VALUE"""),338.96)</f>
        <v>338.96</v>
      </c>
      <c r="BJ423" s="26">
        <f>IFERROR(__xludf.DUMMYFUNCTION("""COMPUTED_VALUE"""),49.48)</f>
        <v>49.48</v>
      </c>
      <c r="BK423" s="26">
        <f>IFERROR(__xludf.DUMMYFUNCTION("""COMPUTED_VALUE"""),12.84)</f>
        <v>12.84</v>
      </c>
      <c r="BL423" s="26">
        <f>IFERROR(__xludf.DUMMYFUNCTION("""COMPUTED_VALUE"""),219.86)</f>
        <v>219.86</v>
      </c>
      <c r="BM423" s="26">
        <f>IFERROR(__xludf.DUMMYFUNCTION("""COMPUTED_VALUE"""),113.41)</f>
        <v>113.41</v>
      </c>
    </row>
    <row r="424">
      <c r="A424" s="25"/>
      <c r="B424" s="17">
        <f>IFERROR(__xludf.DUMMYFUNCTION("""COMPUTED_VALUE"""),6796.86)</f>
        <v>6796.86</v>
      </c>
      <c r="C424" s="17">
        <f>IFERROR(__xludf.DUMMYFUNCTION("""COMPUTED_VALUE"""),23515.39)</f>
        <v>23515.39</v>
      </c>
      <c r="D424" s="17">
        <f>IFERROR(__xludf.DUMMYFUNCTION("""COMPUTED_VALUE"""),49359.33)</f>
        <v>49359.33</v>
      </c>
      <c r="E424" s="17">
        <f>IFERROR(__xludf.DUMMYFUNCTION("""COMPUTED_VALUE"""),2677.74)</f>
        <v>2677.74</v>
      </c>
      <c r="F424" s="26">
        <f>IFERROR(__xludf.DUMMYFUNCTION("""COMPUTED_VALUE"""),296.12)</f>
        <v>296.12</v>
      </c>
      <c r="G424" s="26">
        <f>IFERROR(__xludf.DUMMYFUNCTION("""COMPUTED_VALUE"""),239.12)</f>
        <v>239.12</v>
      </c>
      <c r="H424" s="26">
        <f>IFERROR(__xludf.DUMMYFUNCTION("""COMPUTED_VALUE"""),133.34)</f>
        <v>133.34</v>
      </c>
      <c r="I424" s="26">
        <f>IFERROR(__xludf.DUMMYFUNCTION("""COMPUTED_VALUE"""),255.53)</f>
        <v>255.53</v>
      </c>
      <c r="J424" s="26">
        <f>IFERROR(__xludf.DUMMYFUNCTION("""COMPUTED_VALUE"""),327.01)</f>
        <v>327.01</v>
      </c>
      <c r="K424" s="26">
        <f>IFERROR(__xludf.DUMMYFUNCTION("""COMPUTED_VALUE"""),121.33)</f>
        <v>121.33</v>
      </c>
      <c r="L424" s="26">
        <f>IFERROR(__xludf.DUMMYFUNCTION("""COMPUTED_VALUE"""),26.17)</f>
        <v>26.17</v>
      </c>
      <c r="M424" s="26">
        <f>IFERROR(__xludf.DUMMYFUNCTION("""COMPUTED_VALUE"""),493.29)</f>
        <v>493.29</v>
      </c>
      <c r="N424" s="26">
        <f>IFERROR(__xludf.DUMMYFUNCTION("""COMPUTED_VALUE"""),64.86)</f>
        <v>64.86</v>
      </c>
      <c r="O424" s="26">
        <f>IFERROR(__xludf.DUMMYFUNCTION("""COMPUTED_VALUE"""),164.42)</f>
        <v>164.42</v>
      </c>
      <c r="P424" s="26">
        <f>IFERROR(__xludf.DUMMYFUNCTION("""COMPUTED_VALUE"""),56.19)</f>
        <v>56.19</v>
      </c>
      <c r="Q424" s="26">
        <f>IFERROR(__xludf.DUMMYFUNCTION("""COMPUTED_VALUE"""),646.89)</f>
        <v>646.89</v>
      </c>
      <c r="R424" s="26">
        <f>IFERROR(__xludf.DUMMYFUNCTION("""COMPUTED_VALUE"""),116.44)</f>
        <v>116.44</v>
      </c>
      <c r="S424" s="26">
        <f>IFERROR(__xludf.DUMMYFUNCTION("""COMPUTED_VALUE"""),185.54)</f>
        <v>185.54</v>
      </c>
      <c r="T424" s="26">
        <f>IFERROR(__xludf.DUMMYFUNCTION("""COMPUTED_VALUE"""),166.26)</f>
        <v>166.26</v>
      </c>
      <c r="U424" s="26">
        <f>IFERROR(__xludf.DUMMYFUNCTION("""COMPUTED_VALUE"""),272.21)</f>
        <v>272.21</v>
      </c>
      <c r="V424" s="26">
        <f>IFERROR(__xludf.DUMMYFUNCTION("""COMPUTED_VALUE"""),60.82)</f>
        <v>60.82</v>
      </c>
      <c r="W424" s="26">
        <f>IFERROR(__xludf.DUMMYFUNCTION("""COMPUTED_VALUE"""),70.44)</f>
        <v>70.44</v>
      </c>
      <c r="X424" s="26">
        <f>IFERROR(__xludf.DUMMYFUNCTION("""COMPUTED_VALUE"""),103.81)</f>
        <v>103.81</v>
      </c>
      <c r="Y424" s="26">
        <f>IFERROR(__xludf.DUMMYFUNCTION("""COMPUTED_VALUE"""),163.6)</f>
        <v>163.6</v>
      </c>
      <c r="Z424" s="26">
        <f>IFERROR(__xludf.DUMMYFUNCTION("""COMPUTED_VALUE"""),139.95)</f>
        <v>139.95</v>
      </c>
      <c r="AA424" s="26">
        <f>IFERROR(__xludf.DUMMYFUNCTION("""COMPUTED_VALUE"""),400.28)</f>
        <v>400.28</v>
      </c>
      <c r="AB424" s="26">
        <f>IFERROR(__xludf.DUMMYFUNCTION("""COMPUTED_VALUE"""),93.03)</f>
        <v>93.03</v>
      </c>
      <c r="AC424" s="26">
        <f>IFERROR(__xludf.DUMMYFUNCTION("""COMPUTED_VALUE"""),129.89)</f>
        <v>129.89</v>
      </c>
      <c r="AD424" s="26">
        <f>IFERROR(__xludf.DUMMYFUNCTION("""COMPUTED_VALUE"""),308.18)</f>
        <v>308.18</v>
      </c>
      <c r="AE424" s="26">
        <f>IFERROR(__xludf.DUMMYFUNCTION("""COMPUTED_VALUE"""),345.23)</f>
        <v>345.23</v>
      </c>
      <c r="AF424" s="26">
        <f>IFERROR(__xludf.DUMMYFUNCTION("""COMPUTED_VALUE"""),367.38)</f>
        <v>367.38</v>
      </c>
      <c r="AG424" s="26">
        <f>IFERROR(__xludf.DUMMYFUNCTION("""COMPUTED_VALUE"""),80.82)</f>
        <v>80.82</v>
      </c>
      <c r="AH424" s="26">
        <f>IFERROR(__xludf.DUMMYFUNCTION("""COMPUTED_VALUE"""),124.91)</f>
        <v>124.91</v>
      </c>
      <c r="AI424" s="26">
        <f>IFERROR(__xludf.DUMMYFUNCTION("""COMPUTED_VALUE"""),962.0)</f>
        <v>962</v>
      </c>
      <c r="AJ424" s="26">
        <f>IFERROR(__xludf.DUMMYFUNCTION("""COMPUTED_VALUE"""),380.17)</f>
        <v>380.17</v>
      </c>
      <c r="AK424" s="26">
        <f>IFERROR(__xludf.DUMMYFUNCTION("""COMPUTED_VALUE"""),183.46)</f>
        <v>183.46</v>
      </c>
      <c r="AL424" s="26">
        <f>IFERROR(__xludf.DUMMYFUNCTION("""COMPUTED_VALUE"""),173.98)</f>
        <v>173.98</v>
      </c>
      <c r="AM424" s="26">
        <f>IFERROR(__xludf.DUMMYFUNCTION("""COMPUTED_VALUE"""),535.0)</f>
        <v>535</v>
      </c>
      <c r="AN424" s="26">
        <f>IFERROR(__xludf.DUMMYFUNCTION("""COMPUTED_VALUE"""),312.47)</f>
        <v>312.47</v>
      </c>
      <c r="AO424" s="26">
        <f>IFERROR(__xludf.DUMMYFUNCTION("""COMPUTED_VALUE"""),582.43)</f>
        <v>582.43</v>
      </c>
      <c r="AP424" s="26">
        <f>IFERROR(__xludf.DUMMYFUNCTION("""COMPUTED_VALUE"""),201.87)</f>
        <v>201.87</v>
      </c>
      <c r="AQ424" s="26">
        <f>IFERROR(__xludf.DUMMYFUNCTION("""COMPUTED_VALUE"""),37.37)</f>
        <v>37.37</v>
      </c>
      <c r="AR424" s="26">
        <f>IFERROR(__xludf.DUMMYFUNCTION("""COMPUTED_VALUE"""),96.76)</f>
        <v>96.76</v>
      </c>
      <c r="AS424" s="26">
        <f>IFERROR(__xludf.DUMMYFUNCTION("""COMPUTED_VALUE"""),76.77)</f>
        <v>76.77</v>
      </c>
      <c r="AT424" s="26">
        <f>IFERROR(__xludf.DUMMYFUNCTION("""COMPUTED_VALUE"""),459.86)</f>
        <v>459.86</v>
      </c>
      <c r="AU424" s="26">
        <f>IFERROR(__xludf.DUMMYFUNCTION("""COMPUTED_VALUE"""),83.63)</f>
        <v>83.63</v>
      </c>
      <c r="AV424" s="26">
        <f>IFERROR(__xludf.DUMMYFUNCTION("""COMPUTED_VALUE"""),186.23)</f>
        <v>186.23</v>
      </c>
      <c r="AW424" s="26">
        <f>IFERROR(__xludf.DUMMYFUNCTION("""COMPUTED_VALUE"""),90.16)</f>
        <v>90.16</v>
      </c>
      <c r="AX424" s="26">
        <f>IFERROR(__xludf.DUMMYFUNCTION("""COMPUTED_VALUE"""),45.05)</f>
        <v>45.05</v>
      </c>
      <c r="AY424" s="26">
        <f>IFERROR(__xludf.DUMMYFUNCTION("""COMPUTED_VALUE"""),170.96)</f>
        <v>170.96</v>
      </c>
      <c r="AZ424" s="26">
        <f>IFERROR(__xludf.DUMMYFUNCTION("""COMPUTED_VALUE"""),56.89)</f>
        <v>56.89</v>
      </c>
      <c r="BA424" s="26">
        <f>IFERROR(__xludf.DUMMYFUNCTION("""COMPUTED_VALUE"""),25.65)</f>
        <v>25.65</v>
      </c>
      <c r="BB424" s="26">
        <f>IFERROR(__xludf.DUMMYFUNCTION("""COMPUTED_VALUE"""),201.92)</f>
        <v>201.92</v>
      </c>
      <c r="BC424" s="26">
        <f>IFERROR(__xludf.DUMMYFUNCTION("""COMPUTED_VALUE"""),186.32)</f>
        <v>186.32</v>
      </c>
      <c r="BD424" s="26">
        <f>IFERROR(__xludf.DUMMYFUNCTION("""COMPUTED_VALUE"""),618.72)</f>
        <v>618.72</v>
      </c>
      <c r="BE424" s="26">
        <f>IFERROR(__xludf.DUMMYFUNCTION("""COMPUTED_VALUE"""),231.42)</f>
        <v>231.42</v>
      </c>
      <c r="BF424" s="26">
        <f>IFERROR(__xludf.DUMMYFUNCTION("""COMPUTED_VALUE"""),143.37)</f>
        <v>143.37</v>
      </c>
      <c r="BG424" s="26">
        <f>IFERROR(__xludf.DUMMYFUNCTION("""COMPUTED_VALUE"""),5.78)</f>
        <v>5.78</v>
      </c>
      <c r="BH424" s="26">
        <f>IFERROR(__xludf.DUMMYFUNCTION("""COMPUTED_VALUE"""),229.49)</f>
        <v>229.49</v>
      </c>
      <c r="BI424" s="26">
        <f>IFERROR(__xludf.DUMMYFUNCTION("""COMPUTED_VALUE"""),331.02)</f>
        <v>331.02</v>
      </c>
      <c r="BJ424" s="26">
        <f>IFERROR(__xludf.DUMMYFUNCTION("""COMPUTED_VALUE"""),49.46)</f>
        <v>49.46</v>
      </c>
      <c r="BK424" s="26">
        <f>IFERROR(__xludf.DUMMYFUNCTION("""COMPUTED_VALUE"""),12.86)</f>
        <v>12.86</v>
      </c>
      <c r="BL424" s="26">
        <f>IFERROR(__xludf.DUMMYFUNCTION("""COMPUTED_VALUE"""),221.23)</f>
        <v>221.23</v>
      </c>
      <c r="BM424" s="26">
        <f>IFERROR(__xludf.DUMMYFUNCTION("""COMPUTED_VALUE"""),111.2)</f>
        <v>111.2</v>
      </c>
    </row>
    <row r="425">
      <c r="A425" s="25"/>
      <c r="B425" s="17">
        <f>IFERROR(__xludf.DUMMYFUNCTION("""COMPUTED_VALUE"""),6875.62)</f>
        <v>6875.62</v>
      </c>
      <c r="C425" s="17">
        <f>IFERROR(__xludf.DUMMYFUNCTION("""COMPUTED_VALUE"""),22954.32)</f>
        <v>22954.32</v>
      </c>
      <c r="D425" s="17">
        <f>IFERROR(__xludf.DUMMYFUNCTION("""COMPUTED_VALUE"""),48488.59)</f>
        <v>48488.59</v>
      </c>
      <c r="E425" s="17">
        <f>IFERROR(__xludf.DUMMYFUNCTION("""COMPUTED_VALUE"""),2645.36)</f>
        <v>2645.36</v>
      </c>
      <c r="F425" s="26">
        <f>IFERROR(__xludf.DUMMYFUNCTION("""COMPUTED_VALUE"""),290.37)</f>
        <v>290.37</v>
      </c>
      <c r="G425" s="26">
        <f>IFERROR(__xludf.DUMMYFUNCTION("""COMPUTED_VALUE"""),231.0)</f>
        <v>231</v>
      </c>
      <c r="H425" s="26">
        <f>IFERROR(__xludf.DUMMYFUNCTION("""COMPUTED_VALUE"""),131.42)</f>
        <v>131.42</v>
      </c>
      <c r="I425" s="26">
        <f>IFERROR(__xludf.DUMMYFUNCTION("""COMPUTED_VALUE"""),246.7)</f>
        <v>246.7</v>
      </c>
      <c r="J425" s="26">
        <f>IFERROR(__xludf.DUMMYFUNCTION("""COMPUTED_VALUE"""),318.23)</f>
        <v>318.23</v>
      </c>
      <c r="K425" s="26">
        <f>IFERROR(__xludf.DUMMYFUNCTION("""COMPUTED_VALUE"""),120.68)</f>
        <v>120.68</v>
      </c>
      <c r="L425" s="26">
        <f>IFERROR(__xludf.DUMMYFUNCTION("""COMPUTED_VALUE"""),25.63)</f>
        <v>25.63</v>
      </c>
      <c r="M425" s="26">
        <f>IFERROR(__xludf.DUMMYFUNCTION("""COMPUTED_VALUE"""),485.39)</f>
        <v>485.39</v>
      </c>
      <c r="N425" s="26">
        <f>IFERROR(__xludf.DUMMYFUNCTION("""COMPUTED_VALUE"""),64.39)</f>
        <v>64.39</v>
      </c>
      <c r="O425" s="26">
        <f>IFERROR(__xludf.DUMMYFUNCTION("""COMPUTED_VALUE"""),165.38)</f>
        <v>165.38</v>
      </c>
      <c r="P425" s="26">
        <f>IFERROR(__xludf.DUMMYFUNCTION("""COMPUTED_VALUE"""),55.21)</f>
        <v>55.21</v>
      </c>
      <c r="Q425" s="26">
        <f>IFERROR(__xludf.DUMMYFUNCTION("""COMPUTED_VALUE"""),629.0)</f>
        <v>629</v>
      </c>
      <c r="R425" s="26">
        <f>IFERROR(__xludf.DUMMYFUNCTION("""COMPUTED_VALUE"""),115.8)</f>
        <v>115.8</v>
      </c>
      <c r="S425" s="26">
        <f>IFERROR(__xludf.DUMMYFUNCTION("""COMPUTED_VALUE"""),178.71)</f>
        <v>178.71</v>
      </c>
      <c r="T425" s="26">
        <f>IFERROR(__xludf.DUMMYFUNCTION("""COMPUTED_VALUE"""),165.3)</f>
        <v>165.3</v>
      </c>
      <c r="U425" s="26">
        <f>IFERROR(__xludf.DUMMYFUNCTION("""COMPUTED_VALUE"""),271.24)</f>
        <v>271.24</v>
      </c>
      <c r="V425" s="26">
        <f>IFERROR(__xludf.DUMMYFUNCTION("""COMPUTED_VALUE"""),59.81)</f>
        <v>59.81</v>
      </c>
      <c r="W425" s="26">
        <f>IFERROR(__xludf.DUMMYFUNCTION("""COMPUTED_VALUE"""),71.75)</f>
        <v>71.75</v>
      </c>
      <c r="X425" s="26">
        <f>IFERROR(__xludf.DUMMYFUNCTION("""COMPUTED_VALUE"""),105.05)</f>
        <v>105.05</v>
      </c>
      <c r="Y425" s="26">
        <f>IFERROR(__xludf.DUMMYFUNCTION("""COMPUTED_VALUE"""),159.62)</f>
        <v>159.62</v>
      </c>
      <c r="Z425" s="26">
        <f>IFERROR(__xludf.DUMMYFUNCTION("""COMPUTED_VALUE"""),134.06)</f>
        <v>134.06</v>
      </c>
      <c r="AA425" s="26">
        <f>IFERROR(__xludf.DUMMYFUNCTION("""COMPUTED_VALUE"""),387.64)</f>
        <v>387.64</v>
      </c>
      <c r="AB425" s="26">
        <f>IFERROR(__xludf.DUMMYFUNCTION("""COMPUTED_VALUE"""),90.7)</f>
        <v>90.7</v>
      </c>
      <c r="AC425" s="26">
        <f>IFERROR(__xludf.DUMMYFUNCTION("""COMPUTED_VALUE"""),130.46)</f>
        <v>130.46</v>
      </c>
      <c r="AD425" s="26">
        <f>IFERROR(__xludf.DUMMYFUNCTION("""COMPUTED_VALUE"""),301.03)</f>
        <v>301.03</v>
      </c>
      <c r="AE425" s="26">
        <f>IFERROR(__xludf.DUMMYFUNCTION("""COMPUTED_VALUE"""),336.78)</f>
        <v>336.78</v>
      </c>
      <c r="AF425" s="26">
        <f>IFERROR(__xludf.DUMMYFUNCTION("""COMPUTED_VALUE"""),359.17)</f>
        <v>359.17</v>
      </c>
      <c r="AG425" s="26">
        <f>IFERROR(__xludf.DUMMYFUNCTION("""COMPUTED_VALUE"""),77.81)</f>
        <v>77.81</v>
      </c>
      <c r="AH425" s="26">
        <f>IFERROR(__xludf.DUMMYFUNCTION("""COMPUTED_VALUE"""),124.14)</f>
        <v>124.14</v>
      </c>
      <c r="AI425" s="26">
        <f>IFERROR(__xludf.DUMMYFUNCTION("""COMPUTED_VALUE"""),943.37)</f>
        <v>943.37</v>
      </c>
      <c r="AJ425" s="26">
        <f>IFERROR(__xludf.DUMMYFUNCTION("""COMPUTED_VALUE"""),375.11)</f>
        <v>375.11</v>
      </c>
      <c r="AK425" s="26">
        <f>IFERROR(__xludf.DUMMYFUNCTION("""COMPUTED_VALUE"""),178.73)</f>
        <v>178.73</v>
      </c>
      <c r="AL425" s="26">
        <f>IFERROR(__xludf.DUMMYFUNCTION("""COMPUTED_VALUE"""),170.95)</f>
        <v>170.95</v>
      </c>
      <c r="AM425" s="26">
        <f>IFERROR(__xludf.DUMMYFUNCTION("""COMPUTED_VALUE"""),527.44)</f>
        <v>527.44</v>
      </c>
      <c r="AN425" s="26">
        <f>IFERROR(__xludf.DUMMYFUNCTION("""COMPUTED_VALUE"""),302.74)</f>
        <v>302.74</v>
      </c>
      <c r="AO425" s="26">
        <f>IFERROR(__xludf.DUMMYFUNCTION("""COMPUTED_VALUE"""),576.06)</f>
        <v>576.06</v>
      </c>
      <c r="AP425" s="26">
        <f>IFERROR(__xludf.DUMMYFUNCTION("""COMPUTED_VALUE"""),188.76)</f>
        <v>188.76</v>
      </c>
      <c r="AQ425" s="26">
        <f>IFERROR(__xludf.DUMMYFUNCTION("""COMPUTED_VALUE"""),36.58)</f>
        <v>36.58</v>
      </c>
      <c r="AR425" s="26">
        <f>IFERROR(__xludf.DUMMYFUNCTION("""COMPUTED_VALUE"""),98.6)</f>
        <v>98.6</v>
      </c>
      <c r="AS425" s="26">
        <f>IFERROR(__xludf.DUMMYFUNCTION("""COMPUTED_VALUE"""),75.57)</f>
        <v>75.57</v>
      </c>
      <c r="AT425" s="26">
        <f>IFERROR(__xludf.DUMMYFUNCTION("""COMPUTED_VALUE"""),454.52)</f>
        <v>454.52</v>
      </c>
      <c r="AU425" s="26">
        <f>IFERROR(__xludf.DUMMYFUNCTION("""COMPUTED_VALUE"""),83.51)</f>
        <v>83.51</v>
      </c>
      <c r="AV425" s="26">
        <f>IFERROR(__xludf.DUMMYFUNCTION("""COMPUTED_VALUE"""),178.07)</f>
        <v>178.07</v>
      </c>
      <c r="AW425" s="26">
        <f>IFERROR(__xludf.DUMMYFUNCTION("""COMPUTED_VALUE"""),88.14)</f>
        <v>88.14</v>
      </c>
      <c r="AX425" s="26">
        <f>IFERROR(__xludf.DUMMYFUNCTION("""COMPUTED_VALUE"""),44.12)</f>
        <v>44.12</v>
      </c>
      <c r="AY425" s="26">
        <f>IFERROR(__xludf.DUMMYFUNCTION("""COMPUTED_VALUE"""),168.53)</f>
        <v>168.53</v>
      </c>
      <c r="AZ425" s="26">
        <f>IFERROR(__xludf.DUMMYFUNCTION("""COMPUTED_VALUE"""),55.08)</f>
        <v>55.08</v>
      </c>
      <c r="BA425" s="26">
        <f>IFERROR(__xludf.DUMMYFUNCTION("""COMPUTED_VALUE"""),25.52)</f>
        <v>25.52</v>
      </c>
      <c r="BB425" s="26">
        <f>IFERROR(__xludf.DUMMYFUNCTION("""COMPUTED_VALUE"""),196.36)</f>
        <v>196.36</v>
      </c>
      <c r="BC425" s="26">
        <f>IFERROR(__xludf.DUMMYFUNCTION("""COMPUTED_VALUE"""),183.65)</f>
        <v>183.65</v>
      </c>
      <c r="BD425" s="26">
        <f>IFERROR(__xludf.DUMMYFUNCTION("""COMPUTED_VALUE"""),619.01)</f>
        <v>619.01</v>
      </c>
      <c r="BE425" s="26">
        <f>IFERROR(__xludf.DUMMYFUNCTION("""COMPUTED_VALUE"""),220.47)</f>
        <v>220.47</v>
      </c>
      <c r="BF425" s="26">
        <f>IFERROR(__xludf.DUMMYFUNCTION("""COMPUTED_VALUE"""),141.93)</f>
        <v>141.93</v>
      </c>
      <c r="BG425" s="26">
        <f>IFERROR(__xludf.DUMMYFUNCTION("""COMPUTED_VALUE"""),5.74)</f>
        <v>5.74</v>
      </c>
      <c r="BH425" s="26">
        <f>IFERROR(__xludf.DUMMYFUNCTION("""COMPUTED_VALUE"""),221.69)</f>
        <v>221.69</v>
      </c>
      <c r="BI425" s="26">
        <f>IFERROR(__xludf.DUMMYFUNCTION("""COMPUTED_VALUE"""),338.43)</f>
        <v>338.43</v>
      </c>
      <c r="BJ425" s="26">
        <f>IFERROR(__xludf.DUMMYFUNCTION("""COMPUTED_VALUE"""),49.46)</f>
        <v>49.46</v>
      </c>
      <c r="BK425" s="26">
        <f>IFERROR(__xludf.DUMMYFUNCTION("""COMPUTED_VALUE"""),12.66)</f>
        <v>12.66</v>
      </c>
      <c r="BL425" s="26">
        <f>IFERROR(__xludf.DUMMYFUNCTION("""COMPUTED_VALUE"""),221.3)</f>
        <v>221.3</v>
      </c>
      <c r="BM425" s="26">
        <f>IFERROR(__xludf.DUMMYFUNCTION("""COMPUTED_VALUE"""),110.34)</f>
        <v>110.34</v>
      </c>
    </row>
    <row r="426">
      <c r="A426" s="25"/>
      <c r="B426" s="17">
        <f>IFERROR(__xludf.DUMMYFUNCTION("""COMPUTED_VALUE"""),6913.35)</f>
        <v>6913.35</v>
      </c>
      <c r="C426" s="17">
        <f>IFERROR(__xludf.DUMMYFUNCTION("""COMPUTED_VALUE"""),23224.83)</f>
        <v>23224.83</v>
      </c>
      <c r="D426" s="17">
        <f>IFERROR(__xludf.DUMMYFUNCTION("""COMPUTED_VALUE"""),49077.23)</f>
        <v>49077.23</v>
      </c>
      <c r="E426" s="17">
        <f>IFERROR(__xludf.DUMMYFUNCTION("""COMPUTED_VALUE"""),2698.17)</f>
        <v>2698.17</v>
      </c>
      <c r="F426" s="26">
        <f>IFERROR(__xludf.DUMMYFUNCTION("""COMPUTED_VALUE"""),294.23)</f>
        <v>294.23</v>
      </c>
      <c r="G426" s="26">
        <f>IFERROR(__xludf.DUMMYFUNCTION("""COMPUTED_VALUE"""),231.31)</f>
        <v>231.31</v>
      </c>
      <c r="H426" s="26">
        <f>IFERROR(__xludf.DUMMYFUNCTION("""COMPUTED_VALUE"""),130.99)</f>
        <v>130.99</v>
      </c>
      <c r="I426" s="26">
        <f>IFERROR(__xludf.DUMMYFUNCTION("""COMPUTED_VALUE"""),247.65)</f>
        <v>247.65</v>
      </c>
      <c r="J426" s="26">
        <f>IFERROR(__xludf.DUMMYFUNCTION("""COMPUTED_VALUE"""),325.24)</f>
        <v>325.24</v>
      </c>
      <c r="K426" s="26">
        <f>IFERROR(__xludf.DUMMYFUNCTION("""COMPUTED_VALUE"""),119.76)</f>
        <v>119.76</v>
      </c>
      <c r="L426" s="26">
        <f>IFERROR(__xludf.DUMMYFUNCTION("""COMPUTED_VALUE"""),25.84)</f>
        <v>25.84</v>
      </c>
      <c r="M426" s="26">
        <f>IFERROR(__xludf.DUMMYFUNCTION("""COMPUTED_VALUE"""),483.83)</f>
        <v>483.83</v>
      </c>
      <c r="N426" s="26">
        <f>IFERROR(__xludf.DUMMYFUNCTION("""COMPUTED_VALUE"""),65.61)</f>
        <v>65.61</v>
      </c>
      <c r="O426" s="26">
        <f>IFERROR(__xludf.DUMMYFUNCTION("""COMPUTED_VALUE"""),172.62)</f>
        <v>172.62</v>
      </c>
      <c r="P426" s="26">
        <f>IFERROR(__xludf.DUMMYFUNCTION("""COMPUTED_VALUE"""),57.74)</f>
        <v>57.74</v>
      </c>
      <c r="Q426" s="26">
        <f>IFERROR(__xludf.DUMMYFUNCTION("""COMPUTED_VALUE"""),645.38)</f>
        <v>645.38</v>
      </c>
      <c r="R426" s="26">
        <f>IFERROR(__xludf.DUMMYFUNCTION("""COMPUTED_VALUE"""),122.33)</f>
        <v>122.33</v>
      </c>
      <c r="S426" s="26">
        <f>IFERROR(__xludf.DUMMYFUNCTION("""COMPUTED_VALUE"""),174.36)</f>
        <v>174.36</v>
      </c>
      <c r="T426" s="26">
        <f>IFERROR(__xludf.DUMMYFUNCTION("""COMPUTED_VALUE"""),166.73)</f>
        <v>166.73</v>
      </c>
      <c r="U426" s="26">
        <f>IFERROR(__xludf.DUMMYFUNCTION("""COMPUTED_VALUE"""),274.91)</f>
        <v>274.91</v>
      </c>
      <c r="V426" s="26">
        <f>IFERROR(__xludf.DUMMYFUNCTION("""COMPUTED_VALUE"""),64.06)</f>
        <v>64.06</v>
      </c>
      <c r="W426" s="26">
        <f>IFERROR(__xludf.DUMMYFUNCTION("""COMPUTED_VALUE"""),72.01)</f>
        <v>72.01</v>
      </c>
      <c r="X426" s="26">
        <f>IFERROR(__xludf.DUMMYFUNCTION("""COMPUTED_VALUE"""),103.84)</f>
        <v>103.84</v>
      </c>
      <c r="Y426" s="26">
        <f>IFERROR(__xludf.DUMMYFUNCTION("""COMPUTED_VALUE"""),159.0)</f>
        <v>159</v>
      </c>
      <c r="Z426" s="26">
        <f>IFERROR(__xludf.DUMMYFUNCTION("""COMPUTED_VALUE"""),132.94)</f>
        <v>132.94</v>
      </c>
      <c r="AA426" s="26">
        <f>IFERROR(__xludf.DUMMYFUNCTION("""COMPUTED_VALUE"""),398.92)</f>
        <v>398.92</v>
      </c>
      <c r="AB426" s="26">
        <f>IFERROR(__xludf.DUMMYFUNCTION("""COMPUTED_VALUE"""),92.82)</f>
        <v>92.82</v>
      </c>
      <c r="AC426" s="26">
        <f>IFERROR(__xludf.DUMMYFUNCTION("""COMPUTED_VALUE"""),133.61)</f>
        <v>133.61</v>
      </c>
      <c r="AD426" s="26">
        <f>IFERROR(__xludf.DUMMYFUNCTION("""COMPUTED_VALUE"""),306.95)</f>
        <v>306.95</v>
      </c>
      <c r="AE426" s="26">
        <f>IFERROR(__xludf.DUMMYFUNCTION("""COMPUTED_VALUE"""),341.68)</f>
        <v>341.68</v>
      </c>
      <c r="AF426" s="26">
        <f>IFERROR(__xludf.DUMMYFUNCTION("""COMPUTED_VALUE"""),364.78)</f>
        <v>364.78</v>
      </c>
      <c r="AG426" s="26">
        <f>IFERROR(__xludf.DUMMYFUNCTION("""COMPUTED_VALUE"""),80.93)</f>
        <v>80.93</v>
      </c>
      <c r="AH426" s="26">
        <f>IFERROR(__xludf.DUMMYFUNCTION("""COMPUTED_VALUE"""),129.11)</f>
        <v>129.11</v>
      </c>
      <c r="AI426" s="26">
        <f>IFERROR(__xludf.DUMMYFUNCTION("""COMPUTED_VALUE"""),953.01)</f>
        <v>953.01</v>
      </c>
      <c r="AJ426" s="26">
        <f>IFERROR(__xludf.DUMMYFUNCTION("""COMPUTED_VALUE"""),384.64)</f>
        <v>384.64</v>
      </c>
      <c r="AK426" s="26">
        <f>IFERROR(__xludf.DUMMYFUNCTION("""COMPUTED_VALUE"""),176.41)</f>
        <v>176.41</v>
      </c>
      <c r="AL426" s="26">
        <f>IFERROR(__xludf.DUMMYFUNCTION("""COMPUTED_VALUE"""),171.9)</f>
        <v>171.9</v>
      </c>
      <c r="AM426" s="26">
        <f>IFERROR(__xludf.DUMMYFUNCTION("""COMPUTED_VALUE"""),523.69)</f>
        <v>523.69</v>
      </c>
      <c r="AN426" s="26">
        <f>IFERROR(__xludf.DUMMYFUNCTION("""COMPUTED_VALUE"""),302.04)</f>
        <v>302.04</v>
      </c>
      <c r="AO426" s="26">
        <f>IFERROR(__xludf.DUMMYFUNCTION("""COMPUTED_VALUE"""),586.23)</f>
        <v>586.23</v>
      </c>
      <c r="AP426" s="26">
        <f>IFERROR(__xludf.DUMMYFUNCTION("""COMPUTED_VALUE"""),189.84)</f>
        <v>189.84</v>
      </c>
      <c r="AQ426" s="26">
        <f>IFERROR(__xludf.DUMMYFUNCTION("""COMPUTED_VALUE"""),37.04)</f>
        <v>37.04</v>
      </c>
      <c r="AR426" s="26">
        <f>IFERROR(__xludf.DUMMYFUNCTION("""COMPUTED_VALUE"""),100.29)</f>
        <v>100.29</v>
      </c>
      <c r="AS426" s="26">
        <f>IFERROR(__xludf.DUMMYFUNCTION("""COMPUTED_VALUE"""),76.6)</f>
        <v>76.6</v>
      </c>
      <c r="AT426" s="26">
        <f>IFERROR(__xludf.DUMMYFUNCTION("""COMPUTED_VALUE"""),444.11)</f>
        <v>444.11</v>
      </c>
      <c r="AU426" s="26">
        <f>IFERROR(__xludf.DUMMYFUNCTION("""COMPUTED_VALUE"""),83.85)</f>
        <v>83.85</v>
      </c>
      <c r="AV426" s="26">
        <f>IFERROR(__xludf.DUMMYFUNCTION("""COMPUTED_VALUE"""),183.32)</f>
        <v>183.32</v>
      </c>
      <c r="AW426" s="26">
        <f>IFERROR(__xludf.DUMMYFUNCTION("""COMPUTED_VALUE"""),89.48)</f>
        <v>89.48</v>
      </c>
      <c r="AX426" s="26">
        <f>IFERROR(__xludf.DUMMYFUNCTION("""COMPUTED_VALUE"""),46.3)</f>
        <v>46.3</v>
      </c>
      <c r="AY426" s="26">
        <f>IFERROR(__xludf.DUMMYFUNCTION("""COMPUTED_VALUE"""),165.33)</f>
        <v>165.33</v>
      </c>
      <c r="AZ426" s="26">
        <f>IFERROR(__xludf.DUMMYFUNCTION("""COMPUTED_VALUE"""),55.89)</f>
        <v>55.89</v>
      </c>
      <c r="BA426" s="26">
        <f>IFERROR(__xludf.DUMMYFUNCTION("""COMPUTED_VALUE"""),25.89)</f>
        <v>25.89</v>
      </c>
      <c r="BB426" s="26">
        <f>IFERROR(__xludf.DUMMYFUNCTION("""COMPUTED_VALUE"""),197.5)</f>
        <v>197.5</v>
      </c>
      <c r="BC426" s="26">
        <f>IFERROR(__xludf.DUMMYFUNCTION("""COMPUTED_VALUE"""),183.6)</f>
        <v>183.6</v>
      </c>
      <c r="BD426" s="26">
        <f>IFERROR(__xludf.DUMMYFUNCTION("""COMPUTED_VALUE"""),636.3)</f>
        <v>636.3</v>
      </c>
      <c r="BE426" s="26">
        <f>IFERROR(__xludf.DUMMYFUNCTION("""COMPUTED_VALUE"""),227.74)</f>
        <v>227.74</v>
      </c>
      <c r="BF426" s="26">
        <f>IFERROR(__xludf.DUMMYFUNCTION("""COMPUTED_VALUE"""),133.81)</f>
        <v>133.81</v>
      </c>
      <c r="BG426" s="26">
        <f>IFERROR(__xludf.DUMMYFUNCTION("""COMPUTED_VALUE"""),6.18)</f>
        <v>6.18</v>
      </c>
      <c r="BH426" s="26">
        <f>IFERROR(__xludf.DUMMYFUNCTION("""COMPUTED_VALUE"""),229.39)</f>
        <v>229.39</v>
      </c>
      <c r="BI426" s="26">
        <f>IFERROR(__xludf.DUMMYFUNCTION("""COMPUTED_VALUE"""),347.75)</f>
        <v>347.75</v>
      </c>
      <c r="BJ426" s="26">
        <f>IFERROR(__xludf.DUMMYFUNCTION("""COMPUTED_VALUE"""),49.5)</f>
        <v>49.5</v>
      </c>
      <c r="BK426" s="26">
        <f>IFERROR(__xludf.DUMMYFUNCTION("""COMPUTED_VALUE"""),13.05)</f>
        <v>13.05</v>
      </c>
      <c r="BL426" s="26">
        <f>IFERROR(__xludf.DUMMYFUNCTION("""COMPUTED_VALUE"""),226.49)</f>
        <v>226.49</v>
      </c>
      <c r="BM426" s="26">
        <f>IFERROR(__xludf.DUMMYFUNCTION("""COMPUTED_VALUE"""),113.19)</f>
        <v>113.19</v>
      </c>
    </row>
    <row r="427">
      <c r="A427" s="25"/>
      <c r="B427" s="17">
        <f>IFERROR(__xludf.DUMMYFUNCTION("""COMPUTED_VALUE"""),6915.61)</f>
        <v>6915.61</v>
      </c>
      <c r="C427" s="17">
        <f>IFERROR(__xludf.DUMMYFUNCTION("""COMPUTED_VALUE"""),23436.02)</f>
        <v>23436.02</v>
      </c>
      <c r="D427" s="17">
        <f>IFERROR(__xludf.DUMMYFUNCTION("""COMPUTED_VALUE"""),49384.01)</f>
        <v>49384.01</v>
      </c>
      <c r="E427" s="17">
        <f>IFERROR(__xludf.DUMMYFUNCTION("""COMPUTED_VALUE"""),2718.77)</f>
        <v>2718.77</v>
      </c>
      <c r="F427" s="26">
        <f>IFERROR(__xludf.DUMMYFUNCTION("""COMPUTED_VALUE"""),299.73)</f>
        <v>299.73</v>
      </c>
      <c r="G427" s="26">
        <f>IFERROR(__xludf.DUMMYFUNCTION("""COMPUTED_VALUE"""),234.34)</f>
        <v>234.34</v>
      </c>
      <c r="H427" s="26">
        <f>IFERROR(__xludf.DUMMYFUNCTION("""COMPUTED_VALUE"""),131.56)</f>
        <v>131.56</v>
      </c>
      <c r="I427" s="26">
        <f>IFERROR(__xludf.DUMMYFUNCTION("""COMPUTED_VALUE"""),248.35)</f>
        <v>248.35</v>
      </c>
      <c r="J427" s="26">
        <f>IFERROR(__xludf.DUMMYFUNCTION("""COMPUTED_VALUE"""),318.79)</f>
        <v>318.79</v>
      </c>
      <c r="K427" s="26">
        <f>IFERROR(__xludf.DUMMYFUNCTION("""COMPUTED_VALUE"""),120.18)</f>
        <v>120.18</v>
      </c>
      <c r="L427" s="26">
        <f>IFERROR(__xludf.DUMMYFUNCTION("""COMPUTED_VALUE"""),26.13)</f>
        <v>26.13</v>
      </c>
      <c r="M427" s="26">
        <f>IFERROR(__xludf.DUMMYFUNCTION("""COMPUTED_VALUE"""),484.49)</f>
        <v>484.49</v>
      </c>
      <c r="N427" s="26">
        <f>IFERROR(__xludf.DUMMYFUNCTION("""COMPUTED_VALUE"""),64.97)</f>
        <v>64.97</v>
      </c>
      <c r="O427" s="26">
        <f>IFERROR(__xludf.DUMMYFUNCTION("""COMPUTED_VALUE"""),173.8)</f>
        <v>173.8</v>
      </c>
      <c r="P427" s="26">
        <f>IFERROR(__xludf.DUMMYFUNCTION("""COMPUTED_VALUE"""),57.44)</f>
        <v>57.44</v>
      </c>
      <c r="Q427" s="26">
        <f>IFERROR(__xludf.DUMMYFUNCTION("""COMPUTED_VALUE"""),648.41)</f>
        <v>648.41</v>
      </c>
      <c r="R427" s="26">
        <f>IFERROR(__xludf.DUMMYFUNCTION("""COMPUTED_VALUE"""),121.87)</f>
        <v>121.87</v>
      </c>
      <c r="S427" s="26">
        <f>IFERROR(__xludf.DUMMYFUNCTION("""COMPUTED_VALUE"""),178.16)</f>
        <v>178.16</v>
      </c>
      <c r="T427" s="26">
        <f>IFERROR(__xludf.DUMMYFUNCTION("""COMPUTED_VALUE"""),166.66)</f>
        <v>166.66</v>
      </c>
      <c r="U427" s="26">
        <f>IFERROR(__xludf.DUMMYFUNCTION("""COMPUTED_VALUE"""),280.39)</f>
        <v>280.39</v>
      </c>
      <c r="V427" s="26">
        <f>IFERROR(__xludf.DUMMYFUNCTION("""COMPUTED_VALUE"""),64.25)</f>
        <v>64.25</v>
      </c>
      <c r="W427" s="26">
        <f>IFERROR(__xludf.DUMMYFUNCTION("""COMPUTED_VALUE"""),71.87)</f>
        <v>71.87</v>
      </c>
      <c r="X427" s="26">
        <f>IFERROR(__xludf.DUMMYFUNCTION("""COMPUTED_VALUE"""),103.18)</f>
        <v>103.18</v>
      </c>
      <c r="Y427" s="26">
        <f>IFERROR(__xludf.DUMMYFUNCTION("""COMPUTED_VALUE"""),158.71)</f>
        <v>158.71</v>
      </c>
      <c r="Z427" s="26">
        <f>IFERROR(__xludf.DUMMYFUNCTION("""COMPUTED_VALUE"""),126.79)</f>
        <v>126.79</v>
      </c>
      <c r="AA427" s="26">
        <f>IFERROR(__xludf.DUMMYFUNCTION("""COMPUTED_VALUE"""),405.33)</f>
        <v>405.33</v>
      </c>
      <c r="AB427" s="26">
        <f>IFERROR(__xludf.DUMMYFUNCTION("""COMPUTED_VALUE"""),93.88)</f>
        <v>93.88</v>
      </c>
      <c r="AC427" s="26">
        <f>IFERROR(__xludf.DUMMYFUNCTION("""COMPUTED_VALUE"""),133.64)</f>
        <v>133.64</v>
      </c>
      <c r="AD427" s="26">
        <f>IFERROR(__xludf.DUMMYFUNCTION("""COMPUTED_VALUE"""),309.81)</f>
        <v>309.81</v>
      </c>
      <c r="AE427" s="26">
        <f>IFERROR(__xludf.DUMMYFUNCTION("""COMPUTED_VALUE"""),337.55)</f>
        <v>337.55</v>
      </c>
      <c r="AF427" s="26">
        <f>IFERROR(__xludf.DUMMYFUNCTION("""COMPUTED_VALUE"""),365.83)</f>
        <v>365.83</v>
      </c>
      <c r="AG427" s="26">
        <f>IFERROR(__xludf.DUMMYFUNCTION("""COMPUTED_VALUE"""),81.14)</f>
        <v>81.14</v>
      </c>
      <c r="AH427" s="26">
        <f>IFERROR(__xludf.DUMMYFUNCTION("""COMPUTED_VALUE"""),131.14)</f>
        <v>131.14</v>
      </c>
      <c r="AI427" s="26">
        <f>IFERROR(__xludf.DUMMYFUNCTION("""COMPUTED_VALUE"""),954.65)</f>
        <v>954.65</v>
      </c>
      <c r="AJ427" s="26">
        <f>IFERROR(__xludf.DUMMYFUNCTION("""COMPUTED_VALUE"""),381.03)</f>
        <v>381.03</v>
      </c>
      <c r="AK427" s="26">
        <f>IFERROR(__xludf.DUMMYFUNCTION("""COMPUTED_VALUE"""),173.44)</f>
        <v>173.44</v>
      </c>
      <c r="AL427" s="26">
        <f>IFERROR(__xludf.DUMMYFUNCTION("""COMPUTED_VALUE"""),174.35)</f>
        <v>174.35</v>
      </c>
      <c r="AM427" s="26">
        <f>IFERROR(__xludf.DUMMYFUNCTION("""COMPUTED_VALUE"""),525.81)</f>
        <v>525.81</v>
      </c>
      <c r="AN427" s="26">
        <f>IFERROR(__xludf.DUMMYFUNCTION("""COMPUTED_VALUE"""),303.63)</f>
        <v>303.63</v>
      </c>
      <c r="AO427" s="26">
        <f>IFERROR(__xludf.DUMMYFUNCTION("""COMPUTED_VALUE"""),593.91)</f>
        <v>593.91</v>
      </c>
      <c r="AP427" s="26">
        <f>IFERROR(__xludf.DUMMYFUNCTION("""COMPUTED_VALUE"""),194.66)</f>
        <v>194.66</v>
      </c>
      <c r="AQ427" s="26">
        <f>IFERROR(__xludf.DUMMYFUNCTION("""COMPUTED_VALUE"""),36.75)</f>
        <v>36.75</v>
      </c>
      <c r="AR427" s="26">
        <f>IFERROR(__xludf.DUMMYFUNCTION("""COMPUTED_VALUE"""),101.34)</f>
        <v>101.34</v>
      </c>
      <c r="AS427" s="26">
        <f>IFERROR(__xludf.DUMMYFUNCTION("""COMPUTED_VALUE"""),76.92)</f>
        <v>76.92</v>
      </c>
      <c r="AT427" s="26">
        <f>IFERROR(__xludf.DUMMYFUNCTION("""COMPUTED_VALUE"""),451.14)</f>
        <v>451.14</v>
      </c>
      <c r="AU427" s="26">
        <f>IFERROR(__xludf.DUMMYFUNCTION("""COMPUTED_VALUE"""),85.07)</f>
        <v>85.07</v>
      </c>
      <c r="AV427" s="26">
        <f>IFERROR(__xludf.DUMMYFUNCTION("""COMPUTED_VALUE"""),184.84)</f>
        <v>184.84</v>
      </c>
      <c r="AW427" s="26">
        <f>IFERROR(__xludf.DUMMYFUNCTION("""COMPUTED_VALUE"""),90.27)</f>
        <v>90.27</v>
      </c>
      <c r="AX427" s="26">
        <f>IFERROR(__xludf.DUMMYFUNCTION("""COMPUTED_VALUE"""),46.62)</f>
        <v>46.62</v>
      </c>
      <c r="AY427" s="26">
        <f>IFERROR(__xludf.DUMMYFUNCTION("""COMPUTED_VALUE"""),165.9)</f>
        <v>165.9</v>
      </c>
      <c r="AZ427" s="26">
        <f>IFERROR(__xludf.DUMMYFUNCTION("""COMPUTED_VALUE"""),57.15)</f>
        <v>57.15</v>
      </c>
      <c r="BA427" s="26">
        <f>IFERROR(__xludf.DUMMYFUNCTION("""COMPUTED_VALUE"""),26.1)</f>
        <v>26.1</v>
      </c>
      <c r="BB427" s="26">
        <f>IFERROR(__xludf.DUMMYFUNCTION("""COMPUTED_VALUE"""),196.34)</f>
        <v>196.34</v>
      </c>
      <c r="BC427" s="26">
        <f>IFERROR(__xludf.DUMMYFUNCTION("""COMPUTED_VALUE"""),185.39)</f>
        <v>185.39</v>
      </c>
      <c r="BD427" s="26">
        <f>IFERROR(__xludf.DUMMYFUNCTION("""COMPUTED_VALUE"""),639.45)</f>
        <v>639.45</v>
      </c>
      <c r="BE427" s="26">
        <f>IFERROR(__xludf.DUMMYFUNCTION("""COMPUTED_VALUE"""),227.04)</f>
        <v>227.04</v>
      </c>
      <c r="BF427" s="26">
        <f>IFERROR(__xludf.DUMMYFUNCTION("""COMPUTED_VALUE"""),138.09)</f>
        <v>138.09</v>
      </c>
      <c r="BG427" s="26">
        <f>IFERROR(__xludf.DUMMYFUNCTION("""COMPUTED_VALUE"""),6.34)</f>
        <v>6.34</v>
      </c>
      <c r="BH427" s="26">
        <f>IFERROR(__xludf.DUMMYFUNCTION("""COMPUTED_VALUE"""),231.37)</f>
        <v>231.37</v>
      </c>
      <c r="BI427" s="26">
        <f>IFERROR(__xludf.DUMMYFUNCTION("""COMPUTED_VALUE"""),354.47)</f>
        <v>354.47</v>
      </c>
      <c r="BJ427" s="26">
        <f>IFERROR(__xludf.DUMMYFUNCTION("""COMPUTED_VALUE"""),49.46)</f>
        <v>49.46</v>
      </c>
      <c r="BK427" s="26">
        <f>IFERROR(__xludf.DUMMYFUNCTION("""COMPUTED_VALUE"""),13.24)</f>
        <v>13.24</v>
      </c>
      <c r="BL427" s="26">
        <f>IFERROR(__xludf.DUMMYFUNCTION("""COMPUTED_VALUE"""),229.0)</f>
        <v>229</v>
      </c>
      <c r="BM427" s="26">
        <f>IFERROR(__xludf.DUMMYFUNCTION("""COMPUTED_VALUE"""),113.21)</f>
        <v>113.21</v>
      </c>
    </row>
    <row r="428">
      <c r="A428" s="25"/>
      <c r="B428" s="17">
        <f>IFERROR(__xludf.DUMMYFUNCTION("""COMPUTED_VALUE"""),6950.23)</f>
        <v>6950.23</v>
      </c>
      <c r="C428" s="17">
        <f>IFERROR(__xludf.DUMMYFUNCTION("""COMPUTED_VALUE"""),23501.24)</f>
        <v>23501.24</v>
      </c>
      <c r="D428" s="17">
        <f>IFERROR(__xludf.DUMMYFUNCTION("""COMPUTED_VALUE"""),49098.71)</f>
        <v>49098.71</v>
      </c>
      <c r="E428" s="17">
        <f>IFERROR(__xludf.DUMMYFUNCTION("""COMPUTED_VALUE"""),2669.16)</f>
        <v>2669.16</v>
      </c>
      <c r="F428" s="26">
        <f>IFERROR(__xludf.DUMMYFUNCTION("""COMPUTED_VALUE"""),301.07)</f>
        <v>301.07</v>
      </c>
      <c r="G428" s="26">
        <f>IFERROR(__xludf.DUMMYFUNCTION("""COMPUTED_VALUE"""),239.16)</f>
        <v>239.16</v>
      </c>
      <c r="H428" s="26">
        <f>IFERROR(__xludf.DUMMYFUNCTION("""COMPUTED_VALUE"""),129.71)</f>
        <v>129.71</v>
      </c>
      <c r="I428" s="26">
        <f>IFERROR(__xludf.DUMMYFUNCTION("""COMPUTED_VALUE"""),248.04)</f>
        <v>248.04</v>
      </c>
      <c r="J428" s="26">
        <f>IFERROR(__xludf.DUMMYFUNCTION("""COMPUTED_VALUE"""),322.38)</f>
        <v>322.38</v>
      </c>
      <c r="K428" s="26">
        <f>IFERROR(__xludf.DUMMYFUNCTION("""COMPUTED_VALUE"""),117.61)</f>
        <v>117.61</v>
      </c>
      <c r="L428" s="26">
        <f>IFERROR(__xludf.DUMMYFUNCTION("""COMPUTED_VALUE"""),26.2)</f>
        <v>26.2</v>
      </c>
      <c r="M428" s="26">
        <f>IFERROR(__xludf.DUMMYFUNCTION("""COMPUTED_VALUE"""),478.97)</f>
        <v>478.97</v>
      </c>
      <c r="N428" s="26">
        <f>IFERROR(__xludf.DUMMYFUNCTION("""COMPUTED_VALUE"""),67.52)</f>
        <v>67.52</v>
      </c>
      <c r="O428" s="26">
        <f>IFERROR(__xludf.DUMMYFUNCTION("""COMPUTED_VALUE"""),171.59)</f>
        <v>171.59</v>
      </c>
      <c r="P428" s="26">
        <f>IFERROR(__xludf.DUMMYFUNCTION("""COMPUTED_VALUE"""),57.3)</f>
        <v>57.3</v>
      </c>
      <c r="Q428" s="26">
        <f>IFERROR(__xludf.DUMMYFUNCTION("""COMPUTED_VALUE"""),626.62)</f>
        <v>626.62</v>
      </c>
      <c r="R428" s="26">
        <f>IFERROR(__xludf.DUMMYFUNCTION("""COMPUTED_VALUE"""),124.04)</f>
        <v>124.04</v>
      </c>
      <c r="S428" s="26">
        <f>IFERROR(__xludf.DUMMYFUNCTION("""COMPUTED_VALUE"""),181.23)</f>
        <v>181.23</v>
      </c>
      <c r="T428" s="26">
        <f>IFERROR(__xludf.DUMMYFUNCTION("""COMPUTED_VALUE"""),166.72)</f>
        <v>166.72</v>
      </c>
      <c r="U428" s="26">
        <f>IFERROR(__xludf.DUMMYFUNCTION("""COMPUTED_VALUE"""),279.2)</f>
        <v>279.2</v>
      </c>
      <c r="V428" s="26">
        <f>IFERROR(__xludf.DUMMYFUNCTION("""COMPUTED_VALUE"""),62.64)</f>
        <v>62.64</v>
      </c>
      <c r="W428" s="26">
        <f>IFERROR(__xludf.DUMMYFUNCTION("""COMPUTED_VALUE"""),72.88)</f>
        <v>72.88</v>
      </c>
      <c r="X428" s="26">
        <f>IFERROR(__xludf.DUMMYFUNCTION("""COMPUTED_VALUE"""),103.87)</f>
        <v>103.87</v>
      </c>
      <c r="Y428" s="26">
        <f>IFERROR(__xludf.DUMMYFUNCTION("""COMPUTED_VALUE"""),159.16)</f>
        <v>159.16</v>
      </c>
      <c r="Z428" s="26">
        <f>IFERROR(__xludf.DUMMYFUNCTION("""COMPUTED_VALUE"""),128.92)</f>
        <v>128.92</v>
      </c>
      <c r="AA428" s="26">
        <f>IFERROR(__xludf.DUMMYFUNCTION("""COMPUTED_VALUE"""),411.5)</f>
        <v>411.5</v>
      </c>
      <c r="AB428" s="26">
        <f>IFERROR(__xludf.DUMMYFUNCTION("""COMPUTED_VALUE"""),93.61)</f>
        <v>93.61</v>
      </c>
      <c r="AC428" s="26">
        <f>IFERROR(__xludf.DUMMYFUNCTION("""COMPUTED_VALUE"""),134.97)</f>
        <v>134.97</v>
      </c>
      <c r="AD428" s="26">
        <f>IFERROR(__xludf.DUMMYFUNCTION("""COMPUTED_VALUE"""),304.21)</f>
        <v>304.21</v>
      </c>
      <c r="AE428" s="26">
        <f>IFERROR(__xludf.DUMMYFUNCTION("""COMPUTED_VALUE"""),338.53)</f>
        <v>338.53</v>
      </c>
      <c r="AF428" s="26">
        <f>IFERROR(__xludf.DUMMYFUNCTION("""COMPUTED_VALUE"""),363.27)</f>
        <v>363.27</v>
      </c>
      <c r="AG428" s="26">
        <f>IFERROR(__xludf.DUMMYFUNCTION("""COMPUTED_VALUE"""),79.68)</f>
        <v>79.68</v>
      </c>
      <c r="AH428" s="26">
        <f>IFERROR(__xludf.DUMMYFUNCTION("""COMPUTED_VALUE"""),135.93)</f>
        <v>135.93</v>
      </c>
      <c r="AI428" s="26">
        <f>IFERROR(__xludf.DUMMYFUNCTION("""COMPUTED_VALUE"""),918.88)</f>
        <v>918.88</v>
      </c>
      <c r="AJ428" s="26">
        <f>IFERROR(__xludf.DUMMYFUNCTION("""COMPUTED_VALUE"""),383.77)</f>
        <v>383.77</v>
      </c>
      <c r="AK428" s="26">
        <f>IFERROR(__xludf.DUMMYFUNCTION("""COMPUTED_VALUE"""),171.34)</f>
        <v>171.34</v>
      </c>
      <c r="AL428" s="26">
        <f>IFERROR(__xludf.DUMMYFUNCTION("""COMPUTED_VALUE"""),172.93)</f>
        <v>172.93</v>
      </c>
      <c r="AM428" s="26">
        <f>IFERROR(__xludf.DUMMYFUNCTION("""COMPUTED_VALUE"""),523.99)</f>
        <v>523.99</v>
      </c>
      <c r="AN428" s="26">
        <f>IFERROR(__xludf.DUMMYFUNCTION("""COMPUTED_VALUE"""),297.72)</f>
        <v>297.72</v>
      </c>
      <c r="AO428" s="26">
        <f>IFERROR(__xludf.DUMMYFUNCTION("""COMPUTED_VALUE"""),590.82)</f>
        <v>590.82</v>
      </c>
      <c r="AP428" s="26">
        <f>IFERROR(__xludf.DUMMYFUNCTION("""COMPUTED_VALUE"""),191.07)</f>
        <v>191.07</v>
      </c>
      <c r="AQ428" s="26">
        <f>IFERROR(__xludf.DUMMYFUNCTION("""COMPUTED_VALUE"""),36.95)</f>
        <v>36.95</v>
      </c>
      <c r="AR428" s="26">
        <f>IFERROR(__xludf.DUMMYFUNCTION("""COMPUTED_VALUE"""),100.88)</f>
        <v>100.88</v>
      </c>
      <c r="AS428" s="26">
        <f>IFERROR(__xludf.DUMMYFUNCTION("""COMPUTED_VALUE"""),75.81)</f>
        <v>75.81</v>
      </c>
      <c r="AT428" s="26">
        <f>IFERROR(__xludf.DUMMYFUNCTION("""COMPUTED_VALUE"""),465.95)</f>
        <v>465.95</v>
      </c>
      <c r="AU428" s="26">
        <f>IFERROR(__xludf.DUMMYFUNCTION("""COMPUTED_VALUE"""),84.81)</f>
        <v>84.81</v>
      </c>
      <c r="AV428" s="26">
        <f>IFERROR(__xludf.DUMMYFUNCTION("""COMPUTED_VALUE"""),187.67)</f>
        <v>187.67</v>
      </c>
      <c r="AW428" s="26">
        <f>IFERROR(__xludf.DUMMYFUNCTION("""COMPUTED_VALUE"""),90.98)</f>
        <v>90.98</v>
      </c>
      <c r="AX428" s="26">
        <f>IFERROR(__xludf.DUMMYFUNCTION("""COMPUTED_VALUE"""),45.96)</f>
        <v>45.96</v>
      </c>
      <c r="AY428" s="26">
        <f>IFERROR(__xludf.DUMMYFUNCTION("""COMPUTED_VALUE"""),169.6)</f>
        <v>169.6</v>
      </c>
      <c r="AZ428" s="26">
        <f>IFERROR(__xludf.DUMMYFUNCTION("""COMPUTED_VALUE"""),56.62)</f>
        <v>56.62</v>
      </c>
      <c r="BA428" s="26">
        <f>IFERROR(__xludf.DUMMYFUNCTION("""COMPUTED_VALUE"""),25.65)</f>
        <v>25.65</v>
      </c>
      <c r="BB428" s="26">
        <f>IFERROR(__xludf.DUMMYFUNCTION("""COMPUTED_VALUE"""),195.93)</f>
        <v>195.93</v>
      </c>
      <c r="BC428" s="26">
        <f>IFERROR(__xludf.DUMMYFUNCTION("""COMPUTED_VALUE"""),186.03)</f>
        <v>186.03</v>
      </c>
      <c r="BD428" s="26">
        <f>IFERROR(__xludf.DUMMYFUNCTION("""COMPUTED_VALUE"""),625.98)</f>
        <v>625.98</v>
      </c>
      <c r="BE428" s="26">
        <f>IFERROR(__xludf.DUMMYFUNCTION("""COMPUTED_VALUE"""),226.28)</f>
        <v>226.28</v>
      </c>
      <c r="BF428" s="26">
        <f>IFERROR(__xludf.DUMMYFUNCTION("""COMPUTED_VALUE"""),135.3)</f>
        <v>135.3</v>
      </c>
      <c r="BG428" s="26">
        <f>IFERROR(__xludf.DUMMYFUNCTION("""COMPUTED_VALUE"""),6.35)</f>
        <v>6.35</v>
      </c>
      <c r="BH428" s="26">
        <f>IFERROR(__xludf.DUMMYFUNCTION("""COMPUTED_VALUE"""),229.65)</f>
        <v>229.65</v>
      </c>
      <c r="BI428" s="26">
        <f>IFERROR(__xludf.DUMMYFUNCTION("""COMPUTED_VALUE"""),356.26)</f>
        <v>356.26</v>
      </c>
      <c r="BJ428" s="26">
        <f>IFERROR(__xludf.DUMMYFUNCTION("""COMPUTED_VALUE"""),49.53)</f>
        <v>49.53</v>
      </c>
      <c r="BK428" s="26">
        <f>IFERROR(__xludf.DUMMYFUNCTION("""COMPUTED_VALUE"""),13.21)</f>
        <v>13.21</v>
      </c>
      <c r="BL428" s="26">
        <f>IFERROR(__xludf.DUMMYFUNCTION("""COMPUTED_VALUE"""),229.23)</f>
        <v>229.23</v>
      </c>
      <c r="BM428" s="26">
        <f>IFERROR(__xludf.DUMMYFUNCTION("""COMPUTED_VALUE"""),110.98)</f>
        <v>110.98</v>
      </c>
    </row>
    <row r="429">
      <c r="A429" s="25"/>
      <c r="B429" s="17">
        <f>IFERROR(__xludf.DUMMYFUNCTION("""COMPUTED_VALUE"""),6978.6)</f>
        <v>6978.6</v>
      </c>
      <c r="C429" s="17">
        <f>IFERROR(__xludf.DUMMYFUNCTION("""COMPUTED_VALUE"""),23601.36)</f>
        <v>23601.36</v>
      </c>
      <c r="D429" s="17">
        <f>IFERROR(__xludf.DUMMYFUNCTION("""COMPUTED_VALUE"""),49412.4)</f>
        <v>49412.4</v>
      </c>
      <c r="E429" s="17">
        <f>IFERROR(__xludf.DUMMYFUNCTION("""COMPUTED_VALUE"""),2659.67)</f>
        <v>2659.67</v>
      </c>
      <c r="F429" s="26">
        <f>IFERROR(__xludf.DUMMYFUNCTION("""COMPUTED_VALUE"""),304.72)</f>
        <v>304.72</v>
      </c>
      <c r="G429" s="26">
        <f>IFERROR(__xludf.DUMMYFUNCTION("""COMPUTED_VALUE"""),238.42)</f>
        <v>238.42</v>
      </c>
      <c r="H429" s="26">
        <f>IFERROR(__xludf.DUMMYFUNCTION("""COMPUTED_VALUE"""),130.74)</f>
        <v>130.74</v>
      </c>
      <c r="I429" s="26">
        <f>IFERROR(__xludf.DUMMYFUNCTION("""COMPUTED_VALUE"""),255.41)</f>
        <v>255.41</v>
      </c>
      <c r="J429" s="26">
        <f>IFERROR(__xludf.DUMMYFUNCTION("""COMPUTED_VALUE"""),319.46)</f>
        <v>319.46</v>
      </c>
      <c r="K429" s="26">
        <f>IFERROR(__xludf.DUMMYFUNCTION("""COMPUTED_VALUE"""),119.02)</f>
        <v>119.02</v>
      </c>
      <c r="L429" s="26">
        <f>IFERROR(__xludf.DUMMYFUNCTION("""COMPUTED_VALUE"""),26.38)</f>
        <v>26.38</v>
      </c>
      <c r="M429" s="26">
        <f>IFERROR(__xludf.DUMMYFUNCTION("""COMPUTED_VALUE"""),483.47)</f>
        <v>483.47</v>
      </c>
      <c r="N429" s="26">
        <f>IFERROR(__xludf.DUMMYFUNCTION("""COMPUTED_VALUE"""),67.77)</f>
        <v>67.77</v>
      </c>
      <c r="O429" s="26">
        <f>IFERROR(__xludf.DUMMYFUNCTION("""COMPUTED_VALUE"""),173.12)</f>
        <v>173.12</v>
      </c>
      <c r="P429" s="26">
        <f>IFERROR(__xludf.DUMMYFUNCTION("""COMPUTED_VALUE"""),57.37)</f>
        <v>57.37</v>
      </c>
      <c r="Q429" s="26">
        <f>IFERROR(__xludf.DUMMYFUNCTION("""COMPUTED_VALUE"""),635.92)</f>
        <v>635.92</v>
      </c>
      <c r="R429" s="26">
        <f>IFERROR(__xludf.DUMMYFUNCTION("""COMPUTED_VALUE"""),121.26)</f>
        <v>121.26</v>
      </c>
      <c r="S429" s="26">
        <f>IFERROR(__xludf.DUMMYFUNCTION("""COMPUTED_VALUE"""),184.71)</f>
        <v>184.71</v>
      </c>
      <c r="T429" s="26">
        <f>IFERROR(__xludf.DUMMYFUNCTION("""COMPUTED_VALUE"""),167.5)</f>
        <v>167.5</v>
      </c>
      <c r="U429" s="26">
        <f>IFERROR(__xludf.DUMMYFUNCTION("""COMPUTED_VALUE"""),280.41)</f>
        <v>280.41</v>
      </c>
      <c r="V429" s="26">
        <f>IFERROR(__xludf.DUMMYFUNCTION("""COMPUTED_VALUE"""),62.52)</f>
        <v>62.52</v>
      </c>
      <c r="W429" s="26">
        <f>IFERROR(__xludf.DUMMYFUNCTION("""COMPUTED_VALUE"""),72.56)</f>
        <v>72.56</v>
      </c>
      <c r="X429" s="26">
        <f>IFERROR(__xludf.DUMMYFUNCTION("""COMPUTED_VALUE"""),104.59)</f>
        <v>104.59</v>
      </c>
      <c r="Y429" s="26">
        <f>IFERROR(__xludf.DUMMYFUNCTION("""COMPUTED_VALUE"""),161.57)</f>
        <v>161.57</v>
      </c>
      <c r="Z429" s="26">
        <f>IFERROR(__xludf.DUMMYFUNCTION("""COMPUTED_VALUE"""),125.4)</f>
        <v>125.4</v>
      </c>
      <c r="AA429" s="26">
        <f>IFERROR(__xludf.DUMMYFUNCTION("""COMPUTED_VALUE"""),413.91)</f>
        <v>413.91</v>
      </c>
      <c r="AB429" s="26">
        <f>IFERROR(__xludf.DUMMYFUNCTION("""COMPUTED_VALUE"""),94.42)</f>
        <v>94.42</v>
      </c>
      <c r="AC429" s="26">
        <f>IFERROR(__xludf.DUMMYFUNCTION("""COMPUTED_VALUE"""),134.84)</f>
        <v>134.84</v>
      </c>
      <c r="AD429" s="26">
        <f>IFERROR(__xludf.DUMMYFUNCTION("""COMPUTED_VALUE"""),304.47)</f>
        <v>304.47</v>
      </c>
      <c r="AE429" s="26">
        <f>IFERROR(__xludf.DUMMYFUNCTION("""COMPUTED_VALUE"""),340.45)</f>
        <v>340.45</v>
      </c>
      <c r="AF429" s="26">
        <f>IFERROR(__xludf.DUMMYFUNCTION("""COMPUTED_VALUE"""),363.54)</f>
        <v>363.54</v>
      </c>
      <c r="AG429" s="26">
        <f>IFERROR(__xludf.DUMMYFUNCTION("""COMPUTED_VALUE"""),79.43)</f>
        <v>79.43</v>
      </c>
      <c r="AH429" s="26">
        <f>IFERROR(__xludf.DUMMYFUNCTION("""COMPUTED_VALUE"""),137.78)</f>
        <v>137.78</v>
      </c>
      <c r="AI429" s="26">
        <f>IFERROR(__xludf.DUMMYFUNCTION("""COMPUTED_VALUE"""),931.86)</f>
        <v>931.86</v>
      </c>
      <c r="AJ429" s="26">
        <f>IFERROR(__xludf.DUMMYFUNCTION("""COMPUTED_VALUE"""),386.53)</f>
        <v>386.53</v>
      </c>
      <c r="AK429" s="26">
        <f>IFERROR(__xludf.DUMMYFUNCTION("""COMPUTED_VALUE"""),173.93)</f>
        <v>173.93</v>
      </c>
      <c r="AL429" s="26">
        <f>IFERROR(__xludf.DUMMYFUNCTION("""COMPUTED_VALUE"""),175.1)</f>
        <v>175.1</v>
      </c>
      <c r="AM429" s="26">
        <f>IFERROR(__xludf.DUMMYFUNCTION("""COMPUTED_VALUE"""),528.81)</f>
        <v>528.81</v>
      </c>
      <c r="AN429" s="26">
        <f>IFERROR(__xludf.DUMMYFUNCTION("""COMPUTED_VALUE"""),301.04)</f>
        <v>301.04</v>
      </c>
      <c r="AO429" s="26">
        <f>IFERROR(__xludf.DUMMYFUNCTION("""COMPUTED_VALUE"""),581.66)</f>
        <v>581.66</v>
      </c>
      <c r="AP429" s="26">
        <f>IFERROR(__xludf.DUMMYFUNCTION("""COMPUTED_VALUE"""),192.79)</f>
        <v>192.79</v>
      </c>
      <c r="AQ429" s="26">
        <f>IFERROR(__xludf.DUMMYFUNCTION("""COMPUTED_VALUE"""),37.12)</f>
        <v>37.12</v>
      </c>
      <c r="AR429" s="26">
        <f>IFERROR(__xludf.DUMMYFUNCTION("""COMPUTED_VALUE"""),100.67)</f>
        <v>100.67</v>
      </c>
      <c r="AS429" s="26">
        <f>IFERROR(__xludf.DUMMYFUNCTION("""COMPUTED_VALUE"""),77.17)</f>
        <v>77.17</v>
      </c>
      <c r="AT429" s="26">
        <f>IFERROR(__xludf.DUMMYFUNCTION("""COMPUTED_VALUE"""),470.28)</f>
        <v>470.28</v>
      </c>
      <c r="AU429" s="26">
        <f>IFERROR(__xludf.DUMMYFUNCTION("""COMPUTED_VALUE"""),85.47)</f>
        <v>85.47</v>
      </c>
      <c r="AV429" s="26">
        <f>IFERROR(__xludf.DUMMYFUNCTION("""COMPUTED_VALUE"""),186.47)</f>
        <v>186.47</v>
      </c>
      <c r="AW429" s="26">
        <f>IFERROR(__xludf.DUMMYFUNCTION("""COMPUTED_VALUE"""),90.58)</f>
        <v>90.58</v>
      </c>
      <c r="AX429" s="26">
        <f>IFERROR(__xludf.DUMMYFUNCTION("""COMPUTED_VALUE"""),46.47)</f>
        <v>46.47</v>
      </c>
      <c r="AY429" s="26">
        <f>IFERROR(__xludf.DUMMYFUNCTION("""COMPUTED_VALUE"""),167.47)</f>
        <v>167.47</v>
      </c>
      <c r="AZ429" s="26">
        <f>IFERROR(__xludf.DUMMYFUNCTION("""COMPUTED_VALUE"""),56.6)</f>
        <v>56.6</v>
      </c>
      <c r="BA429" s="26">
        <f>IFERROR(__xludf.DUMMYFUNCTION("""COMPUTED_VALUE"""),25.88)</f>
        <v>25.88</v>
      </c>
      <c r="BB429" s="26">
        <f>IFERROR(__xludf.DUMMYFUNCTION("""COMPUTED_VALUE"""),194.13)</f>
        <v>194.13</v>
      </c>
      <c r="BC429" s="26">
        <f>IFERROR(__xludf.DUMMYFUNCTION("""COMPUTED_VALUE"""),187.96)</f>
        <v>187.96</v>
      </c>
      <c r="BD429" s="26">
        <f>IFERROR(__xludf.DUMMYFUNCTION("""COMPUTED_VALUE"""),626.62)</f>
        <v>626.62</v>
      </c>
      <c r="BE429" s="26">
        <f>IFERROR(__xludf.DUMMYFUNCTION("""COMPUTED_VALUE"""),225.62)</f>
        <v>225.62</v>
      </c>
      <c r="BF429" s="26">
        <f>IFERROR(__xludf.DUMMYFUNCTION("""COMPUTED_VALUE"""),139.33)</f>
        <v>139.33</v>
      </c>
      <c r="BG429" s="26">
        <f>IFERROR(__xludf.DUMMYFUNCTION("""COMPUTED_VALUE"""),6.32)</f>
        <v>6.32</v>
      </c>
      <c r="BH429" s="26">
        <f>IFERROR(__xludf.DUMMYFUNCTION("""COMPUTED_VALUE"""),230.89)</f>
        <v>230.89</v>
      </c>
      <c r="BI429" s="26">
        <f>IFERROR(__xludf.DUMMYFUNCTION("""COMPUTED_VALUE"""),351.64)</f>
        <v>351.64</v>
      </c>
      <c r="BJ429" s="26">
        <f>IFERROR(__xludf.DUMMYFUNCTION("""COMPUTED_VALUE"""),49.53)</f>
        <v>49.53</v>
      </c>
      <c r="BK429" s="26">
        <f>IFERROR(__xludf.DUMMYFUNCTION("""COMPUTED_VALUE"""),13.17)</f>
        <v>13.17</v>
      </c>
      <c r="BL429" s="26">
        <f>IFERROR(__xludf.DUMMYFUNCTION("""COMPUTED_VALUE"""),230.25)</f>
        <v>230.25</v>
      </c>
      <c r="BM429" s="26">
        <f>IFERROR(__xludf.DUMMYFUNCTION("""COMPUTED_VALUE"""),111.31)</f>
        <v>111.31</v>
      </c>
    </row>
    <row r="430">
      <c r="A430" s="25"/>
      <c r="B430" s="17">
        <f>IFERROR(__xludf.DUMMYFUNCTION("""COMPUTED_VALUE"""),6978.03)</f>
        <v>6978.03</v>
      </c>
      <c r="C430" s="17">
        <f>IFERROR(__xludf.DUMMYFUNCTION("""COMPUTED_VALUE"""),23817.1)</f>
        <v>23817.1</v>
      </c>
      <c r="D430" s="17">
        <f>IFERROR(__xludf.DUMMYFUNCTION("""COMPUTED_VALUE"""),49003.41)</f>
        <v>49003.41</v>
      </c>
      <c r="E430" s="17">
        <f>IFERROR(__xludf.DUMMYFUNCTION("""COMPUTED_VALUE"""),2666.7)</f>
        <v>2666.7</v>
      </c>
      <c r="F430" s="26">
        <f>IFERROR(__xludf.DUMMYFUNCTION("""COMPUTED_VALUE"""),297.42)</f>
        <v>297.42</v>
      </c>
      <c r="G430" s="26">
        <f>IFERROR(__xludf.DUMMYFUNCTION("""COMPUTED_VALUE"""),244.68)</f>
        <v>244.68</v>
      </c>
      <c r="H430" s="26">
        <f>IFERROR(__xludf.DUMMYFUNCTION("""COMPUTED_VALUE"""),130.53)</f>
        <v>130.53</v>
      </c>
      <c r="I430" s="26">
        <f>IFERROR(__xludf.DUMMYFUNCTION("""COMPUTED_VALUE"""),258.27)</f>
        <v>258.27</v>
      </c>
      <c r="J430" s="26">
        <f>IFERROR(__xludf.DUMMYFUNCTION("""COMPUTED_VALUE"""),332.71)</f>
        <v>332.71</v>
      </c>
      <c r="K430" s="26">
        <f>IFERROR(__xludf.DUMMYFUNCTION("""COMPUTED_VALUE"""),118.87)</f>
        <v>118.87</v>
      </c>
      <c r="L430" s="26">
        <f>IFERROR(__xludf.DUMMYFUNCTION("""COMPUTED_VALUE"""),27.19)</f>
        <v>27.19</v>
      </c>
      <c r="M430" s="26">
        <f>IFERROR(__xludf.DUMMYFUNCTION("""COMPUTED_VALUE"""),474.67)</f>
        <v>474.67</v>
      </c>
      <c r="N430" s="26">
        <f>IFERROR(__xludf.DUMMYFUNCTION("""COMPUTED_VALUE"""),70.49)</f>
        <v>70.49</v>
      </c>
      <c r="O430" s="26">
        <f>IFERROR(__xludf.DUMMYFUNCTION("""COMPUTED_VALUE"""),174.12)</f>
        <v>174.12</v>
      </c>
      <c r="P430" s="26">
        <f>IFERROR(__xludf.DUMMYFUNCTION("""COMPUTED_VALUE"""),57.07)</f>
        <v>57.07</v>
      </c>
      <c r="Q430" s="26">
        <f>IFERROR(__xludf.DUMMYFUNCTION("""COMPUTED_VALUE"""),638.91)</f>
        <v>638.91</v>
      </c>
      <c r="R430" s="26">
        <f>IFERROR(__xludf.DUMMYFUNCTION("""COMPUTED_VALUE"""),125.97)</f>
        <v>125.97</v>
      </c>
      <c r="S430" s="26">
        <f>IFERROR(__xludf.DUMMYFUNCTION("""COMPUTED_VALUE"""),182.94)</f>
        <v>182.94</v>
      </c>
      <c r="T430" s="26">
        <f>IFERROR(__xludf.DUMMYFUNCTION("""COMPUTED_VALUE"""),169.05)</f>
        <v>169.05</v>
      </c>
      <c r="U430" s="26">
        <f>IFERROR(__xludf.DUMMYFUNCTION("""COMPUTED_VALUE"""),270.09)</f>
        <v>270.09</v>
      </c>
      <c r="V430" s="26">
        <f>IFERROR(__xludf.DUMMYFUNCTION("""COMPUTED_VALUE"""),63.42)</f>
        <v>63.42</v>
      </c>
      <c r="W430" s="26">
        <f>IFERROR(__xludf.DUMMYFUNCTION("""COMPUTED_VALUE"""),73.55)</f>
        <v>73.55</v>
      </c>
      <c r="X430" s="26">
        <f>IFERROR(__xludf.DUMMYFUNCTION("""COMPUTED_VALUE"""),105.35)</f>
        <v>105.35</v>
      </c>
      <c r="Y430" s="26">
        <f>IFERROR(__xludf.DUMMYFUNCTION("""COMPUTED_VALUE"""),163.16)</f>
        <v>163.16</v>
      </c>
      <c r="Z430" s="26">
        <f>IFERROR(__xludf.DUMMYFUNCTION("""COMPUTED_VALUE"""),121.84)</f>
        <v>121.84</v>
      </c>
      <c r="AA430" s="26">
        <f>IFERROR(__xludf.DUMMYFUNCTION("""COMPUTED_VALUE"""),413.87)</f>
        <v>413.87</v>
      </c>
      <c r="AB430" s="26">
        <f>IFERROR(__xludf.DUMMYFUNCTION("""COMPUTED_VALUE"""),95.2)</f>
        <v>95.2</v>
      </c>
      <c r="AC430" s="26">
        <f>IFERROR(__xludf.DUMMYFUNCTION("""COMPUTED_VALUE"""),136.83)</f>
        <v>136.83</v>
      </c>
      <c r="AD430" s="26">
        <f>IFERROR(__xludf.DUMMYFUNCTION("""COMPUTED_VALUE"""),312.42)</f>
        <v>312.42</v>
      </c>
      <c r="AE430" s="26">
        <f>IFERROR(__xludf.DUMMYFUNCTION("""COMPUTED_VALUE"""),337.4)</f>
        <v>337.4</v>
      </c>
      <c r="AF430" s="26">
        <f>IFERROR(__xludf.DUMMYFUNCTION("""COMPUTED_VALUE"""),366.62)</f>
        <v>366.62</v>
      </c>
      <c r="AG430" s="26">
        <f>IFERROR(__xludf.DUMMYFUNCTION("""COMPUTED_VALUE"""),86.38)</f>
        <v>86.38</v>
      </c>
      <c r="AH430" s="26">
        <f>IFERROR(__xludf.DUMMYFUNCTION("""COMPUTED_VALUE"""),140.97)</f>
        <v>140.97</v>
      </c>
      <c r="AI430" s="26">
        <f>IFERROR(__xludf.DUMMYFUNCTION("""COMPUTED_VALUE"""),929.72)</f>
        <v>929.72</v>
      </c>
      <c r="AJ430" s="26">
        <f>IFERROR(__xludf.DUMMYFUNCTION("""COMPUTED_VALUE"""),380.36)</f>
        <v>380.36</v>
      </c>
      <c r="AK430" s="26">
        <f>IFERROR(__xludf.DUMMYFUNCTION("""COMPUTED_VALUE"""),169.95)</f>
        <v>169.95</v>
      </c>
      <c r="AL430" s="26">
        <f>IFERROR(__xludf.DUMMYFUNCTION("""COMPUTED_VALUE"""),173.28)</f>
        <v>173.28</v>
      </c>
      <c r="AM430" s="26">
        <f>IFERROR(__xludf.DUMMYFUNCTION("""COMPUTED_VALUE"""),525.04)</f>
        <v>525.04</v>
      </c>
      <c r="AN430" s="26">
        <f>IFERROR(__xludf.DUMMYFUNCTION("""COMPUTED_VALUE"""),300.31)</f>
        <v>300.31</v>
      </c>
      <c r="AO430" s="26">
        <f>IFERROR(__xludf.DUMMYFUNCTION("""COMPUTED_VALUE"""),594.95)</f>
        <v>594.95</v>
      </c>
      <c r="AP430" s="26">
        <f>IFERROR(__xludf.DUMMYFUNCTION("""COMPUTED_VALUE"""),186.39)</f>
        <v>186.39</v>
      </c>
      <c r="AQ430" s="26">
        <f>IFERROR(__xludf.DUMMYFUNCTION("""COMPUTED_VALUE"""),37.37)</f>
        <v>37.37</v>
      </c>
      <c r="AR430" s="26">
        <f>IFERROR(__xludf.DUMMYFUNCTION("""COMPUTED_VALUE"""),100.69)</f>
        <v>100.69</v>
      </c>
      <c r="AS430" s="26">
        <f>IFERROR(__xludf.DUMMYFUNCTION("""COMPUTED_VALUE"""),76.69)</f>
        <v>76.69</v>
      </c>
      <c r="AT430" s="26">
        <f>IFERROR(__xludf.DUMMYFUNCTION("""COMPUTED_VALUE"""),480.58)</f>
        <v>480.58</v>
      </c>
      <c r="AU430" s="26">
        <f>IFERROR(__xludf.DUMMYFUNCTION("""COMPUTED_VALUE"""),87.15)</f>
        <v>87.15</v>
      </c>
      <c r="AV430" s="26">
        <f>IFERROR(__xludf.DUMMYFUNCTION("""COMPUTED_VALUE"""),188.52)</f>
        <v>188.52</v>
      </c>
      <c r="AW430" s="26">
        <f>IFERROR(__xludf.DUMMYFUNCTION("""COMPUTED_VALUE"""),90.55)</f>
        <v>90.55</v>
      </c>
      <c r="AX430" s="26">
        <f>IFERROR(__xludf.DUMMYFUNCTION("""COMPUTED_VALUE"""),45.52)</f>
        <v>45.52</v>
      </c>
      <c r="AY430" s="26">
        <f>IFERROR(__xludf.DUMMYFUNCTION("""COMPUTED_VALUE"""),165.7)</f>
        <v>165.7</v>
      </c>
      <c r="AZ430" s="26">
        <f>IFERROR(__xludf.DUMMYFUNCTION("""COMPUTED_VALUE"""),55.51)</f>
        <v>55.51</v>
      </c>
      <c r="BA430" s="26">
        <f>IFERROR(__xludf.DUMMYFUNCTION("""COMPUTED_VALUE"""),26.5)</f>
        <v>26.5</v>
      </c>
      <c r="BB430" s="26">
        <f>IFERROR(__xludf.DUMMYFUNCTION("""COMPUTED_VALUE"""),201.28)</f>
        <v>201.28</v>
      </c>
      <c r="BC430" s="26">
        <f>IFERROR(__xludf.DUMMYFUNCTION("""COMPUTED_VALUE"""),184.49)</f>
        <v>184.49</v>
      </c>
      <c r="BD430" s="26">
        <f>IFERROR(__xludf.DUMMYFUNCTION("""COMPUTED_VALUE"""),623.91)</f>
        <v>623.91</v>
      </c>
      <c r="BE430" s="26">
        <f>IFERROR(__xludf.DUMMYFUNCTION("""COMPUTED_VALUE"""),224.12)</f>
        <v>224.12</v>
      </c>
      <c r="BF430" s="26">
        <f>IFERROR(__xludf.DUMMYFUNCTION("""COMPUTED_VALUE"""),138.49)</f>
        <v>138.49</v>
      </c>
      <c r="BG430" s="26">
        <f>IFERROR(__xludf.DUMMYFUNCTION("""COMPUTED_VALUE"""),6.33)</f>
        <v>6.33</v>
      </c>
      <c r="BH430" s="26">
        <f>IFERROR(__xludf.DUMMYFUNCTION("""COMPUTED_VALUE"""),232.55)</f>
        <v>232.55</v>
      </c>
      <c r="BI430" s="26">
        <f>IFERROR(__xludf.DUMMYFUNCTION("""COMPUTED_VALUE"""),282.7)</f>
        <v>282.7</v>
      </c>
      <c r="BJ430" s="26">
        <f>IFERROR(__xludf.DUMMYFUNCTION("""COMPUTED_VALUE"""),49.58)</f>
        <v>49.58</v>
      </c>
      <c r="BK430" s="26">
        <f>IFERROR(__xludf.DUMMYFUNCTION("""COMPUTED_VALUE"""),13.12)</f>
        <v>13.12</v>
      </c>
      <c r="BL430" s="26">
        <f>IFERROR(__xludf.DUMMYFUNCTION("""COMPUTED_VALUE"""),231.34)</f>
        <v>231.34</v>
      </c>
      <c r="BM430" s="26">
        <f>IFERROR(__xludf.DUMMYFUNCTION("""COMPUTED_VALUE"""),110.61)</f>
        <v>110.61</v>
      </c>
    </row>
    <row r="431">
      <c r="A431" s="25"/>
      <c r="B431" s="17">
        <f>IFERROR(__xludf.DUMMYFUNCTION("""COMPUTED_VALUE"""),6969.01)</f>
        <v>6969.01</v>
      </c>
      <c r="C431" s="17">
        <f>IFERROR(__xludf.DUMMYFUNCTION("""COMPUTED_VALUE"""),23857.45)</f>
        <v>23857.45</v>
      </c>
      <c r="D431" s="17">
        <f>IFERROR(__xludf.DUMMYFUNCTION("""COMPUTED_VALUE"""),49015.6)</f>
        <v>49015.6</v>
      </c>
      <c r="E431" s="17">
        <f>IFERROR(__xludf.DUMMYFUNCTION("""COMPUTED_VALUE"""),2653.55)</f>
        <v>2653.55</v>
      </c>
      <c r="F431" s="26">
        <f>IFERROR(__xludf.DUMMYFUNCTION("""COMPUTED_VALUE"""),299.58)</f>
        <v>299.58</v>
      </c>
      <c r="G431" s="26">
        <f>IFERROR(__xludf.DUMMYFUNCTION("""COMPUTED_VALUE"""),243.01)</f>
        <v>243.01</v>
      </c>
      <c r="H431" s="26">
        <f>IFERROR(__xludf.DUMMYFUNCTION("""COMPUTED_VALUE"""),127.05)</f>
        <v>127.05</v>
      </c>
      <c r="I431" s="26">
        <f>IFERROR(__xludf.DUMMYFUNCTION("""COMPUTED_VALUE"""),256.44)</f>
        <v>256.44</v>
      </c>
      <c r="J431" s="26">
        <f>IFERROR(__xludf.DUMMYFUNCTION("""COMPUTED_VALUE"""),336.75)</f>
        <v>336.75</v>
      </c>
      <c r="K431" s="26">
        <f>IFERROR(__xludf.DUMMYFUNCTION("""COMPUTED_VALUE"""),118.9)</f>
        <v>118.9</v>
      </c>
      <c r="L431" s="26">
        <f>IFERROR(__xludf.DUMMYFUNCTION("""COMPUTED_VALUE"""),26.55)</f>
        <v>26.55</v>
      </c>
      <c r="M431" s="26">
        <f>IFERROR(__xludf.DUMMYFUNCTION("""COMPUTED_VALUE"""),473.49)</f>
        <v>473.49</v>
      </c>
      <c r="N431" s="26">
        <f>IFERROR(__xludf.DUMMYFUNCTION("""COMPUTED_VALUE"""),70.96)</f>
        <v>70.96</v>
      </c>
      <c r="O431" s="26">
        <f>IFERROR(__xludf.DUMMYFUNCTION("""COMPUTED_VALUE"""),174.83)</f>
        <v>174.83</v>
      </c>
      <c r="P431" s="26">
        <f>IFERROR(__xludf.DUMMYFUNCTION("""COMPUTED_VALUE"""),57.91)</f>
        <v>57.91</v>
      </c>
      <c r="Q431" s="26">
        <f>IFERROR(__xludf.DUMMYFUNCTION("""COMPUTED_VALUE"""),643.28)</f>
        <v>643.28</v>
      </c>
      <c r="R431" s="26">
        <f>IFERROR(__xludf.DUMMYFUNCTION("""COMPUTED_VALUE"""),134.09)</f>
        <v>134.09</v>
      </c>
      <c r="S431" s="26">
        <f>IFERROR(__xludf.DUMMYFUNCTION("""COMPUTED_VALUE"""),180.24)</f>
        <v>180.24</v>
      </c>
      <c r="T431" s="26">
        <f>IFERROR(__xludf.DUMMYFUNCTION("""COMPUTED_VALUE"""),169.93)</f>
        <v>169.93</v>
      </c>
      <c r="U431" s="26">
        <f>IFERROR(__xludf.DUMMYFUNCTION("""COMPUTED_VALUE"""),272.38)</f>
        <v>272.38</v>
      </c>
      <c r="V431" s="26">
        <f>IFERROR(__xludf.DUMMYFUNCTION("""COMPUTED_VALUE"""),62.92)</f>
        <v>62.92</v>
      </c>
      <c r="W431" s="26">
        <f>IFERROR(__xludf.DUMMYFUNCTION("""COMPUTED_VALUE"""),73.06)</f>
        <v>73.06</v>
      </c>
      <c r="X431" s="26">
        <f>IFERROR(__xludf.DUMMYFUNCTION("""COMPUTED_VALUE"""),105.18)</f>
        <v>105.18</v>
      </c>
      <c r="Y431" s="26">
        <f>IFERROR(__xludf.DUMMYFUNCTION("""COMPUTED_VALUE"""),163.21)</f>
        <v>163.21</v>
      </c>
      <c r="Z431" s="26">
        <f>IFERROR(__xludf.DUMMYFUNCTION("""COMPUTED_VALUE"""),119.1)</f>
        <v>119.1</v>
      </c>
      <c r="AA431" s="26">
        <f>IFERROR(__xludf.DUMMYFUNCTION("""COMPUTED_VALUE"""),405.37)</f>
        <v>405.37</v>
      </c>
      <c r="AB431" s="26">
        <f>IFERROR(__xludf.DUMMYFUNCTION("""COMPUTED_VALUE"""),95.17)</f>
        <v>95.17</v>
      </c>
      <c r="AC431" s="26">
        <f>IFERROR(__xludf.DUMMYFUNCTION("""COMPUTED_VALUE"""),137.58)</f>
        <v>137.58</v>
      </c>
      <c r="AD431" s="26">
        <f>IFERROR(__xludf.DUMMYFUNCTION("""COMPUTED_VALUE"""),314.65)</f>
        <v>314.65</v>
      </c>
      <c r="AE431" s="26">
        <f>IFERROR(__xludf.DUMMYFUNCTION("""COMPUTED_VALUE"""),333.46)</f>
        <v>333.46</v>
      </c>
      <c r="AF431" s="26">
        <f>IFERROR(__xludf.DUMMYFUNCTION("""COMPUTED_VALUE"""),356.68)</f>
        <v>356.68</v>
      </c>
      <c r="AG431" s="26">
        <f>IFERROR(__xludf.DUMMYFUNCTION("""COMPUTED_VALUE"""),84.9)</f>
        <v>84.9</v>
      </c>
      <c r="AH431" s="26">
        <f>IFERROR(__xludf.DUMMYFUNCTION("""COMPUTED_VALUE"""),139.72)</f>
        <v>139.72</v>
      </c>
      <c r="AI431" s="26">
        <f>IFERROR(__xludf.DUMMYFUNCTION("""COMPUTED_VALUE"""),936.81)</f>
        <v>936.81</v>
      </c>
      <c r="AJ431" s="26">
        <f>IFERROR(__xludf.DUMMYFUNCTION("""COMPUTED_VALUE"""),375.3)</f>
        <v>375.3</v>
      </c>
      <c r="AK431" s="26">
        <f>IFERROR(__xludf.DUMMYFUNCTION("""COMPUTED_VALUE"""),169.22)</f>
        <v>169.22</v>
      </c>
      <c r="AL431" s="26">
        <f>IFERROR(__xludf.DUMMYFUNCTION("""COMPUTED_VALUE"""),172.44)</f>
        <v>172.44</v>
      </c>
      <c r="AM431" s="26">
        <f>IFERROR(__xludf.DUMMYFUNCTION("""COMPUTED_VALUE"""),522.04)</f>
        <v>522.04</v>
      </c>
      <c r="AN431" s="26">
        <f>IFERROR(__xludf.DUMMYFUNCTION("""COMPUTED_VALUE"""),300.77)</f>
        <v>300.77</v>
      </c>
      <c r="AO431" s="26">
        <f>IFERROR(__xludf.DUMMYFUNCTION("""COMPUTED_VALUE"""),597.27)</f>
        <v>597.27</v>
      </c>
      <c r="AP431" s="26">
        <f>IFERROR(__xludf.DUMMYFUNCTION("""COMPUTED_VALUE"""),180.35)</f>
        <v>180.35</v>
      </c>
      <c r="AQ431" s="26">
        <f>IFERROR(__xludf.DUMMYFUNCTION("""COMPUTED_VALUE"""),37.72)</f>
        <v>37.72</v>
      </c>
      <c r="AR431" s="26">
        <f>IFERROR(__xludf.DUMMYFUNCTION("""COMPUTED_VALUE"""),100.79)</f>
        <v>100.79</v>
      </c>
      <c r="AS431" s="26">
        <f>IFERROR(__xludf.DUMMYFUNCTION("""COMPUTED_VALUE"""),76.26)</f>
        <v>76.26</v>
      </c>
      <c r="AT431" s="26">
        <f>IFERROR(__xludf.DUMMYFUNCTION("""COMPUTED_VALUE"""),481.63)</f>
        <v>481.63</v>
      </c>
      <c r="AU431" s="26">
        <f>IFERROR(__xludf.DUMMYFUNCTION("""COMPUTED_VALUE"""),87.57)</f>
        <v>87.57</v>
      </c>
      <c r="AV431" s="26">
        <f>IFERROR(__xludf.DUMMYFUNCTION("""COMPUTED_VALUE"""),191.52)</f>
        <v>191.52</v>
      </c>
      <c r="AW431" s="26">
        <f>IFERROR(__xludf.DUMMYFUNCTION("""COMPUTED_VALUE"""),88.6)</f>
        <v>88.6</v>
      </c>
      <c r="AX431" s="26">
        <f>IFERROR(__xludf.DUMMYFUNCTION("""COMPUTED_VALUE"""),44.86)</f>
        <v>44.86</v>
      </c>
      <c r="AY431" s="26">
        <f>IFERROR(__xludf.DUMMYFUNCTION("""COMPUTED_VALUE"""),157.35)</f>
        <v>157.35</v>
      </c>
      <c r="AZ431" s="26">
        <f>IFERROR(__xludf.DUMMYFUNCTION("""COMPUTED_VALUE"""),54.08)</f>
        <v>54.08</v>
      </c>
      <c r="BA431" s="26">
        <f>IFERROR(__xludf.DUMMYFUNCTION("""COMPUTED_VALUE"""),25.86)</f>
        <v>25.86</v>
      </c>
      <c r="BB431" s="26">
        <f>IFERROR(__xludf.DUMMYFUNCTION("""COMPUTED_VALUE"""),199.46)</f>
        <v>199.46</v>
      </c>
      <c r="BC431" s="26">
        <f>IFERROR(__xludf.DUMMYFUNCTION("""COMPUTED_VALUE"""),186.25)</f>
        <v>186.25</v>
      </c>
      <c r="BD431" s="26">
        <f>IFERROR(__xludf.DUMMYFUNCTION("""COMPUTED_VALUE"""),608.02)</f>
        <v>608.02</v>
      </c>
      <c r="BE431" s="26">
        <f>IFERROR(__xludf.DUMMYFUNCTION("""COMPUTED_VALUE"""),218.89)</f>
        <v>218.89</v>
      </c>
      <c r="BF431" s="26">
        <f>IFERROR(__xludf.DUMMYFUNCTION("""COMPUTED_VALUE"""),140.99)</f>
        <v>140.99</v>
      </c>
      <c r="BG431" s="26">
        <f>IFERROR(__xludf.DUMMYFUNCTION("""COMPUTED_VALUE"""),6.07)</f>
        <v>6.07</v>
      </c>
      <c r="BH431" s="26">
        <f>IFERROR(__xludf.DUMMYFUNCTION("""COMPUTED_VALUE"""),227.71)</f>
        <v>227.71</v>
      </c>
      <c r="BI431" s="26">
        <f>IFERROR(__xludf.DUMMYFUNCTION("""COMPUTED_VALUE"""),294.02)</f>
        <v>294.02</v>
      </c>
      <c r="BJ431" s="26">
        <f>IFERROR(__xludf.DUMMYFUNCTION("""COMPUTED_VALUE"""),49.61)</f>
        <v>49.61</v>
      </c>
      <c r="BK431" s="26">
        <f>IFERROR(__xludf.DUMMYFUNCTION("""COMPUTED_VALUE"""),12.97)</f>
        <v>12.97</v>
      </c>
      <c r="BL431" s="26">
        <f>IFERROR(__xludf.DUMMYFUNCTION("""COMPUTED_VALUE"""),231.6)</f>
        <v>231.6</v>
      </c>
      <c r="BM431" s="26">
        <f>IFERROR(__xludf.DUMMYFUNCTION("""COMPUTED_VALUE"""),109.56)</f>
        <v>109.56</v>
      </c>
    </row>
    <row r="432">
      <c r="A432" s="25"/>
      <c r="B432" s="17">
        <f>IFERROR(__xludf.DUMMYFUNCTION("""COMPUTED_VALUE"""),6939.03)</f>
        <v>6939.03</v>
      </c>
      <c r="C432" s="17">
        <f>IFERROR(__xludf.DUMMYFUNCTION("""COMPUTED_VALUE"""),23685.12)</f>
        <v>23685.12</v>
      </c>
      <c r="D432" s="17">
        <f>IFERROR(__xludf.DUMMYFUNCTION("""COMPUTED_VALUE"""),49071.56)</f>
        <v>49071.56</v>
      </c>
      <c r="E432" s="17">
        <f>IFERROR(__xludf.DUMMYFUNCTION("""COMPUTED_VALUE"""),2654.78)</f>
        <v>2654.78</v>
      </c>
      <c r="F432" s="26">
        <f>IFERROR(__xludf.DUMMYFUNCTION("""COMPUTED_VALUE"""),291.65)</f>
        <v>291.65</v>
      </c>
      <c r="G432" s="26">
        <f>IFERROR(__xludf.DUMMYFUNCTION("""COMPUTED_VALUE"""),241.73)</f>
        <v>241.73</v>
      </c>
      <c r="H432" s="26">
        <f>IFERROR(__xludf.DUMMYFUNCTION("""COMPUTED_VALUE"""),129.0)</f>
        <v>129</v>
      </c>
      <c r="I432" s="26">
        <f>IFERROR(__xludf.DUMMYFUNCTION("""COMPUTED_VALUE"""),258.28)</f>
        <v>258.28</v>
      </c>
      <c r="J432" s="26">
        <f>IFERROR(__xludf.DUMMYFUNCTION("""COMPUTED_VALUE"""),341.34)</f>
        <v>341.34</v>
      </c>
      <c r="K432" s="26">
        <f>IFERROR(__xludf.DUMMYFUNCTION("""COMPUTED_VALUE"""),121.49)</f>
        <v>121.49</v>
      </c>
      <c r="L432" s="26">
        <f>IFERROR(__xludf.DUMMYFUNCTION("""COMPUTED_VALUE"""),26.88)</f>
        <v>26.88</v>
      </c>
      <c r="M432" s="26">
        <f>IFERROR(__xludf.DUMMYFUNCTION("""COMPUTED_VALUE"""),476.79)</f>
        <v>476.79</v>
      </c>
      <c r="N432" s="26">
        <f>IFERROR(__xludf.DUMMYFUNCTION("""COMPUTED_VALUE"""),72.17)</f>
        <v>72.17</v>
      </c>
      <c r="O432" s="26">
        <f>IFERROR(__xludf.DUMMYFUNCTION("""COMPUTED_VALUE"""),176.18)</f>
        <v>176.18</v>
      </c>
      <c r="P432" s="26">
        <f>IFERROR(__xludf.DUMMYFUNCTION("""COMPUTED_VALUE"""),59.79)</f>
        <v>59.79</v>
      </c>
      <c r="Q432" s="26">
        <f>IFERROR(__xludf.DUMMYFUNCTION("""COMPUTED_VALUE"""),665.24)</f>
        <v>665.24</v>
      </c>
      <c r="R432" s="26">
        <f>IFERROR(__xludf.DUMMYFUNCTION("""COMPUTED_VALUE"""),133.67)</f>
        <v>133.67</v>
      </c>
      <c r="S432" s="26">
        <f>IFERROR(__xludf.DUMMYFUNCTION("""COMPUTED_VALUE"""),178.21)</f>
        <v>178.21</v>
      </c>
      <c r="T432" s="26">
        <f>IFERROR(__xludf.DUMMYFUNCTION("""COMPUTED_VALUE"""),171.19)</f>
        <v>171.19</v>
      </c>
      <c r="U432" s="26">
        <f>IFERROR(__xludf.DUMMYFUNCTION("""COMPUTED_VALUE"""),271.27)</f>
        <v>271.27</v>
      </c>
      <c r="V432" s="26">
        <f>IFERROR(__xludf.DUMMYFUNCTION("""COMPUTED_VALUE"""),63.49)</f>
        <v>63.49</v>
      </c>
      <c r="W432" s="26">
        <f>IFERROR(__xludf.DUMMYFUNCTION("""COMPUTED_VALUE"""),73.43)</f>
        <v>73.43</v>
      </c>
      <c r="X432" s="26">
        <f>IFERROR(__xludf.DUMMYFUNCTION("""COMPUTED_VALUE"""),105.96)</f>
        <v>105.96</v>
      </c>
      <c r="Y432" s="26">
        <f>IFERROR(__xludf.DUMMYFUNCTION("""COMPUTED_VALUE"""),167.44)</f>
        <v>167.44</v>
      </c>
      <c r="Z432" s="26">
        <f>IFERROR(__xludf.DUMMYFUNCTION("""COMPUTED_VALUE"""),117.31)</f>
        <v>117.31</v>
      </c>
      <c r="AA432" s="26">
        <f>IFERROR(__xludf.DUMMYFUNCTION("""COMPUTED_VALUE"""),407.08)</f>
        <v>407.08</v>
      </c>
      <c r="AB432" s="26">
        <f>IFERROR(__xludf.DUMMYFUNCTION("""COMPUTED_VALUE"""),94.41)</f>
        <v>94.41</v>
      </c>
      <c r="AC432" s="26">
        <f>IFERROR(__xludf.DUMMYFUNCTION("""COMPUTED_VALUE"""),140.51)</f>
        <v>140.51</v>
      </c>
      <c r="AD432" s="26">
        <f>IFERROR(__xludf.DUMMYFUNCTION("""COMPUTED_VALUE"""),319.93)</f>
        <v>319.93</v>
      </c>
      <c r="AE432" s="26">
        <f>IFERROR(__xludf.DUMMYFUNCTION("""COMPUTED_VALUE"""),338.45)</f>
        <v>338.45</v>
      </c>
      <c r="AF432" s="26">
        <f>IFERROR(__xludf.DUMMYFUNCTION("""COMPUTED_VALUE"""),349.95)</f>
        <v>349.95</v>
      </c>
      <c r="AG432" s="26">
        <f>IFERROR(__xludf.DUMMYFUNCTION("""COMPUTED_VALUE"""),86.26)</f>
        <v>86.26</v>
      </c>
      <c r="AH432" s="26">
        <f>IFERROR(__xludf.DUMMYFUNCTION("""COMPUTED_VALUE"""),139.55)</f>
        <v>139.55</v>
      </c>
      <c r="AI432" s="26">
        <f>IFERROR(__xludf.DUMMYFUNCTION("""COMPUTED_VALUE"""),940.12)</f>
        <v>940.12</v>
      </c>
      <c r="AJ432" s="26">
        <f>IFERROR(__xludf.DUMMYFUNCTION("""COMPUTED_VALUE"""),371.81)</f>
        <v>371.81</v>
      </c>
      <c r="AK432" s="26">
        <f>IFERROR(__xludf.DUMMYFUNCTION("""COMPUTED_VALUE"""),166.82)</f>
        <v>166.82</v>
      </c>
      <c r="AL432" s="26">
        <f>IFERROR(__xludf.DUMMYFUNCTION("""COMPUTED_VALUE"""),175.1)</f>
        <v>175.1</v>
      </c>
      <c r="AM432" s="26">
        <f>IFERROR(__xludf.DUMMYFUNCTION("""COMPUTED_VALUE"""),507.55)</f>
        <v>507.55</v>
      </c>
      <c r="AN432" s="26">
        <f>IFERROR(__xludf.DUMMYFUNCTION("""COMPUTED_VALUE"""),306.42)</f>
        <v>306.42</v>
      </c>
      <c r="AO432" s="26">
        <f>IFERROR(__xludf.DUMMYFUNCTION("""COMPUTED_VALUE"""),622.51)</f>
        <v>622.51</v>
      </c>
      <c r="AP432" s="26">
        <f>IFERROR(__xludf.DUMMYFUNCTION("""COMPUTED_VALUE"""),172.54)</f>
        <v>172.54</v>
      </c>
      <c r="AQ432" s="26">
        <f>IFERROR(__xludf.DUMMYFUNCTION("""COMPUTED_VALUE"""),38.55)</f>
        <v>38.55</v>
      </c>
      <c r="AR432" s="26">
        <f>IFERROR(__xludf.DUMMYFUNCTION("""COMPUTED_VALUE"""),101.0)</f>
        <v>101</v>
      </c>
      <c r="AS432" s="26">
        <f>IFERROR(__xludf.DUMMYFUNCTION("""COMPUTED_VALUE"""),78.23)</f>
        <v>78.23</v>
      </c>
      <c r="AT432" s="26">
        <f>IFERROR(__xludf.DUMMYFUNCTION("""COMPUTED_VALUE"""),433.5)</f>
        <v>433.5</v>
      </c>
      <c r="AU432" s="26">
        <f>IFERROR(__xludf.DUMMYFUNCTION("""COMPUTED_VALUE"""),88.18)</f>
        <v>88.18</v>
      </c>
      <c r="AV432" s="26">
        <f>IFERROR(__xludf.DUMMYFUNCTION("""COMPUTED_VALUE"""),192.51)</f>
        <v>192.51</v>
      </c>
      <c r="AW432" s="26">
        <f>IFERROR(__xludf.DUMMYFUNCTION("""COMPUTED_VALUE"""),87.16)</f>
        <v>87.16</v>
      </c>
      <c r="AX432" s="26">
        <f>IFERROR(__xludf.DUMMYFUNCTION("""COMPUTED_VALUE"""),45.02)</f>
        <v>45.02</v>
      </c>
      <c r="AY432" s="26">
        <f>IFERROR(__xludf.DUMMYFUNCTION("""COMPUTED_VALUE"""),151.86)</f>
        <v>151.86</v>
      </c>
      <c r="AZ432" s="26">
        <f>IFERROR(__xludf.DUMMYFUNCTION("""COMPUTED_VALUE"""),53.11)</f>
        <v>53.11</v>
      </c>
      <c r="BA432" s="26">
        <f>IFERROR(__xludf.DUMMYFUNCTION("""COMPUTED_VALUE"""),26.1)</f>
        <v>26.1</v>
      </c>
      <c r="BB432" s="26">
        <f>IFERROR(__xludf.DUMMYFUNCTION("""COMPUTED_VALUE"""),199.88)</f>
        <v>199.88</v>
      </c>
      <c r="BC432" s="26">
        <f>IFERROR(__xludf.DUMMYFUNCTION("""COMPUTED_VALUE"""),189.28)</f>
        <v>189.28</v>
      </c>
      <c r="BD432" s="26">
        <f>IFERROR(__xludf.DUMMYFUNCTION("""COMPUTED_VALUE"""),592.16)</f>
        <v>592.16</v>
      </c>
      <c r="BE432" s="26">
        <f>IFERROR(__xludf.DUMMYFUNCTION("""COMPUTED_VALUE"""),227.07)</f>
        <v>227.07</v>
      </c>
      <c r="BF432" s="26">
        <f>IFERROR(__xludf.DUMMYFUNCTION("""COMPUTED_VALUE"""),138.97)</f>
        <v>138.97</v>
      </c>
      <c r="BG432" s="26">
        <f>IFERROR(__xludf.DUMMYFUNCTION("""COMPUTED_VALUE"""),6.05)</f>
        <v>6.05</v>
      </c>
      <c r="BH432" s="26">
        <f>IFERROR(__xludf.DUMMYFUNCTION("""COMPUTED_VALUE"""),233.58)</f>
        <v>233.58</v>
      </c>
      <c r="BI432" s="26">
        <f>IFERROR(__xludf.DUMMYFUNCTION("""COMPUTED_VALUE"""),292.29)</f>
        <v>292.29</v>
      </c>
      <c r="BJ432" s="26">
        <f>IFERROR(__xludf.DUMMYFUNCTION("""COMPUTED_VALUE"""),49.67)</f>
        <v>49.67</v>
      </c>
      <c r="BK432" s="26">
        <f>IFERROR(__xludf.DUMMYFUNCTION("""COMPUTED_VALUE"""),13.07)</f>
        <v>13.07</v>
      </c>
      <c r="BL432" s="26">
        <f>IFERROR(__xludf.DUMMYFUNCTION("""COMPUTED_VALUE"""),223.13)</f>
        <v>223.13</v>
      </c>
      <c r="BM432" s="26">
        <f>IFERROR(__xludf.DUMMYFUNCTION("""COMPUTED_VALUE"""),111.58)</f>
        <v>111.58</v>
      </c>
    </row>
    <row r="433">
      <c r="A433" s="25"/>
      <c r="B433" s="17">
        <f>IFERROR(__xludf.DUMMYFUNCTION("""COMPUTED_VALUE"""),6976.44)</f>
        <v>6976.44</v>
      </c>
      <c r="C433" s="17">
        <f>IFERROR(__xludf.DUMMYFUNCTION("""COMPUTED_VALUE"""),23461.82)</f>
        <v>23461.82</v>
      </c>
      <c r="D433" s="17">
        <f>IFERROR(__xludf.DUMMYFUNCTION("""COMPUTED_VALUE"""),48892.47)</f>
        <v>48892.47</v>
      </c>
      <c r="E433" s="17">
        <f>IFERROR(__xludf.DUMMYFUNCTION("""COMPUTED_VALUE"""),2613.74)</f>
        <v>2613.74</v>
      </c>
      <c r="F433" s="26">
        <f>IFERROR(__xludf.DUMMYFUNCTION("""COMPUTED_VALUE"""),293.25)</f>
        <v>293.25</v>
      </c>
      <c r="G433" s="26">
        <f>IFERROR(__xludf.DUMMYFUNCTION("""COMPUTED_VALUE"""),239.3)</f>
        <v>239.3</v>
      </c>
      <c r="H433" s="26">
        <f>IFERROR(__xludf.DUMMYFUNCTION("""COMPUTED_VALUE"""),129.13)</f>
        <v>129.13</v>
      </c>
      <c r="I433" s="26">
        <f>IFERROR(__xludf.DUMMYFUNCTION("""COMPUTED_VALUE"""),259.48)</f>
        <v>259.48</v>
      </c>
      <c r="J433" s="26">
        <f>IFERROR(__xludf.DUMMYFUNCTION("""COMPUTED_VALUE"""),322.32)</f>
        <v>322.32</v>
      </c>
      <c r="K433" s="26">
        <f>IFERROR(__xludf.DUMMYFUNCTION("""COMPUTED_VALUE"""),119.92)</f>
        <v>119.92</v>
      </c>
      <c r="L433" s="26">
        <f>IFERROR(__xludf.DUMMYFUNCTION("""COMPUTED_VALUE"""),26.75)</f>
        <v>26.75</v>
      </c>
      <c r="M433" s="26">
        <f>IFERROR(__xludf.DUMMYFUNCTION("""COMPUTED_VALUE"""),480.53)</f>
        <v>480.53</v>
      </c>
      <c r="N433" s="26">
        <f>IFERROR(__xludf.DUMMYFUNCTION("""COMPUTED_VALUE"""),68.73)</f>
        <v>68.73</v>
      </c>
      <c r="O433" s="26">
        <f>IFERROR(__xludf.DUMMYFUNCTION("""COMPUTED_VALUE"""),179.89)</f>
        <v>179.89</v>
      </c>
      <c r="P433" s="26">
        <f>IFERROR(__xludf.DUMMYFUNCTION("""COMPUTED_VALUE"""),59.58)</f>
        <v>59.58</v>
      </c>
      <c r="Q433" s="26">
        <f>IFERROR(__xludf.DUMMYFUNCTION("""COMPUTED_VALUE"""),657.36)</f>
        <v>657.36</v>
      </c>
      <c r="R433" s="26">
        <f>IFERROR(__xludf.DUMMYFUNCTION("""COMPUTED_VALUE"""),123.39)</f>
        <v>123.39</v>
      </c>
      <c r="S433" s="26">
        <f>IFERROR(__xludf.DUMMYFUNCTION("""COMPUTED_VALUE"""),179.51)</f>
        <v>179.51</v>
      </c>
      <c r="T433" s="26">
        <f>IFERROR(__xludf.DUMMYFUNCTION("""COMPUTED_VALUE"""),176.9)</f>
        <v>176.9</v>
      </c>
      <c r="U433" s="26">
        <f>IFERROR(__xludf.DUMMYFUNCTION("""COMPUTED_VALUE"""),274.11)</f>
        <v>274.11</v>
      </c>
      <c r="V433" s="26">
        <f>IFERROR(__xludf.DUMMYFUNCTION("""COMPUTED_VALUE"""),62.98)</f>
        <v>62.98</v>
      </c>
      <c r="W433" s="26">
        <f>IFERROR(__xludf.DUMMYFUNCTION("""COMPUTED_VALUE"""),74.81)</f>
        <v>74.81</v>
      </c>
      <c r="X433" s="26">
        <f>IFERROR(__xludf.DUMMYFUNCTION("""COMPUTED_VALUE"""),106.63)</f>
        <v>106.63</v>
      </c>
      <c r="Y433" s="26">
        <f>IFERROR(__xludf.DUMMYFUNCTION("""COMPUTED_VALUE"""),165.95)</f>
        <v>165.95</v>
      </c>
      <c r="Z433" s="26">
        <f>IFERROR(__xludf.DUMMYFUNCTION("""COMPUTED_VALUE"""),117.59)</f>
        <v>117.59</v>
      </c>
      <c r="AA433" s="26">
        <f>IFERROR(__xludf.DUMMYFUNCTION("""COMPUTED_VALUE"""),410.33)</f>
        <v>410.33</v>
      </c>
      <c r="AB433" s="26">
        <f>IFERROR(__xludf.DUMMYFUNCTION("""COMPUTED_VALUE"""),91.22)</f>
        <v>91.22</v>
      </c>
      <c r="AC433" s="26">
        <f>IFERROR(__xludf.DUMMYFUNCTION("""COMPUTED_VALUE"""),141.4)</f>
        <v>141.4</v>
      </c>
      <c r="AD433" s="26">
        <f>IFERROR(__xludf.DUMMYFUNCTION("""COMPUTED_VALUE"""),322.25)</f>
        <v>322.25</v>
      </c>
      <c r="AE433" s="26">
        <f>IFERROR(__xludf.DUMMYFUNCTION("""COMPUTED_VALUE"""),333.17)</f>
        <v>333.17</v>
      </c>
      <c r="AF433" s="26">
        <f>IFERROR(__xludf.DUMMYFUNCTION("""COMPUTED_VALUE"""),351.09)</f>
        <v>351.09</v>
      </c>
      <c r="AG433" s="26">
        <f>IFERROR(__xludf.DUMMYFUNCTION("""COMPUTED_VALUE"""),84.0)</f>
        <v>84</v>
      </c>
      <c r="AH433" s="26">
        <f>IFERROR(__xludf.DUMMYFUNCTION("""COMPUTED_VALUE"""),141.95)</f>
        <v>141.95</v>
      </c>
      <c r="AI433" s="26">
        <f>IFERROR(__xludf.DUMMYFUNCTION("""COMPUTED_VALUE"""),935.41)</f>
        <v>935.41</v>
      </c>
      <c r="AJ433" s="26">
        <f>IFERROR(__xludf.DUMMYFUNCTION("""COMPUTED_VALUE"""),374.59)</f>
        <v>374.59</v>
      </c>
      <c r="AK433" s="26">
        <f>IFERROR(__xludf.DUMMYFUNCTION("""COMPUTED_VALUE"""),169.0)</f>
        <v>169</v>
      </c>
      <c r="AL433" s="26">
        <f>IFERROR(__xludf.DUMMYFUNCTION("""COMPUTED_VALUE"""),173.78)</f>
        <v>173.78</v>
      </c>
      <c r="AM433" s="26">
        <f>IFERROR(__xludf.DUMMYFUNCTION("""COMPUTED_VALUE"""),504.22)</f>
        <v>504.22</v>
      </c>
      <c r="AN433" s="26">
        <f>IFERROR(__xludf.DUMMYFUNCTION("""COMPUTED_VALUE"""),305.89)</f>
        <v>305.89</v>
      </c>
      <c r="AO433" s="26">
        <f>IFERROR(__xludf.DUMMYFUNCTION("""COMPUTED_VALUE"""),634.22)</f>
        <v>634.22</v>
      </c>
      <c r="AP433" s="26">
        <f>IFERROR(__xludf.DUMMYFUNCTION("""COMPUTED_VALUE"""),174.5)</f>
        <v>174.5</v>
      </c>
      <c r="AQ433" s="26">
        <f>IFERROR(__xludf.DUMMYFUNCTION("""COMPUTED_VALUE"""),38.11)</f>
        <v>38.11</v>
      </c>
      <c r="AR433" s="26">
        <f>IFERROR(__xludf.DUMMYFUNCTION("""COMPUTED_VALUE"""),102.96)</f>
        <v>102.96</v>
      </c>
      <c r="AS433" s="26">
        <f>IFERROR(__xludf.DUMMYFUNCTION("""COMPUTED_VALUE"""),78.88)</f>
        <v>78.88</v>
      </c>
      <c r="AT433" s="26">
        <f>IFERROR(__xludf.DUMMYFUNCTION("""COMPUTED_VALUE"""),430.29)</f>
        <v>430.29</v>
      </c>
      <c r="AU433" s="26">
        <f>IFERROR(__xludf.DUMMYFUNCTION("""COMPUTED_VALUE"""),87.9)</f>
        <v>87.9</v>
      </c>
      <c r="AV433" s="26">
        <f>IFERROR(__xludf.DUMMYFUNCTION("""COMPUTED_VALUE"""),191.13)</f>
        <v>191.13</v>
      </c>
      <c r="AW433" s="26">
        <f>IFERROR(__xludf.DUMMYFUNCTION("""COMPUTED_VALUE"""),85.42)</f>
        <v>85.42</v>
      </c>
      <c r="AX433" s="26">
        <f>IFERROR(__xludf.DUMMYFUNCTION("""COMPUTED_VALUE"""),45.25)</f>
        <v>45.25</v>
      </c>
      <c r="AY433" s="26">
        <f>IFERROR(__xludf.DUMMYFUNCTION("""COMPUTED_VALUE"""),146.59)</f>
        <v>146.59</v>
      </c>
      <c r="AZ433" s="26">
        <f>IFERROR(__xludf.DUMMYFUNCTION("""COMPUTED_VALUE"""),52.69)</f>
        <v>52.69</v>
      </c>
      <c r="BA433" s="26">
        <f>IFERROR(__xludf.DUMMYFUNCTION("""COMPUTED_VALUE"""),26.44)</f>
        <v>26.44</v>
      </c>
      <c r="BB433" s="26">
        <f>IFERROR(__xludf.DUMMYFUNCTION("""COMPUTED_VALUE"""),200.93)</f>
        <v>200.93</v>
      </c>
      <c r="BC433" s="26">
        <f>IFERROR(__xludf.DUMMYFUNCTION("""COMPUTED_VALUE"""),197.21)</f>
        <v>197.21</v>
      </c>
      <c r="BD433" s="26">
        <f>IFERROR(__xludf.DUMMYFUNCTION("""COMPUTED_VALUE"""),578.61)</f>
        <v>578.61</v>
      </c>
      <c r="BE433" s="26">
        <f>IFERROR(__xludf.DUMMYFUNCTION("""COMPUTED_VALUE"""),226.86)</f>
        <v>226.86</v>
      </c>
      <c r="BF433" s="26">
        <f>IFERROR(__xludf.DUMMYFUNCTION("""COMPUTED_VALUE"""),133.98)</f>
        <v>133.98</v>
      </c>
      <c r="BG433" s="26">
        <f>IFERROR(__xludf.DUMMYFUNCTION("""COMPUTED_VALUE"""),6.17)</f>
        <v>6.17</v>
      </c>
      <c r="BH433" s="26">
        <f>IFERROR(__xludf.DUMMYFUNCTION("""COMPUTED_VALUE"""),235.1)</f>
        <v>235.1</v>
      </c>
      <c r="BI433" s="26">
        <f>IFERROR(__xludf.DUMMYFUNCTION("""COMPUTED_VALUE"""),286.93)</f>
        <v>286.93</v>
      </c>
      <c r="BJ433" s="26">
        <f>IFERROR(__xludf.DUMMYFUNCTION("""COMPUTED_VALUE"""),49.73)</f>
        <v>49.73</v>
      </c>
      <c r="BK433" s="26">
        <f>IFERROR(__xludf.DUMMYFUNCTION("""COMPUTED_VALUE"""),13.09)</f>
        <v>13.09</v>
      </c>
      <c r="BL433" s="26">
        <f>IFERROR(__xludf.DUMMYFUNCTION("""COMPUTED_VALUE"""),222.24)</f>
        <v>222.24</v>
      </c>
      <c r="BM433" s="26">
        <f>IFERROR(__xludf.DUMMYFUNCTION("""COMPUTED_VALUE"""),112.8)</f>
        <v>112.8</v>
      </c>
    </row>
    <row r="434">
      <c r="A434" s="25"/>
      <c r="B434" s="17">
        <f>IFERROR(__xludf.DUMMYFUNCTION("""COMPUTED_VALUE"""),6917.81)</f>
        <v>6917.81</v>
      </c>
      <c r="C434" s="17">
        <f>IFERROR(__xludf.DUMMYFUNCTION("""COMPUTED_VALUE"""),23592.11)</f>
        <v>23592.11</v>
      </c>
      <c r="D434" s="17">
        <f>IFERROR(__xludf.DUMMYFUNCTION("""COMPUTED_VALUE"""),49407.66)</f>
        <v>49407.66</v>
      </c>
      <c r="E434" s="17">
        <f>IFERROR(__xludf.DUMMYFUNCTION("""COMPUTED_VALUE"""),2640.28)</f>
        <v>2640.28</v>
      </c>
      <c r="F434" s="26">
        <f>IFERROR(__xludf.DUMMYFUNCTION("""COMPUTED_VALUE"""),293.38)</f>
        <v>293.38</v>
      </c>
      <c r="G434" s="26">
        <f>IFERROR(__xludf.DUMMYFUNCTION("""COMPUTED_VALUE"""),242.96)</f>
        <v>242.96</v>
      </c>
      <c r="H434" s="26">
        <f>IFERROR(__xludf.DUMMYFUNCTION("""COMPUTED_VALUE"""),126.57)</f>
        <v>126.57</v>
      </c>
      <c r="I434" s="26">
        <f>IFERROR(__xludf.DUMMYFUNCTION("""COMPUTED_VALUE"""),270.01)</f>
        <v>270.01</v>
      </c>
      <c r="J434" s="26">
        <f>IFERROR(__xludf.DUMMYFUNCTION("""COMPUTED_VALUE"""),328.4)</f>
        <v>328.4</v>
      </c>
      <c r="K434" s="26">
        <f>IFERROR(__xludf.DUMMYFUNCTION("""COMPUTED_VALUE"""),121.61)</f>
        <v>121.61</v>
      </c>
      <c r="L434" s="26">
        <f>IFERROR(__xludf.DUMMYFUNCTION("""COMPUTED_VALUE"""),27.51)</f>
        <v>27.51</v>
      </c>
      <c r="M434" s="26">
        <f>IFERROR(__xludf.DUMMYFUNCTION("""COMPUTED_VALUE"""),487.29)</f>
        <v>487.29</v>
      </c>
      <c r="N434" s="26">
        <f>IFERROR(__xludf.DUMMYFUNCTION("""COMPUTED_VALUE"""),69.39)</f>
        <v>69.39</v>
      </c>
      <c r="O434" s="26">
        <f>IFERROR(__xludf.DUMMYFUNCTION("""COMPUTED_VALUE"""),179.09)</f>
        <v>179.09</v>
      </c>
      <c r="P434" s="26">
        <f>IFERROR(__xludf.DUMMYFUNCTION("""COMPUTED_VALUE"""),60.36)</f>
        <v>60.36</v>
      </c>
      <c r="Q434" s="26">
        <f>IFERROR(__xludf.DUMMYFUNCTION("""COMPUTED_VALUE"""),690.91)</f>
        <v>690.91</v>
      </c>
      <c r="R434" s="26">
        <f>IFERROR(__xludf.DUMMYFUNCTION("""COMPUTED_VALUE"""),120.21)</f>
        <v>120.21</v>
      </c>
      <c r="S434" s="26">
        <f>IFERROR(__xludf.DUMMYFUNCTION("""COMPUTED_VALUE"""),180.21)</f>
        <v>180.21</v>
      </c>
      <c r="T434" s="26">
        <f>IFERROR(__xludf.DUMMYFUNCTION("""COMPUTED_VALUE"""),174.03)</f>
        <v>174.03</v>
      </c>
      <c r="U434" s="26">
        <f>IFERROR(__xludf.DUMMYFUNCTION("""COMPUTED_VALUE"""),271.54)</f>
        <v>271.54</v>
      </c>
      <c r="V434" s="26">
        <f>IFERROR(__xludf.DUMMYFUNCTION("""COMPUTED_VALUE"""),64.86)</f>
        <v>64.86</v>
      </c>
      <c r="W434" s="26">
        <f>IFERROR(__xludf.DUMMYFUNCTION("""COMPUTED_VALUE"""),75.33)</f>
        <v>75.33</v>
      </c>
      <c r="X434" s="26">
        <f>IFERROR(__xludf.DUMMYFUNCTION("""COMPUTED_VALUE"""),105.42)</f>
        <v>105.42</v>
      </c>
      <c r="Y434" s="26">
        <f>IFERROR(__xludf.DUMMYFUNCTION("""COMPUTED_VALUE"""),165.11)</f>
        <v>165.11</v>
      </c>
      <c r="Z434" s="26">
        <f>IFERROR(__xludf.DUMMYFUNCTION("""COMPUTED_VALUE"""),117.22)</f>
        <v>117.22</v>
      </c>
      <c r="AA434" s="26">
        <f>IFERROR(__xludf.DUMMYFUNCTION("""COMPUTED_VALUE"""),409.22)</f>
        <v>409.22</v>
      </c>
      <c r="AB434" s="26">
        <f>IFERROR(__xludf.DUMMYFUNCTION("""COMPUTED_VALUE"""),93.78)</f>
        <v>93.78</v>
      </c>
      <c r="AC434" s="26">
        <f>IFERROR(__xludf.DUMMYFUNCTION("""COMPUTED_VALUE"""),138.4)</f>
        <v>138.4</v>
      </c>
      <c r="AD434" s="26">
        <f>IFERROR(__xludf.DUMMYFUNCTION("""COMPUTED_VALUE"""),335.3)</f>
        <v>335.3</v>
      </c>
      <c r="AE434" s="26">
        <f>IFERROR(__xludf.DUMMYFUNCTION("""COMPUTED_VALUE"""),336.33)</f>
        <v>336.33</v>
      </c>
      <c r="AF434" s="26">
        <f>IFERROR(__xludf.DUMMYFUNCTION("""COMPUTED_VALUE"""),346.37)</f>
        <v>346.37</v>
      </c>
      <c r="AG434" s="26">
        <f>IFERROR(__xludf.DUMMYFUNCTION("""COMPUTED_VALUE"""),84.27)</f>
        <v>84.27</v>
      </c>
      <c r="AH434" s="26">
        <f>IFERROR(__xludf.DUMMYFUNCTION("""COMPUTED_VALUE"""),142.89)</f>
        <v>142.89</v>
      </c>
      <c r="AI434" s="26">
        <f>IFERROR(__xludf.DUMMYFUNCTION("""COMPUTED_VALUE"""),946.33)</f>
        <v>946.33</v>
      </c>
      <c r="AJ434" s="26">
        <f>IFERROR(__xludf.DUMMYFUNCTION("""COMPUTED_VALUE"""),378.12)</f>
        <v>378.12</v>
      </c>
      <c r="AK434" s="26">
        <f>IFERROR(__xludf.DUMMYFUNCTION("""COMPUTED_VALUE"""),172.37)</f>
        <v>172.37</v>
      </c>
      <c r="AL434" s="26">
        <f>IFERROR(__xludf.DUMMYFUNCTION("""COMPUTED_VALUE"""),173.18)</f>
        <v>173.18</v>
      </c>
      <c r="AM434" s="26">
        <f>IFERROR(__xludf.DUMMYFUNCTION("""COMPUTED_VALUE"""),496.73)</f>
        <v>496.73</v>
      </c>
      <c r="AN434" s="26">
        <f>IFERROR(__xludf.DUMMYFUNCTION("""COMPUTED_VALUE"""),308.14)</f>
        <v>308.14</v>
      </c>
      <c r="AO434" s="26">
        <f>IFERROR(__xludf.DUMMYFUNCTION("""COMPUTED_VALUE"""),636.0)</f>
        <v>636</v>
      </c>
      <c r="AP434" s="26">
        <f>IFERROR(__xludf.DUMMYFUNCTION("""COMPUTED_VALUE"""),179.08)</f>
        <v>179.08</v>
      </c>
      <c r="AQ434" s="26">
        <f>IFERROR(__xludf.DUMMYFUNCTION("""COMPUTED_VALUE"""),38.38)</f>
        <v>38.38</v>
      </c>
      <c r="AR434" s="26">
        <f>IFERROR(__xludf.DUMMYFUNCTION("""COMPUTED_VALUE"""),102.71)</f>
        <v>102.71</v>
      </c>
      <c r="AS434" s="26">
        <f>IFERROR(__xludf.DUMMYFUNCTION("""COMPUTED_VALUE"""),79.83)</f>
        <v>79.83</v>
      </c>
      <c r="AT434" s="26">
        <f>IFERROR(__xludf.DUMMYFUNCTION("""COMPUTED_VALUE"""),423.37)</f>
        <v>423.37</v>
      </c>
      <c r="AU434" s="26">
        <f>IFERROR(__xludf.DUMMYFUNCTION("""COMPUTED_VALUE"""),86.33)</f>
        <v>86.33</v>
      </c>
      <c r="AV434" s="26">
        <f>IFERROR(__xludf.DUMMYFUNCTION("""COMPUTED_VALUE"""),185.61)</f>
        <v>185.61</v>
      </c>
      <c r="AW434" s="26">
        <f>IFERROR(__xludf.DUMMYFUNCTION("""COMPUTED_VALUE"""),86.15)</f>
        <v>86.15</v>
      </c>
      <c r="AX434" s="26">
        <f>IFERROR(__xludf.DUMMYFUNCTION("""COMPUTED_VALUE"""),45.94)</f>
        <v>45.94</v>
      </c>
      <c r="AY434" s="26">
        <f>IFERROR(__xludf.DUMMYFUNCTION("""COMPUTED_VALUE"""),147.76)</f>
        <v>147.76</v>
      </c>
      <c r="AZ434" s="26">
        <f>IFERROR(__xludf.DUMMYFUNCTION("""COMPUTED_VALUE"""),52.33)</f>
        <v>52.33</v>
      </c>
      <c r="BA434" s="26">
        <f>IFERROR(__xludf.DUMMYFUNCTION("""COMPUTED_VALUE"""),26.66)</f>
        <v>26.66</v>
      </c>
      <c r="BB434" s="26">
        <f>IFERROR(__xludf.DUMMYFUNCTION("""COMPUTED_VALUE"""),201.09)</f>
        <v>201.09</v>
      </c>
      <c r="BC434" s="26">
        <f>IFERROR(__xludf.DUMMYFUNCTION("""COMPUTED_VALUE"""),194.99)</f>
        <v>194.99</v>
      </c>
      <c r="BD434" s="26">
        <f>IFERROR(__xludf.DUMMYFUNCTION("""COMPUTED_VALUE"""),581.77)</f>
        <v>581.77</v>
      </c>
      <c r="BE434" s="26">
        <f>IFERROR(__xludf.DUMMYFUNCTION("""COMPUTED_VALUE"""),231.58)</f>
        <v>231.58</v>
      </c>
      <c r="BF434" s="26">
        <f>IFERROR(__xludf.DUMMYFUNCTION("""COMPUTED_VALUE"""),133.99)</f>
        <v>133.99</v>
      </c>
      <c r="BG434" s="26">
        <f>IFERROR(__xludf.DUMMYFUNCTION("""COMPUTED_VALUE"""),6.17)</f>
        <v>6.17</v>
      </c>
      <c r="BH434" s="26">
        <f>IFERROR(__xludf.DUMMYFUNCTION("""COMPUTED_VALUE"""),235.23)</f>
        <v>235.23</v>
      </c>
      <c r="BI434" s="26">
        <f>IFERROR(__xludf.DUMMYFUNCTION("""COMPUTED_VALUE"""),285.59)</f>
        <v>285.59</v>
      </c>
      <c r="BJ434" s="26">
        <f>IFERROR(__xludf.DUMMYFUNCTION("""COMPUTED_VALUE"""),49.64)</f>
        <v>49.64</v>
      </c>
      <c r="BK434" s="26">
        <f>IFERROR(__xludf.DUMMYFUNCTION("""COMPUTED_VALUE"""),13.68)</f>
        <v>13.68</v>
      </c>
      <c r="BL434" s="26">
        <f>IFERROR(__xludf.DUMMYFUNCTION("""COMPUTED_VALUE"""),223.16)</f>
        <v>223.16</v>
      </c>
      <c r="BM434" s="26">
        <f>IFERROR(__xludf.DUMMYFUNCTION("""COMPUTED_VALUE"""),104.45)</f>
        <v>104.45</v>
      </c>
    </row>
    <row r="435">
      <c r="A435" s="25"/>
      <c r="B435" s="17">
        <f>IFERROR(__xludf.DUMMYFUNCTION("""COMPUTED_VALUE"""),6882.72)</f>
        <v>6882.72</v>
      </c>
      <c r="C435" s="17">
        <f>IFERROR(__xludf.DUMMYFUNCTION("""COMPUTED_VALUE"""),23255.19)</f>
        <v>23255.19</v>
      </c>
      <c r="D435" s="17">
        <f>IFERROR(__xludf.DUMMYFUNCTION("""COMPUTED_VALUE"""),49240.99)</f>
        <v>49240.99</v>
      </c>
      <c r="E435" s="17">
        <f>IFERROR(__xludf.DUMMYFUNCTION("""COMPUTED_VALUE"""),2648.5)</f>
        <v>2648.5</v>
      </c>
      <c r="F435" s="26">
        <f>IFERROR(__xludf.DUMMYFUNCTION("""COMPUTED_VALUE"""),271.93)</f>
        <v>271.93</v>
      </c>
      <c r="G435" s="26">
        <f>IFERROR(__xludf.DUMMYFUNCTION("""COMPUTED_VALUE"""),238.62)</f>
        <v>238.62</v>
      </c>
      <c r="H435" s="26">
        <f>IFERROR(__xludf.DUMMYFUNCTION("""COMPUTED_VALUE"""),125.89)</f>
        <v>125.89</v>
      </c>
      <c r="I435" s="26">
        <f>IFERROR(__xludf.DUMMYFUNCTION("""COMPUTED_VALUE"""),269.48)</f>
        <v>269.48</v>
      </c>
      <c r="J435" s="26">
        <f>IFERROR(__xludf.DUMMYFUNCTION("""COMPUTED_VALUE"""),318.67)</f>
        <v>318.67</v>
      </c>
      <c r="K435" s="26">
        <f>IFERROR(__xludf.DUMMYFUNCTION("""COMPUTED_VALUE"""),119.32)</f>
        <v>119.32</v>
      </c>
      <c r="L435" s="26">
        <f>IFERROR(__xludf.DUMMYFUNCTION("""COMPUTED_VALUE"""),27.52)</f>
        <v>27.52</v>
      </c>
      <c r="M435" s="26">
        <f>IFERROR(__xludf.DUMMYFUNCTION("""COMPUTED_VALUE"""),493.74)</f>
        <v>493.74</v>
      </c>
      <c r="N435" s="26">
        <f>IFERROR(__xludf.DUMMYFUNCTION("""COMPUTED_VALUE"""),72.74)</f>
        <v>72.74</v>
      </c>
      <c r="O435" s="26">
        <f>IFERROR(__xludf.DUMMYFUNCTION("""COMPUTED_VALUE"""),176.76)</f>
        <v>176.76</v>
      </c>
      <c r="P435" s="26">
        <f>IFERROR(__xludf.DUMMYFUNCTION("""COMPUTED_VALUE"""),61.2)</f>
        <v>61.2</v>
      </c>
      <c r="Q435" s="26">
        <f>IFERROR(__xludf.DUMMYFUNCTION("""COMPUTED_VALUE"""),702.89)</f>
        <v>702.89</v>
      </c>
      <c r="R435" s="26">
        <f>IFERROR(__xludf.DUMMYFUNCTION("""COMPUTED_VALUE"""),126.15)</f>
        <v>126.15</v>
      </c>
      <c r="S435" s="26">
        <f>IFERROR(__xludf.DUMMYFUNCTION("""COMPUTED_VALUE"""),174.07)</f>
        <v>174.07</v>
      </c>
      <c r="T435" s="26">
        <f>IFERROR(__xludf.DUMMYFUNCTION("""COMPUTED_VALUE"""),178.04)</f>
        <v>178.04</v>
      </c>
      <c r="U435" s="26">
        <f>IFERROR(__xludf.DUMMYFUNCTION("""COMPUTED_VALUE"""),275.39)</f>
        <v>275.39</v>
      </c>
      <c r="V435" s="26">
        <f>IFERROR(__xludf.DUMMYFUNCTION("""COMPUTED_VALUE"""),65.97)</f>
        <v>65.97</v>
      </c>
      <c r="W435" s="26">
        <f>IFERROR(__xludf.DUMMYFUNCTION("""COMPUTED_VALUE"""),76.89)</f>
        <v>76.89</v>
      </c>
      <c r="X435" s="26">
        <f>IFERROR(__xludf.DUMMYFUNCTION("""COMPUTED_VALUE"""),107.45)</f>
        <v>107.45</v>
      </c>
      <c r="Y435" s="26">
        <f>IFERROR(__xludf.DUMMYFUNCTION("""COMPUTED_VALUE"""),164.45)</f>
        <v>164.45</v>
      </c>
      <c r="Z435" s="26">
        <f>IFERROR(__xludf.DUMMYFUNCTION("""COMPUTED_VALUE"""),119.69)</f>
        <v>119.69</v>
      </c>
      <c r="AA435" s="26">
        <f>IFERROR(__xludf.DUMMYFUNCTION("""COMPUTED_VALUE"""),401.11)</f>
        <v>401.11</v>
      </c>
      <c r="AB435" s="26">
        <f>IFERROR(__xludf.DUMMYFUNCTION("""COMPUTED_VALUE"""),92.38)</f>
        <v>92.38</v>
      </c>
      <c r="AC435" s="26">
        <f>IFERROR(__xludf.DUMMYFUNCTION("""COMPUTED_VALUE"""),143.73)</f>
        <v>143.73</v>
      </c>
      <c r="AD435" s="26">
        <f>IFERROR(__xludf.DUMMYFUNCTION("""COMPUTED_VALUE"""),353.43)</f>
        <v>353.43</v>
      </c>
      <c r="AE435" s="26">
        <f>IFERROR(__xludf.DUMMYFUNCTION("""COMPUTED_VALUE"""),330.32)</f>
        <v>330.32</v>
      </c>
      <c r="AF435" s="26">
        <f>IFERROR(__xludf.DUMMYFUNCTION("""COMPUTED_VALUE"""),355.31)</f>
        <v>355.31</v>
      </c>
      <c r="AG435" s="26">
        <f>IFERROR(__xludf.DUMMYFUNCTION("""COMPUTED_VALUE"""),85.71)</f>
        <v>85.71</v>
      </c>
      <c r="AH435" s="26">
        <f>IFERROR(__xludf.DUMMYFUNCTION("""COMPUTED_VALUE"""),143.28)</f>
        <v>143.28</v>
      </c>
      <c r="AI435" s="26">
        <f>IFERROR(__xludf.DUMMYFUNCTION("""COMPUTED_VALUE"""),938.99)</f>
        <v>938.99</v>
      </c>
      <c r="AJ435" s="26">
        <f>IFERROR(__xludf.DUMMYFUNCTION("""COMPUTED_VALUE"""),381.1)</f>
        <v>381.1</v>
      </c>
      <c r="AK435" s="26">
        <f>IFERROR(__xludf.DUMMYFUNCTION("""COMPUTED_VALUE"""),165.62)</f>
        <v>165.62</v>
      </c>
      <c r="AL435" s="26">
        <f>IFERROR(__xludf.DUMMYFUNCTION("""COMPUTED_VALUE"""),163.07)</f>
        <v>163.07</v>
      </c>
      <c r="AM435" s="26">
        <f>IFERROR(__xludf.DUMMYFUNCTION("""COMPUTED_VALUE"""),478.88)</f>
        <v>478.88</v>
      </c>
      <c r="AN435" s="26">
        <f>IFERROR(__xludf.DUMMYFUNCTION("""COMPUTED_VALUE"""),314.85)</f>
        <v>314.85</v>
      </c>
      <c r="AO435" s="26">
        <f>IFERROR(__xludf.DUMMYFUNCTION("""COMPUTED_VALUE"""),628.26)</f>
        <v>628.26</v>
      </c>
      <c r="AP435" s="26">
        <f>IFERROR(__xludf.DUMMYFUNCTION("""COMPUTED_VALUE"""),171.57)</f>
        <v>171.57</v>
      </c>
      <c r="AQ435" s="26">
        <f>IFERROR(__xludf.DUMMYFUNCTION("""COMPUTED_VALUE"""),38.06)</f>
        <v>38.06</v>
      </c>
      <c r="AR435" s="26">
        <f>IFERROR(__xludf.DUMMYFUNCTION("""COMPUTED_VALUE"""),103.18)</f>
        <v>103.18</v>
      </c>
      <c r="AS435" s="26">
        <f>IFERROR(__xludf.DUMMYFUNCTION("""COMPUTED_VALUE"""),76.9)</f>
        <v>76.9</v>
      </c>
      <c r="AT435" s="26">
        <f>IFERROR(__xludf.DUMMYFUNCTION("""COMPUTED_VALUE"""),411.21)</f>
        <v>411.21</v>
      </c>
      <c r="AU435" s="26">
        <f>IFERROR(__xludf.DUMMYFUNCTION("""COMPUTED_VALUE"""),88.82)</f>
        <v>88.82</v>
      </c>
      <c r="AV435" s="26">
        <f>IFERROR(__xludf.DUMMYFUNCTION("""COMPUTED_VALUE"""),180.34)</f>
        <v>180.34</v>
      </c>
      <c r="AW435" s="26">
        <f>IFERROR(__xludf.DUMMYFUNCTION("""COMPUTED_VALUE"""),87.16)</f>
        <v>87.16</v>
      </c>
      <c r="AX435" s="26">
        <f>IFERROR(__xludf.DUMMYFUNCTION("""COMPUTED_VALUE"""),44.13)</f>
        <v>44.13</v>
      </c>
      <c r="AY435" s="26">
        <f>IFERROR(__xludf.DUMMYFUNCTION("""COMPUTED_VALUE"""),157.88)</f>
        <v>157.88</v>
      </c>
      <c r="AZ435" s="26">
        <f>IFERROR(__xludf.DUMMYFUNCTION("""COMPUTED_VALUE"""),41.7)</f>
        <v>41.7</v>
      </c>
      <c r="BA435" s="26">
        <f>IFERROR(__xludf.DUMMYFUNCTION("""COMPUTED_VALUE"""),25.77)</f>
        <v>25.77</v>
      </c>
      <c r="BB435" s="26">
        <f>IFERROR(__xludf.DUMMYFUNCTION("""COMPUTED_VALUE"""),203.5)</f>
        <v>203.5</v>
      </c>
      <c r="BC435" s="26">
        <f>IFERROR(__xludf.DUMMYFUNCTION("""COMPUTED_VALUE"""),197.68)</f>
        <v>197.68</v>
      </c>
      <c r="BD435" s="26">
        <f>IFERROR(__xludf.DUMMYFUNCTION("""COMPUTED_VALUE"""),570.09)</f>
        <v>570.09</v>
      </c>
      <c r="BE435" s="26">
        <f>IFERROR(__xludf.DUMMYFUNCTION("""COMPUTED_VALUE"""),231.42)</f>
        <v>231.42</v>
      </c>
      <c r="BF435" s="26">
        <f>IFERROR(__xludf.DUMMYFUNCTION("""COMPUTED_VALUE"""),135.72)</f>
        <v>135.72</v>
      </c>
      <c r="BG435" s="26">
        <f>IFERROR(__xludf.DUMMYFUNCTION("""COMPUTED_VALUE"""),6.24)</f>
        <v>6.24</v>
      </c>
      <c r="BH435" s="26">
        <f>IFERROR(__xludf.DUMMYFUNCTION("""COMPUTED_VALUE"""),241.49)</f>
        <v>241.49</v>
      </c>
      <c r="BI435" s="26">
        <f>IFERROR(__xludf.DUMMYFUNCTION("""COMPUTED_VALUE"""),284.18)</f>
        <v>284.18</v>
      </c>
      <c r="BJ435" s="26">
        <f>IFERROR(__xludf.DUMMYFUNCTION("""COMPUTED_VALUE"""),49.67)</f>
        <v>49.67</v>
      </c>
      <c r="BK435" s="26">
        <f>IFERROR(__xludf.DUMMYFUNCTION("""COMPUTED_VALUE"""),13.68)</f>
        <v>13.68</v>
      </c>
      <c r="BL435" s="26">
        <f>IFERROR(__xludf.DUMMYFUNCTION("""COMPUTED_VALUE"""),225.09)</f>
        <v>225.09</v>
      </c>
      <c r="BM435" s="26">
        <f>IFERROR(__xludf.DUMMYFUNCTION("""COMPUTED_VALUE"""),104.22)</f>
        <v>104.22</v>
      </c>
    </row>
    <row r="436">
      <c r="A436" s="25"/>
      <c r="B436" s="17">
        <f>IFERROR(__xludf.DUMMYFUNCTION("""COMPUTED_VALUE"""),6798.4)</f>
        <v>6798.4</v>
      </c>
      <c r="C436" s="17">
        <f>IFERROR(__xludf.DUMMYFUNCTION("""COMPUTED_VALUE"""),22904.58)</f>
        <v>22904.58</v>
      </c>
      <c r="D436" s="17">
        <f>IFERROR(__xludf.DUMMYFUNCTION("""COMPUTED_VALUE"""),49501.3)</f>
        <v>49501.3</v>
      </c>
      <c r="E436" s="17">
        <f>IFERROR(__xludf.DUMMYFUNCTION("""COMPUTED_VALUE"""),2624.55)</f>
        <v>2624.55</v>
      </c>
      <c r="F436" s="26">
        <f>IFERROR(__xludf.DUMMYFUNCTION("""COMPUTED_VALUE"""),279.71)</f>
        <v>279.71</v>
      </c>
      <c r="G436" s="26">
        <f>IFERROR(__xludf.DUMMYFUNCTION("""COMPUTED_VALUE"""),232.99)</f>
        <v>232.99</v>
      </c>
      <c r="H436" s="26">
        <f>IFERROR(__xludf.DUMMYFUNCTION("""COMPUTED_VALUE"""),124.3)</f>
        <v>124.3</v>
      </c>
      <c r="I436" s="26">
        <f>IFERROR(__xludf.DUMMYFUNCTION("""COMPUTED_VALUE"""),276.49)</f>
        <v>276.49</v>
      </c>
      <c r="J436" s="26">
        <f>IFERROR(__xludf.DUMMYFUNCTION("""COMPUTED_VALUE"""),297.6)</f>
        <v>297.6</v>
      </c>
      <c r="K436" s="26">
        <f>IFERROR(__xludf.DUMMYFUNCTION("""COMPUTED_VALUE"""),121.32)</f>
        <v>121.32</v>
      </c>
      <c r="L436" s="26">
        <f>IFERROR(__xludf.DUMMYFUNCTION("""COMPUTED_VALUE"""),26.52)</f>
        <v>26.52</v>
      </c>
      <c r="M436" s="26">
        <f>IFERROR(__xludf.DUMMYFUNCTION("""COMPUTED_VALUE"""),503.83)</f>
        <v>503.83</v>
      </c>
      <c r="N436" s="26">
        <f>IFERROR(__xludf.DUMMYFUNCTION("""COMPUTED_VALUE"""),72.22)</f>
        <v>72.22</v>
      </c>
      <c r="O436" s="26">
        <f>IFERROR(__xludf.DUMMYFUNCTION("""COMPUTED_VALUE"""),185.45)</f>
        <v>185.45</v>
      </c>
      <c r="P436" s="26">
        <f>IFERROR(__xludf.DUMMYFUNCTION("""COMPUTED_VALUE"""),63.55)</f>
        <v>63.55</v>
      </c>
      <c r="Q436" s="26">
        <f>IFERROR(__xludf.DUMMYFUNCTION("""COMPUTED_VALUE"""),691.82)</f>
        <v>691.82</v>
      </c>
      <c r="R436" s="26">
        <f>IFERROR(__xludf.DUMMYFUNCTION("""COMPUTED_VALUE"""),114.82)</f>
        <v>114.82</v>
      </c>
      <c r="S436" s="26">
        <f>IFERROR(__xludf.DUMMYFUNCTION("""COMPUTED_VALUE"""),176.49)</f>
        <v>176.49</v>
      </c>
      <c r="T436" s="26">
        <f>IFERROR(__xludf.DUMMYFUNCTION("""COMPUTED_VALUE"""),181.23)</f>
        <v>181.23</v>
      </c>
      <c r="U436" s="26">
        <f>IFERROR(__xludf.DUMMYFUNCTION("""COMPUTED_VALUE"""),271.71)</f>
        <v>271.71</v>
      </c>
      <c r="V436" s="26">
        <f>IFERROR(__xludf.DUMMYFUNCTION("""COMPUTED_VALUE"""),66.6)</f>
        <v>66.6</v>
      </c>
      <c r="W436" s="26">
        <f>IFERROR(__xludf.DUMMYFUNCTION("""COMPUTED_VALUE"""),77.35)</f>
        <v>77.35</v>
      </c>
      <c r="X436" s="26">
        <f>IFERROR(__xludf.DUMMYFUNCTION("""COMPUTED_VALUE"""),108.38)</f>
        <v>108.38</v>
      </c>
      <c r="Y436" s="26">
        <f>IFERROR(__xludf.DUMMYFUNCTION("""COMPUTED_VALUE"""),166.79)</f>
        <v>166.79</v>
      </c>
      <c r="Z436" s="26">
        <f>IFERROR(__xludf.DUMMYFUNCTION("""COMPUTED_VALUE"""),121.83)</f>
        <v>121.83</v>
      </c>
      <c r="AA436" s="26">
        <f>IFERROR(__xludf.DUMMYFUNCTION("""COMPUTED_VALUE"""),401.73)</f>
        <v>401.73</v>
      </c>
      <c r="AB436" s="26">
        <f>IFERROR(__xludf.DUMMYFUNCTION("""COMPUTED_VALUE"""),85.84)</f>
        <v>85.84</v>
      </c>
      <c r="AC436" s="26">
        <f>IFERROR(__xludf.DUMMYFUNCTION("""COMPUTED_VALUE"""),147.59)</f>
        <v>147.59</v>
      </c>
      <c r="AD436" s="26">
        <f>IFERROR(__xludf.DUMMYFUNCTION("""COMPUTED_VALUE"""),362.54)</f>
        <v>362.54</v>
      </c>
      <c r="AE436" s="26">
        <f>IFERROR(__xludf.DUMMYFUNCTION("""COMPUTED_VALUE"""),339.33)</f>
        <v>339.33</v>
      </c>
      <c r="AF436" s="26">
        <f>IFERROR(__xludf.DUMMYFUNCTION("""COMPUTED_VALUE"""),353.37)</f>
        <v>353.37</v>
      </c>
      <c r="AG436" s="26">
        <f>IFERROR(__xludf.DUMMYFUNCTION("""COMPUTED_VALUE"""),86.29)</f>
        <v>86.29</v>
      </c>
      <c r="AH436" s="26">
        <f>IFERROR(__xludf.DUMMYFUNCTION("""COMPUTED_VALUE"""),146.23)</f>
        <v>146.23</v>
      </c>
      <c r="AI436" s="26">
        <f>IFERROR(__xludf.DUMMYFUNCTION("""COMPUTED_VALUE"""),913.3)</f>
        <v>913.3</v>
      </c>
      <c r="AJ436" s="26">
        <f>IFERROR(__xludf.DUMMYFUNCTION("""COMPUTED_VALUE"""),387.2)</f>
        <v>387.2</v>
      </c>
      <c r="AK436" s="26">
        <f>IFERROR(__xludf.DUMMYFUNCTION("""COMPUTED_VALUE"""),165.47)</f>
        <v>165.47</v>
      </c>
      <c r="AL436" s="26">
        <f>IFERROR(__xludf.DUMMYFUNCTION("""COMPUTED_VALUE"""),164.85)</f>
        <v>164.85</v>
      </c>
      <c r="AM436" s="26">
        <f>IFERROR(__xludf.DUMMYFUNCTION("""COMPUTED_VALUE"""),478.49)</f>
        <v>478.49</v>
      </c>
      <c r="AN436" s="26">
        <f>IFERROR(__xludf.DUMMYFUNCTION("""COMPUTED_VALUE"""),317.27)</f>
        <v>317.27</v>
      </c>
      <c r="AO436" s="26">
        <f>IFERROR(__xludf.DUMMYFUNCTION("""COMPUTED_VALUE"""),602.76)</f>
        <v>602.76</v>
      </c>
      <c r="AP436" s="26">
        <f>IFERROR(__xludf.DUMMYFUNCTION("""COMPUTED_VALUE"""),178.0)</f>
        <v>178</v>
      </c>
      <c r="AQ436" s="26">
        <f>IFERROR(__xludf.DUMMYFUNCTION("""COMPUTED_VALUE"""),37.48)</f>
        <v>37.48</v>
      </c>
      <c r="AR436" s="26">
        <f>IFERROR(__xludf.DUMMYFUNCTION("""COMPUTED_VALUE"""),101.84)</f>
        <v>101.84</v>
      </c>
      <c r="AS436" s="26">
        <f>IFERROR(__xludf.DUMMYFUNCTION("""COMPUTED_VALUE"""),78.01)</f>
        <v>78.01</v>
      </c>
      <c r="AT436" s="26">
        <f>IFERROR(__xludf.DUMMYFUNCTION("""COMPUTED_VALUE"""),414.19)</f>
        <v>414.19</v>
      </c>
      <c r="AU436" s="26">
        <f>IFERROR(__xludf.DUMMYFUNCTION("""COMPUTED_VALUE"""),89.97)</f>
        <v>89.97</v>
      </c>
      <c r="AV436" s="26">
        <f>IFERROR(__xludf.DUMMYFUNCTION("""COMPUTED_VALUE"""),174.19)</f>
        <v>174.19</v>
      </c>
      <c r="AW436" s="26">
        <f>IFERROR(__xludf.DUMMYFUNCTION("""COMPUTED_VALUE"""),90.37)</f>
        <v>90.37</v>
      </c>
      <c r="AX436" s="26">
        <f>IFERROR(__xludf.DUMMYFUNCTION("""COMPUTED_VALUE"""),43.87)</f>
        <v>43.87</v>
      </c>
      <c r="AY436" s="26">
        <f>IFERROR(__xludf.DUMMYFUNCTION("""COMPUTED_VALUE"""),139.54)</f>
        <v>139.54</v>
      </c>
      <c r="AZ436" s="26">
        <f>IFERROR(__xludf.DUMMYFUNCTION("""COMPUTED_VALUE"""),41.03)</f>
        <v>41.03</v>
      </c>
      <c r="BA436" s="26">
        <f>IFERROR(__xludf.DUMMYFUNCTION("""COMPUTED_VALUE"""),26.78)</f>
        <v>26.78</v>
      </c>
      <c r="BB436" s="26">
        <f>IFERROR(__xludf.DUMMYFUNCTION("""COMPUTED_VALUE"""),196.74)</f>
        <v>196.74</v>
      </c>
      <c r="BC436" s="26">
        <f>IFERROR(__xludf.DUMMYFUNCTION("""COMPUTED_VALUE"""),201.79)</f>
        <v>201.79</v>
      </c>
      <c r="BD436" s="26">
        <f>IFERROR(__xludf.DUMMYFUNCTION("""COMPUTED_VALUE"""),565.22)</f>
        <v>565.22</v>
      </c>
      <c r="BE436" s="26">
        <f>IFERROR(__xludf.DUMMYFUNCTION("""COMPUTED_VALUE"""),241.39)</f>
        <v>241.39</v>
      </c>
      <c r="BF436" s="26">
        <f>IFERROR(__xludf.DUMMYFUNCTION("""COMPUTED_VALUE"""),130.37)</f>
        <v>130.37</v>
      </c>
      <c r="BG436" s="26">
        <f>IFERROR(__xludf.DUMMYFUNCTION("""COMPUTED_VALUE"""),6.61)</f>
        <v>6.61</v>
      </c>
      <c r="BH436" s="26">
        <f>IFERROR(__xludf.DUMMYFUNCTION("""COMPUTED_VALUE"""),249.76)</f>
        <v>249.76</v>
      </c>
      <c r="BI436" s="26">
        <f>IFERROR(__xludf.DUMMYFUNCTION("""COMPUTED_VALUE"""),275.92)</f>
        <v>275.92</v>
      </c>
      <c r="BJ436" s="26">
        <f>IFERROR(__xludf.DUMMYFUNCTION("""COMPUTED_VALUE"""),49.63)</f>
        <v>49.63</v>
      </c>
      <c r="BK436" s="26">
        <f>IFERROR(__xludf.DUMMYFUNCTION("""COMPUTED_VALUE"""),14.36)</f>
        <v>14.36</v>
      </c>
      <c r="BL436" s="26">
        <f>IFERROR(__xludf.DUMMYFUNCTION("""COMPUTED_VALUE"""),226.43)</f>
        <v>226.43</v>
      </c>
      <c r="BM436" s="26">
        <f>IFERROR(__xludf.DUMMYFUNCTION("""COMPUTED_VALUE"""),107.05)</f>
        <v>107.05</v>
      </c>
    </row>
    <row r="437">
      <c r="A437" s="25"/>
      <c r="B437" s="17">
        <f>IFERROR(__xludf.DUMMYFUNCTION("""COMPUTED_VALUE"""),6932.3)</f>
        <v>6932.3</v>
      </c>
      <c r="C437" s="17">
        <f>IFERROR(__xludf.DUMMYFUNCTION("""COMPUTED_VALUE"""),22540.59)</f>
        <v>22540.59</v>
      </c>
      <c r="D437" s="17">
        <f>IFERROR(__xludf.DUMMYFUNCTION("""COMPUTED_VALUE"""),48908.72)</f>
        <v>48908.72</v>
      </c>
      <c r="E437" s="17">
        <f>IFERROR(__xludf.DUMMYFUNCTION("""COMPUTED_VALUE"""),2577.65)</f>
        <v>2577.65</v>
      </c>
      <c r="F437" s="26">
        <f>IFERROR(__xludf.DUMMYFUNCTION("""COMPUTED_VALUE"""),269.39)</f>
        <v>269.39</v>
      </c>
      <c r="G437" s="26">
        <f>IFERROR(__xludf.DUMMYFUNCTION("""COMPUTED_VALUE"""),222.69)</f>
        <v>222.69</v>
      </c>
      <c r="H437" s="26">
        <f>IFERROR(__xludf.DUMMYFUNCTION("""COMPUTED_VALUE"""),125.68)</f>
        <v>125.68</v>
      </c>
      <c r="I437" s="26">
        <f>IFERROR(__xludf.DUMMYFUNCTION("""COMPUTED_VALUE"""),275.91)</f>
        <v>275.91</v>
      </c>
      <c r="J437" s="26">
        <f>IFERROR(__xludf.DUMMYFUNCTION("""COMPUTED_VALUE"""),303.99)</f>
        <v>303.99</v>
      </c>
      <c r="K437" s="26">
        <f>IFERROR(__xludf.DUMMYFUNCTION("""COMPUTED_VALUE"""),120.51)</f>
        <v>120.51</v>
      </c>
      <c r="L437" s="26">
        <f>IFERROR(__xludf.DUMMYFUNCTION("""COMPUTED_VALUE"""),25.48)</f>
        <v>25.48</v>
      </c>
      <c r="M437" s="26">
        <f>IFERROR(__xludf.DUMMYFUNCTION("""COMPUTED_VALUE"""),503.89)</f>
        <v>503.89</v>
      </c>
      <c r="N437" s="26">
        <f>IFERROR(__xludf.DUMMYFUNCTION("""COMPUTED_VALUE"""),69.1)</f>
        <v>69.1</v>
      </c>
      <c r="O437" s="26">
        <f>IFERROR(__xludf.DUMMYFUNCTION("""COMPUTED_VALUE"""),185.36)</f>
        <v>185.36</v>
      </c>
      <c r="P437" s="26">
        <f>IFERROR(__xludf.DUMMYFUNCTION("""COMPUTED_VALUE"""),63.1)</f>
        <v>63.1</v>
      </c>
      <c r="Q437" s="26">
        <f>IFERROR(__xludf.DUMMYFUNCTION("""COMPUTED_VALUE"""),678.31)</f>
        <v>678.31</v>
      </c>
      <c r="R437" s="26">
        <f>IFERROR(__xludf.DUMMYFUNCTION("""COMPUTED_VALUE"""),109.28)</f>
        <v>109.28</v>
      </c>
      <c r="S437" s="26">
        <f>IFERROR(__xludf.DUMMYFUNCTION("""COMPUTED_VALUE"""),176.25)</f>
        <v>176.25</v>
      </c>
      <c r="T437" s="26">
        <f>IFERROR(__xludf.DUMMYFUNCTION("""COMPUTED_VALUE"""),179.23)</f>
        <v>179.23</v>
      </c>
      <c r="U437" s="26">
        <f>IFERROR(__xludf.DUMMYFUNCTION("""COMPUTED_VALUE"""),284.53)</f>
        <v>284.53</v>
      </c>
      <c r="V437" s="26">
        <f>IFERROR(__xludf.DUMMYFUNCTION("""COMPUTED_VALUE"""),66.62)</f>
        <v>66.62</v>
      </c>
      <c r="W437" s="26">
        <f>IFERROR(__xludf.DUMMYFUNCTION("""COMPUTED_VALUE"""),78.51)</f>
        <v>78.51</v>
      </c>
      <c r="X437" s="26">
        <f>IFERROR(__xludf.DUMMYFUNCTION("""COMPUTED_VALUE"""),108.87)</f>
        <v>108.87</v>
      </c>
      <c r="Y437" s="26">
        <f>IFERROR(__xludf.DUMMYFUNCTION("""COMPUTED_VALUE"""),164.65)</f>
        <v>164.65</v>
      </c>
      <c r="Z437" s="26">
        <f>IFERROR(__xludf.DUMMYFUNCTION("""COMPUTED_VALUE"""),119.6)</f>
        <v>119.6</v>
      </c>
      <c r="AA437" s="26">
        <f>IFERROR(__xludf.DUMMYFUNCTION("""COMPUTED_VALUE"""),393.43)</f>
        <v>393.43</v>
      </c>
      <c r="AB437" s="26">
        <f>IFERROR(__xludf.DUMMYFUNCTION("""COMPUTED_VALUE"""),86.52)</f>
        <v>86.52</v>
      </c>
      <c r="AC437" s="26">
        <f>IFERROR(__xludf.DUMMYFUNCTION("""COMPUTED_VALUE"""),146.08)</f>
        <v>146.08</v>
      </c>
      <c r="AD437" s="26">
        <f>IFERROR(__xludf.DUMMYFUNCTION("""COMPUTED_VALUE"""),363.96)</f>
        <v>363.96</v>
      </c>
      <c r="AE437" s="26">
        <f>IFERROR(__xludf.DUMMYFUNCTION("""COMPUTED_VALUE"""),334.76)</f>
        <v>334.76</v>
      </c>
      <c r="AF437" s="26">
        <f>IFERROR(__xludf.DUMMYFUNCTION("""COMPUTED_VALUE"""),352.05)</f>
        <v>352.05</v>
      </c>
      <c r="AG437" s="26">
        <f>IFERROR(__xludf.DUMMYFUNCTION("""COMPUTED_VALUE"""),83.3)</f>
        <v>83.3</v>
      </c>
      <c r="AH437" s="26">
        <f>IFERROR(__xludf.DUMMYFUNCTION("""COMPUTED_VALUE"""),149.37)</f>
        <v>149.37</v>
      </c>
      <c r="AI437" s="26">
        <f>IFERROR(__xludf.DUMMYFUNCTION("""COMPUTED_VALUE"""),890.41)</f>
        <v>890.41</v>
      </c>
      <c r="AJ437" s="26">
        <f>IFERROR(__xludf.DUMMYFUNCTION("""COMPUTED_VALUE"""),382.37)</f>
        <v>382.37</v>
      </c>
      <c r="AK437" s="26">
        <f>IFERROR(__xludf.DUMMYFUNCTION("""COMPUTED_VALUE"""),172.15)</f>
        <v>172.15</v>
      </c>
      <c r="AL437" s="26">
        <f>IFERROR(__xludf.DUMMYFUNCTION("""COMPUTED_VALUE"""),168.29)</f>
        <v>168.29</v>
      </c>
      <c r="AM437" s="26">
        <f>IFERROR(__xludf.DUMMYFUNCTION("""COMPUTED_VALUE"""),476.32)</f>
        <v>476.32</v>
      </c>
      <c r="AN437" s="26">
        <f>IFERROR(__xludf.DUMMYFUNCTION("""COMPUTED_VALUE"""),310.16)</f>
        <v>310.16</v>
      </c>
      <c r="AO437" s="26">
        <f>IFERROR(__xludf.DUMMYFUNCTION("""COMPUTED_VALUE"""),609.18)</f>
        <v>609.18</v>
      </c>
      <c r="AP437" s="26">
        <f>IFERROR(__xludf.DUMMYFUNCTION("""COMPUTED_VALUE"""),170.09)</f>
        <v>170.09</v>
      </c>
      <c r="AQ437" s="26">
        <f>IFERROR(__xludf.DUMMYFUNCTION("""COMPUTED_VALUE"""),37.37)</f>
        <v>37.37</v>
      </c>
      <c r="AR437" s="26">
        <f>IFERROR(__xludf.DUMMYFUNCTION("""COMPUTED_VALUE"""),102.95)</f>
        <v>102.95</v>
      </c>
      <c r="AS437" s="26">
        <f>IFERROR(__xludf.DUMMYFUNCTION("""COMPUTED_VALUE"""),75.32)</f>
        <v>75.32</v>
      </c>
      <c r="AT437" s="26">
        <f>IFERROR(__xludf.DUMMYFUNCTION("""COMPUTED_VALUE"""),393.67)</f>
        <v>393.67</v>
      </c>
      <c r="AU437" s="26">
        <f>IFERROR(__xludf.DUMMYFUNCTION("""COMPUTED_VALUE"""),89.21)</f>
        <v>89.21</v>
      </c>
      <c r="AV437" s="26">
        <f>IFERROR(__xludf.DUMMYFUNCTION("""COMPUTED_VALUE"""),171.88)</f>
        <v>171.88</v>
      </c>
      <c r="AW437" s="26">
        <f>IFERROR(__xludf.DUMMYFUNCTION("""COMPUTED_VALUE"""),91.24)</f>
        <v>91.24</v>
      </c>
      <c r="AX437" s="26">
        <f>IFERROR(__xludf.DUMMYFUNCTION("""COMPUTED_VALUE"""),42.92)</f>
        <v>42.92</v>
      </c>
      <c r="AY437" s="26">
        <f>IFERROR(__xludf.DUMMYFUNCTION("""COMPUTED_VALUE"""),130.01)</f>
        <v>130.01</v>
      </c>
      <c r="AZ437" s="26">
        <f>IFERROR(__xludf.DUMMYFUNCTION("""COMPUTED_VALUE"""),39.9)</f>
        <v>39.9</v>
      </c>
      <c r="BA437" s="26">
        <f>IFERROR(__xludf.DUMMYFUNCTION("""COMPUTED_VALUE"""),26.49)</f>
        <v>26.49</v>
      </c>
      <c r="BB437" s="26">
        <f>IFERROR(__xludf.DUMMYFUNCTION("""COMPUTED_VALUE"""),195.97)</f>
        <v>195.97</v>
      </c>
      <c r="BC437" s="26">
        <f>IFERROR(__xludf.DUMMYFUNCTION("""COMPUTED_VALUE"""),201.86)</f>
        <v>201.86</v>
      </c>
      <c r="BD437" s="26">
        <f>IFERROR(__xludf.DUMMYFUNCTION("""COMPUTED_VALUE"""),542.36)</f>
        <v>542.36</v>
      </c>
      <c r="BE437" s="26">
        <f>IFERROR(__xludf.DUMMYFUNCTION("""COMPUTED_VALUE"""),237.19)</f>
        <v>237.19</v>
      </c>
      <c r="BF437" s="26">
        <f>IFERROR(__xludf.DUMMYFUNCTION("""COMPUTED_VALUE"""),129.6)</f>
        <v>129.6</v>
      </c>
      <c r="BG437" s="26">
        <f>IFERROR(__xludf.DUMMYFUNCTION("""COMPUTED_VALUE"""),6.28)</f>
        <v>6.28</v>
      </c>
      <c r="BH437" s="26">
        <f>IFERROR(__xludf.DUMMYFUNCTION("""COMPUTED_VALUE"""),251.45)</f>
        <v>251.45</v>
      </c>
      <c r="BI437" s="26">
        <f>IFERROR(__xludf.DUMMYFUNCTION("""COMPUTED_VALUE"""),268.55)</f>
        <v>268.55</v>
      </c>
      <c r="BJ437" s="26">
        <f>IFERROR(__xludf.DUMMYFUNCTION("""COMPUTED_VALUE"""),49.68)</f>
        <v>49.68</v>
      </c>
      <c r="BK437" s="26">
        <f>IFERROR(__xludf.DUMMYFUNCTION("""COMPUTED_VALUE"""),14.34)</f>
        <v>14.34</v>
      </c>
      <c r="BL437" s="26">
        <f>IFERROR(__xludf.DUMMYFUNCTION("""COMPUTED_VALUE"""),226.6)</f>
        <v>226.6</v>
      </c>
      <c r="BM437" s="26">
        <f>IFERROR(__xludf.DUMMYFUNCTION("""COMPUTED_VALUE"""),104.97)</f>
        <v>104.97</v>
      </c>
    </row>
    <row r="438">
      <c r="A438" s="25"/>
      <c r="B438" s="17">
        <f>IFERROR(__xludf.DUMMYFUNCTION("""COMPUTED_VALUE"""),6964.82)</f>
        <v>6964.82</v>
      </c>
      <c r="C438" s="17">
        <f>IFERROR(__xludf.DUMMYFUNCTION("""COMPUTED_VALUE"""),23031.21)</f>
        <v>23031.21</v>
      </c>
      <c r="D438" s="17">
        <f>IFERROR(__xludf.DUMMYFUNCTION("""COMPUTED_VALUE"""),50115.67)</f>
        <v>50115.67</v>
      </c>
      <c r="E438" s="17">
        <f>IFERROR(__xludf.DUMMYFUNCTION("""COMPUTED_VALUE"""),2670.34)</f>
        <v>2670.34</v>
      </c>
      <c r="F438" s="26">
        <f>IFERROR(__xludf.DUMMYFUNCTION("""COMPUTED_VALUE"""),268.38)</f>
        <v>268.38</v>
      </c>
      <c r="G438" s="26">
        <f>IFERROR(__xludf.DUMMYFUNCTION("""COMPUTED_VALUE"""),210.32)</f>
        <v>210.32</v>
      </c>
      <c r="H438" s="26">
        <f>IFERROR(__xludf.DUMMYFUNCTION("""COMPUTED_VALUE"""),124.33)</f>
        <v>124.33</v>
      </c>
      <c r="I438" s="26">
        <f>IFERROR(__xludf.DUMMYFUNCTION("""COMPUTED_VALUE"""),278.12)</f>
        <v>278.12</v>
      </c>
      <c r="J438" s="26">
        <f>IFERROR(__xludf.DUMMYFUNCTION("""COMPUTED_VALUE"""),322.51)</f>
        <v>322.51</v>
      </c>
      <c r="K438" s="26">
        <f>IFERROR(__xludf.DUMMYFUNCTION("""COMPUTED_VALUE"""),124.32)</f>
        <v>124.32</v>
      </c>
      <c r="L438" s="26">
        <f>IFERROR(__xludf.DUMMYFUNCTION("""COMPUTED_VALUE"""),26.41)</f>
        <v>26.41</v>
      </c>
      <c r="M438" s="26">
        <f>IFERROR(__xludf.DUMMYFUNCTION("""COMPUTED_VALUE"""),508.09)</f>
        <v>508.09</v>
      </c>
      <c r="N438" s="26">
        <f>IFERROR(__xludf.DUMMYFUNCTION("""COMPUTED_VALUE"""),69.64)</f>
        <v>69.64</v>
      </c>
      <c r="O438" s="26">
        <f>IFERROR(__xludf.DUMMYFUNCTION("""COMPUTED_VALUE"""),201.18)</f>
        <v>201.18</v>
      </c>
      <c r="P438" s="26">
        <f>IFERROR(__xludf.DUMMYFUNCTION("""COMPUTED_VALUE"""),63.92)</f>
        <v>63.92</v>
      </c>
      <c r="Q438" s="26">
        <f>IFERROR(__xludf.DUMMYFUNCTION("""COMPUTED_VALUE"""),726.2)</f>
        <v>726.2</v>
      </c>
      <c r="R438" s="26">
        <f>IFERROR(__xludf.DUMMYFUNCTION("""COMPUTED_VALUE"""),113.63)</f>
        <v>113.63</v>
      </c>
      <c r="S438" s="26">
        <f>IFERROR(__xludf.DUMMYFUNCTION("""COMPUTED_VALUE"""),180.91)</f>
        <v>180.91</v>
      </c>
      <c r="T438" s="26">
        <f>IFERROR(__xludf.DUMMYFUNCTION("""COMPUTED_VALUE"""),180.86)</f>
        <v>180.86</v>
      </c>
      <c r="U438" s="26">
        <f>IFERROR(__xludf.DUMMYFUNCTION("""COMPUTED_VALUE"""),292.05)</f>
        <v>292.05</v>
      </c>
      <c r="V438" s="26">
        <f>IFERROR(__xludf.DUMMYFUNCTION("""COMPUTED_VALUE"""),68.12)</f>
        <v>68.12</v>
      </c>
      <c r="W438" s="26">
        <f>IFERROR(__xludf.DUMMYFUNCTION("""COMPUTED_VALUE"""),79.03)</f>
        <v>79.03</v>
      </c>
      <c r="X438" s="26">
        <f>IFERROR(__xludf.DUMMYFUNCTION("""COMPUTED_VALUE"""),107.34)</f>
        <v>107.34</v>
      </c>
      <c r="Y438" s="26">
        <f>IFERROR(__xludf.DUMMYFUNCTION("""COMPUTED_VALUE"""),171.62)</f>
        <v>171.62</v>
      </c>
      <c r="Z438" s="26">
        <f>IFERROR(__xludf.DUMMYFUNCTION("""COMPUTED_VALUE"""),123.83)</f>
        <v>123.83</v>
      </c>
      <c r="AA438" s="26">
        <f>IFERROR(__xludf.DUMMYFUNCTION("""COMPUTED_VALUE"""),394.88)</f>
        <v>394.88</v>
      </c>
      <c r="AB438" s="26">
        <f>IFERROR(__xludf.DUMMYFUNCTION("""COMPUTED_VALUE"""),86.55)</f>
        <v>86.55</v>
      </c>
      <c r="AC438" s="26">
        <f>IFERROR(__xludf.DUMMYFUNCTION("""COMPUTED_VALUE"""),149.05)</f>
        <v>149.05</v>
      </c>
      <c r="AD438" s="26">
        <f>IFERROR(__xludf.DUMMYFUNCTION("""COMPUTED_VALUE"""),369.23)</f>
        <v>369.23</v>
      </c>
      <c r="AE438" s="26">
        <f>IFERROR(__xludf.DUMMYFUNCTION("""COMPUTED_VALUE"""),333.79)</f>
        <v>333.79</v>
      </c>
      <c r="AF438" s="26">
        <f>IFERROR(__xludf.DUMMYFUNCTION("""COMPUTED_VALUE"""),360.07)</f>
        <v>360.07</v>
      </c>
      <c r="AG438" s="26">
        <f>IFERROR(__xludf.DUMMYFUNCTION("""COMPUTED_VALUE"""),84.24)</f>
        <v>84.24</v>
      </c>
      <c r="AH438" s="26">
        <f>IFERROR(__xludf.DUMMYFUNCTION("""COMPUTED_VALUE"""),152.5)</f>
        <v>152.5</v>
      </c>
      <c r="AI438" s="26">
        <f>IFERROR(__xludf.DUMMYFUNCTION("""COMPUTED_VALUE"""),928.75)</f>
        <v>928.75</v>
      </c>
      <c r="AJ438" s="26">
        <f>IFERROR(__xludf.DUMMYFUNCTION("""COMPUTED_VALUE"""),385.15)</f>
        <v>385.15</v>
      </c>
      <c r="AK438" s="26">
        <f>IFERROR(__xludf.DUMMYFUNCTION("""COMPUTED_VALUE"""),169.67)</f>
        <v>169.67</v>
      </c>
      <c r="AL438" s="26">
        <f>IFERROR(__xludf.DUMMYFUNCTION("""COMPUTED_VALUE"""),169.0)</f>
        <v>169</v>
      </c>
      <c r="AM438" s="26">
        <f>IFERROR(__xludf.DUMMYFUNCTION("""COMPUTED_VALUE"""),488.15)</f>
        <v>488.15</v>
      </c>
      <c r="AN438" s="26">
        <f>IFERROR(__xludf.DUMMYFUNCTION("""COMPUTED_VALUE"""),322.4)</f>
        <v>322.4</v>
      </c>
      <c r="AO438" s="26">
        <f>IFERROR(__xludf.DUMMYFUNCTION("""COMPUTED_VALUE"""),623.58)</f>
        <v>623.58</v>
      </c>
      <c r="AP438" s="26">
        <f>IFERROR(__xludf.DUMMYFUNCTION("""COMPUTED_VALUE"""),172.85)</f>
        <v>172.85</v>
      </c>
      <c r="AQ438" s="26">
        <f>IFERROR(__xludf.DUMMYFUNCTION("""COMPUTED_VALUE"""),38.04)</f>
        <v>38.04</v>
      </c>
      <c r="AR438" s="26">
        <f>IFERROR(__xludf.DUMMYFUNCTION("""COMPUTED_VALUE"""),102.9)</f>
        <v>102.9</v>
      </c>
      <c r="AS438" s="26">
        <f>IFERROR(__xludf.DUMMYFUNCTION("""COMPUTED_VALUE"""),76.38)</f>
        <v>76.38</v>
      </c>
      <c r="AT438" s="26">
        <f>IFERROR(__xludf.DUMMYFUNCTION("""COMPUTED_VALUE"""),401.14)</f>
        <v>401.14</v>
      </c>
      <c r="AU438" s="26">
        <f>IFERROR(__xludf.DUMMYFUNCTION("""COMPUTED_VALUE"""),89.47)</f>
        <v>89.47</v>
      </c>
      <c r="AV438" s="26">
        <f>IFERROR(__xludf.DUMMYFUNCTION("""COMPUTED_VALUE"""),185.41)</f>
        <v>185.41</v>
      </c>
      <c r="AW438" s="26">
        <f>IFERROR(__xludf.DUMMYFUNCTION("""COMPUTED_VALUE"""),89.85)</f>
        <v>89.85</v>
      </c>
      <c r="AX438" s="26">
        <f>IFERROR(__xludf.DUMMYFUNCTION("""COMPUTED_VALUE"""),43.47)</f>
        <v>43.47</v>
      </c>
      <c r="AY438" s="26">
        <f>IFERROR(__xludf.DUMMYFUNCTION("""COMPUTED_VALUE"""),135.9)</f>
        <v>135.9</v>
      </c>
      <c r="AZ438" s="26">
        <f>IFERROR(__xludf.DUMMYFUNCTION("""COMPUTED_VALUE"""),40.42)</f>
        <v>40.42</v>
      </c>
      <c r="BA438" s="26">
        <f>IFERROR(__xludf.DUMMYFUNCTION("""COMPUTED_VALUE"""),27.22)</f>
        <v>27.22</v>
      </c>
      <c r="BB438" s="26">
        <f>IFERROR(__xludf.DUMMYFUNCTION("""COMPUTED_VALUE"""),198.66)</f>
        <v>198.66</v>
      </c>
      <c r="BC438" s="26">
        <f>IFERROR(__xludf.DUMMYFUNCTION("""COMPUTED_VALUE"""),197.39)</f>
        <v>197.39</v>
      </c>
      <c r="BD438" s="26">
        <f>IFERROR(__xludf.DUMMYFUNCTION("""COMPUTED_VALUE"""),542.83)</f>
        <v>542.83</v>
      </c>
      <c r="BE438" s="26">
        <f>IFERROR(__xludf.DUMMYFUNCTION("""COMPUTED_VALUE"""),244.22)</f>
        <v>244.22</v>
      </c>
      <c r="BF438" s="26">
        <f>IFERROR(__xludf.DUMMYFUNCTION("""COMPUTED_VALUE"""),135.06)</f>
        <v>135.06</v>
      </c>
      <c r="BG438" s="26">
        <f>IFERROR(__xludf.DUMMYFUNCTION("""COMPUTED_VALUE"""),7.56)</f>
        <v>7.56</v>
      </c>
      <c r="BH438" s="26">
        <f>IFERROR(__xludf.DUMMYFUNCTION("""COMPUTED_VALUE"""),252.62)</f>
        <v>252.62</v>
      </c>
      <c r="BI438" s="26">
        <f>IFERROR(__xludf.DUMMYFUNCTION("""COMPUTED_VALUE"""),276.65)</f>
        <v>276.65</v>
      </c>
      <c r="BJ438" s="26">
        <f>IFERROR(__xludf.DUMMYFUNCTION("""COMPUTED_VALUE"""),49.7)</f>
        <v>49.7</v>
      </c>
      <c r="BK438" s="26">
        <f>IFERROR(__xludf.DUMMYFUNCTION("""COMPUTED_VALUE"""),14.58)</f>
        <v>14.58</v>
      </c>
      <c r="BL438" s="26">
        <f>IFERROR(__xludf.DUMMYFUNCTION("""COMPUTED_VALUE"""),226.79)</f>
        <v>226.79</v>
      </c>
      <c r="BM438" s="26">
        <f>IFERROR(__xludf.DUMMYFUNCTION("""COMPUTED_VALUE"""),108.7)</f>
        <v>108.7</v>
      </c>
    </row>
    <row r="439">
      <c r="A439" s="25"/>
      <c r="B439" s="17">
        <f>IFERROR(__xludf.DUMMYFUNCTION("""COMPUTED_VALUE"""),6941.81)</f>
        <v>6941.81</v>
      </c>
      <c r="C439" s="17">
        <f>IFERROR(__xludf.DUMMYFUNCTION("""COMPUTED_VALUE"""),23238.67)</f>
        <v>23238.67</v>
      </c>
      <c r="D439" s="17">
        <f>IFERROR(__xludf.DUMMYFUNCTION("""COMPUTED_VALUE"""),50135.87)</f>
        <v>50135.87</v>
      </c>
      <c r="E439" s="17">
        <f>IFERROR(__xludf.DUMMYFUNCTION("""COMPUTED_VALUE"""),2689.05)</f>
        <v>2689.05</v>
      </c>
      <c r="F439" s="26">
        <f>IFERROR(__xludf.DUMMYFUNCTION("""COMPUTED_VALUE"""),266.9)</f>
        <v>266.9</v>
      </c>
      <c r="G439" s="26">
        <f>IFERROR(__xludf.DUMMYFUNCTION("""COMPUTED_VALUE"""),208.72)</f>
        <v>208.72</v>
      </c>
      <c r="H439" s="26">
        <f>IFERROR(__xludf.DUMMYFUNCTION("""COMPUTED_VALUE"""),122.95)</f>
        <v>122.95</v>
      </c>
      <c r="I439" s="26">
        <f>IFERROR(__xludf.DUMMYFUNCTION("""COMPUTED_VALUE"""),274.62)</f>
        <v>274.62</v>
      </c>
      <c r="J439" s="26">
        <f>IFERROR(__xludf.DUMMYFUNCTION("""COMPUTED_VALUE"""),330.57)</f>
        <v>330.57</v>
      </c>
      <c r="K439" s="26">
        <f>IFERROR(__xludf.DUMMYFUNCTION("""COMPUTED_VALUE"""),127.61)</f>
        <v>127.61</v>
      </c>
      <c r="L439" s="26">
        <f>IFERROR(__xludf.DUMMYFUNCTION("""COMPUTED_VALUE"""),26.71)</f>
        <v>26.71</v>
      </c>
      <c r="M439" s="26">
        <f>IFERROR(__xludf.DUMMYFUNCTION("""COMPUTED_VALUE"""),498.08)</f>
        <v>498.08</v>
      </c>
      <c r="N439" s="26">
        <f>IFERROR(__xludf.DUMMYFUNCTION("""COMPUTED_VALUE"""),71.67)</f>
        <v>71.67</v>
      </c>
      <c r="O439" s="26">
        <f>IFERROR(__xludf.DUMMYFUNCTION("""COMPUTED_VALUE"""),193.81)</f>
        <v>193.81</v>
      </c>
      <c r="P439" s="26">
        <f>IFERROR(__xludf.DUMMYFUNCTION("""COMPUTED_VALUE"""),65.32)</f>
        <v>65.32</v>
      </c>
      <c r="Q439" s="26">
        <f>IFERROR(__xludf.DUMMYFUNCTION("""COMPUTED_VALUE"""),742.12)</f>
        <v>742.12</v>
      </c>
      <c r="R439" s="26">
        <f>IFERROR(__xludf.DUMMYFUNCTION("""COMPUTED_VALUE"""),120.68)</f>
        <v>120.68</v>
      </c>
      <c r="S439" s="26">
        <f>IFERROR(__xludf.DUMMYFUNCTION("""COMPUTED_VALUE"""),181.27)</f>
        <v>181.27</v>
      </c>
      <c r="T439" s="26">
        <f>IFERROR(__xludf.DUMMYFUNCTION("""COMPUTED_VALUE"""),182.6)</f>
        <v>182.6</v>
      </c>
      <c r="U439" s="26">
        <f>IFERROR(__xludf.DUMMYFUNCTION("""COMPUTED_VALUE"""),294.4)</f>
        <v>294.4</v>
      </c>
      <c r="V439" s="26">
        <f>IFERROR(__xludf.DUMMYFUNCTION("""COMPUTED_VALUE"""),67.7)</f>
        <v>67.7</v>
      </c>
      <c r="W439" s="26">
        <f>IFERROR(__xludf.DUMMYFUNCTION("""COMPUTED_VALUE"""),77.97)</f>
        <v>77.97</v>
      </c>
      <c r="X439" s="26">
        <f>IFERROR(__xludf.DUMMYFUNCTION("""COMPUTED_VALUE"""),106.68)</f>
        <v>106.68</v>
      </c>
      <c r="Y439" s="26">
        <f>IFERROR(__xludf.DUMMYFUNCTION("""COMPUTED_VALUE"""),172.13)</f>
        <v>172.13</v>
      </c>
      <c r="Z439" s="26">
        <f>IFERROR(__xludf.DUMMYFUNCTION("""COMPUTED_VALUE"""),123.17)</f>
        <v>123.17</v>
      </c>
      <c r="AA439" s="26">
        <f>IFERROR(__xludf.DUMMYFUNCTION("""COMPUTED_VALUE"""),392.16)</f>
        <v>392.16</v>
      </c>
      <c r="AB439" s="26">
        <f>IFERROR(__xludf.DUMMYFUNCTION("""COMPUTED_VALUE"""),87.36)</f>
        <v>87.36</v>
      </c>
      <c r="AC439" s="26">
        <f>IFERROR(__xludf.DUMMYFUNCTION("""COMPUTED_VALUE"""),151.21)</f>
        <v>151.21</v>
      </c>
      <c r="AD439" s="26">
        <f>IFERROR(__xludf.DUMMYFUNCTION("""COMPUTED_VALUE"""),364.6)</f>
        <v>364.6</v>
      </c>
      <c r="AE439" s="26">
        <f>IFERROR(__xludf.DUMMYFUNCTION("""COMPUTED_VALUE"""),336.13)</f>
        <v>336.13</v>
      </c>
      <c r="AF439" s="26">
        <f>IFERROR(__xludf.DUMMYFUNCTION("""COMPUTED_VALUE"""),360.1)</f>
        <v>360.1</v>
      </c>
      <c r="AG439" s="26">
        <f>IFERROR(__xludf.DUMMYFUNCTION("""COMPUTED_VALUE"""),80.68)</f>
        <v>80.68</v>
      </c>
      <c r="AH439" s="26">
        <f>IFERROR(__xludf.DUMMYFUNCTION("""COMPUTED_VALUE"""),151.68)</f>
        <v>151.68</v>
      </c>
      <c r="AI439" s="26">
        <f>IFERROR(__xludf.DUMMYFUNCTION("""COMPUTED_VALUE"""),943.62)</f>
        <v>943.62</v>
      </c>
      <c r="AJ439" s="26">
        <f>IFERROR(__xludf.DUMMYFUNCTION("""COMPUTED_VALUE"""),381.0)</f>
        <v>381</v>
      </c>
      <c r="AK439" s="26">
        <f>IFERROR(__xludf.DUMMYFUNCTION("""COMPUTED_VALUE"""),154.06)</f>
        <v>154.06</v>
      </c>
      <c r="AL439" s="26">
        <f>IFERROR(__xludf.DUMMYFUNCTION("""COMPUTED_VALUE"""),169.48)</f>
        <v>169.48</v>
      </c>
      <c r="AM439" s="26">
        <f>IFERROR(__xludf.DUMMYFUNCTION("""COMPUTED_VALUE"""),492.84)</f>
        <v>492.84</v>
      </c>
      <c r="AN439" s="26">
        <f>IFERROR(__xludf.DUMMYFUNCTION("""COMPUTED_VALUE"""),322.1)</f>
        <v>322.1</v>
      </c>
      <c r="AO439" s="26">
        <f>IFERROR(__xludf.DUMMYFUNCTION("""COMPUTED_VALUE"""),638.29)</f>
        <v>638.29</v>
      </c>
      <c r="AP439" s="26">
        <f>IFERROR(__xludf.DUMMYFUNCTION("""COMPUTED_VALUE"""),175.68)</f>
        <v>175.68</v>
      </c>
      <c r="AQ439" s="26">
        <f>IFERROR(__xludf.DUMMYFUNCTION("""COMPUTED_VALUE"""),38.0)</f>
        <v>38</v>
      </c>
      <c r="AR439" s="26">
        <f>IFERROR(__xludf.DUMMYFUNCTION("""COMPUTED_VALUE"""),101.65)</f>
        <v>101.65</v>
      </c>
      <c r="AS439" s="26">
        <f>IFERROR(__xludf.DUMMYFUNCTION("""COMPUTED_VALUE"""),76.28)</f>
        <v>76.28</v>
      </c>
      <c r="AT439" s="26">
        <f>IFERROR(__xludf.DUMMYFUNCTION("""COMPUTED_VALUE"""),413.6)</f>
        <v>413.6</v>
      </c>
      <c r="AU439" s="26">
        <f>IFERROR(__xludf.DUMMYFUNCTION("""COMPUTED_VALUE"""),89.48)</f>
        <v>89.48</v>
      </c>
      <c r="AV439" s="26">
        <f>IFERROR(__xludf.DUMMYFUNCTION("""COMPUTED_VALUE"""),190.04)</f>
        <v>190.04</v>
      </c>
      <c r="AW439" s="26">
        <f>IFERROR(__xludf.DUMMYFUNCTION("""COMPUTED_VALUE"""),89.3)</f>
        <v>89.3</v>
      </c>
      <c r="AX439" s="26">
        <f>IFERROR(__xludf.DUMMYFUNCTION("""COMPUTED_VALUE"""),44.34)</f>
        <v>44.34</v>
      </c>
      <c r="AY439" s="26">
        <f>IFERROR(__xludf.DUMMYFUNCTION("""COMPUTED_VALUE"""),142.91)</f>
        <v>142.91</v>
      </c>
      <c r="AZ439" s="26">
        <f>IFERROR(__xludf.DUMMYFUNCTION("""COMPUTED_VALUE"""),41.15)</f>
        <v>41.15</v>
      </c>
      <c r="BA439" s="26">
        <f>IFERROR(__xludf.DUMMYFUNCTION("""COMPUTED_VALUE"""),27.05)</f>
        <v>27.05</v>
      </c>
      <c r="BB439" s="26">
        <f>IFERROR(__xludf.DUMMYFUNCTION("""COMPUTED_VALUE"""),196.19)</f>
        <v>196.19</v>
      </c>
      <c r="BC439" s="26">
        <f>IFERROR(__xludf.DUMMYFUNCTION("""COMPUTED_VALUE"""),197.66)</f>
        <v>197.66</v>
      </c>
      <c r="BD439" s="26">
        <f>IFERROR(__xludf.DUMMYFUNCTION("""COMPUTED_VALUE"""),546.76)</f>
        <v>546.76</v>
      </c>
      <c r="BE439" s="26">
        <f>IFERROR(__xludf.DUMMYFUNCTION("""COMPUTED_VALUE"""),242.39)</f>
        <v>242.39</v>
      </c>
      <c r="BF439" s="26">
        <f>IFERROR(__xludf.DUMMYFUNCTION("""COMPUTED_VALUE"""),136.34)</f>
        <v>136.34</v>
      </c>
      <c r="BG439" s="26">
        <f>IFERROR(__xludf.DUMMYFUNCTION("""COMPUTED_VALUE"""),7.86)</f>
        <v>7.86</v>
      </c>
      <c r="BH439" s="26">
        <f>IFERROR(__xludf.DUMMYFUNCTION("""COMPUTED_VALUE"""),254.34)</f>
        <v>254.34</v>
      </c>
      <c r="BI439" s="26">
        <f>IFERROR(__xludf.DUMMYFUNCTION("""COMPUTED_VALUE"""),275.7)</f>
        <v>275.7</v>
      </c>
      <c r="BJ439" s="26">
        <f>IFERROR(__xludf.DUMMYFUNCTION("""COMPUTED_VALUE"""),49.73)</f>
        <v>49.73</v>
      </c>
      <c r="BK439" s="26">
        <f>IFERROR(__xludf.DUMMYFUNCTION("""COMPUTED_VALUE"""),15.56)</f>
        <v>15.56</v>
      </c>
      <c r="BL439" s="26">
        <f>IFERROR(__xludf.DUMMYFUNCTION("""COMPUTED_VALUE"""),230.5)</f>
        <v>230.5</v>
      </c>
      <c r="BM439" s="26">
        <f>IFERROR(__xludf.DUMMYFUNCTION("""COMPUTED_VALUE"""),107.13)</f>
        <v>107.13</v>
      </c>
    </row>
    <row r="440">
      <c r="A440" s="25"/>
      <c r="B440" s="17">
        <f>IFERROR(__xludf.DUMMYFUNCTION("""COMPUTED_VALUE"""),6941.47)</f>
        <v>6941.47</v>
      </c>
      <c r="C440" s="17">
        <f>IFERROR(__xludf.DUMMYFUNCTION("""COMPUTED_VALUE"""),23102.47)</f>
        <v>23102.47</v>
      </c>
      <c r="D440" s="17">
        <f>IFERROR(__xludf.DUMMYFUNCTION("""COMPUTED_VALUE"""),50188.14)</f>
        <v>50188.14</v>
      </c>
      <c r="E440" s="17">
        <f>IFERROR(__xludf.DUMMYFUNCTION("""COMPUTED_VALUE"""),2679.77)</f>
        <v>2679.77</v>
      </c>
      <c r="F440" s="26">
        <f>IFERROR(__xludf.DUMMYFUNCTION("""COMPUTED_VALUE"""),264.67)</f>
        <v>264.67</v>
      </c>
      <c r="G440" s="26">
        <f>IFERROR(__xludf.DUMMYFUNCTION("""COMPUTED_VALUE"""),206.96)</f>
        <v>206.96</v>
      </c>
      <c r="H440" s="26">
        <f>IFERROR(__xludf.DUMMYFUNCTION("""COMPUTED_VALUE"""),125.03)</f>
        <v>125.03</v>
      </c>
      <c r="I440" s="26">
        <f>IFERROR(__xludf.DUMMYFUNCTION("""COMPUTED_VALUE"""),273.68)</f>
        <v>273.68</v>
      </c>
      <c r="J440" s="26">
        <f>IFERROR(__xludf.DUMMYFUNCTION("""COMPUTED_VALUE"""),329.07)</f>
        <v>329.07</v>
      </c>
      <c r="K440" s="26">
        <f>IFERROR(__xludf.DUMMYFUNCTION("""COMPUTED_VALUE"""),126.45)</f>
        <v>126.45</v>
      </c>
      <c r="L440" s="26">
        <f>IFERROR(__xludf.DUMMYFUNCTION("""COMPUTED_VALUE"""),26.16)</f>
        <v>26.16</v>
      </c>
      <c r="M440" s="26">
        <f>IFERROR(__xludf.DUMMYFUNCTION("""COMPUTED_VALUE"""),500.3)</f>
        <v>500.3</v>
      </c>
      <c r="N440" s="26">
        <f>IFERROR(__xludf.DUMMYFUNCTION("""COMPUTED_VALUE"""),72.35)</f>
        <v>72.35</v>
      </c>
      <c r="O440" s="26">
        <f>IFERROR(__xludf.DUMMYFUNCTION("""COMPUTED_VALUE"""),188.99)</f>
        <v>188.99</v>
      </c>
      <c r="P440" s="26">
        <f>IFERROR(__xludf.DUMMYFUNCTION("""COMPUTED_VALUE"""),65.82)</f>
        <v>65.82</v>
      </c>
      <c r="Q440" s="26">
        <f>IFERROR(__xludf.DUMMYFUNCTION("""COMPUTED_VALUE"""),742.37)</f>
        <v>742.37</v>
      </c>
      <c r="R440" s="26">
        <f>IFERROR(__xludf.DUMMYFUNCTION("""COMPUTED_VALUE"""),118.09)</f>
        <v>118.09</v>
      </c>
      <c r="S440" s="26">
        <f>IFERROR(__xludf.DUMMYFUNCTION("""COMPUTED_VALUE"""),180.57)</f>
        <v>180.57</v>
      </c>
      <c r="T440" s="26">
        <f>IFERROR(__xludf.DUMMYFUNCTION("""COMPUTED_VALUE"""),182.26)</f>
        <v>182.26</v>
      </c>
      <c r="U440" s="26">
        <f>IFERROR(__xludf.DUMMYFUNCTION("""COMPUTED_VALUE"""),287.81)</f>
        <v>287.81</v>
      </c>
      <c r="V440" s="26">
        <f>IFERROR(__xludf.DUMMYFUNCTION("""COMPUTED_VALUE"""),67.55)</f>
        <v>67.55</v>
      </c>
      <c r="W440" s="26">
        <f>IFERROR(__xludf.DUMMYFUNCTION("""COMPUTED_VALUE"""),76.81)</f>
        <v>76.81</v>
      </c>
      <c r="X440" s="26">
        <f>IFERROR(__xludf.DUMMYFUNCTION("""COMPUTED_VALUE"""),108.43)</f>
        <v>108.43</v>
      </c>
      <c r="Y440" s="26">
        <f>IFERROR(__xludf.DUMMYFUNCTION("""COMPUTED_VALUE"""),172.53)</f>
        <v>172.53</v>
      </c>
      <c r="Z440" s="26">
        <f>IFERROR(__xludf.DUMMYFUNCTION("""COMPUTED_VALUE"""),121.92)</f>
        <v>121.92</v>
      </c>
      <c r="AA440" s="26">
        <f>IFERROR(__xludf.DUMMYFUNCTION("""COMPUTED_VALUE"""),389.73)</f>
        <v>389.73</v>
      </c>
      <c r="AB440" s="26">
        <f>IFERROR(__xludf.DUMMYFUNCTION("""COMPUTED_VALUE"""),87.48)</f>
        <v>87.48</v>
      </c>
      <c r="AC440" s="26">
        <f>IFERROR(__xludf.DUMMYFUNCTION("""COMPUTED_VALUE"""),151.59)</f>
        <v>151.59</v>
      </c>
      <c r="AD440" s="26">
        <f>IFERROR(__xludf.DUMMYFUNCTION("""COMPUTED_VALUE"""),367.95)</f>
        <v>367.95</v>
      </c>
      <c r="AE440" s="26">
        <f>IFERROR(__xludf.DUMMYFUNCTION("""COMPUTED_VALUE"""),363.22)</f>
        <v>363.22</v>
      </c>
      <c r="AF440" s="26">
        <f>IFERROR(__xludf.DUMMYFUNCTION("""COMPUTED_VALUE"""),358.83)</f>
        <v>358.83</v>
      </c>
      <c r="AG440" s="26">
        <f>IFERROR(__xludf.DUMMYFUNCTION("""COMPUTED_VALUE"""),80.27)</f>
        <v>80.27</v>
      </c>
      <c r="AH440" s="26">
        <f>IFERROR(__xludf.DUMMYFUNCTION("""COMPUTED_VALUE"""),147.23)</f>
        <v>147.23</v>
      </c>
      <c r="AI440" s="26">
        <f>IFERROR(__xludf.DUMMYFUNCTION("""COMPUTED_VALUE"""),948.99)</f>
        <v>948.99</v>
      </c>
      <c r="AJ440" s="26">
        <f>IFERROR(__xludf.DUMMYFUNCTION("""COMPUTED_VALUE"""),389.68)</f>
        <v>389.68</v>
      </c>
      <c r="AK440" s="26">
        <f>IFERROR(__xludf.DUMMYFUNCTION("""COMPUTED_VALUE"""),145.86)</f>
        <v>145.86</v>
      </c>
      <c r="AL440" s="26">
        <f>IFERROR(__xludf.DUMMYFUNCTION("""COMPUTED_VALUE"""),164.81)</f>
        <v>164.81</v>
      </c>
      <c r="AM440" s="26">
        <f>IFERROR(__xludf.DUMMYFUNCTION("""COMPUTED_VALUE"""),495.15)</f>
        <v>495.15</v>
      </c>
      <c r="AN440" s="26">
        <f>IFERROR(__xludf.DUMMYFUNCTION("""COMPUTED_VALUE"""),318.28)</f>
        <v>318.28</v>
      </c>
      <c r="AO440" s="26">
        <f>IFERROR(__xludf.DUMMYFUNCTION("""COMPUTED_VALUE"""),629.56)</f>
        <v>629.56</v>
      </c>
      <c r="AP440" s="26">
        <f>IFERROR(__xludf.DUMMYFUNCTION("""COMPUTED_VALUE"""),180.62)</f>
        <v>180.62</v>
      </c>
      <c r="AQ440" s="26">
        <f>IFERROR(__xludf.DUMMYFUNCTION("""COMPUTED_VALUE"""),38.26)</f>
        <v>38.26</v>
      </c>
      <c r="AR440" s="26">
        <f>IFERROR(__xludf.DUMMYFUNCTION("""COMPUTED_VALUE"""),101.42)</f>
        <v>101.42</v>
      </c>
      <c r="AS440" s="26">
        <f>IFERROR(__xludf.DUMMYFUNCTION("""COMPUTED_VALUE"""),77.92)</f>
        <v>77.92</v>
      </c>
      <c r="AT440" s="26">
        <f>IFERROR(__xludf.DUMMYFUNCTION("""COMPUTED_VALUE"""),413.27)</f>
        <v>413.27</v>
      </c>
      <c r="AU440" s="26">
        <f>IFERROR(__xludf.DUMMYFUNCTION("""COMPUTED_VALUE"""),90.83)</f>
        <v>90.83</v>
      </c>
      <c r="AV440" s="26">
        <f>IFERROR(__xludf.DUMMYFUNCTION("""COMPUTED_VALUE"""),188.54)</f>
        <v>188.54</v>
      </c>
      <c r="AW440" s="26">
        <f>IFERROR(__xludf.DUMMYFUNCTION("""COMPUTED_VALUE"""),90.06)</f>
        <v>90.06</v>
      </c>
      <c r="AX440" s="26">
        <f>IFERROR(__xludf.DUMMYFUNCTION("""COMPUTED_VALUE"""),45.3)</f>
        <v>45.3</v>
      </c>
      <c r="AY440" s="26">
        <f>IFERROR(__xludf.DUMMYFUNCTION("""COMPUTED_VALUE"""),139.51)</f>
        <v>139.51</v>
      </c>
      <c r="AZ440" s="26">
        <f>IFERROR(__xludf.DUMMYFUNCTION("""COMPUTED_VALUE"""),41.49)</f>
        <v>41.49</v>
      </c>
      <c r="BA440" s="26">
        <f>IFERROR(__xludf.DUMMYFUNCTION("""COMPUTED_VALUE"""),27.61)</f>
        <v>27.61</v>
      </c>
      <c r="BB440" s="26">
        <f>IFERROR(__xludf.DUMMYFUNCTION("""COMPUTED_VALUE"""),195.19)</f>
        <v>195.19</v>
      </c>
      <c r="BC440" s="26">
        <f>IFERROR(__xludf.DUMMYFUNCTION("""COMPUTED_VALUE"""),199.43)</f>
        <v>199.43</v>
      </c>
      <c r="BD440" s="26">
        <f>IFERROR(__xludf.DUMMYFUNCTION("""COMPUTED_VALUE"""),539.8)</f>
        <v>539.8</v>
      </c>
      <c r="BE440" s="26">
        <f>IFERROR(__xludf.DUMMYFUNCTION("""COMPUTED_VALUE"""),238.24)</f>
        <v>238.24</v>
      </c>
      <c r="BF440" s="26">
        <f>IFERROR(__xludf.DUMMYFUNCTION("""COMPUTED_VALUE"""),139.29)</f>
        <v>139.29</v>
      </c>
      <c r="BG440" s="26">
        <f>IFERROR(__xludf.DUMMYFUNCTION("""COMPUTED_VALUE"""),7.09)</f>
        <v>7.09</v>
      </c>
      <c r="BH440" s="26">
        <f>IFERROR(__xludf.DUMMYFUNCTION("""COMPUTED_VALUE"""),261.32)</f>
        <v>261.32</v>
      </c>
      <c r="BI440" s="26">
        <f>IFERROR(__xludf.DUMMYFUNCTION("""COMPUTED_VALUE"""),273.22)</f>
        <v>273.22</v>
      </c>
      <c r="BJ440" s="26">
        <f>IFERROR(__xludf.DUMMYFUNCTION("""COMPUTED_VALUE"""),49.74)</f>
        <v>49.74</v>
      </c>
      <c r="BK440" s="26">
        <f>IFERROR(__xludf.DUMMYFUNCTION("""COMPUTED_VALUE"""),15.95)</f>
        <v>15.95</v>
      </c>
      <c r="BL440" s="26">
        <f>IFERROR(__xludf.DUMMYFUNCTION("""COMPUTED_VALUE"""),231.72)</f>
        <v>231.72</v>
      </c>
      <c r="BM440" s="26">
        <f>IFERROR(__xludf.DUMMYFUNCTION("""COMPUTED_VALUE"""),109.96)</f>
        <v>109.96</v>
      </c>
    </row>
    <row r="441">
      <c r="A441" s="25"/>
      <c r="B441" s="17">
        <f>IFERROR(__xludf.DUMMYFUNCTION("""COMPUTED_VALUE"""),6832.76)</f>
        <v>6832.76</v>
      </c>
      <c r="C441" s="17">
        <f>IFERROR(__xludf.DUMMYFUNCTION("""COMPUTED_VALUE"""),23066.47)</f>
        <v>23066.47</v>
      </c>
      <c r="D441" s="17">
        <f>IFERROR(__xludf.DUMMYFUNCTION("""COMPUTED_VALUE"""),50121.4)</f>
        <v>50121.4</v>
      </c>
      <c r="E441" s="17">
        <f>IFERROR(__xludf.DUMMYFUNCTION("""COMPUTED_VALUE"""),2669.47)</f>
        <v>2669.47</v>
      </c>
      <c r="F441" s="26">
        <f>IFERROR(__xludf.DUMMYFUNCTION("""COMPUTED_VALUE"""),257.16)</f>
        <v>257.16</v>
      </c>
      <c r="G441" s="26">
        <f>IFERROR(__xludf.DUMMYFUNCTION("""COMPUTED_VALUE"""),204.08)</f>
        <v>204.08</v>
      </c>
      <c r="H441" s="26">
        <f>IFERROR(__xludf.DUMMYFUNCTION("""COMPUTED_VALUE"""),123.69)</f>
        <v>123.69</v>
      </c>
      <c r="I441" s="26">
        <f>IFERROR(__xludf.DUMMYFUNCTION("""COMPUTED_VALUE"""),275.5)</f>
        <v>275.5</v>
      </c>
      <c r="J441" s="26">
        <f>IFERROR(__xludf.DUMMYFUNCTION("""COMPUTED_VALUE"""),339.88)</f>
        <v>339.88</v>
      </c>
      <c r="K441" s="26">
        <f>IFERROR(__xludf.DUMMYFUNCTION("""COMPUTED_VALUE"""),121.7)</f>
        <v>121.7</v>
      </c>
      <c r="L441" s="26">
        <f>IFERROR(__xludf.DUMMYFUNCTION("""COMPUTED_VALUE"""),26.16)</f>
        <v>26.16</v>
      </c>
      <c r="M441" s="26">
        <f>IFERROR(__xludf.DUMMYFUNCTION("""COMPUTED_VALUE"""),500.02)</f>
        <v>500.02</v>
      </c>
      <c r="N441" s="26">
        <f>IFERROR(__xludf.DUMMYFUNCTION("""COMPUTED_VALUE"""),75.13)</f>
        <v>75.13</v>
      </c>
      <c r="O441" s="26">
        <f>IFERROR(__xludf.DUMMYFUNCTION("""COMPUTED_VALUE"""),191.2)</f>
        <v>191.2</v>
      </c>
      <c r="P441" s="26">
        <f>IFERROR(__xludf.DUMMYFUNCTION("""COMPUTED_VALUE"""),67.08)</f>
        <v>67.08</v>
      </c>
      <c r="Q441" s="26">
        <f>IFERROR(__xludf.DUMMYFUNCTION("""COMPUTED_VALUE"""),775.0)</f>
        <v>775</v>
      </c>
      <c r="R441" s="26">
        <f>IFERROR(__xludf.DUMMYFUNCTION("""COMPUTED_VALUE"""),119.18)</f>
        <v>119.18</v>
      </c>
      <c r="S441" s="26">
        <f>IFERROR(__xludf.DUMMYFUNCTION("""COMPUTED_VALUE"""),176.47)</f>
        <v>176.47</v>
      </c>
      <c r="T441" s="26">
        <f>IFERROR(__xludf.DUMMYFUNCTION("""COMPUTED_VALUE"""),185.82)</f>
        <v>185.82</v>
      </c>
      <c r="U441" s="26">
        <f>IFERROR(__xludf.DUMMYFUNCTION("""COMPUTED_VALUE"""),294.73)</f>
        <v>294.73</v>
      </c>
      <c r="V441" s="26">
        <f>IFERROR(__xludf.DUMMYFUNCTION("""COMPUTED_VALUE"""),66.86)</f>
        <v>66.86</v>
      </c>
      <c r="W441" s="26">
        <f>IFERROR(__xludf.DUMMYFUNCTION("""COMPUTED_VALUE"""),78.6)</f>
        <v>78.6</v>
      </c>
      <c r="X441" s="26">
        <f>IFERROR(__xludf.DUMMYFUNCTION("""COMPUTED_VALUE"""),109.87)</f>
        <v>109.87</v>
      </c>
      <c r="Y441" s="26">
        <f>IFERROR(__xludf.DUMMYFUNCTION("""COMPUTED_VALUE"""),174.57)</f>
        <v>174.57</v>
      </c>
      <c r="Z441" s="26">
        <f>IFERROR(__xludf.DUMMYFUNCTION("""COMPUTED_VALUE"""),125.0)</f>
        <v>125</v>
      </c>
      <c r="AA441" s="26">
        <f>IFERROR(__xludf.DUMMYFUNCTION("""COMPUTED_VALUE"""),384.0)</f>
        <v>384</v>
      </c>
      <c r="AB441" s="26">
        <f>IFERROR(__xludf.DUMMYFUNCTION("""COMPUTED_VALUE"""),82.88)</f>
        <v>82.88</v>
      </c>
      <c r="AC441" s="26">
        <f>IFERROR(__xludf.DUMMYFUNCTION("""COMPUTED_VALUE"""),155.56)</f>
        <v>155.56</v>
      </c>
      <c r="AD441" s="26">
        <f>IFERROR(__xludf.DUMMYFUNCTION("""COMPUTED_VALUE"""),367.16)</f>
        <v>367.16</v>
      </c>
      <c r="AE441" s="26">
        <f>IFERROR(__xludf.DUMMYFUNCTION("""COMPUTED_VALUE"""),382.96)</f>
        <v>382.96</v>
      </c>
      <c r="AF441" s="26">
        <f>IFERROR(__xludf.DUMMYFUNCTION("""COMPUTED_VALUE"""),346.34)</f>
        <v>346.34</v>
      </c>
      <c r="AG441" s="26">
        <f>IFERROR(__xludf.DUMMYFUNCTION("""COMPUTED_VALUE"""),79.82)</f>
        <v>79.82</v>
      </c>
      <c r="AH441" s="26">
        <f>IFERROR(__xludf.DUMMYFUNCTION("""COMPUTED_VALUE"""),155.8)</f>
        <v>155.8</v>
      </c>
      <c r="AI441" s="26">
        <f>IFERROR(__xludf.DUMMYFUNCTION("""COMPUTED_VALUE"""),944.59)</f>
        <v>944.59</v>
      </c>
      <c r="AJ441" s="26">
        <f>IFERROR(__xludf.DUMMYFUNCTION("""COMPUTED_VALUE"""),390.68)</f>
        <v>390.68</v>
      </c>
      <c r="AK441" s="26">
        <f>IFERROR(__xludf.DUMMYFUNCTION("""COMPUTED_VALUE"""),131.11)</f>
        <v>131.11</v>
      </c>
      <c r="AL441" s="26">
        <f>IFERROR(__xludf.DUMMYFUNCTION("""COMPUTED_VALUE"""),151.99)</f>
        <v>151.99</v>
      </c>
      <c r="AM441" s="26">
        <f>IFERROR(__xludf.DUMMYFUNCTION("""COMPUTED_VALUE"""),496.12)</f>
        <v>496.12</v>
      </c>
      <c r="AN441" s="26">
        <f>IFERROR(__xludf.DUMMYFUNCTION("""COMPUTED_VALUE"""),310.82)</f>
        <v>310.82</v>
      </c>
      <c r="AO441" s="26">
        <f>IFERROR(__xludf.DUMMYFUNCTION("""COMPUTED_VALUE"""),628.7)</f>
        <v>628.7</v>
      </c>
      <c r="AP441" s="26">
        <f>IFERROR(__xludf.DUMMYFUNCTION("""COMPUTED_VALUE"""),175.86)</f>
        <v>175.86</v>
      </c>
      <c r="AQ441" s="26">
        <f>IFERROR(__xludf.DUMMYFUNCTION("""COMPUTED_VALUE"""),37.89)</f>
        <v>37.89</v>
      </c>
      <c r="AR441" s="26">
        <f>IFERROR(__xludf.DUMMYFUNCTION("""COMPUTED_VALUE"""),101.08)</f>
        <v>101.08</v>
      </c>
      <c r="AS441" s="26">
        <f>IFERROR(__xludf.DUMMYFUNCTION("""COMPUTED_VALUE"""),78.89)</f>
        <v>78.89</v>
      </c>
      <c r="AT441" s="26">
        <f>IFERROR(__xludf.DUMMYFUNCTION("""COMPUTED_VALUE"""),404.37)</f>
        <v>404.37</v>
      </c>
      <c r="AU441" s="26">
        <f>IFERROR(__xludf.DUMMYFUNCTION("""COMPUTED_VALUE"""),91.36)</f>
        <v>91.36</v>
      </c>
      <c r="AV441" s="26">
        <f>IFERROR(__xludf.DUMMYFUNCTION("""COMPUTED_VALUE"""),190.05)</f>
        <v>190.05</v>
      </c>
      <c r="AW441" s="26">
        <f>IFERROR(__xludf.DUMMYFUNCTION("""COMPUTED_VALUE"""),89.42)</f>
        <v>89.42</v>
      </c>
      <c r="AX441" s="26">
        <f>IFERROR(__xludf.DUMMYFUNCTION("""COMPUTED_VALUE"""),45.29)</f>
        <v>45.29</v>
      </c>
      <c r="AY441" s="26">
        <f>IFERROR(__xludf.DUMMYFUNCTION("""COMPUTED_VALUE"""),135.68)</f>
        <v>135.68</v>
      </c>
      <c r="AZ441" s="26">
        <f>IFERROR(__xludf.DUMMYFUNCTION("""COMPUTED_VALUE"""),40.46)</f>
        <v>40.46</v>
      </c>
      <c r="BA441" s="26">
        <f>IFERROR(__xludf.DUMMYFUNCTION("""COMPUTED_VALUE"""),27.73)</f>
        <v>27.73</v>
      </c>
      <c r="BB441" s="26">
        <f>IFERROR(__xludf.DUMMYFUNCTION("""COMPUTED_VALUE"""),196.51)</f>
        <v>196.51</v>
      </c>
      <c r="BC441" s="26">
        <f>IFERROR(__xludf.DUMMYFUNCTION("""COMPUTED_VALUE"""),209.54)</f>
        <v>209.54</v>
      </c>
      <c r="BD441" s="26">
        <f>IFERROR(__xludf.DUMMYFUNCTION("""COMPUTED_VALUE"""),527.17)</f>
        <v>527.17</v>
      </c>
      <c r="BE441" s="26">
        <f>IFERROR(__xludf.DUMMYFUNCTION("""COMPUTED_VALUE"""),242.81)</f>
        <v>242.81</v>
      </c>
      <c r="BF441" s="26">
        <f>IFERROR(__xludf.DUMMYFUNCTION("""COMPUTED_VALUE"""),133.3)</f>
        <v>133.3</v>
      </c>
      <c r="BG441" s="26">
        <f>IFERROR(__xludf.DUMMYFUNCTION("""COMPUTED_VALUE"""),6.98)</f>
        <v>6.98</v>
      </c>
      <c r="BH441" s="26">
        <f>IFERROR(__xludf.DUMMYFUNCTION("""COMPUTED_VALUE"""),262.81)</f>
        <v>262.81</v>
      </c>
      <c r="BI441" s="26">
        <f>IFERROR(__xludf.DUMMYFUNCTION("""COMPUTED_VALUE"""),278.91)</f>
        <v>278.91</v>
      </c>
      <c r="BJ441" s="26">
        <f>IFERROR(__xludf.DUMMYFUNCTION("""COMPUTED_VALUE"""),49.69)</f>
        <v>49.69</v>
      </c>
      <c r="BK441" s="26">
        <f>IFERROR(__xludf.DUMMYFUNCTION("""COMPUTED_VALUE"""),16.13)</f>
        <v>16.13</v>
      </c>
      <c r="BL441" s="26">
        <f>IFERROR(__xludf.DUMMYFUNCTION("""COMPUTED_VALUE"""),234.66)</f>
        <v>234.66</v>
      </c>
      <c r="BM441" s="26">
        <f>IFERROR(__xludf.DUMMYFUNCTION("""COMPUTED_VALUE"""),108.12)</f>
        <v>108.12</v>
      </c>
    </row>
    <row r="442">
      <c r="A442" s="25"/>
      <c r="B442" s="17">
        <f>IFERROR(__xludf.DUMMYFUNCTION("""COMPUTED_VALUE"""),6836.17)</f>
        <v>6836.17</v>
      </c>
      <c r="C442" s="17">
        <f>IFERROR(__xludf.DUMMYFUNCTION("""COMPUTED_VALUE"""),22597.15)</f>
        <v>22597.15</v>
      </c>
      <c r="D442" s="17">
        <f>IFERROR(__xludf.DUMMYFUNCTION("""COMPUTED_VALUE"""),49451.98)</f>
        <v>49451.98</v>
      </c>
      <c r="E442" s="17">
        <f>IFERROR(__xludf.DUMMYFUNCTION("""COMPUTED_VALUE"""),2615.83)</f>
        <v>2615.83</v>
      </c>
      <c r="F442" s="26">
        <f>IFERROR(__xludf.DUMMYFUNCTION("""COMPUTED_VALUE"""),262.5)</f>
        <v>262.5</v>
      </c>
      <c r="G442" s="26">
        <f>IFERROR(__xludf.DUMMYFUNCTION("""COMPUTED_VALUE"""),199.6)</f>
        <v>199.6</v>
      </c>
      <c r="H442" s="26">
        <f>IFERROR(__xludf.DUMMYFUNCTION("""COMPUTED_VALUE"""),128.37)</f>
        <v>128.37</v>
      </c>
      <c r="I442" s="26">
        <f>IFERROR(__xludf.DUMMYFUNCTION("""COMPUTED_VALUE"""),261.73)</f>
        <v>261.73</v>
      </c>
      <c r="J442" s="26">
        <f>IFERROR(__xludf.DUMMYFUNCTION("""COMPUTED_VALUE"""),328.39)</f>
        <v>328.39</v>
      </c>
      <c r="K442" s="26">
        <f>IFERROR(__xludf.DUMMYFUNCTION("""COMPUTED_VALUE"""),114.91)</f>
        <v>114.91</v>
      </c>
      <c r="L442" s="26">
        <f>IFERROR(__xludf.DUMMYFUNCTION("""COMPUTED_VALUE"""),25.54)</f>
        <v>25.54</v>
      </c>
      <c r="M442" s="26">
        <f>IFERROR(__xludf.DUMMYFUNCTION("""COMPUTED_VALUE"""),500.01)</f>
        <v>500.01</v>
      </c>
      <c r="N442" s="26">
        <f>IFERROR(__xludf.DUMMYFUNCTION("""COMPUTED_VALUE"""),72.76)</f>
        <v>72.76</v>
      </c>
      <c r="O442" s="26">
        <f>IFERROR(__xludf.DUMMYFUNCTION("""COMPUTED_VALUE"""),195.5)</f>
        <v>195.5</v>
      </c>
      <c r="P442" s="26">
        <f>IFERROR(__xludf.DUMMYFUNCTION("""COMPUTED_VALUE"""),64.89)</f>
        <v>64.89</v>
      </c>
      <c r="Q442" s="26">
        <f>IFERROR(__xludf.DUMMYFUNCTION("""COMPUTED_VALUE"""),758.29)</f>
        <v>758.29</v>
      </c>
      <c r="R442" s="26">
        <f>IFERROR(__xludf.DUMMYFUNCTION("""COMPUTED_VALUE"""),116.39)</f>
        <v>116.39</v>
      </c>
      <c r="S442" s="26">
        <f>IFERROR(__xludf.DUMMYFUNCTION("""COMPUTED_VALUE"""),164.47)</f>
        <v>164.47</v>
      </c>
      <c r="T442" s="26">
        <f>IFERROR(__xludf.DUMMYFUNCTION("""COMPUTED_VALUE"""),182.4)</f>
        <v>182.4</v>
      </c>
      <c r="U442" s="26">
        <f>IFERROR(__xludf.DUMMYFUNCTION("""COMPUTED_VALUE"""),287.61)</f>
        <v>287.61</v>
      </c>
      <c r="V442" s="26">
        <f>IFERROR(__xludf.DUMMYFUNCTION("""COMPUTED_VALUE"""),64.78)</f>
        <v>64.78</v>
      </c>
      <c r="W442" s="26">
        <f>IFERROR(__xludf.DUMMYFUNCTION("""COMPUTED_VALUE"""),79.0)</f>
        <v>79</v>
      </c>
      <c r="X442" s="26">
        <f>IFERROR(__xludf.DUMMYFUNCTION("""COMPUTED_VALUE"""),111.72)</f>
        <v>111.72</v>
      </c>
      <c r="Y442" s="26">
        <f>IFERROR(__xludf.DUMMYFUNCTION("""COMPUTED_VALUE"""),180.31)</f>
        <v>180.31</v>
      </c>
      <c r="Z442" s="26">
        <f>IFERROR(__xludf.DUMMYFUNCTION("""COMPUTED_VALUE"""),128.43)</f>
        <v>128.43</v>
      </c>
      <c r="AA442" s="26">
        <f>IFERROR(__xludf.DUMMYFUNCTION("""COMPUTED_VALUE"""),381.78)</f>
        <v>381.78</v>
      </c>
      <c r="AB442" s="26">
        <f>IFERROR(__xludf.DUMMYFUNCTION("""COMPUTED_VALUE"""),79.41)</f>
        <v>79.41</v>
      </c>
      <c r="AC442" s="26">
        <f>IFERROR(__xludf.DUMMYFUNCTION("""COMPUTED_VALUE"""),149.93)</f>
        <v>149.93</v>
      </c>
      <c r="AD442" s="26">
        <f>IFERROR(__xludf.DUMMYFUNCTION("""COMPUTED_VALUE"""),369.46)</f>
        <v>369.46</v>
      </c>
      <c r="AE442" s="26">
        <f>IFERROR(__xludf.DUMMYFUNCTION("""COMPUTED_VALUE"""),391.21)</f>
        <v>391.21</v>
      </c>
      <c r="AF442" s="26">
        <f>IFERROR(__xludf.DUMMYFUNCTION("""COMPUTED_VALUE"""),340.75)</f>
        <v>340.75</v>
      </c>
      <c r="AG442" s="26">
        <f>IFERROR(__xludf.DUMMYFUNCTION("""COMPUTED_VALUE"""),79.93)</f>
        <v>79.93</v>
      </c>
      <c r="AH442" s="26">
        <f>IFERROR(__xludf.DUMMYFUNCTION("""COMPUTED_VALUE"""),151.81)</f>
        <v>151.81</v>
      </c>
      <c r="AI442" s="26">
        <f>IFERROR(__xludf.DUMMYFUNCTION("""COMPUTED_VALUE"""),904.55)</f>
        <v>904.55</v>
      </c>
      <c r="AJ442" s="26">
        <f>IFERROR(__xludf.DUMMYFUNCTION("""COMPUTED_VALUE"""),390.22)</f>
        <v>390.22</v>
      </c>
      <c r="AK442" s="26">
        <f>IFERROR(__xludf.DUMMYFUNCTION("""COMPUTED_VALUE"""),125.43)</f>
        <v>125.43</v>
      </c>
      <c r="AL442" s="26">
        <f>IFERROR(__xludf.DUMMYFUNCTION("""COMPUTED_VALUE"""),149.83)</f>
        <v>149.83</v>
      </c>
      <c r="AM442" s="26">
        <f>IFERROR(__xludf.DUMMYFUNCTION("""COMPUTED_VALUE"""),478.6)</f>
        <v>478.6</v>
      </c>
      <c r="AN442" s="26">
        <f>IFERROR(__xludf.DUMMYFUNCTION("""COMPUTED_VALUE"""),302.64)</f>
        <v>302.64</v>
      </c>
      <c r="AO442" s="26">
        <f>IFERROR(__xludf.DUMMYFUNCTION("""COMPUTED_VALUE"""),637.43)</f>
        <v>637.43</v>
      </c>
      <c r="AP442" s="26">
        <f>IFERROR(__xludf.DUMMYFUNCTION("""COMPUTED_VALUE"""),169.53)</f>
        <v>169.53</v>
      </c>
      <c r="AQ442" s="26">
        <f>IFERROR(__xludf.DUMMYFUNCTION("""COMPUTED_VALUE"""),35.81)</f>
        <v>35.81</v>
      </c>
      <c r="AR442" s="26">
        <f>IFERROR(__xludf.DUMMYFUNCTION("""COMPUTED_VALUE"""),100.88)</f>
        <v>100.88</v>
      </c>
      <c r="AS442" s="26">
        <f>IFERROR(__xludf.DUMMYFUNCTION("""COMPUTED_VALUE"""),77.36)</f>
        <v>77.36</v>
      </c>
      <c r="AT442" s="26">
        <f>IFERROR(__xludf.DUMMYFUNCTION("""COMPUTED_VALUE"""),401.84)</f>
        <v>401.84</v>
      </c>
      <c r="AU442" s="26">
        <f>IFERROR(__xludf.DUMMYFUNCTION("""COMPUTED_VALUE"""),91.93)</f>
        <v>91.93</v>
      </c>
      <c r="AV442" s="26">
        <f>IFERROR(__xludf.DUMMYFUNCTION("""COMPUTED_VALUE"""),186.94)</f>
        <v>186.94</v>
      </c>
      <c r="AW442" s="26">
        <f>IFERROR(__xludf.DUMMYFUNCTION("""COMPUTED_VALUE"""),91.75)</f>
        <v>91.75</v>
      </c>
      <c r="AX442" s="26">
        <f>IFERROR(__xludf.DUMMYFUNCTION("""COMPUTED_VALUE"""),44.27)</f>
        <v>44.27</v>
      </c>
      <c r="AY442" s="26">
        <f>IFERROR(__xludf.DUMMYFUNCTION("""COMPUTED_VALUE"""),129.13)</f>
        <v>129.13</v>
      </c>
      <c r="AZ442" s="26">
        <f>IFERROR(__xludf.DUMMYFUNCTION("""COMPUTED_VALUE"""),39.08)</f>
        <v>39.08</v>
      </c>
      <c r="BA442" s="26">
        <f>IFERROR(__xludf.DUMMYFUNCTION("""COMPUTED_VALUE"""),27.47)</f>
        <v>27.47</v>
      </c>
      <c r="BB442" s="26">
        <f>IFERROR(__xludf.DUMMYFUNCTION("""COMPUTED_VALUE"""),201.14)</f>
        <v>201.14</v>
      </c>
      <c r="BC442" s="26">
        <f>IFERROR(__xludf.DUMMYFUNCTION("""COMPUTED_VALUE"""),214.68)</f>
        <v>214.68</v>
      </c>
      <c r="BD442" s="26">
        <f>IFERROR(__xludf.DUMMYFUNCTION("""COMPUTED_VALUE"""),509.82)</f>
        <v>509.82</v>
      </c>
      <c r="BE442" s="26">
        <f>IFERROR(__xludf.DUMMYFUNCTION("""COMPUTED_VALUE"""),241.64)</f>
        <v>241.64</v>
      </c>
      <c r="BF442" s="26">
        <f>IFERROR(__xludf.DUMMYFUNCTION("""COMPUTED_VALUE"""),128.52)</f>
        <v>128.52</v>
      </c>
      <c r="BG442" s="26">
        <f>IFERROR(__xludf.DUMMYFUNCTION("""COMPUTED_VALUE"""),7.03)</f>
        <v>7.03</v>
      </c>
      <c r="BH442" s="26">
        <f>IFERROR(__xludf.DUMMYFUNCTION("""COMPUTED_VALUE"""),261.77)</f>
        <v>261.77</v>
      </c>
      <c r="BI442" s="26">
        <f>IFERROR(__xludf.DUMMYFUNCTION("""COMPUTED_VALUE"""),284.37)</f>
        <v>284.37</v>
      </c>
      <c r="BJ442" s="26">
        <f>IFERROR(__xludf.DUMMYFUNCTION("""COMPUTED_VALUE"""),49.74)</f>
        <v>49.74</v>
      </c>
      <c r="BK442" s="26">
        <f>IFERROR(__xludf.DUMMYFUNCTION("""COMPUTED_VALUE"""),15.79)</f>
        <v>15.79</v>
      </c>
      <c r="BL442" s="26">
        <f>IFERROR(__xludf.DUMMYFUNCTION("""COMPUTED_VALUE"""),231.01)</f>
        <v>231.01</v>
      </c>
      <c r="BM442" s="26">
        <f>IFERROR(__xludf.DUMMYFUNCTION("""COMPUTED_VALUE"""),102.38)</f>
        <v>102.38</v>
      </c>
    </row>
    <row r="443">
      <c r="A443" s="25"/>
      <c r="B443" s="17">
        <f>IFERROR(__xludf.DUMMYFUNCTION("""COMPUTED_VALUE"""),6843.22)</f>
        <v>6843.22</v>
      </c>
      <c r="C443" s="17">
        <f>IFERROR(__xludf.DUMMYFUNCTION("""COMPUTED_VALUE"""),22546.67)</f>
        <v>22546.67</v>
      </c>
      <c r="D443" s="17">
        <f>IFERROR(__xludf.DUMMYFUNCTION("""COMPUTED_VALUE"""),49500.93)</f>
        <v>49500.93</v>
      </c>
      <c r="E443" s="17">
        <f>IFERROR(__xludf.DUMMYFUNCTION("""COMPUTED_VALUE"""),2646.7)</f>
        <v>2646.7</v>
      </c>
      <c r="F443" s="26">
        <f>IFERROR(__xludf.DUMMYFUNCTION("""COMPUTED_VALUE"""),263.97)</f>
        <v>263.97</v>
      </c>
      <c r="G443" s="26">
        <f>IFERROR(__xludf.DUMMYFUNCTION("""COMPUTED_VALUE"""),198.79)</f>
        <v>198.79</v>
      </c>
      <c r="H443" s="26">
        <f>IFERROR(__xludf.DUMMYFUNCTION("""COMPUTED_VALUE"""),133.5)</f>
        <v>133.5</v>
      </c>
      <c r="I443" s="26">
        <f>IFERROR(__xludf.DUMMYFUNCTION("""COMPUTED_VALUE"""),255.78)</f>
        <v>255.78</v>
      </c>
      <c r="J443" s="26">
        <f>IFERROR(__xludf.DUMMYFUNCTION("""COMPUTED_VALUE"""),354.91)</f>
        <v>354.91</v>
      </c>
      <c r="K443" s="26">
        <f>IFERROR(__xludf.DUMMYFUNCTION("""COMPUTED_VALUE"""),117.74)</f>
        <v>117.74</v>
      </c>
      <c r="L443" s="26">
        <f>IFERROR(__xludf.DUMMYFUNCTION("""COMPUTED_VALUE"""),25.31)</f>
        <v>25.31</v>
      </c>
      <c r="M443" s="26">
        <f>IFERROR(__xludf.DUMMYFUNCTION("""COMPUTED_VALUE"""),497.55)</f>
        <v>497.55</v>
      </c>
      <c r="N443" s="26">
        <f>IFERROR(__xludf.DUMMYFUNCTION("""COMPUTED_VALUE"""),73.38)</f>
        <v>73.38</v>
      </c>
      <c r="O443" s="26">
        <f>IFERROR(__xludf.DUMMYFUNCTION("""COMPUTED_VALUE"""),196.52)</f>
        <v>196.52</v>
      </c>
      <c r="P443" s="26">
        <f>IFERROR(__xludf.DUMMYFUNCTION("""COMPUTED_VALUE"""),65.4)</f>
        <v>65.4</v>
      </c>
      <c r="Q443" s="26">
        <f>IFERROR(__xludf.DUMMYFUNCTION("""COMPUTED_VALUE"""),774.2)</f>
        <v>774.2</v>
      </c>
      <c r="R443" s="26">
        <f>IFERROR(__xludf.DUMMYFUNCTION("""COMPUTED_VALUE"""),112.9)</f>
        <v>112.9</v>
      </c>
      <c r="S443" s="26">
        <f>IFERROR(__xludf.DUMMYFUNCTION("""COMPUTED_VALUE"""),171.48)</f>
        <v>171.48</v>
      </c>
      <c r="T443" s="26">
        <f>IFERROR(__xludf.DUMMYFUNCTION("""COMPUTED_VALUE"""),183.74)</f>
        <v>183.74</v>
      </c>
      <c r="U443" s="26">
        <f>IFERROR(__xludf.DUMMYFUNCTION("""COMPUTED_VALUE"""),291.44)</f>
        <v>291.44</v>
      </c>
      <c r="V443" s="26">
        <f>IFERROR(__xludf.DUMMYFUNCTION("""COMPUTED_VALUE"""),65.1)</f>
        <v>65.1</v>
      </c>
      <c r="W443" s="26">
        <f>IFERROR(__xludf.DUMMYFUNCTION("""COMPUTED_VALUE"""),78.68)</f>
        <v>78.68</v>
      </c>
      <c r="X443" s="26">
        <f>IFERROR(__xludf.DUMMYFUNCTION("""COMPUTED_VALUE"""),113.72)</f>
        <v>113.72</v>
      </c>
      <c r="Y443" s="26">
        <f>IFERROR(__xludf.DUMMYFUNCTION("""COMPUTED_VALUE"""),180.97)</f>
        <v>180.97</v>
      </c>
      <c r="Z443" s="26">
        <f>IFERROR(__xludf.DUMMYFUNCTION("""COMPUTED_VALUE"""),126.06)</f>
        <v>126.06</v>
      </c>
      <c r="AA443" s="26">
        <f>IFERROR(__xludf.DUMMYFUNCTION("""COMPUTED_VALUE"""),375.5)</f>
        <v>375.5</v>
      </c>
      <c r="AB443" s="26">
        <f>IFERROR(__xludf.DUMMYFUNCTION("""COMPUTED_VALUE"""),82.38)</f>
        <v>82.38</v>
      </c>
      <c r="AC443" s="26">
        <f>IFERROR(__xludf.DUMMYFUNCTION("""COMPUTED_VALUE"""),148.45)</f>
        <v>148.45</v>
      </c>
      <c r="AD443" s="26">
        <f>IFERROR(__xludf.DUMMYFUNCTION("""COMPUTED_VALUE"""),374.72)</f>
        <v>374.72</v>
      </c>
      <c r="AE443" s="26">
        <f>IFERROR(__xludf.DUMMYFUNCTION("""COMPUTED_VALUE"""),379.08)</f>
        <v>379.08</v>
      </c>
      <c r="AF443" s="26">
        <f>IFERROR(__xludf.DUMMYFUNCTION("""COMPUTED_VALUE"""),347.64)</f>
        <v>347.64</v>
      </c>
      <c r="AG443" s="26">
        <f>IFERROR(__xludf.DUMMYFUNCTION("""COMPUTED_VALUE"""),81.08)</f>
        <v>81.08</v>
      </c>
      <c r="AH443" s="26">
        <f>IFERROR(__xludf.DUMMYFUNCTION("""COMPUTED_VALUE"""),154.98)</f>
        <v>154.98</v>
      </c>
      <c r="AI443" s="26">
        <f>IFERROR(__xludf.DUMMYFUNCTION("""COMPUTED_VALUE"""),905.14)</f>
        <v>905.14</v>
      </c>
      <c r="AJ443" s="26">
        <f>IFERROR(__xludf.DUMMYFUNCTION("""COMPUTED_VALUE"""),391.05)</f>
        <v>391.05</v>
      </c>
      <c r="AK443" s="26">
        <f>IFERROR(__xludf.DUMMYFUNCTION("""COMPUTED_VALUE"""),125.36)</f>
        <v>125.36</v>
      </c>
      <c r="AL443" s="26">
        <f>IFERROR(__xludf.DUMMYFUNCTION("""COMPUTED_VALUE"""),152.28)</f>
        <v>152.28</v>
      </c>
      <c r="AM443" s="26">
        <f>IFERROR(__xludf.DUMMYFUNCTION("""COMPUTED_VALUE"""),485.84)</f>
        <v>485.84</v>
      </c>
      <c r="AN443" s="26">
        <f>IFERROR(__xludf.DUMMYFUNCTION("""COMPUTED_VALUE"""),302.55)</f>
        <v>302.55</v>
      </c>
      <c r="AO443" s="26">
        <f>IFERROR(__xludf.DUMMYFUNCTION("""COMPUTED_VALUE"""),652.58)</f>
        <v>652.58</v>
      </c>
      <c r="AP443" s="26">
        <f>IFERROR(__xludf.DUMMYFUNCTION("""COMPUTED_VALUE"""),176.42)</f>
        <v>176.42</v>
      </c>
      <c r="AQ443" s="26">
        <f>IFERROR(__xludf.DUMMYFUNCTION("""COMPUTED_VALUE"""),36.77)</f>
        <v>36.77</v>
      </c>
      <c r="AR443" s="26">
        <f>IFERROR(__xludf.DUMMYFUNCTION("""COMPUTED_VALUE"""),99.49)</f>
        <v>99.49</v>
      </c>
      <c r="AS443" s="26">
        <f>IFERROR(__xludf.DUMMYFUNCTION("""COMPUTED_VALUE"""),77.31)</f>
        <v>77.31</v>
      </c>
      <c r="AT443" s="26">
        <f>IFERROR(__xludf.DUMMYFUNCTION("""COMPUTED_VALUE"""),401.32)</f>
        <v>401.32</v>
      </c>
      <c r="AU443" s="26">
        <f>IFERROR(__xludf.DUMMYFUNCTION("""COMPUTED_VALUE"""),93.8)</f>
        <v>93.8</v>
      </c>
      <c r="AV443" s="26">
        <f>IFERROR(__xludf.DUMMYFUNCTION("""COMPUTED_VALUE"""),182.81)</f>
        <v>182.81</v>
      </c>
      <c r="AW443" s="26">
        <f>IFERROR(__xludf.DUMMYFUNCTION("""COMPUTED_VALUE"""),89.83)</f>
        <v>89.83</v>
      </c>
      <c r="AX443" s="26">
        <f>IFERROR(__xludf.DUMMYFUNCTION("""COMPUTED_VALUE"""),45.29)</f>
        <v>45.29</v>
      </c>
      <c r="AY443" s="26">
        <f>IFERROR(__xludf.DUMMYFUNCTION("""COMPUTED_VALUE"""),131.41)</f>
        <v>131.41</v>
      </c>
      <c r="AZ443" s="26">
        <f>IFERROR(__xludf.DUMMYFUNCTION("""COMPUTED_VALUE"""),40.29)</f>
        <v>40.29</v>
      </c>
      <c r="BA443" s="26">
        <f>IFERROR(__xludf.DUMMYFUNCTION("""COMPUTED_VALUE"""),27.58)</f>
        <v>27.58</v>
      </c>
      <c r="BB443" s="26">
        <f>IFERROR(__xludf.DUMMYFUNCTION("""COMPUTED_VALUE"""),200.06)</f>
        <v>200.06</v>
      </c>
      <c r="BC443" s="26">
        <f>IFERROR(__xludf.DUMMYFUNCTION("""COMPUTED_VALUE"""),219.5)</f>
        <v>219.5</v>
      </c>
      <c r="BD443" s="26">
        <f>IFERROR(__xludf.DUMMYFUNCTION("""COMPUTED_VALUE"""),504.82)</f>
        <v>504.82</v>
      </c>
      <c r="BE443" s="26">
        <f>IFERROR(__xludf.DUMMYFUNCTION("""COMPUTED_VALUE"""),248.29)</f>
        <v>248.29</v>
      </c>
      <c r="BF443" s="26">
        <f>IFERROR(__xludf.DUMMYFUNCTION("""COMPUTED_VALUE"""),129.84)</f>
        <v>129.84</v>
      </c>
      <c r="BG443" s="26">
        <f>IFERROR(__xludf.DUMMYFUNCTION("""COMPUTED_VALUE"""),7.19)</f>
        <v>7.19</v>
      </c>
      <c r="BH443" s="26">
        <f>IFERROR(__xludf.DUMMYFUNCTION("""COMPUTED_VALUE"""),260.68)</f>
        <v>260.68</v>
      </c>
      <c r="BI443" s="26">
        <f>IFERROR(__xludf.DUMMYFUNCTION("""COMPUTED_VALUE"""),293.19)</f>
        <v>293.19</v>
      </c>
      <c r="BJ443" s="26">
        <f>IFERROR(__xludf.DUMMYFUNCTION("""COMPUTED_VALUE"""),49.77)</f>
        <v>49.77</v>
      </c>
      <c r="BK443" s="26">
        <f>IFERROR(__xludf.DUMMYFUNCTION("""COMPUTED_VALUE"""),15.77)</f>
        <v>15.77</v>
      </c>
      <c r="BL443" s="26">
        <f>IFERROR(__xludf.DUMMYFUNCTION("""COMPUTED_VALUE"""),234.52)</f>
        <v>234.52</v>
      </c>
      <c r="BM443" s="26">
        <f>IFERROR(__xludf.DUMMYFUNCTION("""COMPUTED_VALUE"""),105.45)</f>
        <v>105.45</v>
      </c>
    </row>
    <row r="444">
      <c r="A444" s="25"/>
      <c r="B444" s="17">
        <f>IFERROR(__xludf.DUMMYFUNCTION("""COMPUTED_VALUE"""),6881.31)</f>
        <v>6881.31</v>
      </c>
      <c r="C444" s="17">
        <f>IFERROR(__xludf.DUMMYFUNCTION("""COMPUTED_VALUE"""),22578.38)</f>
        <v>22578.38</v>
      </c>
      <c r="D444" s="17">
        <f>IFERROR(__xludf.DUMMYFUNCTION("""COMPUTED_VALUE"""),49533.19)</f>
        <v>49533.19</v>
      </c>
      <c r="E444" s="17">
        <f>IFERROR(__xludf.DUMMYFUNCTION("""COMPUTED_VALUE"""),2646.59)</f>
        <v>2646.59</v>
      </c>
      <c r="F444" s="26">
        <f>IFERROR(__xludf.DUMMYFUNCTION("""COMPUTED_VALUE"""),260.45)</f>
        <v>260.45</v>
      </c>
      <c r="G444" s="26">
        <f>IFERROR(__xludf.DUMMYFUNCTION("""COMPUTED_VALUE"""),201.15)</f>
        <v>201.15</v>
      </c>
      <c r="H444" s="26">
        <f>IFERROR(__xludf.DUMMYFUNCTION("""COMPUTED_VALUE"""),133.51)</f>
        <v>133.51</v>
      </c>
      <c r="I444" s="26">
        <f>IFERROR(__xludf.DUMMYFUNCTION("""COMPUTED_VALUE"""),263.88)</f>
        <v>263.88</v>
      </c>
      <c r="J444" s="26">
        <f>IFERROR(__xludf.DUMMYFUNCTION("""COMPUTED_VALUE"""),359.13)</f>
        <v>359.13</v>
      </c>
      <c r="K444" s="26">
        <f>IFERROR(__xludf.DUMMYFUNCTION("""COMPUTED_VALUE"""),118.8)</f>
        <v>118.8</v>
      </c>
      <c r="L444" s="26">
        <f>IFERROR(__xludf.DUMMYFUNCTION("""COMPUTED_VALUE"""),25.96)</f>
        <v>25.96</v>
      </c>
      <c r="M444" s="26">
        <f>IFERROR(__xludf.DUMMYFUNCTION("""COMPUTED_VALUE"""),503.41)</f>
        <v>503.41</v>
      </c>
      <c r="N444" s="26">
        <f>IFERROR(__xludf.DUMMYFUNCTION("""COMPUTED_VALUE"""),74.29)</f>
        <v>74.29</v>
      </c>
      <c r="O444" s="26">
        <f>IFERROR(__xludf.DUMMYFUNCTION("""COMPUTED_VALUE"""),195.62)</f>
        <v>195.62</v>
      </c>
      <c r="P444" s="26">
        <f>IFERROR(__xludf.DUMMYFUNCTION("""COMPUTED_VALUE"""),66.43)</f>
        <v>66.43</v>
      </c>
      <c r="Q444" s="26">
        <f>IFERROR(__xludf.DUMMYFUNCTION("""COMPUTED_VALUE"""),764.76)</f>
        <v>764.76</v>
      </c>
      <c r="R444" s="26">
        <f>IFERROR(__xludf.DUMMYFUNCTION("""COMPUTED_VALUE"""),112.94)</f>
        <v>112.94</v>
      </c>
      <c r="S444" s="26">
        <f>IFERROR(__xludf.DUMMYFUNCTION("""COMPUTED_VALUE"""),165.02)</f>
        <v>165.02</v>
      </c>
      <c r="T444" s="26">
        <f>IFERROR(__xludf.DUMMYFUNCTION("""COMPUTED_VALUE"""),180.55)</f>
        <v>180.55</v>
      </c>
      <c r="U444" s="26">
        <f>IFERROR(__xludf.DUMMYFUNCTION("""COMPUTED_VALUE"""),290.71)</f>
        <v>290.71</v>
      </c>
      <c r="V444" s="26">
        <f>IFERROR(__xludf.DUMMYFUNCTION("""COMPUTED_VALUE"""),64.39)</f>
        <v>64.39</v>
      </c>
      <c r="W444" s="26">
        <f>IFERROR(__xludf.DUMMYFUNCTION("""COMPUTED_VALUE"""),79.56)</f>
        <v>79.56</v>
      </c>
      <c r="X444" s="26">
        <f>IFERROR(__xludf.DUMMYFUNCTION("""COMPUTED_VALUE"""),113.92)</f>
        <v>113.92</v>
      </c>
      <c r="Y444" s="26">
        <f>IFERROR(__xludf.DUMMYFUNCTION("""COMPUTED_VALUE"""),179.89)</f>
        <v>179.89</v>
      </c>
      <c r="Z444" s="26">
        <f>IFERROR(__xludf.DUMMYFUNCTION("""COMPUTED_VALUE"""),128.52)</f>
        <v>128.52</v>
      </c>
      <c r="AA444" s="26">
        <f>IFERROR(__xludf.DUMMYFUNCTION("""COMPUTED_VALUE"""),373.5)</f>
        <v>373.5</v>
      </c>
      <c r="AB444" s="26">
        <f>IFERROR(__xludf.DUMMYFUNCTION("""COMPUTED_VALUE"""),79.95)</f>
        <v>79.95</v>
      </c>
      <c r="AC444" s="26">
        <f>IFERROR(__xludf.DUMMYFUNCTION("""COMPUTED_VALUE"""),146.19)</f>
        <v>146.19</v>
      </c>
      <c r="AD444" s="26">
        <f>IFERROR(__xludf.DUMMYFUNCTION("""COMPUTED_VALUE"""),375.3)</f>
        <v>375.3</v>
      </c>
      <c r="AE444" s="26">
        <f>IFERROR(__xludf.DUMMYFUNCTION("""COMPUTED_VALUE"""),374.99)</f>
        <v>374.99</v>
      </c>
      <c r="AF444" s="26">
        <f>IFERROR(__xludf.DUMMYFUNCTION("""COMPUTED_VALUE"""),342.52)</f>
        <v>342.52</v>
      </c>
      <c r="AG444" s="26">
        <f>IFERROR(__xludf.DUMMYFUNCTION("""COMPUTED_VALUE"""),81.22)</f>
        <v>81.22</v>
      </c>
      <c r="AH444" s="26">
        <f>IFERROR(__xludf.DUMMYFUNCTION("""COMPUTED_VALUE"""),155.27)</f>
        <v>155.27</v>
      </c>
      <c r="AI444" s="26">
        <f>IFERROR(__xludf.DUMMYFUNCTION("""COMPUTED_VALUE"""),916.04)</f>
        <v>916.04</v>
      </c>
      <c r="AJ444" s="26">
        <f>IFERROR(__xludf.DUMMYFUNCTION("""COMPUTED_VALUE"""),383.04)</f>
        <v>383.04</v>
      </c>
      <c r="AK444" s="26">
        <f>IFERROR(__xludf.DUMMYFUNCTION("""COMPUTED_VALUE"""),130.21)</f>
        <v>130.21</v>
      </c>
      <c r="AL444" s="26">
        <f>IFERROR(__xludf.DUMMYFUNCTION("""COMPUTED_VALUE"""),153.44)</f>
        <v>153.44</v>
      </c>
      <c r="AM444" s="26">
        <f>IFERROR(__xludf.DUMMYFUNCTION("""COMPUTED_VALUE"""),493.35)</f>
        <v>493.35</v>
      </c>
      <c r="AN444" s="26">
        <f>IFERROR(__xludf.DUMMYFUNCTION("""COMPUTED_VALUE"""),307.13)</f>
        <v>307.13</v>
      </c>
      <c r="AO444" s="26">
        <f>IFERROR(__xludf.DUMMYFUNCTION("""COMPUTED_VALUE"""),649.58)</f>
        <v>649.58</v>
      </c>
      <c r="AP444" s="26">
        <f>IFERROR(__xludf.DUMMYFUNCTION("""COMPUTED_VALUE"""),177.72)</f>
        <v>177.72</v>
      </c>
      <c r="AQ444" s="26">
        <f>IFERROR(__xludf.DUMMYFUNCTION("""COMPUTED_VALUE"""),37.17)</f>
        <v>37.17</v>
      </c>
      <c r="AR444" s="26">
        <f>IFERROR(__xludf.DUMMYFUNCTION("""COMPUTED_VALUE"""),96.41)</f>
        <v>96.41</v>
      </c>
      <c r="AS444" s="26">
        <f>IFERROR(__xludf.DUMMYFUNCTION("""COMPUTED_VALUE"""),78.58)</f>
        <v>78.58</v>
      </c>
      <c r="AT444" s="26">
        <f>IFERROR(__xludf.DUMMYFUNCTION("""COMPUTED_VALUE"""),396.86)</f>
        <v>396.86</v>
      </c>
      <c r="AU444" s="26">
        <f>IFERROR(__xludf.DUMMYFUNCTION("""COMPUTED_VALUE"""),92.71)</f>
        <v>92.71</v>
      </c>
      <c r="AV444" s="26">
        <f>IFERROR(__xludf.DUMMYFUNCTION("""COMPUTED_VALUE"""),184.97)</f>
        <v>184.97</v>
      </c>
      <c r="AW444" s="26">
        <f>IFERROR(__xludf.DUMMYFUNCTION("""COMPUTED_VALUE"""),92.44)</f>
        <v>92.44</v>
      </c>
      <c r="AX444" s="26">
        <f>IFERROR(__xludf.DUMMYFUNCTION("""COMPUTED_VALUE"""),46.66)</f>
        <v>46.66</v>
      </c>
      <c r="AY444" s="26">
        <f>IFERROR(__xludf.DUMMYFUNCTION("""COMPUTED_VALUE"""),133.02)</f>
        <v>133.02</v>
      </c>
      <c r="AZ444" s="26">
        <f>IFERROR(__xludf.DUMMYFUNCTION("""COMPUTED_VALUE"""),40.81)</f>
        <v>40.81</v>
      </c>
      <c r="BA444" s="26">
        <f>IFERROR(__xludf.DUMMYFUNCTION("""COMPUTED_VALUE"""),27.37)</f>
        <v>27.37</v>
      </c>
      <c r="BB444" s="26">
        <f>IFERROR(__xludf.DUMMYFUNCTION("""COMPUTED_VALUE"""),203.5)</f>
        <v>203.5</v>
      </c>
      <c r="BC444" s="26">
        <f>IFERROR(__xludf.DUMMYFUNCTION("""COMPUTED_VALUE"""),219.61)</f>
        <v>219.61</v>
      </c>
      <c r="BD444" s="26">
        <f>IFERROR(__xludf.DUMMYFUNCTION("""COMPUTED_VALUE"""),501.59)</f>
        <v>501.59</v>
      </c>
      <c r="BE444" s="26">
        <f>IFERROR(__xludf.DUMMYFUNCTION("""COMPUTED_VALUE"""),245.51)</f>
        <v>245.51</v>
      </c>
      <c r="BF444" s="26">
        <f>IFERROR(__xludf.DUMMYFUNCTION("""COMPUTED_VALUE"""),133.82)</f>
        <v>133.82</v>
      </c>
      <c r="BG444" s="26">
        <f>IFERROR(__xludf.DUMMYFUNCTION("""COMPUTED_VALUE"""),7.72)</f>
        <v>7.72</v>
      </c>
      <c r="BH444" s="26">
        <f>IFERROR(__xludf.DUMMYFUNCTION("""COMPUTED_VALUE"""),262.8)</f>
        <v>262.8</v>
      </c>
      <c r="BI444" s="26">
        <f>IFERROR(__xludf.DUMMYFUNCTION("""COMPUTED_VALUE"""),289.09)</f>
        <v>289.09</v>
      </c>
      <c r="BJ444" s="26">
        <f>IFERROR(__xludf.DUMMYFUNCTION("""COMPUTED_VALUE"""),49.69)</f>
        <v>49.69</v>
      </c>
      <c r="BK444" s="26">
        <f>IFERROR(__xludf.DUMMYFUNCTION("""COMPUTED_VALUE"""),15.74)</f>
        <v>15.74</v>
      </c>
      <c r="BL444" s="26">
        <f>IFERROR(__xludf.DUMMYFUNCTION("""COMPUTED_VALUE"""),235.22)</f>
        <v>235.22</v>
      </c>
      <c r="BM444" s="26">
        <f>IFERROR(__xludf.DUMMYFUNCTION("""COMPUTED_VALUE"""),105.44)</f>
        <v>105.44</v>
      </c>
    </row>
    <row r="445">
      <c r="A445" s="25"/>
      <c r="B445" s="17">
        <f>IFERROR(__xludf.DUMMYFUNCTION("""COMPUTED_VALUE"""),6861.89)</f>
        <v>6861.89</v>
      </c>
      <c r="C445" s="17">
        <f>IFERROR(__xludf.DUMMYFUNCTION("""COMPUTED_VALUE"""),22753.64)</f>
        <v>22753.64</v>
      </c>
      <c r="D445" s="17">
        <f>IFERROR(__xludf.DUMMYFUNCTION("""COMPUTED_VALUE"""),49662.66)</f>
        <v>49662.66</v>
      </c>
      <c r="E445" s="17">
        <f>IFERROR(__xludf.DUMMYFUNCTION("""COMPUTED_VALUE"""),2658.61)</f>
        <v>2658.61</v>
      </c>
      <c r="F445" s="26">
        <f>IFERROR(__xludf.DUMMYFUNCTION("""COMPUTED_VALUE"""),263.17)</f>
        <v>263.17</v>
      </c>
      <c r="G445" s="26">
        <f>IFERROR(__xludf.DUMMYFUNCTION("""COMPUTED_VALUE"""),204.79)</f>
        <v>204.79</v>
      </c>
      <c r="H445" s="26">
        <f>IFERROR(__xludf.DUMMYFUNCTION("""COMPUTED_VALUE"""),131.16)</f>
        <v>131.16</v>
      </c>
      <c r="I445" s="26">
        <f>IFERROR(__xludf.DUMMYFUNCTION("""COMPUTED_VALUE"""),264.35)</f>
        <v>264.35</v>
      </c>
      <c r="J445" s="26">
        <f>IFERROR(__xludf.DUMMYFUNCTION("""COMPUTED_VALUE"""),369.3)</f>
        <v>369.3</v>
      </c>
      <c r="K445" s="26">
        <f>IFERROR(__xludf.DUMMYFUNCTION("""COMPUTED_VALUE"""),119.49)</f>
        <v>119.49</v>
      </c>
      <c r="L445" s="26">
        <f>IFERROR(__xludf.DUMMYFUNCTION("""COMPUTED_VALUE"""),26.42)</f>
        <v>26.42</v>
      </c>
      <c r="M445" s="26">
        <f>IFERROR(__xludf.DUMMYFUNCTION("""COMPUTED_VALUE"""),499.07)</f>
        <v>499.07</v>
      </c>
      <c r="N445" s="26">
        <f>IFERROR(__xludf.DUMMYFUNCTION("""COMPUTED_VALUE"""),74.53)</f>
        <v>74.53</v>
      </c>
      <c r="O445" s="26">
        <f>IFERROR(__xludf.DUMMYFUNCTION("""COMPUTED_VALUE"""),194.13)</f>
        <v>194.13</v>
      </c>
      <c r="P445" s="26">
        <f>IFERROR(__xludf.DUMMYFUNCTION("""COMPUTED_VALUE"""),64.33)</f>
        <v>64.33</v>
      </c>
      <c r="Q445" s="26">
        <f>IFERROR(__xludf.DUMMYFUNCTION("""COMPUTED_VALUE"""),751.97)</f>
        <v>751.97</v>
      </c>
      <c r="R445" s="26">
        <f>IFERROR(__xludf.DUMMYFUNCTION("""COMPUTED_VALUE"""),116.5)</f>
        <v>116.5</v>
      </c>
      <c r="S445" s="26">
        <f>IFERROR(__xludf.DUMMYFUNCTION("""COMPUTED_VALUE"""),164.01)</f>
        <v>164.01</v>
      </c>
      <c r="T445" s="26">
        <f>IFERROR(__xludf.DUMMYFUNCTION("""COMPUTED_VALUE"""),183.87)</f>
        <v>183.87</v>
      </c>
      <c r="U445" s="26">
        <f>IFERROR(__xludf.DUMMYFUNCTION("""COMPUTED_VALUE"""),290.12)</f>
        <v>290.12</v>
      </c>
      <c r="V445" s="26">
        <f>IFERROR(__xludf.DUMMYFUNCTION("""COMPUTED_VALUE"""),65.04)</f>
        <v>65.04</v>
      </c>
      <c r="W445" s="26">
        <f>IFERROR(__xludf.DUMMYFUNCTION("""COMPUTED_VALUE"""),79.49)</f>
        <v>79.49</v>
      </c>
      <c r="X445" s="26">
        <f>IFERROR(__xludf.DUMMYFUNCTION("""COMPUTED_VALUE"""),111.61)</f>
        <v>111.61</v>
      </c>
      <c r="Y445" s="26">
        <f>IFERROR(__xludf.DUMMYFUNCTION("""COMPUTED_VALUE"""),176.02)</f>
        <v>176.02</v>
      </c>
      <c r="Z445" s="26">
        <f>IFERROR(__xludf.DUMMYFUNCTION("""COMPUTED_VALUE"""),132.54)</f>
        <v>132.54</v>
      </c>
      <c r="AA445" s="26">
        <f>IFERROR(__xludf.DUMMYFUNCTION("""COMPUTED_VALUE"""),382.99)</f>
        <v>382.99</v>
      </c>
      <c r="AB445" s="26">
        <f>IFERROR(__xludf.DUMMYFUNCTION("""COMPUTED_VALUE"""),82.18)</f>
        <v>82.18</v>
      </c>
      <c r="AC445" s="26">
        <f>IFERROR(__xludf.DUMMYFUNCTION("""COMPUTED_VALUE"""),150.68)</f>
        <v>150.68</v>
      </c>
      <c r="AD445" s="26">
        <f>IFERROR(__xludf.DUMMYFUNCTION("""COMPUTED_VALUE"""),383.08)</f>
        <v>383.08</v>
      </c>
      <c r="AE445" s="26">
        <f>IFERROR(__xludf.DUMMYFUNCTION("""COMPUTED_VALUE"""),366.43)</f>
        <v>366.43</v>
      </c>
      <c r="AF445" s="26">
        <f>IFERROR(__xludf.DUMMYFUNCTION("""COMPUTED_VALUE"""),349.49)</f>
        <v>349.49</v>
      </c>
      <c r="AG445" s="26">
        <f>IFERROR(__xludf.DUMMYFUNCTION("""COMPUTED_VALUE"""),83.67)</f>
        <v>83.67</v>
      </c>
      <c r="AH445" s="26">
        <f>IFERROR(__xludf.DUMMYFUNCTION("""COMPUTED_VALUE"""),152.74)</f>
        <v>152.74</v>
      </c>
      <c r="AI445" s="26">
        <f>IFERROR(__xludf.DUMMYFUNCTION("""COMPUTED_VALUE"""),933.73)</f>
        <v>933.73</v>
      </c>
      <c r="AJ445" s="26">
        <f>IFERROR(__xludf.DUMMYFUNCTION("""COMPUTED_VALUE"""),383.52)</f>
        <v>383.52</v>
      </c>
      <c r="AK445" s="26">
        <f>IFERROR(__xludf.DUMMYFUNCTION("""COMPUTED_VALUE"""),133.62)</f>
        <v>133.62</v>
      </c>
      <c r="AL445" s="26">
        <f>IFERROR(__xludf.DUMMYFUNCTION("""COMPUTED_VALUE"""),155.19)</f>
        <v>155.19</v>
      </c>
      <c r="AM445" s="26">
        <f>IFERROR(__xludf.DUMMYFUNCTION("""COMPUTED_VALUE"""),500.76)</f>
        <v>500.76</v>
      </c>
      <c r="AN445" s="26">
        <f>IFERROR(__xludf.DUMMYFUNCTION("""COMPUTED_VALUE"""),308.78)</f>
        <v>308.78</v>
      </c>
      <c r="AO445" s="26">
        <f>IFERROR(__xludf.DUMMYFUNCTION("""COMPUTED_VALUE"""),649.81)</f>
        <v>649.81</v>
      </c>
      <c r="AP445" s="26">
        <f>IFERROR(__xludf.DUMMYFUNCTION("""COMPUTED_VALUE"""),182.13)</f>
        <v>182.13</v>
      </c>
      <c r="AQ445" s="26">
        <f>IFERROR(__xludf.DUMMYFUNCTION("""COMPUTED_VALUE"""),36.98)</f>
        <v>36.98</v>
      </c>
      <c r="AR445" s="26">
        <f>IFERROR(__xludf.DUMMYFUNCTION("""COMPUTED_VALUE"""),98.49)</f>
        <v>98.49</v>
      </c>
      <c r="AS445" s="26">
        <f>IFERROR(__xludf.DUMMYFUNCTION("""COMPUTED_VALUE"""),79.22)</f>
        <v>79.22</v>
      </c>
      <c r="AT445" s="26">
        <f>IFERROR(__xludf.DUMMYFUNCTION("""COMPUTED_VALUE"""),399.6)</f>
        <v>399.6</v>
      </c>
      <c r="AU445" s="26">
        <f>IFERROR(__xludf.DUMMYFUNCTION("""COMPUTED_VALUE"""),91.22)</f>
        <v>91.22</v>
      </c>
      <c r="AV445" s="26">
        <f>IFERROR(__xludf.DUMMYFUNCTION("""COMPUTED_VALUE"""),187.98)</f>
        <v>187.98</v>
      </c>
      <c r="AW445" s="26">
        <f>IFERROR(__xludf.DUMMYFUNCTION("""COMPUTED_VALUE"""),92.77)</f>
        <v>92.77</v>
      </c>
      <c r="AX445" s="26">
        <f>IFERROR(__xludf.DUMMYFUNCTION("""COMPUTED_VALUE"""),47.33)</f>
        <v>47.33</v>
      </c>
      <c r="AY445" s="26">
        <f>IFERROR(__xludf.DUMMYFUNCTION("""COMPUTED_VALUE"""),135.38)</f>
        <v>135.38</v>
      </c>
      <c r="AZ445" s="26">
        <f>IFERROR(__xludf.DUMMYFUNCTION("""COMPUTED_VALUE"""),41.45)</f>
        <v>41.45</v>
      </c>
      <c r="BA445" s="26">
        <f>IFERROR(__xludf.DUMMYFUNCTION("""COMPUTED_VALUE"""),27.37)</f>
        <v>27.37</v>
      </c>
      <c r="BB445" s="26">
        <f>IFERROR(__xludf.DUMMYFUNCTION("""COMPUTED_VALUE"""),204.81)</f>
        <v>204.81</v>
      </c>
      <c r="BC445" s="26">
        <f>IFERROR(__xludf.DUMMYFUNCTION("""COMPUTED_VALUE"""),213.25)</f>
        <v>213.25</v>
      </c>
      <c r="BD445" s="26">
        <f>IFERROR(__xludf.DUMMYFUNCTION("""COMPUTED_VALUE"""),513.56)</f>
        <v>513.56</v>
      </c>
      <c r="BE445" s="26">
        <f>IFERROR(__xludf.DUMMYFUNCTION("""COMPUTED_VALUE"""),243.2)</f>
        <v>243.2</v>
      </c>
      <c r="BF445" s="26">
        <f>IFERROR(__xludf.DUMMYFUNCTION("""COMPUTED_VALUE"""),135.5)</f>
        <v>135.5</v>
      </c>
      <c r="BG445" s="26">
        <f>IFERROR(__xludf.DUMMYFUNCTION("""COMPUTED_VALUE"""),7.86)</f>
        <v>7.86</v>
      </c>
      <c r="BH445" s="26">
        <f>IFERROR(__xludf.DUMMYFUNCTION("""COMPUTED_VALUE"""),265.0)</f>
        <v>265</v>
      </c>
      <c r="BI445" s="26">
        <f>IFERROR(__xludf.DUMMYFUNCTION("""COMPUTED_VALUE"""),288.2)</f>
        <v>288.2</v>
      </c>
      <c r="BJ445" s="26">
        <f>IFERROR(__xludf.DUMMYFUNCTION("""COMPUTED_VALUE"""),49.71)</f>
        <v>49.71</v>
      </c>
      <c r="BK445" s="26">
        <f>IFERROR(__xludf.DUMMYFUNCTION("""COMPUTED_VALUE"""),16.05)</f>
        <v>16.05</v>
      </c>
      <c r="BL445" s="26">
        <f>IFERROR(__xludf.DUMMYFUNCTION("""COMPUTED_VALUE"""),234.06)</f>
        <v>234.06</v>
      </c>
      <c r="BM445" s="26">
        <f>IFERROR(__xludf.DUMMYFUNCTION("""COMPUTED_VALUE"""),107.1)</f>
        <v>107.1</v>
      </c>
    </row>
    <row r="446">
      <c r="A446" s="25"/>
      <c r="B446" s="17">
        <f>IFERROR(__xludf.DUMMYFUNCTION("""COMPUTED_VALUE"""),6909.51)</f>
        <v>6909.51</v>
      </c>
      <c r="C446" s="17">
        <f>IFERROR(__xludf.DUMMYFUNCTION("""COMPUTED_VALUE"""),22682.73)</f>
        <v>22682.73</v>
      </c>
      <c r="D446" s="17">
        <f>IFERROR(__xludf.DUMMYFUNCTION("""COMPUTED_VALUE"""),49395.16)</f>
        <v>49395.16</v>
      </c>
      <c r="E446" s="17">
        <f>IFERROR(__xludf.DUMMYFUNCTION("""COMPUTED_VALUE"""),2665.09)</f>
        <v>2665.09</v>
      </c>
      <c r="F446" s="26">
        <f>IFERROR(__xludf.DUMMYFUNCTION("""COMPUTED_VALUE"""),259.21)</f>
        <v>259.21</v>
      </c>
      <c r="G446" s="26">
        <f>IFERROR(__xludf.DUMMYFUNCTION("""COMPUTED_VALUE"""),204.86)</f>
        <v>204.86</v>
      </c>
      <c r="H446" s="26">
        <f>IFERROR(__xludf.DUMMYFUNCTION("""COMPUTED_VALUE"""),131.36)</f>
        <v>131.36</v>
      </c>
      <c r="I446" s="26">
        <f>IFERROR(__xludf.DUMMYFUNCTION("""COMPUTED_VALUE"""),260.58)</f>
        <v>260.58</v>
      </c>
      <c r="J446" s="26">
        <f>IFERROR(__xludf.DUMMYFUNCTION("""COMPUTED_VALUE"""),369.83)</f>
        <v>369.83</v>
      </c>
      <c r="K446" s="26">
        <f>IFERROR(__xludf.DUMMYFUNCTION("""COMPUTED_VALUE"""),118.16)</f>
        <v>118.16</v>
      </c>
      <c r="L446" s="26">
        <f>IFERROR(__xludf.DUMMYFUNCTION("""COMPUTED_VALUE"""),25.91)</f>
        <v>25.91</v>
      </c>
      <c r="M446" s="26">
        <f>IFERROR(__xludf.DUMMYFUNCTION("""COMPUTED_VALUE"""),496.94)</f>
        <v>496.94</v>
      </c>
      <c r="N446" s="26">
        <f>IFERROR(__xludf.DUMMYFUNCTION("""COMPUTED_VALUE"""),75.07)</f>
        <v>75.07</v>
      </c>
      <c r="O446" s="26">
        <f>IFERROR(__xludf.DUMMYFUNCTION("""COMPUTED_VALUE"""),192.08)</f>
        <v>192.08</v>
      </c>
      <c r="P446" s="26">
        <f>IFERROR(__xludf.DUMMYFUNCTION("""COMPUTED_VALUE"""),62.92)</f>
        <v>62.92</v>
      </c>
      <c r="Q446" s="26">
        <f>IFERROR(__xludf.DUMMYFUNCTION("""COMPUTED_VALUE"""),760.53)</f>
        <v>760.53</v>
      </c>
      <c r="R446" s="26">
        <f>IFERROR(__xludf.DUMMYFUNCTION("""COMPUTED_VALUE"""),119.03)</f>
        <v>119.03</v>
      </c>
      <c r="S446" s="26">
        <f>IFERROR(__xludf.DUMMYFUNCTION("""COMPUTED_VALUE"""),159.05)</f>
        <v>159.05</v>
      </c>
      <c r="T446" s="26">
        <f>IFERROR(__xludf.DUMMYFUNCTION("""COMPUTED_VALUE"""),184.78)</f>
        <v>184.78</v>
      </c>
      <c r="U446" s="26">
        <f>IFERROR(__xludf.DUMMYFUNCTION("""COMPUTED_VALUE"""),285.92)</f>
        <v>285.92</v>
      </c>
      <c r="V446" s="26">
        <f>IFERROR(__xludf.DUMMYFUNCTION("""COMPUTED_VALUE"""),64.59)</f>
        <v>64.59</v>
      </c>
      <c r="W446" s="26">
        <f>IFERROR(__xludf.DUMMYFUNCTION("""COMPUTED_VALUE"""),78.91)</f>
        <v>78.91</v>
      </c>
      <c r="X446" s="26">
        <f>IFERROR(__xludf.DUMMYFUNCTION("""COMPUTED_VALUE"""),111.92)</f>
        <v>111.92</v>
      </c>
      <c r="Y446" s="26">
        <f>IFERROR(__xludf.DUMMYFUNCTION("""COMPUTED_VALUE"""),176.9)</f>
        <v>176.9</v>
      </c>
      <c r="Z446" s="26">
        <f>IFERROR(__xludf.DUMMYFUNCTION("""COMPUTED_VALUE"""),133.57)</f>
        <v>133.57</v>
      </c>
      <c r="AA446" s="26">
        <f>IFERROR(__xludf.DUMMYFUNCTION("""COMPUTED_VALUE"""),385.13)</f>
        <v>385.13</v>
      </c>
      <c r="AB446" s="26">
        <f>IFERROR(__xludf.DUMMYFUNCTION("""COMPUTED_VALUE"""),84.75)</f>
        <v>84.75</v>
      </c>
      <c r="AC446" s="26">
        <f>IFERROR(__xludf.DUMMYFUNCTION("""COMPUTED_VALUE"""),150.97)</f>
        <v>150.97</v>
      </c>
      <c r="AD446" s="26">
        <f>IFERROR(__xludf.DUMMYFUNCTION("""COMPUTED_VALUE"""),383.14)</f>
        <v>383.14</v>
      </c>
      <c r="AE446" s="26">
        <f>IFERROR(__xludf.DUMMYFUNCTION("""COMPUTED_VALUE"""),366.5)</f>
        <v>366.5</v>
      </c>
      <c r="AF446" s="26">
        <f>IFERROR(__xludf.DUMMYFUNCTION("""COMPUTED_VALUE"""),354.34)</f>
        <v>354.34</v>
      </c>
      <c r="AG446" s="26">
        <f>IFERROR(__xludf.DUMMYFUNCTION("""COMPUTED_VALUE"""),81.47)</f>
        <v>81.47</v>
      </c>
      <c r="AH446" s="26">
        <f>IFERROR(__xludf.DUMMYFUNCTION("""COMPUTED_VALUE"""),151.12)</f>
        <v>151.12</v>
      </c>
      <c r="AI446" s="26">
        <f>IFERROR(__xludf.DUMMYFUNCTION("""COMPUTED_VALUE"""),916.65)</f>
        <v>916.65</v>
      </c>
      <c r="AJ446" s="26">
        <f>IFERROR(__xludf.DUMMYFUNCTION("""COMPUTED_VALUE"""),378.58)</f>
        <v>378.58</v>
      </c>
      <c r="AK446" s="26">
        <f>IFERROR(__xludf.DUMMYFUNCTION("""COMPUTED_VALUE"""),130.94)</f>
        <v>130.94</v>
      </c>
      <c r="AL446" s="26">
        <f>IFERROR(__xludf.DUMMYFUNCTION("""COMPUTED_VALUE"""),154.11)</f>
        <v>154.11</v>
      </c>
      <c r="AM446" s="26">
        <f>IFERROR(__xludf.DUMMYFUNCTION("""COMPUTED_VALUE"""),499.53)</f>
        <v>499.53</v>
      </c>
      <c r="AN446" s="26">
        <f>IFERROR(__xludf.DUMMYFUNCTION("""COMPUTED_VALUE"""),308.05)</f>
        <v>308.05</v>
      </c>
      <c r="AO446" s="26">
        <f>IFERROR(__xludf.DUMMYFUNCTION("""COMPUTED_VALUE"""),666.51)</f>
        <v>666.51</v>
      </c>
      <c r="AP446" s="26">
        <f>IFERROR(__xludf.DUMMYFUNCTION("""COMPUTED_VALUE"""),182.88)</f>
        <v>182.88</v>
      </c>
      <c r="AQ446" s="26">
        <f>IFERROR(__xludf.DUMMYFUNCTION("""COMPUTED_VALUE"""),36.17)</f>
        <v>36.17</v>
      </c>
      <c r="AR446" s="26">
        <f>IFERROR(__xludf.DUMMYFUNCTION("""COMPUTED_VALUE"""),97.58)</f>
        <v>97.58</v>
      </c>
      <c r="AS446" s="26">
        <f>IFERROR(__xludf.DUMMYFUNCTION("""COMPUTED_VALUE"""),78.1)</f>
        <v>78.1</v>
      </c>
      <c r="AT446" s="26">
        <f>IFERROR(__xludf.DUMMYFUNCTION("""COMPUTED_VALUE"""),398.46)</f>
        <v>398.46</v>
      </c>
      <c r="AU446" s="26">
        <f>IFERROR(__xludf.DUMMYFUNCTION("""COMPUTED_VALUE"""),91.64)</f>
        <v>91.64</v>
      </c>
      <c r="AV446" s="26">
        <f>IFERROR(__xludf.DUMMYFUNCTION("""COMPUTED_VALUE"""),187.9)</f>
        <v>187.9</v>
      </c>
      <c r="AW446" s="26">
        <f>IFERROR(__xludf.DUMMYFUNCTION("""COMPUTED_VALUE"""),93.04)</f>
        <v>93.04</v>
      </c>
      <c r="AX446" s="26">
        <f>IFERROR(__xludf.DUMMYFUNCTION("""COMPUTED_VALUE"""),48.02)</f>
        <v>48.02</v>
      </c>
      <c r="AY446" s="26">
        <f>IFERROR(__xludf.DUMMYFUNCTION("""COMPUTED_VALUE"""),134.89)</f>
        <v>134.89</v>
      </c>
      <c r="AZ446" s="26">
        <f>IFERROR(__xludf.DUMMYFUNCTION("""COMPUTED_VALUE"""),41.73)</f>
        <v>41.73</v>
      </c>
      <c r="BA446" s="26">
        <f>IFERROR(__xludf.DUMMYFUNCTION("""COMPUTED_VALUE"""),26.86)</f>
        <v>26.86</v>
      </c>
      <c r="BB446" s="26">
        <f>IFERROR(__xludf.DUMMYFUNCTION("""COMPUTED_VALUE"""),205.41)</f>
        <v>205.41</v>
      </c>
      <c r="BC446" s="26">
        <f>IFERROR(__xludf.DUMMYFUNCTION("""COMPUTED_VALUE"""),215.3)</f>
        <v>215.3</v>
      </c>
      <c r="BD446" s="26">
        <f>IFERROR(__xludf.DUMMYFUNCTION("""COMPUTED_VALUE"""),515.12)</f>
        <v>515.12</v>
      </c>
      <c r="BE446" s="26">
        <f>IFERROR(__xludf.DUMMYFUNCTION("""COMPUTED_VALUE"""),241.65)</f>
        <v>241.65</v>
      </c>
      <c r="BF446" s="26">
        <f>IFERROR(__xludf.DUMMYFUNCTION("""COMPUTED_VALUE"""),132.88)</f>
        <v>132.88</v>
      </c>
      <c r="BG446" s="26">
        <f>IFERROR(__xludf.DUMMYFUNCTION("""COMPUTED_VALUE"""),7.71)</f>
        <v>7.71</v>
      </c>
      <c r="BH446" s="26">
        <f>IFERROR(__xludf.DUMMYFUNCTION("""COMPUTED_VALUE"""),262.97)</f>
        <v>262.97</v>
      </c>
      <c r="BI446" s="26">
        <f>IFERROR(__xludf.DUMMYFUNCTION("""COMPUTED_VALUE"""),289.93)</f>
        <v>289.93</v>
      </c>
      <c r="BJ446" s="26">
        <f>IFERROR(__xludf.DUMMYFUNCTION("""COMPUTED_VALUE"""),49.74)</f>
        <v>49.74</v>
      </c>
      <c r="BK446" s="26">
        <f>IFERROR(__xludf.DUMMYFUNCTION("""COMPUTED_VALUE"""),15.98)</f>
        <v>15.98</v>
      </c>
      <c r="BL446" s="26">
        <f>IFERROR(__xludf.DUMMYFUNCTION("""COMPUTED_VALUE"""),233.42)</f>
        <v>233.42</v>
      </c>
      <c r="BM446" s="26">
        <f>IFERROR(__xludf.DUMMYFUNCTION("""COMPUTED_VALUE"""),106.0)</f>
        <v>106</v>
      </c>
    </row>
    <row r="447">
      <c r="A447" s="25"/>
      <c r="B447" s="17">
        <f>IFERROR(__xludf.DUMMYFUNCTION("""COMPUTED_VALUE"""),6837.75)</f>
        <v>6837.75</v>
      </c>
      <c r="C447" s="17">
        <f>IFERROR(__xludf.DUMMYFUNCTION("""COMPUTED_VALUE"""),22886.07)</f>
        <v>22886.07</v>
      </c>
      <c r="D447" s="17">
        <f>IFERROR(__xludf.DUMMYFUNCTION("""COMPUTED_VALUE"""),49625.97)</f>
        <v>49625.97</v>
      </c>
      <c r="E447" s="17">
        <f>IFERROR(__xludf.DUMMYFUNCTION("""COMPUTED_VALUE"""),2663.78)</f>
        <v>2663.78</v>
      </c>
      <c r="F447" s="26">
        <f>IFERROR(__xludf.DUMMYFUNCTION("""COMPUTED_VALUE"""),258.61)</f>
        <v>258.61</v>
      </c>
      <c r="G447" s="26">
        <f>IFERROR(__xludf.DUMMYFUNCTION("""COMPUTED_VALUE"""),210.11)</f>
        <v>210.11</v>
      </c>
      <c r="H447" s="26">
        <f>IFERROR(__xludf.DUMMYFUNCTION("""COMPUTED_VALUE"""),129.37)</f>
        <v>129.37</v>
      </c>
      <c r="I447" s="26">
        <f>IFERROR(__xludf.DUMMYFUNCTION("""COMPUTED_VALUE"""),264.58)</f>
        <v>264.58</v>
      </c>
      <c r="J447" s="26">
        <f>IFERROR(__xludf.DUMMYFUNCTION("""COMPUTED_VALUE"""),375.38)</f>
        <v>375.38</v>
      </c>
      <c r="K447" s="26">
        <f>IFERROR(__xludf.DUMMYFUNCTION("""COMPUTED_VALUE"""),118.19)</f>
        <v>118.19</v>
      </c>
      <c r="L447" s="26">
        <f>IFERROR(__xludf.DUMMYFUNCTION("""COMPUTED_VALUE"""),25.99)</f>
        <v>25.99</v>
      </c>
      <c r="M447" s="26">
        <f>IFERROR(__xludf.DUMMYFUNCTION("""COMPUTED_VALUE"""),498.2)</f>
        <v>498.2</v>
      </c>
      <c r="N447" s="26">
        <f>IFERROR(__xludf.DUMMYFUNCTION("""COMPUTED_VALUE"""),76.82)</f>
        <v>76.82</v>
      </c>
      <c r="O447" s="26">
        <f>IFERROR(__xludf.DUMMYFUNCTION("""COMPUTED_VALUE"""),192.03)</f>
        <v>192.03</v>
      </c>
      <c r="P447" s="26">
        <f>IFERROR(__xludf.DUMMYFUNCTION("""COMPUTED_VALUE"""),64.14)</f>
        <v>64.14</v>
      </c>
      <c r="Q447" s="26">
        <f>IFERROR(__xludf.DUMMYFUNCTION("""COMPUTED_VALUE"""),759.74)</f>
        <v>759.74</v>
      </c>
      <c r="R447" s="26">
        <f>IFERROR(__xludf.DUMMYFUNCTION("""COMPUTED_VALUE"""),121.35)</f>
        <v>121.35</v>
      </c>
      <c r="S447" s="26">
        <f>IFERROR(__xludf.DUMMYFUNCTION("""COMPUTED_VALUE"""),159.04)</f>
        <v>159.04</v>
      </c>
      <c r="T447" s="26">
        <f>IFERROR(__xludf.DUMMYFUNCTION("""COMPUTED_VALUE"""),183.93)</f>
        <v>183.93</v>
      </c>
      <c r="U447" s="26">
        <f>IFERROR(__xludf.DUMMYFUNCTION("""COMPUTED_VALUE"""),280.31)</f>
        <v>280.31</v>
      </c>
      <c r="V447" s="26">
        <f>IFERROR(__xludf.DUMMYFUNCTION("""COMPUTED_VALUE"""),65.29)</f>
        <v>65.29</v>
      </c>
      <c r="W447" s="26">
        <f>IFERROR(__xludf.DUMMYFUNCTION("""COMPUTED_VALUE"""),79.84)</f>
        <v>79.84</v>
      </c>
      <c r="X447" s="26">
        <f>IFERROR(__xludf.DUMMYFUNCTION("""COMPUTED_VALUE"""),109.81)</f>
        <v>109.81</v>
      </c>
      <c r="Y447" s="26">
        <f>IFERROR(__xludf.DUMMYFUNCTION("""COMPUTED_VALUE"""),175.68)</f>
        <v>175.68</v>
      </c>
      <c r="Z447" s="26">
        <f>IFERROR(__xludf.DUMMYFUNCTION("""COMPUTED_VALUE"""),134.51)</f>
        <v>134.51</v>
      </c>
      <c r="AA447" s="26">
        <f>IFERROR(__xludf.DUMMYFUNCTION("""COMPUTED_VALUE"""),384.61)</f>
        <v>384.61</v>
      </c>
      <c r="AB447" s="26">
        <f>IFERROR(__xludf.DUMMYFUNCTION("""COMPUTED_VALUE"""),88.07)</f>
        <v>88.07</v>
      </c>
      <c r="AC447" s="26">
        <f>IFERROR(__xludf.DUMMYFUNCTION("""COMPUTED_VALUE"""),147.28)</f>
        <v>147.28</v>
      </c>
      <c r="AD447" s="26">
        <f>IFERROR(__xludf.DUMMYFUNCTION("""COMPUTED_VALUE"""),388.48)</f>
        <v>388.48</v>
      </c>
      <c r="AE447" s="26">
        <f>IFERROR(__xludf.DUMMYFUNCTION("""COMPUTED_VALUE"""),366.95)</f>
        <v>366.95</v>
      </c>
      <c r="AF447" s="26">
        <f>IFERROR(__xludf.DUMMYFUNCTION("""COMPUTED_VALUE"""),351.42)</f>
        <v>351.42</v>
      </c>
      <c r="AG447" s="26">
        <f>IFERROR(__xludf.DUMMYFUNCTION("""COMPUTED_VALUE"""),81.51)</f>
        <v>81.51</v>
      </c>
      <c r="AH447" s="26">
        <f>IFERROR(__xludf.DUMMYFUNCTION("""COMPUTED_VALUE"""),151.4)</f>
        <v>151.4</v>
      </c>
      <c r="AI447" s="26">
        <f>IFERROR(__xludf.DUMMYFUNCTION("""COMPUTED_VALUE"""),922.24)</f>
        <v>922.24</v>
      </c>
      <c r="AJ447" s="26">
        <f>IFERROR(__xludf.DUMMYFUNCTION("""COMPUTED_VALUE"""),382.25)</f>
        <v>382.25</v>
      </c>
      <c r="AK447" s="26">
        <f>IFERROR(__xludf.DUMMYFUNCTION("""COMPUTED_VALUE"""),131.53)</f>
        <v>131.53</v>
      </c>
      <c r="AL447" s="26">
        <f>IFERROR(__xludf.DUMMYFUNCTION("""COMPUTED_VALUE"""),154.01)</f>
        <v>154.01</v>
      </c>
      <c r="AM447" s="26">
        <f>IFERROR(__xludf.DUMMYFUNCTION("""COMPUTED_VALUE"""),504.05)</f>
        <v>504.05</v>
      </c>
      <c r="AN447" s="26">
        <f>IFERROR(__xludf.DUMMYFUNCTION("""COMPUTED_VALUE"""),310.79)</f>
        <v>310.79</v>
      </c>
      <c r="AO447" s="26">
        <f>IFERROR(__xludf.DUMMYFUNCTION("""COMPUTED_VALUE"""),658.26)</f>
        <v>658.26</v>
      </c>
      <c r="AP447" s="26">
        <f>IFERROR(__xludf.DUMMYFUNCTION("""COMPUTED_VALUE"""),187.3)</f>
        <v>187.3</v>
      </c>
      <c r="AQ447" s="26">
        <f>IFERROR(__xludf.DUMMYFUNCTION("""COMPUTED_VALUE"""),36.68)</f>
        <v>36.68</v>
      </c>
      <c r="AR447" s="26">
        <f>IFERROR(__xludf.DUMMYFUNCTION("""COMPUTED_VALUE"""),96.86)</f>
        <v>96.86</v>
      </c>
      <c r="AS447" s="26">
        <f>IFERROR(__xludf.DUMMYFUNCTION("""COMPUTED_VALUE"""),79.1)</f>
        <v>79.1</v>
      </c>
      <c r="AT447" s="26">
        <f>IFERROR(__xludf.DUMMYFUNCTION("""COMPUTED_VALUE"""),397.23)</f>
        <v>397.23</v>
      </c>
      <c r="AU447" s="26">
        <f>IFERROR(__xludf.DUMMYFUNCTION("""COMPUTED_VALUE"""),92.18)</f>
        <v>92.18</v>
      </c>
      <c r="AV447" s="26">
        <f>IFERROR(__xludf.DUMMYFUNCTION("""COMPUTED_VALUE"""),189.82)</f>
        <v>189.82</v>
      </c>
      <c r="AW447" s="26">
        <f>IFERROR(__xludf.DUMMYFUNCTION("""COMPUTED_VALUE"""),92.67)</f>
        <v>92.67</v>
      </c>
      <c r="AX447" s="26">
        <f>IFERROR(__xludf.DUMMYFUNCTION("""COMPUTED_VALUE"""),49.42)</f>
        <v>49.42</v>
      </c>
      <c r="AY447" s="26">
        <f>IFERROR(__xludf.DUMMYFUNCTION("""COMPUTED_VALUE"""),135.24)</f>
        <v>135.24</v>
      </c>
      <c r="AZ447" s="26">
        <f>IFERROR(__xludf.DUMMYFUNCTION("""COMPUTED_VALUE"""),41.65)</f>
        <v>41.65</v>
      </c>
      <c r="BA447" s="26">
        <f>IFERROR(__xludf.DUMMYFUNCTION("""COMPUTED_VALUE"""),26.65)</f>
        <v>26.65</v>
      </c>
      <c r="BB447" s="26">
        <f>IFERROR(__xludf.DUMMYFUNCTION("""COMPUTED_VALUE"""),204.92)</f>
        <v>204.92</v>
      </c>
      <c r="BC447" s="26">
        <f>IFERROR(__xludf.DUMMYFUNCTION("""COMPUTED_VALUE"""),215.46)</f>
        <v>215.46</v>
      </c>
      <c r="BD447" s="26">
        <f>IFERROR(__xludf.DUMMYFUNCTION("""COMPUTED_VALUE"""),510.93)</f>
        <v>510.93</v>
      </c>
      <c r="BE447" s="26">
        <f>IFERROR(__xludf.DUMMYFUNCTION("""COMPUTED_VALUE"""),239.6)</f>
        <v>239.6</v>
      </c>
      <c r="BF447" s="26">
        <f>IFERROR(__xludf.DUMMYFUNCTION("""COMPUTED_VALUE"""),134.25)</f>
        <v>134.25</v>
      </c>
      <c r="BG447" s="26">
        <f>IFERROR(__xludf.DUMMYFUNCTION("""COMPUTED_VALUE"""),8.14)</f>
        <v>8.14</v>
      </c>
      <c r="BH447" s="26">
        <f>IFERROR(__xludf.DUMMYFUNCTION("""COMPUTED_VALUE"""),266.1)</f>
        <v>266.1</v>
      </c>
      <c r="BI447" s="26">
        <f>IFERROR(__xludf.DUMMYFUNCTION("""COMPUTED_VALUE"""),290.0)</f>
        <v>290</v>
      </c>
      <c r="BJ447" s="26">
        <f>IFERROR(__xludf.DUMMYFUNCTION("""COMPUTED_VALUE"""),49.74)</f>
        <v>49.74</v>
      </c>
      <c r="BK447" s="26">
        <f>IFERROR(__xludf.DUMMYFUNCTION("""COMPUTED_VALUE"""),15.92)</f>
        <v>15.92</v>
      </c>
      <c r="BL447" s="26">
        <f>IFERROR(__xludf.DUMMYFUNCTION("""COMPUTED_VALUE"""),230.31)</f>
        <v>230.31</v>
      </c>
      <c r="BM447" s="26">
        <f>IFERROR(__xludf.DUMMYFUNCTION("""COMPUTED_VALUE"""),105.58)</f>
        <v>105.58</v>
      </c>
    </row>
    <row r="448">
      <c r="A448" s="25"/>
      <c r="B448" s="17"/>
      <c r="C448" s="17">
        <f>IFERROR(__xludf.DUMMYFUNCTION("""COMPUTED_VALUE"""),22627.27)</f>
        <v>22627.27</v>
      </c>
      <c r="D448" s="17">
        <f>IFERROR(__xludf.DUMMYFUNCTION("""COMPUTED_VALUE"""),48804.06)</f>
        <v>48804.06</v>
      </c>
      <c r="E448" s="17">
        <f>IFERROR(__xludf.DUMMYFUNCTION("""COMPUTED_VALUE"""),2620.99)</f>
        <v>2620.99</v>
      </c>
      <c r="F448" s="26">
        <f>IFERROR(__xludf.DUMMYFUNCTION("""COMPUTED_VALUE"""),246.68)</f>
        <v>246.68</v>
      </c>
      <c r="G448" s="26">
        <f>IFERROR(__xludf.DUMMYFUNCTION("""COMPUTED_VALUE"""),205.27)</f>
        <v>205.27</v>
      </c>
      <c r="H448" s="26">
        <f>IFERROR(__xludf.DUMMYFUNCTION("""COMPUTED_VALUE"""),132.92)</f>
        <v>132.92</v>
      </c>
      <c r="I448" s="26">
        <f>IFERROR(__xludf.DUMMYFUNCTION("""COMPUTED_VALUE"""),266.18)</f>
        <v>266.18</v>
      </c>
      <c r="J448" s="26">
        <f>IFERROR(__xludf.DUMMYFUNCTION("""COMPUTED_VALUE"""),373.55)</f>
        <v>373.55</v>
      </c>
      <c r="K448" s="26">
        <f>IFERROR(__xludf.DUMMYFUNCTION("""COMPUTED_VALUE"""),115.54)</f>
        <v>115.54</v>
      </c>
      <c r="L448" s="26">
        <f>IFERROR(__xludf.DUMMYFUNCTION("""COMPUTED_VALUE"""),25.11)</f>
        <v>25.11</v>
      </c>
      <c r="M448" s="26">
        <f>IFERROR(__xludf.DUMMYFUNCTION("""COMPUTED_VALUE"""),494.09)</f>
        <v>494.09</v>
      </c>
      <c r="N448" s="26">
        <f>IFERROR(__xludf.DUMMYFUNCTION("""COMPUTED_VALUE"""),78.01)</f>
        <v>78.01</v>
      </c>
      <c r="O448" s="26">
        <f>IFERROR(__xludf.DUMMYFUNCTION("""COMPUTED_VALUE"""),196.34)</f>
        <v>196.34</v>
      </c>
      <c r="P448" s="26">
        <f>IFERROR(__xludf.DUMMYFUNCTION("""COMPUTED_VALUE"""),63.46)</f>
        <v>63.46</v>
      </c>
      <c r="Q448" s="26">
        <f>IFERROR(__xludf.DUMMYFUNCTION("""COMPUTED_VALUE"""),756.47)</f>
        <v>756.47</v>
      </c>
      <c r="R448" s="26">
        <f>IFERROR(__xludf.DUMMYFUNCTION("""COMPUTED_VALUE"""),118.75)</f>
        <v>118.75</v>
      </c>
      <c r="S448" s="26">
        <f>IFERROR(__xludf.DUMMYFUNCTION("""COMPUTED_VALUE"""),154.89)</f>
        <v>154.89</v>
      </c>
      <c r="T448" s="26">
        <f>IFERROR(__xludf.DUMMYFUNCTION("""COMPUTED_VALUE"""),184.91)</f>
        <v>184.91</v>
      </c>
      <c r="U448" s="26">
        <f>IFERROR(__xludf.DUMMYFUNCTION("""COMPUTED_VALUE"""),283.18)</f>
        <v>283.18</v>
      </c>
      <c r="V448" s="26">
        <f>IFERROR(__xludf.DUMMYFUNCTION("""COMPUTED_VALUE"""),62.49)</f>
        <v>62.49</v>
      </c>
      <c r="W448" s="26">
        <f>IFERROR(__xludf.DUMMYFUNCTION("""COMPUTED_VALUE"""),80.56)</f>
        <v>80.56</v>
      </c>
      <c r="X448" s="26">
        <f>IFERROR(__xludf.DUMMYFUNCTION("""COMPUTED_VALUE"""),112.14)</f>
        <v>112.14</v>
      </c>
      <c r="Y448" s="26">
        <f>IFERROR(__xludf.DUMMYFUNCTION("""COMPUTED_VALUE"""),176.09)</f>
        <v>176.09</v>
      </c>
      <c r="Z448" s="26">
        <f>IFERROR(__xludf.DUMMYFUNCTION("""COMPUTED_VALUE"""),130.41)</f>
        <v>130.41</v>
      </c>
      <c r="AA448" s="26">
        <f>IFERROR(__xludf.DUMMYFUNCTION("""COMPUTED_VALUE"""),400.36)</f>
        <v>400.36</v>
      </c>
      <c r="AB448" s="26">
        <f>IFERROR(__xludf.DUMMYFUNCTION("""COMPUTED_VALUE"""),84.31)</f>
        <v>84.31</v>
      </c>
      <c r="AC448" s="26">
        <f>IFERROR(__xludf.DUMMYFUNCTION("""COMPUTED_VALUE"""),150.76)</f>
        <v>150.76</v>
      </c>
      <c r="AD448" s="26">
        <f>IFERROR(__xludf.DUMMYFUNCTION("""COMPUTED_VALUE"""),383.71)</f>
        <v>383.71</v>
      </c>
      <c r="AE448" s="26">
        <f>IFERROR(__xludf.DUMMYFUNCTION("""COMPUTED_VALUE"""),358.42)</f>
        <v>358.42</v>
      </c>
      <c r="AF448" s="26">
        <f>IFERROR(__xludf.DUMMYFUNCTION("""COMPUTED_VALUE"""),348.98)</f>
        <v>348.98</v>
      </c>
      <c r="AG448" s="26">
        <f>IFERROR(__xludf.DUMMYFUNCTION("""COMPUTED_VALUE"""),79.66)</f>
        <v>79.66</v>
      </c>
      <c r="AH448" s="26">
        <f>IFERROR(__xludf.DUMMYFUNCTION("""COMPUTED_VALUE"""),149.83)</f>
        <v>149.83</v>
      </c>
      <c r="AI448" s="26">
        <f>IFERROR(__xludf.DUMMYFUNCTION("""COMPUTED_VALUE"""),892.31)</f>
        <v>892.31</v>
      </c>
      <c r="AJ448" s="26">
        <f>IFERROR(__xludf.DUMMYFUNCTION("""COMPUTED_VALUE"""),376.99)</f>
        <v>376.99</v>
      </c>
      <c r="AK448" s="26">
        <f>IFERROR(__xludf.DUMMYFUNCTION("""COMPUTED_VALUE"""),127.23)</f>
        <v>127.23</v>
      </c>
      <c r="AL448" s="26">
        <f>IFERROR(__xludf.DUMMYFUNCTION("""COMPUTED_VALUE"""),154.1)</f>
        <v>154.1</v>
      </c>
      <c r="AM448" s="26">
        <f>IFERROR(__xludf.DUMMYFUNCTION("""COMPUTED_VALUE"""),492.1)</f>
        <v>492.1</v>
      </c>
      <c r="AN448" s="26">
        <f>IFERROR(__xludf.DUMMYFUNCTION("""COMPUTED_VALUE"""),297.67)</f>
        <v>297.67</v>
      </c>
      <c r="AO448" s="26">
        <f>IFERROR(__xludf.DUMMYFUNCTION("""COMPUTED_VALUE"""),660.62)</f>
        <v>660.62</v>
      </c>
      <c r="AP448" s="26">
        <f>IFERROR(__xludf.DUMMYFUNCTION("""COMPUTED_VALUE"""),178.11)</f>
        <v>178.11</v>
      </c>
      <c r="AQ448" s="26">
        <f>IFERROR(__xludf.DUMMYFUNCTION("""COMPUTED_VALUE"""),35.92)</f>
        <v>35.92</v>
      </c>
      <c r="AR448" s="26">
        <f>IFERROR(__xludf.DUMMYFUNCTION("""COMPUTED_VALUE"""),98.61)</f>
        <v>98.61</v>
      </c>
      <c r="AS448" s="26">
        <f>IFERROR(__xludf.DUMMYFUNCTION("""COMPUTED_VALUE"""),75.24)</f>
        <v>75.24</v>
      </c>
      <c r="AT448" s="26">
        <f>IFERROR(__xludf.DUMMYFUNCTION("""COMPUTED_VALUE"""),384.47)</f>
        <v>384.47</v>
      </c>
      <c r="AU448" s="26">
        <f>IFERROR(__xludf.DUMMYFUNCTION("""COMPUTED_VALUE"""),94.06)</f>
        <v>94.06</v>
      </c>
      <c r="AV448" s="26">
        <f>IFERROR(__xludf.DUMMYFUNCTION("""COMPUTED_VALUE"""),191.55)</f>
        <v>191.55</v>
      </c>
      <c r="AW448" s="26">
        <f>IFERROR(__xludf.DUMMYFUNCTION("""COMPUTED_VALUE"""),90.55)</f>
        <v>90.55</v>
      </c>
      <c r="AX448" s="26">
        <f>IFERROR(__xludf.DUMMYFUNCTION("""COMPUTED_VALUE"""),47.44)</f>
        <v>47.44</v>
      </c>
      <c r="AY448" s="26">
        <f>IFERROR(__xludf.DUMMYFUNCTION("""COMPUTED_VALUE"""),130.6)</f>
        <v>130.6</v>
      </c>
      <c r="AZ448" s="26">
        <f>IFERROR(__xludf.DUMMYFUNCTION("""COMPUTED_VALUE"""),44.05)</f>
        <v>44.05</v>
      </c>
      <c r="BA448" s="26">
        <f>IFERROR(__xludf.DUMMYFUNCTION("""COMPUTED_VALUE"""),27.06)</f>
        <v>27.06</v>
      </c>
      <c r="BB448" s="26">
        <f>IFERROR(__xludf.DUMMYFUNCTION("""COMPUTED_VALUE"""),201.92)</f>
        <v>201.92</v>
      </c>
      <c r="BC448" s="26">
        <f>IFERROR(__xludf.DUMMYFUNCTION("""COMPUTED_VALUE"""),219.95)</f>
        <v>219.95</v>
      </c>
      <c r="BD448" s="26">
        <f>IFERROR(__xludf.DUMMYFUNCTION("""COMPUTED_VALUE"""),516.44)</f>
        <v>516.44</v>
      </c>
      <c r="BE448" s="26">
        <f>IFERROR(__xludf.DUMMYFUNCTION("""COMPUTED_VALUE"""),238.03)</f>
        <v>238.03</v>
      </c>
      <c r="BF448" s="26">
        <f>IFERROR(__xludf.DUMMYFUNCTION("""COMPUTED_VALUE"""),134.65)</f>
        <v>134.65</v>
      </c>
      <c r="BG448" s="26">
        <f>IFERROR(__xludf.DUMMYFUNCTION("""COMPUTED_VALUE"""),7.62)</f>
        <v>7.62</v>
      </c>
      <c r="BH448" s="26">
        <f>IFERROR(__xludf.DUMMYFUNCTION("""COMPUTED_VALUE"""),263.76)</f>
        <v>263.76</v>
      </c>
      <c r="BI448" s="26">
        <f>IFERROR(__xludf.DUMMYFUNCTION("""COMPUTED_VALUE"""),282.34)</f>
        <v>282.34</v>
      </c>
      <c r="BJ448" s="26">
        <f>IFERROR(__xludf.DUMMYFUNCTION("""COMPUTED_VALUE"""),49.77)</f>
        <v>49.77</v>
      </c>
      <c r="BK448" s="26">
        <f>IFERROR(__xludf.DUMMYFUNCTION("""COMPUTED_VALUE"""),15.95)</f>
        <v>15.95</v>
      </c>
      <c r="BL448" s="26">
        <f>IFERROR(__xludf.DUMMYFUNCTION("""COMPUTED_VALUE"""),230.56)</f>
        <v>230.56</v>
      </c>
      <c r="BM448" s="26">
        <f>IFERROR(__xludf.DUMMYFUNCTION("""COMPUTED_VALUE"""),104.41)</f>
        <v>104.41</v>
      </c>
    </row>
    <row r="449">
      <c r="A449" s="25"/>
      <c r="B449" s="17"/>
      <c r="C449" s="17">
        <f>IFERROR(__xludf.DUMMYFUNCTION("""COMPUTED_VALUE"""),22863.68)</f>
        <v>22863.68</v>
      </c>
      <c r="D449" s="17"/>
      <c r="E449" s="17">
        <f>IFERROR(__xludf.DUMMYFUNCTION("""COMPUTED_VALUE"""),2652.33)</f>
        <v>2652.33</v>
      </c>
      <c r="F449" s="26">
        <f>IFERROR(__xludf.DUMMYFUNCTION("""COMPUTED_VALUE"""),255.17)</f>
        <v>255.17</v>
      </c>
      <c r="G449" s="26">
        <f>IFERROR(__xludf.DUMMYFUNCTION("""COMPUTED_VALUE"""),208.56)</f>
        <v>208.56</v>
      </c>
      <c r="H449" s="26">
        <f>IFERROR(__xludf.DUMMYFUNCTION("""COMPUTED_VALUE"""),134.08)</f>
        <v>134.08</v>
      </c>
      <c r="I449" s="26">
        <f>IFERROR(__xludf.DUMMYFUNCTION("""COMPUTED_VALUE"""),272.14)</f>
        <v>272.14</v>
      </c>
      <c r="J449" s="26">
        <f>IFERROR(__xludf.DUMMYFUNCTION("""COMPUTED_VALUE"""),377.93)</f>
        <v>377.93</v>
      </c>
      <c r="K449" s="26">
        <f>IFERROR(__xludf.DUMMYFUNCTION("""COMPUTED_VALUE"""),116.55)</f>
        <v>116.55</v>
      </c>
      <c r="L449" s="26">
        <f>IFERROR(__xludf.DUMMYFUNCTION("""COMPUTED_VALUE"""),25.14)</f>
        <v>25.14</v>
      </c>
      <c r="M449" s="26">
        <f>IFERROR(__xludf.DUMMYFUNCTION("""COMPUTED_VALUE"""),494.51)</f>
        <v>494.51</v>
      </c>
      <c r="N449" s="26">
        <f>IFERROR(__xludf.DUMMYFUNCTION("""COMPUTED_VALUE"""),79.65)</f>
        <v>79.65</v>
      </c>
      <c r="O449" s="26">
        <f>IFERROR(__xludf.DUMMYFUNCTION("""COMPUTED_VALUE"""),195.13)</f>
        <v>195.13</v>
      </c>
      <c r="P449" s="26">
        <f>IFERROR(__xludf.DUMMYFUNCTION("""COMPUTED_VALUE"""),63.53)</f>
        <v>63.53</v>
      </c>
      <c r="Q449" s="26">
        <f>IFERROR(__xludf.DUMMYFUNCTION("""COMPUTED_VALUE"""),768.23)</f>
        <v>768.23</v>
      </c>
      <c r="R449" s="26">
        <f>IFERROR(__xludf.DUMMYFUNCTION("""COMPUTED_VALUE"""),121.08)</f>
        <v>121.08</v>
      </c>
      <c r="S449" s="26">
        <f>IFERROR(__xludf.DUMMYFUNCTION("""COMPUTED_VALUE"""),152.44)</f>
        <v>152.44</v>
      </c>
      <c r="T449" s="26">
        <f>IFERROR(__xludf.DUMMYFUNCTION("""COMPUTED_VALUE"""),185.34)</f>
        <v>185.34</v>
      </c>
      <c r="U449" s="26">
        <f>IFERROR(__xludf.DUMMYFUNCTION("""COMPUTED_VALUE"""),281.0)</f>
        <v>281</v>
      </c>
      <c r="V449" s="26">
        <f>IFERROR(__xludf.DUMMYFUNCTION("""COMPUTED_VALUE"""),62.07)</f>
        <v>62.07</v>
      </c>
      <c r="W449" s="26">
        <f>IFERROR(__xludf.DUMMYFUNCTION("""COMPUTED_VALUE"""),80.72)</f>
        <v>80.72</v>
      </c>
      <c r="X449" s="26">
        <f>IFERROR(__xludf.DUMMYFUNCTION("""COMPUTED_VALUE"""),111.01)</f>
        <v>111.01</v>
      </c>
      <c r="Y449" s="26">
        <f>IFERROR(__xludf.DUMMYFUNCTION("""COMPUTED_VALUE"""),178.24)</f>
        <v>178.24</v>
      </c>
      <c r="Z449" s="26">
        <f>IFERROR(__xludf.DUMMYFUNCTION("""COMPUTED_VALUE"""),131.71)</f>
        <v>131.71</v>
      </c>
      <c r="AA449" s="26">
        <f>IFERROR(__xludf.DUMMYFUNCTION("""COMPUTED_VALUE"""),414.2)</f>
        <v>414.2</v>
      </c>
      <c r="AB449" s="26">
        <f>IFERROR(__xludf.DUMMYFUNCTION("""COMPUTED_VALUE"""),85.3)</f>
        <v>85.3</v>
      </c>
      <c r="AC449" s="26">
        <f>IFERROR(__xludf.DUMMYFUNCTION("""COMPUTED_VALUE"""),149.26)</f>
        <v>149.26</v>
      </c>
      <c r="AD449" s="26">
        <f>IFERROR(__xludf.DUMMYFUNCTION("""COMPUTED_VALUE"""),386.56)</f>
        <v>386.56</v>
      </c>
      <c r="AE449" s="26">
        <f>IFERROR(__xludf.DUMMYFUNCTION("""COMPUTED_VALUE"""),373.92)</f>
        <v>373.92</v>
      </c>
      <c r="AF449" s="26">
        <f>IFERROR(__xludf.DUMMYFUNCTION("""COMPUTED_VALUE"""),351.18)</f>
        <v>351.18</v>
      </c>
      <c r="AG449" s="26">
        <f>IFERROR(__xludf.DUMMYFUNCTION("""COMPUTED_VALUE"""),81.29)</f>
        <v>81.29</v>
      </c>
      <c r="AH449" s="26">
        <f>IFERROR(__xludf.DUMMYFUNCTION("""COMPUTED_VALUE"""),147.64)</f>
        <v>147.64</v>
      </c>
      <c r="AI449" s="26">
        <f>IFERROR(__xludf.DUMMYFUNCTION("""COMPUTED_VALUE"""),902.27)</f>
        <v>902.27</v>
      </c>
      <c r="AJ449" s="26">
        <f>IFERROR(__xludf.DUMMYFUNCTION("""COMPUTED_VALUE"""),384.48)</f>
        <v>384.48</v>
      </c>
      <c r="AK449" s="26">
        <f>IFERROR(__xludf.DUMMYFUNCTION("""COMPUTED_VALUE"""),126.16)</f>
        <v>126.16</v>
      </c>
      <c r="AL449" s="26">
        <f>IFERROR(__xludf.DUMMYFUNCTION("""COMPUTED_VALUE"""),155.36)</f>
        <v>155.36</v>
      </c>
      <c r="AM449" s="26">
        <f>IFERROR(__xludf.DUMMYFUNCTION("""COMPUTED_VALUE"""),494.02)</f>
        <v>494.02</v>
      </c>
      <c r="AN449" s="26">
        <f>IFERROR(__xludf.DUMMYFUNCTION("""COMPUTED_VALUE"""),297.3)</f>
        <v>297.3</v>
      </c>
      <c r="AO449" s="26">
        <f>IFERROR(__xludf.DUMMYFUNCTION("""COMPUTED_VALUE"""),664.43)</f>
        <v>664.43</v>
      </c>
      <c r="AP449" s="26">
        <f>IFERROR(__xludf.DUMMYFUNCTION("""COMPUTED_VALUE"""),179.49)</f>
        <v>179.49</v>
      </c>
      <c r="AQ449" s="26">
        <f>IFERROR(__xludf.DUMMYFUNCTION("""COMPUTED_VALUE"""),35.79)</f>
        <v>35.79</v>
      </c>
      <c r="AR449" s="26">
        <f>IFERROR(__xludf.DUMMYFUNCTION("""COMPUTED_VALUE"""),96.75)</f>
        <v>96.75</v>
      </c>
      <c r="AS449" s="26">
        <f>IFERROR(__xludf.DUMMYFUNCTION("""COMPUTED_VALUE"""),75.34)</f>
        <v>75.34</v>
      </c>
      <c r="AT449" s="26">
        <f>IFERROR(__xludf.DUMMYFUNCTION("""COMPUTED_VALUE"""),389.0)</f>
        <v>389</v>
      </c>
      <c r="AU449" s="26">
        <f>IFERROR(__xludf.DUMMYFUNCTION("""COMPUTED_VALUE"""),95.68)</f>
        <v>95.68</v>
      </c>
      <c r="AV449" s="26">
        <f>IFERROR(__xludf.DUMMYFUNCTION("""COMPUTED_VALUE"""),192.85)</f>
        <v>192.85</v>
      </c>
      <c r="AW449" s="26">
        <f>IFERROR(__xludf.DUMMYFUNCTION("""COMPUTED_VALUE"""),89.91)</f>
        <v>89.91</v>
      </c>
      <c r="AX449" s="26">
        <f>IFERROR(__xludf.DUMMYFUNCTION("""COMPUTED_VALUE"""),46.79)</f>
        <v>46.79</v>
      </c>
      <c r="AY449" s="26">
        <f>IFERROR(__xludf.DUMMYFUNCTION("""COMPUTED_VALUE"""),128.84)</f>
        <v>128.84</v>
      </c>
      <c r="AZ449" s="26">
        <f>IFERROR(__xludf.DUMMYFUNCTION("""COMPUTED_VALUE"""),47.02)</f>
        <v>47.02</v>
      </c>
      <c r="BA449" s="26">
        <f>IFERROR(__xludf.DUMMYFUNCTION("""COMPUTED_VALUE"""),27.14)</f>
        <v>27.14</v>
      </c>
      <c r="BB449" s="26">
        <f>IFERROR(__xludf.DUMMYFUNCTION("""COMPUTED_VALUE"""),198.46)</f>
        <v>198.46</v>
      </c>
      <c r="BC449" s="26">
        <f>IFERROR(__xludf.DUMMYFUNCTION("""COMPUTED_VALUE"""),221.98)</f>
        <v>221.98</v>
      </c>
      <c r="BD449" s="26">
        <f>IFERROR(__xludf.DUMMYFUNCTION("""COMPUTED_VALUE"""),515.6)</f>
        <v>515.6</v>
      </c>
      <c r="BE449" s="26">
        <f>IFERROR(__xludf.DUMMYFUNCTION("""COMPUTED_VALUE"""),238.64)</f>
        <v>238.64</v>
      </c>
      <c r="BF449" s="26">
        <f>IFERROR(__xludf.DUMMYFUNCTION("""COMPUTED_VALUE"""),137.78)</f>
        <v>137.78</v>
      </c>
      <c r="BG449" s="26">
        <f>IFERROR(__xludf.DUMMYFUNCTION("""COMPUTED_VALUE"""),7.75)</f>
        <v>7.75</v>
      </c>
      <c r="BH449" s="26">
        <f>IFERROR(__xludf.DUMMYFUNCTION("""COMPUTED_VALUE"""),266.66)</f>
        <v>266.66</v>
      </c>
      <c r="BI449" s="26">
        <f>IFERROR(__xludf.DUMMYFUNCTION("""COMPUTED_VALUE"""),273.95)</f>
        <v>273.95</v>
      </c>
      <c r="BJ449" s="26">
        <f>IFERROR(__xludf.DUMMYFUNCTION("""COMPUTED_VALUE"""),49.76)</f>
        <v>49.76</v>
      </c>
      <c r="BK449" s="26">
        <f>IFERROR(__xludf.DUMMYFUNCTION("""COMPUTED_VALUE"""),16.06)</f>
        <v>16.06</v>
      </c>
      <c r="BL449" s="26">
        <f>IFERROR(__xludf.DUMMYFUNCTION("""COMPUTED_VALUE"""),229.58)</f>
        <v>229.58</v>
      </c>
      <c r="BM449" s="26">
        <f>IFERROR(__xludf.DUMMYFUNCTION("""COMPUTED_VALUE"""),106.05)</f>
        <v>106.05</v>
      </c>
    </row>
    <row r="450">
      <c r="A450" s="25"/>
      <c r="B450" s="17"/>
      <c r="C450" s="17"/>
      <c r="D450" s="17"/>
      <c r="E450" s="17"/>
    </row>
    <row r="451">
      <c r="A451" s="25"/>
      <c r="B451" s="17"/>
      <c r="C451" s="17"/>
      <c r="D451" s="17"/>
      <c r="E451" s="17"/>
    </row>
    <row r="452">
      <c r="A452" s="25"/>
      <c r="B452" s="17"/>
      <c r="C452" s="17"/>
      <c r="D452" s="17"/>
      <c r="E452" s="17"/>
    </row>
    <row r="453">
      <c r="A453" s="25"/>
      <c r="B453" s="17"/>
      <c r="C453" s="17"/>
      <c r="D453" s="17"/>
      <c r="E453" s="17"/>
    </row>
    <row r="454">
      <c r="A454" s="25"/>
      <c r="B454" s="17"/>
      <c r="C454" s="17"/>
      <c r="D454" s="17"/>
      <c r="E454" s="17"/>
    </row>
    <row r="455">
      <c r="A455" s="25"/>
      <c r="B455" s="17"/>
      <c r="C455" s="17"/>
      <c r="D455" s="17"/>
      <c r="E455" s="17"/>
    </row>
    <row r="456">
      <c r="A456" s="25"/>
      <c r="B456" s="17"/>
      <c r="C456" s="17"/>
      <c r="D456" s="17"/>
      <c r="E456" s="17"/>
    </row>
    <row r="457">
      <c r="A457" s="25"/>
      <c r="B457" s="17"/>
      <c r="C457" s="17"/>
      <c r="D457" s="17"/>
      <c r="E457" s="17"/>
    </row>
    <row r="458">
      <c r="A458" s="25"/>
      <c r="B458" s="17"/>
      <c r="C458" s="17"/>
      <c r="D458" s="17"/>
      <c r="E458" s="17"/>
    </row>
    <row r="459">
      <c r="A459" s="25"/>
      <c r="B459" s="17"/>
      <c r="C459" s="17"/>
      <c r="D459" s="17"/>
      <c r="E459" s="17"/>
    </row>
    <row r="460">
      <c r="A460" s="25"/>
      <c r="B460" s="17"/>
      <c r="C460" s="17"/>
      <c r="D460" s="17"/>
      <c r="E460" s="17"/>
    </row>
    <row r="461">
      <c r="A461" s="25"/>
      <c r="B461" s="17"/>
      <c r="C461" s="17"/>
      <c r="D461" s="17"/>
      <c r="E461" s="17"/>
    </row>
    <row r="462">
      <c r="A462" s="25"/>
      <c r="B462" s="17"/>
      <c r="C462" s="17"/>
      <c r="D462" s="17"/>
      <c r="E462" s="17"/>
    </row>
    <row r="463">
      <c r="A463" s="25"/>
      <c r="B463" s="17"/>
      <c r="C463" s="17"/>
      <c r="D463" s="17"/>
      <c r="E463" s="17"/>
    </row>
    <row r="464">
      <c r="A464" s="25"/>
      <c r="B464" s="17"/>
      <c r="C464" s="17"/>
      <c r="D464" s="17"/>
      <c r="E464" s="17"/>
    </row>
    <row r="465">
      <c r="A465" s="25"/>
      <c r="B465" s="17"/>
      <c r="C465" s="17"/>
      <c r="D465" s="17"/>
      <c r="E465" s="17"/>
    </row>
    <row r="466">
      <c r="A466" s="25"/>
      <c r="B466" s="17"/>
      <c r="C466" s="17"/>
      <c r="D466" s="17"/>
      <c r="E466" s="17"/>
    </row>
    <row r="467">
      <c r="A467" s="25"/>
      <c r="B467" s="17"/>
      <c r="C467" s="17"/>
      <c r="D467" s="17"/>
      <c r="E467" s="17"/>
    </row>
    <row r="468">
      <c r="A468" s="25"/>
      <c r="B468" s="17"/>
      <c r="C468" s="17"/>
      <c r="D468" s="17"/>
      <c r="E468" s="17"/>
    </row>
    <row r="469">
      <c r="A469" s="25"/>
      <c r="B469" s="17"/>
      <c r="C469" s="17"/>
      <c r="D469" s="17"/>
      <c r="E469" s="17"/>
    </row>
    <row r="470">
      <c r="A470" s="25"/>
      <c r="B470" s="17"/>
      <c r="C470" s="17"/>
      <c r="D470" s="17"/>
      <c r="E470" s="17"/>
    </row>
    <row r="471">
      <c r="A471" s="25"/>
      <c r="B471" s="17"/>
      <c r="C471" s="17"/>
      <c r="D471" s="17"/>
      <c r="E471" s="17"/>
    </row>
    <row r="472">
      <c r="A472" s="25"/>
      <c r="B472" s="17"/>
      <c r="C472" s="17"/>
      <c r="D472" s="17"/>
      <c r="E472" s="17"/>
    </row>
    <row r="473">
      <c r="A473" s="25"/>
      <c r="B473" s="17"/>
      <c r="C473" s="17"/>
      <c r="D473" s="17"/>
      <c r="E473" s="17"/>
    </row>
    <row r="474">
      <c r="A474" s="25"/>
      <c r="B474" s="17"/>
      <c r="C474" s="17"/>
      <c r="D474" s="17"/>
      <c r="E474" s="17"/>
    </row>
    <row r="475">
      <c r="A475" s="25"/>
      <c r="B475" s="17"/>
      <c r="C475" s="17"/>
      <c r="D475" s="17"/>
      <c r="E475" s="17"/>
    </row>
    <row r="476">
      <c r="A476" s="25"/>
      <c r="B476" s="17"/>
      <c r="C476" s="17"/>
      <c r="D476" s="17"/>
      <c r="E476" s="17"/>
    </row>
    <row r="477">
      <c r="A477" s="25"/>
      <c r="B477" s="17"/>
      <c r="C477" s="17"/>
      <c r="D477" s="17"/>
      <c r="E477" s="17"/>
    </row>
    <row r="478">
      <c r="A478" s="25"/>
      <c r="B478" s="17"/>
      <c r="C478" s="17"/>
      <c r="D478" s="17"/>
      <c r="E478" s="17"/>
    </row>
    <row r="479">
      <c r="A479" s="25"/>
      <c r="B479" s="17"/>
      <c r="C479" s="17"/>
      <c r="D479" s="17"/>
      <c r="E479" s="17"/>
    </row>
    <row r="480">
      <c r="A480" s="25"/>
      <c r="B480" s="17"/>
      <c r="C480" s="17"/>
      <c r="D480" s="17"/>
      <c r="E480" s="17"/>
    </row>
    <row r="481">
      <c r="A481" s="25"/>
      <c r="B481" s="17"/>
      <c r="C481" s="17"/>
      <c r="D481" s="17"/>
      <c r="E481" s="17"/>
    </row>
    <row r="482">
      <c r="A482" s="25"/>
      <c r="B482" s="17"/>
      <c r="C482" s="17"/>
      <c r="D482" s="17"/>
      <c r="E482" s="17"/>
    </row>
    <row r="483">
      <c r="A483" s="25"/>
      <c r="B483" s="17"/>
      <c r="C483" s="17"/>
      <c r="D483" s="17"/>
      <c r="E483" s="17"/>
    </row>
    <row r="484">
      <c r="A484" s="25"/>
      <c r="B484" s="17"/>
      <c r="C484" s="17"/>
      <c r="D484" s="17"/>
      <c r="E484" s="17"/>
    </row>
    <row r="485">
      <c r="A485" s="25"/>
      <c r="B485" s="17"/>
      <c r="C485" s="17"/>
      <c r="D485" s="17"/>
      <c r="E485" s="17"/>
    </row>
    <row r="486">
      <c r="A486" s="25"/>
      <c r="B486" s="17"/>
      <c r="C486" s="17"/>
      <c r="D486" s="17"/>
      <c r="E486" s="17"/>
    </row>
    <row r="487">
      <c r="A487" s="25"/>
      <c r="B487" s="17"/>
      <c r="C487" s="17"/>
      <c r="D487" s="17"/>
      <c r="E487" s="17"/>
    </row>
    <row r="488">
      <c r="A488" s="25"/>
      <c r="B488" s="17"/>
      <c r="C488" s="17"/>
      <c r="D488" s="17"/>
      <c r="E488" s="17"/>
    </row>
    <row r="489">
      <c r="A489" s="25"/>
      <c r="B489" s="17"/>
      <c r="C489" s="17"/>
      <c r="D489" s="17"/>
      <c r="E489" s="17"/>
    </row>
    <row r="490">
      <c r="A490" s="25"/>
      <c r="B490" s="17"/>
      <c r="C490" s="17"/>
      <c r="D490" s="17"/>
      <c r="E490" s="17"/>
    </row>
    <row r="491">
      <c r="A491" s="25"/>
      <c r="B491" s="17"/>
      <c r="C491" s="17"/>
      <c r="D491" s="17"/>
      <c r="E491" s="17"/>
    </row>
    <row r="492">
      <c r="A492" s="25"/>
      <c r="B492" s="17"/>
      <c r="C492" s="17"/>
      <c r="D492" s="17"/>
      <c r="E492" s="17"/>
    </row>
    <row r="493">
      <c r="A493" s="25"/>
      <c r="B493" s="17"/>
      <c r="C493" s="17"/>
      <c r="D493" s="17"/>
      <c r="E493" s="17"/>
    </row>
    <row r="494">
      <c r="A494" s="25"/>
      <c r="B494" s="17"/>
      <c r="C494" s="17"/>
      <c r="D494" s="17"/>
      <c r="E494" s="17"/>
    </row>
    <row r="495">
      <c r="A495" s="25"/>
      <c r="B495" s="17"/>
      <c r="C495" s="17"/>
      <c r="D495" s="17"/>
      <c r="E495" s="17"/>
    </row>
    <row r="496">
      <c r="A496" s="25"/>
      <c r="B496" s="17"/>
      <c r="C496" s="17"/>
      <c r="D496" s="17"/>
      <c r="E496" s="17"/>
    </row>
    <row r="497">
      <c r="A497" s="25"/>
      <c r="B497" s="17"/>
      <c r="C497" s="17"/>
      <c r="D497" s="17"/>
      <c r="E497" s="17"/>
    </row>
    <row r="498">
      <c r="A498" s="25"/>
      <c r="B498" s="17"/>
      <c r="C498" s="17"/>
      <c r="D498" s="17"/>
      <c r="E498" s="17"/>
    </row>
    <row r="499">
      <c r="A499" s="25"/>
      <c r="B499" s="17"/>
      <c r="C499" s="17"/>
      <c r="D499" s="17"/>
      <c r="E499" s="17"/>
    </row>
    <row r="500">
      <c r="A500" s="25"/>
      <c r="B500" s="17"/>
      <c r="C500" s="17"/>
      <c r="D500" s="17"/>
      <c r="E500" s="17"/>
    </row>
    <row r="501">
      <c r="A501" s="25"/>
      <c r="B501" s="17"/>
      <c r="C501" s="17"/>
      <c r="D501" s="17"/>
      <c r="E501" s="17"/>
    </row>
    <row r="502">
      <c r="A502" s="25"/>
      <c r="B502" s="17"/>
      <c r="C502" s="17"/>
      <c r="D502" s="17"/>
      <c r="E502" s="17"/>
    </row>
    <row r="503">
      <c r="A503" s="25"/>
      <c r="B503" s="17"/>
      <c r="C503" s="17"/>
      <c r="D503" s="17"/>
      <c r="E503" s="17"/>
    </row>
    <row r="504">
      <c r="A504" s="25"/>
      <c r="B504" s="17"/>
      <c r="C504" s="17"/>
      <c r="D504" s="17"/>
      <c r="E504" s="17"/>
    </row>
    <row r="505">
      <c r="A505" s="25"/>
      <c r="B505" s="17"/>
      <c r="C505" s="17"/>
      <c r="D505" s="17"/>
      <c r="E505" s="17"/>
    </row>
    <row r="506">
      <c r="A506" s="25"/>
      <c r="B506" s="17"/>
      <c r="C506" s="17"/>
      <c r="D506" s="17"/>
      <c r="E506" s="17"/>
    </row>
    <row r="507">
      <c r="A507" s="25"/>
      <c r="B507" s="17"/>
      <c r="C507" s="17"/>
      <c r="D507" s="17"/>
      <c r="E507" s="17"/>
    </row>
    <row r="508">
      <c r="A508" s="25"/>
      <c r="B508" s="17"/>
      <c r="C508" s="17"/>
      <c r="D508" s="17"/>
      <c r="E508" s="17"/>
    </row>
    <row r="509">
      <c r="A509" s="25"/>
      <c r="B509" s="17"/>
      <c r="C509" s="17"/>
      <c r="D509" s="17"/>
      <c r="E509" s="17"/>
    </row>
    <row r="510">
      <c r="A510" s="25"/>
      <c r="B510" s="17"/>
      <c r="C510" s="17"/>
      <c r="D510" s="17"/>
      <c r="E510" s="17"/>
    </row>
    <row r="511">
      <c r="A511" s="25"/>
      <c r="B511" s="17"/>
      <c r="C511" s="17"/>
      <c r="D511" s="17"/>
      <c r="E511" s="17"/>
    </row>
    <row r="512">
      <c r="A512" s="25"/>
      <c r="B512" s="17"/>
      <c r="C512" s="17"/>
      <c r="D512" s="17"/>
      <c r="E512" s="17"/>
    </row>
    <row r="513">
      <c r="A513" s="25"/>
      <c r="B513" s="17"/>
      <c r="C513" s="17"/>
      <c r="D513" s="17"/>
      <c r="E513" s="17"/>
    </row>
    <row r="514">
      <c r="A514" s="25"/>
      <c r="B514" s="17"/>
      <c r="C514" s="17"/>
      <c r="D514" s="17"/>
      <c r="E514" s="17"/>
    </row>
    <row r="515">
      <c r="A515" s="25"/>
      <c r="B515" s="17"/>
      <c r="C515" s="17"/>
      <c r="D515" s="17"/>
      <c r="E515" s="17"/>
    </row>
    <row r="516">
      <c r="A516" s="25"/>
      <c r="B516" s="17"/>
      <c r="C516" s="17"/>
      <c r="D516" s="17"/>
      <c r="E516" s="17"/>
    </row>
    <row r="517">
      <c r="A517" s="25"/>
      <c r="B517" s="17"/>
      <c r="C517" s="17"/>
      <c r="D517" s="17"/>
      <c r="E517" s="17"/>
    </row>
    <row r="518">
      <c r="A518" s="25"/>
      <c r="B518" s="17"/>
      <c r="C518" s="17"/>
      <c r="D518" s="17"/>
      <c r="E518" s="17"/>
    </row>
    <row r="519">
      <c r="A519" s="25"/>
      <c r="B519" s="17"/>
      <c r="C519" s="17"/>
      <c r="D519" s="17"/>
      <c r="E519" s="17"/>
    </row>
    <row r="520">
      <c r="A520" s="25"/>
      <c r="B520" s="17"/>
      <c r="C520" s="17"/>
      <c r="D520" s="17"/>
      <c r="E520" s="17"/>
    </row>
    <row r="521">
      <c r="A521" s="25"/>
      <c r="B521" s="17"/>
      <c r="C521" s="17"/>
      <c r="D521" s="17"/>
      <c r="E521" s="17"/>
    </row>
    <row r="522">
      <c r="A522" s="25"/>
      <c r="B522" s="17"/>
      <c r="C522" s="17"/>
      <c r="D522" s="17"/>
      <c r="E522" s="17"/>
    </row>
    <row r="523">
      <c r="A523" s="25"/>
      <c r="B523" s="17"/>
      <c r="C523" s="17"/>
      <c r="D523" s="17"/>
      <c r="E523" s="17"/>
    </row>
    <row r="524">
      <c r="A524" s="25"/>
      <c r="B524" s="17"/>
      <c r="C524" s="17"/>
      <c r="D524" s="17"/>
      <c r="E524" s="17"/>
    </row>
    <row r="525">
      <c r="A525" s="25"/>
      <c r="B525" s="17"/>
      <c r="C525" s="17"/>
      <c r="D525" s="17"/>
      <c r="E525" s="17"/>
    </row>
    <row r="526">
      <c r="A526" s="25"/>
      <c r="B526" s="17"/>
      <c r="C526" s="17"/>
      <c r="D526" s="17"/>
      <c r="E526" s="17"/>
    </row>
    <row r="527">
      <c r="A527" s="25"/>
      <c r="B527" s="17"/>
      <c r="C527" s="17"/>
      <c r="D527" s="17"/>
      <c r="E527" s="17"/>
    </row>
    <row r="528">
      <c r="A528" s="25"/>
      <c r="B528" s="17"/>
      <c r="C528" s="17"/>
      <c r="D528" s="17"/>
      <c r="E528" s="17"/>
    </row>
    <row r="529">
      <c r="A529" s="25"/>
      <c r="B529" s="17"/>
      <c r="C529" s="17"/>
      <c r="D529" s="17"/>
      <c r="E529" s="17"/>
    </row>
    <row r="530">
      <c r="A530" s="25"/>
      <c r="B530" s="17"/>
      <c r="C530" s="17"/>
      <c r="D530" s="17"/>
      <c r="E530" s="17"/>
    </row>
    <row r="531">
      <c r="A531" s="25"/>
      <c r="B531" s="17"/>
      <c r="C531" s="17"/>
      <c r="D531" s="17"/>
      <c r="E531" s="17"/>
    </row>
    <row r="532">
      <c r="A532" s="25"/>
      <c r="B532" s="17"/>
      <c r="C532" s="17"/>
      <c r="D532" s="17"/>
      <c r="E532" s="17"/>
    </row>
    <row r="533">
      <c r="A533" s="25"/>
      <c r="B533" s="17"/>
      <c r="C533" s="17"/>
      <c r="D533" s="17"/>
      <c r="E533" s="17"/>
    </row>
    <row r="534">
      <c r="A534" s="25"/>
      <c r="B534" s="17"/>
      <c r="C534" s="17"/>
      <c r="D534" s="17"/>
      <c r="E534" s="17"/>
    </row>
    <row r="535">
      <c r="A535" s="25"/>
      <c r="B535" s="17"/>
      <c r="C535" s="17"/>
      <c r="D535" s="17"/>
      <c r="E535" s="17"/>
    </row>
    <row r="536">
      <c r="A536" s="25"/>
      <c r="B536" s="17"/>
      <c r="C536" s="17"/>
      <c r="D536" s="17"/>
      <c r="E536" s="17"/>
    </row>
    <row r="537">
      <c r="A537" s="25"/>
      <c r="B537" s="17"/>
      <c r="C537" s="17"/>
      <c r="D537" s="17"/>
      <c r="E537" s="17"/>
    </row>
    <row r="538">
      <c r="A538" s="25"/>
      <c r="B538" s="17"/>
      <c r="C538" s="17"/>
      <c r="D538" s="17"/>
      <c r="E538" s="17"/>
    </row>
    <row r="539">
      <c r="A539" s="25"/>
      <c r="B539" s="17"/>
      <c r="C539" s="17"/>
      <c r="D539" s="17"/>
      <c r="E539" s="17"/>
    </row>
    <row r="540">
      <c r="A540" s="25"/>
      <c r="B540" s="17"/>
      <c r="C540" s="17"/>
      <c r="D540" s="17"/>
      <c r="E540" s="17"/>
    </row>
    <row r="541">
      <c r="A541" s="25"/>
      <c r="B541" s="17"/>
      <c r="C541" s="17"/>
      <c r="D541" s="17"/>
      <c r="E541" s="17"/>
    </row>
    <row r="542">
      <c r="A542" s="25"/>
      <c r="B542" s="17"/>
      <c r="C542" s="17"/>
      <c r="D542" s="17"/>
      <c r="E542" s="17"/>
    </row>
    <row r="543">
      <c r="A543" s="25"/>
      <c r="B543" s="17"/>
      <c r="C543" s="17"/>
      <c r="D543" s="17"/>
      <c r="E543" s="17"/>
    </row>
    <row r="544">
      <c r="A544" s="25"/>
      <c r="B544" s="17"/>
      <c r="C544" s="17"/>
      <c r="D544" s="17"/>
      <c r="E544" s="17"/>
    </row>
    <row r="545">
      <c r="A545" s="25"/>
      <c r="B545" s="17"/>
      <c r="C545" s="17"/>
      <c r="D545" s="17"/>
      <c r="E545" s="17"/>
    </row>
    <row r="546">
      <c r="A546" s="25"/>
      <c r="B546" s="17"/>
      <c r="C546" s="17"/>
      <c r="D546" s="17"/>
      <c r="E546" s="17"/>
    </row>
    <row r="547">
      <c r="A547" s="25"/>
      <c r="B547" s="17"/>
      <c r="C547" s="17"/>
      <c r="D547" s="17"/>
      <c r="E547" s="17"/>
    </row>
    <row r="548">
      <c r="A548" s="25"/>
      <c r="B548" s="17"/>
      <c r="C548" s="17"/>
      <c r="D548" s="17"/>
      <c r="E548" s="17"/>
    </row>
    <row r="549">
      <c r="A549" s="25"/>
      <c r="B549" s="17"/>
      <c r="C549" s="17"/>
      <c r="D549" s="17"/>
      <c r="E549" s="17"/>
    </row>
    <row r="550">
      <c r="A550" s="25"/>
      <c r="B550" s="17"/>
      <c r="C550" s="17"/>
      <c r="D550" s="17"/>
      <c r="E550" s="17"/>
    </row>
    <row r="551">
      <c r="A551" s="25"/>
      <c r="B551" s="17"/>
      <c r="C551" s="17"/>
      <c r="D551" s="17"/>
      <c r="E551" s="17"/>
    </row>
    <row r="552">
      <c r="A552" s="25"/>
      <c r="B552" s="17"/>
      <c r="C552" s="17"/>
      <c r="D552" s="17"/>
      <c r="E552" s="17"/>
    </row>
    <row r="553">
      <c r="A553" s="25"/>
      <c r="B553" s="17"/>
      <c r="C553" s="17"/>
      <c r="D553" s="17"/>
      <c r="E553" s="17"/>
    </row>
    <row r="554">
      <c r="A554" s="25"/>
      <c r="B554" s="17"/>
      <c r="C554" s="17"/>
      <c r="D554" s="17"/>
      <c r="E554" s="17"/>
    </row>
    <row r="555">
      <c r="A555" s="25"/>
      <c r="B555" s="17"/>
      <c r="C555" s="17"/>
      <c r="D555" s="17"/>
      <c r="E555" s="17"/>
    </row>
    <row r="556">
      <c r="A556" s="25"/>
      <c r="B556" s="17"/>
      <c r="C556" s="17"/>
      <c r="D556" s="17"/>
      <c r="E556" s="17"/>
    </row>
    <row r="557">
      <c r="A557" s="25"/>
      <c r="B557" s="17"/>
      <c r="C557" s="17"/>
      <c r="D557" s="17"/>
      <c r="E557" s="17"/>
    </row>
    <row r="558">
      <c r="A558" s="25"/>
      <c r="B558" s="17"/>
      <c r="C558" s="17"/>
      <c r="D558" s="17"/>
      <c r="E558" s="17"/>
    </row>
    <row r="559">
      <c r="A559" s="25"/>
      <c r="B559" s="17"/>
      <c r="C559" s="17"/>
      <c r="D559" s="17"/>
      <c r="E559" s="17"/>
    </row>
    <row r="560">
      <c r="A560" s="25"/>
      <c r="B560" s="17"/>
      <c r="C560" s="17"/>
      <c r="D560" s="17"/>
      <c r="E560" s="17"/>
    </row>
    <row r="561">
      <c r="A561" s="25"/>
      <c r="B561" s="17"/>
      <c r="C561" s="17"/>
      <c r="D561" s="17"/>
      <c r="E561" s="17"/>
    </row>
    <row r="562">
      <c r="A562" s="25"/>
      <c r="B562" s="17"/>
      <c r="C562" s="17"/>
      <c r="D562" s="17"/>
      <c r="E562" s="17"/>
    </row>
    <row r="563">
      <c r="A563" s="25"/>
      <c r="B563" s="17"/>
      <c r="C563" s="17"/>
      <c r="D563" s="17"/>
      <c r="E563" s="17"/>
    </row>
    <row r="564">
      <c r="A564" s="25"/>
      <c r="B564" s="17"/>
      <c r="C564" s="17"/>
      <c r="D564" s="17"/>
      <c r="E564" s="17"/>
    </row>
    <row r="565">
      <c r="A565" s="25"/>
      <c r="B565" s="17"/>
      <c r="C565" s="17"/>
      <c r="D565" s="17"/>
      <c r="E565" s="17"/>
    </row>
    <row r="566">
      <c r="A566" s="25"/>
      <c r="B566" s="17"/>
      <c r="C566" s="17"/>
      <c r="D566" s="17"/>
      <c r="E566" s="17"/>
    </row>
    <row r="567">
      <c r="A567" s="25"/>
      <c r="B567" s="17"/>
      <c r="C567" s="17"/>
      <c r="D567" s="17"/>
      <c r="E567" s="17"/>
    </row>
    <row r="568">
      <c r="A568" s="25"/>
      <c r="B568" s="17"/>
      <c r="C568" s="17"/>
      <c r="D568" s="17"/>
      <c r="E568" s="17"/>
    </row>
    <row r="569">
      <c r="A569" s="25"/>
      <c r="B569" s="17"/>
      <c r="C569" s="17"/>
      <c r="D569" s="17"/>
      <c r="E569" s="17"/>
    </row>
    <row r="570">
      <c r="A570" s="25"/>
      <c r="B570" s="17"/>
      <c r="C570" s="17"/>
      <c r="D570" s="17"/>
      <c r="E570" s="17"/>
    </row>
    <row r="571">
      <c r="A571" s="25"/>
      <c r="B571" s="17"/>
      <c r="C571" s="17"/>
      <c r="D571" s="17"/>
      <c r="E571" s="17"/>
    </row>
    <row r="572">
      <c r="A572" s="25"/>
      <c r="B572" s="17"/>
      <c r="C572" s="17"/>
      <c r="D572" s="17"/>
      <c r="E572" s="17"/>
    </row>
    <row r="573">
      <c r="A573" s="25"/>
      <c r="B573" s="17"/>
      <c r="C573" s="17"/>
      <c r="D573" s="17"/>
      <c r="E573" s="17"/>
    </row>
    <row r="574">
      <c r="A574" s="25"/>
      <c r="B574" s="17"/>
      <c r="C574" s="17"/>
      <c r="D574" s="17"/>
      <c r="E574" s="17"/>
    </row>
    <row r="575">
      <c r="A575" s="25"/>
      <c r="B575" s="17"/>
      <c r="C575" s="17"/>
      <c r="D575" s="17"/>
      <c r="E575" s="17"/>
    </row>
    <row r="576">
      <c r="A576" s="25"/>
      <c r="B576" s="17"/>
      <c r="C576" s="17"/>
      <c r="D576" s="17"/>
      <c r="E576" s="17"/>
    </row>
    <row r="577">
      <c r="A577" s="25"/>
      <c r="B577" s="17"/>
      <c r="C577" s="17"/>
      <c r="D577" s="17"/>
      <c r="E577" s="17"/>
    </row>
    <row r="578">
      <c r="A578" s="25"/>
      <c r="B578" s="17"/>
      <c r="C578" s="17"/>
      <c r="D578" s="17"/>
      <c r="E578" s="17"/>
    </row>
    <row r="579">
      <c r="A579" s="25"/>
      <c r="B579" s="17"/>
      <c r="C579" s="17"/>
      <c r="D579" s="17"/>
      <c r="E579" s="17"/>
    </row>
    <row r="580">
      <c r="A580" s="25"/>
      <c r="B580" s="17"/>
      <c r="C580" s="17"/>
      <c r="D580" s="17"/>
      <c r="E580" s="17"/>
    </row>
    <row r="581">
      <c r="A581" s="25"/>
      <c r="B581" s="17"/>
      <c r="C581" s="17"/>
      <c r="D581" s="17"/>
      <c r="E581" s="17"/>
    </row>
    <row r="582">
      <c r="A582" s="25"/>
      <c r="B582" s="17"/>
      <c r="C582" s="17"/>
      <c r="D582" s="17"/>
      <c r="E582" s="17"/>
    </row>
    <row r="583">
      <c r="A583" s="25"/>
      <c r="B583" s="17"/>
      <c r="C583" s="17"/>
      <c r="D583" s="17"/>
      <c r="E583" s="17"/>
    </row>
    <row r="584">
      <c r="A584" s="25"/>
      <c r="B584" s="17"/>
      <c r="C584" s="17"/>
      <c r="D584" s="17"/>
      <c r="E584" s="17"/>
    </row>
    <row r="585">
      <c r="A585" s="25"/>
      <c r="B585" s="17"/>
      <c r="C585" s="17"/>
      <c r="D585" s="17"/>
      <c r="E585" s="17"/>
    </row>
    <row r="586">
      <c r="A586" s="25"/>
      <c r="B586" s="17"/>
      <c r="C586" s="17"/>
      <c r="D586" s="17"/>
      <c r="E586" s="17"/>
    </row>
    <row r="587">
      <c r="A587" s="25"/>
      <c r="B587" s="17"/>
      <c r="C587" s="17"/>
      <c r="D587" s="17"/>
      <c r="E587" s="17"/>
    </row>
    <row r="588">
      <c r="A588" s="25"/>
      <c r="B588" s="17"/>
      <c r="C588" s="17"/>
      <c r="D588" s="17"/>
      <c r="E588" s="17"/>
    </row>
    <row r="589">
      <c r="A589" s="25"/>
      <c r="B589" s="17"/>
      <c r="C589" s="17"/>
      <c r="D589" s="17"/>
      <c r="E589" s="17"/>
    </row>
    <row r="590">
      <c r="A590" s="25"/>
      <c r="B590" s="17"/>
      <c r="C590" s="17"/>
      <c r="D590" s="17"/>
      <c r="E590" s="17"/>
    </row>
    <row r="591">
      <c r="A591" s="25"/>
      <c r="B591" s="17"/>
      <c r="C591" s="17"/>
      <c r="D591" s="17"/>
      <c r="E591" s="17"/>
    </row>
    <row r="592">
      <c r="A592" s="25"/>
      <c r="B592" s="17"/>
      <c r="C592" s="17"/>
      <c r="D592" s="17"/>
      <c r="E592" s="17"/>
    </row>
    <row r="593">
      <c r="A593" s="25"/>
      <c r="B593" s="17"/>
      <c r="C593" s="17"/>
      <c r="D593" s="17"/>
      <c r="E593" s="17"/>
    </row>
    <row r="594">
      <c r="A594" s="25"/>
      <c r="B594" s="17"/>
      <c r="C594" s="17"/>
      <c r="D594" s="17"/>
      <c r="E594" s="17"/>
    </row>
    <row r="595">
      <c r="A595" s="25"/>
      <c r="B595" s="17"/>
      <c r="C595" s="17"/>
      <c r="D595" s="17"/>
      <c r="E595" s="17"/>
    </row>
    <row r="596">
      <c r="A596" s="25"/>
      <c r="B596" s="17"/>
      <c r="C596" s="17"/>
      <c r="D596" s="17"/>
      <c r="E596" s="17"/>
    </row>
    <row r="597">
      <c r="A597" s="25"/>
      <c r="B597" s="17"/>
      <c r="C597" s="17"/>
      <c r="D597" s="17"/>
      <c r="E597" s="17"/>
    </row>
    <row r="598">
      <c r="A598" s="25"/>
      <c r="B598" s="17"/>
      <c r="C598" s="17"/>
      <c r="D598" s="17"/>
      <c r="E598" s="17"/>
    </row>
    <row r="599">
      <c r="A599" s="25"/>
      <c r="B599" s="17"/>
      <c r="C599" s="17"/>
      <c r="D599" s="17"/>
      <c r="E599" s="17"/>
    </row>
    <row r="600">
      <c r="A600" s="25"/>
      <c r="B600" s="17"/>
      <c r="C600" s="17"/>
      <c r="D600" s="17"/>
      <c r="E600" s="17"/>
    </row>
    <row r="601">
      <c r="A601" s="25"/>
      <c r="B601" s="17"/>
      <c r="C601" s="17"/>
      <c r="D601" s="17"/>
      <c r="E601" s="17"/>
    </row>
    <row r="602">
      <c r="A602" s="25"/>
      <c r="B602" s="17"/>
      <c r="C602" s="17"/>
      <c r="D602" s="17"/>
      <c r="E602" s="17"/>
    </row>
    <row r="603">
      <c r="A603" s="25"/>
      <c r="B603" s="17"/>
      <c r="C603" s="17"/>
      <c r="D603" s="17"/>
      <c r="E603" s="17"/>
    </row>
    <row r="604">
      <c r="A604" s="25"/>
      <c r="B604" s="17"/>
      <c r="C604" s="17"/>
      <c r="D604" s="17"/>
      <c r="E604" s="17"/>
    </row>
    <row r="605">
      <c r="A605" s="25"/>
      <c r="B605" s="17"/>
      <c r="C605" s="17"/>
      <c r="D605" s="17"/>
      <c r="E605" s="17"/>
    </row>
    <row r="606">
      <c r="A606" s="25"/>
      <c r="B606" s="17"/>
      <c r="C606" s="17"/>
      <c r="D606" s="17"/>
      <c r="E606" s="17"/>
    </row>
    <row r="607">
      <c r="A607" s="25"/>
      <c r="B607" s="17"/>
      <c r="C607" s="17"/>
      <c r="D607" s="17"/>
      <c r="E607" s="17"/>
    </row>
    <row r="608">
      <c r="A608" s="25"/>
      <c r="B608" s="17"/>
      <c r="C608" s="17"/>
      <c r="D608" s="17"/>
      <c r="E608" s="17"/>
    </row>
    <row r="609">
      <c r="A609" s="25"/>
      <c r="B609" s="17"/>
      <c r="C609" s="17"/>
      <c r="D609" s="17"/>
      <c r="E609" s="17"/>
    </row>
    <row r="610">
      <c r="A610" s="25"/>
      <c r="B610" s="17"/>
      <c r="C610" s="17"/>
      <c r="D610" s="17"/>
      <c r="E610" s="17"/>
    </row>
    <row r="611">
      <c r="A611" s="25"/>
      <c r="B611" s="17"/>
      <c r="C611" s="17"/>
      <c r="D611" s="17"/>
      <c r="E611" s="17"/>
    </row>
    <row r="612">
      <c r="A612" s="25"/>
      <c r="B612" s="17"/>
      <c r="C612" s="17"/>
      <c r="D612" s="17"/>
      <c r="E612" s="17"/>
    </row>
    <row r="613">
      <c r="A613" s="25"/>
      <c r="B613" s="17"/>
      <c r="C613" s="17"/>
      <c r="D613" s="17"/>
      <c r="E613" s="17"/>
    </row>
    <row r="614">
      <c r="A614" s="25"/>
      <c r="B614" s="17"/>
      <c r="C614" s="17"/>
      <c r="D614" s="17"/>
      <c r="E614" s="17"/>
    </row>
    <row r="615">
      <c r="A615" s="25"/>
      <c r="B615" s="17"/>
      <c r="C615" s="17"/>
      <c r="D615" s="17"/>
      <c r="E615" s="17"/>
    </row>
    <row r="616">
      <c r="A616" s="25"/>
      <c r="B616" s="17"/>
      <c r="C616" s="17"/>
      <c r="D616" s="17"/>
      <c r="E616" s="17"/>
    </row>
    <row r="617">
      <c r="A617" s="25"/>
      <c r="B617" s="17"/>
      <c r="C617" s="17"/>
      <c r="D617" s="17"/>
      <c r="E617" s="17"/>
    </row>
    <row r="618">
      <c r="A618" s="25"/>
      <c r="B618" s="17"/>
      <c r="C618" s="17"/>
      <c r="D618" s="17"/>
      <c r="E618" s="17"/>
    </row>
    <row r="619">
      <c r="A619" s="25"/>
      <c r="B619" s="17"/>
      <c r="C619" s="17"/>
      <c r="D619" s="17"/>
      <c r="E619" s="17"/>
    </row>
    <row r="620">
      <c r="A620" s="25"/>
      <c r="B620" s="17"/>
      <c r="C620" s="17"/>
      <c r="D620" s="17"/>
      <c r="E620" s="17"/>
    </row>
    <row r="621">
      <c r="A621" s="25"/>
      <c r="B621" s="17"/>
      <c r="C621" s="17"/>
      <c r="D621" s="17"/>
      <c r="E621" s="17"/>
    </row>
    <row r="622">
      <c r="A622" s="25"/>
      <c r="B622" s="17"/>
      <c r="C622" s="17"/>
      <c r="D622" s="17"/>
      <c r="E622" s="17"/>
    </row>
    <row r="623">
      <c r="A623" s="25"/>
      <c r="B623" s="17"/>
      <c r="C623" s="17"/>
      <c r="D623" s="17"/>
      <c r="E623" s="17"/>
    </row>
    <row r="624">
      <c r="A624" s="25"/>
      <c r="B624" s="17"/>
      <c r="C624" s="17"/>
      <c r="D624" s="17"/>
      <c r="E624" s="17"/>
    </row>
    <row r="625">
      <c r="A625" s="25"/>
      <c r="B625" s="17"/>
      <c r="C625" s="17"/>
      <c r="D625" s="17"/>
      <c r="E625" s="17"/>
    </row>
    <row r="626">
      <c r="A626" s="25"/>
      <c r="B626" s="17"/>
      <c r="C626" s="17"/>
      <c r="D626" s="17"/>
      <c r="E626" s="17"/>
    </row>
    <row r="627">
      <c r="A627" s="25"/>
      <c r="B627" s="17"/>
      <c r="C627" s="17"/>
      <c r="D627" s="17"/>
      <c r="E627" s="17"/>
    </row>
    <row r="628">
      <c r="A628" s="25"/>
      <c r="B628" s="17"/>
      <c r="C628" s="17"/>
      <c r="D628" s="17"/>
      <c r="E628" s="17"/>
    </row>
    <row r="629">
      <c r="A629" s="25"/>
      <c r="B629" s="17"/>
      <c r="C629" s="17"/>
      <c r="D629" s="17"/>
      <c r="E629" s="17"/>
    </row>
    <row r="630">
      <c r="A630" s="25"/>
      <c r="B630" s="17"/>
      <c r="C630" s="17"/>
      <c r="D630" s="17"/>
      <c r="E630" s="17"/>
    </row>
    <row r="631">
      <c r="A631" s="25"/>
      <c r="B631" s="17"/>
      <c r="C631" s="17"/>
      <c r="D631" s="17"/>
      <c r="E631" s="17"/>
    </row>
    <row r="632">
      <c r="A632" s="25"/>
      <c r="B632" s="17"/>
      <c r="C632" s="17"/>
      <c r="D632" s="17"/>
      <c r="E632" s="17"/>
    </row>
    <row r="633">
      <c r="A633" s="25"/>
      <c r="B633" s="17"/>
      <c r="C633" s="17"/>
      <c r="D633" s="17"/>
      <c r="E633" s="17"/>
    </row>
    <row r="634">
      <c r="A634" s="25"/>
      <c r="B634" s="17"/>
      <c r="C634" s="17"/>
      <c r="D634" s="17"/>
      <c r="E634" s="17"/>
    </row>
    <row r="635">
      <c r="A635" s="25"/>
      <c r="B635" s="17"/>
      <c r="C635" s="17"/>
      <c r="D635" s="17"/>
      <c r="E635" s="17"/>
    </row>
    <row r="636">
      <c r="A636" s="25"/>
      <c r="B636" s="17"/>
      <c r="C636" s="17"/>
      <c r="D636" s="17"/>
      <c r="E636" s="17"/>
    </row>
    <row r="637">
      <c r="A637" s="25"/>
      <c r="B637" s="17"/>
      <c r="C637" s="17"/>
      <c r="D637" s="17"/>
      <c r="E637" s="17"/>
    </row>
    <row r="638">
      <c r="A638" s="25"/>
      <c r="B638" s="17"/>
      <c r="C638" s="17"/>
      <c r="D638" s="17"/>
      <c r="E638" s="17"/>
    </row>
    <row r="639">
      <c r="A639" s="25"/>
      <c r="B639" s="17"/>
      <c r="C639" s="17"/>
      <c r="D639" s="17"/>
      <c r="E639" s="17"/>
    </row>
    <row r="640">
      <c r="A640" s="25"/>
      <c r="B640" s="17"/>
      <c r="C640" s="17"/>
      <c r="D640" s="17"/>
      <c r="E640" s="17"/>
    </row>
    <row r="641">
      <c r="A641" s="25"/>
      <c r="B641" s="17"/>
      <c r="C641" s="17"/>
      <c r="D641" s="17"/>
      <c r="E641" s="17"/>
    </row>
    <row r="642">
      <c r="A642" s="25"/>
      <c r="B642" s="17"/>
      <c r="C642" s="17"/>
      <c r="D642" s="17"/>
      <c r="E642" s="17"/>
    </row>
    <row r="643">
      <c r="A643" s="25"/>
      <c r="B643" s="17"/>
      <c r="C643" s="17"/>
      <c r="D643" s="17"/>
      <c r="E643" s="17"/>
    </row>
    <row r="644">
      <c r="A644" s="25"/>
      <c r="B644" s="17"/>
      <c r="C644" s="17"/>
      <c r="D644" s="17"/>
      <c r="E644" s="17"/>
    </row>
    <row r="645">
      <c r="A645" s="25"/>
      <c r="B645" s="17"/>
      <c r="C645" s="17"/>
      <c r="D645" s="17"/>
      <c r="E645" s="17"/>
    </row>
    <row r="646">
      <c r="A646" s="25"/>
      <c r="B646" s="17"/>
      <c r="C646" s="17"/>
      <c r="D646" s="17"/>
      <c r="E646" s="17"/>
    </row>
    <row r="647">
      <c r="A647" s="25"/>
      <c r="B647" s="17"/>
      <c r="C647" s="17"/>
      <c r="D647" s="17"/>
      <c r="E647" s="17"/>
    </row>
    <row r="648">
      <c r="A648" s="25"/>
      <c r="B648" s="17"/>
      <c r="C648" s="17"/>
      <c r="D648" s="17"/>
      <c r="E648" s="17"/>
    </row>
    <row r="649">
      <c r="A649" s="25"/>
      <c r="B649" s="17"/>
      <c r="C649" s="17"/>
      <c r="D649" s="17"/>
      <c r="E649" s="17"/>
    </row>
    <row r="650">
      <c r="A650" s="25"/>
      <c r="B650" s="17"/>
      <c r="C650" s="17"/>
      <c r="D650" s="17"/>
      <c r="E650" s="17"/>
    </row>
    <row r="651">
      <c r="A651" s="25"/>
      <c r="B651" s="17"/>
      <c r="C651" s="17"/>
      <c r="D651" s="17"/>
      <c r="E651" s="17"/>
    </row>
    <row r="652">
      <c r="A652" s="25"/>
      <c r="B652" s="17"/>
      <c r="C652" s="17"/>
      <c r="D652" s="17"/>
      <c r="E652" s="17"/>
    </row>
    <row r="653">
      <c r="A653" s="25"/>
      <c r="B653" s="17"/>
      <c r="C653" s="17"/>
      <c r="D653" s="17"/>
      <c r="E653" s="17"/>
    </row>
    <row r="654">
      <c r="A654" s="25"/>
      <c r="B654" s="17"/>
      <c r="C654" s="17"/>
      <c r="D654" s="17"/>
      <c r="E654" s="17"/>
    </row>
    <row r="655">
      <c r="A655" s="25"/>
      <c r="B655" s="17"/>
      <c r="C655" s="17"/>
      <c r="D655" s="17"/>
      <c r="E655" s="17"/>
    </row>
    <row r="656">
      <c r="A656" s="25"/>
      <c r="B656" s="17"/>
      <c r="C656" s="17"/>
      <c r="D656" s="17"/>
      <c r="E656" s="17"/>
    </row>
    <row r="657">
      <c r="A657" s="25"/>
      <c r="B657" s="17"/>
      <c r="C657" s="17"/>
      <c r="D657" s="17"/>
      <c r="E657" s="17"/>
    </row>
    <row r="658">
      <c r="A658" s="25"/>
      <c r="B658" s="17"/>
      <c r="C658" s="17"/>
      <c r="D658" s="17"/>
      <c r="E658" s="17"/>
    </row>
    <row r="659">
      <c r="A659" s="25"/>
      <c r="B659" s="17"/>
      <c r="C659" s="17"/>
      <c r="D659" s="17"/>
      <c r="E659" s="17"/>
    </row>
    <row r="660">
      <c r="A660" s="25"/>
      <c r="B660" s="17"/>
      <c r="C660" s="17"/>
      <c r="D660" s="17"/>
      <c r="E660" s="17"/>
    </row>
    <row r="661">
      <c r="A661" s="25"/>
      <c r="B661" s="17"/>
      <c r="C661" s="17"/>
      <c r="D661" s="17"/>
      <c r="E661" s="17"/>
    </row>
    <row r="662">
      <c r="A662" s="25"/>
      <c r="B662" s="17"/>
      <c r="C662" s="17"/>
      <c r="D662" s="17"/>
      <c r="E662" s="17"/>
    </row>
    <row r="663">
      <c r="A663" s="25"/>
      <c r="B663" s="17"/>
      <c r="C663" s="17"/>
      <c r="D663" s="17"/>
      <c r="E663" s="17"/>
    </row>
    <row r="664">
      <c r="A664" s="25"/>
      <c r="B664" s="17"/>
      <c r="C664" s="17"/>
      <c r="D664" s="17"/>
      <c r="E664" s="17"/>
    </row>
    <row r="665">
      <c r="A665" s="25"/>
      <c r="B665" s="17"/>
      <c r="C665" s="17"/>
      <c r="D665" s="17"/>
      <c r="E665" s="17"/>
    </row>
    <row r="666">
      <c r="A666" s="25"/>
      <c r="B666" s="17"/>
      <c r="C666" s="17"/>
      <c r="D666" s="17"/>
      <c r="E666" s="17"/>
    </row>
    <row r="667">
      <c r="A667" s="25"/>
      <c r="B667" s="17"/>
      <c r="C667" s="17"/>
      <c r="D667" s="17"/>
      <c r="E667" s="17"/>
    </row>
    <row r="668">
      <c r="A668" s="25"/>
      <c r="B668" s="17"/>
      <c r="C668" s="17"/>
      <c r="D668" s="17"/>
      <c r="E668" s="17"/>
    </row>
    <row r="669">
      <c r="A669" s="25"/>
      <c r="B669" s="17"/>
      <c r="C669" s="17"/>
      <c r="D669" s="17"/>
      <c r="E669" s="17"/>
    </row>
    <row r="670">
      <c r="A670" s="25"/>
      <c r="B670" s="17"/>
      <c r="C670" s="17"/>
      <c r="D670" s="17"/>
      <c r="E670" s="17"/>
    </row>
    <row r="671">
      <c r="A671" s="25"/>
      <c r="B671" s="17"/>
      <c r="C671" s="17"/>
      <c r="D671" s="17"/>
      <c r="E671" s="17"/>
    </row>
    <row r="672">
      <c r="A672" s="25"/>
      <c r="B672" s="17"/>
      <c r="C672" s="17"/>
      <c r="D672" s="17"/>
      <c r="E672" s="17"/>
    </row>
    <row r="673">
      <c r="A673" s="25"/>
      <c r="B673" s="17"/>
      <c r="C673" s="17"/>
      <c r="D673" s="17"/>
      <c r="E673" s="17"/>
    </row>
    <row r="674">
      <c r="A674" s="25"/>
      <c r="B674" s="17"/>
      <c r="C674" s="17"/>
      <c r="D674" s="17"/>
      <c r="E674" s="17"/>
    </row>
    <row r="675">
      <c r="A675" s="25"/>
      <c r="B675" s="17"/>
      <c r="C675" s="17"/>
      <c r="D675" s="17"/>
      <c r="E675" s="17"/>
    </row>
    <row r="676">
      <c r="A676" s="25"/>
      <c r="B676" s="17"/>
      <c r="C676" s="17"/>
      <c r="D676" s="17"/>
      <c r="E676" s="17"/>
    </row>
    <row r="677">
      <c r="A677" s="25"/>
      <c r="B677" s="17"/>
      <c r="C677" s="17"/>
      <c r="D677" s="17"/>
      <c r="E677" s="17"/>
    </row>
    <row r="678">
      <c r="A678" s="25"/>
      <c r="B678" s="17"/>
      <c r="C678" s="17"/>
      <c r="D678" s="17"/>
      <c r="E678" s="17"/>
    </row>
    <row r="679">
      <c r="A679" s="25"/>
      <c r="B679" s="17"/>
      <c r="C679" s="17"/>
      <c r="D679" s="17"/>
      <c r="E679" s="17"/>
    </row>
    <row r="680">
      <c r="A680" s="25"/>
      <c r="B680" s="17"/>
      <c r="C680" s="17"/>
      <c r="D680" s="17"/>
      <c r="E680" s="17"/>
    </row>
    <row r="681">
      <c r="A681" s="25"/>
      <c r="B681" s="17"/>
      <c r="C681" s="17"/>
      <c r="D681" s="17"/>
      <c r="E681" s="17"/>
    </row>
    <row r="682">
      <c r="A682" s="25"/>
      <c r="B682" s="17"/>
      <c r="C682" s="17"/>
      <c r="D682" s="17"/>
      <c r="E682" s="17"/>
    </row>
    <row r="683">
      <c r="A683" s="25"/>
      <c r="B683" s="17"/>
      <c r="C683" s="17"/>
      <c r="D683" s="17"/>
      <c r="E683" s="17"/>
    </row>
    <row r="684">
      <c r="A684" s="25"/>
      <c r="B684" s="17"/>
      <c r="C684" s="17"/>
      <c r="D684" s="17"/>
      <c r="E684" s="17"/>
    </row>
    <row r="685">
      <c r="A685" s="25"/>
      <c r="B685" s="17"/>
      <c r="C685" s="17"/>
      <c r="D685" s="17"/>
      <c r="E685" s="17"/>
    </row>
    <row r="686">
      <c r="A686" s="25"/>
      <c r="B686" s="17"/>
      <c r="C686" s="17"/>
      <c r="D686" s="17"/>
      <c r="E686" s="17"/>
    </row>
    <row r="687">
      <c r="A687" s="25"/>
      <c r="B687" s="17"/>
      <c r="C687" s="17"/>
      <c r="D687" s="17"/>
      <c r="E687" s="17"/>
    </row>
    <row r="688">
      <c r="A688" s="25"/>
      <c r="B688" s="17"/>
      <c r="C688" s="17"/>
      <c r="D688" s="17"/>
      <c r="E688" s="17"/>
    </row>
    <row r="689">
      <c r="A689" s="25"/>
      <c r="B689" s="17"/>
      <c r="C689" s="17"/>
      <c r="D689" s="17"/>
      <c r="E689" s="17"/>
    </row>
    <row r="690">
      <c r="A690" s="25"/>
      <c r="B690" s="17"/>
      <c r="C690" s="17"/>
      <c r="D690" s="17"/>
      <c r="E690" s="17"/>
    </row>
    <row r="691">
      <c r="A691" s="25"/>
      <c r="B691" s="17"/>
      <c r="C691" s="17"/>
      <c r="D691" s="17"/>
      <c r="E691" s="17"/>
    </row>
    <row r="692">
      <c r="A692" s="25"/>
      <c r="B692" s="17"/>
      <c r="C692" s="17"/>
      <c r="D692" s="17"/>
      <c r="E692" s="17"/>
    </row>
    <row r="693">
      <c r="A693" s="25"/>
      <c r="B693" s="17"/>
      <c r="C693" s="17"/>
      <c r="D693" s="17"/>
      <c r="E693" s="17"/>
    </row>
    <row r="694">
      <c r="A694" s="25"/>
      <c r="B694" s="17"/>
      <c r="C694" s="17"/>
      <c r="D694" s="17"/>
      <c r="E694" s="17"/>
    </row>
    <row r="695">
      <c r="A695" s="25"/>
      <c r="B695" s="17"/>
      <c r="C695" s="17"/>
      <c r="D695" s="17"/>
      <c r="E695" s="17"/>
    </row>
    <row r="696">
      <c r="A696" s="25"/>
      <c r="B696" s="17"/>
      <c r="C696" s="17"/>
      <c r="D696" s="17"/>
      <c r="E696" s="17"/>
    </row>
    <row r="697">
      <c r="A697" s="25"/>
      <c r="B697" s="17"/>
      <c r="C697" s="17"/>
      <c r="D697" s="17"/>
      <c r="E697" s="17"/>
    </row>
    <row r="698">
      <c r="A698" s="25"/>
      <c r="B698" s="17"/>
      <c r="C698" s="17"/>
      <c r="D698" s="17"/>
      <c r="E698" s="17"/>
    </row>
    <row r="699">
      <c r="A699" s="25"/>
      <c r="B699" s="17"/>
      <c r="C699" s="17"/>
      <c r="D699" s="17"/>
      <c r="E699" s="17"/>
    </row>
    <row r="700">
      <c r="A700" s="25"/>
      <c r="B700" s="17"/>
      <c r="C700" s="17"/>
      <c r="D700" s="17"/>
      <c r="E700" s="17"/>
    </row>
    <row r="701">
      <c r="A701" s="25"/>
      <c r="B701" s="17"/>
      <c r="C701" s="17"/>
      <c r="D701" s="17"/>
      <c r="E701" s="17"/>
    </row>
    <row r="702">
      <c r="A702" s="25"/>
      <c r="B702" s="17"/>
      <c r="C702" s="17"/>
      <c r="D702" s="17"/>
      <c r="E702" s="17"/>
    </row>
    <row r="703">
      <c r="A703" s="25"/>
      <c r="B703" s="17"/>
      <c r="C703" s="17"/>
      <c r="D703" s="17"/>
      <c r="E703" s="17"/>
    </row>
    <row r="704">
      <c r="A704" s="25"/>
      <c r="B704" s="17"/>
      <c r="C704" s="17"/>
      <c r="D704" s="17"/>
      <c r="E704" s="17"/>
    </row>
    <row r="705">
      <c r="A705" s="25"/>
      <c r="B705" s="17"/>
      <c r="C705" s="17"/>
      <c r="D705" s="17"/>
      <c r="E705" s="17"/>
    </row>
    <row r="706">
      <c r="A706" s="25"/>
      <c r="B706" s="17"/>
      <c r="C706" s="17"/>
      <c r="D706" s="17"/>
      <c r="E706" s="17"/>
    </row>
    <row r="707">
      <c r="A707" s="25"/>
      <c r="B707" s="17"/>
      <c r="C707" s="17"/>
      <c r="D707" s="17"/>
      <c r="E707" s="17"/>
    </row>
    <row r="708">
      <c r="A708" s="25"/>
      <c r="B708" s="17"/>
      <c r="C708" s="17"/>
      <c r="D708" s="17"/>
      <c r="E708" s="17"/>
    </row>
    <row r="709">
      <c r="A709" s="25"/>
      <c r="B709" s="17"/>
      <c r="C709" s="17"/>
      <c r="D709" s="17"/>
      <c r="E709" s="17"/>
    </row>
    <row r="710">
      <c r="A710" s="25"/>
      <c r="B710" s="17"/>
      <c r="C710" s="17"/>
      <c r="D710" s="17"/>
      <c r="E710" s="17"/>
    </row>
    <row r="711">
      <c r="A711" s="25"/>
      <c r="B711" s="17"/>
      <c r="C711" s="17"/>
      <c r="D711" s="17"/>
      <c r="E711" s="17"/>
    </row>
    <row r="712">
      <c r="A712" s="25"/>
      <c r="B712" s="17"/>
      <c r="C712" s="17"/>
      <c r="D712" s="17"/>
      <c r="E712" s="17"/>
    </row>
    <row r="713">
      <c r="A713" s="25"/>
      <c r="B713" s="17"/>
      <c r="C713" s="17"/>
      <c r="D713" s="17"/>
      <c r="E713" s="17"/>
    </row>
    <row r="714">
      <c r="A714" s="25"/>
      <c r="B714" s="17"/>
      <c r="C714" s="17"/>
      <c r="D714" s="17"/>
      <c r="E714" s="17"/>
    </row>
    <row r="715">
      <c r="A715" s="25"/>
      <c r="B715" s="17"/>
      <c r="C715" s="17"/>
      <c r="D715" s="17"/>
      <c r="E715" s="17"/>
    </row>
    <row r="716">
      <c r="A716" s="25"/>
      <c r="B716" s="17"/>
      <c r="C716" s="17"/>
      <c r="D716" s="17"/>
      <c r="E716" s="17"/>
    </row>
    <row r="717">
      <c r="A717" s="25"/>
      <c r="B717" s="17"/>
      <c r="C717" s="17"/>
      <c r="D717" s="17"/>
      <c r="E717" s="17"/>
    </row>
    <row r="718">
      <c r="A718" s="25"/>
      <c r="B718" s="17"/>
      <c r="C718" s="17"/>
      <c r="D718" s="17"/>
      <c r="E718" s="17"/>
    </row>
    <row r="719">
      <c r="A719" s="25"/>
      <c r="B719" s="17"/>
      <c r="C719" s="17"/>
      <c r="D719" s="17"/>
      <c r="E719" s="17"/>
    </row>
    <row r="720">
      <c r="A720" s="25"/>
      <c r="B720" s="17"/>
      <c r="C720" s="17"/>
      <c r="D720" s="17"/>
      <c r="E720" s="17"/>
    </row>
    <row r="721">
      <c r="A721" s="25"/>
      <c r="B721" s="17"/>
      <c r="C721" s="17"/>
      <c r="D721" s="17"/>
      <c r="E721" s="17"/>
    </row>
    <row r="722">
      <c r="A722" s="25"/>
      <c r="B722" s="17"/>
      <c r="C722" s="17"/>
      <c r="D722" s="17"/>
      <c r="E722" s="17"/>
    </row>
    <row r="723">
      <c r="A723" s="25"/>
      <c r="B723" s="17"/>
      <c r="C723" s="17"/>
      <c r="D723" s="17"/>
      <c r="E723" s="17"/>
    </row>
    <row r="724">
      <c r="A724" s="25"/>
      <c r="B724" s="17"/>
      <c r="C724" s="17"/>
      <c r="D724" s="17"/>
      <c r="E724" s="17"/>
    </row>
    <row r="725">
      <c r="A725" s="25"/>
      <c r="B725" s="17"/>
      <c r="C725" s="17"/>
      <c r="D725" s="17"/>
      <c r="E725" s="17"/>
    </row>
    <row r="726">
      <c r="A726" s="25"/>
      <c r="B726" s="17"/>
      <c r="C726" s="17"/>
      <c r="D726" s="17"/>
      <c r="E726" s="17"/>
    </row>
    <row r="727">
      <c r="A727" s="25"/>
      <c r="B727" s="17"/>
      <c r="C727" s="17"/>
      <c r="D727" s="17"/>
      <c r="E727" s="17"/>
    </row>
    <row r="728">
      <c r="A728" s="25"/>
      <c r="B728" s="17"/>
      <c r="C728" s="17"/>
      <c r="D728" s="17"/>
      <c r="E728" s="17"/>
    </row>
    <row r="729">
      <c r="A729" s="25"/>
      <c r="B729" s="17"/>
      <c r="C729" s="17"/>
      <c r="D729" s="17"/>
      <c r="E729" s="17"/>
    </row>
    <row r="730">
      <c r="A730" s="25"/>
      <c r="B730" s="17"/>
      <c r="C730" s="17"/>
      <c r="D730" s="17"/>
      <c r="E730" s="17"/>
    </row>
    <row r="731">
      <c r="A731" s="25"/>
      <c r="B731" s="17"/>
      <c r="C731" s="17"/>
      <c r="D731" s="17"/>
      <c r="E731" s="17"/>
    </row>
    <row r="732">
      <c r="A732" s="25"/>
      <c r="B732" s="17"/>
      <c r="C732" s="17"/>
      <c r="D732" s="17"/>
      <c r="E732" s="17"/>
    </row>
    <row r="733">
      <c r="A733" s="25"/>
      <c r="B733" s="17"/>
      <c r="C733" s="17"/>
      <c r="D733" s="17"/>
      <c r="E733" s="17"/>
    </row>
    <row r="734">
      <c r="A734" s="25"/>
      <c r="B734" s="17"/>
      <c r="C734" s="17"/>
      <c r="D734" s="17"/>
      <c r="E734" s="17"/>
    </row>
    <row r="735">
      <c r="A735" s="25"/>
      <c r="B735" s="17"/>
      <c r="C735" s="17"/>
      <c r="D735" s="17"/>
      <c r="E735" s="17"/>
    </row>
    <row r="736">
      <c r="A736" s="25"/>
      <c r="B736" s="17"/>
      <c r="C736" s="17"/>
      <c r="D736" s="17"/>
      <c r="E736" s="17"/>
    </row>
    <row r="737">
      <c r="A737" s="25"/>
      <c r="B737" s="17"/>
      <c r="C737" s="17"/>
      <c r="D737" s="17"/>
      <c r="E737" s="17"/>
    </row>
    <row r="738">
      <c r="A738" s="25"/>
      <c r="B738" s="17"/>
      <c r="C738" s="17"/>
      <c r="D738" s="17"/>
      <c r="E738" s="17"/>
    </row>
    <row r="739">
      <c r="A739" s="25"/>
      <c r="B739" s="17"/>
      <c r="C739" s="17"/>
      <c r="D739" s="17"/>
      <c r="E739" s="17"/>
    </row>
    <row r="740">
      <c r="A740" s="25"/>
      <c r="B740" s="17"/>
      <c r="C740" s="17"/>
      <c r="D740" s="17"/>
      <c r="E740" s="17"/>
    </row>
    <row r="741">
      <c r="A741" s="25"/>
      <c r="B741" s="17"/>
      <c r="C741" s="17"/>
      <c r="D741" s="17"/>
      <c r="E741" s="17"/>
    </row>
    <row r="742">
      <c r="A742" s="25"/>
      <c r="B742" s="17"/>
      <c r="C742" s="17"/>
      <c r="D742" s="17"/>
      <c r="E742" s="17"/>
    </row>
    <row r="743">
      <c r="A743" s="25"/>
      <c r="B743" s="17"/>
      <c r="C743" s="17"/>
      <c r="D743" s="17"/>
      <c r="E743" s="17"/>
    </row>
    <row r="744">
      <c r="A744" s="25"/>
      <c r="B744" s="17"/>
      <c r="C744" s="17"/>
      <c r="D744" s="17"/>
      <c r="E744" s="17"/>
    </row>
    <row r="745">
      <c r="A745" s="25"/>
      <c r="B745" s="17"/>
      <c r="C745" s="17"/>
      <c r="D745" s="17"/>
      <c r="E745" s="17"/>
    </row>
    <row r="746">
      <c r="A746" s="25"/>
      <c r="B746" s="17"/>
      <c r="C746" s="17"/>
      <c r="D746" s="17"/>
      <c r="E746" s="17"/>
    </row>
    <row r="747">
      <c r="A747" s="25"/>
      <c r="B747" s="17"/>
      <c r="C747" s="17"/>
      <c r="D747" s="17"/>
      <c r="E747" s="17"/>
    </row>
    <row r="748">
      <c r="A748" s="25"/>
      <c r="B748" s="17"/>
      <c r="C748" s="17"/>
      <c r="D748" s="17"/>
      <c r="E748" s="17"/>
    </row>
    <row r="749">
      <c r="A749" s="25"/>
      <c r="B749" s="17"/>
      <c r="C749" s="17"/>
      <c r="D749" s="17"/>
      <c r="E749" s="17"/>
    </row>
    <row r="750">
      <c r="A750" s="25"/>
      <c r="B750" s="17"/>
      <c r="C750" s="17"/>
      <c r="D750" s="17"/>
      <c r="E750" s="17"/>
    </row>
    <row r="751">
      <c r="A751" s="25"/>
      <c r="B751" s="17"/>
      <c r="C751" s="17"/>
      <c r="D751" s="17"/>
      <c r="E751" s="17"/>
    </row>
    <row r="752">
      <c r="A752" s="25"/>
      <c r="B752" s="17"/>
      <c r="C752" s="17"/>
      <c r="D752" s="17"/>
      <c r="E752" s="17"/>
    </row>
    <row r="753">
      <c r="A753" s="25"/>
      <c r="B753" s="17"/>
      <c r="C753" s="17"/>
      <c r="D753" s="17"/>
      <c r="E753" s="17"/>
    </row>
    <row r="754">
      <c r="A754" s="25"/>
      <c r="B754" s="17"/>
      <c r="C754" s="17"/>
      <c r="D754" s="17"/>
      <c r="E754" s="17"/>
    </row>
    <row r="755">
      <c r="A755" s="25"/>
      <c r="B755" s="17"/>
      <c r="C755" s="17"/>
      <c r="D755" s="17"/>
      <c r="E755" s="17"/>
    </row>
    <row r="756">
      <c r="A756" s="25"/>
      <c r="B756" s="17"/>
      <c r="C756" s="17"/>
      <c r="D756" s="17"/>
      <c r="E756" s="17"/>
    </row>
    <row r="757">
      <c r="A757" s="25"/>
      <c r="B757" s="17"/>
      <c r="C757" s="17"/>
      <c r="D757" s="17"/>
      <c r="E757" s="17"/>
    </row>
    <row r="758">
      <c r="A758" s="25"/>
      <c r="B758" s="17"/>
      <c r="C758" s="17"/>
      <c r="D758" s="17"/>
      <c r="E758" s="17"/>
    </row>
    <row r="759">
      <c r="A759" s="25"/>
      <c r="B759" s="17"/>
      <c r="C759" s="17"/>
      <c r="D759" s="17"/>
      <c r="E759" s="17"/>
    </row>
    <row r="760">
      <c r="A760" s="25"/>
      <c r="B760" s="17"/>
      <c r="C760" s="17"/>
      <c r="D760" s="17"/>
      <c r="E760" s="17"/>
    </row>
    <row r="761">
      <c r="A761" s="25"/>
      <c r="B761" s="17"/>
      <c r="C761" s="17"/>
      <c r="D761" s="17"/>
      <c r="E761" s="17"/>
    </row>
    <row r="762">
      <c r="A762" s="25"/>
      <c r="B762" s="17"/>
      <c r="C762" s="17"/>
      <c r="D762" s="17"/>
      <c r="E762" s="17"/>
    </row>
    <row r="763">
      <c r="A763" s="25"/>
      <c r="B763" s="17"/>
      <c r="C763" s="17"/>
      <c r="D763" s="17"/>
      <c r="E763" s="17"/>
    </row>
    <row r="764">
      <c r="A764" s="25"/>
      <c r="B764" s="17"/>
      <c r="C764" s="17"/>
      <c r="D764" s="17"/>
      <c r="E764" s="17"/>
    </row>
    <row r="765">
      <c r="A765" s="25"/>
      <c r="B765" s="17"/>
      <c r="C765" s="17"/>
      <c r="D765" s="17"/>
      <c r="E765" s="17"/>
    </row>
    <row r="766">
      <c r="A766" s="25"/>
      <c r="B766" s="17"/>
      <c r="C766" s="17"/>
      <c r="D766" s="17"/>
      <c r="E766" s="17"/>
    </row>
    <row r="767">
      <c r="A767" s="25"/>
      <c r="B767" s="17"/>
      <c r="C767" s="17"/>
      <c r="D767" s="17"/>
      <c r="E767" s="17"/>
    </row>
    <row r="768">
      <c r="A768" s="25"/>
      <c r="B768" s="17"/>
      <c r="C768" s="17"/>
      <c r="D768" s="17"/>
      <c r="E768" s="17"/>
    </row>
    <row r="769">
      <c r="A769" s="25"/>
      <c r="B769" s="17"/>
      <c r="C769" s="17"/>
      <c r="D769" s="17"/>
      <c r="E769" s="17"/>
    </row>
    <row r="770">
      <c r="A770" s="25"/>
      <c r="B770" s="17"/>
      <c r="C770" s="17"/>
      <c r="D770" s="17"/>
      <c r="E770" s="17"/>
    </row>
    <row r="771">
      <c r="A771" s="25"/>
      <c r="B771" s="17"/>
      <c r="C771" s="17"/>
      <c r="D771" s="17"/>
      <c r="E771" s="17"/>
    </row>
    <row r="772">
      <c r="A772" s="25"/>
      <c r="B772" s="17"/>
      <c r="C772" s="17"/>
      <c r="D772" s="17"/>
      <c r="E772" s="17"/>
    </row>
    <row r="773">
      <c r="A773" s="25"/>
      <c r="B773" s="17"/>
      <c r="C773" s="17"/>
      <c r="D773" s="17"/>
      <c r="E773" s="17"/>
    </row>
    <row r="774">
      <c r="A774" s="25"/>
      <c r="B774" s="17"/>
      <c r="C774" s="17"/>
      <c r="D774" s="17"/>
      <c r="E774" s="17"/>
    </row>
    <row r="775">
      <c r="A775" s="25"/>
      <c r="B775" s="17"/>
      <c r="C775" s="17"/>
      <c r="D775" s="17"/>
      <c r="E775" s="17"/>
    </row>
    <row r="776">
      <c r="A776" s="25"/>
      <c r="B776" s="17"/>
      <c r="C776" s="17"/>
      <c r="D776" s="17"/>
      <c r="E776" s="17"/>
    </row>
    <row r="777">
      <c r="A777" s="25"/>
      <c r="B777" s="17"/>
      <c r="C777" s="17"/>
      <c r="D777" s="17"/>
      <c r="E777" s="17"/>
    </row>
    <row r="778">
      <c r="A778" s="25"/>
      <c r="B778" s="17"/>
      <c r="C778" s="17"/>
      <c r="D778" s="17"/>
      <c r="E778" s="17"/>
    </row>
    <row r="779">
      <c r="A779" s="25"/>
      <c r="B779" s="17"/>
      <c r="C779" s="17"/>
      <c r="D779" s="17"/>
      <c r="E779" s="17"/>
    </row>
    <row r="780">
      <c r="A780" s="25"/>
      <c r="B780" s="17"/>
      <c r="C780" s="17"/>
      <c r="D780" s="17"/>
      <c r="E780" s="17"/>
    </row>
    <row r="781">
      <c r="A781" s="25"/>
      <c r="B781" s="17"/>
      <c r="C781" s="17"/>
      <c r="D781" s="17"/>
      <c r="E781" s="17"/>
    </row>
    <row r="782">
      <c r="A782" s="25"/>
      <c r="B782" s="17"/>
      <c r="C782" s="17"/>
      <c r="D782" s="17"/>
      <c r="E782" s="17"/>
    </row>
    <row r="783">
      <c r="A783" s="25"/>
      <c r="B783" s="17"/>
      <c r="C783" s="17"/>
      <c r="D783" s="17"/>
      <c r="E783" s="17"/>
    </row>
    <row r="784">
      <c r="A784" s="25"/>
      <c r="B784" s="17"/>
      <c r="C784" s="17"/>
      <c r="D784" s="17"/>
      <c r="E784" s="17"/>
    </row>
    <row r="785">
      <c r="A785" s="25"/>
      <c r="B785" s="17"/>
      <c r="C785" s="17"/>
      <c r="D785" s="17"/>
      <c r="E785" s="17"/>
    </row>
    <row r="786">
      <c r="A786" s="25"/>
      <c r="B786" s="17"/>
      <c r="C786" s="17"/>
      <c r="D786" s="17"/>
      <c r="E786" s="17"/>
    </row>
    <row r="787">
      <c r="A787" s="25"/>
      <c r="B787" s="17"/>
      <c r="C787" s="17"/>
      <c r="D787" s="17"/>
      <c r="E787" s="17"/>
    </row>
    <row r="788">
      <c r="A788" s="25"/>
      <c r="B788" s="17"/>
      <c r="C788" s="17"/>
      <c r="D788" s="17"/>
      <c r="E788" s="17"/>
    </row>
    <row r="789">
      <c r="A789" s="25"/>
      <c r="B789" s="17"/>
      <c r="C789" s="17"/>
      <c r="D789" s="17"/>
      <c r="E789" s="17"/>
    </row>
    <row r="790">
      <c r="A790" s="25"/>
      <c r="B790" s="17"/>
      <c r="C790" s="17"/>
      <c r="D790" s="17"/>
      <c r="E790" s="17"/>
    </row>
    <row r="791">
      <c r="A791" s="25"/>
      <c r="B791" s="17"/>
      <c r="C791" s="17"/>
      <c r="D791" s="17"/>
      <c r="E791" s="17"/>
    </row>
    <row r="792">
      <c r="A792" s="25"/>
      <c r="B792" s="17"/>
      <c r="C792" s="17"/>
      <c r="D792" s="17"/>
      <c r="E792" s="17"/>
    </row>
    <row r="793">
      <c r="A793" s="25"/>
      <c r="B793" s="17"/>
      <c r="C793" s="17"/>
      <c r="D793" s="17"/>
      <c r="E793" s="17"/>
    </row>
    <row r="794">
      <c r="A794" s="25"/>
      <c r="B794" s="17"/>
      <c r="C794" s="17"/>
      <c r="D794" s="17"/>
      <c r="E794" s="17"/>
    </row>
    <row r="795">
      <c r="A795" s="25"/>
      <c r="B795" s="17"/>
      <c r="C795" s="17"/>
      <c r="D795" s="17"/>
      <c r="E795" s="17"/>
    </row>
    <row r="796">
      <c r="A796" s="25"/>
      <c r="B796" s="17"/>
      <c r="C796" s="17"/>
      <c r="D796" s="17"/>
      <c r="E796" s="17"/>
    </row>
    <row r="797">
      <c r="A797" s="25"/>
      <c r="B797" s="17"/>
      <c r="C797" s="17"/>
      <c r="D797" s="17"/>
      <c r="E797" s="17"/>
    </row>
    <row r="798">
      <c r="A798" s="25"/>
      <c r="B798" s="17"/>
      <c r="C798" s="17"/>
      <c r="D798" s="17"/>
      <c r="E798" s="17"/>
    </row>
    <row r="799">
      <c r="A799" s="25"/>
      <c r="B799" s="17"/>
      <c r="C799" s="17"/>
      <c r="D799" s="17"/>
      <c r="E799" s="17"/>
    </row>
    <row r="800">
      <c r="A800" s="25"/>
      <c r="B800" s="17"/>
      <c r="C800" s="17"/>
      <c r="D800" s="17"/>
      <c r="E800" s="17"/>
    </row>
    <row r="801">
      <c r="A801" s="25"/>
      <c r="B801" s="17"/>
      <c r="C801" s="17"/>
      <c r="D801" s="17"/>
      <c r="E801" s="17"/>
    </row>
    <row r="802">
      <c r="A802" s="25"/>
      <c r="B802" s="17"/>
      <c r="C802" s="17"/>
      <c r="D802" s="17"/>
      <c r="E802" s="17"/>
    </row>
    <row r="803">
      <c r="A803" s="25"/>
      <c r="B803" s="17"/>
      <c r="C803" s="17"/>
      <c r="D803" s="17"/>
      <c r="E803" s="17"/>
    </row>
    <row r="804">
      <c r="A804" s="25"/>
      <c r="B804" s="17"/>
      <c r="C804" s="17"/>
      <c r="D804" s="17"/>
      <c r="E804" s="17"/>
    </row>
    <row r="805">
      <c r="A805" s="25"/>
      <c r="B805" s="17"/>
      <c r="C805" s="17"/>
      <c r="D805" s="17"/>
      <c r="E805" s="17"/>
    </row>
    <row r="806">
      <c r="A806" s="25"/>
      <c r="B806" s="17"/>
      <c r="C806" s="17"/>
      <c r="D806" s="17"/>
      <c r="E806" s="17"/>
    </row>
    <row r="807">
      <c r="A807" s="25"/>
      <c r="B807" s="17"/>
      <c r="C807" s="17"/>
      <c r="D807" s="17"/>
      <c r="E807" s="17"/>
    </row>
    <row r="808">
      <c r="A808" s="25"/>
      <c r="B808" s="17"/>
      <c r="C808" s="17"/>
      <c r="D808" s="17"/>
      <c r="E808" s="17"/>
    </row>
    <row r="809">
      <c r="A809" s="25"/>
      <c r="B809" s="17"/>
      <c r="C809" s="17"/>
      <c r="D809" s="17"/>
      <c r="E809" s="17"/>
    </row>
    <row r="810">
      <c r="A810" s="25"/>
      <c r="B810" s="17"/>
      <c r="C810" s="17"/>
      <c r="D810" s="17"/>
      <c r="E810" s="17"/>
    </row>
    <row r="811">
      <c r="A811" s="25"/>
      <c r="B811" s="17"/>
      <c r="C811" s="17"/>
      <c r="D811" s="17"/>
      <c r="E811" s="17"/>
    </row>
    <row r="812">
      <c r="A812" s="25"/>
      <c r="B812" s="17"/>
      <c r="C812" s="17"/>
      <c r="D812" s="17"/>
      <c r="E812" s="17"/>
    </row>
    <row r="813">
      <c r="A813" s="25"/>
      <c r="B813" s="17"/>
      <c r="C813" s="17"/>
      <c r="D813" s="17"/>
      <c r="E813" s="17"/>
    </row>
    <row r="814">
      <c r="A814" s="25"/>
      <c r="B814" s="17"/>
      <c r="C814" s="17"/>
      <c r="D814" s="17"/>
      <c r="E814" s="17"/>
    </row>
    <row r="815">
      <c r="A815" s="25"/>
      <c r="B815" s="17"/>
      <c r="C815" s="17"/>
      <c r="D815" s="17"/>
      <c r="E815" s="17"/>
    </row>
    <row r="816">
      <c r="A816" s="25"/>
      <c r="B816" s="17"/>
      <c r="C816" s="17"/>
      <c r="D816" s="17"/>
      <c r="E816" s="17"/>
    </row>
    <row r="817">
      <c r="A817" s="25"/>
      <c r="B817" s="17"/>
      <c r="C817" s="17"/>
      <c r="D817" s="17"/>
      <c r="E817" s="17"/>
    </row>
    <row r="818">
      <c r="A818" s="25"/>
      <c r="B818" s="17"/>
      <c r="C818" s="17"/>
      <c r="D818" s="17"/>
      <c r="E818" s="17"/>
    </row>
    <row r="819">
      <c r="A819" s="25"/>
      <c r="B819" s="17"/>
      <c r="C819" s="17"/>
      <c r="D819" s="17"/>
      <c r="E819" s="17"/>
    </row>
    <row r="820">
      <c r="A820" s="25"/>
      <c r="B820" s="17"/>
      <c r="C820" s="17"/>
      <c r="D820" s="17"/>
      <c r="E820" s="17"/>
    </row>
    <row r="821">
      <c r="A821" s="25"/>
      <c r="B821" s="17"/>
      <c r="C821" s="17"/>
      <c r="D821" s="17"/>
      <c r="E821" s="17"/>
    </row>
    <row r="822">
      <c r="A822" s="25"/>
      <c r="B822" s="17"/>
      <c r="C822" s="17"/>
      <c r="D822" s="17"/>
      <c r="E822" s="17"/>
    </row>
    <row r="823">
      <c r="A823" s="25"/>
      <c r="B823" s="17"/>
      <c r="C823" s="17"/>
      <c r="D823" s="17"/>
      <c r="E823" s="17"/>
    </row>
    <row r="824">
      <c r="A824" s="25"/>
      <c r="B824" s="17"/>
      <c r="C824" s="17"/>
      <c r="D824" s="17"/>
      <c r="E824" s="17"/>
    </row>
    <row r="825">
      <c r="A825" s="25"/>
      <c r="B825" s="17"/>
      <c r="C825" s="17"/>
      <c r="D825" s="17"/>
      <c r="E825" s="17"/>
    </row>
    <row r="826">
      <c r="A826" s="25"/>
      <c r="B826" s="17"/>
      <c r="C826" s="17"/>
      <c r="D826" s="17"/>
      <c r="E826" s="17"/>
    </row>
    <row r="827">
      <c r="A827" s="25"/>
      <c r="B827" s="17"/>
      <c r="C827" s="17"/>
      <c r="D827" s="17"/>
      <c r="E827" s="17"/>
    </row>
    <row r="828">
      <c r="A828" s="25"/>
      <c r="B828" s="17"/>
      <c r="C828" s="17"/>
      <c r="D828" s="17"/>
      <c r="E828" s="17"/>
    </row>
    <row r="829">
      <c r="A829" s="25"/>
      <c r="B829" s="17"/>
      <c r="C829" s="17"/>
      <c r="D829" s="17"/>
      <c r="E829" s="17"/>
    </row>
    <row r="830">
      <c r="A830" s="25"/>
      <c r="B830" s="17"/>
      <c r="C830" s="17"/>
      <c r="D830" s="17"/>
      <c r="E830" s="17"/>
    </row>
    <row r="831">
      <c r="A831" s="25"/>
      <c r="B831" s="17"/>
      <c r="C831" s="17"/>
      <c r="D831" s="17"/>
      <c r="E831" s="17"/>
    </row>
    <row r="832">
      <c r="A832" s="25"/>
      <c r="B832" s="17"/>
      <c r="C832" s="17"/>
      <c r="D832" s="17"/>
      <c r="E832" s="17"/>
    </row>
    <row r="833">
      <c r="A833" s="25"/>
      <c r="B833" s="17"/>
      <c r="C833" s="17"/>
      <c r="D833" s="17"/>
      <c r="E833" s="17"/>
    </row>
    <row r="834">
      <c r="A834" s="25"/>
      <c r="B834" s="17"/>
      <c r="C834" s="17"/>
      <c r="D834" s="17"/>
      <c r="E834" s="17"/>
    </row>
    <row r="835">
      <c r="A835" s="25"/>
      <c r="B835" s="17"/>
      <c r="C835" s="17"/>
      <c r="D835" s="17"/>
      <c r="E835" s="17"/>
    </row>
    <row r="836">
      <c r="A836" s="25"/>
      <c r="B836" s="17"/>
      <c r="C836" s="17"/>
      <c r="D836" s="17"/>
      <c r="E836" s="17"/>
    </row>
    <row r="837">
      <c r="A837" s="25"/>
      <c r="B837" s="17"/>
      <c r="C837" s="17"/>
      <c r="D837" s="17"/>
      <c r="E837" s="17"/>
    </row>
    <row r="838">
      <c r="A838" s="25"/>
      <c r="B838" s="17"/>
      <c r="C838" s="17"/>
      <c r="D838" s="17"/>
      <c r="E838" s="17"/>
    </row>
    <row r="839">
      <c r="A839" s="25"/>
      <c r="B839" s="17"/>
      <c r="C839" s="17"/>
      <c r="D839" s="17"/>
      <c r="E839" s="17"/>
    </row>
    <row r="840">
      <c r="A840" s="25"/>
      <c r="B840" s="17"/>
      <c r="C840" s="17"/>
      <c r="D840" s="17"/>
      <c r="E840" s="17"/>
    </row>
    <row r="841">
      <c r="A841" s="25"/>
      <c r="B841" s="17"/>
      <c r="C841" s="17"/>
      <c r="D841" s="17"/>
      <c r="E841" s="17"/>
    </row>
    <row r="842">
      <c r="A842" s="25"/>
      <c r="B842" s="17"/>
      <c r="C842" s="17"/>
      <c r="D842" s="17"/>
      <c r="E842" s="17"/>
    </row>
    <row r="843">
      <c r="A843" s="25"/>
      <c r="B843" s="17"/>
      <c r="C843" s="17"/>
      <c r="D843" s="17"/>
      <c r="E843" s="17"/>
    </row>
    <row r="844">
      <c r="A844" s="25"/>
      <c r="B844" s="17"/>
      <c r="C844" s="17"/>
      <c r="D844" s="17"/>
      <c r="E844" s="17"/>
    </row>
    <row r="845">
      <c r="A845" s="25"/>
      <c r="B845" s="17"/>
      <c r="C845" s="17"/>
      <c r="D845" s="17"/>
      <c r="E845" s="17"/>
    </row>
    <row r="846">
      <c r="A846" s="25"/>
      <c r="B846" s="17"/>
      <c r="C846" s="17"/>
      <c r="D846" s="17"/>
      <c r="E846" s="17"/>
    </row>
    <row r="847">
      <c r="A847" s="25"/>
      <c r="B847" s="17"/>
      <c r="C847" s="17"/>
      <c r="D847" s="17"/>
      <c r="E847" s="17"/>
    </row>
    <row r="848">
      <c r="A848" s="25"/>
      <c r="B848" s="17"/>
      <c r="C848" s="17"/>
      <c r="D848" s="17"/>
      <c r="E848" s="17"/>
    </row>
    <row r="849">
      <c r="A849" s="25"/>
      <c r="B849" s="17"/>
      <c r="C849" s="17"/>
      <c r="D849" s="17"/>
      <c r="E849" s="17"/>
    </row>
    <row r="850">
      <c r="A850" s="25"/>
      <c r="B850" s="17"/>
      <c r="C850" s="17"/>
      <c r="D850" s="17"/>
      <c r="E850" s="17"/>
    </row>
    <row r="851">
      <c r="B851" s="17"/>
      <c r="C851" s="17"/>
      <c r="D851" s="17"/>
      <c r="E851" s="17"/>
    </row>
    <row r="852">
      <c r="B852" s="17"/>
      <c r="C852" s="17"/>
      <c r="D852" s="17"/>
      <c r="E852" s="17"/>
    </row>
    <row r="853">
      <c r="B853" s="17"/>
      <c r="C853" s="17"/>
      <c r="D853" s="17"/>
      <c r="E853" s="17"/>
    </row>
    <row r="854">
      <c r="B854" s="17"/>
      <c r="C854" s="17"/>
      <c r="D854" s="17"/>
      <c r="E854" s="17"/>
    </row>
    <row r="855">
      <c r="B855" s="17"/>
      <c r="C855" s="17"/>
      <c r="D855" s="17"/>
      <c r="E855" s="17"/>
    </row>
    <row r="856">
      <c r="B856" s="17"/>
      <c r="C856" s="17"/>
      <c r="D856" s="17"/>
      <c r="E856" s="17"/>
    </row>
    <row r="857">
      <c r="B857" s="17"/>
      <c r="C857" s="17"/>
      <c r="D857" s="17"/>
      <c r="E857" s="17"/>
    </row>
    <row r="858">
      <c r="B858" s="17"/>
      <c r="C858" s="17"/>
      <c r="D858" s="17"/>
      <c r="E858" s="17"/>
    </row>
    <row r="859">
      <c r="B859" s="17"/>
      <c r="C859" s="17"/>
      <c r="D859" s="17"/>
      <c r="E859" s="17"/>
    </row>
    <row r="860">
      <c r="B860" s="17"/>
      <c r="C860" s="17"/>
      <c r="D860" s="17"/>
      <c r="E860" s="17"/>
    </row>
    <row r="861">
      <c r="B861" s="17"/>
      <c r="C861" s="17"/>
      <c r="D861" s="17"/>
      <c r="E861" s="17"/>
    </row>
    <row r="862">
      <c r="B862" s="17"/>
      <c r="C862" s="17"/>
      <c r="D862" s="17"/>
      <c r="E862" s="17"/>
    </row>
    <row r="863">
      <c r="B863" s="17"/>
      <c r="C863" s="17"/>
      <c r="D863" s="17"/>
      <c r="E863" s="17"/>
    </row>
    <row r="864">
      <c r="B864" s="17"/>
      <c r="C864" s="17"/>
      <c r="D864" s="17"/>
      <c r="E864" s="17"/>
    </row>
    <row r="865">
      <c r="B865" s="17"/>
      <c r="C865" s="17"/>
      <c r="D865" s="17"/>
      <c r="E865" s="17"/>
    </row>
    <row r="866">
      <c r="B866" s="17"/>
      <c r="C866" s="17"/>
      <c r="D866" s="17"/>
      <c r="E866" s="17"/>
    </row>
    <row r="867">
      <c r="B867" s="17"/>
      <c r="C867" s="17"/>
      <c r="D867" s="17"/>
      <c r="E867" s="17"/>
    </row>
    <row r="868">
      <c r="B868" s="17"/>
      <c r="C868" s="17"/>
      <c r="D868" s="17"/>
      <c r="E868" s="17"/>
    </row>
    <row r="869">
      <c r="B869" s="17"/>
      <c r="C869" s="17"/>
      <c r="D869" s="17"/>
      <c r="E869" s="17"/>
    </row>
    <row r="870">
      <c r="B870" s="17"/>
      <c r="C870" s="17"/>
      <c r="D870" s="17"/>
      <c r="E870" s="17"/>
    </row>
    <row r="871">
      <c r="B871" s="17"/>
      <c r="C871" s="17"/>
      <c r="D871" s="17"/>
      <c r="E871" s="17"/>
    </row>
    <row r="872">
      <c r="B872" s="17"/>
      <c r="C872" s="17"/>
      <c r="D872" s="17"/>
      <c r="E872" s="17"/>
    </row>
    <row r="873">
      <c r="B873" s="17"/>
      <c r="C873" s="17"/>
      <c r="D873" s="17"/>
      <c r="E873" s="17"/>
    </row>
    <row r="874">
      <c r="B874" s="17"/>
      <c r="C874" s="17"/>
      <c r="D874" s="17"/>
      <c r="E874" s="17"/>
    </row>
    <row r="875">
      <c r="B875" s="17"/>
      <c r="C875" s="17"/>
      <c r="D875" s="17"/>
      <c r="E875" s="17"/>
    </row>
    <row r="876">
      <c r="B876" s="17"/>
      <c r="C876" s="17"/>
      <c r="D876" s="17"/>
      <c r="E876" s="17"/>
    </row>
    <row r="877">
      <c r="B877" s="17"/>
      <c r="C877" s="17"/>
      <c r="D877" s="17"/>
      <c r="E877" s="17"/>
    </row>
    <row r="878">
      <c r="B878" s="17"/>
      <c r="C878" s="17"/>
      <c r="D878" s="17"/>
      <c r="E878" s="17"/>
    </row>
    <row r="879">
      <c r="B879" s="17"/>
      <c r="C879" s="17"/>
      <c r="D879" s="17"/>
      <c r="E879" s="17"/>
    </row>
    <row r="880">
      <c r="B880" s="17"/>
      <c r="C880" s="17"/>
      <c r="D880" s="17"/>
      <c r="E880" s="17"/>
    </row>
    <row r="881">
      <c r="B881" s="17"/>
      <c r="C881" s="17"/>
      <c r="D881" s="17"/>
      <c r="E881" s="17"/>
    </row>
    <row r="882">
      <c r="B882" s="17"/>
      <c r="C882" s="17"/>
      <c r="D882" s="17"/>
      <c r="E882" s="17"/>
    </row>
    <row r="883">
      <c r="B883" s="17"/>
      <c r="C883" s="17"/>
      <c r="D883" s="17"/>
      <c r="E883" s="17"/>
    </row>
    <row r="884">
      <c r="B884" s="17"/>
      <c r="C884" s="17"/>
      <c r="D884" s="17"/>
      <c r="E884" s="17"/>
    </row>
    <row r="885">
      <c r="B885" s="17"/>
      <c r="C885" s="17"/>
      <c r="D885" s="17"/>
      <c r="E885" s="17"/>
    </row>
    <row r="886">
      <c r="B886" s="17"/>
      <c r="C886" s="17"/>
      <c r="D886" s="17"/>
      <c r="E886" s="17"/>
    </row>
    <row r="887">
      <c r="B887" s="17"/>
      <c r="C887" s="17"/>
      <c r="D887" s="17"/>
      <c r="E887" s="17"/>
    </row>
    <row r="888">
      <c r="B888" s="17"/>
      <c r="C888" s="17"/>
      <c r="D888" s="17"/>
      <c r="E888" s="17"/>
    </row>
    <row r="889">
      <c r="B889" s="17"/>
      <c r="C889" s="17"/>
      <c r="D889" s="17"/>
      <c r="E889" s="17"/>
    </row>
    <row r="890">
      <c r="B890" s="17"/>
      <c r="C890" s="17"/>
      <c r="D890" s="17"/>
      <c r="E890" s="17"/>
    </row>
    <row r="891">
      <c r="B891" s="17"/>
      <c r="C891" s="17"/>
      <c r="D891" s="17"/>
      <c r="E891" s="17"/>
    </row>
    <row r="892">
      <c r="B892" s="17"/>
      <c r="C892" s="17"/>
      <c r="D892" s="17"/>
      <c r="E892" s="17"/>
    </row>
    <row r="893">
      <c r="B893" s="17"/>
      <c r="C893" s="17"/>
      <c r="D893" s="17"/>
      <c r="E893" s="17"/>
    </row>
    <row r="894">
      <c r="B894" s="17"/>
      <c r="C894" s="17"/>
      <c r="D894" s="17"/>
      <c r="E894" s="17"/>
    </row>
    <row r="895">
      <c r="B895" s="17"/>
      <c r="C895" s="17"/>
      <c r="D895" s="17"/>
      <c r="E895" s="17"/>
    </row>
    <row r="896">
      <c r="B896" s="17"/>
      <c r="C896" s="17"/>
      <c r="D896" s="17"/>
      <c r="E896" s="17"/>
    </row>
    <row r="897">
      <c r="B897" s="17"/>
      <c r="C897" s="17"/>
      <c r="D897" s="17"/>
      <c r="E897" s="17"/>
    </row>
    <row r="898">
      <c r="B898" s="17"/>
      <c r="C898" s="17"/>
      <c r="D898" s="17"/>
      <c r="E898" s="17"/>
    </row>
    <row r="899">
      <c r="B899" s="17"/>
      <c r="C899" s="17"/>
      <c r="D899" s="17"/>
      <c r="E899" s="17"/>
    </row>
    <row r="900">
      <c r="B900" s="17"/>
      <c r="C900" s="17"/>
      <c r="D900" s="17"/>
      <c r="E900" s="17"/>
    </row>
    <row r="901">
      <c r="B901" s="17"/>
      <c r="C901" s="17"/>
      <c r="D901" s="17"/>
      <c r="E901" s="17"/>
    </row>
    <row r="902">
      <c r="B902" s="17"/>
      <c r="C902" s="17"/>
      <c r="D902" s="17"/>
      <c r="E902" s="17"/>
    </row>
    <row r="903">
      <c r="B903" s="17"/>
      <c r="C903" s="17"/>
      <c r="D903" s="17"/>
      <c r="E903" s="17"/>
    </row>
    <row r="904">
      <c r="B904" s="17"/>
      <c r="C904" s="17"/>
      <c r="D904" s="17"/>
      <c r="E904" s="17"/>
    </row>
    <row r="905">
      <c r="B905" s="17"/>
      <c r="C905" s="17"/>
      <c r="D905" s="17"/>
      <c r="E905" s="17"/>
    </row>
    <row r="906">
      <c r="B906" s="17"/>
      <c r="C906" s="17"/>
      <c r="D906" s="17"/>
      <c r="E906" s="17"/>
    </row>
    <row r="907">
      <c r="B907" s="17"/>
      <c r="C907" s="17"/>
      <c r="D907" s="17"/>
      <c r="E907" s="17"/>
    </row>
    <row r="908">
      <c r="B908" s="17"/>
      <c r="C908" s="17"/>
      <c r="D908" s="17"/>
      <c r="E908" s="17"/>
    </row>
    <row r="909">
      <c r="B909" s="17"/>
      <c r="C909" s="17"/>
      <c r="D909" s="17"/>
      <c r="E909" s="17"/>
    </row>
    <row r="910">
      <c r="B910" s="17"/>
      <c r="C910" s="17"/>
      <c r="D910" s="17"/>
      <c r="E910" s="17"/>
    </row>
    <row r="911">
      <c r="B911" s="17"/>
      <c r="C911" s="17"/>
      <c r="D911" s="17"/>
      <c r="E911" s="17"/>
    </row>
    <row r="912">
      <c r="B912" s="17"/>
      <c r="C912" s="17"/>
      <c r="D912" s="17"/>
      <c r="E912" s="17"/>
    </row>
    <row r="913">
      <c r="B913" s="17"/>
      <c r="C913" s="17"/>
      <c r="D913" s="17"/>
      <c r="E913" s="17"/>
    </row>
    <row r="914">
      <c r="B914" s="17"/>
      <c r="C914" s="17"/>
      <c r="D914" s="17"/>
      <c r="E914" s="17"/>
    </row>
    <row r="915">
      <c r="B915" s="17"/>
      <c r="C915" s="17"/>
      <c r="D915" s="17"/>
      <c r="E915" s="17"/>
    </row>
    <row r="916">
      <c r="B916" s="17"/>
      <c r="C916" s="17"/>
      <c r="D916" s="17"/>
      <c r="E916" s="17"/>
    </row>
    <row r="917">
      <c r="B917" s="17"/>
      <c r="C917" s="17"/>
      <c r="D917" s="17"/>
      <c r="E917" s="17"/>
    </row>
    <row r="918">
      <c r="B918" s="17"/>
      <c r="C918" s="17"/>
      <c r="D918" s="17"/>
      <c r="E918" s="17"/>
    </row>
    <row r="919">
      <c r="B919" s="17"/>
      <c r="C919" s="17"/>
      <c r="D919" s="17"/>
      <c r="E919" s="17"/>
    </row>
    <row r="920">
      <c r="B920" s="17"/>
      <c r="C920" s="17"/>
      <c r="D920" s="17"/>
      <c r="E920" s="17"/>
    </row>
    <row r="921">
      <c r="B921" s="17"/>
      <c r="C921" s="17"/>
      <c r="D921" s="17"/>
      <c r="E921" s="17"/>
    </row>
    <row r="922">
      <c r="B922" s="17"/>
      <c r="C922" s="17"/>
      <c r="D922" s="17"/>
      <c r="E922" s="17"/>
    </row>
    <row r="923">
      <c r="B923" s="17"/>
      <c r="C923" s="17"/>
      <c r="D923" s="17"/>
      <c r="E923" s="17"/>
    </row>
    <row r="924">
      <c r="B924" s="17"/>
      <c r="C924" s="17"/>
      <c r="D924" s="17"/>
      <c r="E924" s="17"/>
    </row>
    <row r="925">
      <c r="B925" s="17"/>
      <c r="C925" s="17"/>
      <c r="D925" s="17"/>
      <c r="E925" s="17"/>
    </row>
    <row r="926">
      <c r="B926" s="17"/>
      <c r="C926" s="17"/>
      <c r="D926" s="17"/>
      <c r="E926" s="17"/>
    </row>
    <row r="927">
      <c r="B927" s="17"/>
      <c r="C927" s="17"/>
      <c r="D927" s="17"/>
      <c r="E927" s="17"/>
    </row>
    <row r="928">
      <c r="B928" s="17"/>
      <c r="C928" s="17"/>
      <c r="D928" s="17"/>
      <c r="E928" s="17"/>
    </row>
    <row r="929">
      <c r="B929" s="17"/>
      <c r="C929" s="17"/>
      <c r="D929" s="17"/>
      <c r="E929" s="17"/>
    </row>
    <row r="930">
      <c r="B930" s="17"/>
      <c r="C930" s="17"/>
      <c r="D930" s="17"/>
      <c r="E930" s="17"/>
    </row>
    <row r="931">
      <c r="B931" s="17"/>
      <c r="C931" s="17"/>
      <c r="D931" s="17"/>
      <c r="E931" s="17"/>
    </row>
    <row r="932">
      <c r="B932" s="17"/>
      <c r="C932" s="17"/>
      <c r="D932" s="17"/>
      <c r="E932" s="17"/>
    </row>
    <row r="933">
      <c r="B933" s="17"/>
      <c r="C933" s="17"/>
      <c r="D933" s="17"/>
      <c r="E933" s="17"/>
    </row>
    <row r="934">
      <c r="B934" s="17"/>
      <c r="C934" s="17"/>
      <c r="D934" s="17"/>
      <c r="E934" s="17"/>
    </row>
    <row r="935">
      <c r="B935" s="17"/>
      <c r="C935" s="17"/>
      <c r="D935" s="17"/>
      <c r="E935" s="17"/>
    </row>
    <row r="936">
      <c r="B936" s="17"/>
      <c r="C936" s="17"/>
      <c r="D936" s="17"/>
      <c r="E936" s="17"/>
    </row>
    <row r="937">
      <c r="B937" s="17"/>
      <c r="C937" s="17"/>
      <c r="D937" s="17"/>
      <c r="E937" s="17"/>
    </row>
    <row r="938">
      <c r="B938" s="17"/>
      <c r="C938" s="17"/>
      <c r="D938" s="17"/>
      <c r="E938" s="17"/>
    </row>
    <row r="939">
      <c r="B939" s="17"/>
      <c r="C939" s="17"/>
      <c r="D939" s="17"/>
      <c r="E939" s="17"/>
    </row>
    <row r="940">
      <c r="B940" s="17"/>
      <c r="C940" s="17"/>
      <c r="D940" s="17"/>
      <c r="E940" s="17"/>
    </row>
    <row r="941">
      <c r="B941" s="17"/>
      <c r="C941" s="17"/>
      <c r="D941" s="17"/>
      <c r="E941" s="17"/>
    </row>
    <row r="942">
      <c r="B942" s="17"/>
      <c r="C942" s="17"/>
      <c r="D942" s="17"/>
      <c r="E942" s="17"/>
    </row>
    <row r="943">
      <c r="B943" s="17"/>
      <c r="C943" s="17"/>
      <c r="D943" s="17"/>
      <c r="E943" s="17"/>
    </row>
    <row r="944">
      <c r="B944" s="17"/>
      <c r="C944" s="17"/>
      <c r="D944" s="17"/>
      <c r="E944" s="17"/>
    </row>
    <row r="945">
      <c r="B945" s="17"/>
      <c r="C945" s="17"/>
      <c r="D945" s="17"/>
      <c r="E945" s="17"/>
    </row>
    <row r="946">
      <c r="B946" s="17"/>
      <c r="C946" s="17"/>
      <c r="D946" s="17"/>
      <c r="E946" s="17"/>
    </row>
    <row r="947">
      <c r="B947" s="17"/>
      <c r="C947" s="17"/>
      <c r="D947" s="17"/>
      <c r="E947" s="17"/>
    </row>
    <row r="948">
      <c r="B948" s="17"/>
      <c r="C948" s="17"/>
      <c r="D948" s="17"/>
      <c r="E948" s="17"/>
    </row>
    <row r="949">
      <c r="B949" s="17"/>
      <c r="C949" s="17"/>
      <c r="D949" s="17"/>
      <c r="E949" s="17"/>
    </row>
    <row r="950">
      <c r="B950" s="17"/>
      <c r="C950" s="17"/>
      <c r="D950" s="17"/>
      <c r="E950" s="17"/>
    </row>
    <row r="951">
      <c r="B951" s="17"/>
      <c r="C951" s="17"/>
      <c r="D951" s="17"/>
      <c r="E951" s="17"/>
    </row>
    <row r="952">
      <c r="B952" s="17"/>
      <c r="C952" s="17"/>
      <c r="D952" s="17"/>
      <c r="E952" s="17"/>
    </row>
    <row r="953">
      <c r="B953" s="17"/>
      <c r="C953" s="17"/>
      <c r="D953" s="17"/>
      <c r="E953" s="17"/>
    </row>
    <row r="954">
      <c r="B954" s="17"/>
      <c r="C954" s="17"/>
      <c r="D954" s="17"/>
      <c r="E954" s="17"/>
    </row>
    <row r="955">
      <c r="B955" s="17"/>
      <c r="C955" s="17"/>
      <c r="D955" s="17"/>
      <c r="E955" s="17"/>
    </row>
    <row r="956">
      <c r="B956" s="17"/>
      <c r="C956" s="17"/>
      <c r="D956" s="17"/>
      <c r="E956" s="17"/>
    </row>
    <row r="957">
      <c r="B957" s="17"/>
      <c r="C957" s="17"/>
      <c r="D957" s="17"/>
      <c r="E957" s="17"/>
    </row>
    <row r="958">
      <c r="B958" s="17"/>
      <c r="C958" s="17"/>
      <c r="D958" s="17"/>
      <c r="E958" s="17"/>
    </row>
    <row r="959">
      <c r="B959" s="17"/>
      <c r="C959" s="17"/>
      <c r="D959" s="17"/>
      <c r="E959" s="17"/>
    </row>
    <row r="960">
      <c r="B960" s="17"/>
      <c r="C960" s="17"/>
      <c r="D960" s="17"/>
      <c r="E960" s="17"/>
    </row>
    <row r="961">
      <c r="B961" s="17"/>
      <c r="C961" s="17"/>
      <c r="D961" s="17"/>
      <c r="E961" s="17"/>
    </row>
    <row r="962">
      <c r="B962" s="17"/>
      <c r="C962" s="17"/>
      <c r="D962" s="17"/>
      <c r="E962" s="17"/>
    </row>
    <row r="963">
      <c r="B963" s="17"/>
      <c r="C963" s="17"/>
      <c r="D963" s="17"/>
      <c r="E963" s="17"/>
    </row>
    <row r="964">
      <c r="B964" s="17"/>
      <c r="C964" s="17"/>
      <c r="D964" s="17"/>
      <c r="E964" s="17"/>
    </row>
    <row r="965">
      <c r="B965" s="17"/>
      <c r="C965" s="17"/>
      <c r="D965" s="17"/>
      <c r="E965" s="17"/>
    </row>
    <row r="966">
      <c r="B966" s="17"/>
      <c r="C966" s="17"/>
      <c r="D966" s="17"/>
      <c r="E966" s="17"/>
    </row>
    <row r="967">
      <c r="B967" s="17"/>
      <c r="C967" s="17"/>
      <c r="D967" s="17"/>
      <c r="E967" s="17"/>
    </row>
    <row r="968">
      <c r="B968" s="17"/>
      <c r="C968" s="17"/>
      <c r="D968" s="17"/>
      <c r="E968" s="17"/>
    </row>
    <row r="969">
      <c r="B969" s="17"/>
      <c r="C969" s="17"/>
      <c r="D969" s="17"/>
      <c r="E969" s="17"/>
    </row>
    <row r="970">
      <c r="B970" s="17"/>
      <c r="C970" s="17"/>
      <c r="D970" s="17"/>
      <c r="E970" s="17"/>
    </row>
    <row r="971">
      <c r="B971" s="17"/>
      <c r="C971" s="17"/>
      <c r="D971" s="17"/>
      <c r="E971" s="17"/>
    </row>
    <row r="972">
      <c r="B972" s="17"/>
      <c r="C972" s="17"/>
      <c r="D972" s="17"/>
      <c r="E972" s="17"/>
    </row>
    <row r="973">
      <c r="B973" s="17"/>
      <c r="C973" s="17"/>
      <c r="D973" s="17"/>
      <c r="E973" s="17"/>
    </row>
    <row r="974">
      <c r="B974" s="17"/>
      <c r="C974" s="17"/>
      <c r="D974" s="17"/>
      <c r="E974" s="17"/>
    </row>
    <row r="975">
      <c r="B975" s="17"/>
      <c r="C975" s="17"/>
      <c r="D975" s="17"/>
      <c r="E975" s="17"/>
    </row>
    <row r="976">
      <c r="B976" s="17"/>
      <c r="C976" s="17"/>
      <c r="D976" s="17"/>
      <c r="E976" s="17"/>
    </row>
    <row r="977">
      <c r="B977" s="17"/>
      <c r="C977" s="17"/>
      <c r="D977" s="17"/>
      <c r="E977" s="17"/>
    </row>
    <row r="978">
      <c r="B978" s="17"/>
      <c r="C978" s="17"/>
      <c r="D978" s="17"/>
      <c r="E978" s="17"/>
    </row>
    <row r="979">
      <c r="B979" s="17"/>
      <c r="C979" s="17"/>
      <c r="D979" s="17"/>
      <c r="E979" s="17"/>
    </row>
    <row r="980">
      <c r="B980" s="17"/>
      <c r="C980" s="17"/>
      <c r="D980" s="17"/>
      <c r="E980" s="17"/>
    </row>
    <row r="981">
      <c r="B981" s="17"/>
      <c r="C981" s="17"/>
      <c r="D981" s="17"/>
      <c r="E981" s="17"/>
    </row>
    <row r="982">
      <c r="B982" s="17"/>
      <c r="C982" s="17"/>
      <c r="D982" s="17"/>
      <c r="E982" s="17"/>
    </row>
    <row r="983">
      <c r="B983" s="17"/>
      <c r="C983" s="17"/>
      <c r="D983" s="17"/>
      <c r="E983" s="17"/>
    </row>
    <row r="984">
      <c r="B984" s="17"/>
      <c r="C984" s="17"/>
      <c r="D984" s="17"/>
      <c r="E984" s="17"/>
    </row>
    <row r="985">
      <c r="B985" s="17"/>
      <c r="C985" s="17"/>
      <c r="D985" s="17"/>
      <c r="E985" s="17"/>
    </row>
    <row r="986">
      <c r="B986" s="17"/>
      <c r="C986" s="17"/>
      <c r="D986" s="17"/>
      <c r="E986" s="17"/>
    </row>
    <row r="987">
      <c r="B987" s="17"/>
      <c r="C987" s="17"/>
      <c r="D987" s="17"/>
      <c r="E987" s="17"/>
    </row>
    <row r="988">
      <c r="B988" s="17"/>
      <c r="C988" s="17"/>
      <c r="D988" s="17"/>
      <c r="E988" s="17"/>
    </row>
    <row r="989">
      <c r="B989" s="17"/>
      <c r="C989" s="17"/>
      <c r="D989" s="17"/>
      <c r="E989" s="17"/>
    </row>
    <row r="990">
      <c r="B990" s="17"/>
      <c r="C990" s="17"/>
      <c r="D990" s="17"/>
      <c r="E990" s="17"/>
    </row>
    <row r="991">
      <c r="B991" s="17"/>
      <c r="C991" s="17"/>
      <c r="D991" s="17"/>
      <c r="E991" s="17"/>
    </row>
    <row r="992">
      <c r="B992" s="17"/>
      <c r="C992" s="17"/>
      <c r="D992" s="17"/>
      <c r="E992" s="17"/>
    </row>
    <row r="993">
      <c r="B993" s="17"/>
      <c r="C993" s="17"/>
      <c r="D993" s="17"/>
      <c r="E993" s="17"/>
    </row>
    <row r="994">
      <c r="B994" s="17"/>
      <c r="C994" s="17"/>
      <c r="D994" s="17"/>
      <c r="E994" s="17"/>
    </row>
    <row r="995">
      <c r="B995" s="17"/>
      <c r="C995" s="17"/>
      <c r="D995" s="17"/>
      <c r="E995" s="17"/>
    </row>
    <row r="996">
      <c r="B996" s="17"/>
      <c r="C996" s="17"/>
      <c r="D996" s="17"/>
      <c r="E996" s="17"/>
    </row>
    <row r="997">
      <c r="B997" s="17"/>
      <c r="C997" s="17"/>
      <c r="D997" s="17"/>
      <c r="E997" s="17"/>
    </row>
    <row r="998">
      <c r="B998" s="17"/>
      <c r="C998" s="17"/>
      <c r="D998" s="17"/>
      <c r="E998" s="17"/>
    </row>
    <row r="999">
      <c r="B999" s="17"/>
      <c r="C999" s="17"/>
      <c r="D999" s="17"/>
      <c r="E999" s="17"/>
    </row>
    <row r="1000">
      <c r="B1000" s="17"/>
      <c r="C1000" s="17"/>
      <c r="D1000" s="17"/>
      <c r="E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.5"/>
    <col customWidth="1" min="2" max="2" width="21.25"/>
    <col customWidth="1" min="3" max="3" width="6.13"/>
    <col customWidth="1" min="4" max="13" width="7.0"/>
    <col customWidth="1" min="14" max="14" width="6.13"/>
    <col customWidth="1" min="15" max="24" width="7.0"/>
    <col customWidth="1" min="25" max="25" width="6.13"/>
    <col customWidth="1" min="26" max="48" width="7.0"/>
    <col customWidth="1" min="49" max="50" width="6.13"/>
    <col customWidth="1" min="51" max="52" width="7.0"/>
    <col customWidth="1" min="53" max="53" width="6.13"/>
    <col customWidth="1" min="54" max="57" width="7.0"/>
    <col customWidth="1" min="58" max="58" width="6.13"/>
    <col customWidth="1" min="59" max="59" width="7.0"/>
    <col customWidth="1" min="60" max="60" width="6.13"/>
    <col customWidth="1" min="61" max="63" width="7.0"/>
    <col customWidth="1" min="64" max="64" width="5.5"/>
    <col customWidth="1" min="65" max="67" width="7.0"/>
  </cols>
  <sheetData>
    <row r="1">
      <c r="A1" s="15" t="s">
        <v>105</v>
      </c>
      <c r="B1" s="15" t="s">
        <v>106</v>
      </c>
      <c r="C1" s="3" t="s">
        <v>33</v>
      </c>
      <c r="D1" s="3" t="s">
        <v>34</v>
      </c>
      <c r="E1" s="3" t="s">
        <v>35</v>
      </c>
      <c r="F1" s="3" t="s">
        <v>36</v>
      </c>
      <c r="G1" s="1" t="s">
        <v>37</v>
      </c>
      <c r="H1" s="1" t="s">
        <v>38</v>
      </c>
      <c r="I1" s="1" t="s">
        <v>39</v>
      </c>
      <c r="J1" s="3" t="s">
        <v>40</v>
      </c>
      <c r="K1" s="1" t="s">
        <v>41</v>
      </c>
      <c r="L1" s="1" t="s">
        <v>96</v>
      </c>
      <c r="M1" s="3" t="s">
        <v>42</v>
      </c>
      <c r="N1" s="1" t="s">
        <v>44</v>
      </c>
      <c r="O1" s="1" t="s">
        <v>46</v>
      </c>
      <c r="P1" s="3" t="s">
        <v>43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97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98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3" t="s">
        <v>65</v>
      </c>
      <c r="AL1" s="1" t="s">
        <v>66</v>
      </c>
      <c r="AM1" s="1" t="s">
        <v>67</v>
      </c>
      <c r="AN1" s="1" t="s">
        <v>99</v>
      </c>
      <c r="AO1" s="1" t="s">
        <v>68</v>
      </c>
      <c r="AP1" s="1" t="s">
        <v>69</v>
      </c>
      <c r="AQ1" s="1" t="s">
        <v>70</v>
      </c>
      <c r="AR1" s="3" t="s">
        <v>72</v>
      </c>
      <c r="AS1" s="1" t="s">
        <v>71</v>
      </c>
      <c r="AT1" s="1" t="s">
        <v>73</v>
      </c>
      <c r="AU1" s="3" t="s">
        <v>74</v>
      </c>
      <c r="AV1" s="1" t="s">
        <v>75</v>
      </c>
      <c r="AW1" s="1" t="s">
        <v>76</v>
      </c>
      <c r="AX1" s="3" t="s">
        <v>100</v>
      </c>
      <c r="AY1" s="3" t="s">
        <v>77</v>
      </c>
      <c r="AZ1" s="1" t="s">
        <v>101</v>
      </c>
      <c r="BA1" s="1" t="s">
        <v>78</v>
      </c>
      <c r="BB1" s="1" t="s">
        <v>80</v>
      </c>
      <c r="BC1" s="3" t="s">
        <v>79</v>
      </c>
      <c r="BD1" s="1" t="s">
        <v>81</v>
      </c>
      <c r="BE1" s="1" t="s">
        <v>82</v>
      </c>
      <c r="BF1" s="1" t="s">
        <v>83</v>
      </c>
      <c r="BG1" s="1" t="s">
        <v>84</v>
      </c>
      <c r="BH1" s="1" t="s">
        <v>102</v>
      </c>
      <c r="BI1" s="1" t="s">
        <v>85</v>
      </c>
      <c r="BJ1" s="1" t="s">
        <v>86</v>
      </c>
      <c r="BK1" s="1" t="s">
        <v>87</v>
      </c>
      <c r="BL1" s="1" t="s">
        <v>88</v>
      </c>
      <c r="BM1" s="3" t="s">
        <v>90</v>
      </c>
      <c r="BN1" s="1" t="s">
        <v>89</v>
      </c>
      <c r="BO1" s="3" t="s">
        <v>103</v>
      </c>
    </row>
    <row r="2">
      <c r="A2" s="25">
        <f>'Equity Price Data'!A3</f>
        <v>45425.66667</v>
      </c>
      <c r="B2" s="29">
        <f t="shared" ref="B2:B489" si="1">sum(C2:BO2)</f>
        <v>1217012.88</v>
      </c>
      <c r="C2" s="30">
        <f>'Equity Volume Data'!F2*'Equity Price Data'!I3</f>
        <v>6280.43</v>
      </c>
      <c r="D2" s="30">
        <f>'Equity Volume Data'!G2*'Equity Price Data'!J3</f>
        <v>48508.2</v>
      </c>
      <c r="E2" s="30">
        <f>'Equity Volume Data'!H2*'Equity Price Data'!K3</f>
        <v>14715.8</v>
      </c>
      <c r="F2" s="30">
        <f>'Equity Volume Data'!I2*'Equity Price Data'!L3</f>
        <v>47687.68</v>
      </c>
      <c r="G2" s="30">
        <f>'Equity Volume Data'!J2*'Equity Price Data'!M3</f>
        <v>17150.29</v>
      </c>
      <c r="H2" s="30">
        <f>'Equity Volume Data'!K2*'Equity Price Data'!N3</f>
        <v>10875.8</v>
      </c>
      <c r="I2" s="30">
        <f>'Equity Volume Data'!L2*'Equity Price Data'!O3</f>
        <v>10840</v>
      </c>
      <c r="J2" s="30">
        <f>'Equity Volume Data'!M2*'Equity Price Data'!P3</f>
        <v>41944.44</v>
      </c>
      <c r="K2" s="30">
        <f>'Equity Volume Data'!N2*'Equity Price Data'!Q3</f>
        <v>11436</v>
      </c>
      <c r="L2" s="30">
        <f>'Equity Volume Data'!O2*'Equity Price Data'!R3</f>
        <v>27266.14</v>
      </c>
      <c r="M2" s="30">
        <f>'Equity Volume Data'!P2*'Equity Price Data'!S3</f>
        <v>0</v>
      </c>
      <c r="N2" s="30">
        <f>'Equity Volume Data'!Q2*'Equity Price Data'!T3</f>
        <v>5146.4</v>
      </c>
      <c r="O2" s="30">
        <f>'Equity Volume Data'!R2*'Equity Price Data'!U3</f>
        <v>53502</v>
      </c>
      <c r="P2" s="30">
        <f>'Equity Volume Data'!S2*'Equity Price Data'!V3</f>
        <v>0</v>
      </c>
      <c r="Q2" s="30">
        <f>'Equity Volume Data'!T2*'Equity Price Data'!W3</f>
        <v>18003.6</v>
      </c>
      <c r="R2" s="30">
        <f>'Equity Volume Data'!U2*'Equity Price Data'!X3</f>
        <v>13162.4</v>
      </c>
      <c r="S2" s="30">
        <f>'Equity Volume Data'!V2*'Equity Price Data'!Y3</f>
        <v>30724.32</v>
      </c>
      <c r="T2" s="30">
        <f>'Equity Volume Data'!W2*'Equity Price Data'!Z3</f>
        <v>8985</v>
      </c>
      <c r="U2" s="30">
        <f>'Equity Volume Data'!X2*'Equity Price Data'!AA3</f>
        <v>16785.12</v>
      </c>
      <c r="V2" s="30">
        <f>'Equity Volume Data'!Y2*'Equity Price Data'!AB3</f>
        <v>15720.04</v>
      </c>
      <c r="W2" s="30">
        <f>'Equity Volume Data'!Z2*'Equity Price Data'!AC3</f>
        <v>9873.21</v>
      </c>
      <c r="X2" s="30">
        <f>'Equity Volume Data'!AA2*'Equity Price Data'!AD3</f>
        <v>30050</v>
      </c>
      <c r="Y2" s="30">
        <f>'Equity Volume Data'!AB2*'Equity Price Data'!AE3</f>
        <v>6633.12</v>
      </c>
      <c r="Z2" s="30">
        <f>'Equity Volume Data'!AC2*'Equity Price Data'!AF3</f>
        <v>7798.5</v>
      </c>
      <c r="AA2" s="30">
        <f>'Equity Volume Data'!AD2*'Equity Price Data'!AG3</f>
        <v>20044.7</v>
      </c>
      <c r="AB2" s="30">
        <f>'Equity Volume Data'!AE2*'Equity Price Data'!AH3</f>
        <v>8006.7</v>
      </c>
      <c r="AC2" s="30">
        <f>'Equity Volume Data'!AF2*'Equity Price Data'!AI3</f>
        <v>16229.2</v>
      </c>
      <c r="AD2" s="30">
        <f>'Equity Volume Data'!AG2*'Equity Price Data'!AJ3</f>
        <v>13208.85</v>
      </c>
      <c r="AE2" s="30">
        <f>'Equity Volume Data'!AH2*'Equity Price Data'!AK3</f>
        <v>9034</v>
      </c>
      <c r="AF2" s="30">
        <f>'Equity Volume Data'!AI2*'Equity Price Data'!AL3</f>
        <v>13845.7</v>
      </c>
      <c r="AG2" s="30">
        <f>'Equity Volume Data'!AJ2*'Equity Price Data'!AM3</f>
        <v>27213.6</v>
      </c>
      <c r="AH2" s="30">
        <f>'Equity Volume Data'!AK2*'Equity Price Data'!AN3</f>
        <v>34096</v>
      </c>
      <c r="AI2" s="30">
        <f>'Equity Volume Data'!AL2*'Equity Price Data'!AO3</f>
        <v>15282.75</v>
      </c>
      <c r="AJ2" s="30">
        <f>'Equity Volume Data'!AM2*'Equity Price Data'!AP3</f>
        <v>17386.2</v>
      </c>
      <c r="AK2" s="30">
        <f>'Equity Volume Data'!AN2*'Equity Price Data'!AQ3</f>
        <v>0</v>
      </c>
      <c r="AL2" s="30">
        <f>'Equity Volume Data'!AO2*'Equity Price Data'!AR3</f>
        <v>31796.8</v>
      </c>
      <c r="AM2" s="30">
        <f>'Equity Volume Data'!AP2*'Equity Price Data'!AS3</f>
        <v>32939.2</v>
      </c>
      <c r="AN2" s="30">
        <f>'Equity Volume Data'!AQ2*'Equity Price Data'!AT3</f>
        <v>12150.6</v>
      </c>
      <c r="AO2" s="30">
        <f>'Equity Volume Data'!AR2*'Equity Price Data'!AU3</f>
        <v>21939.26</v>
      </c>
      <c r="AP2" s="30">
        <f>'Equity Volume Data'!AS2*'Equity Price Data'!AV3</f>
        <v>20880</v>
      </c>
      <c r="AQ2" s="30">
        <f>'Equity Volume Data'!AT2*'Equity Price Data'!AW3</f>
        <v>15930.2</v>
      </c>
      <c r="AR2" s="30">
        <f>'Equity Volume Data'!AU2*'Equity Price Data'!AX3</f>
        <v>0</v>
      </c>
      <c r="AS2" s="30">
        <f>'Equity Volume Data'!AV2*'Equity Price Data'!AY3</f>
        <v>49646.4</v>
      </c>
      <c r="AT2" s="30">
        <f>'Equity Volume Data'!AW2*'Equity Price Data'!AZ3</f>
        <v>14916</v>
      </c>
      <c r="AU2" s="30">
        <f>'Equity Volume Data'!AX2*'Equity Price Data'!BA3</f>
        <v>0</v>
      </c>
      <c r="AV2" s="30">
        <f>'Equity Volume Data'!AY2*'Equity Price Data'!BB3</f>
        <v>47912</v>
      </c>
      <c r="AW2" s="30">
        <f>'Equity Volume Data'!AZ2*'Equity Price Data'!BC3</f>
        <v>3863.6</v>
      </c>
      <c r="AX2" s="30">
        <f>'Equity Volume Data'!BA2*'Equity Price Data'!BD3</f>
        <v>0</v>
      </c>
      <c r="AY2" s="30">
        <f>'Equity Volume Data'!BB2*'Equity Price Data'!BE3</f>
        <v>0</v>
      </c>
      <c r="AZ2" s="30">
        <f>'Equity Volume Data'!BC2*'Equity Price Data'!BF3</f>
        <v>9592.5</v>
      </c>
      <c r="BA2" s="30">
        <f>'Equity Volume Data'!BD2*'Equity Price Data'!BG3</f>
        <v>5403.6</v>
      </c>
      <c r="BB2" s="30">
        <f>'Equity Volume Data'!BE2*'Equity Price Data'!BH3</f>
        <v>8464</v>
      </c>
      <c r="BC2" s="30">
        <f>'Equity Volume Data'!BF2*'Equity Price Data'!BI3</f>
        <v>0</v>
      </c>
      <c r="BD2" s="30">
        <f>'Equity Volume Data'!BG2*'Equity Price Data'!BJ3</f>
        <v>34793.55</v>
      </c>
      <c r="BE2" s="30">
        <f>'Equity Volume Data'!BH2*'Equity Price Data'!BK3</f>
        <v>13586.1</v>
      </c>
      <c r="BF2" s="30">
        <f>'Equity Volume Data'!BI2*'Equity Price Data'!BL3</f>
        <v>8625.6</v>
      </c>
      <c r="BG2" s="30">
        <f>'Equity Volume Data'!BJ2*'Equity Price Data'!BM3</f>
        <v>36707.12</v>
      </c>
      <c r="BH2" s="30">
        <f>'Equity Volume Data'!BK2*'Equity Price Data'!BN3</f>
        <v>1084.8</v>
      </c>
      <c r="BI2" s="30">
        <f>'Equity Volume Data'!BL2*'Equity Price Data'!BO3</f>
        <v>39308.8</v>
      </c>
      <c r="BJ2" s="30">
        <f>'Equity Volume Data'!BM2*'Equity Price Data'!BP3</f>
        <v>38380.5</v>
      </c>
      <c r="BK2" s="30">
        <f>'Equity Volume Data'!BN2*'Equity Price Data'!BQ3</f>
        <v>86586.1</v>
      </c>
      <c r="BL2" s="30">
        <f>'Equity Volume Data'!BO2*'Equity Price Data'!BR3</f>
        <v>533.92</v>
      </c>
      <c r="BM2" s="30">
        <f>'Equity Volume Data'!BP2*'Equity Price Data'!BS3</f>
        <v>0</v>
      </c>
      <c r="BN2" s="30">
        <f>'Equity Volume Data'!BQ2*'Equity Price Data'!BT3</f>
        <v>19896.04</v>
      </c>
      <c r="BO2" s="30">
        <f>'Equity Volume Data'!BR2*'Equity Price Data'!BU3</f>
        <v>34640</v>
      </c>
    </row>
    <row r="3">
      <c r="A3" s="25">
        <f>'Equity Price Data'!A4</f>
        <v>45426.66667</v>
      </c>
      <c r="B3" s="29">
        <f t="shared" si="1"/>
        <v>1220014.57</v>
      </c>
      <c r="C3" s="30">
        <f>'Equity Volume Data'!F3*'Equity Price Data'!I4</f>
        <v>6187.35</v>
      </c>
      <c r="D3" s="30">
        <f>'Equity Volume Data'!G3*'Equity Price Data'!J4</f>
        <v>48638.2</v>
      </c>
      <c r="E3" s="30">
        <f>'Equity Volume Data'!H3*'Equity Price Data'!K4</f>
        <v>14644.3</v>
      </c>
      <c r="F3" s="30">
        <f>'Equity Volume Data'!I3*'Equity Price Data'!L4</f>
        <v>47982.08</v>
      </c>
      <c r="G3" s="30">
        <f>'Equity Volume Data'!J3*'Equity Price Data'!M4</f>
        <v>17415.06</v>
      </c>
      <c r="H3" s="30">
        <f>'Equity Volume Data'!K3*'Equity Price Data'!N4</f>
        <v>10969.8</v>
      </c>
      <c r="I3" s="30">
        <f>'Equity Volume Data'!L3*'Equity Price Data'!O4</f>
        <v>11040</v>
      </c>
      <c r="J3" s="30">
        <f>'Equity Volume Data'!M3*'Equity Price Data'!P4</f>
        <v>41844.48</v>
      </c>
      <c r="K3" s="30">
        <f>'Equity Volume Data'!N3*'Equity Price Data'!Q4</f>
        <v>11758</v>
      </c>
      <c r="L3" s="30">
        <f>'Equity Volume Data'!O3*'Equity Price Data'!R4</f>
        <v>27452.48</v>
      </c>
      <c r="M3" s="30">
        <f>'Equity Volume Data'!P3*'Equity Price Data'!S4</f>
        <v>0</v>
      </c>
      <c r="N3" s="30">
        <f>'Equity Volume Data'!Q3*'Equity Price Data'!T4</f>
        <v>5196.8</v>
      </c>
      <c r="O3" s="30">
        <f>'Equity Volume Data'!R3*'Equity Price Data'!U4</f>
        <v>53727</v>
      </c>
      <c r="P3" s="30">
        <f>'Equity Volume Data'!S3*'Equity Price Data'!V4</f>
        <v>0</v>
      </c>
      <c r="Q3" s="30">
        <f>'Equity Volume Data'!T3*'Equity Price Data'!W4</f>
        <v>17869.2</v>
      </c>
      <c r="R3" s="30">
        <f>'Equity Volume Data'!U3*'Equity Price Data'!X4</f>
        <v>13088.8</v>
      </c>
      <c r="S3" s="30">
        <f>'Equity Volume Data'!V3*'Equity Price Data'!Y4</f>
        <v>30484.96</v>
      </c>
      <c r="T3" s="30">
        <f>'Equity Volume Data'!W3*'Equity Price Data'!Z4</f>
        <v>9107.5</v>
      </c>
      <c r="U3" s="30">
        <f>'Equity Volume Data'!X3*'Equity Price Data'!AA4</f>
        <v>16658.4</v>
      </c>
      <c r="V3" s="30">
        <f>'Equity Volume Data'!Y3*'Equity Price Data'!AB4</f>
        <v>15559.04</v>
      </c>
      <c r="W3" s="30">
        <f>'Equity Volume Data'!Z3*'Equity Price Data'!AC4</f>
        <v>9788.34</v>
      </c>
      <c r="X3" s="30">
        <f>'Equity Volume Data'!AA3*'Equity Price Data'!AD4</f>
        <v>29720</v>
      </c>
      <c r="Y3" s="30">
        <f>'Equity Volume Data'!AB3*'Equity Price Data'!AE4</f>
        <v>6639.23</v>
      </c>
      <c r="Z3" s="30">
        <f>'Equity Volume Data'!AC3*'Equity Price Data'!AF4</f>
        <v>7815</v>
      </c>
      <c r="AA3" s="30">
        <f>'Equity Volume Data'!AD3*'Equity Price Data'!AG4</f>
        <v>20003.9</v>
      </c>
      <c r="AB3" s="30">
        <f>'Equity Volume Data'!AE3*'Equity Price Data'!AH4</f>
        <v>7771.2</v>
      </c>
      <c r="AC3" s="30">
        <f>'Equity Volume Data'!AF3*'Equity Price Data'!AI4</f>
        <v>16440.8</v>
      </c>
      <c r="AD3" s="30">
        <f>'Equity Volume Data'!AG3*'Equity Price Data'!AJ4</f>
        <v>13232.7</v>
      </c>
      <c r="AE3" s="30">
        <f>'Equity Volume Data'!AH3*'Equity Price Data'!AK4</f>
        <v>9006</v>
      </c>
      <c r="AF3" s="30">
        <f>'Equity Volume Data'!AI3*'Equity Price Data'!AL4</f>
        <v>13868.25</v>
      </c>
      <c r="AG3" s="30">
        <f>'Equity Volume Data'!AJ3*'Equity Price Data'!AM4</f>
        <v>27508.2</v>
      </c>
      <c r="AH3" s="30">
        <f>'Equity Volume Data'!AK3*'Equity Price Data'!AN4</f>
        <v>34050</v>
      </c>
      <c r="AI3" s="30">
        <f>'Equity Volume Data'!AL3*'Equity Price Data'!AO4</f>
        <v>15246</v>
      </c>
      <c r="AJ3" s="30">
        <f>'Equity Volume Data'!AM3*'Equity Price Data'!AP4</f>
        <v>17470.7</v>
      </c>
      <c r="AK3" s="30">
        <f>'Equity Volume Data'!AN3*'Equity Price Data'!AQ4</f>
        <v>0</v>
      </c>
      <c r="AL3" s="30">
        <f>'Equity Volume Data'!AO3*'Equity Price Data'!AR4</f>
        <v>32241.6</v>
      </c>
      <c r="AM3" s="30">
        <f>'Equity Volume Data'!AP3*'Equity Price Data'!AS4</f>
        <v>32702.6</v>
      </c>
      <c r="AN3" s="30">
        <f>'Equity Volume Data'!AQ3*'Equity Price Data'!AT4</f>
        <v>12332.25</v>
      </c>
      <c r="AO3" s="30">
        <f>'Equity Volume Data'!AR3*'Equity Price Data'!AU4</f>
        <v>22212.54</v>
      </c>
      <c r="AP3" s="30">
        <f>'Equity Volume Data'!AS3*'Equity Price Data'!AV4</f>
        <v>21075</v>
      </c>
      <c r="AQ3" s="30">
        <f>'Equity Volume Data'!AT3*'Equity Price Data'!AW4</f>
        <v>16128.2</v>
      </c>
      <c r="AR3" s="30">
        <f>'Equity Volume Data'!AU3*'Equity Price Data'!AX4</f>
        <v>0</v>
      </c>
      <c r="AS3" s="30">
        <f>'Equity Volume Data'!AV3*'Equity Price Data'!AY4</f>
        <v>49987.2</v>
      </c>
      <c r="AT3" s="30">
        <f>'Equity Volume Data'!AW3*'Equity Price Data'!AZ4</f>
        <v>15084</v>
      </c>
      <c r="AU3" s="30">
        <f>'Equity Volume Data'!AX3*'Equity Price Data'!BA4</f>
        <v>0</v>
      </c>
      <c r="AV3" s="30">
        <f>'Equity Volume Data'!AY3*'Equity Price Data'!BB4</f>
        <v>48420.8</v>
      </c>
      <c r="AW3" s="30">
        <f>'Equity Volume Data'!AZ3*'Equity Price Data'!BC4</f>
        <v>3882.8</v>
      </c>
      <c r="AX3" s="30">
        <f>'Equity Volume Data'!BA3*'Equity Price Data'!BD4</f>
        <v>0</v>
      </c>
      <c r="AY3" s="30">
        <f>'Equity Volume Data'!BB3*'Equity Price Data'!BE4</f>
        <v>0</v>
      </c>
      <c r="AZ3" s="30">
        <f>'Equity Volume Data'!BC3*'Equity Price Data'!BF4</f>
        <v>9687</v>
      </c>
      <c r="BA3" s="30">
        <f>'Equity Volume Data'!BD3*'Equity Price Data'!BG4</f>
        <v>5392.2</v>
      </c>
      <c r="BB3" s="30">
        <f>'Equity Volume Data'!BE3*'Equity Price Data'!BH4</f>
        <v>8456</v>
      </c>
      <c r="BC3" s="30">
        <f>'Equity Volume Data'!BF3*'Equity Price Data'!BI4</f>
        <v>0</v>
      </c>
      <c r="BD3" s="30">
        <f>'Equity Volume Data'!BG3*'Equity Price Data'!BJ4</f>
        <v>34593.33</v>
      </c>
      <c r="BE3" s="30">
        <f>'Equity Volume Data'!BH3*'Equity Price Data'!BK4</f>
        <v>13680.4</v>
      </c>
      <c r="BF3" s="30">
        <f>'Equity Volume Data'!BI3*'Equity Price Data'!BL4</f>
        <v>8684.8</v>
      </c>
      <c r="BG3" s="30">
        <f>'Equity Volume Data'!BJ3*'Equity Price Data'!BM4</f>
        <v>36818.32</v>
      </c>
      <c r="BH3" s="30">
        <f>'Equity Volume Data'!BK3*'Equity Price Data'!BN4</f>
        <v>1092.8</v>
      </c>
      <c r="BI3" s="30">
        <f>'Equity Volume Data'!BL3*'Equity Price Data'!BO4</f>
        <v>39190.4</v>
      </c>
      <c r="BJ3" s="30">
        <f>'Equity Volume Data'!BM3*'Equity Price Data'!BP4</f>
        <v>38541</v>
      </c>
      <c r="BK3" s="30">
        <f>'Equity Volume Data'!BN3*'Equity Price Data'!BQ4</f>
        <v>86658.18</v>
      </c>
      <c r="BL3" s="30">
        <f>'Equity Volume Data'!BO3*'Equity Price Data'!BR4</f>
        <v>523.58</v>
      </c>
      <c r="BM3" s="30">
        <f>'Equity Volume Data'!BP3*'Equity Price Data'!BS4</f>
        <v>0</v>
      </c>
      <c r="BN3" s="30">
        <f>'Equity Volume Data'!BQ3*'Equity Price Data'!BT4</f>
        <v>19805.8</v>
      </c>
      <c r="BO3" s="30">
        <f>'Equity Volume Data'!BR3*'Equity Price Data'!BU4</f>
        <v>34640</v>
      </c>
    </row>
    <row r="4">
      <c r="A4" s="25">
        <f>'Equity Price Data'!A5</f>
        <v>45427.66667</v>
      </c>
      <c r="B4" s="29">
        <f t="shared" si="1"/>
        <v>1229156.24</v>
      </c>
      <c r="C4" s="30">
        <f>'Equity Volume Data'!F4*'Equity Price Data'!I5</f>
        <v>6309.55</v>
      </c>
      <c r="D4" s="30">
        <f>'Equity Volume Data'!G4*'Equity Price Data'!J5</f>
        <v>48357.4</v>
      </c>
      <c r="E4" s="30">
        <f>'Equity Volume Data'!H4*'Equity Price Data'!K5</f>
        <v>14712.5</v>
      </c>
      <c r="F4" s="30">
        <f>'Equity Volume Data'!I4*'Equity Price Data'!L5</f>
        <v>48568.32</v>
      </c>
      <c r="G4" s="30">
        <f>'Equity Volume Data'!J4*'Equity Price Data'!M5</f>
        <v>18051.67</v>
      </c>
      <c r="H4" s="30">
        <f>'Equity Volume Data'!K4*'Equity Price Data'!N5</f>
        <v>11054.4</v>
      </c>
      <c r="I4" s="30">
        <f>'Equity Volume Data'!L4*'Equity Price Data'!O5</f>
        <v>10940</v>
      </c>
      <c r="J4" s="30">
        <f>'Equity Volume Data'!M4*'Equity Price Data'!P5</f>
        <v>42101.52</v>
      </c>
      <c r="K4" s="30">
        <f>'Equity Volume Data'!N4*'Equity Price Data'!Q5</f>
        <v>11854</v>
      </c>
      <c r="L4" s="30">
        <f>'Equity Volume Data'!O4*'Equity Price Data'!R5</f>
        <v>28473.72</v>
      </c>
      <c r="M4" s="30">
        <f>'Equity Volume Data'!P4*'Equity Price Data'!S5</f>
        <v>0</v>
      </c>
      <c r="N4" s="30">
        <f>'Equity Volume Data'!Q4*'Equity Price Data'!T5</f>
        <v>5264</v>
      </c>
      <c r="O4" s="30">
        <f>'Equity Volume Data'!R4*'Equity Price Data'!U5</f>
        <v>54006</v>
      </c>
      <c r="P4" s="30">
        <f>'Equity Volume Data'!S4*'Equity Price Data'!V5</f>
        <v>0</v>
      </c>
      <c r="Q4" s="30">
        <f>'Equity Volume Data'!T4*'Equity Price Data'!W5</f>
        <v>17880</v>
      </c>
      <c r="R4" s="30">
        <f>'Equity Volume Data'!U4*'Equity Price Data'!X5</f>
        <v>13044</v>
      </c>
      <c r="S4" s="30">
        <f>'Equity Volume Data'!V4*'Equity Price Data'!Y5</f>
        <v>30208.64</v>
      </c>
      <c r="T4" s="30">
        <f>'Equity Volume Data'!W4*'Equity Price Data'!Z5</f>
        <v>9210</v>
      </c>
      <c r="U4" s="30">
        <f>'Equity Volume Data'!X4*'Equity Price Data'!AA5</f>
        <v>16666.32</v>
      </c>
      <c r="V4" s="30">
        <f>'Equity Volume Data'!Y4*'Equity Price Data'!AB5</f>
        <v>15602.51</v>
      </c>
      <c r="W4" s="30">
        <f>'Equity Volume Data'!Z4*'Equity Price Data'!AC5</f>
        <v>9980.16</v>
      </c>
      <c r="X4" s="30">
        <f>'Equity Volume Data'!AA4*'Equity Price Data'!AD5</f>
        <v>29700</v>
      </c>
      <c r="Y4" s="30">
        <f>'Equity Volume Data'!AB4*'Equity Price Data'!AE5</f>
        <v>6729.84</v>
      </c>
      <c r="Z4" s="30">
        <f>'Equity Volume Data'!AC4*'Equity Price Data'!AF5</f>
        <v>7863</v>
      </c>
      <c r="AA4" s="30">
        <f>'Equity Volume Data'!AD4*'Equity Price Data'!AG5</f>
        <v>20158.6</v>
      </c>
      <c r="AB4" s="30">
        <f>'Equity Volume Data'!AE4*'Equity Price Data'!AH5</f>
        <v>7779.6</v>
      </c>
      <c r="AC4" s="30">
        <f>'Equity Volume Data'!AF4*'Equity Price Data'!AI5</f>
        <v>16688.4</v>
      </c>
      <c r="AD4" s="30">
        <f>'Equity Volume Data'!AG4*'Equity Price Data'!AJ5</f>
        <v>13256.55</v>
      </c>
      <c r="AE4" s="30">
        <f>'Equity Volume Data'!AH4*'Equity Price Data'!AK5</f>
        <v>9098</v>
      </c>
      <c r="AF4" s="30">
        <f>'Equity Volume Data'!AI4*'Equity Price Data'!AL5</f>
        <v>13737.05</v>
      </c>
      <c r="AG4" s="30">
        <f>'Equity Volume Data'!AJ4*'Equity Price Data'!AM5</f>
        <v>27965.4</v>
      </c>
      <c r="AH4" s="30">
        <f>'Equity Volume Data'!AK4*'Equity Price Data'!AN5</f>
        <v>34867</v>
      </c>
      <c r="AI4" s="30">
        <f>'Equity Volume Data'!AL4*'Equity Price Data'!AO5</f>
        <v>15155</v>
      </c>
      <c r="AJ4" s="30">
        <f>'Equity Volume Data'!AM4*'Equity Price Data'!AP5</f>
        <v>17923.1</v>
      </c>
      <c r="AK4" s="30">
        <f>'Equity Volume Data'!AN4*'Equity Price Data'!AQ5</f>
        <v>0</v>
      </c>
      <c r="AL4" s="30">
        <f>'Equity Volume Data'!AO4*'Equity Price Data'!AR5</f>
        <v>32337.6</v>
      </c>
      <c r="AM4" s="30">
        <f>'Equity Volume Data'!AP4*'Equity Price Data'!AS5</f>
        <v>32485.6</v>
      </c>
      <c r="AN4" s="30">
        <f>'Equity Volume Data'!AQ4*'Equity Price Data'!AT5</f>
        <v>12139.75</v>
      </c>
      <c r="AO4" s="30">
        <f>'Equity Volume Data'!AR4*'Equity Price Data'!AU5</f>
        <v>22332.1</v>
      </c>
      <c r="AP4" s="30">
        <f>'Equity Volume Data'!AS4*'Equity Price Data'!AV5</f>
        <v>21180</v>
      </c>
      <c r="AQ4" s="30">
        <f>'Equity Volume Data'!AT4*'Equity Price Data'!AW5</f>
        <v>16088.6</v>
      </c>
      <c r="AR4" s="30">
        <f>'Equity Volume Data'!AU4*'Equity Price Data'!AX5</f>
        <v>0</v>
      </c>
      <c r="AS4" s="30">
        <f>'Equity Volume Data'!AV4*'Equity Price Data'!AY5</f>
        <v>50769.6</v>
      </c>
      <c r="AT4" s="30">
        <f>'Equity Volume Data'!AW4*'Equity Price Data'!AZ5</f>
        <v>15410</v>
      </c>
      <c r="AU4" s="30">
        <f>'Equity Volume Data'!AX4*'Equity Price Data'!BA5</f>
        <v>0</v>
      </c>
      <c r="AV4" s="30">
        <f>'Equity Volume Data'!AY4*'Equity Price Data'!BB5</f>
        <v>50153.9</v>
      </c>
      <c r="AW4" s="30">
        <f>'Equity Volume Data'!AZ4*'Equity Price Data'!BC5</f>
        <v>3890.8</v>
      </c>
      <c r="AX4" s="30">
        <f>'Equity Volume Data'!BA4*'Equity Price Data'!BD5</f>
        <v>0</v>
      </c>
      <c r="AY4" s="30">
        <f>'Equity Volume Data'!BB4*'Equity Price Data'!BE5</f>
        <v>0</v>
      </c>
      <c r="AZ4" s="30">
        <f>'Equity Volume Data'!BC4*'Equity Price Data'!BF5</f>
        <v>9585</v>
      </c>
      <c r="BA4" s="30">
        <f>'Equity Volume Data'!BD4*'Equity Price Data'!BG5</f>
        <v>5475.8</v>
      </c>
      <c r="BB4" s="30">
        <f>'Equity Volume Data'!BE4*'Equity Price Data'!BH5</f>
        <v>8428</v>
      </c>
      <c r="BC4" s="30">
        <f>'Equity Volume Data'!BF4*'Equity Price Data'!BI5</f>
        <v>0</v>
      </c>
      <c r="BD4" s="30">
        <f>'Equity Volume Data'!BG4*'Equity Price Data'!BJ5</f>
        <v>34650.84</v>
      </c>
      <c r="BE4" s="30">
        <f>'Equity Volume Data'!BH4*'Equity Price Data'!BK5</f>
        <v>13777.46</v>
      </c>
      <c r="BF4" s="30">
        <f>'Equity Volume Data'!BI4*'Equity Price Data'!BL5</f>
        <v>8782</v>
      </c>
      <c r="BG4" s="30">
        <f>'Equity Volume Data'!BJ4*'Equity Price Data'!BM5</f>
        <v>37846.92</v>
      </c>
      <c r="BH4" s="30">
        <f>'Equity Volume Data'!BK4*'Equity Price Data'!BN5</f>
        <v>1088</v>
      </c>
      <c r="BI4" s="30">
        <f>'Equity Volume Data'!BL4*'Equity Price Data'!BO5</f>
        <v>39446.4</v>
      </c>
      <c r="BJ4" s="30">
        <f>'Equity Volume Data'!BM4*'Equity Price Data'!BP5</f>
        <v>38816.25</v>
      </c>
      <c r="BK4" s="30">
        <f>'Equity Volume Data'!BN4*'Equity Price Data'!BQ5</f>
        <v>86784.32</v>
      </c>
      <c r="BL4" s="30">
        <f>'Equity Volume Data'!BO4*'Equity Price Data'!BR5</f>
        <v>520.29</v>
      </c>
      <c r="BM4" s="30">
        <f>'Equity Volume Data'!BP4*'Equity Price Data'!BS5</f>
        <v>0</v>
      </c>
      <c r="BN4" s="30">
        <f>'Equity Volume Data'!BQ4*'Equity Price Data'!BT5</f>
        <v>19320.76</v>
      </c>
      <c r="BO4" s="30">
        <f>'Equity Volume Data'!BR4*'Equity Price Data'!BU5</f>
        <v>34640</v>
      </c>
    </row>
    <row r="5">
      <c r="A5" s="25">
        <f>'Equity Price Data'!A6</f>
        <v>45428.66667</v>
      </c>
      <c r="B5" s="29">
        <f t="shared" si="1"/>
        <v>1226060.75</v>
      </c>
      <c r="C5" s="30">
        <f>'Equity Volume Data'!F5*'Equity Price Data'!I6</f>
        <v>6277.44</v>
      </c>
      <c r="D5" s="30">
        <f>'Equity Volume Data'!G5*'Equity Price Data'!J6</f>
        <v>47743.8</v>
      </c>
      <c r="E5" s="30">
        <f>'Equity Volume Data'!H5*'Equity Price Data'!K6</f>
        <v>14769.7</v>
      </c>
      <c r="F5" s="30">
        <f>'Equity Volume Data'!I5*'Equity Price Data'!L6</f>
        <v>48599.04</v>
      </c>
      <c r="G5" s="30">
        <f>'Equity Volume Data'!J5*'Equity Price Data'!M6</f>
        <v>17764.49</v>
      </c>
      <c r="H5" s="30">
        <f>'Equity Volume Data'!K5*'Equity Price Data'!N6</f>
        <v>11048.76</v>
      </c>
      <c r="I5" s="30">
        <f>'Equity Volume Data'!L5*'Equity Price Data'!O6</f>
        <v>10940</v>
      </c>
      <c r="J5" s="30">
        <f>'Equity Volume Data'!M5*'Equity Price Data'!P6</f>
        <v>42138.24</v>
      </c>
      <c r="K5" s="30">
        <f>'Equity Volume Data'!N5*'Equity Price Data'!Q6</f>
        <v>12004</v>
      </c>
      <c r="L5" s="30">
        <f>'Equity Volume Data'!O5*'Equity Price Data'!R6</f>
        <v>27834.84</v>
      </c>
      <c r="M5" s="30">
        <f>'Equity Volume Data'!P5*'Equity Price Data'!S6</f>
        <v>0</v>
      </c>
      <c r="N5" s="30">
        <f>'Equity Volume Data'!Q5*'Equity Price Data'!T6</f>
        <v>5200</v>
      </c>
      <c r="O5" s="30">
        <f>'Equity Volume Data'!R5*'Equity Price Data'!U6</f>
        <v>52608</v>
      </c>
      <c r="P5" s="30">
        <f>'Equity Volume Data'!S5*'Equity Price Data'!V6</f>
        <v>0</v>
      </c>
      <c r="Q5" s="30">
        <f>'Equity Volume Data'!T5*'Equity Price Data'!W6</f>
        <v>18132</v>
      </c>
      <c r="R5" s="30">
        <f>'Equity Volume Data'!U5*'Equity Price Data'!X6</f>
        <v>12887.2</v>
      </c>
      <c r="S5" s="30">
        <f>'Equity Volume Data'!V5*'Equity Price Data'!Y6</f>
        <v>29854.88</v>
      </c>
      <c r="T5" s="30">
        <f>'Equity Volume Data'!W5*'Equity Price Data'!Z6</f>
        <v>9130</v>
      </c>
      <c r="U5" s="30">
        <f>'Equity Volume Data'!X5*'Equity Price Data'!AA6</f>
        <v>16716.48</v>
      </c>
      <c r="V5" s="30">
        <f>'Equity Volume Data'!Y5*'Equity Price Data'!AB6</f>
        <v>15602.51</v>
      </c>
      <c r="W5" s="30">
        <f>'Equity Volume Data'!Z5*'Equity Price Data'!AC6</f>
        <v>10000.86</v>
      </c>
      <c r="X5" s="30">
        <f>'Equity Volume Data'!AA5*'Equity Price Data'!AD6</f>
        <v>30325</v>
      </c>
      <c r="Y5" s="30">
        <f>'Equity Volume Data'!AB5*'Equity Price Data'!AE6</f>
        <v>6672.9</v>
      </c>
      <c r="Z5" s="30">
        <f>'Equity Volume Data'!AC5*'Equity Price Data'!AF6</f>
        <v>7905</v>
      </c>
      <c r="AA5" s="30">
        <f>'Equity Volume Data'!AD5*'Equity Price Data'!AG6</f>
        <v>20037.9</v>
      </c>
      <c r="AB5" s="30">
        <f>'Equity Volume Data'!AE5*'Equity Price Data'!AH6</f>
        <v>7763.4</v>
      </c>
      <c r="AC5" s="30">
        <f>'Equity Volume Data'!AF5*'Equity Price Data'!AI6</f>
        <v>16782.8</v>
      </c>
      <c r="AD5" s="30">
        <f>'Equity Volume Data'!AG5*'Equity Price Data'!AJ6</f>
        <v>13308.75</v>
      </c>
      <c r="AE5" s="30">
        <f>'Equity Volume Data'!AH5*'Equity Price Data'!AK6</f>
        <v>9174</v>
      </c>
      <c r="AF5" s="30">
        <f>'Equity Volume Data'!AI5*'Equity Price Data'!AL6</f>
        <v>13911.3</v>
      </c>
      <c r="AG5" s="30">
        <f>'Equity Volume Data'!AJ5*'Equity Price Data'!AM6</f>
        <v>27871.2</v>
      </c>
      <c r="AH5" s="30">
        <f>'Equity Volume Data'!AK5*'Equity Price Data'!AN6</f>
        <v>34273</v>
      </c>
      <c r="AI5" s="30">
        <f>'Equity Volume Data'!AL5*'Equity Price Data'!AO6</f>
        <v>15351</v>
      </c>
      <c r="AJ5" s="30">
        <f>'Equity Volume Data'!AM5*'Equity Price Data'!AP6</f>
        <v>17824.3</v>
      </c>
      <c r="AK5" s="30">
        <f>'Equity Volume Data'!AN5*'Equity Price Data'!AQ6</f>
        <v>0</v>
      </c>
      <c r="AL5" s="30">
        <f>'Equity Volume Data'!AO5*'Equity Price Data'!AR6</f>
        <v>32395.2</v>
      </c>
      <c r="AM5" s="30">
        <f>'Equity Volume Data'!AP5*'Equity Price Data'!AS6</f>
        <v>32538.1</v>
      </c>
      <c r="AN5" s="30">
        <f>'Equity Volume Data'!AQ5*'Equity Price Data'!AT6</f>
        <v>11839.8</v>
      </c>
      <c r="AO5" s="30">
        <f>'Equity Volume Data'!AR5*'Equity Price Data'!AU6</f>
        <v>22537.06</v>
      </c>
      <c r="AP5" s="30">
        <f>'Equity Volume Data'!AS5*'Equity Price Data'!AV6</f>
        <v>21410</v>
      </c>
      <c r="AQ5" s="30">
        <f>'Equity Volume Data'!AT5*'Equity Price Data'!AW6</f>
        <v>16163.4</v>
      </c>
      <c r="AR5" s="30">
        <f>'Equity Volume Data'!AU5*'Equity Price Data'!AX6</f>
        <v>0</v>
      </c>
      <c r="AS5" s="30">
        <f>'Equity Volume Data'!AV5*'Equity Price Data'!AY6</f>
        <v>50518.8</v>
      </c>
      <c r="AT5" s="30">
        <f>'Equity Volume Data'!AW5*'Equity Price Data'!AZ6</f>
        <v>15282</v>
      </c>
      <c r="AU5" s="30">
        <f>'Equity Volume Data'!AX5*'Equity Price Data'!BA6</f>
        <v>0</v>
      </c>
      <c r="AV5" s="30">
        <f>'Equity Volume Data'!AY5*'Equity Price Data'!BB6</f>
        <v>50010.8</v>
      </c>
      <c r="AW5" s="30">
        <f>'Equity Volume Data'!AZ5*'Equity Price Data'!BC6</f>
        <v>3862.4</v>
      </c>
      <c r="AX5" s="30">
        <f>'Equity Volume Data'!BA5*'Equity Price Data'!BD6</f>
        <v>0</v>
      </c>
      <c r="AY5" s="30">
        <f>'Equity Volume Data'!BB5*'Equity Price Data'!BE6</f>
        <v>0</v>
      </c>
      <c r="AZ5" s="30">
        <f>'Equity Volume Data'!BC5*'Equity Price Data'!BF6</f>
        <v>9615</v>
      </c>
      <c r="BA5" s="30">
        <f>'Equity Volume Data'!BD5*'Equity Price Data'!BG6</f>
        <v>5494.8</v>
      </c>
      <c r="BB5" s="30">
        <f>'Equity Volume Data'!BE5*'Equity Price Data'!BH6</f>
        <v>8339.2</v>
      </c>
      <c r="BC5" s="30">
        <f>'Equity Volume Data'!BF5*'Equity Price Data'!BI6</f>
        <v>0</v>
      </c>
      <c r="BD5" s="30">
        <f>'Equity Volume Data'!BG5*'Equity Price Data'!BJ6</f>
        <v>34842.54</v>
      </c>
      <c r="BE5" s="30">
        <f>'Equity Volume Data'!BH5*'Equity Price Data'!BK6</f>
        <v>13734.45</v>
      </c>
      <c r="BF5" s="30">
        <f>'Equity Volume Data'!BI5*'Equity Price Data'!BL6</f>
        <v>8625.2</v>
      </c>
      <c r="BG5" s="30">
        <f>'Equity Volume Data'!BJ5*'Equity Price Data'!BM6</f>
        <v>37510.54</v>
      </c>
      <c r="BH5" s="30">
        <f>'Equity Volume Data'!BK5*'Equity Price Data'!BN6</f>
        <v>1073.6</v>
      </c>
      <c r="BI5" s="30">
        <f>'Equity Volume Data'!BL5*'Equity Price Data'!BO6</f>
        <v>39344</v>
      </c>
      <c r="BJ5" s="30">
        <f>'Equity Volume Data'!BM5*'Equity Price Data'!BP6</f>
        <v>39095.25</v>
      </c>
      <c r="BK5" s="30">
        <f>'Equity Volume Data'!BN5*'Equity Price Data'!BQ6</f>
        <v>86784.32</v>
      </c>
      <c r="BL5" s="30">
        <f>'Equity Volume Data'!BO5*'Equity Price Data'!BR6</f>
        <v>517.94</v>
      </c>
      <c r="BM5" s="30">
        <f>'Equity Volume Data'!BP5*'Equity Price Data'!BS6</f>
        <v>0</v>
      </c>
      <c r="BN5" s="30">
        <f>'Equity Volume Data'!BQ5*'Equity Price Data'!BT6</f>
        <v>19433.56</v>
      </c>
      <c r="BO5" s="30">
        <f>'Equity Volume Data'!BR5*'Equity Price Data'!BU6</f>
        <v>34640</v>
      </c>
    </row>
    <row r="6">
      <c r="A6" s="25">
        <f>'Equity Price Data'!A7</f>
        <v>45429.66667</v>
      </c>
      <c r="B6" s="29">
        <f t="shared" si="1"/>
        <v>1228786.54</v>
      </c>
      <c r="C6" s="30">
        <f>'Equity Volume Data'!F6*'Equity Price Data'!I7</f>
        <v>6284.59</v>
      </c>
      <c r="D6" s="30">
        <f>'Equity Volume Data'!G6*'Equity Price Data'!J7</f>
        <v>48022</v>
      </c>
      <c r="E6" s="30">
        <f>'Equity Volume Data'!H6*'Equity Price Data'!K7</f>
        <v>14713.6</v>
      </c>
      <c r="F6" s="30">
        <f>'Equity Volume Data'!I6*'Equity Price Data'!L7</f>
        <v>48606.72</v>
      </c>
      <c r="G6" s="30">
        <f>'Equity Volume Data'!J6*'Equity Price Data'!M7</f>
        <v>17602.64</v>
      </c>
      <c r="H6" s="30">
        <f>'Equity Volume Data'!K6*'Equity Price Data'!N7</f>
        <v>11186</v>
      </c>
      <c r="I6" s="30">
        <f>'Equity Volume Data'!L6*'Equity Price Data'!O7</f>
        <v>11120</v>
      </c>
      <c r="J6" s="30">
        <f>'Equity Volume Data'!M6*'Equity Price Data'!P7</f>
        <v>42527.88</v>
      </c>
      <c r="K6" s="30">
        <f>'Equity Volume Data'!N6*'Equity Price Data'!Q7</f>
        <v>12294</v>
      </c>
      <c r="L6" s="30">
        <f>'Equity Volume Data'!O6*'Equity Price Data'!R7</f>
        <v>27898.97</v>
      </c>
      <c r="M6" s="30">
        <f>'Equity Volume Data'!P6*'Equity Price Data'!S7</f>
        <v>0</v>
      </c>
      <c r="N6" s="30">
        <f>'Equity Volume Data'!Q6*'Equity Price Data'!T7</f>
        <v>5218.4</v>
      </c>
      <c r="O6" s="30">
        <f>'Equity Volume Data'!R6*'Equity Price Data'!U7</f>
        <v>53440.5</v>
      </c>
      <c r="P6" s="30">
        <f>'Equity Volume Data'!S6*'Equity Price Data'!V7</f>
        <v>0</v>
      </c>
      <c r="Q6" s="30">
        <f>'Equity Volume Data'!T6*'Equity Price Data'!W7</f>
        <v>18135.6</v>
      </c>
      <c r="R6" s="30">
        <f>'Equity Volume Data'!U6*'Equity Price Data'!X7</f>
        <v>13013.6</v>
      </c>
      <c r="S6" s="30">
        <f>'Equity Volume Data'!V6*'Equity Price Data'!Y7</f>
        <v>29806.48</v>
      </c>
      <c r="T6" s="30">
        <f>'Equity Volume Data'!W6*'Equity Price Data'!Z7</f>
        <v>9290</v>
      </c>
      <c r="U6" s="30">
        <f>'Equity Volume Data'!X6*'Equity Price Data'!AA7</f>
        <v>16639.92</v>
      </c>
      <c r="V6" s="30">
        <f>'Equity Volume Data'!Y6*'Equity Price Data'!AB7</f>
        <v>15633.1</v>
      </c>
      <c r="W6" s="30">
        <f>'Equity Volume Data'!Z6*'Equity Price Data'!AC7</f>
        <v>9924.27</v>
      </c>
      <c r="X6" s="30">
        <f>'Equity Volume Data'!AA6*'Equity Price Data'!AD7</f>
        <v>29327.5</v>
      </c>
      <c r="Y6" s="30">
        <f>'Equity Volume Data'!AB6*'Equity Price Data'!AE7</f>
        <v>6669.39</v>
      </c>
      <c r="Z6" s="30">
        <f>'Equity Volume Data'!AC6*'Equity Price Data'!AF7</f>
        <v>7722</v>
      </c>
      <c r="AA6" s="30">
        <f>'Equity Volume Data'!AD6*'Equity Price Data'!AG7</f>
        <v>20338.8</v>
      </c>
      <c r="AB6" s="30">
        <f>'Equity Volume Data'!AE6*'Equity Price Data'!AH7</f>
        <v>7717.5</v>
      </c>
      <c r="AC6" s="30">
        <f>'Equity Volume Data'!AF6*'Equity Price Data'!AI7</f>
        <v>16892</v>
      </c>
      <c r="AD6" s="30">
        <f>'Equity Volume Data'!AG6*'Equity Price Data'!AJ7</f>
        <v>13455.9</v>
      </c>
      <c r="AE6" s="30">
        <f>'Equity Volume Data'!AH6*'Equity Price Data'!AK7</f>
        <v>9152</v>
      </c>
      <c r="AF6" s="30">
        <f>'Equity Volume Data'!AI6*'Equity Price Data'!AL7</f>
        <v>13882.6</v>
      </c>
      <c r="AG6" s="30">
        <f>'Equity Volume Data'!AJ6*'Equity Price Data'!AM7</f>
        <v>28063.2</v>
      </c>
      <c r="AH6" s="30">
        <f>'Equity Volume Data'!AK6*'Equity Price Data'!AN7</f>
        <v>34421</v>
      </c>
      <c r="AI6" s="30">
        <f>'Equity Volume Data'!AL6*'Equity Price Data'!AO7</f>
        <v>15340.5</v>
      </c>
      <c r="AJ6" s="30">
        <f>'Equity Volume Data'!AM6*'Equity Price Data'!AP7</f>
        <v>17992</v>
      </c>
      <c r="AK6" s="30">
        <f>'Equity Volume Data'!AN6*'Equity Price Data'!AQ7</f>
        <v>0</v>
      </c>
      <c r="AL6" s="30">
        <f>'Equity Volume Data'!AO6*'Equity Price Data'!AR7</f>
        <v>32766.4</v>
      </c>
      <c r="AM6" s="30">
        <f>'Equity Volume Data'!AP6*'Equity Price Data'!AS7</f>
        <v>32634</v>
      </c>
      <c r="AN6" s="30">
        <f>'Equity Volume Data'!AQ6*'Equity Price Data'!AT7</f>
        <v>11723.25</v>
      </c>
      <c r="AO6" s="30">
        <f>'Equity Volume Data'!AR6*'Equity Price Data'!AU7</f>
        <v>22793.26</v>
      </c>
      <c r="AP6" s="30">
        <f>'Equity Volume Data'!AS6*'Equity Price Data'!AV7</f>
        <v>21480</v>
      </c>
      <c r="AQ6" s="30">
        <f>'Equity Volume Data'!AT6*'Equity Price Data'!AW7</f>
        <v>16328.4</v>
      </c>
      <c r="AR6" s="30">
        <f>'Equity Volume Data'!AU6*'Equity Price Data'!AX7</f>
        <v>0</v>
      </c>
      <c r="AS6" s="30">
        <f>'Equity Volume Data'!AV6*'Equity Price Data'!AY7</f>
        <v>50425.2</v>
      </c>
      <c r="AT6" s="30">
        <f>'Equity Volume Data'!AW6*'Equity Price Data'!AZ7</f>
        <v>15218</v>
      </c>
      <c r="AU6" s="30">
        <f>'Equity Volume Data'!AX6*'Equity Price Data'!BA7</f>
        <v>0</v>
      </c>
      <c r="AV6" s="30">
        <f>'Equity Volume Data'!AY6*'Equity Price Data'!BB7</f>
        <v>49014.4</v>
      </c>
      <c r="AW6" s="30">
        <f>'Equity Volume Data'!AZ6*'Equity Price Data'!BC7</f>
        <v>3871.6</v>
      </c>
      <c r="AX6" s="30">
        <f>'Equity Volume Data'!BA6*'Equity Price Data'!BD7</f>
        <v>0</v>
      </c>
      <c r="AY6" s="30">
        <f>'Equity Volume Data'!BB6*'Equity Price Data'!BE7</f>
        <v>0</v>
      </c>
      <c r="AZ6" s="30">
        <f>'Equity Volume Data'!BC6*'Equity Price Data'!BF7</f>
        <v>9672</v>
      </c>
      <c r="BA6" s="30">
        <f>'Equity Volume Data'!BD6*'Equity Price Data'!BG7</f>
        <v>5441.6</v>
      </c>
      <c r="BB6" s="30">
        <f>'Equity Volume Data'!BE6*'Equity Price Data'!BH7</f>
        <v>8334.4</v>
      </c>
      <c r="BC6" s="30">
        <f>'Equity Volume Data'!BF6*'Equity Price Data'!BI7</f>
        <v>0</v>
      </c>
      <c r="BD6" s="30">
        <f>'Equity Volume Data'!BG6*'Equity Price Data'!BJ7</f>
        <v>34932</v>
      </c>
      <c r="BE6" s="30">
        <f>'Equity Volume Data'!BH6*'Equity Price Data'!BK7</f>
        <v>13691.9</v>
      </c>
      <c r="BF6" s="30">
        <f>'Equity Volume Data'!BI6*'Equity Price Data'!BL7</f>
        <v>8790.4</v>
      </c>
      <c r="BG6" s="30">
        <f>'Equity Volume Data'!BJ6*'Equity Price Data'!BM7</f>
        <v>38358.44</v>
      </c>
      <c r="BH6" s="30">
        <f>'Equity Volume Data'!BK6*'Equity Price Data'!BN7</f>
        <v>1084.8</v>
      </c>
      <c r="BI6" s="30">
        <f>'Equity Volume Data'!BL6*'Equity Price Data'!BO7</f>
        <v>39195.2</v>
      </c>
      <c r="BJ6" s="30">
        <f>'Equity Volume Data'!BM6*'Equity Price Data'!BP7</f>
        <v>39347.25</v>
      </c>
      <c r="BK6" s="30">
        <f>'Equity Volume Data'!BN6*'Equity Price Data'!BQ7</f>
        <v>86784.32</v>
      </c>
      <c r="BL6" s="30">
        <f>'Equity Volume Data'!BO6*'Equity Price Data'!BR7</f>
        <v>516.06</v>
      </c>
      <c r="BM6" s="30">
        <f>'Equity Volume Data'!BP6*'Equity Price Data'!BS7</f>
        <v>0</v>
      </c>
      <c r="BN6" s="30">
        <f>'Equity Volume Data'!BQ6*'Equity Price Data'!BT7</f>
        <v>19411</v>
      </c>
      <c r="BO6" s="30">
        <f>'Equity Volume Data'!BR6*'Equity Price Data'!BU7</f>
        <v>34640</v>
      </c>
    </row>
    <row r="7">
      <c r="A7" s="25">
        <f>'Equity Price Data'!A8</f>
        <v>45432.66667</v>
      </c>
      <c r="B7" s="29">
        <f t="shared" si="1"/>
        <v>1224991.06</v>
      </c>
      <c r="C7" s="30">
        <f>'Equity Volume Data'!F7*'Equity Price Data'!I8</f>
        <v>6300.97</v>
      </c>
      <c r="D7" s="30">
        <f>'Equity Volume Data'!G7*'Equity Price Data'!J8</f>
        <v>47720.4</v>
      </c>
      <c r="E7" s="30">
        <f>'Equity Volume Data'!H7*'Equity Price Data'!K8</f>
        <v>14692.7</v>
      </c>
      <c r="F7" s="30">
        <f>'Equity Volume Data'!I7*'Equity Price Data'!L8</f>
        <v>48906.24</v>
      </c>
      <c r="G7" s="30">
        <f>'Equity Volume Data'!J7*'Equity Price Data'!M8</f>
        <v>18255.85</v>
      </c>
      <c r="H7" s="30">
        <f>'Equity Volume Data'!K7*'Equity Price Data'!N8</f>
        <v>11082.6</v>
      </c>
      <c r="I7" s="30">
        <f>'Equity Volume Data'!L7*'Equity Price Data'!O8</f>
        <v>11020</v>
      </c>
      <c r="J7" s="30">
        <f>'Equity Volume Data'!M7*'Equity Price Data'!P8</f>
        <v>42126</v>
      </c>
      <c r="K7" s="30">
        <f>'Equity Volume Data'!N7*'Equity Price Data'!Q8</f>
        <v>12316</v>
      </c>
      <c r="L7" s="30">
        <f>'Equity Volume Data'!O7*'Equity Price Data'!R8</f>
        <v>28021.18</v>
      </c>
      <c r="M7" s="30">
        <f>'Equity Volume Data'!P7*'Equity Price Data'!S8</f>
        <v>0</v>
      </c>
      <c r="N7" s="30">
        <f>'Equity Volume Data'!Q7*'Equity Price Data'!T8</f>
        <v>5278.4</v>
      </c>
      <c r="O7" s="30">
        <f>'Equity Volume Data'!R7*'Equity Price Data'!U8</f>
        <v>54412.5</v>
      </c>
      <c r="P7" s="30">
        <f>'Equity Volume Data'!S7*'Equity Price Data'!V8</f>
        <v>0</v>
      </c>
      <c r="Q7" s="30">
        <f>'Equity Volume Data'!T7*'Equity Price Data'!W8</f>
        <v>18223.2</v>
      </c>
      <c r="R7" s="30">
        <f>'Equity Volume Data'!U7*'Equity Price Data'!X8</f>
        <v>12891.2</v>
      </c>
      <c r="S7" s="30">
        <f>'Equity Volume Data'!V7*'Equity Price Data'!Y8</f>
        <v>29336.56</v>
      </c>
      <c r="T7" s="30">
        <f>'Equity Volume Data'!W7*'Equity Price Data'!Z8</f>
        <v>9122.5</v>
      </c>
      <c r="U7" s="30">
        <f>'Equity Volume Data'!X7*'Equity Price Data'!AA8</f>
        <v>16518.48</v>
      </c>
      <c r="V7" s="30">
        <f>'Equity Volume Data'!Y7*'Equity Price Data'!AB8</f>
        <v>15538.11</v>
      </c>
      <c r="W7" s="30">
        <f>'Equity Volume Data'!Z7*'Equity Price Data'!AC8</f>
        <v>9891.15</v>
      </c>
      <c r="X7" s="30">
        <f>'Equity Volume Data'!AA7*'Equity Price Data'!AD8</f>
        <v>28370</v>
      </c>
      <c r="Y7" s="30">
        <f>'Equity Volume Data'!AB7*'Equity Price Data'!AE8</f>
        <v>6709.04</v>
      </c>
      <c r="Z7" s="30">
        <f>'Equity Volume Data'!AC7*'Equity Price Data'!AF8</f>
        <v>7686</v>
      </c>
      <c r="AA7" s="30">
        <f>'Equity Volume Data'!AD7*'Equity Price Data'!AG8</f>
        <v>20173.9</v>
      </c>
      <c r="AB7" s="30">
        <f>'Equity Volume Data'!AE7*'Equity Price Data'!AH8</f>
        <v>7641.3</v>
      </c>
      <c r="AC7" s="30">
        <f>'Equity Volume Data'!AF7*'Equity Price Data'!AI8</f>
        <v>16666</v>
      </c>
      <c r="AD7" s="30">
        <f>'Equity Volume Data'!AG7*'Equity Price Data'!AJ8</f>
        <v>13510.35</v>
      </c>
      <c r="AE7" s="30">
        <f>'Equity Volume Data'!AH7*'Equity Price Data'!AK8</f>
        <v>9022</v>
      </c>
      <c r="AF7" s="30">
        <f>'Equity Volume Data'!AI7*'Equity Price Data'!AL8</f>
        <v>13919.5</v>
      </c>
      <c r="AG7" s="30">
        <f>'Equity Volume Data'!AJ7*'Equity Price Data'!AM8</f>
        <v>27776.4</v>
      </c>
      <c r="AH7" s="30">
        <f>'Equity Volume Data'!AK7*'Equity Price Data'!AN8</f>
        <v>33782</v>
      </c>
      <c r="AI7" s="30">
        <f>'Equity Volume Data'!AL7*'Equity Price Data'!AO8</f>
        <v>15174.25</v>
      </c>
      <c r="AJ7" s="30">
        <f>'Equity Volume Data'!AM7*'Equity Price Data'!AP8</f>
        <v>17803.5</v>
      </c>
      <c r="AK7" s="30">
        <f>'Equity Volume Data'!AN7*'Equity Price Data'!AQ8</f>
        <v>0</v>
      </c>
      <c r="AL7" s="30">
        <f>'Equity Volume Data'!AO7*'Equity Price Data'!AR8</f>
        <v>31292.8</v>
      </c>
      <c r="AM7" s="30">
        <f>'Equity Volume Data'!AP7*'Equity Price Data'!AS8</f>
        <v>32695.6</v>
      </c>
      <c r="AN7" s="30">
        <f>'Equity Volume Data'!AQ7*'Equity Price Data'!AT8</f>
        <v>11447.45</v>
      </c>
      <c r="AO7" s="30">
        <f>'Equity Volume Data'!AR7*'Equity Price Data'!AU8</f>
        <v>22588.3</v>
      </c>
      <c r="AP7" s="30">
        <f>'Equity Volume Data'!AS7*'Equity Price Data'!AV8</f>
        <v>21127.5</v>
      </c>
      <c r="AQ7" s="30">
        <f>'Equity Volume Data'!AT7*'Equity Price Data'!AW8</f>
        <v>16035.8</v>
      </c>
      <c r="AR7" s="30">
        <f>'Equity Volume Data'!AU7*'Equity Price Data'!AX8</f>
        <v>0</v>
      </c>
      <c r="AS7" s="30">
        <f>'Equity Volume Data'!AV7*'Equity Price Data'!AY8</f>
        <v>51040.8</v>
      </c>
      <c r="AT7" s="30">
        <f>'Equity Volume Data'!AW7*'Equity Price Data'!AZ8</f>
        <v>15174</v>
      </c>
      <c r="AU7" s="30">
        <f>'Equity Volume Data'!AX7*'Equity Price Data'!BA8</f>
        <v>0</v>
      </c>
      <c r="AV7" s="30">
        <f>'Equity Volume Data'!AY7*'Equity Price Data'!BB8</f>
        <v>50233.4</v>
      </c>
      <c r="AW7" s="30">
        <f>'Equity Volume Data'!AZ7*'Equity Price Data'!BC8</f>
        <v>3883.2</v>
      </c>
      <c r="AX7" s="30">
        <f>'Equity Volume Data'!BA7*'Equity Price Data'!BD8</f>
        <v>0</v>
      </c>
      <c r="AY7" s="30">
        <f>'Equity Volume Data'!BB7*'Equity Price Data'!BE8</f>
        <v>0</v>
      </c>
      <c r="AZ7" s="30">
        <f>'Equity Volume Data'!BC7*'Equity Price Data'!BF8</f>
        <v>9715.5</v>
      </c>
      <c r="BA7" s="30">
        <f>'Equity Volume Data'!BD7*'Equity Price Data'!BG8</f>
        <v>5420.7</v>
      </c>
      <c r="BB7" s="30">
        <f>'Equity Volume Data'!BE7*'Equity Price Data'!BH8</f>
        <v>8401.6</v>
      </c>
      <c r="BC7" s="30">
        <f>'Equity Volume Data'!BF7*'Equity Price Data'!BI8</f>
        <v>0</v>
      </c>
      <c r="BD7" s="30">
        <f>'Equity Volume Data'!BG7*'Equity Price Data'!BJ8</f>
        <v>34910.7</v>
      </c>
      <c r="BE7" s="30">
        <f>'Equity Volume Data'!BH7*'Equity Price Data'!BK8</f>
        <v>13662.23</v>
      </c>
      <c r="BF7" s="30">
        <f>'Equity Volume Data'!BI7*'Equity Price Data'!BL8</f>
        <v>8820</v>
      </c>
      <c r="BG7" s="30">
        <f>'Equity Volume Data'!BJ7*'Equity Price Data'!BM8</f>
        <v>38536.36</v>
      </c>
      <c r="BH7" s="30">
        <f>'Equity Volume Data'!BK7*'Equity Price Data'!BN8</f>
        <v>1072</v>
      </c>
      <c r="BI7" s="30">
        <f>'Equity Volume Data'!BL7*'Equity Price Data'!BO8</f>
        <v>38980.8</v>
      </c>
      <c r="BJ7" s="30">
        <f>'Equity Volume Data'!BM7*'Equity Price Data'!BP8</f>
        <v>38792.25</v>
      </c>
      <c r="BK7" s="30">
        <f>'Equity Volume Data'!BN7*'Equity Price Data'!BQ8</f>
        <v>86766.3</v>
      </c>
      <c r="BL7" s="30">
        <f>'Equity Volume Data'!BO7*'Equity Price Data'!BR8</f>
        <v>520.29</v>
      </c>
      <c r="BM7" s="30">
        <f>'Equity Volume Data'!BP7*'Equity Price Data'!BS8</f>
        <v>0</v>
      </c>
      <c r="BN7" s="30">
        <f>'Equity Volume Data'!BQ7*'Equity Price Data'!BT8</f>
        <v>19345.2</v>
      </c>
      <c r="BO7" s="30">
        <f>'Equity Volume Data'!BR7*'Equity Price Data'!BU8</f>
        <v>34640</v>
      </c>
    </row>
    <row r="8">
      <c r="A8" s="25">
        <f>'Equity Price Data'!A9</f>
        <v>45433.66667</v>
      </c>
      <c r="B8" s="29">
        <f t="shared" si="1"/>
        <v>1225621.12</v>
      </c>
      <c r="C8" s="30">
        <f>'Equity Volume Data'!F8*'Equity Price Data'!I9</f>
        <v>6264.05</v>
      </c>
      <c r="D8" s="30">
        <f>'Equity Volume Data'!G8*'Equity Price Data'!J9</f>
        <v>47619</v>
      </c>
      <c r="E8" s="30">
        <f>'Equity Volume Data'!H8*'Equity Price Data'!K9</f>
        <v>14779.6</v>
      </c>
      <c r="F8" s="30">
        <f>'Equity Volume Data'!I8*'Equity Price Data'!L9</f>
        <v>49241.6</v>
      </c>
      <c r="G8" s="30">
        <f>'Equity Volume Data'!J8*'Equity Price Data'!M9</f>
        <v>18243.4</v>
      </c>
      <c r="H8" s="30">
        <f>'Equity Volume Data'!K8*'Equity Price Data'!N9</f>
        <v>11107.04</v>
      </c>
      <c r="I8" s="30">
        <f>'Equity Volume Data'!L8*'Equity Price Data'!O9</f>
        <v>11170</v>
      </c>
      <c r="J8" s="30">
        <f>'Equity Volume Data'!M8*'Equity Price Data'!P9</f>
        <v>42265.74</v>
      </c>
      <c r="K8" s="30">
        <f>'Equity Volume Data'!N8*'Equity Price Data'!Q9</f>
        <v>12326</v>
      </c>
      <c r="L8" s="30">
        <f>'Equity Volume Data'!O8*'Equity Price Data'!R9</f>
        <v>27550.49</v>
      </c>
      <c r="M8" s="30">
        <f>'Equity Volume Data'!P8*'Equity Price Data'!S9</f>
        <v>0</v>
      </c>
      <c r="N8" s="30">
        <f>'Equity Volume Data'!Q8*'Equity Price Data'!T9</f>
        <v>5297.6</v>
      </c>
      <c r="O8" s="30">
        <f>'Equity Volume Data'!R8*'Equity Price Data'!U9</f>
        <v>53860.5</v>
      </c>
      <c r="P8" s="30">
        <f>'Equity Volume Data'!S8*'Equity Price Data'!V9</f>
        <v>0</v>
      </c>
      <c r="Q8" s="30">
        <f>'Equity Volume Data'!T8*'Equity Price Data'!W9</f>
        <v>18189.6</v>
      </c>
      <c r="R8" s="30">
        <f>'Equity Volume Data'!U8*'Equity Price Data'!X9</f>
        <v>12797.6</v>
      </c>
      <c r="S8" s="30">
        <f>'Equity Volume Data'!V8*'Equity Price Data'!Y9</f>
        <v>29601.44</v>
      </c>
      <c r="T8" s="30">
        <f>'Equity Volume Data'!W8*'Equity Price Data'!Z9</f>
        <v>9142.5</v>
      </c>
      <c r="U8" s="30">
        <f>'Equity Volume Data'!X8*'Equity Price Data'!AA9</f>
        <v>16608.24</v>
      </c>
      <c r="V8" s="30">
        <f>'Equity Volume Data'!Y8*'Equity Price Data'!AB9</f>
        <v>15510.74</v>
      </c>
      <c r="W8" s="30">
        <f>'Equity Volume Data'!Z8*'Equity Price Data'!AC9</f>
        <v>9953.94</v>
      </c>
      <c r="X8" s="30">
        <f>'Equity Volume Data'!AA8*'Equity Price Data'!AD9</f>
        <v>28675</v>
      </c>
      <c r="Y8" s="30">
        <f>'Equity Volume Data'!AB8*'Equity Price Data'!AE9</f>
        <v>6678.36</v>
      </c>
      <c r="Z8" s="30">
        <f>'Equity Volume Data'!AC8*'Equity Price Data'!AF9</f>
        <v>7825.5</v>
      </c>
      <c r="AA8" s="30">
        <f>'Equity Volume Data'!AD8*'Equity Price Data'!AG9</f>
        <v>20034.5</v>
      </c>
      <c r="AB8" s="30">
        <f>'Equity Volume Data'!AE8*'Equity Price Data'!AH9</f>
        <v>7569.9</v>
      </c>
      <c r="AC8" s="30">
        <f>'Equity Volume Data'!AF8*'Equity Price Data'!AI9</f>
        <v>16734.8</v>
      </c>
      <c r="AD8" s="30">
        <f>'Equity Volume Data'!AG8*'Equity Price Data'!AJ9</f>
        <v>13367.7</v>
      </c>
      <c r="AE8" s="30">
        <f>'Equity Volume Data'!AH8*'Equity Price Data'!AK9</f>
        <v>8984</v>
      </c>
      <c r="AF8" s="30">
        <f>'Equity Volume Data'!AI8*'Equity Price Data'!AL9</f>
        <v>13794.45</v>
      </c>
      <c r="AG8" s="30">
        <f>'Equity Volume Data'!AJ8*'Equity Price Data'!AM9</f>
        <v>28224.6</v>
      </c>
      <c r="AH8" s="30">
        <f>'Equity Volume Data'!AK8*'Equity Price Data'!AN9</f>
        <v>33615</v>
      </c>
      <c r="AI8" s="30">
        <f>'Equity Volume Data'!AL8*'Equity Price Data'!AO9</f>
        <v>14948.5</v>
      </c>
      <c r="AJ8" s="30">
        <f>'Equity Volume Data'!AM8*'Equity Price Data'!AP9</f>
        <v>17845.1</v>
      </c>
      <c r="AK8" s="30">
        <f>'Equity Volume Data'!AN8*'Equity Price Data'!AQ9</f>
        <v>0</v>
      </c>
      <c r="AL8" s="30">
        <f>'Equity Volume Data'!AO8*'Equity Price Data'!AR9</f>
        <v>31923.2</v>
      </c>
      <c r="AM8" s="30">
        <f>'Equity Volume Data'!AP8*'Equity Price Data'!AS9</f>
        <v>32781.7</v>
      </c>
      <c r="AN8" s="30">
        <f>'Equity Volume Data'!AQ8*'Equity Price Data'!AT9</f>
        <v>11304.3</v>
      </c>
      <c r="AO8" s="30">
        <f>'Equity Volume Data'!AR8*'Equity Price Data'!AU9</f>
        <v>22519.98</v>
      </c>
      <c r="AP8" s="30">
        <f>'Equity Volume Data'!AS8*'Equity Price Data'!AV9</f>
        <v>21292.5</v>
      </c>
      <c r="AQ8" s="30">
        <f>'Equity Volume Data'!AT8*'Equity Price Data'!AW9</f>
        <v>15969.8</v>
      </c>
      <c r="AR8" s="30">
        <f>'Equity Volume Data'!AU8*'Equity Price Data'!AX9</f>
        <v>0</v>
      </c>
      <c r="AS8" s="30">
        <f>'Equity Volume Data'!AV8*'Equity Price Data'!AY9</f>
        <v>51484.8</v>
      </c>
      <c r="AT8" s="30">
        <f>'Equity Volume Data'!AW8*'Equity Price Data'!AZ9</f>
        <v>15390</v>
      </c>
      <c r="AU8" s="30">
        <f>'Equity Volume Data'!AX8*'Equity Price Data'!BA9</f>
        <v>0</v>
      </c>
      <c r="AV8" s="30">
        <f>'Equity Volume Data'!AY8*'Equity Price Data'!BB9</f>
        <v>50556.7</v>
      </c>
      <c r="AW8" s="30">
        <f>'Equity Volume Data'!AZ8*'Equity Price Data'!BC9</f>
        <v>3926</v>
      </c>
      <c r="AX8" s="30">
        <f>'Equity Volume Data'!BA8*'Equity Price Data'!BD9</f>
        <v>0</v>
      </c>
      <c r="AY8" s="30">
        <f>'Equity Volume Data'!BB8*'Equity Price Data'!BE9</f>
        <v>0</v>
      </c>
      <c r="AZ8" s="30">
        <f>'Equity Volume Data'!BC8*'Equity Price Data'!BF9</f>
        <v>9615</v>
      </c>
      <c r="BA8" s="30">
        <f>'Equity Volume Data'!BD8*'Equity Price Data'!BG9</f>
        <v>5426.4</v>
      </c>
      <c r="BB8" s="30">
        <f>'Equity Volume Data'!BE8*'Equity Price Data'!BH9</f>
        <v>8434.4</v>
      </c>
      <c r="BC8" s="30">
        <f>'Equity Volume Data'!BF8*'Equity Price Data'!BI9</f>
        <v>0</v>
      </c>
      <c r="BD8" s="30">
        <f>'Equity Volume Data'!BG8*'Equity Price Data'!BJ9</f>
        <v>35008.68</v>
      </c>
      <c r="BE8" s="30">
        <f>'Equity Volume Data'!BH8*'Equity Price Data'!BK9</f>
        <v>13572.76</v>
      </c>
      <c r="BF8" s="30">
        <f>'Equity Volume Data'!BI8*'Equity Price Data'!BL9</f>
        <v>8774.4</v>
      </c>
      <c r="BG8" s="30">
        <f>'Equity Volume Data'!BJ8*'Equity Price Data'!BM9</f>
        <v>38480.76</v>
      </c>
      <c r="BH8" s="30">
        <f>'Equity Volume Data'!BK8*'Equity Price Data'!BN9</f>
        <v>1096</v>
      </c>
      <c r="BI8" s="30">
        <f>'Equity Volume Data'!BL8*'Equity Price Data'!BO9</f>
        <v>37593.6</v>
      </c>
      <c r="BJ8" s="30">
        <f>'Equity Volume Data'!BM8*'Equity Price Data'!BP9</f>
        <v>39266.25</v>
      </c>
      <c r="BK8" s="30">
        <f>'Equity Volume Data'!BN8*'Equity Price Data'!BQ9</f>
        <v>86856.4</v>
      </c>
      <c r="BL8" s="30">
        <f>'Equity Volume Data'!BO8*'Equity Price Data'!BR9</f>
        <v>515.12</v>
      </c>
      <c r="BM8" s="30">
        <f>'Equity Volume Data'!BP8*'Equity Price Data'!BS9</f>
        <v>0</v>
      </c>
      <c r="BN8" s="30">
        <f>'Equity Volume Data'!BQ8*'Equity Price Data'!BT9</f>
        <v>19365.88</v>
      </c>
      <c r="BO8" s="30">
        <f>'Equity Volume Data'!BR8*'Equity Price Data'!BU9</f>
        <v>34640</v>
      </c>
    </row>
    <row r="9">
      <c r="A9" s="25">
        <f>'Equity Price Data'!A10</f>
        <v>45434.66667</v>
      </c>
      <c r="B9" s="29">
        <f t="shared" si="1"/>
        <v>1219720.34</v>
      </c>
      <c r="C9" s="30">
        <f>'Equity Volume Data'!F9*'Equity Price Data'!I10</f>
        <v>6291.09</v>
      </c>
      <c r="D9" s="30">
        <f>'Equity Volume Data'!G9*'Equity Price Data'!J10</f>
        <v>47613.8</v>
      </c>
      <c r="E9" s="30">
        <f>'Equity Volume Data'!H9*'Equity Price Data'!K10</f>
        <v>14712.5</v>
      </c>
      <c r="F9" s="30">
        <f>'Equity Volume Data'!I9*'Equity Price Data'!L10</f>
        <v>48870.4</v>
      </c>
      <c r="G9" s="30">
        <f>'Equity Volume Data'!J9*'Equity Price Data'!M10</f>
        <v>18106.45</v>
      </c>
      <c r="H9" s="30">
        <f>'Equity Volume Data'!K9*'Equity Price Data'!N10</f>
        <v>11086.36</v>
      </c>
      <c r="I9" s="30">
        <f>'Equity Volume Data'!L9*'Equity Price Data'!O10</f>
        <v>10840</v>
      </c>
      <c r="J9" s="30">
        <f>'Equity Volume Data'!M9*'Equity Price Data'!P10</f>
        <v>42226.98</v>
      </c>
      <c r="K9" s="30">
        <f>'Equity Volume Data'!N9*'Equity Price Data'!Q10</f>
        <v>11746</v>
      </c>
      <c r="L9" s="30">
        <f>'Equity Volume Data'!O9*'Equity Price Data'!R10</f>
        <v>27250.41</v>
      </c>
      <c r="M9" s="30">
        <f>'Equity Volume Data'!P9*'Equity Price Data'!S10</f>
        <v>0</v>
      </c>
      <c r="N9" s="30">
        <f>'Equity Volume Data'!Q9*'Equity Price Data'!T10</f>
        <v>5228</v>
      </c>
      <c r="O9" s="30">
        <f>'Equity Volume Data'!R9*'Equity Price Data'!U10</f>
        <v>53391</v>
      </c>
      <c r="P9" s="30">
        <f>'Equity Volume Data'!S9*'Equity Price Data'!V10</f>
        <v>0</v>
      </c>
      <c r="Q9" s="30">
        <f>'Equity Volume Data'!T9*'Equity Price Data'!W10</f>
        <v>18422.4</v>
      </c>
      <c r="R9" s="30">
        <f>'Equity Volume Data'!U9*'Equity Price Data'!X10</f>
        <v>12605.6</v>
      </c>
      <c r="S9" s="30">
        <f>'Equity Volume Data'!V9*'Equity Price Data'!Y10</f>
        <v>29609.36</v>
      </c>
      <c r="T9" s="30">
        <f>'Equity Volume Data'!W9*'Equity Price Data'!Z10</f>
        <v>8977.5</v>
      </c>
      <c r="U9" s="30">
        <f>'Equity Volume Data'!X9*'Equity Price Data'!AA10</f>
        <v>16632</v>
      </c>
      <c r="V9" s="30">
        <f>'Equity Volume Data'!Y9*'Equity Price Data'!AB10</f>
        <v>15476.93</v>
      </c>
      <c r="W9" s="30">
        <f>'Equity Volume Data'!Z9*'Equity Price Data'!AC10</f>
        <v>9877.35</v>
      </c>
      <c r="X9" s="30">
        <f>'Equity Volume Data'!AA9*'Equity Price Data'!AD10</f>
        <v>28442.5</v>
      </c>
      <c r="Y9" s="30">
        <f>'Equity Volume Data'!AB9*'Equity Price Data'!AE10</f>
        <v>6654.96</v>
      </c>
      <c r="Z9" s="30">
        <f>'Equity Volume Data'!AC9*'Equity Price Data'!AF10</f>
        <v>7920</v>
      </c>
      <c r="AA9" s="30">
        <f>'Equity Volume Data'!AD9*'Equity Price Data'!AG10</f>
        <v>19631.6</v>
      </c>
      <c r="AB9" s="30">
        <f>'Equity Volume Data'!AE9*'Equity Price Data'!AH10</f>
        <v>7562.1</v>
      </c>
      <c r="AC9" s="30">
        <f>'Equity Volume Data'!AF9*'Equity Price Data'!AI10</f>
        <v>16602</v>
      </c>
      <c r="AD9" s="30">
        <f>'Equity Volume Data'!AG9*'Equity Price Data'!AJ10</f>
        <v>13410.45</v>
      </c>
      <c r="AE9" s="30">
        <f>'Equity Volume Data'!AH9*'Equity Price Data'!AK10</f>
        <v>8794</v>
      </c>
      <c r="AF9" s="30">
        <f>'Equity Volume Data'!AI9*'Equity Price Data'!AL10</f>
        <v>13899</v>
      </c>
      <c r="AG9" s="30">
        <f>'Equity Volume Data'!AJ9*'Equity Price Data'!AM10</f>
        <v>27742.8</v>
      </c>
      <c r="AH9" s="30">
        <f>'Equity Volume Data'!AK9*'Equity Price Data'!AN10</f>
        <v>33059</v>
      </c>
      <c r="AI9" s="30">
        <f>'Equity Volume Data'!AL9*'Equity Price Data'!AO10</f>
        <v>14913.5</v>
      </c>
      <c r="AJ9" s="30">
        <f>'Equity Volume Data'!AM9*'Equity Price Data'!AP10</f>
        <v>17795.7</v>
      </c>
      <c r="AK9" s="30">
        <f>'Equity Volume Data'!AN9*'Equity Price Data'!AQ10</f>
        <v>0</v>
      </c>
      <c r="AL9" s="30">
        <f>'Equity Volume Data'!AO9*'Equity Price Data'!AR10</f>
        <v>31729.6</v>
      </c>
      <c r="AM9" s="30">
        <f>'Equity Volume Data'!AP9*'Equity Price Data'!AS10</f>
        <v>32879.7</v>
      </c>
      <c r="AN9" s="30">
        <f>'Equity Volume Data'!AQ9*'Equity Price Data'!AT10</f>
        <v>10487.05</v>
      </c>
      <c r="AO9" s="30">
        <f>'Equity Volume Data'!AR9*'Equity Price Data'!AU10</f>
        <v>22434.58</v>
      </c>
      <c r="AP9" s="30">
        <f>'Equity Volume Data'!AS9*'Equity Price Data'!AV10</f>
        <v>21440</v>
      </c>
      <c r="AQ9" s="30">
        <f>'Equity Volume Data'!AT9*'Equity Price Data'!AW10</f>
        <v>16031.4</v>
      </c>
      <c r="AR9" s="30">
        <f>'Equity Volume Data'!AU9*'Equity Price Data'!AX10</f>
        <v>0</v>
      </c>
      <c r="AS9" s="30">
        <f>'Equity Volume Data'!AV9*'Equity Price Data'!AY10</f>
        <v>51662.4</v>
      </c>
      <c r="AT9" s="30">
        <f>'Equity Volume Data'!AW9*'Equity Price Data'!AZ10</f>
        <v>15264</v>
      </c>
      <c r="AU9" s="30">
        <f>'Equity Volume Data'!AX9*'Equity Price Data'!BA10</f>
        <v>0</v>
      </c>
      <c r="AV9" s="30">
        <f>'Equity Volume Data'!AY9*'Equity Price Data'!BB10</f>
        <v>50323.5</v>
      </c>
      <c r="AW9" s="30">
        <f>'Equity Volume Data'!AZ9*'Equity Price Data'!BC10</f>
        <v>3948</v>
      </c>
      <c r="AX9" s="30">
        <f>'Equity Volume Data'!BA9*'Equity Price Data'!BD10</f>
        <v>0</v>
      </c>
      <c r="AY9" s="30">
        <f>'Equity Volume Data'!BB9*'Equity Price Data'!BE10</f>
        <v>0</v>
      </c>
      <c r="AZ9" s="30">
        <f>'Equity Volume Data'!BC9*'Equity Price Data'!BF10</f>
        <v>9328.5</v>
      </c>
      <c r="BA9" s="30">
        <f>'Equity Volume Data'!BD9*'Equity Price Data'!BG10</f>
        <v>5624</v>
      </c>
      <c r="BB9" s="30">
        <f>'Equity Volume Data'!BE9*'Equity Price Data'!BH10</f>
        <v>8504.8</v>
      </c>
      <c r="BC9" s="30">
        <f>'Equity Volume Data'!BF9*'Equity Price Data'!BI10</f>
        <v>0</v>
      </c>
      <c r="BD9" s="30">
        <f>'Equity Volume Data'!BG9*'Equity Price Data'!BJ10</f>
        <v>35251.5</v>
      </c>
      <c r="BE9" s="30">
        <f>'Equity Volume Data'!BH9*'Equity Price Data'!BK10</f>
        <v>13588.4</v>
      </c>
      <c r="BF9" s="30">
        <f>'Equity Volume Data'!BI9*'Equity Price Data'!BL10</f>
        <v>8665.2</v>
      </c>
      <c r="BG9" s="30">
        <f>'Equity Volume Data'!BJ9*'Equity Price Data'!BM10</f>
        <v>38077.66</v>
      </c>
      <c r="BH9" s="30">
        <f>'Equity Volume Data'!BK9*'Equity Price Data'!BN10</f>
        <v>1112</v>
      </c>
      <c r="BI9" s="30">
        <f>'Equity Volume Data'!BL9*'Equity Price Data'!BO10</f>
        <v>37553.6</v>
      </c>
      <c r="BJ9" s="30">
        <f>'Equity Volume Data'!BM9*'Equity Price Data'!BP10</f>
        <v>39101.25</v>
      </c>
      <c r="BK9" s="30">
        <f>'Equity Volume Data'!BN9*'Equity Price Data'!BQ10</f>
        <v>86802.34</v>
      </c>
      <c r="BL9" s="30">
        <f>'Equity Volume Data'!BO9*'Equity Price Data'!BR10</f>
        <v>511.36</v>
      </c>
      <c r="BM9" s="30">
        <f>'Equity Volume Data'!BP9*'Equity Price Data'!BS10</f>
        <v>0</v>
      </c>
      <c r="BN9" s="30">
        <f>'Equity Volume Data'!BQ9*'Equity Price Data'!BT10</f>
        <v>19367.76</v>
      </c>
      <c r="BO9" s="30">
        <f>'Equity Volume Data'!BR9*'Equity Price Data'!BU10</f>
        <v>34640</v>
      </c>
    </row>
    <row r="10">
      <c r="A10" s="25">
        <f>'Equity Price Data'!A11</f>
        <v>45435.66667</v>
      </c>
      <c r="B10" s="29">
        <f t="shared" si="1"/>
        <v>1212936.16</v>
      </c>
      <c r="C10" s="30">
        <f>'Equity Volume Data'!F10*'Equity Price Data'!I11</f>
        <v>6283.03</v>
      </c>
      <c r="D10" s="30">
        <f>'Equity Volume Data'!G10*'Equity Price Data'!J11</f>
        <v>47073</v>
      </c>
      <c r="E10" s="30">
        <f>'Equity Volume Data'!H10*'Equity Price Data'!K11</f>
        <v>14146</v>
      </c>
      <c r="F10" s="30">
        <f>'Equity Volume Data'!I10*'Equity Price Data'!L11</f>
        <v>47841.28</v>
      </c>
      <c r="G10" s="30">
        <f>'Equity Volume Data'!J10*'Equity Price Data'!M11</f>
        <v>18089.85</v>
      </c>
      <c r="H10" s="30">
        <f>'Equity Volume Data'!K10*'Equity Price Data'!N11</f>
        <v>10966.04</v>
      </c>
      <c r="I10" s="30">
        <f>'Equity Volume Data'!L10*'Equity Price Data'!O11</f>
        <v>10910</v>
      </c>
      <c r="J10" s="30">
        <f>'Equity Volume Data'!M10*'Equity Price Data'!P11</f>
        <v>41399.76</v>
      </c>
      <c r="K10" s="30">
        <f>'Equity Volume Data'!N10*'Equity Price Data'!Q11</f>
        <v>11750</v>
      </c>
      <c r="L10" s="30">
        <f>'Equity Volume Data'!O10*'Equity Price Data'!R11</f>
        <v>26385.26</v>
      </c>
      <c r="M10" s="30">
        <f>'Equity Volume Data'!P10*'Equity Price Data'!S11</f>
        <v>0</v>
      </c>
      <c r="N10" s="30">
        <f>'Equity Volume Data'!Q10*'Equity Price Data'!T11</f>
        <v>5148</v>
      </c>
      <c r="O10" s="30">
        <f>'Equity Volume Data'!R10*'Equity Price Data'!U11</f>
        <v>52605</v>
      </c>
      <c r="P10" s="30">
        <f>'Equity Volume Data'!S10*'Equity Price Data'!V11</f>
        <v>0</v>
      </c>
      <c r="Q10" s="30">
        <f>'Equity Volume Data'!T10*'Equity Price Data'!W11</f>
        <v>18420</v>
      </c>
      <c r="R10" s="30">
        <f>'Equity Volume Data'!U10*'Equity Price Data'!X11</f>
        <v>12555.2</v>
      </c>
      <c r="S10" s="30">
        <f>'Equity Volume Data'!V10*'Equity Price Data'!Y11</f>
        <v>29729.04</v>
      </c>
      <c r="T10" s="30">
        <f>'Equity Volume Data'!W10*'Equity Price Data'!Z11</f>
        <v>8780</v>
      </c>
      <c r="U10" s="30">
        <f>'Equity Volume Data'!X10*'Equity Price Data'!AA11</f>
        <v>16391.76</v>
      </c>
      <c r="V10" s="30">
        <f>'Equity Volume Data'!Y10*'Equity Price Data'!AB11</f>
        <v>15113.07</v>
      </c>
      <c r="W10" s="30">
        <f>'Equity Volume Data'!Z10*'Equity Price Data'!AC11</f>
        <v>9815.25</v>
      </c>
      <c r="X10" s="30">
        <f>'Equity Volume Data'!AA10*'Equity Price Data'!AD11</f>
        <v>28650</v>
      </c>
      <c r="Y10" s="30">
        <f>'Equity Volume Data'!AB10*'Equity Price Data'!AE11</f>
        <v>6527.69</v>
      </c>
      <c r="Z10" s="30">
        <f>'Equity Volume Data'!AC10*'Equity Price Data'!AF11</f>
        <v>7921.5</v>
      </c>
      <c r="AA10" s="30">
        <f>'Equity Volume Data'!AD10*'Equity Price Data'!AG11</f>
        <v>19296.7</v>
      </c>
      <c r="AB10" s="30">
        <f>'Equity Volume Data'!AE10*'Equity Price Data'!AH11</f>
        <v>7478.7</v>
      </c>
      <c r="AC10" s="30">
        <f>'Equity Volume Data'!AF10*'Equity Price Data'!AI11</f>
        <v>16541.2</v>
      </c>
      <c r="AD10" s="30">
        <f>'Equity Volume Data'!AG10*'Equity Price Data'!AJ11</f>
        <v>13343.4</v>
      </c>
      <c r="AE10" s="30">
        <f>'Equity Volume Data'!AH10*'Equity Price Data'!AK11</f>
        <v>8746</v>
      </c>
      <c r="AF10" s="30">
        <f>'Equity Volume Data'!AI10*'Equity Price Data'!AL11</f>
        <v>13564.85</v>
      </c>
      <c r="AG10" s="30">
        <f>'Equity Volume Data'!AJ10*'Equity Price Data'!AM11</f>
        <v>27489</v>
      </c>
      <c r="AH10" s="30">
        <f>'Equity Volume Data'!AK10*'Equity Price Data'!AN11</f>
        <v>32689</v>
      </c>
      <c r="AI10" s="30">
        <f>'Equity Volume Data'!AL10*'Equity Price Data'!AO11</f>
        <v>14976.5</v>
      </c>
      <c r="AJ10" s="30">
        <f>'Equity Volume Data'!AM10*'Equity Price Data'!AP11</f>
        <v>17602</v>
      </c>
      <c r="AK10" s="30">
        <f>'Equity Volume Data'!AN10*'Equity Price Data'!AQ11</f>
        <v>0</v>
      </c>
      <c r="AL10" s="30">
        <f>'Equity Volume Data'!AO10*'Equity Price Data'!AR11</f>
        <v>31507.2</v>
      </c>
      <c r="AM10" s="30">
        <f>'Equity Volume Data'!AP10*'Equity Price Data'!AS11</f>
        <v>32695.6</v>
      </c>
      <c r="AN10" s="30">
        <f>'Equity Volume Data'!AQ10*'Equity Price Data'!AT11</f>
        <v>10490.9</v>
      </c>
      <c r="AO10" s="30">
        <f>'Equity Volume Data'!AR10*'Equity Price Data'!AU11</f>
        <v>22323.56</v>
      </c>
      <c r="AP10" s="30">
        <f>'Equity Volume Data'!AS10*'Equity Price Data'!AV11</f>
        <v>20345</v>
      </c>
      <c r="AQ10" s="30">
        <f>'Equity Volume Data'!AT10*'Equity Price Data'!AW11</f>
        <v>15763</v>
      </c>
      <c r="AR10" s="30">
        <f>'Equity Volume Data'!AU10*'Equity Price Data'!AX11</f>
        <v>0</v>
      </c>
      <c r="AS10" s="30">
        <f>'Equity Volume Data'!AV10*'Equity Price Data'!AY11</f>
        <v>51240</v>
      </c>
      <c r="AT10" s="30">
        <f>'Equity Volume Data'!AW10*'Equity Price Data'!AZ11</f>
        <v>15064</v>
      </c>
      <c r="AU10" s="30">
        <f>'Equity Volume Data'!AX10*'Equity Price Data'!BA11</f>
        <v>0</v>
      </c>
      <c r="AV10" s="30">
        <f>'Equity Volume Data'!AY10*'Equity Price Data'!BB11</f>
        <v>55014</v>
      </c>
      <c r="AW10" s="30">
        <f>'Equity Volume Data'!AZ10*'Equity Price Data'!BC11</f>
        <v>3885.2</v>
      </c>
      <c r="AX10" s="30">
        <f>'Equity Volume Data'!BA10*'Equity Price Data'!BD11</f>
        <v>0</v>
      </c>
      <c r="AY10" s="30">
        <f>'Equity Volume Data'!BB10*'Equity Price Data'!BE11</f>
        <v>0</v>
      </c>
      <c r="AZ10" s="30">
        <f>'Equity Volume Data'!BC10*'Equity Price Data'!BF11</f>
        <v>9237</v>
      </c>
      <c r="BA10" s="30">
        <f>'Equity Volume Data'!BD10*'Equity Price Data'!BG11</f>
        <v>5451.1</v>
      </c>
      <c r="BB10" s="30">
        <f>'Equity Volume Data'!BE10*'Equity Price Data'!BH11</f>
        <v>8432.8</v>
      </c>
      <c r="BC10" s="30">
        <f>'Equity Volume Data'!BF10*'Equity Price Data'!BI11</f>
        <v>0</v>
      </c>
      <c r="BD10" s="30">
        <f>'Equity Volume Data'!BG10*'Equity Price Data'!BJ11</f>
        <v>35138.61</v>
      </c>
      <c r="BE10" s="30">
        <f>'Equity Volume Data'!BH10*'Equity Price Data'!BK11</f>
        <v>13455.69</v>
      </c>
      <c r="BF10" s="30">
        <f>'Equity Volume Data'!BI10*'Equity Price Data'!BL11</f>
        <v>8588.8</v>
      </c>
      <c r="BG10" s="30">
        <f>'Equity Volume Data'!BJ10*'Equity Price Data'!BM11</f>
        <v>38233.34</v>
      </c>
      <c r="BH10" s="30">
        <f>'Equity Volume Data'!BK10*'Equity Price Data'!BN11</f>
        <v>1075.2</v>
      </c>
      <c r="BI10" s="30">
        <f>'Equity Volume Data'!BL10*'Equity Price Data'!BO11</f>
        <v>37233.6</v>
      </c>
      <c r="BJ10" s="30">
        <f>'Equity Volume Data'!BM10*'Equity Price Data'!BP11</f>
        <v>38762.25</v>
      </c>
      <c r="BK10" s="30">
        <f>'Equity Volume Data'!BN10*'Equity Price Data'!BQ11</f>
        <v>86712.24</v>
      </c>
      <c r="BL10" s="30">
        <f>'Equity Volume Data'!BO10*'Equity Price Data'!BR11</f>
        <v>494.91</v>
      </c>
      <c r="BM10" s="30">
        <f>'Equity Volume Data'!BP10*'Equity Price Data'!BS11</f>
        <v>0</v>
      </c>
      <c r="BN10" s="30">
        <f>'Equity Volume Data'!BQ10*'Equity Price Data'!BT11</f>
        <v>18924.08</v>
      </c>
      <c r="BO10" s="30">
        <f>'Equity Volume Data'!BR10*'Equity Price Data'!BU11</f>
        <v>34640</v>
      </c>
    </row>
    <row r="11">
      <c r="A11" s="25">
        <f>'Equity Price Data'!A12</f>
        <v>45436.66667</v>
      </c>
      <c r="B11" s="29">
        <f t="shared" si="1"/>
        <v>1219293.34</v>
      </c>
      <c r="C11" s="30">
        <f>'Equity Volume Data'!F11*'Equity Price Data'!I12</f>
        <v>6180.59</v>
      </c>
      <c r="D11" s="30">
        <f>'Equity Volume Data'!G11*'Equity Price Data'!J12</f>
        <v>46995</v>
      </c>
      <c r="E11" s="30">
        <f>'Equity Volume Data'!H11*'Equity Price Data'!K12</f>
        <v>14105.3</v>
      </c>
      <c r="F11" s="30">
        <f>'Equity Volume Data'!I11*'Equity Price Data'!L12</f>
        <v>48634.88</v>
      </c>
      <c r="G11" s="30">
        <f>'Equity Volume Data'!J11*'Equity Price Data'!M12</f>
        <v>18333.87</v>
      </c>
      <c r="H11" s="30">
        <f>'Equity Volume Data'!K11*'Equity Price Data'!N12</f>
        <v>11108.92</v>
      </c>
      <c r="I11" s="30">
        <f>'Equity Volume Data'!L11*'Equity Price Data'!O12</f>
        <v>11080</v>
      </c>
      <c r="J11" s="30">
        <f>'Equity Volume Data'!M11*'Equity Price Data'!P12</f>
        <v>41555.82</v>
      </c>
      <c r="K11" s="30">
        <f>'Equity Volume Data'!N11*'Equity Price Data'!Q12</f>
        <v>11926</v>
      </c>
      <c r="L11" s="30">
        <f>'Equity Volume Data'!O11*'Equity Price Data'!R12</f>
        <v>26355.01</v>
      </c>
      <c r="M11" s="30">
        <f>'Equity Volume Data'!P11*'Equity Price Data'!S12</f>
        <v>0</v>
      </c>
      <c r="N11" s="30">
        <f>'Equity Volume Data'!Q11*'Equity Price Data'!T12</f>
        <v>5252</v>
      </c>
      <c r="O11" s="30">
        <f>'Equity Volume Data'!R11*'Equity Price Data'!U12</f>
        <v>52335</v>
      </c>
      <c r="P11" s="30">
        <f>'Equity Volume Data'!S11*'Equity Price Data'!V12</f>
        <v>0</v>
      </c>
      <c r="Q11" s="30">
        <f>'Equity Volume Data'!T11*'Equity Price Data'!W12</f>
        <v>18530.4</v>
      </c>
      <c r="R11" s="30">
        <f>'Equity Volume Data'!U11*'Equity Price Data'!X12</f>
        <v>12620</v>
      </c>
      <c r="S11" s="30">
        <f>'Equity Volume Data'!V11*'Equity Price Data'!Y12</f>
        <v>29269.68</v>
      </c>
      <c r="T11" s="30">
        <f>'Equity Volume Data'!W11*'Equity Price Data'!Z12</f>
        <v>8837.5</v>
      </c>
      <c r="U11" s="30">
        <f>'Equity Volume Data'!X11*'Equity Price Data'!AA12</f>
        <v>16368</v>
      </c>
      <c r="V11" s="30">
        <f>'Equity Volume Data'!Y11*'Equity Price Data'!AB12</f>
        <v>15203.23</v>
      </c>
      <c r="W11" s="30">
        <f>'Equity Volume Data'!Z11*'Equity Price Data'!AC12</f>
        <v>9851.13</v>
      </c>
      <c r="X11" s="30">
        <f>'Equity Volume Data'!AA11*'Equity Price Data'!AD12</f>
        <v>28842.5</v>
      </c>
      <c r="Y11" s="30">
        <f>'Equity Volume Data'!AB11*'Equity Price Data'!AE12</f>
        <v>6528.08</v>
      </c>
      <c r="Z11" s="30">
        <f>'Equity Volume Data'!AC11*'Equity Price Data'!AF12</f>
        <v>8161.5</v>
      </c>
      <c r="AA11" s="30">
        <f>'Equity Volume Data'!AD11*'Equity Price Data'!AG12</f>
        <v>19281.4</v>
      </c>
      <c r="AB11" s="30">
        <f>'Equity Volume Data'!AE11*'Equity Price Data'!AH12</f>
        <v>7427.7</v>
      </c>
      <c r="AC11" s="30">
        <f>'Equity Volume Data'!AF11*'Equity Price Data'!AI12</f>
        <v>16646.4</v>
      </c>
      <c r="AD11" s="30">
        <f>'Equity Volume Data'!AG11*'Equity Price Data'!AJ12</f>
        <v>13482.9</v>
      </c>
      <c r="AE11" s="30">
        <f>'Equity Volume Data'!AH11*'Equity Price Data'!AK12</f>
        <v>8822</v>
      </c>
      <c r="AF11" s="30">
        <f>'Equity Volume Data'!AI11*'Equity Price Data'!AL12</f>
        <v>13464.4</v>
      </c>
      <c r="AG11" s="30">
        <f>'Equity Volume Data'!AJ11*'Equity Price Data'!AM12</f>
        <v>27670.8</v>
      </c>
      <c r="AH11" s="30">
        <f>'Equity Volume Data'!AK11*'Equity Price Data'!AN12</f>
        <v>32510</v>
      </c>
      <c r="AI11" s="30">
        <f>'Equity Volume Data'!AL11*'Equity Price Data'!AO12</f>
        <v>15254.75</v>
      </c>
      <c r="AJ11" s="30">
        <f>'Equity Volume Data'!AM11*'Equity Price Data'!AP12</f>
        <v>17724.2</v>
      </c>
      <c r="AK11" s="30">
        <f>'Equity Volume Data'!AN11*'Equity Price Data'!AQ12</f>
        <v>0</v>
      </c>
      <c r="AL11" s="30">
        <f>'Equity Volume Data'!AO11*'Equity Price Data'!AR12</f>
        <v>32113.6</v>
      </c>
      <c r="AM11" s="30">
        <f>'Equity Volume Data'!AP11*'Equity Price Data'!AS12</f>
        <v>32714.5</v>
      </c>
      <c r="AN11" s="30">
        <f>'Equity Volume Data'!AQ11*'Equity Price Data'!AT12</f>
        <v>10605.35</v>
      </c>
      <c r="AO11" s="30">
        <f>'Equity Volume Data'!AR11*'Equity Price Data'!AU12</f>
        <v>22665.16</v>
      </c>
      <c r="AP11" s="30">
        <f>'Equity Volume Data'!AS11*'Equity Price Data'!AV12</f>
        <v>20572.5</v>
      </c>
      <c r="AQ11" s="30">
        <f>'Equity Volume Data'!AT11*'Equity Price Data'!AW12</f>
        <v>15958.8</v>
      </c>
      <c r="AR11" s="30">
        <f>'Equity Volume Data'!AU11*'Equity Price Data'!AX12</f>
        <v>0</v>
      </c>
      <c r="AS11" s="30">
        <f>'Equity Volume Data'!AV11*'Equity Price Data'!AY12</f>
        <v>51619.2</v>
      </c>
      <c r="AT11" s="30">
        <f>'Equity Volume Data'!AW11*'Equity Price Data'!AZ12</f>
        <v>15322</v>
      </c>
      <c r="AU11" s="30">
        <f>'Equity Volume Data'!AX11*'Equity Price Data'!BA12</f>
        <v>0</v>
      </c>
      <c r="AV11" s="30">
        <f>'Equity Volume Data'!AY11*'Equity Price Data'!BB12</f>
        <v>56429.1</v>
      </c>
      <c r="AW11" s="30">
        <f>'Equity Volume Data'!AZ11*'Equity Price Data'!BC12</f>
        <v>3902.8</v>
      </c>
      <c r="AX11" s="30">
        <f>'Equity Volume Data'!BA11*'Equity Price Data'!BD12</f>
        <v>0</v>
      </c>
      <c r="AY11" s="30">
        <f>'Equity Volume Data'!BB11*'Equity Price Data'!BE12</f>
        <v>0</v>
      </c>
      <c r="AZ11" s="30">
        <f>'Equity Volume Data'!BC11*'Equity Price Data'!BF12</f>
        <v>9246</v>
      </c>
      <c r="BA11" s="30">
        <f>'Equity Volume Data'!BD11*'Equity Price Data'!BG12</f>
        <v>5487.2</v>
      </c>
      <c r="BB11" s="30">
        <f>'Equity Volume Data'!BE11*'Equity Price Data'!BH12</f>
        <v>8501.6</v>
      </c>
      <c r="BC11" s="30">
        <f>'Equity Volume Data'!BF11*'Equity Price Data'!BI12</f>
        <v>0</v>
      </c>
      <c r="BD11" s="30">
        <f>'Equity Volume Data'!BG11*'Equity Price Data'!BJ12</f>
        <v>35358</v>
      </c>
      <c r="BE11" s="30">
        <f>'Equity Volume Data'!BH11*'Equity Price Data'!BK12</f>
        <v>13433.15</v>
      </c>
      <c r="BF11" s="30">
        <f>'Equity Volume Data'!BI11*'Equity Price Data'!BL12</f>
        <v>8673.6</v>
      </c>
      <c r="BG11" s="30">
        <f>'Equity Volume Data'!BJ11*'Equity Price Data'!BM12</f>
        <v>39000.62</v>
      </c>
      <c r="BH11" s="30">
        <f>'Equity Volume Data'!BK11*'Equity Price Data'!BN12</f>
        <v>1064</v>
      </c>
      <c r="BI11" s="30">
        <f>'Equity Volume Data'!BL11*'Equity Price Data'!BO12</f>
        <v>37128</v>
      </c>
      <c r="BJ11" s="30">
        <f>'Equity Volume Data'!BM11*'Equity Price Data'!BP12</f>
        <v>38112.75</v>
      </c>
      <c r="BK11" s="30">
        <f>'Equity Volume Data'!BN11*'Equity Price Data'!BQ12</f>
        <v>86766.3</v>
      </c>
      <c r="BL11" s="30">
        <f>'Equity Volume Data'!BO11*'Equity Price Data'!BR12</f>
        <v>489.27</v>
      </c>
      <c r="BM11" s="30">
        <f>'Equity Volume Data'!BP11*'Equity Price Data'!BS12</f>
        <v>0</v>
      </c>
      <c r="BN11" s="30">
        <f>'Equity Volume Data'!BQ11*'Equity Price Data'!BT12</f>
        <v>19130.88</v>
      </c>
      <c r="BO11" s="30">
        <f>'Equity Volume Data'!BR11*'Equity Price Data'!BU12</f>
        <v>34640</v>
      </c>
    </row>
    <row r="12">
      <c r="A12" s="25">
        <f>'Equity Price Data'!A13</f>
        <v>45440.66667</v>
      </c>
      <c r="B12" s="29">
        <f t="shared" si="1"/>
        <v>1219193.82</v>
      </c>
      <c r="C12" s="30">
        <f>'Equity Volume Data'!F12*'Equity Price Data'!I13</f>
        <v>6219.59</v>
      </c>
      <c r="D12" s="30">
        <f>'Equity Volume Data'!G12*'Equity Price Data'!J13</f>
        <v>47359</v>
      </c>
      <c r="E12" s="30">
        <f>'Equity Volume Data'!H12*'Equity Price Data'!K13</f>
        <v>13886.4</v>
      </c>
      <c r="F12" s="30">
        <f>'Equity Volume Data'!I12*'Equity Price Data'!L13</f>
        <v>48637.44</v>
      </c>
      <c r="G12" s="30">
        <f>'Equity Volume Data'!J12*'Equity Price Data'!M13</f>
        <v>18369.56</v>
      </c>
      <c r="H12" s="30">
        <f>'Equity Volume Data'!K12*'Equity Price Data'!N13</f>
        <v>10949.12</v>
      </c>
      <c r="I12" s="30">
        <f>'Equity Volume Data'!L12*'Equity Price Data'!O13</f>
        <v>11250</v>
      </c>
      <c r="J12" s="30">
        <f>'Equity Volume Data'!M12*'Equity Price Data'!P13</f>
        <v>41197.8</v>
      </c>
      <c r="K12" s="30">
        <f>'Equity Volume Data'!N12*'Equity Price Data'!Q13</f>
        <v>11920</v>
      </c>
      <c r="L12" s="30">
        <f>'Equity Volume Data'!O12*'Equity Price Data'!R13</f>
        <v>26466.33</v>
      </c>
      <c r="M12" s="30">
        <f>'Equity Volume Data'!P12*'Equity Price Data'!S13</f>
        <v>0</v>
      </c>
      <c r="N12" s="30">
        <f>'Equity Volume Data'!Q12*'Equity Price Data'!T13</f>
        <v>5173.6</v>
      </c>
      <c r="O12" s="30">
        <f>'Equity Volume Data'!R12*'Equity Price Data'!U13</f>
        <v>51970.5</v>
      </c>
      <c r="P12" s="30">
        <f>'Equity Volume Data'!S12*'Equity Price Data'!V13</f>
        <v>0</v>
      </c>
      <c r="Q12" s="30">
        <f>'Equity Volume Data'!T12*'Equity Price Data'!W13</f>
        <v>17965.2</v>
      </c>
      <c r="R12" s="30">
        <f>'Equity Volume Data'!U12*'Equity Price Data'!X13</f>
        <v>12723.2</v>
      </c>
      <c r="S12" s="30">
        <f>'Equity Volume Data'!V12*'Equity Price Data'!Y13</f>
        <v>29322.48</v>
      </c>
      <c r="T12" s="30">
        <f>'Equity Volume Data'!W12*'Equity Price Data'!Z13</f>
        <v>8665</v>
      </c>
      <c r="U12" s="30">
        <f>'Equity Volume Data'!X12*'Equity Price Data'!AA13</f>
        <v>16320.48</v>
      </c>
      <c r="V12" s="30">
        <f>'Equity Volume Data'!Y12*'Equity Price Data'!AB13</f>
        <v>15006.81</v>
      </c>
      <c r="W12" s="30">
        <f>'Equity Volume Data'!Z12*'Equity Price Data'!AC13</f>
        <v>9920.13</v>
      </c>
      <c r="X12" s="30">
        <f>'Equity Volume Data'!AA12*'Equity Price Data'!AD13</f>
        <v>28255</v>
      </c>
      <c r="Y12" s="30">
        <f>'Equity Volume Data'!AB12*'Equity Price Data'!AE13</f>
        <v>6618.04</v>
      </c>
      <c r="Z12" s="30">
        <f>'Equity Volume Data'!AC12*'Equity Price Data'!AF13</f>
        <v>7935</v>
      </c>
      <c r="AA12" s="30">
        <f>'Equity Volume Data'!AD12*'Equity Price Data'!AG13</f>
        <v>19526.2</v>
      </c>
      <c r="AB12" s="30">
        <f>'Equity Volume Data'!AE12*'Equity Price Data'!AH13</f>
        <v>7441.2</v>
      </c>
      <c r="AC12" s="30">
        <f>'Equity Volume Data'!AF12*'Equity Price Data'!AI13</f>
        <v>16485.6</v>
      </c>
      <c r="AD12" s="30">
        <f>'Equity Volume Data'!AG12*'Equity Price Data'!AJ13</f>
        <v>13380.3</v>
      </c>
      <c r="AE12" s="30">
        <f>'Equity Volume Data'!AH12*'Equity Price Data'!AK13</f>
        <v>8618</v>
      </c>
      <c r="AF12" s="30">
        <f>'Equity Volume Data'!AI12*'Equity Price Data'!AL13</f>
        <v>13107.7</v>
      </c>
      <c r="AG12" s="30">
        <f>'Equity Volume Data'!AJ12*'Equity Price Data'!AM13</f>
        <v>27588.6</v>
      </c>
      <c r="AH12" s="30">
        <f>'Equity Volume Data'!AK12*'Equity Price Data'!AN13</f>
        <v>32870</v>
      </c>
      <c r="AI12" s="30">
        <f>'Equity Volume Data'!AL12*'Equity Price Data'!AO13</f>
        <v>15410.5</v>
      </c>
      <c r="AJ12" s="30">
        <f>'Equity Volume Data'!AM12*'Equity Price Data'!AP13</f>
        <v>17378.4</v>
      </c>
      <c r="AK12" s="30">
        <f>'Equity Volume Data'!AN12*'Equity Price Data'!AQ13</f>
        <v>0</v>
      </c>
      <c r="AL12" s="30">
        <f>'Equity Volume Data'!AO12*'Equity Price Data'!AR13</f>
        <v>31920</v>
      </c>
      <c r="AM12" s="30">
        <f>'Equity Volume Data'!AP12*'Equity Price Data'!AS13</f>
        <v>32093.6</v>
      </c>
      <c r="AN12" s="30">
        <f>'Equity Volume Data'!AQ12*'Equity Price Data'!AT13</f>
        <v>10333.75</v>
      </c>
      <c r="AO12" s="30">
        <f>'Equity Volume Data'!AR12*'Equity Price Data'!AU13</f>
        <v>22374.8</v>
      </c>
      <c r="AP12" s="30">
        <f>'Equity Volume Data'!AS12*'Equity Price Data'!AV13</f>
        <v>20500</v>
      </c>
      <c r="AQ12" s="30">
        <f>'Equity Volume Data'!AT12*'Equity Price Data'!AW13</f>
        <v>15615.6</v>
      </c>
      <c r="AR12" s="30">
        <f>'Equity Volume Data'!AU12*'Equity Price Data'!AX13</f>
        <v>0</v>
      </c>
      <c r="AS12" s="30">
        <f>'Equity Volume Data'!AV12*'Equity Price Data'!AY13</f>
        <v>51638.4</v>
      </c>
      <c r="AT12" s="30">
        <f>'Equity Volume Data'!AW12*'Equity Price Data'!AZ13</f>
        <v>15506</v>
      </c>
      <c r="AU12" s="30">
        <f>'Equity Volume Data'!AX12*'Equity Price Data'!BA13</f>
        <v>0</v>
      </c>
      <c r="AV12" s="30">
        <f>'Equity Volume Data'!AY12*'Equity Price Data'!BB13</f>
        <v>60367</v>
      </c>
      <c r="AW12" s="30">
        <f>'Equity Volume Data'!AZ12*'Equity Price Data'!BC13</f>
        <v>3810</v>
      </c>
      <c r="AX12" s="30">
        <f>'Equity Volume Data'!BA12*'Equity Price Data'!BD13</f>
        <v>0</v>
      </c>
      <c r="AY12" s="30">
        <f>'Equity Volume Data'!BB12*'Equity Price Data'!BE13</f>
        <v>0</v>
      </c>
      <c r="AZ12" s="30">
        <f>'Equity Volume Data'!BC12*'Equity Price Data'!BF13</f>
        <v>9325.5</v>
      </c>
      <c r="BA12" s="30">
        <f>'Equity Volume Data'!BD12*'Equity Price Data'!BG13</f>
        <v>5377</v>
      </c>
      <c r="BB12" s="30">
        <f>'Equity Volume Data'!BE12*'Equity Price Data'!BH13</f>
        <v>8441.6</v>
      </c>
      <c r="BC12" s="30">
        <f>'Equity Volume Data'!BF12*'Equity Price Data'!BI13</f>
        <v>0</v>
      </c>
      <c r="BD12" s="30">
        <f>'Equity Volume Data'!BG12*'Equity Price Data'!BJ13</f>
        <v>35637.03</v>
      </c>
      <c r="BE12" s="30">
        <f>'Equity Volume Data'!BH12*'Equity Price Data'!BK13</f>
        <v>13169.11</v>
      </c>
      <c r="BF12" s="30">
        <f>'Equity Volume Data'!BI12*'Equity Price Data'!BL13</f>
        <v>8748.8</v>
      </c>
      <c r="BG12" s="30">
        <f>'Equity Volume Data'!BJ12*'Equity Price Data'!BM13</f>
        <v>39715.08</v>
      </c>
      <c r="BH12" s="30">
        <f>'Equity Volume Data'!BK12*'Equity Price Data'!BN13</f>
        <v>1094.4</v>
      </c>
      <c r="BI12" s="30">
        <f>'Equity Volume Data'!BL12*'Equity Price Data'!BO13</f>
        <v>36641.6</v>
      </c>
      <c r="BJ12" s="30">
        <f>'Equity Volume Data'!BM12*'Equity Price Data'!BP13</f>
        <v>37776</v>
      </c>
      <c r="BK12" s="30">
        <f>'Equity Volume Data'!BN12*'Equity Price Data'!BQ13</f>
        <v>86784.32</v>
      </c>
      <c r="BL12" s="30">
        <f>'Equity Volume Data'!BO12*'Equity Price Data'!BR13</f>
        <v>488.33</v>
      </c>
      <c r="BM12" s="30">
        <f>'Equity Volume Data'!BP12*'Equity Price Data'!BS13</f>
        <v>0</v>
      </c>
      <c r="BN12" s="30">
        <f>'Equity Volume Data'!BQ12*'Equity Price Data'!BT13</f>
        <v>19258.72</v>
      </c>
      <c r="BO12" s="30">
        <f>'Equity Volume Data'!BR12*'Equity Price Data'!BU13</f>
        <v>34640</v>
      </c>
    </row>
    <row r="13">
      <c r="A13" s="25">
        <f>'Equity Price Data'!A14</f>
        <v>45441.66667</v>
      </c>
      <c r="B13" s="29">
        <f t="shared" si="1"/>
        <v>1210093.82</v>
      </c>
      <c r="C13" s="30">
        <f>'Equity Volume Data'!F13*'Equity Price Data'!I14</f>
        <v>6208.8</v>
      </c>
      <c r="D13" s="30">
        <f>'Equity Volume Data'!G13*'Equity Price Data'!J14</f>
        <v>47325.2</v>
      </c>
      <c r="E13" s="30">
        <f>'Equity Volume Data'!H13*'Equity Price Data'!K14</f>
        <v>13652.1</v>
      </c>
      <c r="F13" s="30">
        <f>'Equity Volume Data'!I13*'Equity Price Data'!L14</f>
        <v>48714.24</v>
      </c>
      <c r="G13" s="30">
        <f>'Equity Volume Data'!J13*'Equity Price Data'!M14</f>
        <v>18181.15</v>
      </c>
      <c r="H13" s="30">
        <f>'Equity Volume Data'!K13*'Equity Price Data'!N14</f>
        <v>10858.88</v>
      </c>
      <c r="I13" s="30">
        <f>'Equity Volume Data'!L13*'Equity Price Data'!O14</f>
        <v>10980</v>
      </c>
      <c r="J13" s="30">
        <f>'Equity Volume Data'!M13*'Equity Price Data'!P14</f>
        <v>41217.18</v>
      </c>
      <c r="K13" s="30">
        <f>'Equity Volume Data'!N13*'Equity Price Data'!Q14</f>
        <v>11890</v>
      </c>
      <c r="L13" s="30">
        <f>'Equity Volume Data'!O13*'Equity Price Data'!R14</f>
        <v>25943.61</v>
      </c>
      <c r="M13" s="30">
        <f>'Equity Volume Data'!P13*'Equity Price Data'!S14</f>
        <v>0</v>
      </c>
      <c r="N13" s="30">
        <f>'Equity Volume Data'!Q13*'Equity Price Data'!T14</f>
        <v>5045.6</v>
      </c>
      <c r="O13" s="30">
        <f>'Equity Volume Data'!R13*'Equity Price Data'!U14</f>
        <v>50716.5</v>
      </c>
      <c r="P13" s="30">
        <f>'Equity Volume Data'!S13*'Equity Price Data'!V14</f>
        <v>0</v>
      </c>
      <c r="Q13" s="30">
        <f>'Equity Volume Data'!T13*'Equity Price Data'!W14</f>
        <v>17886</v>
      </c>
      <c r="R13" s="30">
        <f>'Equity Volume Data'!U13*'Equity Price Data'!X14</f>
        <v>12552</v>
      </c>
      <c r="S13" s="30">
        <f>'Equity Volume Data'!V13*'Equity Price Data'!Y14</f>
        <v>29296.96</v>
      </c>
      <c r="T13" s="30">
        <f>'Equity Volume Data'!W13*'Equity Price Data'!Z14</f>
        <v>8550</v>
      </c>
      <c r="U13" s="30">
        <f>'Equity Volume Data'!X13*'Equity Price Data'!AA14</f>
        <v>16288.8</v>
      </c>
      <c r="V13" s="30">
        <f>'Equity Volume Data'!Y13*'Equity Price Data'!AB14</f>
        <v>14797.51</v>
      </c>
      <c r="W13" s="30">
        <f>'Equity Volume Data'!Z13*'Equity Price Data'!AC14</f>
        <v>9758.67</v>
      </c>
      <c r="X13" s="30">
        <f>'Equity Volume Data'!AA13*'Equity Price Data'!AD14</f>
        <v>28457.5</v>
      </c>
      <c r="Y13" s="30">
        <f>'Equity Volume Data'!AB13*'Equity Price Data'!AE14</f>
        <v>6630.13</v>
      </c>
      <c r="Z13" s="30">
        <f>'Equity Volume Data'!AC13*'Equity Price Data'!AF14</f>
        <v>7813.5</v>
      </c>
      <c r="AA13" s="30">
        <f>'Equity Volume Data'!AD13*'Equity Price Data'!AG14</f>
        <v>19317.1</v>
      </c>
      <c r="AB13" s="30">
        <f>'Equity Volume Data'!AE13*'Equity Price Data'!AH14</f>
        <v>7353.3</v>
      </c>
      <c r="AC13" s="30">
        <f>'Equity Volume Data'!AF13*'Equity Price Data'!AI14</f>
        <v>16247.6</v>
      </c>
      <c r="AD13" s="30">
        <f>'Equity Volume Data'!AG13*'Equity Price Data'!AJ14</f>
        <v>13206.6</v>
      </c>
      <c r="AE13" s="30">
        <f>'Equity Volume Data'!AH13*'Equity Price Data'!AK14</f>
        <v>8528</v>
      </c>
      <c r="AF13" s="30">
        <f>'Equity Volume Data'!AI13*'Equity Price Data'!AL14</f>
        <v>13017.5</v>
      </c>
      <c r="AG13" s="30">
        <f>'Equity Volume Data'!AJ13*'Equity Price Data'!AM14</f>
        <v>27430.2</v>
      </c>
      <c r="AH13" s="30">
        <f>'Equity Volume Data'!AK13*'Equity Price Data'!AN14</f>
        <v>32591</v>
      </c>
      <c r="AI13" s="30">
        <f>'Equity Volume Data'!AL13*'Equity Price Data'!AO14</f>
        <v>15067.5</v>
      </c>
      <c r="AJ13" s="30">
        <f>'Equity Volume Data'!AM13*'Equity Price Data'!AP14</f>
        <v>17153.5</v>
      </c>
      <c r="AK13" s="30">
        <f>'Equity Volume Data'!AN13*'Equity Price Data'!AQ14</f>
        <v>0</v>
      </c>
      <c r="AL13" s="30">
        <f>'Equity Volume Data'!AO13*'Equity Price Data'!AR14</f>
        <v>31697.6</v>
      </c>
      <c r="AM13" s="30">
        <f>'Equity Volume Data'!AP13*'Equity Price Data'!AS14</f>
        <v>31690.4</v>
      </c>
      <c r="AN13" s="30">
        <f>'Equity Volume Data'!AQ13*'Equity Price Data'!AT14</f>
        <v>10448.9</v>
      </c>
      <c r="AO13" s="30">
        <f>'Equity Volume Data'!AR13*'Equity Price Data'!AU14</f>
        <v>21888.02</v>
      </c>
      <c r="AP13" s="30">
        <f>'Equity Volume Data'!AS13*'Equity Price Data'!AV14</f>
        <v>20372.5</v>
      </c>
      <c r="AQ13" s="30">
        <f>'Equity Volume Data'!AT13*'Equity Price Data'!AW14</f>
        <v>15496.8</v>
      </c>
      <c r="AR13" s="30">
        <f>'Equity Volume Data'!AU13*'Equity Price Data'!AX14</f>
        <v>0</v>
      </c>
      <c r="AS13" s="30">
        <f>'Equity Volume Data'!AV13*'Equity Price Data'!AY14</f>
        <v>51500.4</v>
      </c>
      <c r="AT13" s="30">
        <f>'Equity Volume Data'!AW13*'Equity Price Data'!AZ14</f>
        <v>15336</v>
      </c>
      <c r="AU13" s="30">
        <f>'Equity Volume Data'!AX13*'Equity Price Data'!BA14</f>
        <v>0</v>
      </c>
      <c r="AV13" s="30">
        <f>'Equity Volume Data'!AY13*'Equity Price Data'!BB14</f>
        <v>60859.9</v>
      </c>
      <c r="AW13" s="30">
        <f>'Equity Volume Data'!AZ13*'Equity Price Data'!BC14</f>
        <v>3791.6</v>
      </c>
      <c r="AX13" s="30">
        <f>'Equity Volume Data'!BA13*'Equity Price Data'!BD14</f>
        <v>0</v>
      </c>
      <c r="AY13" s="30">
        <f>'Equity Volume Data'!BB13*'Equity Price Data'!BE14</f>
        <v>0</v>
      </c>
      <c r="AZ13" s="30">
        <f>'Equity Volume Data'!BC13*'Equity Price Data'!BF14</f>
        <v>9157.5</v>
      </c>
      <c r="BA13" s="30">
        <f>'Equity Volume Data'!BD13*'Equity Price Data'!BG14</f>
        <v>5285.8</v>
      </c>
      <c r="BB13" s="30">
        <f>'Equity Volume Data'!BE13*'Equity Price Data'!BH14</f>
        <v>8365.6</v>
      </c>
      <c r="BC13" s="30">
        <f>'Equity Volume Data'!BF13*'Equity Price Data'!BI14</f>
        <v>0</v>
      </c>
      <c r="BD13" s="30">
        <f>'Equity Volume Data'!BG13*'Equity Price Data'!BJ14</f>
        <v>35971.44</v>
      </c>
      <c r="BE13" s="30">
        <f>'Equity Volume Data'!BH13*'Equity Price Data'!BK14</f>
        <v>13047.9</v>
      </c>
      <c r="BF13" s="30">
        <f>'Equity Volume Data'!BI13*'Equity Price Data'!BL14</f>
        <v>8558</v>
      </c>
      <c r="BG13" s="30">
        <f>'Equity Volume Data'!BJ13*'Equity Price Data'!BM14</f>
        <v>39559.4</v>
      </c>
      <c r="BH13" s="30">
        <f>'Equity Volume Data'!BK13*'Equity Price Data'!BN14</f>
        <v>1110.4</v>
      </c>
      <c r="BI13" s="30">
        <f>'Equity Volume Data'!BL13*'Equity Price Data'!BO14</f>
        <v>36140.8</v>
      </c>
      <c r="BJ13" s="30">
        <f>'Equity Volume Data'!BM13*'Equity Price Data'!BP14</f>
        <v>36354</v>
      </c>
      <c r="BK13" s="30">
        <f>'Equity Volume Data'!BN13*'Equity Price Data'!BQ14</f>
        <v>86694.22</v>
      </c>
      <c r="BL13" s="30">
        <f>'Equity Volume Data'!BO13*'Equity Price Data'!BR14</f>
        <v>484.57</v>
      </c>
      <c r="BM13" s="30">
        <f>'Equity Volume Data'!BP13*'Equity Price Data'!BS14</f>
        <v>0</v>
      </c>
      <c r="BN13" s="30">
        <f>'Equity Volume Data'!BQ13*'Equity Price Data'!BT14</f>
        <v>18965.44</v>
      </c>
      <c r="BO13" s="30">
        <f>'Equity Volume Data'!BR13*'Equity Price Data'!BU14</f>
        <v>34640</v>
      </c>
    </row>
    <row r="14">
      <c r="A14" s="25">
        <f>'Equity Price Data'!A15</f>
        <v>45442.66667</v>
      </c>
      <c r="B14" s="29">
        <f t="shared" si="1"/>
        <v>1208931.18</v>
      </c>
      <c r="C14" s="30">
        <f>'Equity Volume Data'!F14*'Equity Price Data'!I15</f>
        <v>5796.31</v>
      </c>
      <c r="D14" s="30">
        <f>'Equity Volume Data'!G14*'Equity Price Data'!J15</f>
        <v>46623.2</v>
      </c>
      <c r="E14" s="30">
        <f>'Equity Volume Data'!H14*'Equity Price Data'!K15</f>
        <v>13890.8</v>
      </c>
      <c r="F14" s="30">
        <f>'Equity Volume Data'!I14*'Equity Price Data'!L15</f>
        <v>48970.24</v>
      </c>
      <c r="G14" s="30">
        <f>'Equity Volume Data'!J14*'Equity Price Data'!M15</f>
        <v>17972.82</v>
      </c>
      <c r="H14" s="30">
        <f>'Equity Volume Data'!K14*'Equity Price Data'!N15</f>
        <v>10982.96</v>
      </c>
      <c r="I14" s="30">
        <f>'Equity Volume Data'!L14*'Equity Price Data'!O15</f>
        <v>11260</v>
      </c>
      <c r="J14" s="30">
        <f>'Equity Volume Data'!M14*'Equity Price Data'!P15</f>
        <v>41678.22</v>
      </c>
      <c r="K14" s="30">
        <f>'Equity Volume Data'!N14*'Equity Price Data'!Q15</f>
        <v>11732</v>
      </c>
      <c r="L14" s="30">
        <f>'Equity Volume Data'!O14*'Equity Price Data'!R15</f>
        <v>26628.47</v>
      </c>
      <c r="M14" s="30">
        <f>'Equity Volume Data'!P14*'Equity Price Data'!S15</f>
        <v>0</v>
      </c>
      <c r="N14" s="30">
        <f>'Equity Volume Data'!Q14*'Equity Price Data'!T15</f>
        <v>5067.2</v>
      </c>
      <c r="O14" s="30">
        <f>'Equity Volume Data'!R14*'Equity Price Data'!U15</f>
        <v>50887.5</v>
      </c>
      <c r="P14" s="30">
        <f>'Equity Volume Data'!S14*'Equity Price Data'!V15</f>
        <v>0</v>
      </c>
      <c r="Q14" s="30">
        <f>'Equity Volume Data'!T14*'Equity Price Data'!W15</f>
        <v>17614.8</v>
      </c>
      <c r="R14" s="30">
        <f>'Equity Volume Data'!U14*'Equity Price Data'!X15</f>
        <v>12660.8</v>
      </c>
      <c r="S14" s="30">
        <f>'Equity Volume Data'!V14*'Equity Price Data'!Y15</f>
        <v>29128</v>
      </c>
      <c r="T14" s="30">
        <f>'Equity Volume Data'!W14*'Equity Price Data'!Z15</f>
        <v>8602.5</v>
      </c>
      <c r="U14" s="30">
        <f>'Equity Volume Data'!X14*'Equity Price Data'!AA15</f>
        <v>16360.08</v>
      </c>
      <c r="V14" s="30">
        <f>'Equity Volume Data'!Y14*'Equity Price Data'!AB15</f>
        <v>14884.45</v>
      </c>
      <c r="W14" s="30">
        <f>'Equity Volume Data'!Z14*'Equity Price Data'!AC15</f>
        <v>9938.76</v>
      </c>
      <c r="X14" s="30">
        <f>'Equity Volume Data'!AA14*'Equity Price Data'!AD15</f>
        <v>28697.5</v>
      </c>
      <c r="Y14" s="30">
        <f>'Equity Volume Data'!AB14*'Equity Price Data'!AE15</f>
        <v>6618.3</v>
      </c>
      <c r="Z14" s="30">
        <f>'Equity Volume Data'!AC14*'Equity Price Data'!AF15</f>
        <v>8002.5</v>
      </c>
      <c r="AA14" s="30">
        <f>'Equity Volume Data'!AD14*'Equity Price Data'!AG15</f>
        <v>19378.3</v>
      </c>
      <c r="AB14" s="30">
        <f>'Equity Volume Data'!AE14*'Equity Price Data'!AH15</f>
        <v>7487.4</v>
      </c>
      <c r="AC14" s="30">
        <f>'Equity Volume Data'!AF14*'Equity Price Data'!AI15</f>
        <v>16359.2</v>
      </c>
      <c r="AD14" s="30">
        <f>'Equity Volume Data'!AG14*'Equity Price Data'!AJ15</f>
        <v>13323.6</v>
      </c>
      <c r="AE14" s="30">
        <f>'Equity Volume Data'!AH14*'Equity Price Data'!AK15</f>
        <v>8682</v>
      </c>
      <c r="AF14" s="30">
        <f>'Equity Volume Data'!AI14*'Equity Price Data'!AL15</f>
        <v>13136.4</v>
      </c>
      <c r="AG14" s="30">
        <f>'Equity Volume Data'!AJ14*'Equity Price Data'!AM15</f>
        <v>27013.8</v>
      </c>
      <c r="AH14" s="30">
        <f>'Equity Volume Data'!AK14*'Equity Price Data'!AN15</f>
        <v>32918</v>
      </c>
      <c r="AI14" s="30">
        <f>'Equity Volume Data'!AL14*'Equity Price Data'!AO15</f>
        <v>15036</v>
      </c>
      <c r="AJ14" s="30">
        <f>'Equity Volume Data'!AM14*'Equity Price Data'!AP15</f>
        <v>17321.2</v>
      </c>
      <c r="AK14" s="30">
        <f>'Equity Volume Data'!AN14*'Equity Price Data'!AQ15</f>
        <v>0</v>
      </c>
      <c r="AL14" s="30">
        <f>'Equity Volume Data'!AO14*'Equity Price Data'!AR15</f>
        <v>31892.8</v>
      </c>
      <c r="AM14" s="30">
        <f>'Equity Volume Data'!AP14*'Equity Price Data'!AS15</f>
        <v>32265.8</v>
      </c>
      <c r="AN14" s="30">
        <f>'Equity Volume Data'!AQ14*'Equity Price Data'!AT15</f>
        <v>10601.5</v>
      </c>
      <c r="AO14" s="30">
        <f>'Equity Volume Data'!AR14*'Equity Price Data'!AU15</f>
        <v>21913.64</v>
      </c>
      <c r="AP14" s="30">
        <f>'Equity Volume Data'!AS14*'Equity Price Data'!AV15</f>
        <v>20150</v>
      </c>
      <c r="AQ14" s="30">
        <f>'Equity Volume Data'!AT14*'Equity Price Data'!AW15</f>
        <v>15644.2</v>
      </c>
      <c r="AR14" s="30">
        <f>'Equity Volume Data'!AU14*'Equity Price Data'!AX15</f>
        <v>0</v>
      </c>
      <c r="AS14" s="30">
        <f>'Equity Volume Data'!AV14*'Equity Price Data'!AY15</f>
        <v>49760.4</v>
      </c>
      <c r="AT14" s="30">
        <f>'Equity Volume Data'!AW14*'Equity Price Data'!AZ15</f>
        <v>15638</v>
      </c>
      <c r="AU14" s="30">
        <f>'Equity Volume Data'!AX14*'Equity Price Data'!BA15</f>
        <v>0</v>
      </c>
      <c r="AV14" s="30">
        <f>'Equity Volume Data'!AY14*'Equity Price Data'!BB15</f>
        <v>58565</v>
      </c>
      <c r="AW14" s="30">
        <f>'Equity Volume Data'!AZ14*'Equity Price Data'!BC15</f>
        <v>3855.6</v>
      </c>
      <c r="AX14" s="30">
        <f>'Equity Volume Data'!BA14*'Equity Price Data'!BD15</f>
        <v>0</v>
      </c>
      <c r="AY14" s="30">
        <f>'Equity Volume Data'!BB14*'Equity Price Data'!BE15</f>
        <v>0</v>
      </c>
      <c r="AZ14" s="30">
        <f>'Equity Volume Data'!BC14*'Equity Price Data'!BF15</f>
        <v>9376.5</v>
      </c>
      <c r="BA14" s="30">
        <f>'Equity Volume Data'!BD14*'Equity Price Data'!BG15</f>
        <v>5358</v>
      </c>
      <c r="BB14" s="30">
        <f>'Equity Volume Data'!BE14*'Equity Price Data'!BH15</f>
        <v>8457.6</v>
      </c>
      <c r="BC14" s="30">
        <f>'Equity Volume Data'!BF14*'Equity Price Data'!BI15</f>
        <v>0</v>
      </c>
      <c r="BD14" s="30">
        <f>'Equity Volume Data'!BG14*'Equity Price Data'!BJ15</f>
        <v>36359.1</v>
      </c>
      <c r="BE14" s="30">
        <f>'Equity Volume Data'!BH14*'Equity Price Data'!BK15</f>
        <v>12943.48</v>
      </c>
      <c r="BF14" s="30">
        <f>'Equity Volume Data'!BI14*'Equity Price Data'!BL15</f>
        <v>8566.8</v>
      </c>
      <c r="BG14" s="30">
        <f>'Equity Volume Data'!BJ14*'Equity Price Data'!BM15</f>
        <v>37924.76</v>
      </c>
      <c r="BH14" s="30">
        <f>'Equity Volume Data'!BK14*'Equity Price Data'!BN15</f>
        <v>1112</v>
      </c>
      <c r="BI14" s="30">
        <f>'Equity Volume Data'!BL14*'Equity Price Data'!BO15</f>
        <v>36678.4</v>
      </c>
      <c r="BJ14" s="30">
        <f>'Equity Volume Data'!BM14*'Equity Price Data'!BP15</f>
        <v>36123.75</v>
      </c>
      <c r="BK14" s="30">
        <f>'Equity Volume Data'!BN14*'Equity Price Data'!BQ15</f>
        <v>86838.38</v>
      </c>
      <c r="BL14" s="30">
        <f>'Equity Volume Data'!BO14*'Equity Price Data'!BR15</f>
        <v>492.56</v>
      </c>
      <c r="BM14" s="30">
        <f>'Equity Volume Data'!BP14*'Equity Price Data'!BS15</f>
        <v>0</v>
      </c>
      <c r="BN14" s="30">
        <f>'Equity Volume Data'!BQ14*'Equity Price Data'!BT15</f>
        <v>19119.6</v>
      </c>
      <c r="BO14" s="30">
        <f>'Equity Volume Data'!BR14*'Equity Price Data'!BU15</f>
        <v>34640</v>
      </c>
    </row>
    <row r="15">
      <c r="A15" s="25">
        <f>'Equity Price Data'!A16</f>
        <v>45443.66667</v>
      </c>
      <c r="B15" s="29">
        <f t="shared" si="1"/>
        <v>1222862.12</v>
      </c>
      <c r="C15" s="30">
        <f>'Equity Volume Data'!F15*'Equity Price Data'!I16</f>
        <v>5781.88</v>
      </c>
      <c r="D15" s="30">
        <f>'Equity Volume Data'!G15*'Equity Price Data'!J16</f>
        <v>45874.4</v>
      </c>
      <c r="E15" s="30">
        <f>'Equity Volume Data'!H15*'Equity Price Data'!K16</f>
        <v>14384.7</v>
      </c>
      <c r="F15" s="30">
        <f>'Equity Volume Data'!I15*'Equity Price Data'!L16</f>
        <v>49216</v>
      </c>
      <c r="G15" s="30">
        <f>'Equity Volume Data'!J15*'Equity Price Data'!M16</f>
        <v>17851.64</v>
      </c>
      <c r="H15" s="30">
        <f>'Equity Volume Data'!K15*'Equity Price Data'!N16</f>
        <v>11206.68</v>
      </c>
      <c r="I15" s="30">
        <f>'Equity Volume Data'!L15*'Equity Price Data'!O16</f>
        <v>11350</v>
      </c>
      <c r="J15" s="30">
        <f>'Equity Volume Data'!M15*'Equity Price Data'!P16</f>
        <v>42268.8</v>
      </c>
      <c r="K15" s="30">
        <f>'Equity Volume Data'!N15*'Equity Price Data'!Q16</f>
        <v>11906</v>
      </c>
      <c r="L15" s="30">
        <f>'Equity Volume Data'!O15*'Equity Price Data'!R16</f>
        <v>27217.74</v>
      </c>
      <c r="M15" s="30">
        <f>'Equity Volume Data'!P15*'Equity Price Data'!S16</f>
        <v>0</v>
      </c>
      <c r="N15" s="30">
        <f>'Equity Volume Data'!Q15*'Equity Price Data'!T16</f>
        <v>5055.2</v>
      </c>
      <c r="O15" s="30">
        <f>'Equity Volume Data'!R15*'Equity Price Data'!U16</f>
        <v>50778</v>
      </c>
      <c r="P15" s="30">
        <f>'Equity Volume Data'!S15*'Equity Price Data'!V16</f>
        <v>0</v>
      </c>
      <c r="Q15" s="30">
        <f>'Equity Volume Data'!T15*'Equity Price Data'!W16</f>
        <v>18060</v>
      </c>
      <c r="R15" s="30">
        <f>'Equity Volume Data'!U15*'Equity Price Data'!X16</f>
        <v>12984</v>
      </c>
      <c r="S15" s="30">
        <f>'Equity Volume Data'!V15*'Equity Price Data'!Y16</f>
        <v>30326.56</v>
      </c>
      <c r="T15" s="30">
        <f>'Equity Volume Data'!W15*'Equity Price Data'!Z16</f>
        <v>8822.5</v>
      </c>
      <c r="U15" s="30">
        <f>'Equity Volume Data'!X15*'Equity Price Data'!AA16</f>
        <v>16613.52</v>
      </c>
      <c r="V15" s="30">
        <f>'Equity Volume Data'!Y15*'Equity Price Data'!AB16</f>
        <v>15222.55</v>
      </c>
      <c r="W15" s="30">
        <f>'Equity Volume Data'!Z15*'Equity Price Data'!AC16</f>
        <v>10028.46</v>
      </c>
      <c r="X15" s="30">
        <f>'Equity Volume Data'!AA15*'Equity Price Data'!AD16</f>
        <v>29487.5</v>
      </c>
      <c r="Y15" s="30">
        <f>'Equity Volume Data'!AB15*'Equity Price Data'!AE16</f>
        <v>6611.54</v>
      </c>
      <c r="Z15" s="30">
        <f>'Equity Volume Data'!AC15*'Equity Price Data'!AF16</f>
        <v>8133</v>
      </c>
      <c r="AA15" s="30">
        <f>'Equity Volume Data'!AD15*'Equity Price Data'!AG16</f>
        <v>19934.2</v>
      </c>
      <c r="AB15" s="30">
        <f>'Equity Volume Data'!AE15*'Equity Price Data'!AH16</f>
        <v>7618.8</v>
      </c>
      <c r="AC15" s="30">
        <f>'Equity Volume Data'!AF15*'Equity Price Data'!AI16</f>
        <v>16440</v>
      </c>
      <c r="AD15" s="30">
        <f>'Equity Volume Data'!AG15*'Equity Price Data'!AJ16</f>
        <v>13489.65</v>
      </c>
      <c r="AE15" s="30">
        <f>'Equity Volume Data'!AH15*'Equity Price Data'!AK16</f>
        <v>8998</v>
      </c>
      <c r="AF15" s="30">
        <f>'Equity Volume Data'!AI15*'Equity Price Data'!AL16</f>
        <v>13175.35</v>
      </c>
      <c r="AG15" s="30">
        <f>'Equity Volume Data'!AJ15*'Equity Price Data'!AM16</f>
        <v>27391.2</v>
      </c>
      <c r="AH15" s="30">
        <f>'Equity Volume Data'!AK15*'Equity Price Data'!AN16</f>
        <v>33487</v>
      </c>
      <c r="AI15" s="30">
        <f>'Equity Volume Data'!AL15*'Equity Price Data'!AO16</f>
        <v>15454.25</v>
      </c>
      <c r="AJ15" s="30">
        <f>'Equity Volume Data'!AM15*'Equity Price Data'!AP16</f>
        <v>17407</v>
      </c>
      <c r="AK15" s="30">
        <f>'Equity Volume Data'!AN15*'Equity Price Data'!AQ16</f>
        <v>0</v>
      </c>
      <c r="AL15" s="30">
        <f>'Equity Volume Data'!AO15*'Equity Price Data'!AR16</f>
        <v>32420.8</v>
      </c>
      <c r="AM15" s="30">
        <f>'Equity Volume Data'!AP15*'Equity Price Data'!AS16</f>
        <v>32923.8</v>
      </c>
      <c r="AN15" s="30">
        <f>'Equity Volume Data'!AQ15*'Equity Price Data'!AT16</f>
        <v>10919.65</v>
      </c>
      <c r="AO15" s="30">
        <f>'Equity Volume Data'!AR15*'Equity Price Data'!AU16</f>
        <v>22169.84</v>
      </c>
      <c r="AP15" s="30">
        <f>'Equity Volume Data'!AS15*'Equity Price Data'!AV16</f>
        <v>20342.5</v>
      </c>
      <c r="AQ15" s="30">
        <f>'Equity Volume Data'!AT15*'Equity Price Data'!AW16</f>
        <v>15921.4</v>
      </c>
      <c r="AR15" s="30">
        <f>'Equity Volume Data'!AU15*'Equity Price Data'!AX16</f>
        <v>0</v>
      </c>
      <c r="AS15" s="30">
        <f>'Equity Volume Data'!AV15*'Equity Price Data'!AY16</f>
        <v>49815.6</v>
      </c>
      <c r="AT15" s="30">
        <f>'Equity Volume Data'!AW15*'Equity Price Data'!AZ16</f>
        <v>16004</v>
      </c>
      <c r="AU15" s="30">
        <f>'Equity Volume Data'!AX15*'Equity Price Data'!BA16</f>
        <v>0</v>
      </c>
      <c r="AV15" s="30">
        <f>'Equity Volume Data'!AY15*'Equity Price Data'!BB16</f>
        <v>58103.9</v>
      </c>
      <c r="AW15" s="30">
        <f>'Equity Volume Data'!AZ15*'Equity Price Data'!BC16</f>
        <v>3968</v>
      </c>
      <c r="AX15" s="30">
        <f>'Equity Volume Data'!BA15*'Equity Price Data'!BD16</f>
        <v>0</v>
      </c>
      <c r="AY15" s="30">
        <f>'Equity Volume Data'!BB15*'Equity Price Data'!BE16</f>
        <v>0</v>
      </c>
      <c r="AZ15" s="30">
        <f>'Equity Volume Data'!BC15*'Equity Price Data'!BF16</f>
        <v>9448.5</v>
      </c>
      <c r="BA15" s="30">
        <f>'Equity Volume Data'!BD15*'Equity Price Data'!BG16</f>
        <v>5445.4</v>
      </c>
      <c r="BB15" s="30">
        <f>'Equity Volume Data'!BE15*'Equity Price Data'!BH16</f>
        <v>8624.8</v>
      </c>
      <c r="BC15" s="30">
        <f>'Equity Volume Data'!BF15*'Equity Price Data'!BI16</f>
        <v>0</v>
      </c>
      <c r="BD15" s="30">
        <f>'Equity Volume Data'!BG15*'Equity Price Data'!BJ16</f>
        <v>37266.48</v>
      </c>
      <c r="BE15" s="30">
        <f>'Equity Volume Data'!BH15*'Equity Price Data'!BK16</f>
        <v>13063.54</v>
      </c>
      <c r="BF15" s="30">
        <f>'Equity Volume Data'!BI15*'Equity Price Data'!BL16</f>
        <v>8700.4</v>
      </c>
      <c r="BG15" s="30">
        <f>'Equity Volume Data'!BJ15*'Equity Price Data'!BM16</f>
        <v>37919.2</v>
      </c>
      <c r="BH15" s="30">
        <f>'Equity Volume Data'!BK15*'Equity Price Data'!BN16</f>
        <v>1150.4</v>
      </c>
      <c r="BI15" s="30">
        <f>'Equity Volume Data'!BL15*'Equity Price Data'!BO16</f>
        <v>37251.2</v>
      </c>
      <c r="BJ15" s="30">
        <f>'Equity Volume Data'!BM15*'Equity Price Data'!BP16</f>
        <v>37152.75</v>
      </c>
      <c r="BK15" s="30">
        <f>'Equity Volume Data'!BN15*'Equity Price Data'!BQ16</f>
        <v>87000.56</v>
      </c>
      <c r="BL15" s="30">
        <f>'Equity Volume Data'!BO15*'Equity Price Data'!BR16</f>
        <v>498.2</v>
      </c>
      <c r="BM15" s="30">
        <f>'Equity Volume Data'!BP15*'Equity Price Data'!BS16</f>
        <v>0</v>
      </c>
      <c r="BN15" s="30">
        <f>'Equity Volume Data'!BQ15*'Equity Price Data'!BT16</f>
        <v>19535.08</v>
      </c>
      <c r="BO15" s="30">
        <f>'Equity Volume Data'!BR15*'Equity Price Data'!BU16</f>
        <v>34640</v>
      </c>
    </row>
    <row r="16">
      <c r="A16" s="25">
        <f>'Equity Price Data'!A17</f>
        <v>45446.66667</v>
      </c>
      <c r="B16" s="29">
        <f t="shared" si="1"/>
        <v>1221228.59</v>
      </c>
      <c r="C16" s="30">
        <f>'Equity Volume Data'!F16*'Equity Price Data'!I17</f>
        <v>5707.26</v>
      </c>
      <c r="D16" s="30">
        <f>'Equity Volume Data'!G16*'Equity Price Data'!J17</f>
        <v>46368.4</v>
      </c>
      <c r="E16" s="30">
        <f>'Equity Volume Data'!H16*'Equity Price Data'!K17</f>
        <v>14384.7</v>
      </c>
      <c r="F16" s="30">
        <f>'Equity Volume Data'!I16*'Equity Price Data'!L17</f>
        <v>49671.68</v>
      </c>
      <c r="G16" s="30">
        <f>'Equity Volume Data'!J16*'Equity Price Data'!M17</f>
        <v>17779.43</v>
      </c>
      <c r="H16" s="30">
        <f>'Equity Volume Data'!K16*'Equity Price Data'!N17</f>
        <v>11199.16</v>
      </c>
      <c r="I16" s="30">
        <f>'Equity Volume Data'!L16*'Equity Price Data'!O17</f>
        <v>11410</v>
      </c>
      <c r="J16" s="30">
        <f>'Equity Volume Data'!M16*'Equity Price Data'!P17</f>
        <v>42308.58</v>
      </c>
      <c r="K16" s="30">
        <f>'Equity Volume Data'!N16*'Equity Price Data'!Q17</f>
        <v>11876</v>
      </c>
      <c r="L16" s="30">
        <f>'Equity Volume Data'!O16*'Equity Price Data'!R17</f>
        <v>27805.8</v>
      </c>
      <c r="M16" s="30">
        <f>'Equity Volume Data'!P16*'Equity Price Data'!S17</f>
        <v>0</v>
      </c>
      <c r="N16" s="30">
        <f>'Equity Volume Data'!Q16*'Equity Price Data'!T17</f>
        <v>4959.2</v>
      </c>
      <c r="O16" s="30">
        <f>'Equity Volume Data'!R16*'Equity Price Data'!U17</f>
        <v>49704</v>
      </c>
      <c r="P16" s="30">
        <f>'Equity Volume Data'!S16*'Equity Price Data'!V17</f>
        <v>0</v>
      </c>
      <c r="Q16" s="30">
        <f>'Equity Volume Data'!T16*'Equity Price Data'!W17</f>
        <v>18128.4</v>
      </c>
      <c r="R16" s="30">
        <f>'Equity Volume Data'!U16*'Equity Price Data'!X17</f>
        <v>12596.8</v>
      </c>
      <c r="S16" s="30">
        <f>'Equity Volume Data'!V16*'Equity Price Data'!Y17</f>
        <v>30051.12</v>
      </c>
      <c r="T16" s="30">
        <f>'Equity Volume Data'!W16*'Equity Price Data'!Z17</f>
        <v>8680</v>
      </c>
      <c r="U16" s="30">
        <f>'Equity Volume Data'!X16*'Equity Price Data'!AA17</f>
        <v>16613.52</v>
      </c>
      <c r="V16" s="30">
        <f>'Equity Volume Data'!Y16*'Equity Price Data'!AB17</f>
        <v>15082.48</v>
      </c>
      <c r="W16" s="30">
        <f>'Equity Volume Data'!Z16*'Equity Price Data'!AC17</f>
        <v>9869.76</v>
      </c>
      <c r="X16" s="30">
        <f>'Equity Volume Data'!AA16*'Equity Price Data'!AD17</f>
        <v>30245</v>
      </c>
      <c r="Y16" s="30">
        <f>'Equity Volume Data'!AB16*'Equity Price Data'!AE17</f>
        <v>6798.74</v>
      </c>
      <c r="Z16" s="30">
        <f>'Equity Volume Data'!AC16*'Equity Price Data'!AF17</f>
        <v>8041.5</v>
      </c>
      <c r="AA16" s="30">
        <f>'Equity Volume Data'!AD16*'Equity Price Data'!AG17</f>
        <v>19456.5</v>
      </c>
      <c r="AB16" s="30">
        <f>'Equity Volume Data'!AE16*'Equity Price Data'!AH17</f>
        <v>7458.6</v>
      </c>
      <c r="AC16" s="30">
        <f>'Equity Volume Data'!AF16*'Equity Price Data'!AI17</f>
        <v>16362</v>
      </c>
      <c r="AD16" s="30">
        <f>'Equity Volume Data'!AG16*'Equity Price Data'!AJ17</f>
        <v>13421.7</v>
      </c>
      <c r="AE16" s="30">
        <f>'Equity Volume Data'!AH16*'Equity Price Data'!AK17</f>
        <v>9148</v>
      </c>
      <c r="AF16" s="30">
        <f>'Equity Volume Data'!AI16*'Equity Price Data'!AL17</f>
        <v>13003.15</v>
      </c>
      <c r="AG16" s="30">
        <f>'Equity Volume Data'!AJ16*'Equity Price Data'!AM17</f>
        <v>27298.8</v>
      </c>
      <c r="AH16" s="30">
        <f>'Equity Volume Data'!AK16*'Equity Price Data'!AN17</f>
        <v>32801</v>
      </c>
      <c r="AI16" s="30">
        <f>'Equity Volume Data'!AL16*'Equity Price Data'!AO17</f>
        <v>15730.75</v>
      </c>
      <c r="AJ16" s="30">
        <f>'Equity Volume Data'!AM16*'Equity Price Data'!AP17</f>
        <v>17374.5</v>
      </c>
      <c r="AK16" s="30">
        <f>'Equity Volume Data'!AN16*'Equity Price Data'!AQ17</f>
        <v>0</v>
      </c>
      <c r="AL16" s="30">
        <f>'Equity Volume Data'!AO16*'Equity Price Data'!AR17</f>
        <v>32291.2</v>
      </c>
      <c r="AM16" s="30">
        <f>'Equity Volume Data'!AP16*'Equity Price Data'!AS17</f>
        <v>32732</v>
      </c>
      <c r="AN16" s="30">
        <f>'Equity Volume Data'!AQ16*'Equity Price Data'!AT17</f>
        <v>10731.7</v>
      </c>
      <c r="AO16" s="30">
        <f>'Equity Volume Data'!AR16*'Equity Price Data'!AU17</f>
        <v>22101.52</v>
      </c>
      <c r="AP16" s="30">
        <f>'Equity Volume Data'!AS16*'Equity Price Data'!AV17</f>
        <v>20530</v>
      </c>
      <c r="AQ16" s="30">
        <f>'Equity Volume Data'!AT16*'Equity Price Data'!AW17</f>
        <v>15712.4</v>
      </c>
      <c r="AR16" s="30">
        <f>'Equity Volume Data'!AU16*'Equity Price Data'!AX17</f>
        <v>0</v>
      </c>
      <c r="AS16" s="30">
        <f>'Equity Volume Data'!AV16*'Equity Price Data'!AY17</f>
        <v>49622.4</v>
      </c>
      <c r="AT16" s="30">
        <f>'Equity Volume Data'!AW16*'Equity Price Data'!AZ17</f>
        <v>15542</v>
      </c>
      <c r="AU16" s="30">
        <f>'Equity Volume Data'!AX16*'Equity Price Data'!BA17</f>
        <v>0</v>
      </c>
      <c r="AV16" s="30">
        <f>'Equity Volume Data'!AY16*'Equity Price Data'!BB17</f>
        <v>60950</v>
      </c>
      <c r="AW16" s="30">
        <f>'Equity Volume Data'!AZ16*'Equity Price Data'!BC17</f>
        <v>3953.2</v>
      </c>
      <c r="AX16" s="30">
        <f>'Equity Volume Data'!BA16*'Equity Price Data'!BD17</f>
        <v>0</v>
      </c>
      <c r="AY16" s="30">
        <f>'Equity Volume Data'!BB16*'Equity Price Data'!BE17</f>
        <v>0</v>
      </c>
      <c r="AZ16" s="30">
        <f>'Equity Volume Data'!BC16*'Equity Price Data'!BF17</f>
        <v>9519</v>
      </c>
      <c r="BA16" s="30">
        <f>'Equity Volume Data'!BD16*'Equity Price Data'!BG17</f>
        <v>5568.9</v>
      </c>
      <c r="BB16" s="30">
        <f>'Equity Volume Data'!BE16*'Equity Price Data'!BH17</f>
        <v>8589.6</v>
      </c>
      <c r="BC16" s="30">
        <f>'Equity Volume Data'!BF16*'Equity Price Data'!BI17</f>
        <v>0</v>
      </c>
      <c r="BD16" s="30">
        <f>'Equity Volume Data'!BG16*'Equity Price Data'!BJ17</f>
        <v>36866.04</v>
      </c>
      <c r="BE16" s="30">
        <f>'Equity Volume Data'!BH16*'Equity Price Data'!BK17</f>
        <v>13100.34</v>
      </c>
      <c r="BF16" s="30">
        <f>'Equity Volume Data'!BI16*'Equity Price Data'!BL17</f>
        <v>8486.8</v>
      </c>
      <c r="BG16" s="30">
        <f>'Equity Volume Data'!BJ16*'Equity Price Data'!BM17</f>
        <v>37149.14</v>
      </c>
      <c r="BH16" s="30">
        <f>'Equity Volume Data'!BK16*'Equity Price Data'!BN17</f>
        <v>1112</v>
      </c>
      <c r="BI16" s="30">
        <f>'Equity Volume Data'!BL16*'Equity Price Data'!BO17</f>
        <v>36531.2</v>
      </c>
      <c r="BJ16" s="30">
        <f>'Equity Volume Data'!BM16*'Equity Price Data'!BP17</f>
        <v>37308</v>
      </c>
      <c r="BK16" s="30">
        <f>'Equity Volume Data'!BN16*'Equity Price Data'!BQ17</f>
        <v>87036.6</v>
      </c>
      <c r="BL16" s="30">
        <f>'Equity Volume Data'!BO16*'Equity Price Data'!BR17</f>
        <v>497.26</v>
      </c>
      <c r="BM16" s="30">
        <f>'Equity Volume Data'!BP16*'Equity Price Data'!BS17</f>
        <v>0</v>
      </c>
      <c r="BN16" s="30">
        <f>'Equity Volume Data'!BQ16*'Equity Price Data'!BT17</f>
        <v>19320.76</v>
      </c>
      <c r="BO16" s="30">
        <f>'Equity Volume Data'!BR16*'Equity Price Data'!BU17</f>
        <v>34640</v>
      </c>
    </row>
    <row r="17">
      <c r="A17" s="25">
        <f>'Equity Price Data'!A18</f>
        <v>45447.66667</v>
      </c>
      <c r="B17" s="29">
        <f t="shared" si="1"/>
        <v>1222677.5</v>
      </c>
      <c r="C17" s="30">
        <f>'Equity Volume Data'!F17*'Equity Price Data'!I18</f>
        <v>5828.81</v>
      </c>
      <c r="D17" s="30">
        <f>'Equity Volume Data'!G17*'Equity Price Data'!J18</f>
        <v>46628.4</v>
      </c>
      <c r="E17" s="30">
        <f>'Equity Volume Data'!H17*'Equity Price Data'!K18</f>
        <v>14610.2</v>
      </c>
      <c r="F17" s="30">
        <f>'Equity Volume Data'!I17*'Equity Price Data'!L18</f>
        <v>49753.6</v>
      </c>
      <c r="G17" s="30">
        <f>'Equity Volume Data'!J17*'Equity Price Data'!M18</f>
        <v>17614.26</v>
      </c>
      <c r="H17" s="30">
        <f>'Equity Volume Data'!K17*'Equity Price Data'!N18</f>
        <v>11067.56</v>
      </c>
      <c r="I17" s="30">
        <f>'Equity Volume Data'!L17*'Equity Price Data'!O18</f>
        <v>11090</v>
      </c>
      <c r="J17" s="30">
        <f>'Equity Volume Data'!M17*'Equity Price Data'!P18</f>
        <v>41772.06</v>
      </c>
      <c r="K17" s="30">
        <f>'Equity Volume Data'!N17*'Equity Price Data'!Q18</f>
        <v>11614</v>
      </c>
      <c r="L17" s="30">
        <f>'Equity Volume Data'!O17*'Equity Price Data'!R18</f>
        <v>28329.73</v>
      </c>
      <c r="M17" s="30">
        <f>'Equity Volume Data'!P17*'Equity Price Data'!S18</f>
        <v>0</v>
      </c>
      <c r="N17" s="30">
        <f>'Equity Volume Data'!Q17*'Equity Price Data'!T18</f>
        <v>4901.6</v>
      </c>
      <c r="O17" s="30">
        <f>'Equity Volume Data'!R17*'Equity Price Data'!U18</f>
        <v>49135.5</v>
      </c>
      <c r="P17" s="30">
        <f>'Equity Volume Data'!S17*'Equity Price Data'!V18</f>
        <v>0</v>
      </c>
      <c r="Q17" s="30">
        <f>'Equity Volume Data'!T17*'Equity Price Data'!W18</f>
        <v>18123.6</v>
      </c>
      <c r="R17" s="30">
        <f>'Equity Volume Data'!U17*'Equity Price Data'!X18</f>
        <v>12490.4</v>
      </c>
      <c r="S17" s="30">
        <f>'Equity Volume Data'!V17*'Equity Price Data'!Y18</f>
        <v>29661.28</v>
      </c>
      <c r="T17" s="30">
        <f>'Equity Volume Data'!W17*'Equity Price Data'!Z18</f>
        <v>8542.5</v>
      </c>
      <c r="U17" s="30">
        <f>'Equity Volume Data'!X17*'Equity Price Data'!AA18</f>
        <v>16880.16</v>
      </c>
      <c r="V17" s="30">
        <f>'Equity Volume Data'!Y17*'Equity Price Data'!AB18</f>
        <v>15088.92</v>
      </c>
      <c r="W17" s="30">
        <f>'Equity Volume Data'!Z17*'Equity Price Data'!AC18</f>
        <v>10013.28</v>
      </c>
      <c r="X17" s="30">
        <f>'Equity Volume Data'!AA17*'Equity Price Data'!AD18</f>
        <v>30075</v>
      </c>
      <c r="Y17" s="30">
        <f>'Equity Volume Data'!AB17*'Equity Price Data'!AE18</f>
        <v>6772.74</v>
      </c>
      <c r="Z17" s="30">
        <f>'Equity Volume Data'!AC17*'Equity Price Data'!AF18</f>
        <v>8062.5</v>
      </c>
      <c r="AA17" s="30">
        <f>'Equity Volume Data'!AD17*'Equity Price Data'!AG18</f>
        <v>19153.9</v>
      </c>
      <c r="AB17" s="30">
        <f>'Equity Volume Data'!AE17*'Equity Price Data'!AH18</f>
        <v>7378.5</v>
      </c>
      <c r="AC17" s="30">
        <f>'Equity Volume Data'!AF17*'Equity Price Data'!AI18</f>
        <v>16429.6</v>
      </c>
      <c r="AD17" s="30">
        <f>'Equity Volume Data'!AG17*'Equity Price Data'!AJ18</f>
        <v>13379.4</v>
      </c>
      <c r="AE17" s="30">
        <f>'Equity Volume Data'!AH17*'Equity Price Data'!AK18</f>
        <v>9052</v>
      </c>
      <c r="AF17" s="30">
        <f>'Equity Volume Data'!AI17*'Equity Price Data'!AL18</f>
        <v>13152.8</v>
      </c>
      <c r="AG17" s="30">
        <f>'Equity Volume Data'!AJ17*'Equity Price Data'!AM18</f>
        <v>27318</v>
      </c>
      <c r="AH17" s="30">
        <f>'Equity Volume Data'!AK17*'Equity Price Data'!AN18</f>
        <v>32826</v>
      </c>
      <c r="AI17" s="30">
        <f>'Equity Volume Data'!AL17*'Equity Price Data'!AO18</f>
        <v>15963.5</v>
      </c>
      <c r="AJ17" s="30">
        <f>'Equity Volume Data'!AM17*'Equity Price Data'!AP18</f>
        <v>17518.8</v>
      </c>
      <c r="AK17" s="30">
        <f>'Equity Volume Data'!AN17*'Equity Price Data'!AQ18</f>
        <v>0</v>
      </c>
      <c r="AL17" s="30">
        <f>'Equity Volume Data'!AO17*'Equity Price Data'!AR18</f>
        <v>31865.6</v>
      </c>
      <c r="AM17" s="30">
        <f>'Equity Volume Data'!AP17*'Equity Price Data'!AS18</f>
        <v>32822.3</v>
      </c>
      <c r="AN17" s="30">
        <f>'Equity Volume Data'!AQ17*'Equity Price Data'!AT18</f>
        <v>10737.3</v>
      </c>
      <c r="AO17" s="30">
        <f>'Equity Volume Data'!AR17*'Equity Price Data'!AU18</f>
        <v>22041.74</v>
      </c>
      <c r="AP17" s="30">
        <f>'Equity Volume Data'!AS17*'Equity Price Data'!AV18</f>
        <v>20817.5</v>
      </c>
      <c r="AQ17" s="30">
        <f>'Equity Volume Data'!AT17*'Equity Price Data'!AW18</f>
        <v>15468.2</v>
      </c>
      <c r="AR17" s="30">
        <f>'Equity Volume Data'!AU17*'Equity Price Data'!AX18</f>
        <v>0</v>
      </c>
      <c r="AS17" s="30">
        <f>'Equity Volume Data'!AV17*'Equity Price Data'!AY18</f>
        <v>49928.4</v>
      </c>
      <c r="AT17" s="30">
        <f>'Equity Volume Data'!AW17*'Equity Price Data'!AZ18</f>
        <v>15430</v>
      </c>
      <c r="AU17" s="30">
        <f>'Equity Volume Data'!AX17*'Equity Price Data'!BA18</f>
        <v>0</v>
      </c>
      <c r="AV17" s="30">
        <f>'Equity Volume Data'!AY17*'Equity Price Data'!BB18</f>
        <v>61713.2</v>
      </c>
      <c r="AW17" s="30">
        <f>'Equity Volume Data'!AZ17*'Equity Price Data'!BC18</f>
        <v>3968.4</v>
      </c>
      <c r="AX17" s="30">
        <f>'Equity Volume Data'!BA17*'Equity Price Data'!BD18</f>
        <v>0</v>
      </c>
      <c r="AY17" s="30">
        <f>'Equity Volume Data'!BB17*'Equity Price Data'!BE18</f>
        <v>0</v>
      </c>
      <c r="AZ17" s="30">
        <f>'Equity Volume Data'!BC17*'Equity Price Data'!BF18</f>
        <v>9499.5</v>
      </c>
      <c r="BA17" s="30">
        <f>'Equity Volume Data'!BD17*'Equity Price Data'!BG18</f>
        <v>5603.1</v>
      </c>
      <c r="BB17" s="30">
        <f>'Equity Volume Data'!BE17*'Equity Price Data'!BH18</f>
        <v>8632</v>
      </c>
      <c r="BC17" s="30">
        <f>'Equity Volume Data'!BF17*'Equity Price Data'!BI18</f>
        <v>0</v>
      </c>
      <c r="BD17" s="30">
        <f>'Equity Volume Data'!BG17*'Equity Price Data'!BJ18</f>
        <v>37894.83</v>
      </c>
      <c r="BE17" s="30">
        <f>'Equity Volume Data'!BH17*'Equity Price Data'!BK18</f>
        <v>13102.41</v>
      </c>
      <c r="BF17" s="30">
        <f>'Equity Volume Data'!BI17*'Equity Price Data'!BL18</f>
        <v>8415.2</v>
      </c>
      <c r="BG17" s="30">
        <f>'Equity Volume Data'!BJ17*'Equity Price Data'!BM18</f>
        <v>37385.44</v>
      </c>
      <c r="BH17" s="30">
        <f>'Equity Volume Data'!BK17*'Equity Price Data'!BN18</f>
        <v>1123.2</v>
      </c>
      <c r="BI17" s="30">
        <f>'Equity Volume Data'!BL17*'Equity Price Data'!BO18</f>
        <v>36419.2</v>
      </c>
      <c r="BJ17" s="30">
        <f>'Equity Volume Data'!BM17*'Equity Price Data'!BP18</f>
        <v>37911.75</v>
      </c>
      <c r="BK17" s="30">
        <f>'Equity Volume Data'!BN17*'Equity Price Data'!BQ18</f>
        <v>87108.68</v>
      </c>
      <c r="BL17" s="30">
        <f>'Equity Volume Data'!BO17*'Equity Price Data'!BR18</f>
        <v>494.91</v>
      </c>
      <c r="BM17" s="30">
        <f>'Equity Volume Data'!BP17*'Equity Price Data'!BS18</f>
        <v>0</v>
      </c>
      <c r="BN17" s="30">
        <f>'Equity Volume Data'!BQ17*'Equity Price Data'!BT18</f>
        <v>19426.04</v>
      </c>
      <c r="BO17" s="30">
        <f>'Equity Volume Data'!BR17*'Equity Price Data'!BU18</f>
        <v>34640</v>
      </c>
    </row>
    <row r="18">
      <c r="A18" s="25">
        <f>'Equity Price Data'!A19</f>
        <v>45448.66667</v>
      </c>
      <c r="B18" s="29">
        <f t="shared" si="1"/>
        <v>1229292.54</v>
      </c>
      <c r="C18" s="30">
        <f>'Equity Volume Data'!F18*'Equity Price Data'!I19</f>
        <v>5925.4</v>
      </c>
      <c r="D18" s="30">
        <f>'Equity Volume Data'!G18*'Equity Price Data'!J19</f>
        <v>47132.8</v>
      </c>
      <c r="E18" s="30">
        <f>'Equity Volume Data'!H18*'Equity Price Data'!K19</f>
        <v>14484.8</v>
      </c>
      <c r="F18" s="30">
        <f>'Equity Volume Data'!I18*'Equity Price Data'!L19</f>
        <v>50142.72</v>
      </c>
      <c r="G18" s="30">
        <f>'Equity Volume Data'!J18*'Equity Price Data'!M19</f>
        <v>18539.71</v>
      </c>
      <c r="H18" s="30">
        <f>'Equity Volume Data'!K18*'Equity Price Data'!N19</f>
        <v>11071.32</v>
      </c>
      <c r="I18" s="30">
        <f>'Equity Volume Data'!L18*'Equity Price Data'!O19</f>
        <v>11020</v>
      </c>
      <c r="J18" s="30">
        <f>'Equity Volume Data'!M18*'Equity Price Data'!P19</f>
        <v>41804.7</v>
      </c>
      <c r="K18" s="30">
        <f>'Equity Volume Data'!N18*'Equity Price Data'!Q19</f>
        <v>11724</v>
      </c>
      <c r="L18" s="30">
        <f>'Equity Volume Data'!O18*'Equity Price Data'!R19</f>
        <v>28643.12</v>
      </c>
      <c r="M18" s="30">
        <f>'Equity Volume Data'!P18*'Equity Price Data'!S19</f>
        <v>0</v>
      </c>
      <c r="N18" s="30">
        <f>'Equity Volume Data'!Q18*'Equity Price Data'!T19</f>
        <v>5053.6</v>
      </c>
      <c r="O18" s="30">
        <f>'Equity Volume Data'!R18*'Equity Price Data'!U19</f>
        <v>49417.5</v>
      </c>
      <c r="P18" s="30">
        <f>'Equity Volume Data'!S18*'Equity Price Data'!V19</f>
        <v>0</v>
      </c>
      <c r="Q18" s="30">
        <f>'Equity Volume Data'!T18*'Equity Price Data'!W19</f>
        <v>18456</v>
      </c>
      <c r="R18" s="30">
        <f>'Equity Volume Data'!U18*'Equity Price Data'!X19</f>
        <v>12398.4</v>
      </c>
      <c r="S18" s="30">
        <f>'Equity Volume Data'!V18*'Equity Price Data'!Y19</f>
        <v>29407.84</v>
      </c>
      <c r="T18" s="30">
        <f>'Equity Volume Data'!W18*'Equity Price Data'!Z19</f>
        <v>8527.5</v>
      </c>
      <c r="U18" s="30">
        <f>'Equity Volume Data'!X18*'Equity Price Data'!AA19</f>
        <v>16874.88</v>
      </c>
      <c r="V18" s="30">
        <f>'Equity Volume Data'!Y18*'Equity Price Data'!AB19</f>
        <v>14908.6</v>
      </c>
      <c r="W18" s="30">
        <f>'Equity Volume Data'!Z18*'Equity Price Data'!AC19</f>
        <v>10167.84</v>
      </c>
      <c r="X18" s="30">
        <f>'Equity Volume Data'!AA18*'Equity Price Data'!AD19</f>
        <v>28595</v>
      </c>
      <c r="Y18" s="30">
        <f>'Equity Volume Data'!AB18*'Equity Price Data'!AE19</f>
        <v>6722.3</v>
      </c>
      <c r="Z18" s="30">
        <f>'Equity Volume Data'!AC18*'Equity Price Data'!AF19</f>
        <v>7951.5</v>
      </c>
      <c r="AA18" s="30">
        <f>'Equity Volume Data'!AD18*'Equity Price Data'!AG19</f>
        <v>19230.4</v>
      </c>
      <c r="AB18" s="30">
        <f>'Equity Volume Data'!AE18*'Equity Price Data'!AH19</f>
        <v>7441.5</v>
      </c>
      <c r="AC18" s="30">
        <f>'Equity Volume Data'!AF18*'Equity Price Data'!AI19</f>
        <v>16896</v>
      </c>
      <c r="AD18" s="30">
        <f>'Equity Volume Data'!AG18*'Equity Price Data'!AJ19</f>
        <v>13475.25</v>
      </c>
      <c r="AE18" s="30">
        <f>'Equity Volume Data'!AH18*'Equity Price Data'!AK19</f>
        <v>9124</v>
      </c>
      <c r="AF18" s="30">
        <f>'Equity Volume Data'!AI18*'Equity Price Data'!AL19</f>
        <v>13095.4</v>
      </c>
      <c r="AG18" s="30">
        <f>'Equity Volume Data'!AJ18*'Equity Price Data'!AM19</f>
        <v>27700.8</v>
      </c>
      <c r="AH18" s="30">
        <f>'Equity Volume Data'!AK18*'Equity Price Data'!AN19</f>
        <v>33026</v>
      </c>
      <c r="AI18" s="30">
        <f>'Equity Volume Data'!AL18*'Equity Price Data'!AO19</f>
        <v>16535.75</v>
      </c>
      <c r="AJ18" s="30">
        <f>'Equity Volume Data'!AM18*'Equity Price Data'!AP19</f>
        <v>17594.2</v>
      </c>
      <c r="AK18" s="30">
        <f>'Equity Volume Data'!AN18*'Equity Price Data'!AQ19</f>
        <v>0</v>
      </c>
      <c r="AL18" s="30">
        <f>'Equity Volume Data'!AO18*'Equity Price Data'!AR19</f>
        <v>31561.6</v>
      </c>
      <c r="AM18" s="30">
        <f>'Equity Volume Data'!AP18*'Equity Price Data'!AS19</f>
        <v>32566.1</v>
      </c>
      <c r="AN18" s="30">
        <f>'Equity Volume Data'!AQ18*'Equity Price Data'!AT19</f>
        <v>10789.45</v>
      </c>
      <c r="AO18" s="30">
        <f>'Equity Volume Data'!AR18*'Equity Price Data'!AU19</f>
        <v>22050.28</v>
      </c>
      <c r="AP18" s="30">
        <f>'Equity Volume Data'!AS18*'Equity Price Data'!AV19</f>
        <v>20577.5</v>
      </c>
      <c r="AQ18" s="30">
        <f>'Equity Volume Data'!AT18*'Equity Price Data'!AW19</f>
        <v>15472.6</v>
      </c>
      <c r="AR18" s="30">
        <f>'Equity Volume Data'!AU18*'Equity Price Data'!AX19</f>
        <v>0</v>
      </c>
      <c r="AS18" s="30">
        <f>'Equity Volume Data'!AV18*'Equity Price Data'!AY19</f>
        <v>50881.2</v>
      </c>
      <c r="AT18" s="30">
        <f>'Equity Volume Data'!AW18*'Equity Price Data'!AZ19</f>
        <v>15410</v>
      </c>
      <c r="AU18" s="30">
        <f>'Equity Volume Data'!AX18*'Equity Price Data'!BA19</f>
        <v>0</v>
      </c>
      <c r="AV18" s="30">
        <f>'Equity Volume Data'!AY18*'Equity Price Data'!BB19</f>
        <v>64893.2</v>
      </c>
      <c r="AW18" s="30">
        <f>'Equity Volume Data'!AZ18*'Equity Price Data'!BC19</f>
        <v>4031.2</v>
      </c>
      <c r="AX18" s="30">
        <f>'Equity Volume Data'!BA18*'Equity Price Data'!BD19</f>
        <v>0</v>
      </c>
      <c r="AY18" s="30">
        <f>'Equity Volume Data'!BB18*'Equity Price Data'!BE19</f>
        <v>0</v>
      </c>
      <c r="AZ18" s="30">
        <f>'Equity Volume Data'!BC18*'Equity Price Data'!BF19</f>
        <v>9529.5</v>
      </c>
      <c r="BA18" s="30">
        <f>'Equity Volume Data'!BD18*'Equity Price Data'!BG19</f>
        <v>5614.5</v>
      </c>
      <c r="BB18" s="30">
        <f>'Equity Volume Data'!BE18*'Equity Price Data'!BH19</f>
        <v>8675.2</v>
      </c>
      <c r="BC18" s="30">
        <f>'Equity Volume Data'!BF18*'Equity Price Data'!BI19</f>
        <v>0</v>
      </c>
      <c r="BD18" s="30">
        <f>'Equity Volume Data'!BG18*'Equity Price Data'!BJ19</f>
        <v>38397.51</v>
      </c>
      <c r="BE18" s="30">
        <f>'Equity Volume Data'!BH18*'Equity Price Data'!BK19</f>
        <v>13231.44</v>
      </c>
      <c r="BF18" s="30">
        <f>'Equity Volume Data'!BI18*'Equity Price Data'!BL19</f>
        <v>8333.2</v>
      </c>
      <c r="BG18" s="30">
        <f>'Equity Volume Data'!BJ18*'Equity Price Data'!BM19</f>
        <v>37555.02</v>
      </c>
      <c r="BH18" s="30">
        <f>'Equity Volume Data'!BK18*'Equity Price Data'!BN19</f>
        <v>1100.8</v>
      </c>
      <c r="BI18" s="30">
        <f>'Equity Volume Data'!BL18*'Equity Price Data'!BO19</f>
        <v>36385.6</v>
      </c>
      <c r="BJ18" s="30">
        <f>'Equity Volume Data'!BM18*'Equity Price Data'!BP19</f>
        <v>37734</v>
      </c>
      <c r="BK18" s="30">
        <f>'Equity Volume Data'!BN18*'Equity Price Data'!BQ19</f>
        <v>87198.78</v>
      </c>
      <c r="BL18" s="30">
        <f>'Equity Volume Data'!BO18*'Equity Price Data'!BR19</f>
        <v>493.03</v>
      </c>
      <c r="BM18" s="30">
        <f>'Equity Volume Data'!BP18*'Equity Price Data'!BS19</f>
        <v>0</v>
      </c>
      <c r="BN18" s="30">
        <f>'Equity Volume Data'!BQ18*'Equity Price Data'!BT19</f>
        <v>19082</v>
      </c>
      <c r="BO18" s="30">
        <f>'Equity Volume Data'!BR18*'Equity Price Data'!BU19</f>
        <v>34640</v>
      </c>
    </row>
    <row r="19">
      <c r="A19" s="25">
        <f>'Equity Price Data'!A20</f>
        <v>45449.66667</v>
      </c>
      <c r="B19" s="29">
        <f t="shared" si="1"/>
        <v>1229206.49</v>
      </c>
      <c r="C19" s="30">
        <f>'Equity Volume Data'!F19*'Equity Price Data'!I20</f>
        <v>5955.69</v>
      </c>
      <c r="D19" s="30">
        <f>'Equity Volume Data'!G19*'Equity Price Data'!J20</f>
        <v>48100</v>
      </c>
      <c r="E19" s="30">
        <f>'Equity Volume Data'!H19*'Equity Price Data'!K20</f>
        <v>14368.2</v>
      </c>
      <c r="F19" s="30">
        <f>'Equity Volume Data'!I19*'Equity Price Data'!L20</f>
        <v>49786.88</v>
      </c>
      <c r="G19" s="30">
        <f>'Equity Volume Data'!J19*'Equity Price Data'!M20</f>
        <v>18405.25</v>
      </c>
      <c r="H19" s="30">
        <f>'Equity Volume Data'!K19*'Equity Price Data'!N20</f>
        <v>11263.08</v>
      </c>
      <c r="I19" s="30">
        <f>'Equity Volume Data'!L19*'Equity Price Data'!O20</f>
        <v>11120</v>
      </c>
      <c r="J19" s="30">
        <f>'Equity Volume Data'!M19*'Equity Price Data'!P20</f>
        <v>41930.16</v>
      </c>
      <c r="K19" s="30">
        <f>'Equity Volume Data'!N19*'Equity Price Data'!Q20</f>
        <v>11940</v>
      </c>
      <c r="L19" s="30">
        <f>'Equity Volume Data'!O19*'Equity Price Data'!R20</f>
        <v>28070.79</v>
      </c>
      <c r="M19" s="30">
        <f>'Equity Volume Data'!P19*'Equity Price Data'!S20</f>
        <v>0</v>
      </c>
      <c r="N19" s="30">
        <f>'Equity Volume Data'!Q19*'Equity Price Data'!T20</f>
        <v>4998.4</v>
      </c>
      <c r="O19" s="30">
        <f>'Equity Volume Data'!R19*'Equity Price Data'!U20</f>
        <v>49243.5</v>
      </c>
      <c r="P19" s="30">
        <f>'Equity Volume Data'!S19*'Equity Price Data'!V20</f>
        <v>0</v>
      </c>
      <c r="Q19" s="30">
        <f>'Equity Volume Data'!T19*'Equity Price Data'!W20</f>
        <v>18578.4</v>
      </c>
      <c r="R19" s="30">
        <f>'Equity Volume Data'!U19*'Equity Price Data'!X20</f>
        <v>12474.4</v>
      </c>
      <c r="S19" s="30">
        <f>'Equity Volume Data'!V19*'Equity Price Data'!Y20</f>
        <v>29736.08</v>
      </c>
      <c r="T19" s="30">
        <f>'Equity Volume Data'!W19*'Equity Price Data'!Z20</f>
        <v>8515</v>
      </c>
      <c r="U19" s="30">
        <f>'Equity Volume Data'!X19*'Equity Price Data'!AA20</f>
        <v>16935.6</v>
      </c>
      <c r="V19" s="30">
        <f>'Equity Volume Data'!Y19*'Equity Price Data'!AB20</f>
        <v>14794.29</v>
      </c>
      <c r="W19" s="30">
        <f>'Equity Volume Data'!Z19*'Equity Price Data'!AC20</f>
        <v>10151.28</v>
      </c>
      <c r="X19" s="30">
        <f>'Equity Volume Data'!AA19*'Equity Price Data'!AD20</f>
        <v>28092.5</v>
      </c>
      <c r="Y19" s="30">
        <f>'Equity Volume Data'!AB19*'Equity Price Data'!AE20</f>
        <v>6677.97</v>
      </c>
      <c r="Z19" s="30">
        <f>'Equity Volume Data'!AC19*'Equity Price Data'!AF20</f>
        <v>8008.5</v>
      </c>
      <c r="AA19" s="30">
        <f>'Equity Volume Data'!AD19*'Equity Price Data'!AG20</f>
        <v>19374.9</v>
      </c>
      <c r="AB19" s="30">
        <f>'Equity Volume Data'!AE19*'Equity Price Data'!AH20</f>
        <v>7508.1</v>
      </c>
      <c r="AC19" s="30">
        <f>'Equity Volume Data'!AF19*'Equity Price Data'!AI20</f>
        <v>16676.8</v>
      </c>
      <c r="AD19" s="30">
        <f>'Equity Volume Data'!AG19*'Equity Price Data'!AJ20</f>
        <v>13422.15</v>
      </c>
      <c r="AE19" s="30">
        <f>'Equity Volume Data'!AH19*'Equity Price Data'!AK20</f>
        <v>9122</v>
      </c>
      <c r="AF19" s="30">
        <f>'Equity Volume Data'!AI19*'Equity Price Data'!AL20</f>
        <v>13089.25</v>
      </c>
      <c r="AG19" s="30">
        <f>'Equity Volume Data'!AJ19*'Equity Price Data'!AM20</f>
        <v>27486</v>
      </c>
      <c r="AH19" s="30">
        <f>'Equity Volume Data'!AK19*'Equity Price Data'!AN20</f>
        <v>33110</v>
      </c>
      <c r="AI19" s="30">
        <f>'Equity Volume Data'!AL19*'Equity Price Data'!AO20</f>
        <v>16821</v>
      </c>
      <c r="AJ19" s="30">
        <f>'Equity Volume Data'!AM19*'Equity Price Data'!AP20</f>
        <v>17531.8</v>
      </c>
      <c r="AK19" s="30">
        <f>'Equity Volume Data'!AN19*'Equity Price Data'!AQ20</f>
        <v>0</v>
      </c>
      <c r="AL19" s="30">
        <f>'Equity Volume Data'!AO19*'Equity Price Data'!AR20</f>
        <v>31505.6</v>
      </c>
      <c r="AM19" s="30">
        <f>'Equity Volume Data'!AP19*'Equity Price Data'!AS20</f>
        <v>32803.4</v>
      </c>
      <c r="AN19" s="30">
        <f>'Equity Volume Data'!AQ19*'Equity Price Data'!AT20</f>
        <v>11306.05</v>
      </c>
      <c r="AO19" s="30">
        <f>'Equity Volume Data'!AR19*'Equity Price Data'!AU20</f>
        <v>22092.98</v>
      </c>
      <c r="AP19" s="30">
        <f>'Equity Volume Data'!AS19*'Equity Price Data'!AV20</f>
        <v>20585</v>
      </c>
      <c r="AQ19" s="30">
        <f>'Equity Volume Data'!AT19*'Equity Price Data'!AW20</f>
        <v>15408.8</v>
      </c>
      <c r="AR19" s="30">
        <f>'Equity Volume Data'!AU19*'Equity Price Data'!AX20</f>
        <v>0</v>
      </c>
      <c r="AS19" s="30">
        <f>'Equity Volume Data'!AV19*'Equity Price Data'!AY20</f>
        <v>50942.4</v>
      </c>
      <c r="AT19" s="30">
        <f>'Equity Volume Data'!AW19*'Equity Price Data'!AZ20</f>
        <v>15340</v>
      </c>
      <c r="AU19" s="30">
        <f>'Equity Volume Data'!AX19*'Equity Price Data'!BA20</f>
        <v>0</v>
      </c>
      <c r="AV19" s="30">
        <f>'Equity Volume Data'!AY19*'Equity Price Data'!BB20</f>
        <v>64130</v>
      </c>
      <c r="AW19" s="30">
        <f>'Equity Volume Data'!AZ19*'Equity Price Data'!BC20</f>
        <v>3976.4</v>
      </c>
      <c r="AX19" s="30">
        <f>'Equity Volume Data'!BA19*'Equity Price Data'!BD20</f>
        <v>0</v>
      </c>
      <c r="AY19" s="30">
        <f>'Equity Volume Data'!BB19*'Equity Price Data'!BE20</f>
        <v>0</v>
      </c>
      <c r="AZ19" s="30">
        <f>'Equity Volume Data'!BC19*'Equity Price Data'!BF20</f>
        <v>10053</v>
      </c>
      <c r="BA19" s="30">
        <f>'Equity Volume Data'!BD19*'Equity Price Data'!BG20</f>
        <v>5472</v>
      </c>
      <c r="BB19" s="30">
        <f>'Equity Volume Data'!BE19*'Equity Price Data'!BH20</f>
        <v>8654.4</v>
      </c>
      <c r="BC19" s="30">
        <f>'Equity Volume Data'!BF19*'Equity Price Data'!BI20</f>
        <v>0</v>
      </c>
      <c r="BD19" s="30">
        <f>'Equity Volume Data'!BG19*'Equity Price Data'!BJ20</f>
        <v>38291.01</v>
      </c>
      <c r="BE19" s="30">
        <f>'Equity Volume Data'!BH19*'Equity Price Data'!BK20</f>
        <v>13336.32</v>
      </c>
      <c r="BF19" s="30">
        <f>'Equity Volume Data'!BI19*'Equity Price Data'!BL20</f>
        <v>8401.6</v>
      </c>
      <c r="BG19" s="30">
        <f>'Equity Volume Data'!BJ19*'Equity Price Data'!BM20</f>
        <v>36979.56</v>
      </c>
      <c r="BH19" s="30">
        <f>'Equity Volume Data'!BK19*'Equity Price Data'!BN20</f>
        <v>1110.4</v>
      </c>
      <c r="BI19" s="30">
        <f>'Equity Volume Data'!BL19*'Equity Price Data'!BO20</f>
        <v>36529.6</v>
      </c>
      <c r="BJ19" s="30">
        <f>'Equity Volume Data'!BM19*'Equity Price Data'!BP20</f>
        <v>37644</v>
      </c>
      <c r="BK19" s="30">
        <f>'Equity Volume Data'!BN19*'Equity Price Data'!BQ20</f>
        <v>87198.78</v>
      </c>
      <c r="BL19" s="30">
        <f>'Equity Volume Data'!BO19*'Equity Price Data'!BR20</f>
        <v>489.74</v>
      </c>
      <c r="BM19" s="30">
        <f>'Equity Volume Data'!BP19*'Equity Price Data'!BS20</f>
        <v>0</v>
      </c>
      <c r="BN19" s="30">
        <f>'Equity Volume Data'!BQ19*'Equity Price Data'!BT20</f>
        <v>19027.48</v>
      </c>
      <c r="BO19" s="30">
        <f>'Equity Volume Data'!BR19*'Equity Price Data'!BU20</f>
        <v>34640</v>
      </c>
    </row>
    <row r="20">
      <c r="A20" s="25">
        <f>'Equity Price Data'!A21</f>
        <v>45450.66667</v>
      </c>
      <c r="B20" s="29">
        <f t="shared" si="1"/>
        <v>1228174.45</v>
      </c>
      <c r="C20" s="30">
        <f>'Equity Volume Data'!F20*'Equity Price Data'!I21</f>
        <v>6050.59</v>
      </c>
      <c r="D20" s="30">
        <f>'Equity Volume Data'!G20*'Equity Price Data'!J21</f>
        <v>47918</v>
      </c>
      <c r="E20" s="30">
        <f>'Equity Volume Data'!H20*'Equity Price Data'!K21</f>
        <v>14107.5</v>
      </c>
      <c r="F20" s="30">
        <f>'Equity Volume Data'!I20*'Equity Price Data'!L21</f>
        <v>50403.84</v>
      </c>
      <c r="G20" s="30">
        <f>'Equity Volume Data'!J20*'Equity Price Data'!M21</f>
        <v>18403.59</v>
      </c>
      <c r="H20" s="30">
        <f>'Equity Volume Data'!K20*'Equity Price Data'!N21</f>
        <v>11338.28</v>
      </c>
      <c r="I20" s="30">
        <f>'Equity Volume Data'!L20*'Equity Price Data'!O21</f>
        <v>11070</v>
      </c>
      <c r="J20" s="30">
        <f>'Equity Volume Data'!M20*'Equity Price Data'!P21</f>
        <v>42199.44</v>
      </c>
      <c r="K20" s="30">
        <f>'Equity Volume Data'!N20*'Equity Price Data'!Q21</f>
        <v>11638</v>
      </c>
      <c r="L20" s="30">
        <f>'Equity Volume Data'!O20*'Equity Price Data'!R21</f>
        <v>27277.03</v>
      </c>
      <c r="M20" s="30">
        <f>'Equity Volume Data'!P20*'Equity Price Data'!S21</f>
        <v>0</v>
      </c>
      <c r="N20" s="30">
        <f>'Equity Volume Data'!Q20*'Equity Price Data'!T21</f>
        <v>5016.8</v>
      </c>
      <c r="O20" s="30">
        <f>'Equity Volume Data'!R20*'Equity Price Data'!U21</f>
        <v>49341</v>
      </c>
      <c r="P20" s="30">
        <f>'Equity Volume Data'!S20*'Equity Price Data'!V21</f>
        <v>0</v>
      </c>
      <c r="Q20" s="30">
        <f>'Equity Volume Data'!T20*'Equity Price Data'!W21</f>
        <v>18769.2</v>
      </c>
      <c r="R20" s="30">
        <f>'Equity Volume Data'!U20*'Equity Price Data'!X21</f>
        <v>12486.4</v>
      </c>
      <c r="S20" s="30">
        <f>'Equity Volume Data'!V20*'Equity Price Data'!Y21</f>
        <v>29752.8</v>
      </c>
      <c r="T20" s="30">
        <f>'Equity Volume Data'!W20*'Equity Price Data'!Z21</f>
        <v>8537.5</v>
      </c>
      <c r="U20" s="30">
        <f>'Equity Volume Data'!X20*'Equity Price Data'!AA21</f>
        <v>16872.24</v>
      </c>
      <c r="V20" s="30">
        <f>'Equity Volume Data'!Y20*'Equity Price Data'!AB21</f>
        <v>14749.21</v>
      </c>
      <c r="W20" s="30">
        <f>'Equity Volume Data'!Z20*'Equity Price Data'!AC21</f>
        <v>10098.15</v>
      </c>
      <c r="X20" s="30">
        <f>'Equity Volume Data'!AA20*'Equity Price Data'!AD21</f>
        <v>27822.5</v>
      </c>
      <c r="Y20" s="30">
        <f>'Equity Volume Data'!AB20*'Equity Price Data'!AE21</f>
        <v>6676.15</v>
      </c>
      <c r="Z20" s="30">
        <f>'Equity Volume Data'!AC20*'Equity Price Data'!AF21</f>
        <v>7962</v>
      </c>
      <c r="AA20" s="30">
        <f>'Equity Volume Data'!AD20*'Equity Price Data'!AG21</f>
        <v>19167.5</v>
      </c>
      <c r="AB20" s="30">
        <f>'Equity Volume Data'!AE20*'Equity Price Data'!AH21</f>
        <v>7431.9</v>
      </c>
      <c r="AC20" s="30">
        <f>'Equity Volume Data'!AF20*'Equity Price Data'!AI21</f>
        <v>16517.2</v>
      </c>
      <c r="AD20" s="30">
        <f>'Equity Volume Data'!AG20*'Equity Price Data'!AJ21</f>
        <v>13461.3</v>
      </c>
      <c r="AE20" s="30">
        <f>'Equity Volume Data'!AH20*'Equity Price Data'!AK21</f>
        <v>9144</v>
      </c>
      <c r="AF20" s="30">
        <f>'Equity Volume Data'!AI20*'Equity Price Data'!AL21</f>
        <v>13263.5</v>
      </c>
      <c r="AG20" s="30">
        <f>'Equity Volume Data'!AJ20*'Equity Price Data'!AM21</f>
        <v>27294.6</v>
      </c>
      <c r="AH20" s="30">
        <f>'Equity Volume Data'!AK20*'Equity Price Data'!AN21</f>
        <v>32703</v>
      </c>
      <c r="AI20" s="30">
        <f>'Equity Volume Data'!AL20*'Equity Price Data'!AO21</f>
        <v>17038</v>
      </c>
      <c r="AJ20" s="30">
        <f>'Equity Volume Data'!AM20*'Equity Price Data'!AP21</f>
        <v>17392.7</v>
      </c>
      <c r="AK20" s="30">
        <f>'Equity Volume Data'!AN20*'Equity Price Data'!AQ21</f>
        <v>0</v>
      </c>
      <c r="AL20" s="30">
        <f>'Equity Volume Data'!AO20*'Equity Price Data'!AR21</f>
        <v>31992</v>
      </c>
      <c r="AM20" s="30">
        <f>'Equity Volume Data'!AP20*'Equity Price Data'!AS21</f>
        <v>32909.1</v>
      </c>
      <c r="AN20" s="30">
        <f>'Equity Volume Data'!AQ20*'Equity Price Data'!AT21</f>
        <v>11125.1</v>
      </c>
      <c r="AO20" s="30">
        <f>'Equity Volume Data'!AR20*'Equity Price Data'!AU21</f>
        <v>22075.9</v>
      </c>
      <c r="AP20" s="30">
        <f>'Equity Volume Data'!AS20*'Equity Price Data'!AV21</f>
        <v>21017.5</v>
      </c>
      <c r="AQ20" s="30">
        <f>'Equity Volume Data'!AT20*'Equity Price Data'!AW21</f>
        <v>15411</v>
      </c>
      <c r="AR20" s="30">
        <f>'Equity Volume Data'!AU20*'Equity Price Data'!AX21</f>
        <v>0</v>
      </c>
      <c r="AS20" s="30">
        <f>'Equity Volume Data'!AV20*'Equity Price Data'!AY21</f>
        <v>50862</v>
      </c>
      <c r="AT20" s="30">
        <f>'Equity Volume Data'!AW20*'Equity Price Data'!AZ21</f>
        <v>15078</v>
      </c>
      <c r="AU20" s="30">
        <f>'Equity Volume Data'!AX20*'Equity Price Data'!BA21</f>
        <v>0</v>
      </c>
      <c r="AV20" s="30">
        <f>'Equity Volume Data'!AY20*'Equity Price Data'!BB21</f>
        <v>64071.7</v>
      </c>
      <c r="AW20" s="30">
        <f>'Equity Volume Data'!AZ20*'Equity Price Data'!BC21</f>
        <v>3946.4</v>
      </c>
      <c r="AX20" s="30">
        <f>'Equity Volume Data'!BA20*'Equity Price Data'!BD21</f>
        <v>0</v>
      </c>
      <c r="AY20" s="30">
        <f>'Equity Volume Data'!BB20*'Equity Price Data'!BE21</f>
        <v>0</v>
      </c>
      <c r="AZ20" s="30">
        <f>'Equity Volume Data'!BC20*'Equity Price Data'!BF21</f>
        <v>10095</v>
      </c>
      <c r="BA20" s="30">
        <f>'Equity Volume Data'!BD20*'Equity Price Data'!BG21</f>
        <v>5430.2</v>
      </c>
      <c r="BB20" s="30">
        <f>'Equity Volume Data'!BE20*'Equity Price Data'!BH21</f>
        <v>8648.8</v>
      </c>
      <c r="BC20" s="30">
        <f>'Equity Volume Data'!BF20*'Equity Price Data'!BI21</f>
        <v>0</v>
      </c>
      <c r="BD20" s="30">
        <f>'Equity Volume Data'!BG20*'Equity Price Data'!BJ21</f>
        <v>38301.66</v>
      </c>
      <c r="BE20" s="30">
        <f>'Equity Volume Data'!BH20*'Equity Price Data'!BK21</f>
        <v>13365.07</v>
      </c>
      <c r="BF20" s="30">
        <f>'Equity Volume Data'!BI20*'Equity Price Data'!BL21</f>
        <v>8254.4</v>
      </c>
      <c r="BG20" s="30">
        <f>'Equity Volume Data'!BJ20*'Equity Price Data'!BM21</f>
        <v>38136.04</v>
      </c>
      <c r="BH20" s="30">
        <f>'Equity Volume Data'!BK20*'Equity Price Data'!BN21</f>
        <v>1105.6</v>
      </c>
      <c r="BI20" s="30">
        <f>'Equity Volume Data'!BL20*'Equity Price Data'!BO21</f>
        <v>36475.2</v>
      </c>
      <c r="BJ20" s="30">
        <f>'Equity Volume Data'!BM20*'Equity Price Data'!BP21</f>
        <v>36801.75</v>
      </c>
      <c r="BK20" s="30">
        <f>'Equity Volume Data'!BN20*'Equity Price Data'!BQ21</f>
        <v>86946.5</v>
      </c>
      <c r="BL20" s="30">
        <f>'Equity Volume Data'!BO20*'Equity Price Data'!BR21</f>
        <v>492.09</v>
      </c>
      <c r="BM20" s="30">
        <f>'Equity Volume Data'!BP20*'Equity Price Data'!BS21</f>
        <v>0</v>
      </c>
      <c r="BN20" s="30">
        <f>'Equity Volume Data'!BQ20*'Equity Price Data'!BT21</f>
        <v>19089.52</v>
      </c>
      <c r="BO20" s="30">
        <f>'Equity Volume Data'!BR20*'Equity Price Data'!BU21</f>
        <v>34640</v>
      </c>
    </row>
    <row r="21">
      <c r="A21" s="25">
        <f>'Equity Price Data'!A22</f>
        <v>45453.66667</v>
      </c>
      <c r="B21" s="29">
        <f t="shared" si="1"/>
        <v>1233642.45</v>
      </c>
      <c r="C21" s="30">
        <f>'Equity Volume Data'!F21*'Equity Price Data'!I22</f>
        <v>5979.22</v>
      </c>
      <c r="D21" s="30">
        <f>'Equity Volume Data'!G21*'Equity Price Data'!J22</f>
        <v>48635.6</v>
      </c>
      <c r="E21" s="30">
        <f>'Equity Volume Data'!H21*'Equity Price Data'!K22</f>
        <v>14141.6</v>
      </c>
      <c r="F21" s="30">
        <f>'Equity Volume Data'!I21*'Equity Price Data'!L22</f>
        <v>49438.72</v>
      </c>
      <c r="G21" s="30">
        <f>'Equity Volume Data'!J21*'Equity Price Data'!M22</f>
        <v>18937.28</v>
      </c>
      <c r="H21" s="30">
        <f>'Equity Volume Data'!K21*'Equity Price Data'!N22</f>
        <v>11419.12</v>
      </c>
      <c r="I21" s="30">
        <f>'Equity Volume Data'!L21*'Equity Price Data'!O22</f>
        <v>11050</v>
      </c>
      <c r="J21" s="30">
        <f>'Equity Volume Data'!M21*'Equity Price Data'!P22</f>
        <v>41902.62</v>
      </c>
      <c r="K21" s="30">
        <f>'Equity Volume Data'!N21*'Equity Price Data'!Q22</f>
        <v>11682</v>
      </c>
      <c r="L21" s="30">
        <f>'Equity Volume Data'!O21*'Equity Price Data'!R22</f>
        <v>27343.58</v>
      </c>
      <c r="M21" s="30">
        <f>'Equity Volume Data'!P21*'Equity Price Data'!S22</f>
        <v>0</v>
      </c>
      <c r="N21" s="30">
        <f>'Equity Volume Data'!Q21*'Equity Price Data'!T22</f>
        <v>5003.2</v>
      </c>
      <c r="O21" s="30">
        <f>'Equity Volume Data'!R21*'Equity Price Data'!U22</f>
        <v>49441.5</v>
      </c>
      <c r="P21" s="30">
        <f>'Equity Volume Data'!S21*'Equity Price Data'!V22</f>
        <v>0</v>
      </c>
      <c r="Q21" s="30">
        <f>'Equity Volume Data'!T21*'Equity Price Data'!W22</f>
        <v>18733.2</v>
      </c>
      <c r="R21" s="30">
        <f>'Equity Volume Data'!U21*'Equity Price Data'!X22</f>
        <v>12539.2</v>
      </c>
      <c r="S21" s="30">
        <f>'Equity Volume Data'!V21*'Equity Price Data'!Y22</f>
        <v>29801.2</v>
      </c>
      <c r="T21" s="30">
        <f>'Equity Volume Data'!W21*'Equity Price Data'!Z22</f>
        <v>8595</v>
      </c>
      <c r="U21" s="30">
        <f>'Equity Volume Data'!X21*'Equity Price Data'!AA22</f>
        <v>16787.76</v>
      </c>
      <c r="V21" s="30">
        <f>'Equity Volume Data'!Y21*'Equity Price Data'!AB22</f>
        <v>14863.52</v>
      </c>
      <c r="W21" s="30">
        <f>'Equity Volume Data'!Z21*'Equity Price Data'!AC22</f>
        <v>10287.21</v>
      </c>
      <c r="X21" s="30">
        <f>'Equity Volume Data'!AA21*'Equity Price Data'!AD22</f>
        <v>27547.5</v>
      </c>
      <c r="Y21" s="30">
        <f>'Equity Volume Data'!AB21*'Equity Price Data'!AE22</f>
        <v>6845.15</v>
      </c>
      <c r="Z21" s="30">
        <f>'Equity Volume Data'!AC21*'Equity Price Data'!AF22</f>
        <v>7972.5</v>
      </c>
      <c r="AA21" s="30">
        <f>'Equity Volume Data'!AD21*'Equity Price Data'!AG22</f>
        <v>19223.6</v>
      </c>
      <c r="AB21" s="30">
        <f>'Equity Volume Data'!AE21*'Equity Price Data'!AH22</f>
        <v>7611.6</v>
      </c>
      <c r="AC21" s="30">
        <f>'Equity Volume Data'!AF21*'Equity Price Data'!AI22</f>
        <v>16539.2</v>
      </c>
      <c r="AD21" s="30">
        <f>'Equity Volume Data'!AG21*'Equity Price Data'!AJ22</f>
        <v>13260.6</v>
      </c>
      <c r="AE21" s="30">
        <f>'Equity Volume Data'!AH21*'Equity Price Data'!AK22</f>
        <v>9514</v>
      </c>
      <c r="AF21" s="30">
        <f>'Equity Volume Data'!AI21*'Equity Price Data'!AL22</f>
        <v>13376.25</v>
      </c>
      <c r="AG21" s="30">
        <f>'Equity Volume Data'!AJ21*'Equity Price Data'!AM22</f>
        <v>27213</v>
      </c>
      <c r="AH21" s="30">
        <f>'Equity Volume Data'!AK21*'Equity Price Data'!AN22</f>
        <v>33256</v>
      </c>
      <c r="AI21" s="30">
        <f>'Equity Volume Data'!AL21*'Equity Price Data'!AO22</f>
        <v>17041.5</v>
      </c>
      <c r="AJ21" s="30">
        <f>'Equity Volume Data'!AM21*'Equity Price Data'!AP22</f>
        <v>17404.4</v>
      </c>
      <c r="AK21" s="30">
        <f>'Equity Volume Data'!AN21*'Equity Price Data'!AQ22</f>
        <v>0</v>
      </c>
      <c r="AL21" s="30">
        <f>'Equity Volume Data'!AO21*'Equity Price Data'!AR22</f>
        <v>31937.6</v>
      </c>
      <c r="AM21" s="30">
        <f>'Equity Volume Data'!AP21*'Equity Price Data'!AS22</f>
        <v>32722.2</v>
      </c>
      <c r="AN21" s="30">
        <f>'Equity Volume Data'!AQ21*'Equity Price Data'!AT22</f>
        <v>11139.1</v>
      </c>
      <c r="AO21" s="30">
        <f>'Equity Volume Data'!AR21*'Equity Price Data'!AU22</f>
        <v>22408.96</v>
      </c>
      <c r="AP21" s="30">
        <f>'Equity Volume Data'!AS21*'Equity Price Data'!AV22</f>
        <v>20785</v>
      </c>
      <c r="AQ21" s="30">
        <f>'Equity Volume Data'!AT21*'Equity Price Data'!AW22</f>
        <v>15459.4</v>
      </c>
      <c r="AR21" s="30">
        <f>'Equity Volume Data'!AU21*'Equity Price Data'!AX22</f>
        <v>0</v>
      </c>
      <c r="AS21" s="30">
        <f>'Equity Volume Data'!AV21*'Equity Price Data'!AY22</f>
        <v>51344.4</v>
      </c>
      <c r="AT21" s="30">
        <f>'Equity Volume Data'!AW21*'Equity Price Data'!AZ22</f>
        <v>15394</v>
      </c>
      <c r="AU21" s="30">
        <f>'Equity Volume Data'!AX21*'Equity Price Data'!BA22</f>
        <v>0</v>
      </c>
      <c r="AV21" s="30">
        <f>'Equity Volume Data'!AY21*'Equity Price Data'!BB22</f>
        <v>64548.7</v>
      </c>
      <c r="AW21" s="30">
        <f>'Equity Volume Data'!AZ21*'Equity Price Data'!BC22</f>
        <v>3910</v>
      </c>
      <c r="AX21" s="30">
        <f>'Equity Volume Data'!BA21*'Equity Price Data'!BD22</f>
        <v>0</v>
      </c>
      <c r="AY21" s="30">
        <f>'Equity Volume Data'!BB21*'Equity Price Data'!BE22</f>
        <v>0</v>
      </c>
      <c r="AZ21" s="30">
        <f>'Equity Volume Data'!BC21*'Equity Price Data'!BF22</f>
        <v>10063.5</v>
      </c>
      <c r="BA21" s="30">
        <f>'Equity Volume Data'!BD21*'Equity Price Data'!BG22</f>
        <v>5333.3</v>
      </c>
      <c r="BB21" s="30">
        <f>'Equity Volume Data'!BE21*'Equity Price Data'!BH22</f>
        <v>8567.2</v>
      </c>
      <c r="BC21" s="30">
        <f>'Equity Volume Data'!BF21*'Equity Price Data'!BI22</f>
        <v>0</v>
      </c>
      <c r="BD21" s="30">
        <f>'Equity Volume Data'!BG21*'Equity Price Data'!BJ22</f>
        <v>38486.97</v>
      </c>
      <c r="BE21" s="30">
        <f>'Equity Volume Data'!BH21*'Equity Price Data'!BK22</f>
        <v>13374.04</v>
      </c>
      <c r="BF21" s="30">
        <f>'Equity Volume Data'!BI21*'Equity Price Data'!BL22</f>
        <v>8320.8</v>
      </c>
      <c r="BG21" s="30">
        <f>'Equity Volume Data'!BJ21*'Equity Price Data'!BM22</f>
        <v>40218.26</v>
      </c>
      <c r="BH21" s="30">
        <f>'Equity Volume Data'!BK21*'Equity Price Data'!BN22</f>
        <v>1089.6</v>
      </c>
      <c r="BI21" s="30">
        <f>'Equity Volume Data'!BL21*'Equity Price Data'!BO22</f>
        <v>36632</v>
      </c>
      <c r="BJ21" s="30">
        <f>'Equity Volume Data'!BM21*'Equity Price Data'!BP22</f>
        <v>37125</v>
      </c>
      <c r="BK21" s="30">
        <f>'Equity Volume Data'!BN21*'Equity Price Data'!BQ22</f>
        <v>86946.5</v>
      </c>
      <c r="BL21" s="30">
        <f>'Equity Volume Data'!BO21*'Equity Price Data'!BR22</f>
        <v>493.97</v>
      </c>
      <c r="BM21" s="30">
        <f>'Equity Volume Data'!BP21*'Equity Price Data'!BS22</f>
        <v>0</v>
      </c>
      <c r="BN21" s="30">
        <f>'Equity Volume Data'!BQ21*'Equity Price Data'!BT22</f>
        <v>19315.12</v>
      </c>
      <c r="BO21" s="30">
        <f>'Equity Volume Data'!BR21*'Equity Price Data'!BU22</f>
        <v>34640</v>
      </c>
    </row>
    <row r="22">
      <c r="A22" s="25">
        <f>'Equity Price Data'!A23</f>
        <v>45454.66667</v>
      </c>
      <c r="B22" s="29">
        <f t="shared" si="1"/>
        <v>1228920.95</v>
      </c>
      <c r="C22" s="30">
        <f>'Equity Volume Data'!F22*'Equity Price Data'!I23</f>
        <v>6014.97</v>
      </c>
      <c r="D22" s="30">
        <f>'Equity Volume Data'!G22*'Equity Price Data'!J23</f>
        <v>48679.8</v>
      </c>
      <c r="E22" s="30">
        <f>'Equity Volume Data'!H22*'Equity Price Data'!K23</f>
        <v>14071.2</v>
      </c>
      <c r="F22" s="30">
        <f>'Equity Volume Data'!I22*'Equity Price Data'!L23</f>
        <v>53030.4</v>
      </c>
      <c r="G22" s="30">
        <f>'Equity Volume Data'!J22*'Equity Price Data'!M23</f>
        <v>19087.51</v>
      </c>
      <c r="H22" s="30">
        <f>'Equity Volume Data'!K22*'Equity Price Data'!N23</f>
        <v>11046.88</v>
      </c>
      <c r="I22" s="30">
        <f>'Equity Volume Data'!L22*'Equity Price Data'!O23</f>
        <v>10730</v>
      </c>
      <c r="J22" s="30">
        <f>'Equity Volume Data'!M22*'Equity Price Data'!P23</f>
        <v>41667</v>
      </c>
      <c r="K22" s="30">
        <f>'Equity Volume Data'!N22*'Equity Price Data'!Q23</f>
        <v>11360</v>
      </c>
      <c r="L22" s="30">
        <f>'Equity Volume Data'!O22*'Equity Price Data'!R23</f>
        <v>27314.54</v>
      </c>
      <c r="M22" s="30">
        <f>'Equity Volume Data'!P22*'Equity Price Data'!S23</f>
        <v>0</v>
      </c>
      <c r="N22" s="30">
        <f>'Equity Volume Data'!Q22*'Equity Price Data'!T23</f>
        <v>4960</v>
      </c>
      <c r="O22" s="30">
        <f>'Equity Volume Data'!R22*'Equity Price Data'!U23</f>
        <v>49096.5</v>
      </c>
      <c r="P22" s="30">
        <f>'Equity Volume Data'!S22*'Equity Price Data'!V23</f>
        <v>0</v>
      </c>
      <c r="Q22" s="30">
        <f>'Equity Volume Data'!T22*'Equity Price Data'!W23</f>
        <v>18826.8</v>
      </c>
      <c r="R22" s="30">
        <f>'Equity Volume Data'!U22*'Equity Price Data'!X23</f>
        <v>12519.2</v>
      </c>
      <c r="S22" s="30">
        <f>'Equity Volume Data'!V22*'Equity Price Data'!Y23</f>
        <v>29738.72</v>
      </c>
      <c r="T22" s="30">
        <f>'Equity Volume Data'!W22*'Equity Price Data'!Z23</f>
        <v>8492.5</v>
      </c>
      <c r="U22" s="30">
        <f>'Equity Volume Data'!X22*'Equity Price Data'!AA23</f>
        <v>16777.2</v>
      </c>
      <c r="V22" s="30">
        <f>'Equity Volume Data'!Y22*'Equity Price Data'!AB23</f>
        <v>14771.75</v>
      </c>
      <c r="W22" s="30">
        <f>'Equity Volume Data'!Z22*'Equity Price Data'!AC23</f>
        <v>10341.72</v>
      </c>
      <c r="X22" s="30">
        <f>'Equity Volume Data'!AA22*'Equity Price Data'!AD23</f>
        <v>27410</v>
      </c>
      <c r="Y22" s="30">
        <f>'Equity Volume Data'!AB22*'Equity Price Data'!AE23</f>
        <v>6863.35</v>
      </c>
      <c r="Z22" s="30">
        <f>'Equity Volume Data'!AC22*'Equity Price Data'!AF23</f>
        <v>7950</v>
      </c>
      <c r="AA22" s="30">
        <f>'Equity Volume Data'!AD22*'Equity Price Data'!AG23</f>
        <v>19068.9</v>
      </c>
      <c r="AB22" s="30">
        <f>'Equity Volume Data'!AE22*'Equity Price Data'!AH23</f>
        <v>7572.9</v>
      </c>
      <c r="AC22" s="30">
        <f>'Equity Volume Data'!AF22*'Equity Price Data'!AI23</f>
        <v>16437.6</v>
      </c>
      <c r="AD22" s="30">
        <f>'Equity Volume Data'!AG22*'Equity Price Data'!AJ23</f>
        <v>13169.25</v>
      </c>
      <c r="AE22" s="30">
        <f>'Equity Volume Data'!AH22*'Equity Price Data'!AK23</f>
        <v>9642</v>
      </c>
      <c r="AF22" s="30">
        <f>'Equity Volume Data'!AI22*'Equity Price Data'!AL23</f>
        <v>13302.45</v>
      </c>
      <c r="AG22" s="30">
        <f>'Equity Volume Data'!AJ22*'Equity Price Data'!AM23</f>
        <v>26656.2</v>
      </c>
      <c r="AH22" s="30">
        <f>'Equity Volume Data'!AK22*'Equity Price Data'!AN23</f>
        <v>33572</v>
      </c>
      <c r="AI22" s="30">
        <f>'Equity Volume Data'!AL22*'Equity Price Data'!AO23</f>
        <v>17010</v>
      </c>
      <c r="AJ22" s="30">
        <f>'Equity Volume Data'!AM22*'Equity Price Data'!AP23</f>
        <v>17496.7</v>
      </c>
      <c r="AK22" s="30">
        <f>'Equity Volume Data'!AN22*'Equity Price Data'!AQ23</f>
        <v>0</v>
      </c>
      <c r="AL22" s="30">
        <f>'Equity Volume Data'!AO22*'Equity Price Data'!AR23</f>
        <v>31097.6</v>
      </c>
      <c r="AM22" s="30">
        <f>'Equity Volume Data'!AP22*'Equity Price Data'!AS23</f>
        <v>32396</v>
      </c>
      <c r="AN22" s="30">
        <f>'Equity Volume Data'!AQ22*'Equity Price Data'!AT23</f>
        <v>11131.4</v>
      </c>
      <c r="AO22" s="30">
        <f>'Equity Volume Data'!AR22*'Equity Price Data'!AU23</f>
        <v>22007.58</v>
      </c>
      <c r="AP22" s="30">
        <f>'Equity Volume Data'!AS22*'Equity Price Data'!AV23</f>
        <v>20487.5</v>
      </c>
      <c r="AQ22" s="30">
        <f>'Equity Volume Data'!AT22*'Equity Price Data'!AW23</f>
        <v>15193.2</v>
      </c>
      <c r="AR22" s="30">
        <f>'Equity Volume Data'!AU22*'Equity Price Data'!AX23</f>
        <v>0</v>
      </c>
      <c r="AS22" s="30">
        <f>'Equity Volume Data'!AV22*'Equity Price Data'!AY23</f>
        <v>51921.6</v>
      </c>
      <c r="AT22" s="30">
        <f>'Equity Volume Data'!AW22*'Equity Price Data'!AZ23</f>
        <v>14548</v>
      </c>
      <c r="AU22" s="30">
        <f>'Equity Volume Data'!AX22*'Equity Price Data'!BA23</f>
        <v>0</v>
      </c>
      <c r="AV22" s="30">
        <f>'Equity Volume Data'!AY22*'Equity Price Data'!BB23</f>
        <v>64082.3</v>
      </c>
      <c r="AW22" s="30">
        <f>'Equity Volume Data'!AZ22*'Equity Price Data'!BC23</f>
        <v>3860</v>
      </c>
      <c r="AX22" s="30">
        <f>'Equity Volume Data'!BA22*'Equity Price Data'!BD23</f>
        <v>0</v>
      </c>
      <c r="AY22" s="30">
        <f>'Equity Volume Data'!BB22*'Equity Price Data'!BE23</f>
        <v>0</v>
      </c>
      <c r="AZ22" s="30">
        <f>'Equity Volume Data'!BC22*'Equity Price Data'!BF23</f>
        <v>9715.5</v>
      </c>
      <c r="BA22" s="30">
        <f>'Equity Volume Data'!BD22*'Equity Price Data'!BG23</f>
        <v>5325.7</v>
      </c>
      <c r="BB22" s="30">
        <f>'Equity Volume Data'!BE22*'Equity Price Data'!BH23</f>
        <v>8553.6</v>
      </c>
      <c r="BC22" s="30">
        <f>'Equity Volume Data'!BF22*'Equity Price Data'!BI23</f>
        <v>0</v>
      </c>
      <c r="BD22" s="30">
        <f>'Equity Volume Data'!BG22*'Equity Price Data'!BJ23</f>
        <v>37999.2</v>
      </c>
      <c r="BE22" s="30">
        <f>'Equity Volume Data'!BH22*'Equity Price Data'!BK23</f>
        <v>13245.47</v>
      </c>
      <c r="BF22" s="30">
        <f>'Equity Volume Data'!BI22*'Equity Price Data'!BL23</f>
        <v>8212.4</v>
      </c>
      <c r="BG22" s="30">
        <f>'Equity Volume Data'!BJ22*'Equity Price Data'!BM23</f>
        <v>38650.34</v>
      </c>
      <c r="BH22" s="30">
        <f>'Equity Volume Data'!BK22*'Equity Price Data'!BN23</f>
        <v>1091.2</v>
      </c>
      <c r="BI22" s="30">
        <f>'Equity Volume Data'!BL22*'Equity Price Data'!BO23</f>
        <v>36385.6</v>
      </c>
      <c r="BJ22" s="30">
        <f>'Equity Volume Data'!BM22*'Equity Price Data'!BP23</f>
        <v>37216.5</v>
      </c>
      <c r="BK22" s="30">
        <f>'Equity Volume Data'!BN22*'Equity Price Data'!BQ23</f>
        <v>87018.58</v>
      </c>
      <c r="BL22" s="30">
        <f>'Equity Volume Data'!BO22*'Equity Price Data'!BR23</f>
        <v>500.08</v>
      </c>
      <c r="BM22" s="30">
        <f>'Equity Volume Data'!BP22*'Equity Price Data'!BS23</f>
        <v>0</v>
      </c>
      <c r="BN22" s="30">
        <f>'Equity Volume Data'!BQ22*'Equity Price Data'!BT23</f>
        <v>18963.56</v>
      </c>
      <c r="BO22" s="30">
        <f>'Equity Volume Data'!BR22*'Equity Price Data'!BU23</f>
        <v>34640</v>
      </c>
    </row>
    <row r="23">
      <c r="A23" s="25">
        <f>'Equity Price Data'!A24</f>
        <v>45455.66667</v>
      </c>
      <c r="B23" s="29">
        <f t="shared" si="1"/>
        <v>1234959.23</v>
      </c>
      <c r="C23" s="30">
        <f>'Equity Volume Data'!F23*'Equity Price Data'!I24</f>
        <v>5978.31</v>
      </c>
      <c r="D23" s="30">
        <f>'Equity Volume Data'!G23*'Equity Price Data'!J24</f>
        <v>48591.4</v>
      </c>
      <c r="E23" s="30">
        <f>'Equity Volume Data'!H23*'Equity Price Data'!K24</f>
        <v>14094.3</v>
      </c>
      <c r="F23" s="30">
        <f>'Equity Volume Data'!I23*'Equity Price Data'!L24</f>
        <v>54545.92</v>
      </c>
      <c r="G23" s="30">
        <f>'Equity Volume Data'!J23*'Equity Price Data'!M24</f>
        <v>19724.95</v>
      </c>
      <c r="H23" s="30">
        <f>'Equity Volume Data'!K23*'Equity Price Data'!N24</f>
        <v>11018.68</v>
      </c>
      <c r="I23" s="30">
        <f>'Equity Volume Data'!L23*'Equity Price Data'!O24</f>
        <v>10770</v>
      </c>
      <c r="J23" s="30">
        <f>'Equity Volume Data'!M23*'Equity Price Data'!P24</f>
        <v>41694.54</v>
      </c>
      <c r="K23" s="30">
        <f>'Equity Volume Data'!N23*'Equity Price Data'!Q24</f>
        <v>11478</v>
      </c>
      <c r="L23" s="30">
        <f>'Equity Volume Data'!O23*'Equity Price Data'!R24</f>
        <v>27906.23</v>
      </c>
      <c r="M23" s="30">
        <f>'Equity Volume Data'!P23*'Equity Price Data'!S24</f>
        <v>0</v>
      </c>
      <c r="N23" s="30">
        <f>'Equity Volume Data'!Q23*'Equity Price Data'!T24</f>
        <v>5150.4</v>
      </c>
      <c r="O23" s="30">
        <f>'Equity Volume Data'!R23*'Equity Price Data'!U24</f>
        <v>49309.5</v>
      </c>
      <c r="P23" s="30">
        <f>'Equity Volume Data'!S23*'Equity Price Data'!V24</f>
        <v>0</v>
      </c>
      <c r="Q23" s="30">
        <f>'Equity Volume Data'!T23*'Equity Price Data'!W24</f>
        <v>18960</v>
      </c>
      <c r="R23" s="30">
        <f>'Equity Volume Data'!U23*'Equity Price Data'!X24</f>
        <v>12337.6</v>
      </c>
      <c r="S23" s="30">
        <f>'Equity Volume Data'!V23*'Equity Price Data'!Y24</f>
        <v>29572.4</v>
      </c>
      <c r="T23" s="30">
        <f>'Equity Volume Data'!W23*'Equity Price Data'!Z24</f>
        <v>8790</v>
      </c>
      <c r="U23" s="30">
        <f>'Equity Volume Data'!X23*'Equity Price Data'!AA24</f>
        <v>16600.32</v>
      </c>
      <c r="V23" s="30">
        <f>'Equity Volume Data'!Y23*'Equity Price Data'!AB24</f>
        <v>14673.54</v>
      </c>
      <c r="W23" s="30">
        <f>'Equity Volume Data'!Z23*'Equity Price Data'!AC24</f>
        <v>10321.71</v>
      </c>
      <c r="X23" s="30">
        <f>'Equity Volume Data'!AA23*'Equity Price Data'!AD24</f>
        <v>27217.5</v>
      </c>
      <c r="Y23" s="30">
        <f>'Equity Volume Data'!AB23*'Equity Price Data'!AE24</f>
        <v>6908.2</v>
      </c>
      <c r="Z23" s="30">
        <f>'Equity Volume Data'!AC23*'Equity Price Data'!AF24</f>
        <v>7978.5</v>
      </c>
      <c r="AA23" s="30">
        <f>'Equity Volume Data'!AD23*'Equity Price Data'!AG24</f>
        <v>18858.1</v>
      </c>
      <c r="AB23" s="30">
        <f>'Equity Volume Data'!AE23*'Equity Price Data'!AH24</f>
        <v>7458</v>
      </c>
      <c r="AC23" s="30">
        <f>'Equity Volume Data'!AF23*'Equity Price Data'!AI24</f>
        <v>17094.4</v>
      </c>
      <c r="AD23" s="30">
        <f>'Equity Volume Data'!AG23*'Equity Price Data'!AJ24</f>
        <v>13245.3</v>
      </c>
      <c r="AE23" s="30">
        <f>'Equity Volume Data'!AH23*'Equity Price Data'!AK24</f>
        <v>9772</v>
      </c>
      <c r="AF23" s="30">
        <f>'Equity Volume Data'!AI23*'Equity Price Data'!AL24</f>
        <v>13189.7</v>
      </c>
      <c r="AG23" s="30">
        <f>'Equity Volume Data'!AJ23*'Equity Price Data'!AM24</f>
        <v>26922</v>
      </c>
      <c r="AH23" s="30">
        <f>'Equity Volume Data'!AK23*'Equity Price Data'!AN24</f>
        <v>34414</v>
      </c>
      <c r="AI23" s="30">
        <f>'Equity Volume Data'!AL23*'Equity Price Data'!AO24</f>
        <v>17052</v>
      </c>
      <c r="AJ23" s="30">
        <f>'Equity Volume Data'!AM23*'Equity Price Data'!AP24</f>
        <v>17686.5</v>
      </c>
      <c r="AK23" s="30">
        <f>'Equity Volume Data'!AN23*'Equity Price Data'!AQ24</f>
        <v>0</v>
      </c>
      <c r="AL23" s="30">
        <f>'Equity Volume Data'!AO23*'Equity Price Data'!AR24</f>
        <v>30644.8</v>
      </c>
      <c r="AM23" s="30">
        <f>'Equity Volume Data'!AP23*'Equity Price Data'!AS24</f>
        <v>32137.7</v>
      </c>
      <c r="AN23" s="30">
        <f>'Equity Volume Data'!AQ23*'Equity Price Data'!AT24</f>
        <v>10843.35</v>
      </c>
      <c r="AO23" s="30">
        <f>'Equity Volume Data'!AR23*'Equity Price Data'!AU24</f>
        <v>22033.2</v>
      </c>
      <c r="AP23" s="30">
        <f>'Equity Volume Data'!AS23*'Equity Price Data'!AV24</f>
        <v>20557.5</v>
      </c>
      <c r="AQ23" s="30">
        <f>'Equity Volume Data'!AT23*'Equity Price Data'!AW24</f>
        <v>15184.4</v>
      </c>
      <c r="AR23" s="30">
        <f>'Equity Volume Data'!AU23*'Equity Price Data'!AX24</f>
        <v>0</v>
      </c>
      <c r="AS23" s="30">
        <f>'Equity Volume Data'!AV23*'Equity Price Data'!AY24</f>
        <v>52927.2</v>
      </c>
      <c r="AT23" s="30">
        <f>'Equity Volume Data'!AW23*'Equity Price Data'!AZ24</f>
        <v>14452</v>
      </c>
      <c r="AU23" s="30">
        <f>'Equity Volume Data'!AX23*'Equity Price Data'!BA24</f>
        <v>0</v>
      </c>
      <c r="AV23" s="30">
        <f>'Equity Volume Data'!AY23*'Equity Price Data'!BB24</f>
        <v>66356</v>
      </c>
      <c r="AW23" s="30">
        <f>'Equity Volume Data'!AZ23*'Equity Price Data'!BC24</f>
        <v>3898</v>
      </c>
      <c r="AX23" s="30">
        <f>'Equity Volume Data'!BA23*'Equity Price Data'!BD24</f>
        <v>0</v>
      </c>
      <c r="AY23" s="30">
        <f>'Equity Volume Data'!BB23*'Equity Price Data'!BE24</f>
        <v>0</v>
      </c>
      <c r="AZ23" s="30">
        <f>'Equity Volume Data'!BC23*'Equity Price Data'!BF24</f>
        <v>9514.5</v>
      </c>
      <c r="BA23" s="30">
        <f>'Equity Volume Data'!BD23*'Equity Price Data'!BG24</f>
        <v>5255.4</v>
      </c>
      <c r="BB23" s="30">
        <f>'Equity Volume Data'!BE23*'Equity Price Data'!BH24</f>
        <v>8541.6</v>
      </c>
      <c r="BC23" s="30">
        <f>'Equity Volume Data'!BF23*'Equity Price Data'!BI24</f>
        <v>0</v>
      </c>
      <c r="BD23" s="30">
        <f>'Equity Volume Data'!BG23*'Equity Price Data'!BJ24</f>
        <v>37017.27</v>
      </c>
      <c r="BE23" s="30">
        <f>'Equity Volume Data'!BH23*'Equity Price Data'!BK24</f>
        <v>13240.87</v>
      </c>
      <c r="BF23" s="30">
        <f>'Equity Volume Data'!BI23*'Equity Price Data'!BL24</f>
        <v>8226</v>
      </c>
      <c r="BG23" s="30">
        <f>'Equity Volume Data'!BJ23*'Equity Price Data'!BM24</f>
        <v>39442.64</v>
      </c>
      <c r="BH23" s="30">
        <f>'Equity Volume Data'!BK23*'Equity Price Data'!BN24</f>
        <v>1084.8</v>
      </c>
      <c r="BI23" s="30">
        <f>'Equity Volume Data'!BL23*'Equity Price Data'!BO24</f>
        <v>36235.2</v>
      </c>
      <c r="BJ23" s="30">
        <f>'Equity Volume Data'!BM23*'Equity Price Data'!BP24</f>
        <v>36980.25</v>
      </c>
      <c r="BK23" s="30">
        <f>'Equity Volume Data'!BN23*'Equity Price Data'!BQ24</f>
        <v>86982.54</v>
      </c>
      <c r="BL23" s="30">
        <f>'Equity Volume Data'!BO23*'Equity Price Data'!BR24</f>
        <v>499.61</v>
      </c>
      <c r="BM23" s="30">
        <f>'Equity Volume Data'!BP23*'Equity Price Data'!BS24</f>
        <v>0</v>
      </c>
      <c r="BN23" s="30">
        <f>'Equity Volume Data'!BQ23*'Equity Price Data'!BT24</f>
        <v>18950.4</v>
      </c>
      <c r="BO23" s="30">
        <f>'Equity Volume Data'!BR23*'Equity Price Data'!BU24</f>
        <v>34640</v>
      </c>
    </row>
    <row r="24">
      <c r="A24" s="25">
        <f>'Equity Price Data'!A25</f>
        <v>45456.66667</v>
      </c>
      <c r="B24" s="29">
        <f t="shared" si="1"/>
        <v>1233458.64</v>
      </c>
      <c r="C24" s="30">
        <f>'Equity Volume Data'!F24*'Equity Price Data'!I25</f>
        <v>5963.62</v>
      </c>
      <c r="D24" s="30">
        <f>'Equity Volume Data'!G24*'Equity Price Data'!J25</f>
        <v>47795.8</v>
      </c>
      <c r="E24" s="30">
        <f>'Equity Volume Data'!H24*'Equity Price Data'!K25</f>
        <v>14214.2</v>
      </c>
      <c r="F24" s="30">
        <f>'Equity Volume Data'!I24*'Equity Price Data'!L25</f>
        <v>54845.44</v>
      </c>
      <c r="G24" s="30">
        <f>'Equity Volume Data'!J24*'Equity Price Data'!M25</f>
        <v>19716.65</v>
      </c>
      <c r="H24" s="30">
        <f>'Equity Volume Data'!K24*'Equity Price Data'!N25</f>
        <v>10998</v>
      </c>
      <c r="I24" s="30">
        <f>'Equity Volume Data'!L24*'Equity Price Data'!O25</f>
        <v>10600</v>
      </c>
      <c r="J24" s="30">
        <f>'Equity Volume Data'!M24*'Equity Price Data'!P25</f>
        <v>41403.84</v>
      </c>
      <c r="K24" s="30">
        <f>'Equity Volume Data'!N24*'Equity Price Data'!Q25</f>
        <v>11470</v>
      </c>
      <c r="L24" s="30">
        <f>'Equity Volume Data'!O24*'Equity Price Data'!R25</f>
        <v>28294.64</v>
      </c>
      <c r="M24" s="30">
        <f>'Equity Volume Data'!P24*'Equity Price Data'!S25</f>
        <v>0</v>
      </c>
      <c r="N24" s="30">
        <f>'Equity Volume Data'!Q24*'Equity Price Data'!T25</f>
        <v>5119.2</v>
      </c>
      <c r="O24" s="30">
        <f>'Equity Volume Data'!R24*'Equity Price Data'!U25</f>
        <v>48954</v>
      </c>
      <c r="P24" s="30">
        <f>'Equity Volume Data'!S24*'Equity Price Data'!V25</f>
        <v>0</v>
      </c>
      <c r="Q24" s="30">
        <f>'Equity Volume Data'!T24*'Equity Price Data'!W25</f>
        <v>18907.2</v>
      </c>
      <c r="R24" s="30">
        <f>'Equity Volume Data'!U24*'Equity Price Data'!X25</f>
        <v>12227.2</v>
      </c>
      <c r="S24" s="30">
        <f>'Equity Volume Data'!V24*'Equity Price Data'!Y25</f>
        <v>29405.2</v>
      </c>
      <c r="T24" s="30">
        <f>'Equity Volume Data'!W24*'Equity Price Data'!Z25</f>
        <v>8622.5</v>
      </c>
      <c r="U24" s="30">
        <f>'Equity Volume Data'!X24*'Equity Price Data'!AA25</f>
        <v>16629.36</v>
      </c>
      <c r="V24" s="30">
        <f>'Equity Volume Data'!Y24*'Equity Price Data'!AB25</f>
        <v>14588.21</v>
      </c>
      <c r="W24" s="30">
        <f>'Equity Volume Data'!Z24*'Equity Price Data'!AC25</f>
        <v>10333.44</v>
      </c>
      <c r="X24" s="30">
        <f>'Equity Volume Data'!AA24*'Equity Price Data'!AD25</f>
        <v>26632.5</v>
      </c>
      <c r="Y24" s="30">
        <f>'Equity Volume Data'!AB24*'Equity Price Data'!AE25</f>
        <v>6873.75</v>
      </c>
      <c r="Z24" s="30">
        <f>'Equity Volume Data'!AC24*'Equity Price Data'!AF25</f>
        <v>8053.5</v>
      </c>
      <c r="AA24" s="30">
        <f>'Equity Volume Data'!AD24*'Equity Price Data'!AG25</f>
        <v>18706.8</v>
      </c>
      <c r="AB24" s="30">
        <f>'Equity Volume Data'!AE24*'Equity Price Data'!AH25</f>
        <v>7458</v>
      </c>
      <c r="AC24" s="30">
        <f>'Equity Volume Data'!AF24*'Equity Price Data'!AI25</f>
        <v>16667.2</v>
      </c>
      <c r="AD24" s="30">
        <f>'Equity Volume Data'!AG24*'Equity Price Data'!AJ25</f>
        <v>13163.4</v>
      </c>
      <c r="AE24" s="30">
        <f>'Equity Volume Data'!AH24*'Equity Price Data'!AK25</f>
        <v>9530</v>
      </c>
      <c r="AF24" s="30">
        <f>'Equity Volume Data'!AI24*'Equity Price Data'!AL25</f>
        <v>13029.8</v>
      </c>
      <c r="AG24" s="30">
        <f>'Equity Volume Data'!AJ24*'Equity Price Data'!AM25</f>
        <v>26781</v>
      </c>
      <c r="AH24" s="30">
        <f>'Equity Volume Data'!AK24*'Equity Price Data'!AN25</f>
        <v>34788</v>
      </c>
      <c r="AI24" s="30">
        <f>'Equity Volume Data'!AL24*'Equity Price Data'!AO25</f>
        <v>16829.75</v>
      </c>
      <c r="AJ24" s="30">
        <f>'Equity Volume Data'!AM24*'Equity Price Data'!AP25</f>
        <v>17583.8</v>
      </c>
      <c r="AK24" s="30">
        <f>'Equity Volume Data'!AN24*'Equity Price Data'!AQ25</f>
        <v>0</v>
      </c>
      <c r="AL24" s="30">
        <f>'Equity Volume Data'!AO24*'Equity Price Data'!AR25</f>
        <v>30985.6</v>
      </c>
      <c r="AM24" s="30">
        <f>'Equity Volume Data'!AP24*'Equity Price Data'!AS25</f>
        <v>32099.2</v>
      </c>
      <c r="AN24" s="30">
        <f>'Equity Volume Data'!AQ24*'Equity Price Data'!AT25</f>
        <v>10762.15</v>
      </c>
      <c r="AO24" s="30">
        <f>'Equity Volume Data'!AR24*'Equity Price Data'!AU25</f>
        <v>21503.72</v>
      </c>
      <c r="AP24" s="30">
        <f>'Equity Volume Data'!AS24*'Equity Price Data'!AV25</f>
        <v>20415</v>
      </c>
      <c r="AQ24" s="30">
        <f>'Equity Volume Data'!AT24*'Equity Price Data'!AW25</f>
        <v>15105.2</v>
      </c>
      <c r="AR24" s="30">
        <f>'Equity Volume Data'!AU24*'Equity Price Data'!AX25</f>
        <v>0</v>
      </c>
      <c r="AS24" s="30">
        <f>'Equity Volume Data'!AV24*'Equity Price Data'!AY25</f>
        <v>52989.6</v>
      </c>
      <c r="AT24" s="30">
        <f>'Equity Volume Data'!AW24*'Equity Price Data'!AZ25</f>
        <v>14636</v>
      </c>
      <c r="AU24" s="30">
        <f>'Equity Volume Data'!AX24*'Equity Price Data'!BA25</f>
        <v>0</v>
      </c>
      <c r="AV24" s="30">
        <f>'Equity Volume Data'!AY24*'Equity Price Data'!BB25</f>
        <v>68693.3</v>
      </c>
      <c r="AW24" s="30">
        <f>'Equity Volume Data'!AZ24*'Equity Price Data'!BC25</f>
        <v>3897.6</v>
      </c>
      <c r="AX24" s="30">
        <f>'Equity Volume Data'!BA24*'Equity Price Data'!BD25</f>
        <v>0</v>
      </c>
      <c r="AY24" s="30">
        <f>'Equity Volume Data'!BB24*'Equity Price Data'!BE25</f>
        <v>0</v>
      </c>
      <c r="AZ24" s="30">
        <f>'Equity Volume Data'!BC24*'Equity Price Data'!BF25</f>
        <v>9231</v>
      </c>
      <c r="BA24" s="30">
        <f>'Equity Volume Data'!BD24*'Equity Price Data'!BG25</f>
        <v>5253.5</v>
      </c>
      <c r="BB24" s="30">
        <f>'Equity Volume Data'!BE24*'Equity Price Data'!BH25</f>
        <v>8402.4</v>
      </c>
      <c r="BC24" s="30">
        <f>'Equity Volume Data'!BF24*'Equity Price Data'!BI25</f>
        <v>0</v>
      </c>
      <c r="BD24" s="30">
        <f>'Equity Volume Data'!BG24*'Equity Price Data'!BJ25</f>
        <v>37298.43</v>
      </c>
      <c r="BE24" s="30">
        <f>'Equity Volume Data'!BH24*'Equity Price Data'!BK25</f>
        <v>13170.49</v>
      </c>
      <c r="BF24" s="30">
        <f>'Equity Volume Data'!BI24*'Equity Price Data'!BL25</f>
        <v>7974</v>
      </c>
      <c r="BG24" s="30">
        <f>'Equity Volume Data'!BJ24*'Equity Price Data'!BM25</f>
        <v>39865.2</v>
      </c>
      <c r="BH24" s="30">
        <f>'Equity Volume Data'!BK24*'Equity Price Data'!BN25</f>
        <v>1081.6</v>
      </c>
      <c r="BI24" s="30">
        <f>'Equity Volume Data'!BL24*'Equity Price Data'!BO25</f>
        <v>35539.2</v>
      </c>
      <c r="BJ24" s="30">
        <f>'Equity Volume Data'!BM24*'Equity Price Data'!BP25</f>
        <v>37297.5</v>
      </c>
      <c r="BK24" s="30">
        <f>'Equity Volume Data'!BN24*'Equity Price Data'!BQ25</f>
        <v>87126.7</v>
      </c>
      <c r="BL24" s="30">
        <f>'Equity Volume Data'!BO24*'Equity Price Data'!BR25</f>
        <v>488.33</v>
      </c>
      <c r="BM24" s="30">
        <f>'Equity Volume Data'!BP24*'Equity Price Data'!BS25</f>
        <v>0</v>
      </c>
      <c r="BN24" s="30">
        <f>'Equity Volume Data'!BQ24*'Equity Price Data'!BT25</f>
        <v>18816.92</v>
      </c>
      <c r="BO24" s="30">
        <f>'Equity Volume Data'!BR24*'Equity Price Data'!BU25</f>
        <v>34640</v>
      </c>
    </row>
    <row r="25">
      <c r="A25" s="25">
        <f>'Equity Price Data'!A26</f>
        <v>45457.66667</v>
      </c>
      <c r="B25" s="29">
        <f t="shared" si="1"/>
        <v>1231315.34</v>
      </c>
      <c r="C25" s="30">
        <f>'Equity Volume Data'!F25*'Equity Price Data'!I26</f>
        <v>6829.03</v>
      </c>
      <c r="D25" s="30">
        <f>'Equity Volume Data'!G25*'Equity Price Data'!J26</f>
        <v>47751.6</v>
      </c>
      <c r="E25" s="30">
        <f>'Equity Volume Data'!H25*'Equity Price Data'!K26</f>
        <v>14223</v>
      </c>
      <c r="F25" s="30">
        <f>'Equity Volume Data'!I25*'Equity Price Data'!L26</f>
        <v>54397.44</v>
      </c>
      <c r="G25" s="30">
        <f>'Equity Volume Data'!J25*'Equity Price Data'!M26</f>
        <v>19673.49</v>
      </c>
      <c r="H25" s="30">
        <f>'Equity Volume Data'!K25*'Equity Price Data'!N26</f>
        <v>10907.76</v>
      </c>
      <c r="I25" s="30">
        <f>'Equity Volume Data'!L25*'Equity Price Data'!O26</f>
        <v>10410</v>
      </c>
      <c r="J25" s="30">
        <f>'Equity Volume Data'!M25*'Equity Price Data'!P26</f>
        <v>41365.08</v>
      </c>
      <c r="K25" s="30">
        <f>'Equity Volume Data'!N25*'Equity Price Data'!Q26</f>
        <v>11366</v>
      </c>
      <c r="L25" s="30">
        <f>'Equity Volume Data'!O25*'Equity Price Data'!R26</f>
        <v>28034.49</v>
      </c>
      <c r="M25" s="30">
        <f>'Equity Volume Data'!P25*'Equity Price Data'!S26</f>
        <v>0</v>
      </c>
      <c r="N25" s="30">
        <f>'Equity Volume Data'!Q25*'Equity Price Data'!T26</f>
        <v>5148</v>
      </c>
      <c r="O25" s="30">
        <f>'Equity Volume Data'!R25*'Equity Price Data'!U26</f>
        <v>48220.5</v>
      </c>
      <c r="P25" s="30">
        <f>'Equity Volume Data'!S25*'Equity Price Data'!V26</f>
        <v>0</v>
      </c>
      <c r="Q25" s="30">
        <f>'Equity Volume Data'!T25*'Equity Price Data'!W26</f>
        <v>18778.8</v>
      </c>
      <c r="R25" s="30">
        <f>'Equity Volume Data'!U25*'Equity Price Data'!X26</f>
        <v>12205.6</v>
      </c>
      <c r="S25" s="30">
        <f>'Equity Volume Data'!V25*'Equity Price Data'!Y26</f>
        <v>29329.52</v>
      </c>
      <c r="T25" s="30">
        <f>'Equity Volume Data'!W25*'Equity Price Data'!Z26</f>
        <v>8517.5</v>
      </c>
      <c r="U25" s="30">
        <f>'Equity Volume Data'!X25*'Equity Price Data'!AA26</f>
        <v>16513.2</v>
      </c>
      <c r="V25" s="30">
        <f>'Equity Volume Data'!Y25*'Equity Price Data'!AB26</f>
        <v>14630.07</v>
      </c>
      <c r="W25" s="30">
        <f>'Equity Volume Data'!Z25*'Equity Price Data'!AC26</f>
        <v>10344.48</v>
      </c>
      <c r="X25" s="30">
        <f>'Equity Volume Data'!AA25*'Equity Price Data'!AD26</f>
        <v>26507.5</v>
      </c>
      <c r="Y25" s="30">
        <f>'Equity Volume Data'!AB25*'Equity Price Data'!AE26</f>
        <v>6778.33</v>
      </c>
      <c r="Z25" s="30">
        <f>'Equity Volume Data'!AC25*'Equity Price Data'!AF26</f>
        <v>7819.5</v>
      </c>
      <c r="AA25" s="30">
        <f>'Equity Volume Data'!AD25*'Equity Price Data'!AG26</f>
        <v>18548.7</v>
      </c>
      <c r="AB25" s="30">
        <f>'Equity Volume Data'!AE25*'Equity Price Data'!AH26</f>
        <v>7392.9</v>
      </c>
      <c r="AC25" s="30">
        <f>'Equity Volume Data'!AF25*'Equity Price Data'!AI26</f>
        <v>16399.2</v>
      </c>
      <c r="AD25" s="30">
        <f>'Equity Volume Data'!AG25*'Equity Price Data'!AJ26</f>
        <v>13130.1</v>
      </c>
      <c r="AE25" s="30">
        <f>'Equity Volume Data'!AH25*'Equity Price Data'!AK26</f>
        <v>9354</v>
      </c>
      <c r="AF25" s="30">
        <f>'Equity Volume Data'!AI25*'Equity Price Data'!AL26</f>
        <v>13337.3</v>
      </c>
      <c r="AG25" s="30">
        <f>'Equity Volume Data'!AJ25*'Equity Price Data'!AM26</f>
        <v>26787.6</v>
      </c>
      <c r="AH25" s="30">
        <f>'Equity Volume Data'!AK25*'Equity Price Data'!AN26</f>
        <v>34684</v>
      </c>
      <c r="AI25" s="30">
        <f>'Equity Volume Data'!AL25*'Equity Price Data'!AO26</f>
        <v>16616.25</v>
      </c>
      <c r="AJ25" s="30">
        <f>'Equity Volume Data'!AM25*'Equity Price Data'!AP26</f>
        <v>17637.1</v>
      </c>
      <c r="AK25" s="30">
        <f>'Equity Volume Data'!AN25*'Equity Price Data'!AQ26</f>
        <v>0</v>
      </c>
      <c r="AL25" s="30">
        <f>'Equity Volume Data'!AO25*'Equity Price Data'!AR26</f>
        <v>31004.8</v>
      </c>
      <c r="AM25" s="30">
        <f>'Equity Volume Data'!AP25*'Equity Price Data'!AS26</f>
        <v>32083.8</v>
      </c>
      <c r="AN25" s="30">
        <f>'Equity Volume Data'!AQ25*'Equity Price Data'!AT26</f>
        <v>10710.35</v>
      </c>
      <c r="AO25" s="30">
        <f>'Equity Volume Data'!AR25*'Equity Price Data'!AU26</f>
        <v>21435.4</v>
      </c>
      <c r="AP25" s="30">
        <f>'Equity Volume Data'!AS25*'Equity Price Data'!AV26</f>
        <v>20260</v>
      </c>
      <c r="AQ25" s="30">
        <f>'Equity Volume Data'!AT25*'Equity Price Data'!AW26</f>
        <v>15081</v>
      </c>
      <c r="AR25" s="30">
        <f>'Equity Volume Data'!AU25*'Equity Price Data'!AX26</f>
        <v>0</v>
      </c>
      <c r="AS25" s="30">
        <f>'Equity Volume Data'!AV25*'Equity Price Data'!AY26</f>
        <v>53108.4</v>
      </c>
      <c r="AT25" s="30">
        <f>'Equity Volume Data'!AW25*'Equity Price Data'!AZ26</f>
        <v>14612</v>
      </c>
      <c r="AU25" s="30">
        <f>'Equity Volume Data'!AX25*'Equity Price Data'!BA26</f>
        <v>0</v>
      </c>
      <c r="AV25" s="30">
        <f>'Equity Volume Data'!AY25*'Equity Price Data'!BB26</f>
        <v>69896.4</v>
      </c>
      <c r="AW25" s="30">
        <f>'Equity Volume Data'!AZ25*'Equity Price Data'!BC26</f>
        <v>3885.2</v>
      </c>
      <c r="AX25" s="30">
        <f>'Equity Volume Data'!BA25*'Equity Price Data'!BD26</f>
        <v>0</v>
      </c>
      <c r="AY25" s="30">
        <f>'Equity Volume Data'!BB25*'Equity Price Data'!BE26</f>
        <v>0</v>
      </c>
      <c r="AZ25" s="30">
        <f>'Equity Volume Data'!BC25*'Equity Price Data'!BF26</f>
        <v>9096</v>
      </c>
      <c r="BA25" s="30">
        <f>'Equity Volume Data'!BD25*'Equity Price Data'!BG26</f>
        <v>5230.7</v>
      </c>
      <c r="BB25" s="30">
        <f>'Equity Volume Data'!BE25*'Equity Price Data'!BH26</f>
        <v>8338.4</v>
      </c>
      <c r="BC25" s="30">
        <f>'Equity Volume Data'!BF25*'Equity Price Data'!BI26</f>
        <v>0</v>
      </c>
      <c r="BD25" s="30">
        <f>'Equity Volume Data'!BG25*'Equity Price Data'!BJ26</f>
        <v>37485.87</v>
      </c>
      <c r="BE25" s="30">
        <f>'Equity Volume Data'!BH25*'Equity Price Data'!BK26</f>
        <v>13157.15</v>
      </c>
      <c r="BF25" s="30">
        <f>'Equity Volume Data'!BI25*'Equity Price Data'!BL26</f>
        <v>7885.2</v>
      </c>
      <c r="BG25" s="30">
        <f>'Equity Volume Data'!BJ25*'Equity Price Data'!BM26</f>
        <v>39478.78</v>
      </c>
      <c r="BH25" s="30">
        <f>'Equity Volume Data'!BK25*'Equity Price Data'!BN26</f>
        <v>1068.8</v>
      </c>
      <c r="BI25" s="30">
        <f>'Equity Volume Data'!BL25*'Equity Price Data'!BO26</f>
        <v>35536</v>
      </c>
      <c r="BJ25" s="30">
        <f>'Equity Volume Data'!BM25*'Equity Price Data'!BP26</f>
        <v>37284</v>
      </c>
      <c r="BK25" s="30">
        <f>'Equity Volume Data'!BN25*'Equity Price Data'!BQ26</f>
        <v>87126.7</v>
      </c>
      <c r="BL25" s="30">
        <f>'Equity Volume Data'!BO25*'Equity Price Data'!BR26</f>
        <v>477.99</v>
      </c>
      <c r="BM25" s="30">
        <f>'Equity Volume Data'!BP25*'Equity Price Data'!BS26</f>
        <v>0</v>
      </c>
      <c r="BN25" s="30">
        <f>'Equity Volume Data'!BQ25*'Equity Price Data'!BT26</f>
        <v>18794.36</v>
      </c>
      <c r="BO25" s="30">
        <f>'Equity Volume Data'!BR25*'Equity Price Data'!BU26</f>
        <v>34640</v>
      </c>
    </row>
    <row r="26">
      <c r="A26" s="25">
        <f>'Equity Price Data'!A27</f>
        <v>45460.66667</v>
      </c>
      <c r="B26" s="29">
        <f t="shared" si="1"/>
        <v>1235702.45</v>
      </c>
      <c r="C26" s="30">
        <f>'Equity Volume Data'!F26*'Equity Price Data'!I27</f>
        <v>6743.62</v>
      </c>
      <c r="D26" s="30">
        <f>'Equity Volume Data'!G26*'Equity Price Data'!J27</f>
        <v>47855.6</v>
      </c>
      <c r="E26" s="30">
        <f>'Equity Volume Data'!H26*'Equity Price Data'!K27</f>
        <v>14159.2</v>
      </c>
      <c r="F26" s="30">
        <f>'Equity Volume Data'!I26*'Equity Price Data'!L27</f>
        <v>55467.52</v>
      </c>
      <c r="G26" s="30">
        <f>'Equity Volume Data'!J26*'Equity Price Data'!M27</f>
        <v>20157.38</v>
      </c>
      <c r="H26" s="30">
        <f>'Equity Volume Data'!K26*'Equity Price Data'!N27</f>
        <v>10935.96</v>
      </c>
      <c r="I26" s="30">
        <f>'Equity Volume Data'!L26*'Equity Price Data'!O27</f>
        <v>10590</v>
      </c>
      <c r="J26" s="30">
        <f>'Equity Volume Data'!M26*'Equity Price Data'!P27</f>
        <v>41546.64</v>
      </c>
      <c r="K26" s="30">
        <f>'Equity Volume Data'!N26*'Equity Price Data'!Q27</f>
        <v>11250</v>
      </c>
      <c r="L26" s="30">
        <f>'Equity Volume Data'!O26*'Equity Price Data'!R27</f>
        <v>27401.66</v>
      </c>
      <c r="M26" s="30">
        <f>'Equity Volume Data'!P26*'Equity Price Data'!S27</f>
        <v>0</v>
      </c>
      <c r="N26" s="30">
        <f>'Equity Volume Data'!Q26*'Equity Price Data'!T27</f>
        <v>5209.6</v>
      </c>
      <c r="O26" s="30">
        <f>'Equity Volume Data'!R26*'Equity Price Data'!U27</f>
        <v>48360</v>
      </c>
      <c r="P26" s="30">
        <f>'Equity Volume Data'!S26*'Equity Price Data'!V27</f>
        <v>0</v>
      </c>
      <c r="Q26" s="30">
        <f>'Equity Volume Data'!T26*'Equity Price Data'!W27</f>
        <v>18915.6</v>
      </c>
      <c r="R26" s="30">
        <f>'Equity Volume Data'!U26*'Equity Price Data'!X27</f>
        <v>12255.2</v>
      </c>
      <c r="S26" s="30">
        <f>'Equity Volume Data'!V26*'Equity Price Data'!Y27</f>
        <v>29383.2</v>
      </c>
      <c r="T26" s="30">
        <f>'Equity Volume Data'!W26*'Equity Price Data'!Z27</f>
        <v>8625</v>
      </c>
      <c r="U26" s="30">
        <f>'Equity Volume Data'!X26*'Equity Price Data'!AA27</f>
        <v>16531.68</v>
      </c>
      <c r="V26" s="30">
        <f>'Equity Volume Data'!Y26*'Equity Price Data'!AB27</f>
        <v>14594.65</v>
      </c>
      <c r="W26" s="30">
        <f>'Equity Volume Data'!Z26*'Equity Price Data'!AC27</f>
        <v>10281.69</v>
      </c>
      <c r="X26" s="30">
        <f>'Equity Volume Data'!AA26*'Equity Price Data'!AD27</f>
        <v>27162.5</v>
      </c>
      <c r="Y26" s="30">
        <f>'Equity Volume Data'!AB26*'Equity Price Data'!AE27</f>
        <v>6918.08</v>
      </c>
      <c r="Z26" s="30">
        <f>'Equity Volume Data'!AC26*'Equity Price Data'!AF27</f>
        <v>7971</v>
      </c>
      <c r="AA26" s="30">
        <f>'Equity Volume Data'!AD26*'Equity Price Data'!AG27</f>
        <v>18421.2</v>
      </c>
      <c r="AB26" s="30">
        <f>'Equity Volume Data'!AE26*'Equity Price Data'!AH27</f>
        <v>7501.8</v>
      </c>
      <c r="AC26" s="30">
        <f>'Equity Volume Data'!AF26*'Equity Price Data'!AI27</f>
        <v>16642.4</v>
      </c>
      <c r="AD26" s="30">
        <f>'Equity Volume Data'!AG26*'Equity Price Data'!AJ27</f>
        <v>13222.35</v>
      </c>
      <c r="AE26" s="30">
        <f>'Equity Volume Data'!AH26*'Equity Price Data'!AK27</f>
        <v>9480</v>
      </c>
      <c r="AF26" s="30">
        <f>'Equity Volume Data'!AI26*'Equity Price Data'!AL27</f>
        <v>13175.35</v>
      </c>
      <c r="AG26" s="30">
        <f>'Equity Volume Data'!AJ26*'Equity Price Data'!AM27</f>
        <v>27010.8</v>
      </c>
      <c r="AH26" s="30">
        <f>'Equity Volume Data'!AK26*'Equity Price Data'!AN27</f>
        <v>34950</v>
      </c>
      <c r="AI26" s="30">
        <f>'Equity Volume Data'!AL26*'Equity Price Data'!AO27</f>
        <v>16929.5</v>
      </c>
      <c r="AJ26" s="30">
        <f>'Equity Volume Data'!AM26*'Equity Price Data'!AP27</f>
        <v>17706</v>
      </c>
      <c r="AK26" s="30">
        <f>'Equity Volume Data'!AN26*'Equity Price Data'!AQ27</f>
        <v>0</v>
      </c>
      <c r="AL26" s="30">
        <f>'Equity Volume Data'!AO26*'Equity Price Data'!AR27</f>
        <v>31196.8</v>
      </c>
      <c r="AM26" s="30">
        <f>'Equity Volume Data'!AP26*'Equity Price Data'!AS27</f>
        <v>32130.7</v>
      </c>
      <c r="AN26" s="30">
        <f>'Equity Volume Data'!AQ26*'Equity Price Data'!AT27</f>
        <v>10951.85</v>
      </c>
      <c r="AO26" s="30">
        <f>'Equity Volume Data'!AR26*'Equity Price Data'!AU27</f>
        <v>21768.46</v>
      </c>
      <c r="AP26" s="30">
        <f>'Equity Volume Data'!AS26*'Equity Price Data'!AV27</f>
        <v>19987.5</v>
      </c>
      <c r="AQ26" s="30">
        <f>'Equity Volume Data'!AT26*'Equity Price Data'!AW27</f>
        <v>15263.6</v>
      </c>
      <c r="AR26" s="30">
        <f>'Equity Volume Data'!AU26*'Equity Price Data'!AX27</f>
        <v>0</v>
      </c>
      <c r="AS26" s="30">
        <f>'Equity Volume Data'!AV26*'Equity Price Data'!AY27</f>
        <v>53804.4</v>
      </c>
      <c r="AT26" s="30">
        <f>'Equity Volume Data'!AW26*'Equity Price Data'!AZ27</f>
        <v>14462</v>
      </c>
      <c r="AU26" s="30">
        <f>'Equity Volume Data'!AX26*'Equity Price Data'!BA27</f>
        <v>0</v>
      </c>
      <c r="AV26" s="30">
        <f>'Equity Volume Data'!AY26*'Equity Price Data'!BB27</f>
        <v>69419.4</v>
      </c>
      <c r="AW26" s="30">
        <f>'Equity Volume Data'!AZ26*'Equity Price Data'!BC27</f>
        <v>3898.8</v>
      </c>
      <c r="AX26" s="30">
        <f>'Equity Volume Data'!BA26*'Equity Price Data'!BD27</f>
        <v>0</v>
      </c>
      <c r="AY26" s="30">
        <f>'Equity Volume Data'!BB26*'Equity Price Data'!BE27</f>
        <v>0</v>
      </c>
      <c r="AZ26" s="30">
        <f>'Equity Volume Data'!BC26*'Equity Price Data'!BF27</f>
        <v>9019.5</v>
      </c>
      <c r="BA26" s="30">
        <f>'Equity Volume Data'!BD26*'Equity Price Data'!BG27</f>
        <v>5126.2</v>
      </c>
      <c r="BB26" s="30">
        <f>'Equity Volume Data'!BE26*'Equity Price Data'!BH27</f>
        <v>8357.6</v>
      </c>
      <c r="BC26" s="30">
        <f>'Equity Volume Data'!BF26*'Equity Price Data'!BI27</f>
        <v>0</v>
      </c>
      <c r="BD26" s="30">
        <f>'Equity Volume Data'!BG26*'Equity Price Data'!BJ27</f>
        <v>37781.94</v>
      </c>
      <c r="BE26" s="30">
        <f>'Equity Volume Data'!BH26*'Equity Price Data'!BK27</f>
        <v>13064</v>
      </c>
      <c r="BF26" s="30">
        <f>'Equity Volume Data'!BI26*'Equity Price Data'!BL27</f>
        <v>7808</v>
      </c>
      <c r="BG26" s="30">
        <f>'Equity Volume Data'!BJ26*'Equity Price Data'!BM27</f>
        <v>39773.46</v>
      </c>
      <c r="BH26" s="30">
        <f>'Equity Volume Data'!BK26*'Equity Price Data'!BN27</f>
        <v>1110.4</v>
      </c>
      <c r="BI26" s="30">
        <f>'Equity Volume Data'!BL26*'Equity Price Data'!BO27</f>
        <v>35420.8</v>
      </c>
      <c r="BJ26" s="30">
        <f>'Equity Volume Data'!BM26*'Equity Price Data'!BP27</f>
        <v>36692.25</v>
      </c>
      <c r="BK26" s="30">
        <f>'Equity Volume Data'!BN26*'Equity Price Data'!BQ27</f>
        <v>87108.68</v>
      </c>
      <c r="BL26" s="30">
        <f>'Equity Volume Data'!BO26*'Equity Price Data'!BR27</f>
        <v>475.17</v>
      </c>
      <c r="BM26" s="30">
        <f>'Equity Volume Data'!BP26*'Equity Price Data'!BS27</f>
        <v>0</v>
      </c>
      <c r="BN26" s="30">
        <f>'Equity Volume Data'!BQ26*'Equity Price Data'!BT27</f>
        <v>19085.76</v>
      </c>
      <c r="BO26" s="30">
        <f>'Equity Volume Data'!BR26*'Equity Price Data'!BU27</f>
        <v>34640</v>
      </c>
    </row>
    <row r="27">
      <c r="A27" s="25">
        <f>'Equity Price Data'!A28</f>
        <v>45461.66667</v>
      </c>
      <c r="B27" s="29">
        <f t="shared" si="1"/>
        <v>1239728.11</v>
      </c>
      <c r="C27" s="30">
        <f>'Equity Volume Data'!F27*'Equity Price Data'!I28</f>
        <v>6789.25</v>
      </c>
      <c r="D27" s="30">
        <f>'Equity Volume Data'!G27*'Equity Price Data'!J28</f>
        <v>47530.6</v>
      </c>
      <c r="E27" s="30">
        <f>'Equity Volume Data'!H27*'Equity Price Data'!K28</f>
        <v>14351.7</v>
      </c>
      <c r="F27" s="30">
        <f>'Equity Volume Data'!I27*'Equity Price Data'!L28</f>
        <v>54858.24</v>
      </c>
      <c r="G27" s="30">
        <f>'Equity Volume Data'!J27*'Equity Price Data'!M28</f>
        <v>20569.89</v>
      </c>
      <c r="H27" s="30">
        <f>'Equity Volume Data'!K27*'Equity Price Data'!N28</f>
        <v>11031.84</v>
      </c>
      <c r="I27" s="30">
        <f>'Equity Volume Data'!L27*'Equity Price Data'!O28</f>
        <v>10560</v>
      </c>
      <c r="J27" s="30">
        <f>'Equity Volume Data'!M27*'Equity Price Data'!P28</f>
        <v>41610.9</v>
      </c>
      <c r="K27" s="30">
        <f>'Equity Volume Data'!N27*'Equity Price Data'!Q28</f>
        <v>11332</v>
      </c>
      <c r="L27" s="30">
        <f>'Equity Volume Data'!O27*'Equity Price Data'!R28</f>
        <v>27061.65</v>
      </c>
      <c r="M27" s="30">
        <f>'Equity Volume Data'!P27*'Equity Price Data'!S28</f>
        <v>0</v>
      </c>
      <c r="N27" s="30">
        <f>'Equity Volume Data'!Q27*'Equity Price Data'!T28</f>
        <v>5257.6</v>
      </c>
      <c r="O27" s="30">
        <f>'Equity Volume Data'!R27*'Equity Price Data'!U28</f>
        <v>48771</v>
      </c>
      <c r="P27" s="30">
        <f>'Equity Volume Data'!S27*'Equity Price Data'!V28</f>
        <v>0</v>
      </c>
      <c r="Q27" s="30">
        <f>'Equity Volume Data'!T27*'Equity Price Data'!W28</f>
        <v>19094.4</v>
      </c>
      <c r="R27" s="30">
        <f>'Equity Volume Data'!U27*'Equity Price Data'!X28</f>
        <v>12266.4</v>
      </c>
      <c r="S27" s="30">
        <f>'Equity Volume Data'!V27*'Equity Price Data'!Y28</f>
        <v>29462.4</v>
      </c>
      <c r="T27" s="30">
        <f>'Equity Volume Data'!W27*'Equity Price Data'!Z28</f>
        <v>8692.5</v>
      </c>
      <c r="U27" s="30">
        <f>'Equity Volume Data'!X27*'Equity Price Data'!AA28</f>
        <v>16534.32</v>
      </c>
      <c r="V27" s="30">
        <f>'Equity Volume Data'!Y27*'Equity Price Data'!AB28</f>
        <v>14552.79</v>
      </c>
      <c r="W27" s="30">
        <f>'Equity Volume Data'!Z27*'Equity Price Data'!AC28</f>
        <v>10319.64</v>
      </c>
      <c r="X27" s="30">
        <f>'Equity Volume Data'!AA27*'Equity Price Data'!AD28</f>
        <v>26810</v>
      </c>
      <c r="Y27" s="30">
        <f>'Equity Volume Data'!AB27*'Equity Price Data'!AE28</f>
        <v>6937.32</v>
      </c>
      <c r="Z27" s="30">
        <f>'Equity Volume Data'!AC27*'Equity Price Data'!AF28</f>
        <v>8182.5</v>
      </c>
      <c r="AA27" s="30">
        <f>'Equity Volume Data'!AD27*'Equity Price Data'!AG28</f>
        <v>18594.6</v>
      </c>
      <c r="AB27" s="30">
        <f>'Equity Volume Data'!AE27*'Equity Price Data'!AH28</f>
        <v>7442.7</v>
      </c>
      <c r="AC27" s="30">
        <f>'Equity Volume Data'!AF27*'Equity Price Data'!AI28</f>
        <v>16574.4</v>
      </c>
      <c r="AD27" s="30">
        <f>'Equity Volume Data'!AG27*'Equity Price Data'!AJ28</f>
        <v>13410</v>
      </c>
      <c r="AE27" s="30">
        <f>'Equity Volume Data'!AH27*'Equity Price Data'!AK28</f>
        <v>9488</v>
      </c>
      <c r="AF27" s="30">
        <f>'Equity Volume Data'!AI27*'Equity Price Data'!AL28</f>
        <v>12945.75</v>
      </c>
      <c r="AG27" s="30">
        <f>'Equity Volume Data'!AJ27*'Equity Price Data'!AM28</f>
        <v>27445.8</v>
      </c>
      <c r="AH27" s="30">
        <f>'Equity Volume Data'!AK27*'Equity Price Data'!AN28</f>
        <v>35387</v>
      </c>
      <c r="AI27" s="30">
        <f>'Equity Volume Data'!AL27*'Equity Price Data'!AO28</f>
        <v>16931.25</v>
      </c>
      <c r="AJ27" s="30">
        <f>'Equity Volume Data'!AM27*'Equity Price Data'!AP28</f>
        <v>17729.4</v>
      </c>
      <c r="AK27" s="30">
        <f>'Equity Volume Data'!AN27*'Equity Price Data'!AQ28</f>
        <v>0</v>
      </c>
      <c r="AL27" s="30">
        <f>'Equity Volume Data'!AO27*'Equity Price Data'!AR28</f>
        <v>31520</v>
      </c>
      <c r="AM27" s="30">
        <f>'Equity Volume Data'!AP27*'Equity Price Data'!AS28</f>
        <v>32200</v>
      </c>
      <c r="AN27" s="30">
        <f>'Equity Volume Data'!AQ27*'Equity Price Data'!AT28</f>
        <v>10963.05</v>
      </c>
      <c r="AO27" s="30">
        <f>'Equity Volume Data'!AR27*'Equity Price Data'!AU28</f>
        <v>21819.7</v>
      </c>
      <c r="AP27" s="30">
        <f>'Equity Volume Data'!AS27*'Equity Price Data'!AV28</f>
        <v>19937.5</v>
      </c>
      <c r="AQ27" s="30">
        <f>'Equity Volume Data'!AT27*'Equity Price Data'!AW28</f>
        <v>15369.2</v>
      </c>
      <c r="AR27" s="30">
        <f>'Equity Volume Data'!AU27*'Equity Price Data'!AX28</f>
        <v>0</v>
      </c>
      <c r="AS27" s="30">
        <f>'Equity Volume Data'!AV27*'Equity Price Data'!AY28</f>
        <v>53560.8</v>
      </c>
      <c r="AT27" s="30">
        <f>'Equity Volume Data'!AW27*'Equity Price Data'!AZ28</f>
        <v>14088</v>
      </c>
      <c r="AU27" s="30">
        <f>'Equity Volume Data'!AX27*'Equity Price Data'!BA28</f>
        <v>0</v>
      </c>
      <c r="AV27" s="30">
        <f>'Equity Volume Data'!AY27*'Equity Price Data'!BB28</f>
        <v>71857.4</v>
      </c>
      <c r="AW27" s="30">
        <f>'Equity Volume Data'!AZ27*'Equity Price Data'!BC28</f>
        <v>3860</v>
      </c>
      <c r="AX27" s="30">
        <f>'Equity Volume Data'!BA27*'Equity Price Data'!BD28</f>
        <v>0</v>
      </c>
      <c r="AY27" s="30">
        <f>'Equity Volume Data'!BB27*'Equity Price Data'!BE28</f>
        <v>0</v>
      </c>
      <c r="AZ27" s="30">
        <f>'Equity Volume Data'!BC27*'Equity Price Data'!BF28</f>
        <v>8868</v>
      </c>
      <c r="BA27" s="30">
        <f>'Equity Volume Data'!BD27*'Equity Price Data'!BG28</f>
        <v>5207.9</v>
      </c>
      <c r="BB27" s="30">
        <f>'Equity Volume Data'!BE27*'Equity Price Data'!BH28</f>
        <v>8381.6</v>
      </c>
      <c r="BC27" s="30">
        <f>'Equity Volume Data'!BF27*'Equity Price Data'!BI28</f>
        <v>0</v>
      </c>
      <c r="BD27" s="30">
        <f>'Equity Volume Data'!BG27*'Equity Price Data'!BJ28</f>
        <v>37830.93</v>
      </c>
      <c r="BE27" s="30">
        <f>'Equity Volume Data'!BH27*'Equity Price Data'!BK28</f>
        <v>13090.91</v>
      </c>
      <c r="BF27" s="30">
        <f>'Equity Volume Data'!BI27*'Equity Price Data'!BL28</f>
        <v>7765.6</v>
      </c>
      <c r="BG27" s="30">
        <f>'Equity Volume Data'!BJ27*'Equity Price Data'!BM28</f>
        <v>40576.88</v>
      </c>
      <c r="BH27" s="30">
        <f>'Equity Volume Data'!BK27*'Equity Price Data'!BN28</f>
        <v>1112</v>
      </c>
      <c r="BI27" s="30">
        <f>'Equity Volume Data'!BL27*'Equity Price Data'!BO28</f>
        <v>35612.8</v>
      </c>
      <c r="BJ27" s="30">
        <f>'Equity Volume Data'!BM27*'Equity Price Data'!BP28</f>
        <v>36078.75</v>
      </c>
      <c r="BK27" s="30">
        <f>'Equity Volume Data'!BN27*'Equity Price Data'!BQ28</f>
        <v>87306.9</v>
      </c>
      <c r="BL27" s="30">
        <f>'Equity Volume Data'!BO27*'Equity Price Data'!BR28</f>
        <v>472.35</v>
      </c>
      <c r="BM27" s="30">
        <f>'Equity Volume Data'!BP27*'Equity Price Data'!BS28</f>
        <v>0</v>
      </c>
      <c r="BN27" s="30">
        <f>'Equity Volume Data'!BQ27*'Equity Price Data'!BT28</f>
        <v>19082</v>
      </c>
      <c r="BO27" s="30">
        <f>'Equity Volume Data'!BR27*'Equity Price Data'!BU28</f>
        <v>34640</v>
      </c>
    </row>
    <row r="28">
      <c r="A28" s="25">
        <f>'Equity Price Data'!A29</f>
        <v>45463.66667</v>
      </c>
      <c r="B28" s="29">
        <f t="shared" si="1"/>
        <v>1240970.21</v>
      </c>
      <c r="C28" s="30">
        <f>'Equity Volume Data'!F28*'Equity Price Data'!I29</f>
        <v>6798.35</v>
      </c>
      <c r="D28" s="30">
        <f>'Equity Volume Data'!G28*'Equity Price Data'!J29</f>
        <v>48386</v>
      </c>
      <c r="E28" s="30">
        <f>'Equity Volume Data'!H28*'Equity Price Data'!K29</f>
        <v>14328.6</v>
      </c>
      <c r="F28" s="30">
        <f>'Equity Volume Data'!I28*'Equity Price Data'!L29</f>
        <v>53678.08</v>
      </c>
      <c r="G28" s="30">
        <f>'Equity Volume Data'!J28*'Equity Price Data'!M29</f>
        <v>19919.17</v>
      </c>
      <c r="H28" s="30">
        <f>'Equity Volume Data'!K28*'Equity Price Data'!N29</f>
        <v>11061.92</v>
      </c>
      <c r="I28" s="30">
        <f>'Equity Volume Data'!L28*'Equity Price Data'!O29</f>
        <v>10720</v>
      </c>
      <c r="J28" s="30">
        <f>'Equity Volume Data'!M28*'Equity Price Data'!P29</f>
        <v>41733.3</v>
      </c>
      <c r="K28" s="30">
        <f>'Equity Volume Data'!N28*'Equity Price Data'!Q29</f>
        <v>11442</v>
      </c>
      <c r="L28" s="30">
        <f>'Equity Volume Data'!O28*'Equity Price Data'!R29</f>
        <v>27295.18</v>
      </c>
      <c r="M28" s="30">
        <f>'Equity Volume Data'!P28*'Equity Price Data'!S29</f>
        <v>0</v>
      </c>
      <c r="N28" s="30">
        <f>'Equity Volume Data'!Q28*'Equity Price Data'!T29</f>
        <v>5137.6</v>
      </c>
      <c r="O28" s="30">
        <f>'Equity Volume Data'!R28*'Equity Price Data'!U29</f>
        <v>49369.5</v>
      </c>
      <c r="P28" s="30">
        <f>'Equity Volume Data'!S28*'Equity Price Data'!V29</f>
        <v>0</v>
      </c>
      <c r="Q28" s="30">
        <f>'Equity Volume Data'!T28*'Equity Price Data'!W29</f>
        <v>19046.4</v>
      </c>
      <c r="R28" s="30">
        <f>'Equity Volume Data'!U28*'Equity Price Data'!X29</f>
        <v>12531.2</v>
      </c>
      <c r="S28" s="30">
        <f>'Equity Volume Data'!V28*'Equity Price Data'!Y29</f>
        <v>29733.44</v>
      </c>
      <c r="T28" s="30">
        <f>'Equity Volume Data'!W28*'Equity Price Data'!Z29</f>
        <v>8670</v>
      </c>
      <c r="U28" s="30">
        <f>'Equity Volume Data'!X28*'Equity Price Data'!AA29</f>
        <v>16415.52</v>
      </c>
      <c r="V28" s="30">
        <f>'Equity Volume Data'!Y28*'Equity Price Data'!AB29</f>
        <v>14575.33</v>
      </c>
      <c r="W28" s="30">
        <f>'Equity Volume Data'!Z28*'Equity Price Data'!AC29</f>
        <v>10204.41</v>
      </c>
      <c r="X28" s="30">
        <f>'Equity Volume Data'!AA28*'Equity Price Data'!AD29</f>
        <v>26895</v>
      </c>
      <c r="Y28" s="30">
        <f>'Equity Volume Data'!AB28*'Equity Price Data'!AE29</f>
        <v>6825</v>
      </c>
      <c r="Z28" s="30">
        <f>'Equity Volume Data'!AC28*'Equity Price Data'!AF29</f>
        <v>8076</v>
      </c>
      <c r="AA28" s="30">
        <f>'Equity Volume Data'!AD28*'Equity Price Data'!AG29</f>
        <v>18995.8</v>
      </c>
      <c r="AB28" s="30">
        <f>'Equity Volume Data'!AE28*'Equity Price Data'!AH29</f>
        <v>7575.6</v>
      </c>
      <c r="AC28" s="30">
        <f>'Equity Volume Data'!AF28*'Equity Price Data'!AI29</f>
        <v>16803.6</v>
      </c>
      <c r="AD28" s="30">
        <f>'Equity Volume Data'!AG28*'Equity Price Data'!AJ29</f>
        <v>13483.35</v>
      </c>
      <c r="AE28" s="30">
        <f>'Equity Volume Data'!AH28*'Equity Price Data'!AK29</f>
        <v>9554</v>
      </c>
      <c r="AF28" s="30">
        <f>'Equity Volume Data'!AI28*'Equity Price Data'!AL29</f>
        <v>14040.45</v>
      </c>
      <c r="AG28" s="30">
        <f>'Equity Volume Data'!AJ28*'Equity Price Data'!AM29</f>
        <v>27483</v>
      </c>
      <c r="AH28" s="30">
        <f>'Equity Volume Data'!AK28*'Equity Price Data'!AN29</f>
        <v>35344</v>
      </c>
      <c r="AI28" s="30">
        <f>'Equity Volume Data'!AL28*'Equity Price Data'!AO29</f>
        <v>16980.25</v>
      </c>
      <c r="AJ28" s="30">
        <f>'Equity Volume Data'!AM28*'Equity Price Data'!AP29</f>
        <v>17824.3</v>
      </c>
      <c r="AK28" s="30">
        <f>'Equity Volume Data'!AN28*'Equity Price Data'!AQ29</f>
        <v>0</v>
      </c>
      <c r="AL28" s="30">
        <f>'Equity Volume Data'!AO28*'Equity Price Data'!AR29</f>
        <v>31787.2</v>
      </c>
      <c r="AM28" s="30">
        <f>'Equity Volume Data'!AP28*'Equity Price Data'!AS29</f>
        <v>32643.8</v>
      </c>
      <c r="AN28" s="30">
        <f>'Equity Volume Data'!AQ28*'Equity Price Data'!AT29</f>
        <v>10876.95</v>
      </c>
      <c r="AO28" s="30">
        <f>'Equity Volume Data'!AR28*'Equity Price Data'!AU29</f>
        <v>21981.96</v>
      </c>
      <c r="AP28" s="30">
        <f>'Equity Volume Data'!AS28*'Equity Price Data'!AV29</f>
        <v>20042.5</v>
      </c>
      <c r="AQ28" s="30">
        <f>'Equity Volume Data'!AT28*'Equity Price Data'!AW29</f>
        <v>15587</v>
      </c>
      <c r="AR28" s="30">
        <f>'Equity Volume Data'!AU28*'Equity Price Data'!AX29</f>
        <v>0</v>
      </c>
      <c r="AS28" s="30">
        <f>'Equity Volume Data'!AV28*'Equity Price Data'!AY29</f>
        <v>53484</v>
      </c>
      <c r="AT28" s="30">
        <f>'Equity Volume Data'!AW28*'Equity Price Data'!AZ29</f>
        <v>14492</v>
      </c>
      <c r="AU28" s="30">
        <f>'Equity Volume Data'!AX28*'Equity Price Data'!BA29</f>
        <v>0</v>
      </c>
      <c r="AV28" s="30">
        <f>'Equity Volume Data'!AY28*'Equity Price Data'!BB29</f>
        <v>69313.4</v>
      </c>
      <c r="AW28" s="30">
        <f>'Equity Volume Data'!AZ28*'Equity Price Data'!BC29</f>
        <v>3864</v>
      </c>
      <c r="AX28" s="30">
        <f>'Equity Volume Data'!BA28*'Equity Price Data'!BD29</f>
        <v>0</v>
      </c>
      <c r="AY28" s="30">
        <f>'Equity Volume Data'!BB28*'Equity Price Data'!BE29</f>
        <v>0</v>
      </c>
      <c r="AZ28" s="30">
        <f>'Equity Volume Data'!BC28*'Equity Price Data'!BF29</f>
        <v>8970</v>
      </c>
      <c r="BA28" s="30">
        <f>'Equity Volume Data'!BD28*'Equity Price Data'!BG29</f>
        <v>5270.6</v>
      </c>
      <c r="BB28" s="30">
        <f>'Equity Volume Data'!BE28*'Equity Price Data'!BH29</f>
        <v>8405.6</v>
      </c>
      <c r="BC28" s="30">
        <f>'Equity Volume Data'!BF28*'Equity Price Data'!BI29</f>
        <v>0</v>
      </c>
      <c r="BD28" s="30">
        <f>'Equity Volume Data'!BG28*'Equity Price Data'!BJ29</f>
        <v>37581.72</v>
      </c>
      <c r="BE28" s="30">
        <f>'Equity Volume Data'!BH28*'Equity Price Data'!BK29</f>
        <v>12815.83</v>
      </c>
      <c r="BF28" s="30">
        <f>'Equity Volume Data'!BI28*'Equity Price Data'!BL29</f>
        <v>7781.6</v>
      </c>
      <c r="BG28" s="30">
        <f>'Equity Volume Data'!BJ28*'Equity Price Data'!BM29</f>
        <v>40032</v>
      </c>
      <c r="BH28" s="30">
        <f>'Equity Volume Data'!BK28*'Equity Price Data'!BN29</f>
        <v>1118.4</v>
      </c>
      <c r="BI28" s="30">
        <f>'Equity Volume Data'!BL28*'Equity Price Data'!BO29</f>
        <v>36027.2</v>
      </c>
      <c r="BJ28" s="30">
        <f>'Equity Volume Data'!BM28*'Equity Price Data'!BP29</f>
        <v>36339</v>
      </c>
      <c r="BK28" s="30">
        <f>'Equity Volume Data'!BN28*'Equity Price Data'!BQ29</f>
        <v>87360.96</v>
      </c>
      <c r="BL28" s="30">
        <f>'Equity Volume Data'!BO28*'Equity Price Data'!BR29</f>
        <v>482.22</v>
      </c>
      <c r="BM28" s="30">
        <f>'Equity Volume Data'!BP28*'Equity Price Data'!BS29</f>
        <v>0</v>
      </c>
      <c r="BN28" s="30">
        <f>'Equity Volume Data'!BQ28*'Equity Price Data'!BT29</f>
        <v>19145.92</v>
      </c>
      <c r="BO28" s="30">
        <f>'Equity Volume Data'!BR28*'Equity Price Data'!BU29</f>
        <v>34640</v>
      </c>
    </row>
    <row r="29">
      <c r="A29" s="25">
        <f>'Equity Price Data'!A30</f>
        <v>45464.66667</v>
      </c>
      <c r="B29" s="29">
        <f t="shared" si="1"/>
        <v>1237801.28</v>
      </c>
      <c r="C29" s="30">
        <f>'Equity Volume Data'!F29*'Equity Price Data'!I30</f>
        <v>6934.72</v>
      </c>
      <c r="D29" s="30">
        <f>'Equity Volume Data'!G29*'Equity Price Data'!J30</f>
        <v>49160.8</v>
      </c>
      <c r="E29" s="30">
        <f>'Equity Volume Data'!H29*'Equity Price Data'!K30</f>
        <v>14359.4</v>
      </c>
      <c r="F29" s="30">
        <f>'Equity Volume Data'!I29*'Equity Price Data'!L30</f>
        <v>53117.44</v>
      </c>
      <c r="G29" s="30">
        <f>'Equity Volume Data'!J29*'Equity Price Data'!M30</f>
        <v>19539.03</v>
      </c>
      <c r="H29" s="30">
        <f>'Equity Volume Data'!K29*'Equity Price Data'!N30</f>
        <v>11058.16</v>
      </c>
      <c r="I29" s="30">
        <f>'Equity Volume Data'!L29*'Equity Price Data'!O30</f>
        <v>10440</v>
      </c>
      <c r="J29" s="30">
        <f>'Equity Volume Data'!M29*'Equity Price Data'!P30</f>
        <v>41781.24</v>
      </c>
      <c r="K29" s="30">
        <f>'Equity Volume Data'!N29*'Equity Price Data'!Q30</f>
        <v>11316</v>
      </c>
      <c r="L29" s="30">
        <f>'Equity Volume Data'!O29*'Equity Price Data'!R30</f>
        <v>27104</v>
      </c>
      <c r="M29" s="30">
        <f>'Equity Volume Data'!P29*'Equity Price Data'!S30</f>
        <v>0</v>
      </c>
      <c r="N29" s="30">
        <f>'Equity Volume Data'!Q29*'Equity Price Data'!T30</f>
        <v>5030.4</v>
      </c>
      <c r="O29" s="30">
        <f>'Equity Volume Data'!R29*'Equity Price Data'!U30</f>
        <v>49176</v>
      </c>
      <c r="P29" s="30">
        <f>'Equity Volume Data'!S29*'Equity Price Data'!V30</f>
        <v>0</v>
      </c>
      <c r="Q29" s="30">
        <f>'Equity Volume Data'!T29*'Equity Price Data'!W30</f>
        <v>19062</v>
      </c>
      <c r="R29" s="30">
        <f>'Equity Volume Data'!U29*'Equity Price Data'!X30</f>
        <v>12422.4</v>
      </c>
      <c r="S29" s="30">
        <f>'Equity Volume Data'!V29*'Equity Price Data'!Y30</f>
        <v>29918.24</v>
      </c>
      <c r="T29" s="30">
        <f>'Equity Volume Data'!W29*'Equity Price Data'!Z30</f>
        <v>8692.5</v>
      </c>
      <c r="U29" s="30">
        <f>'Equity Volume Data'!X29*'Equity Price Data'!AA30</f>
        <v>16571.28</v>
      </c>
      <c r="V29" s="30">
        <f>'Equity Volume Data'!Y29*'Equity Price Data'!AB30</f>
        <v>14544.74</v>
      </c>
      <c r="W29" s="30">
        <f>'Equity Volume Data'!Z29*'Equity Price Data'!AC30</f>
        <v>10236.15</v>
      </c>
      <c r="X29" s="30">
        <f>'Equity Volume Data'!AA29*'Equity Price Data'!AD30</f>
        <v>26717.5</v>
      </c>
      <c r="Y29" s="30">
        <f>'Equity Volume Data'!AB29*'Equity Price Data'!AE30</f>
        <v>6783.79</v>
      </c>
      <c r="Z29" s="30">
        <f>'Equity Volume Data'!AC29*'Equity Price Data'!AF30</f>
        <v>8122.5</v>
      </c>
      <c r="AA29" s="30">
        <f>'Equity Volume Data'!AD29*'Equity Price Data'!AG30</f>
        <v>18829.2</v>
      </c>
      <c r="AB29" s="30">
        <f>'Equity Volume Data'!AE29*'Equity Price Data'!AH30</f>
        <v>7609.8</v>
      </c>
      <c r="AC29" s="30">
        <f>'Equity Volume Data'!AF29*'Equity Price Data'!AI30</f>
        <v>16586</v>
      </c>
      <c r="AD29" s="30">
        <f>'Equity Volume Data'!AG29*'Equity Price Data'!AJ30</f>
        <v>13421.25</v>
      </c>
      <c r="AE29" s="30">
        <f>'Equity Volume Data'!AH29*'Equity Price Data'!AK30</f>
        <v>9544</v>
      </c>
      <c r="AF29" s="30">
        <f>'Equity Volume Data'!AI29*'Equity Price Data'!AL30</f>
        <v>14487.35</v>
      </c>
      <c r="AG29" s="30">
        <f>'Equity Volume Data'!AJ29*'Equity Price Data'!AM30</f>
        <v>27010.8</v>
      </c>
      <c r="AH29" s="30">
        <f>'Equity Volume Data'!AK29*'Equity Price Data'!AN30</f>
        <v>35580</v>
      </c>
      <c r="AI29" s="30">
        <f>'Equity Volume Data'!AL29*'Equity Price Data'!AO30</f>
        <v>17178</v>
      </c>
      <c r="AJ29" s="30">
        <f>'Equity Volume Data'!AM29*'Equity Price Data'!AP30</f>
        <v>17919.2</v>
      </c>
      <c r="AK29" s="30">
        <f>'Equity Volume Data'!AN29*'Equity Price Data'!AQ30</f>
        <v>0</v>
      </c>
      <c r="AL29" s="30">
        <f>'Equity Volume Data'!AO29*'Equity Price Data'!AR30</f>
        <v>31408</v>
      </c>
      <c r="AM29" s="30">
        <f>'Equity Volume Data'!AP29*'Equity Price Data'!AS30</f>
        <v>32732</v>
      </c>
      <c r="AN29" s="30">
        <f>'Equity Volume Data'!AQ29*'Equity Price Data'!AT30</f>
        <v>10913.7</v>
      </c>
      <c r="AO29" s="30">
        <f>'Equity Volume Data'!AR29*'Equity Price Data'!AU30</f>
        <v>21939.26</v>
      </c>
      <c r="AP29" s="30">
        <f>'Equity Volume Data'!AS29*'Equity Price Data'!AV30</f>
        <v>20410</v>
      </c>
      <c r="AQ29" s="30">
        <f>'Equity Volume Data'!AT29*'Equity Price Data'!AW30</f>
        <v>15679.4</v>
      </c>
      <c r="AR29" s="30">
        <f>'Equity Volume Data'!AU29*'Equity Price Data'!AX30</f>
        <v>0</v>
      </c>
      <c r="AS29" s="30">
        <f>'Equity Volume Data'!AV29*'Equity Price Data'!AY30</f>
        <v>53973.6</v>
      </c>
      <c r="AT29" s="30">
        <f>'Equity Volume Data'!AW29*'Equity Price Data'!AZ30</f>
        <v>14562</v>
      </c>
      <c r="AU29" s="30">
        <f>'Equity Volume Data'!AX29*'Equity Price Data'!BA30</f>
        <v>0</v>
      </c>
      <c r="AV29" s="30">
        <f>'Equity Volume Data'!AY29*'Equity Price Data'!BB30</f>
        <v>67082.1</v>
      </c>
      <c r="AW29" s="30">
        <f>'Equity Volume Data'!AZ29*'Equity Price Data'!BC30</f>
        <v>3836.8</v>
      </c>
      <c r="AX29" s="30">
        <f>'Equity Volume Data'!BA29*'Equity Price Data'!BD30</f>
        <v>0</v>
      </c>
      <c r="AY29" s="30">
        <f>'Equity Volume Data'!BB29*'Equity Price Data'!BE30</f>
        <v>0</v>
      </c>
      <c r="AZ29" s="30">
        <f>'Equity Volume Data'!BC29*'Equity Price Data'!BF30</f>
        <v>9091.5</v>
      </c>
      <c r="BA29" s="30">
        <f>'Equity Volume Data'!BD29*'Equity Price Data'!BG30</f>
        <v>5270.6</v>
      </c>
      <c r="BB29" s="30">
        <f>'Equity Volume Data'!BE29*'Equity Price Data'!BH30</f>
        <v>8448.8</v>
      </c>
      <c r="BC29" s="30">
        <f>'Equity Volume Data'!BF29*'Equity Price Data'!BI30</f>
        <v>0</v>
      </c>
      <c r="BD29" s="30">
        <f>'Equity Volume Data'!BG29*'Equity Price Data'!BJ30</f>
        <v>37643.49</v>
      </c>
      <c r="BE29" s="30">
        <f>'Equity Volume Data'!BH29*'Equity Price Data'!BK30</f>
        <v>12985.8</v>
      </c>
      <c r="BF29" s="30">
        <f>'Equity Volume Data'!BI29*'Equity Price Data'!BL30</f>
        <v>7743.2</v>
      </c>
      <c r="BG29" s="30">
        <f>'Equity Volume Data'!BJ29*'Equity Price Data'!BM30</f>
        <v>38653.12</v>
      </c>
      <c r="BH29" s="30">
        <f>'Equity Volume Data'!BK29*'Equity Price Data'!BN30</f>
        <v>1118.4</v>
      </c>
      <c r="BI29" s="30">
        <f>'Equity Volume Data'!BL29*'Equity Price Data'!BO30</f>
        <v>36177.6</v>
      </c>
      <c r="BJ29" s="30">
        <f>'Equity Volume Data'!BM29*'Equity Price Data'!BP30</f>
        <v>36194.25</v>
      </c>
      <c r="BK29" s="30">
        <f>'Equity Volume Data'!BN29*'Equity Price Data'!BQ30</f>
        <v>87324.92</v>
      </c>
      <c r="BL29" s="30">
        <f>'Equity Volume Data'!BO29*'Equity Price Data'!BR30</f>
        <v>492.09</v>
      </c>
      <c r="BM29" s="30">
        <f>'Equity Volume Data'!BP29*'Equity Price Data'!BS30</f>
        <v>0</v>
      </c>
      <c r="BN29" s="30">
        <f>'Equity Volume Data'!BQ29*'Equity Price Data'!BT30</f>
        <v>19226.76</v>
      </c>
      <c r="BO29" s="30">
        <f>'Equity Volume Data'!BR29*'Equity Price Data'!BU30</f>
        <v>34640</v>
      </c>
    </row>
    <row r="30">
      <c r="A30" s="25">
        <f>'Equity Price Data'!A31</f>
        <v>45467.66667</v>
      </c>
      <c r="B30" s="29">
        <f t="shared" si="1"/>
        <v>1238339.38</v>
      </c>
      <c r="C30" s="30">
        <f>'Equity Volume Data'!F30*'Equity Price Data'!I31</f>
        <v>6814.21</v>
      </c>
      <c r="D30" s="30">
        <f>'Equity Volume Data'!G30*'Equity Price Data'!J31</f>
        <v>48248.2</v>
      </c>
      <c r="E30" s="30">
        <f>'Equity Volume Data'!H30*'Equity Price Data'!K31</f>
        <v>14539.8</v>
      </c>
      <c r="F30" s="30">
        <f>'Equity Volume Data'!I30*'Equity Price Data'!L31</f>
        <v>53283.84</v>
      </c>
      <c r="G30" s="30">
        <f>'Equity Volume Data'!J30*'Equity Price Data'!M31</f>
        <v>19076.72</v>
      </c>
      <c r="H30" s="30">
        <f>'Equity Volume Data'!K30*'Equity Price Data'!N31</f>
        <v>11182.24</v>
      </c>
      <c r="I30" s="30">
        <f>'Equity Volume Data'!L30*'Equity Price Data'!O31</f>
        <v>10630</v>
      </c>
      <c r="J30" s="30">
        <f>'Equity Volume Data'!M30*'Equity Price Data'!P31</f>
        <v>42225.96</v>
      </c>
      <c r="K30" s="30">
        <f>'Equity Volume Data'!N30*'Equity Price Data'!Q31</f>
        <v>11338</v>
      </c>
      <c r="L30" s="30">
        <f>'Equity Volume Data'!O30*'Equity Price Data'!R31</f>
        <v>27418.6</v>
      </c>
      <c r="M30" s="30">
        <f>'Equity Volume Data'!P30*'Equity Price Data'!S31</f>
        <v>0</v>
      </c>
      <c r="N30" s="30">
        <f>'Equity Volume Data'!Q30*'Equity Price Data'!T31</f>
        <v>5170.4</v>
      </c>
      <c r="O30" s="30">
        <f>'Equity Volume Data'!R30*'Equity Price Data'!U31</f>
        <v>49500</v>
      </c>
      <c r="P30" s="30">
        <f>'Equity Volume Data'!S30*'Equity Price Data'!V31</f>
        <v>0</v>
      </c>
      <c r="Q30" s="30">
        <f>'Equity Volume Data'!T30*'Equity Price Data'!W31</f>
        <v>18717.6</v>
      </c>
      <c r="R30" s="30">
        <f>'Equity Volume Data'!U30*'Equity Price Data'!X31</f>
        <v>12744.8</v>
      </c>
      <c r="S30" s="30">
        <f>'Equity Volume Data'!V30*'Equity Price Data'!Y31</f>
        <v>30196.32</v>
      </c>
      <c r="T30" s="30">
        <f>'Equity Volume Data'!W30*'Equity Price Data'!Z31</f>
        <v>8847.5</v>
      </c>
      <c r="U30" s="30">
        <f>'Equity Volume Data'!X30*'Equity Price Data'!AA31</f>
        <v>16888.08</v>
      </c>
      <c r="V30" s="30">
        <f>'Equity Volume Data'!Y30*'Equity Price Data'!AB31</f>
        <v>14694.47</v>
      </c>
      <c r="W30" s="30">
        <f>'Equity Volume Data'!Z30*'Equity Price Data'!AC31</f>
        <v>10143.69</v>
      </c>
      <c r="X30" s="30">
        <f>'Equity Volume Data'!AA30*'Equity Price Data'!AD31</f>
        <v>26837.5</v>
      </c>
      <c r="Y30" s="30">
        <f>'Equity Volume Data'!AB30*'Equity Price Data'!AE31</f>
        <v>6934.46</v>
      </c>
      <c r="Z30" s="30">
        <f>'Equity Volume Data'!AC30*'Equity Price Data'!AF31</f>
        <v>8101.5</v>
      </c>
      <c r="AA30" s="30">
        <f>'Equity Volume Data'!AD30*'Equity Price Data'!AG31</f>
        <v>19388.5</v>
      </c>
      <c r="AB30" s="30">
        <f>'Equity Volume Data'!AE30*'Equity Price Data'!AH31</f>
        <v>7695.3</v>
      </c>
      <c r="AC30" s="30">
        <f>'Equity Volume Data'!AF30*'Equity Price Data'!AI31</f>
        <v>16867.2</v>
      </c>
      <c r="AD30" s="30">
        <f>'Equity Volume Data'!AG30*'Equity Price Data'!AJ31</f>
        <v>13433.85</v>
      </c>
      <c r="AE30" s="30">
        <f>'Equity Volume Data'!AH30*'Equity Price Data'!AK31</f>
        <v>9622</v>
      </c>
      <c r="AF30" s="30">
        <f>'Equity Volume Data'!AI30*'Equity Price Data'!AL31</f>
        <v>14499.65</v>
      </c>
      <c r="AG30" s="30">
        <f>'Equity Volume Data'!AJ30*'Equity Price Data'!AM31</f>
        <v>27725.4</v>
      </c>
      <c r="AH30" s="30">
        <f>'Equity Volume Data'!AK30*'Equity Price Data'!AN31</f>
        <v>35088</v>
      </c>
      <c r="AI30" s="30">
        <f>'Equity Volume Data'!AL30*'Equity Price Data'!AO31</f>
        <v>17066</v>
      </c>
      <c r="AJ30" s="30">
        <f>'Equity Volume Data'!AM30*'Equity Price Data'!AP31</f>
        <v>18033.6</v>
      </c>
      <c r="AK30" s="30">
        <f>'Equity Volume Data'!AN30*'Equity Price Data'!AQ31</f>
        <v>0</v>
      </c>
      <c r="AL30" s="30">
        <f>'Equity Volume Data'!AO30*'Equity Price Data'!AR31</f>
        <v>31820.8</v>
      </c>
      <c r="AM30" s="30">
        <f>'Equity Volume Data'!AP30*'Equity Price Data'!AS31</f>
        <v>33005.7</v>
      </c>
      <c r="AN30" s="30">
        <f>'Equity Volume Data'!AQ30*'Equity Price Data'!AT31</f>
        <v>10929.8</v>
      </c>
      <c r="AO30" s="30">
        <f>'Equity Volume Data'!AR30*'Equity Price Data'!AU31</f>
        <v>22357.72</v>
      </c>
      <c r="AP30" s="30">
        <f>'Equity Volume Data'!AS30*'Equity Price Data'!AV31</f>
        <v>20260</v>
      </c>
      <c r="AQ30" s="30">
        <f>'Equity Volume Data'!AT30*'Equity Price Data'!AW31</f>
        <v>15866.4</v>
      </c>
      <c r="AR30" s="30">
        <f>'Equity Volume Data'!AU30*'Equity Price Data'!AX31</f>
        <v>0</v>
      </c>
      <c r="AS30" s="30">
        <f>'Equity Volume Data'!AV30*'Equity Price Data'!AY31</f>
        <v>53720.4</v>
      </c>
      <c r="AT30" s="30">
        <f>'Equity Volume Data'!AW30*'Equity Price Data'!AZ31</f>
        <v>14770</v>
      </c>
      <c r="AU30" s="30">
        <f>'Equity Volume Data'!AX30*'Equity Price Data'!BA31</f>
        <v>0</v>
      </c>
      <c r="AV30" s="30">
        <f>'Equity Volume Data'!AY30*'Equity Price Data'!BB31</f>
        <v>62598.3</v>
      </c>
      <c r="AW30" s="30">
        <f>'Equity Volume Data'!AZ30*'Equity Price Data'!BC31</f>
        <v>3874.8</v>
      </c>
      <c r="AX30" s="30">
        <f>'Equity Volume Data'!BA30*'Equity Price Data'!BD31</f>
        <v>0</v>
      </c>
      <c r="AY30" s="30">
        <f>'Equity Volume Data'!BB30*'Equity Price Data'!BE31</f>
        <v>0</v>
      </c>
      <c r="AZ30" s="30">
        <f>'Equity Volume Data'!BC30*'Equity Price Data'!BF31</f>
        <v>8923.5</v>
      </c>
      <c r="BA30" s="30">
        <f>'Equity Volume Data'!BD30*'Equity Price Data'!BG31</f>
        <v>5388.4</v>
      </c>
      <c r="BB30" s="30">
        <f>'Equity Volume Data'!BE30*'Equity Price Data'!BH31</f>
        <v>8156.8</v>
      </c>
      <c r="BC30" s="30">
        <f>'Equity Volume Data'!BF30*'Equity Price Data'!BI31</f>
        <v>0</v>
      </c>
      <c r="BD30" s="30">
        <f>'Equity Volume Data'!BG30*'Equity Price Data'!BJ31</f>
        <v>37903.35</v>
      </c>
      <c r="BE30" s="30">
        <f>'Equity Volume Data'!BH30*'Equity Price Data'!BK31</f>
        <v>13016.85</v>
      </c>
      <c r="BF30" s="30">
        <f>'Equity Volume Data'!BI30*'Equity Price Data'!BL31</f>
        <v>7959.2</v>
      </c>
      <c r="BG30" s="30">
        <f>'Equity Volume Data'!BJ30*'Equity Price Data'!BM31</f>
        <v>39061.78</v>
      </c>
      <c r="BH30" s="30">
        <f>'Equity Volume Data'!BK30*'Equity Price Data'!BN31</f>
        <v>1140.8</v>
      </c>
      <c r="BI30" s="30">
        <f>'Equity Volume Data'!BL30*'Equity Price Data'!BO31</f>
        <v>36217.6</v>
      </c>
      <c r="BJ30" s="30">
        <f>'Equity Volume Data'!BM30*'Equity Price Data'!BP31</f>
        <v>36748.5</v>
      </c>
      <c r="BK30" s="30">
        <f>'Equity Volume Data'!BN30*'Equity Price Data'!BQ31</f>
        <v>87360.96</v>
      </c>
      <c r="BL30" s="30">
        <f>'Equity Volume Data'!BO30*'Equity Price Data'!BR31</f>
        <v>492.09</v>
      </c>
      <c r="BM30" s="30">
        <f>'Equity Volume Data'!BP30*'Equity Price Data'!BS31</f>
        <v>0</v>
      </c>
      <c r="BN30" s="30">
        <f>'Equity Volume Data'!BQ30*'Equity Price Data'!BT31</f>
        <v>19172.24</v>
      </c>
      <c r="BO30" s="30">
        <f>'Equity Volume Data'!BR30*'Equity Price Data'!BU31</f>
        <v>34640</v>
      </c>
    </row>
    <row r="31">
      <c r="A31" s="25">
        <f>'Equity Price Data'!A32</f>
        <v>45468.66667</v>
      </c>
      <c r="B31" s="29">
        <f t="shared" si="1"/>
        <v>1238412.08</v>
      </c>
      <c r="C31" s="30">
        <f>'Equity Volume Data'!F31*'Equity Price Data'!I32</f>
        <v>6849.44</v>
      </c>
      <c r="D31" s="30">
        <f>'Equity Volume Data'!G31*'Equity Price Data'!J32</f>
        <v>48448.4</v>
      </c>
      <c r="E31" s="30">
        <f>'Equity Volume Data'!H31*'Equity Price Data'!K32</f>
        <v>14230.7</v>
      </c>
      <c r="F31" s="30">
        <f>'Equity Volume Data'!I31*'Equity Price Data'!L32</f>
        <v>53521.92</v>
      </c>
      <c r="G31" s="30">
        <f>'Equity Volume Data'!J31*'Equity Price Data'!M32</f>
        <v>19444.41</v>
      </c>
      <c r="H31" s="30">
        <f>'Equity Volume Data'!K31*'Equity Price Data'!N32</f>
        <v>11052.52</v>
      </c>
      <c r="I31" s="30">
        <f>'Equity Volume Data'!L31*'Equity Price Data'!O32</f>
        <v>10540</v>
      </c>
      <c r="J31" s="30">
        <f>'Equity Volume Data'!M31*'Equity Price Data'!P32</f>
        <v>41918.94</v>
      </c>
      <c r="K31" s="30">
        <f>'Equity Volume Data'!N31*'Equity Price Data'!Q32</f>
        <v>11394</v>
      </c>
      <c r="L31" s="30">
        <f>'Equity Volume Data'!O31*'Equity Price Data'!R32</f>
        <v>27005.99</v>
      </c>
      <c r="M31" s="30">
        <f>'Equity Volume Data'!P31*'Equity Price Data'!S32</f>
        <v>0</v>
      </c>
      <c r="N31" s="30">
        <f>'Equity Volume Data'!Q31*'Equity Price Data'!T32</f>
        <v>5114.4</v>
      </c>
      <c r="O31" s="30">
        <f>'Equity Volume Data'!R31*'Equity Price Data'!U32</f>
        <v>49110</v>
      </c>
      <c r="P31" s="30">
        <f>'Equity Volume Data'!S31*'Equity Price Data'!V32</f>
        <v>0</v>
      </c>
      <c r="Q31" s="30">
        <f>'Equity Volume Data'!T31*'Equity Price Data'!W32</f>
        <v>18660</v>
      </c>
      <c r="R31" s="30">
        <f>'Equity Volume Data'!U31*'Equity Price Data'!X32</f>
        <v>12676.8</v>
      </c>
      <c r="S31" s="30">
        <f>'Equity Volume Data'!V31*'Equity Price Data'!Y32</f>
        <v>29814.4</v>
      </c>
      <c r="T31" s="30">
        <f>'Equity Volume Data'!W31*'Equity Price Data'!Z32</f>
        <v>8747.5</v>
      </c>
      <c r="U31" s="30">
        <f>'Equity Volume Data'!X31*'Equity Price Data'!AA32</f>
        <v>16853.76</v>
      </c>
      <c r="V31" s="30">
        <f>'Equity Volume Data'!Y31*'Equity Price Data'!AB32</f>
        <v>14391.79</v>
      </c>
      <c r="W31" s="30">
        <f>'Equity Volume Data'!Z31*'Equity Price Data'!AC32</f>
        <v>10104.36</v>
      </c>
      <c r="X31" s="30">
        <f>'Equity Volume Data'!AA31*'Equity Price Data'!AD32</f>
        <v>26352.5</v>
      </c>
      <c r="Y31" s="30">
        <f>'Equity Volume Data'!AB31*'Equity Price Data'!AE32</f>
        <v>6862.31</v>
      </c>
      <c r="Z31" s="30">
        <f>'Equity Volume Data'!AC31*'Equity Price Data'!AF32</f>
        <v>8092.5</v>
      </c>
      <c r="AA31" s="30">
        <f>'Equity Volume Data'!AD31*'Equity Price Data'!AG32</f>
        <v>19442.9</v>
      </c>
      <c r="AB31" s="30">
        <f>'Equity Volume Data'!AE31*'Equity Price Data'!AH32</f>
        <v>7691.4</v>
      </c>
      <c r="AC31" s="30">
        <f>'Equity Volume Data'!AF31*'Equity Price Data'!AI32</f>
        <v>16952.8</v>
      </c>
      <c r="AD31" s="30">
        <f>'Equity Volume Data'!AG31*'Equity Price Data'!AJ32</f>
        <v>13287.6</v>
      </c>
      <c r="AE31" s="30">
        <f>'Equity Volume Data'!AH31*'Equity Price Data'!AK32</f>
        <v>9282</v>
      </c>
      <c r="AF31" s="30">
        <f>'Equity Volume Data'!AI31*'Equity Price Data'!AL32</f>
        <v>14270.05</v>
      </c>
      <c r="AG31" s="30">
        <f>'Equity Volume Data'!AJ31*'Equity Price Data'!AM32</f>
        <v>27442.8</v>
      </c>
      <c r="AH31" s="30">
        <f>'Equity Volume Data'!AK31*'Equity Price Data'!AN32</f>
        <v>33832</v>
      </c>
      <c r="AI31" s="30">
        <f>'Equity Volume Data'!AL31*'Equity Price Data'!AO32</f>
        <v>17300.5</v>
      </c>
      <c r="AJ31" s="30">
        <f>'Equity Volume Data'!AM31*'Equity Price Data'!AP32</f>
        <v>17852.9</v>
      </c>
      <c r="AK31" s="30">
        <f>'Equity Volume Data'!AN31*'Equity Price Data'!AQ32</f>
        <v>0</v>
      </c>
      <c r="AL31" s="30">
        <f>'Equity Volume Data'!AO31*'Equity Price Data'!AR32</f>
        <v>31691.2</v>
      </c>
      <c r="AM31" s="30">
        <f>'Equity Volume Data'!AP31*'Equity Price Data'!AS32</f>
        <v>32764.9</v>
      </c>
      <c r="AN31" s="30">
        <f>'Equity Volume Data'!AQ31*'Equity Price Data'!AT32</f>
        <v>10817.45</v>
      </c>
      <c r="AO31" s="30">
        <f>'Equity Volume Data'!AR31*'Equity Price Data'!AU32</f>
        <v>22613.92</v>
      </c>
      <c r="AP31" s="30">
        <f>'Equity Volume Data'!AS31*'Equity Price Data'!AV32</f>
        <v>20102.5</v>
      </c>
      <c r="AQ31" s="30">
        <f>'Equity Volume Data'!AT31*'Equity Price Data'!AW32</f>
        <v>15710.2</v>
      </c>
      <c r="AR31" s="30">
        <f>'Equity Volume Data'!AU31*'Equity Price Data'!AX32</f>
        <v>0</v>
      </c>
      <c r="AS31" s="30">
        <f>'Equity Volume Data'!AV31*'Equity Price Data'!AY32</f>
        <v>54114</v>
      </c>
      <c r="AT31" s="30">
        <f>'Equity Volume Data'!AW31*'Equity Price Data'!AZ32</f>
        <v>14596</v>
      </c>
      <c r="AU31" s="30">
        <f>'Equity Volume Data'!AX31*'Equity Price Data'!BA32</f>
        <v>0</v>
      </c>
      <c r="AV31" s="30">
        <f>'Equity Volume Data'!AY31*'Equity Price Data'!BB32</f>
        <v>66827.7</v>
      </c>
      <c r="AW31" s="30">
        <f>'Equity Volume Data'!AZ31*'Equity Price Data'!BC32</f>
        <v>3826.4</v>
      </c>
      <c r="AX31" s="30">
        <f>'Equity Volume Data'!BA31*'Equity Price Data'!BD32</f>
        <v>0</v>
      </c>
      <c r="AY31" s="30">
        <f>'Equity Volume Data'!BB31*'Equity Price Data'!BE32</f>
        <v>0</v>
      </c>
      <c r="AZ31" s="30">
        <f>'Equity Volume Data'!BC31*'Equity Price Data'!BF32</f>
        <v>8899.5</v>
      </c>
      <c r="BA31" s="30">
        <f>'Equity Volume Data'!BD31*'Equity Price Data'!BG32</f>
        <v>5318.1</v>
      </c>
      <c r="BB31" s="30">
        <f>'Equity Volume Data'!BE31*'Equity Price Data'!BH32</f>
        <v>8125.6</v>
      </c>
      <c r="BC31" s="30">
        <f>'Equity Volume Data'!BF31*'Equity Price Data'!BI32</f>
        <v>0</v>
      </c>
      <c r="BD31" s="30">
        <f>'Equity Volume Data'!BG31*'Equity Price Data'!BJ32</f>
        <v>37835.19</v>
      </c>
      <c r="BE31" s="30">
        <f>'Equity Volume Data'!BH31*'Equity Price Data'!BK32</f>
        <v>12799.96</v>
      </c>
      <c r="BF31" s="30">
        <f>'Equity Volume Data'!BI31*'Equity Price Data'!BL32</f>
        <v>8248.8</v>
      </c>
      <c r="BG31" s="30">
        <f>'Equity Volume Data'!BJ31*'Equity Price Data'!BM32</f>
        <v>40582.44</v>
      </c>
      <c r="BH31" s="30">
        <f>'Equity Volume Data'!BK31*'Equity Price Data'!BN32</f>
        <v>1110.4</v>
      </c>
      <c r="BI31" s="30">
        <f>'Equity Volume Data'!BL31*'Equity Price Data'!BO32</f>
        <v>35849.6</v>
      </c>
      <c r="BJ31" s="30">
        <f>'Equity Volume Data'!BM31*'Equity Price Data'!BP32</f>
        <v>36337.5</v>
      </c>
      <c r="BK31" s="30">
        <f>'Equity Volume Data'!BN31*'Equity Price Data'!BQ32</f>
        <v>87360.96</v>
      </c>
      <c r="BL31" s="30">
        <f>'Equity Volume Data'!BO31*'Equity Price Data'!BR32</f>
        <v>484.57</v>
      </c>
      <c r="BM31" s="30">
        <f>'Equity Volume Data'!BP31*'Equity Price Data'!BS32</f>
        <v>0</v>
      </c>
      <c r="BN31" s="30">
        <f>'Equity Volume Data'!BQ31*'Equity Price Data'!BT32</f>
        <v>19213.6</v>
      </c>
      <c r="BO31" s="30">
        <f>'Equity Volume Data'!BR31*'Equity Price Data'!BU32</f>
        <v>34640</v>
      </c>
    </row>
    <row r="32">
      <c r="A32" s="25">
        <f>'Equity Price Data'!A33</f>
        <v>45469.66667</v>
      </c>
      <c r="B32" s="29">
        <f t="shared" si="1"/>
        <v>1239306.46</v>
      </c>
      <c r="C32" s="30">
        <f>'Equity Volume Data'!F32*'Equity Price Data'!I33</f>
        <v>6872.58</v>
      </c>
      <c r="D32" s="30">
        <f>'Equity Volume Data'!G32*'Equity Price Data'!J33</f>
        <v>50338.6</v>
      </c>
      <c r="E32" s="30">
        <f>'Equity Volume Data'!H32*'Equity Price Data'!K33</f>
        <v>14253.8</v>
      </c>
      <c r="F32" s="30">
        <f>'Equity Volume Data'!I32*'Equity Price Data'!L33</f>
        <v>54592</v>
      </c>
      <c r="G32" s="30">
        <f>'Equity Volume Data'!J32*'Equity Price Data'!M33</f>
        <v>19270.11</v>
      </c>
      <c r="H32" s="30">
        <f>'Equity Volume Data'!K32*'Equity Price Data'!N33</f>
        <v>11029.96</v>
      </c>
      <c r="I32" s="30">
        <f>'Equity Volume Data'!L32*'Equity Price Data'!O33</f>
        <v>10510</v>
      </c>
      <c r="J32" s="30">
        <f>'Equity Volume Data'!M32*'Equity Price Data'!P33</f>
        <v>41846.52</v>
      </c>
      <c r="K32" s="30">
        <f>'Equity Volume Data'!N32*'Equity Price Data'!Q33</f>
        <v>11466</v>
      </c>
      <c r="L32" s="30">
        <f>'Equity Volume Data'!O32*'Equity Price Data'!R33</f>
        <v>27159.66</v>
      </c>
      <c r="M32" s="30">
        <f>'Equity Volume Data'!P32*'Equity Price Data'!S33</f>
        <v>0</v>
      </c>
      <c r="N32" s="30">
        <f>'Equity Volume Data'!Q32*'Equity Price Data'!T33</f>
        <v>5028.8</v>
      </c>
      <c r="O32" s="30">
        <f>'Equity Volume Data'!R32*'Equity Price Data'!U33</f>
        <v>49009.5</v>
      </c>
      <c r="P32" s="30">
        <f>'Equity Volume Data'!S32*'Equity Price Data'!V33</f>
        <v>0</v>
      </c>
      <c r="Q32" s="30">
        <f>'Equity Volume Data'!T32*'Equity Price Data'!W33</f>
        <v>18787.2</v>
      </c>
      <c r="R32" s="30">
        <f>'Equity Volume Data'!U32*'Equity Price Data'!X33</f>
        <v>12476</v>
      </c>
      <c r="S32" s="30">
        <f>'Equity Volume Data'!V32*'Equity Price Data'!Y33</f>
        <v>29707.04</v>
      </c>
      <c r="T32" s="30">
        <f>'Equity Volume Data'!W32*'Equity Price Data'!Z33</f>
        <v>8695</v>
      </c>
      <c r="U32" s="30">
        <f>'Equity Volume Data'!X32*'Equity Price Data'!AA33</f>
        <v>16909.2</v>
      </c>
      <c r="V32" s="30">
        <f>'Equity Volume Data'!Y32*'Equity Price Data'!AB33</f>
        <v>14436.87</v>
      </c>
      <c r="W32" s="30">
        <f>'Equity Volume Data'!Z32*'Equity Price Data'!AC33</f>
        <v>10135.41</v>
      </c>
      <c r="X32" s="30">
        <f>'Equity Volume Data'!AA32*'Equity Price Data'!AD33</f>
        <v>25857.5</v>
      </c>
      <c r="Y32" s="30">
        <f>'Equity Volume Data'!AB32*'Equity Price Data'!AE33</f>
        <v>6751.81</v>
      </c>
      <c r="Z32" s="30">
        <f>'Equity Volume Data'!AC32*'Equity Price Data'!AF33</f>
        <v>8053.5</v>
      </c>
      <c r="AA32" s="30">
        <f>'Equity Volume Data'!AD32*'Equity Price Data'!AG33</f>
        <v>19449.7</v>
      </c>
      <c r="AB32" s="30">
        <f>'Equity Volume Data'!AE32*'Equity Price Data'!AH33</f>
        <v>8885.7</v>
      </c>
      <c r="AC32" s="30">
        <f>'Equity Volume Data'!AF32*'Equity Price Data'!AI33</f>
        <v>16500.8</v>
      </c>
      <c r="AD32" s="30">
        <f>'Equity Volume Data'!AG32*'Equity Price Data'!AJ33</f>
        <v>13253.85</v>
      </c>
      <c r="AE32" s="30">
        <f>'Equity Volume Data'!AH32*'Equity Price Data'!AK33</f>
        <v>9154</v>
      </c>
      <c r="AF32" s="30">
        <f>'Equity Volume Data'!AI32*'Equity Price Data'!AL33</f>
        <v>14208.55</v>
      </c>
      <c r="AG32" s="30">
        <f>'Equity Volume Data'!AJ32*'Equity Price Data'!AM33</f>
        <v>27351.6</v>
      </c>
      <c r="AH32" s="30">
        <f>'Equity Volume Data'!AK32*'Equity Price Data'!AN33</f>
        <v>34182</v>
      </c>
      <c r="AI32" s="30">
        <f>'Equity Volume Data'!AL32*'Equity Price Data'!AO33</f>
        <v>17132.5</v>
      </c>
      <c r="AJ32" s="30">
        <f>'Equity Volume Data'!AM32*'Equity Price Data'!AP33</f>
        <v>17860.7</v>
      </c>
      <c r="AK32" s="30">
        <f>'Equity Volume Data'!AN32*'Equity Price Data'!AQ33</f>
        <v>0</v>
      </c>
      <c r="AL32" s="30">
        <f>'Equity Volume Data'!AO32*'Equity Price Data'!AR33</f>
        <v>31588.8</v>
      </c>
      <c r="AM32" s="30">
        <f>'Equity Volume Data'!AP32*'Equity Price Data'!AS33</f>
        <v>32689.3</v>
      </c>
      <c r="AN32" s="30">
        <f>'Equity Volume Data'!AQ32*'Equity Price Data'!AT33</f>
        <v>10668.35</v>
      </c>
      <c r="AO32" s="30">
        <f>'Equity Volume Data'!AR32*'Equity Price Data'!AU33</f>
        <v>22110.06</v>
      </c>
      <c r="AP32" s="30">
        <f>'Equity Volume Data'!AS32*'Equity Price Data'!AV33</f>
        <v>20012.5</v>
      </c>
      <c r="AQ32" s="30">
        <f>'Equity Volume Data'!AT32*'Equity Price Data'!AW33</f>
        <v>15659.6</v>
      </c>
      <c r="AR32" s="30">
        <f>'Equity Volume Data'!AU32*'Equity Price Data'!AX33</f>
        <v>0</v>
      </c>
      <c r="AS32" s="30">
        <f>'Equity Volume Data'!AV32*'Equity Price Data'!AY33</f>
        <v>54259.2</v>
      </c>
      <c r="AT32" s="30">
        <f>'Equity Volume Data'!AW32*'Equity Price Data'!AZ33</f>
        <v>14674</v>
      </c>
      <c r="AU32" s="30">
        <f>'Equity Volume Data'!AX32*'Equity Price Data'!BA33</f>
        <v>0</v>
      </c>
      <c r="AV32" s="30">
        <f>'Equity Volume Data'!AY32*'Equity Price Data'!BB33</f>
        <v>66992</v>
      </c>
      <c r="AW32" s="30">
        <f>'Equity Volume Data'!AZ32*'Equity Price Data'!BC33</f>
        <v>3830</v>
      </c>
      <c r="AX32" s="30">
        <f>'Equity Volume Data'!BA32*'Equity Price Data'!BD33</f>
        <v>0</v>
      </c>
      <c r="AY32" s="30">
        <f>'Equity Volume Data'!BB32*'Equity Price Data'!BE33</f>
        <v>0</v>
      </c>
      <c r="AZ32" s="30">
        <f>'Equity Volume Data'!BC32*'Equity Price Data'!BF33</f>
        <v>8739</v>
      </c>
      <c r="BA32" s="30">
        <f>'Equity Volume Data'!BD32*'Equity Price Data'!BG33</f>
        <v>5209.8</v>
      </c>
      <c r="BB32" s="30">
        <f>'Equity Volume Data'!BE32*'Equity Price Data'!BH33</f>
        <v>8100.8</v>
      </c>
      <c r="BC32" s="30">
        <f>'Equity Volume Data'!BF32*'Equity Price Data'!BI33</f>
        <v>0</v>
      </c>
      <c r="BD32" s="30">
        <f>'Equity Volume Data'!BG32*'Equity Price Data'!BJ33</f>
        <v>37554.03</v>
      </c>
      <c r="BE32" s="30">
        <f>'Equity Volume Data'!BH32*'Equity Price Data'!BK33</f>
        <v>12837.91</v>
      </c>
      <c r="BF32" s="30">
        <f>'Equity Volume Data'!BI32*'Equity Price Data'!BL33</f>
        <v>8127.2</v>
      </c>
      <c r="BG32" s="30">
        <f>'Equity Volume Data'!BJ32*'Equity Price Data'!BM33</f>
        <v>40215.48</v>
      </c>
      <c r="BH32" s="30">
        <f>'Equity Volume Data'!BK32*'Equity Price Data'!BN33</f>
        <v>1126.4</v>
      </c>
      <c r="BI32" s="30">
        <f>'Equity Volume Data'!BL32*'Equity Price Data'!BO33</f>
        <v>35777.6</v>
      </c>
      <c r="BJ32" s="30">
        <f>'Equity Volume Data'!BM32*'Equity Price Data'!BP33</f>
        <v>36303</v>
      </c>
      <c r="BK32" s="30">
        <f>'Equity Volume Data'!BN32*'Equity Price Data'!BQ33</f>
        <v>87324.92</v>
      </c>
      <c r="BL32" s="30">
        <f>'Equity Volume Data'!BO32*'Equity Price Data'!BR33</f>
        <v>490.21</v>
      </c>
      <c r="BM32" s="30">
        <f>'Equity Volume Data'!BP32*'Equity Price Data'!BS33</f>
        <v>0</v>
      </c>
      <c r="BN32" s="30">
        <f>'Equity Volume Data'!BQ32*'Equity Price Data'!BT33</f>
        <v>19209.84</v>
      </c>
      <c r="BO32" s="30">
        <f>'Equity Volume Data'!BR32*'Equity Price Data'!BU33</f>
        <v>34640</v>
      </c>
    </row>
    <row r="33">
      <c r="A33" s="25">
        <f>'Equity Price Data'!A34</f>
        <v>45470.66667</v>
      </c>
      <c r="B33" s="29">
        <f t="shared" si="1"/>
        <v>1242155.63</v>
      </c>
      <c r="C33" s="30">
        <f>'Equity Volume Data'!F33*'Equity Price Data'!I34</f>
        <v>7107.88</v>
      </c>
      <c r="D33" s="30">
        <f>'Equity Volume Data'!G33*'Equity Price Data'!J34</f>
        <v>51441</v>
      </c>
      <c r="E33" s="30">
        <f>'Equity Volume Data'!H33*'Equity Price Data'!K34</f>
        <v>14219.7</v>
      </c>
      <c r="F33" s="30">
        <f>'Equity Volume Data'!I33*'Equity Price Data'!L34</f>
        <v>54809.6</v>
      </c>
      <c r="G33" s="30">
        <f>'Equity Volume Data'!J33*'Equity Price Data'!M34</f>
        <v>19299.99</v>
      </c>
      <c r="H33" s="30">
        <f>'Equity Volume Data'!K33*'Equity Price Data'!N34</f>
        <v>11193.52</v>
      </c>
      <c r="I33" s="30">
        <f>'Equity Volume Data'!L33*'Equity Price Data'!O34</f>
        <v>10680</v>
      </c>
      <c r="J33" s="30">
        <f>'Equity Volume Data'!M33*'Equity Price Data'!P34</f>
        <v>41610.9</v>
      </c>
      <c r="K33" s="30">
        <f>'Equity Volume Data'!N33*'Equity Price Data'!Q34</f>
        <v>11348</v>
      </c>
      <c r="L33" s="30">
        <f>'Equity Volume Data'!O33*'Equity Price Data'!R34</f>
        <v>27675.12</v>
      </c>
      <c r="M33" s="30">
        <f>'Equity Volume Data'!P33*'Equity Price Data'!S34</f>
        <v>0</v>
      </c>
      <c r="N33" s="30">
        <f>'Equity Volume Data'!Q33*'Equity Price Data'!T34</f>
        <v>5058.4</v>
      </c>
      <c r="O33" s="30">
        <f>'Equity Volume Data'!R33*'Equity Price Data'!U34</f>
        <v>49119</v>
      </c>
      <c r="P33" s="30">
        <f>'Equity Volume Data'!S33*'Equity Price Data'!V34</f>
        <v>0</v>
      </c>
      <c r="Q33" s="30">
        <f>'Equity Volume Data'!T33*'Equity Price Data'!W34</f>
        <v>19524</v>
      </c>
      <c r="R33" s="30">
        <f>'Equity Volume Data'!U33*'Equity Price Data'!X34</f>
        <v>12505.6</v>
      </c>
      <c r="S33" s="30">
        <f>'Equity Volume Data'!V33*'Equity Price Data'!Y34</f>
        <v>29405.2</v>
      </c>
      <c r="T33" s="30">
        <f>'Equity Volume Data'!W33*'Equity Price Data'!Z34</f>
        <v>8657.5</v>
      </c>
      <c r="U33" s="30">
        <f>'Equity Volume Data'!X33*'Equity Price Data'!AA34</f>
        <v>16872.24</v>
      </c>
      <c r="V33" s="30">
        <f>'Equity Volume Data'!Y33*'Equity Price Data'!AB34</f>
        <v>14438.48</v>
      </c>
      <c r="W33" s="30">
        <f>'Equity Volume Data'!Z33*'Equity Price Data'!AC34</f>
        <v>10261.68</v>
      </c>
      <c r="X33" s="30">
        <f>'Equity Volume Data'!AA33*'Equity Price Data'!AD34</f>
        <v>26302.5</v>
      </c>
      <c r="Y33" s="30">
        <f>'Equity Volume Data'!AB33*'Equity Price Data'!AE34</f>
        <v>6707.87</v>
      </c>
      <c r="Z33" s="30">
        <f>'Equity Volume Data'!AC33*'Equity Price Data'!AF34</f>
        <v>7957.5</v>
      </c>
      <c r="AA33" s="30">
        <f>'Equity Volume Data'!AD33*'Equity Price Data'!AG34</f>
        <v>19533</v>
      </c>
      <c r="AB33" s="30">
        <f>'Equity Volume Data'!AE33*'Equity Price Data'!AH34</f>
        <v>8864.1</v>
      </c>
      <c r="AC33" s="30">
        <f>'Equity Volume Data'!AF33*'Equity Price Data'!AI34</f>
        <v>16378.4</v>
      </c>
      <c r="AD33" s="30">
        <f>'Equity Volume Data'!AG33*'Equity Price Data'!AJ34</f>
        <v>13162.5</v>
      </c>
      <c r="AE33" s="30">
        <f>'Equity Volume Data'!AH33*'Equity Price Data'!AK34</f>
        <v>9116</v>
      </c>
      <c r="AF33" s="30">
        <f>'Equity Volume Data'!AI33*'Equity Price Data'!AL34</f>
        <v>14110.15</v>
      </c>
      <c r="AG33" s="30">
        <f>'Equity Volume Data'!AJ33*'Equity Price Data'!AM34</f>
        <v>26757.6</v>
      </c>
      <c r="AH33" s="30">
        <f>'Equity Volume Data'!AK33*'Equity Price Data'!AN34</f>
        <v>34149</v>
      </c>
      <c r="AI33" s="30">
        <f>'Equity Volume Data'!AL33*'Equity Price Data'!AO34</f>
        <v>17083.5</v>
      </c>
      <c r="AJ33" s="30">
        <f>'Equity Volume Data'!AM33*'Equity Price Data'!AP34</f>
        <v>17871.1</v>
      </c>
      <c r="AK33" s="30">
        <f>'Equity Volume Data'!AN33*'Equity Price Data'!AQ34</f>
        <v>0</v>
      </c>
      <c r="AL33" s="30">
        <f>'Equity Volume Data'!AO33*'Equity Price Data'!AR34</f>
        <v>31867.2</v>
      </c>
      <c r="AM33" s="30">
        <f>'Equity Volume Data'!AP33*'Equity Price Data'!AS34</f>
        <v>32699.1</v>
      </c>
      <c r="AN33" s="30">
        <f>'Equity Volume Data'!AQ33*'Equity Price Data'!AT34</f>
        <v>10790.5</v>
      </c>
      <c r="AO33" s="30">
        <f>'Equity Volume Data'!AR33*'Equity Price Data'!AU34</f>
        <v>22631</v>
      </c>
      <c r="AP33" s="30">
        <f>'Equity Volume Data'!AS33*'Equity Price Data'!AV34</f>
        <v>19832.5</v>
      </c>
      <c r="AQ33" s="30">
        <f>'Equity Volume Data'!AT33*'Equity Price Data'!AW34</f>
        <v>15589.2</v>
      </c>
      <c r="AR33" s="30">
        <f>'Equity Volume Data'!AU33*'Equity Price Data'!AX34</f>
        <v>0</v>
      </c>
      <c r="AS33" s="30">
        <f>'Equity Volume Data'!AV33*'Equity Price Data'!AY34</f>
        <v>54342</v>
      </c>
      <c r="AT33" s="30">
        <f>'Equity Volume Data'!AW33*'Equity Price Data'!AZ34</f>
        <v>14744</v>
      </c>
      <c r="AU33" s="30">
        <f>'Equity Volume Data'!AX33*'Equity Price Data'!BA34</f>
        <v>0</v>
      </c>
      <c r="AV33" s="30">
        <f>'Equity Volume Data'!AY33*'Equity Price Data'!BB34</f>
        <v>65714.7</v>
      </c>
      <c r="AW33" s="30">
        <f>'Equity Volume Data'!AZ33*'Equity Price Data'!BC34</f>
        <v>3840</v>
      </c>
      <c r="AX33" s="30">
        <f>'Equity Volume Data'!BA33*'Equity Price Data'!BD34</f>
        <v>0</v>
      </c>
      <c r="AY33" s="30">
        <f>'Equity Volume Data'!BB33*'Equity Price Data'!BE34</f>
        <v>0</v>
      </c>
      <c r="AZ33" s="30">
        <f>'Equity Volume Data'!BC33*'Equity Price Data'!BF34</f>
        <v>8755.5</v>
      </c>
      <c r="BA33" s="30">
        <f>'Equity Volume Data'!BD33*'Equity Price Data'!BG34</f>
        <v>5282</v>
      </c>
      <c r="BB33" s="30">
        <f>'Equity Volume Data'!BE33*'Equity Price Data'!BH34</f>
        <v>8049.6</v>
      </c>
      <c r="BC33" s="30">
        <f>'Equity Volume Data'!BF33*'Equity Price Data'!BI34</f>
        <v>0</v>
      </c>
      <c r="BD33" s="30">
        <f>'Equity Volume Data'!BG33*'Equity Price Data'!BJ34</f>
        <v>37790.46</v>
      </c>
      <c r="BE33" s="30">
        <f>'Equity Volume Data'!BH33*'Equity Price Data'!BK34</f>
        <v>12667.94</v>
      </c>
      <c r="BF33" s="30">
        <f>'Equity Volume Data'!BI33*'Equity Price Data'!BL34</f>
        <v>8155.2</v>
      </c>
      <c r="BG33" s="30">
        <f>'Equity Volume Data'!BJ33*'Equity Price Data'!BM34</f>
        <v>41093.96</v>
      </c>
      <c r="BH33" s="30">
        <f>'Equity Volume Data'!BK33*'Equity Price Data'!BN34</f>
        <v>1096</v>
      </c>
      <c r="BI33" s="30">
        <f>'Equity Volume Data'!BL33*'Equity Price Data'!BO34</f>
        <v>35755.2</v>
      </c>
      <c r="BJ33" s="30">
        <f>'Equity Volume Data'!BM33*'Equity Price Data'!BP34</f>
        <v>36483</v>
      </c>
      <c r="BK33" s="30">
        <f>'Equity Volume Data'!BN33*'Equity Price Data'!BQ34</f>
        <v>87415.02</v>
      </c>
      <c r="BL33" s="30">
        <f>'Equity Volume Data'!BO33*'Equity Price Data'!BR34</f>
        <v>492.56</v>
      </c>
      <c r="BM33" s="30">
        <f>'Equity Volume Data'!BP33*'Equity Price Data'!BS34</f>
        <v>0</v>
      </c>
      <c r="BN33" s="30">
        <f>'Equity Volume Data'!BQ33*'Equity Price Data'!BT34</f>
        <v>19207.96</v>
      </c>
      <c r="BO33" s="30">
        <f>'Equity Volume Data'!BR33*'Equity Price Data'!BU34</f>
        <v>34640</v>
      </c>
    </row>
    <row r="34">
      <c r="A34" s="25">
        <f>'Equity Price Data'!A35</f>
        <v>45471.66667</v>
      </c>
      <c r="B34" s="29">
        <f t="shared" si="1"/>
        <v>1244194.31</v>
      </c>
      <c r="C34" s="30">
        <f>'Equity Volume Data'!F34*'Equity Price Data'!I35</f>
        <v>7222.02</v>
      </c>
      <c r="D34" s="30">
        <f>'Equity Volume Data'!G34*'Equity Price Data'!J35</f>
        <v>50245</v>
      </c>
      <c r="E34" s="30">
        <f>'Equity Volume Data'!H34*'Equity Price Data'!K35</f>
        <v>14207.6</v>
      </c>
      <c r="F34" s="30">
        <f>'Equity Volume Data'!I34*'Equity Price Data'!L35</f>
        <v>53918.72</v>
      </c>
      <c r="G34" s="30">
        <f>'Equity Volume Data'!J34*'Equity Price Data'!M35</f>
        <v>19587.17</v>
      </c>
      <c r="H34" s="30">
        <f>'Equity Volume Data'!K34*'Equity Price Data'!N35</f>
        <v>11259.32</v>
      </c>
      <c r="I34" s="30">
        <f>'Equity Volume Data'!L34*'Equity Price Data'!O35</f>
        <v>10710</v>
      </c>
      <c r="J34" s="30">
        <f>'Equity Volume Data'!M34*'Equity Price Data'!P35</f>
        <v>41493.6</v>
      </c>
      <c r="K34" s="30">
        <f>'Equity Volume Data'!N34*'Equity Price Data'!Q35</f>
        <v>11418</v>
      </c>
      <c r="L34" s="30">
        <f>'Equity Volume Data'!O34*'Equity Price Data'!R35</f>
        <v>28050.22</v>
      </c>
      <c r="M34" s="30">
        <f>'Equity Volume Data'!P34*'Equity Price Data'!S35</f>
        <v>0</v>
      </c>
      <c r="N34" s="30">
        <f>'Equity Volume Data'!Q34*'Equity Price Data'!T35</f>
        <v>5046.4</v>
      </c>
      <c r="O34" s="30">
        <f>'Equity Volume Data'!R34*'Equity Price Data'!U35</f>
        <v>49965</v>
      </c>
      <c r="P34" s="30">
        <f>'Equity Volume Data'!S34*'Equity Price Data'!V35</f>
        <v>0</v>
      </c>
      <c r="Q34" s="30">
        <f>'Equity Volume Data'!T34*'Equity Price Data'!W35</f>
        <v>19800</v>
      </c>
      <c r="R34" s="30">
        <f>'Equity Volume Data'!U34*'Equity Price Data'!X35</f>
        <v>12513.6</v>
      </c>
      <c r="S34" s="30">
        <f>'Equity Volume Data'!V34*'Equity Price Data'!Y35</f>
        <v>29090.16</v>
      </c>
      <c r="T34" s="30">
        <f>'Equity Volume Data'!W34*'Equity Price Data'!Z35</f>
        <v>9007.5</v>
      </c>
      <c r="U34" s="30">
        <f>'Equity Volume Data'!X34*'Equity Price Data'!AA35</f>
        <v>16803.6</v>
      </c>
      <c r="V34" s="30">
        <f>'Equity Volume Data'!Y34*'Equity Price Data'!AB35</f>
        <v>14396.62</v>
      </c>
      <c r="W34" s="30">
        <f>'Equity Volume Data'!Z34*'Equity Price Data'!AC35</f>
        <v>10491.45</v>
      </c>
      <c r="X34" s="30">
        <f>'Equity Volume Data'!AA34*'Equity Price Data'!AD35</f>
        <v>26692.5</v>
      </c>
      <c r="Y34" s="30">
        <f>'Equity Volume Data'!AB34*'Equity Price Data'!AE35</f>
        <v>6712.29</v>
      </c>
      <c r="Z34" s="30">
        <f>'Equity Volume Data'!AC34*'Equity Price Data'!AF35</f>
        <v>8058</v>
      </c>
      <c r="AA34" s="30">
        <f>'Equity Volume Data'!AD34*'Equity Price Data'!AG35</f>
        <v>19570.4</v>
      </c>
      <c r="AB34" s="30">
        <f>'Equity Volume Data'!AE34*'Equity Price Data'!AH35</f>
        <v>8995.2</v>
      </c>
      <c r="AC34" s="30">
        <f>'Equity Volume Data'!AF34*'Equity Price Data'!AI35</f>
        <v>16334.8</v>
      </c>
      <c r="AD34" s="30">
        <f>'Equity Volume Data'!AG34*'Equity Price Data'!AJ35</f>
        <v>13056.3</v>
      </c>
      <c r="AE34" s="30">
        <f>'Equity Volume Data'!AH34*'Equity Price Data'!AK35</f>
        <v>9292</v>
      </c>
      <c r="AF34" s="30">
        <f>'Equity Volume Data'!AI34*'Equity Price Data'!AL35</f>
        <v>14065.05</v>
      </c>
      <c r="AG34" s="30">
        <f>'Equity Volume Data'!AJ34*'Equity Price Data'!AM35</f>
        <v>27139.2</v>
      </c>
      <c r="AH34" s="30">
        <f>'Equity Volume Data'!AK34*'Equity Price Data'!AN35</f>
        <v>34424</v>
      </c>
      <c r="AI34" s="30">
        <f>'Equity Volume Data'!AL34*'Equity Price Data'!AO35</f>
        <v>17237.5</v>
      </c>
      <c r="AJ34" s="30">
        <f>'Equity Volume Data'!AM34*'Equity Price Data'!AP35</f>
        <v>17795.7</v>
      </c>
      <c r="AK34" s="30">
        <f>'Equity Volume Data'!AN34*'Equity Price Data'!AQ35</f>
        <v>0</v>
      </c>
      <c r="AL34" s="30">
        <f>'Equity Volume Data'!AO34*'Equity Price Data'!AR35</f>
        <v>32361.6</v>
      </c>
      <c r="AM34" s="30">
        <f>'Equity Volume Data'!AP34*'Equity Price Data'!AS35</f>
        <v>32697</v>
      </c>
      <c r="AN34" s="30">
        <f>'Equity Volume Data'!AQ34*'Equity Price Data'!AT35</f>
        <v>10454.5</v>
      </c>
      <c r="AO34" s="30">
        <f>'Equity Volume Data'!AR34*'Equity Price Data'!AU35</f>
        <v>22733.48</v>
      </c>
      <c r="AP34" s="30">
        <f>'Equity Volume Data'!AS34*'Equity Price Data'!AV35</f>
        <v>19677.5</v>
      </c>
      <c r="AQ34" s="30">
        <f>'Equity Volume Data'!AT34*'Equity Price Data'!AW35</f>
        <v>15441.8</v>
      </c>
      <c r="AR34" s="30">
        <f>'Equity Volume Data'!AU34*'Equity Price Data'!AX35</f>
        <v>0</v>
      </c>
      <c r="AS34" s="30">
        <f>'Equity Volume Data'!AV34*'Equity Price Data'!AY35</f>
        <v>53634</v>
      </c>
      <c r="AT34" s="30">
        <f>'Equity Volume Data'!AW34*'Equity Price Data'!AZ35</f>
        <v>14162</v>
      </c>
      <c r="AU34" s="30">
        <f>'Equity Volume Data'!AX34*'Equity Price Data'!BA35</f>
        <v>0</v>
      </c>
      <c r="AV34" s="30">
        <f>'Equity Volume Data'!AY34*'Equity Price Data'!BB35</f>
        <v>65476.2</v>
      </c>
      <c r="AW34" s="30">
        <f>'Equity Volume Data'!AZ34*'Equity Price Data'!BC35</f>
        <v>3850.4</v>
      </c>
      <c r="AX34" s="30">
        <f>'Equity Volume Data'!BA34*'Equity Price Data'!BD35</f>
        <v>0</v>
      </c>
      <c r="AY34" s="30">
        <f>'Equity Volume Data'!BB34*'Equity Price Data'!BE35</f>
        <v>0</v>
      </c>
      <c r="AZ34" s="30">
        <f>'Equity Volume Data'!BC34*'Equity Price Data'!BF35</f>
        <v>8704.5</v>
      </c>
      <c r="BA34" s="30">
        <f>'Equity Volume Data'!BD34*'Equity Price Data'!BG35</f>
        <v>5316.2</v>
      </c>
      <c r="BB34" s="30">
        <f>'Equity Volume Data'!BE34*'Equity Price Data'!BH35</f>
        <v>8031.2</v>
      </c>
      <c r="BC34" s="30">
        <f>'Equity Volume Data'!BF34*'Equity Price Data'!BI35</f>
        <v>0</v>
      </c>
      <c r="BD34" s="30">
        <f>'Equity Volume Data'!BG34*'Equity Price Data'!BJ35</f>
        <v>37526.34</v>
      </c>
      <c r="BE34" s="30">
        <f>'Equity Volume Data'!BH34*'Equity Price Data'!BK35</f>
        <v>12719</v>
      </c>
      <c r="BF34" s="30">
        <f>'Equity Volume Data'!BI34*'Equity Price Data'!BL35</f>
        <v>8198.8</v>
      </c>
      <c r="BG34" s="30">
        <f>'Equity Volume Data'!BJ34*'Equity Price Data'!BM35</f>
        <v>41872.36</v>
      </c>
      <c r="BH34" s="30">
        <f>'Equity Volume Data'!BK34*'Equity Price Data'!BN35</f>
        <v>1067.2</v>
      </c>
      <c r="BI34" s="30">
        <f>'Equity Volume Data'!BL34*'Equity Price Data'!BO35</f>
        <v>36201.6</v>
      </c>
      <c r="BJ34" s="30">
        <f>'Equity Volume Data'!BM34*'Equity Price Data'!BP35</f>
        <v>38194.5</v>
      </c>
      <c r="BK34" s="30">
        <f>'Equity Volume Data'!BN34*'Equity Price Data'!BQ35</f>
        <v>87469.08</v>
      </c>
      <c r="BL34" s="30">
        <f>'Equity Volume Data'!BO34*'Equity Price Data'!BR35</f>
        <v>499.61</v>
      </c>
      <c r="BM34" s="30">
        <f>'Equity Volume Data'!BP34*'Equity Price Data'!BS35</f>
        <v>0</v>
      </c>
      <c r="BN34" s="30">
        <f>'Equity Volume Data'!BQ34*'Equity Price Data'!BT35</f>
        <v>18666.52</v>
      </c>
      <c r="BO34" s="30">
        <f>'Equity Volume Data'!BR34*'Equity Price Data'!BU35</f>
        <v>34640</v>
      </c>
    </row>
    <row r="35">
      <c r="A35" s="25">
        <f>'Equity Price Data'!A36</f>
        <v>45474.66667</v>
      </c>
      <c r="B35" s="29">
        <f t="shared" si="1"/>
        <v>1244226.74</v>
      </c>
      <c r="C35" s="30">
        <f>'Equity Volume Data'!F35*'Equity Price Data'!I36</f>
        <v>7280.13</v>
      </c>
      <c r="D35" s="30">
        <f>'Equity Volume Data'!G35*'Equity Price Data'!J36</f>
        <v>51272</v>
      </c>
      <c r="E35" s="30">
        <f>'Equity Volume Data'!H35*'Equity Price Data'!K36</f>
        <v>14053.6</v>
      </c>
      <c r="F35" s="30">
        <f>'Equity Volume Data'!I35*'Equity Price Data'!L36</f>
        <v>55488</v>
      </c>
      <c r="G35" s="30">
        <f>'Equity Volume Data'!J35*'Equity Price Data'!M36</f>
        <v>19705.03</v>
      </c>
      <c r="H35" s="30">
        <f>'Equity Volume Data'!K35*'Equity Price Data'!N36</f>
        <v>11300.68</v>
      </c>
      <c r="I35" s="30">
        <f>'Equity Volume Data'!L35*'Equity Price Data'!O36</f>
        <v>10870</v>
      </c>
      <c r="J35" s="30">
        <f>'Equity Volume Data'!M35*'Equity Price Data'!P36</f>
        <v>41329.38</v>
      </c>
      <c r="K35" s="30">
        <f>'Equity Volume Data'!N35*'Equity Price Data'!Q36</f>
        <v>11542</v>
      </c>
      <c r="L35" s="30">
        <f>'Equity Volume Data'!O35*'Equity Price Data'!R36</f>
        <v>28044.17</v>
      </c>
      <c r="M35" s="30">
        <f>'Equity Volume Data'!P35*'Equity Price Data'!S36</f>
        <v>0</v>
      </c>
      <c r="N35" s="30">
        <f>'Equity Volume Data'!Q35*'Equity Price Data'!T36</f>
        <v>4952</v>
      </c>
      <c r="O35" s="30">
        <f>'Equity Volume Data'!R35*'Equity Price Data'!U36</f>
        <v>49362</v>
      </c>
      <c r="P35" s="30">
        <f>'Equity Volume Data'!S35*'Equity Price Data'!V36</f>
        <v>0</v>
      </c>
      <c r="Q35" s="30">
        <f>'Equity Volume Data'!T35*'Equity Price Data'!W36</f>
        <v>19800</v>
      </c>
      <c r="R35" s="30">
        <f>'Equity Volume Data'!U35*'Equity Price Data'!X36</f>
        <v>12521.6</v>
      </c>
      <c r="S35" s="30">
        <f>'Equity Volume Data'!V35*'Equity Price Data'!Y36</f>
        <v>28711.76</v>
      </c>
      <c r="T35" s="30">
        <f>'Equity Volume Data'!W35*'Equity Price Data'!Z36</f>
        <v>8957.5</v>
      </c>
      <c r="U35" s="30">
        <f>'Equity Volume Data'!X35*'Equity Price Data'!AA36</f>
        <v>16705.92</v>
      </c>
      <c r="V35" s="30">
        <f>'Equity Volume Data'!Y35*'Equity Price Data'!AB36</f>
        <v>14298.41</v>
      </c>
      <c r="W35" s="30">
        <f>'Equity Volume Data'!Z35*'Equity Price Data'!AC36</f>
        <v>10496.97</v>
      </c>
      <c r="X35" s="30">
        <f>'Equity Volume Data'!AA35*'Equity Price Data'!AD36</f>
        <v>26812.5</v>
      </c>
      <c r="Y35" s="30">
        <f>'Equity Volume Data'!AB35*'Equity Price Data'!AE36</f>
        <v>6569.55</v>
      </c>
      <c r="Z35" s="30">
        <f>'Equity Volume Data'!AC35*'Equity Price Data'!AF36</f>
        <v>7902</v>
      </c>
      <c r="AA35" s="30">
        <f>'Equity Volume Data'!AD35*'Equity Price Data'!AG36</f>
        <v>19543.2</v>
      </c>
      <c r="AB35" s="30">
        <f>'Equity Volume Data'!AE35*'Equity Price Data'!AH36</f>
        <v>8960.4</v>
      </c>
      <c r="AC35" s="30">
        <f>'Equity Volume Data'!AF35*'Equity Price Data'!AI36</f>
        <v>16409.6</v>
      </c>
      <c r="AD35" s="30">
        <f>'Equity Volume Data'!AG35*'Equity Price Data'!AJ36</f>
        <v>12954.15</v>
      </c>
      <c r="AE35" s="30">
        <f>'Equity Volume Data'!AH35*'Equity Price Data'!AK36</f>
        <v>9336</v>
      </c>
      <c r="AF35" s="30">
        <f>'Equity Volume Data'!AI35*'Equity Price Data'!AL36</f>
        <v>14071.2</v>
      </c>
      <c r="AG35" s="30">
        <f>'Equity Volume Data'!AJ35*'Equity Price Data'!AM36</f>
        <v>27819.6</v>
      </c>
      <c r="AH35" s="30">
        <f>'Equity Volume Data'!AK35*'Equity Price Data'!AN36</f>
        <v>33619</v>
      </c>
      <c r="AI35" s="30">
        <f>'Equity Volume Data'!AL35*'Equity Price Data'!AO36</f>
        <v>17260.25</v>
      </c>
      <c r="AJ35" s="30">
        <f>'Equity Volume Data'!AM35*'Equity Price Data'!AP36</f>
        <v>17800.9</v>
      </c>
      <c r="AK35" s="30">
        <f>'Equity Volume Data'!AN35*'Equity Price Data'!AQ36</f>
        <v>0</v>
      </c>
      <c r="AL35" s="30">
        <f>'Equity Volume Data'!AO35*'Equity Price Data'!AR36</f>
        <v>32872</v>
      </c>
      <c r="AM35" s="30">
        <f>'Equity Volume Data'!AP35*'Equity Price Data'!AS36</f>
        <v>32650.8</v>
      </c>
      <c r="AN35" s="30">
        <f>'Equity Volume Data'!AQ35*'Equity Price Data'!AT36</f>
        <v>10582.6</v>
      </c>
      <c r="AO35" s="30">
        <f>'Equity Volume Data'!AR35*'Equity Price Data'!AU36</f>
        <v>22460.2</v>
      </c>
      <c r="AP35" s="30">
        <f>'Equity Volume Data'!AS35*'Equity Price Data'!AV36</f>
        <v>19280</v>
      </c>
      <c r="AQ35" s="30">
        <f>'Equity Volume Data'!AT35*'Equity Price Data'!AW36</f>
        <v>15373.6</v>
      </c>
      <c r="AR35" s="30">
        <f>'Equity Volume Data'!AU35*'Equity Price Data'!AX36</f>
        <v>0</v>
      </c>
      <c r="AS35" s="30">
        <f>'Equity Volume Data'!AV35*'Equity Price Data'!AY36</f>
        <v>54807.6</v>
      </c>
      <c r="AT35" s="30">
        <f>'Equity Volume Data'!AW35*'Equity Price Data'!AZ36</f>
        <v>13980</v>
      </c>
      <c r="AU35" s="30">
        <f>'Equity Volume Data'!AX35*'Equity Price Data'!BA36</f>
        <v>0</v>
      </c>
      <c r="AV35" s="30">
        <f>'Equity Volume Data'!AY35*'Equity Price Data'!BB36</f>
        <v>65879</v>
      </c>
      <c r="AW35" s="30">
        <f>'Equity Volume Data'!AZ35*'Equity Price Data'!BC36</f>
        <v>3798</v>
      </c>
      <c r="AX35" s="30">
        <f>'Equity Volume Data'!BA35*'Equity Price Data'!BD36</f>
        <v>0</v>
      </c>
      <c r="AY35" s="30">
        <f>'Equity Volume Data'!BB35*'Equity Price Data'!BE36</f>
        <v>0</v>
      </c>
      <c r="AZ35" s="30">
        <f>'Equity Volume Data'!BC35*'Equity Price Data'!BF36</f>
        <v>8671.5</v>
      </c>
      <c r="BA35" s="30">
        <f>'Equity Volume Data'!BD35*'Equity Price Data'!BG36</f>
        <v>5361.8</v>
      </c>
      <c r="BB35" s="30">
        <f>'Equity Volume Data'!BE35*'Equity Price Data'!BH36</f>
        <v>7964</v>
      </c>
      <c r="BC35" s="30">
        <f>'Equity Volume Data'!BF35*'Equity Price Data'!BI36</f>
        <v>0</v>
      </c>
      <c r="BD35" s="30">
        <f>'Equity Volume Data'!BG35*'Equity Price Data'!BJ36</f>
        <v>38144.04</v>
      </c>
      <c r="BE35" s="30">
        <f>'Equity Volume Data'!BH35*'Equity Price Data'!BK36</f>
        <v>12459.56</v>
      </c>
      <c r="BF35" s="30">
        <f>'Equity Volume Data'!BI35*'Equity Price Data'!BL36</f>
        <v>8148.4</v>
      </c>
      <c r="BG35" s="30">
        <f>'Equity Volume Data'!BJ35*'Equity Price Data'!BM36</f>
        <v>41752.82</v>
      </c>
      <c r="BH35" s="30">
        <f>'Equity Volume Data'!BK35*'Equity Price Data'!BN36</f>
        <v>1041.6</v>
      </c>
      <c r="BI35" s="30">
        <f>'Equity Volume Data'!BL35*'Equity Price Data'!BO36</f>
        <v>35977.6</v>
      </c>
      <c r="BJ35" s="30">
        <f>'Equity Volume Data'!BM35*'Equity Price Data'!BP36</f>
        <v>37098.75</v>
      </c>
      <c r="BK35" s="30">
        <f>'Equity Volume Data'!BN35*'Equity Price Data'!BQ36</f>
        <v>86604.12</v>
      </c>
      <c r="BL35" s="30">
        <f>'Equity Volume Data'!BO35*'Equity Price Data'!BR36</f>
        <v>497.73</v>
      </c>
      <c r="BM35" s="30">
        <f>'Equity Volume Data'!BP35*'Equity Price Data'!BS36</f>
        <v>0</v>
      </c>
      <c r="BN35" s="30">
        <f>'Equity Volume Data'!BQ35*'Equity Price Data'!BT36</f>
        <v>18431.52</v>
      </c>
      <c r="BO35" s="30">
        <f>'Equity Volume Data'!BR35*'Equity Price Data'!BU36</f>
        <v>34640</v>
      </c>
    </row>
    <row r="36">
      <c r="A36" s="25">
        <f>'Equity Price Data'!A37</f>
        <v>45475.66667</v>
      </c>
      <c r="B36" s="29">
        <f t="shared" si="1"/>
        <v>1247668.44</v>
      </c>
      <c r="C36" s="30">
        <f>'Equity Volume Data'!F36*'Equity Price Data'!I37</f>
        <v>7380.23</v>
      </c>
      <c r="D36" s="30">
        <f>'Equity Volume Data'!G36*'Equity Price Data'!J37</f>
        <v>52000</v>
      </c>
      <c r="E36" s="30">
        <f>'Equity Volume Data'!H36*'Equity Price Data'!K37</f>
        <v>14130.6</v>
      </c>
      <c r="F36" s="30">
        <f>'Equity Volume Data'!I36*'Equity Price Data'!L37</f>
        <v>56389.12</v>
      </c>
      <c r="G36" s="30">
        <f>'Equity Volume Data'!J36*'Equity Price Data'!M37</f>
        <v>19991.38</v>
      </c>
      <c r="H36" s="30">
        <f>'Equity Volume Data'!K36*'Equity Price Data'!N37</f>
        <v>11374</v>
      </c>
      <c r="I36" s="30">
        <f>'Equity Volume Data'!L36*'Equity Price Data'!O37</f>
        <v>10890</v>
      </c>
      <c r="J36" s="30">
        <f>'Equity Volume Data'!M36*'Equity Price Data'!P37</f>
        <v>41524.2</v>
      </c>
      <c r="K36" s="30">
        <f>'Equity Volume Data'!N36*'Equity Price Data'!Q37</f>
        <v>11550</v>
      </c>
      <c r="L36" s="30">
        <f>'Equity Volume Data'!O36*'Equity Price Data'!R37</f>
        <v>27687.22</v>
      </c>
      <c r="M36" s="30">
        <f>'Equity Volume Data'!P36*'Equity Price Data'!S37</f>
        <v>0</v>
      </c>
      <c r="N36" s="30">
        <f>'Equity Volume Data'!Q36*'Equity Price Data'!T37</f>
        <v>5026.4</v>
      </c>
      <c r="O36" s="30">
        <f>'Equity Volume Data'!R36*'Equity Price Data'!U37</f>
        <v>49164</v>
      </c>
      <c r="P36" s="30">
        <f>'Equity Volume Data'!S36*'Equity Price Data'!V37</f>
        <v>0</v>
      </c>
      <c r="Q36" s="30">
        <f>'Equity Volume Data'!T36*'Equity Price Data'!W37</f>
        <v>20127.6</v>
      </c>
      <c r="R36" s="30">
        <f>'Equity Volume Data'!U36*'Equity Price Data'!X37</f>
        <v>12540</v>
      </c>
      <c r="S36" s="30">
        <f>'Equity Volume Data'!V36*'Equity Price Data'!Y37</f>
        <v>28680.08</v>
      </c>
      <c r="T36" s="30">
        <f>'Equity Volume Data'!W36*'Equity Price Data'!Z37</f>
        <v>9095</v>
      </c>
      <c r="U36" s="30">
        <f>'Equity Volume Data'!X36*'Equity Price Data'!AA37</f>
        <v>16671.6</v>
      </c>
      <c r="V36" s="30">
        <f>'Equity Volume Data'!Y36*'Equity Price Data'!AB37</f>
        <v>14324.17</v>
      </c>
      <c r="W36" s="30">
        <f>'Equity Volume Data'!Z36*'Equity Price Data'!AC37</f>
        <v>10550.79</v>
      </c>
      <c r="X36" s="30">
        <f>'Equity Volume Data'!AA36*'Equity Price Data'!AD37</f>
        <v>26777.5</v>
      </c>
      <c r="Y36" s="30">
        <f>'Equity Volume Data'!AB36*'Equity Price Data'!AE37</f>
        <v>6403.93</v>
      </c>
      <c r="Z36" s="30">
        <f>'Equity Volume Data'!AC36*'Equity Price Data'!AF37</f>
        <v>7987.5</v>
      </c>
      <c r="AA36" s="30">
        <f>'Equity Volume Data'!AD36*'Equity Price Data'!AG37</f>
        <v>19410.6</v>
      </c>
      <c r="AB36" s="30">
        <f>'Equity Volume Data'!AE36*'Equity Price Data'!AH37</f>
        <v>8946.6</v>
      </c>
      <c r="AC36" s="30">
        <f>'Equity Volume Data'!AF36*'Equity Price Data'!AI37</f>
        <v>16575.2</v>
      </c>
      <c r="AD36" s="30">
        <f>'Equity Volume Data'!AG36*'Equity Price Data'!AJ37</f>
        <v>12861.45</v>
      </c>
      <c r="AE36" s="30">
        <f>'Equity Volume Data'!AH36*'Equity Price Data'!AK37</f>
        <v>9390</v>
      </c>
      <c r="AF36" s="30">
        <f>'Equity Volume Data'!AI36*'Equity Price Data'!AL37</f>
        <v>14022</v>
      </c>
      <c r="AG36" s="30">
        <f>'Equity Volume Data'!AJ36*'Equity Price Data'!AM37</f>
        <v>27936.6</v>
      </c>
      <c r="AH36" s="30">
        <f>'Equity Volume Data'!AK36*'Equity Price Data'!AN37</f>
        <v>33497</v>
      </c>
      <c r="AI36" s="30">
        <f>'Equity Volume Data'!AL36*'Equity Price Data'!AO37</f>
        <v>17370.5</v>
      </c>
      <c r="AJ36" s="30">
        <f>'Equity Volume Data'!AM36*'Equity Price Data'!AP37</f>
        <v>18306.6</v>
      </c>
      <c r="AK36" s="30">
        <f>'Equity Volume Data'!AN36*'Equity Price Data'!AQ37</f>
        <v>0</v>
      </c>
      <c r="AL36" s="30">
        <f>'Equity Volume Data'!AO36*'Equity Price Data'!AR37</f>
        <v>33412.8</v>
      </c>
      <c r="AM36" s="30">
        <f>'Equity Volume Data'!AP36*'Equity Price Data'!AS37</f>
        <v>32599</v>
      </c>
      <c r="AN36" s="30">
        <f>'Equity Volume Data'!AQ36*'Equity Price Data'!AT37</f>
        <v>10558.45</v>
      </c>
      <c r="AO36" s="30">
        <f>'Equity Volume Data'!AR36*'Equity Price Data'!AU37</f>
        <v>22571.22</v>
      </c>
      <c r="AP36" s="30">
        <f>'Equity Volume Data'!AS36*'Equity Price Data'!AV37</f>
        <v>19342.5</v>
      </c>
      <c r="AQ36" s="30">
        <f>'Equity Volume Data'!AT36*'Equity Price Data'!AW37</f>
        <v>15408.8</v>
      </c>
      <c r="AR36" s="30">
        <f>'Equity Volume Data'!AU36*'Equity Price Data'!AX37</f>
        <v>0</v>
      </c>
      <c r="AS36" s="30">
        <f>'Equity Volume Data'!AV36*'Equity Price Data'!AY37</f>
        <v>55113.6</v>
      </c>
      <c r="AT36" s="30">
        <f>'Equity Volume Data'!AW36*'Equity Price Data'!AZ37</f>
        <v>14094</v>
      </c>
      <c r="AU36" s="30">
        <f>'Equity Volume Data'!AX36*'Equity Price Data'!BA37</f>
        <v>0</v>
      </c>
      <c r="AV36" s="30">
        <f>'Equity Volume Data'!AY36*'Equity Price Data'!BB37</f>
        <v>65015.1</v>
      </c>
      <c r="AW36" s="30">
        <f>'Equity Volume Data'!AZ36*'Equity Price Data'!BC37</f>
        <v>3838</v>
      </c>
      <c r="AX36" s="30">
        <f>'Equity Volume Data'!BA36*'Equity Price Data'!BD37</f>
        <v>0</v>
      </c>
      <c r="AY36" s="30">
        <f>'Equity Volume Data'!BB36*'Equity Price Data'!BE37</f>
        <v>0</v>
      </c>
      <c r="AZ36" s="30">
        <f>'Equity Volume Data'!BC36*'Equity Price Data'!BF37</f>
        <v>8845.5</v>
      </c>
      <c r="BA36" s="30">
        <f>'Equity Volume Data'!BD36*'Equity Price Data'!BG37</f>
        <v>5287.7</v>
      </c>
      <c r="BB36" s="30">
        <f>'Equity Volume Data'!BE36*'Equity Price Data'!BH37</f>
        <v>8032.8</v>
      </c>
      <c r="BC36" s="30">
        <f>'Equity Volume Data'!BF36*'Equity Price Data'!BI37</f>
        <v>0</v>
      </c>
      <c r="BD36" s="30">
        <f>'Equity Volume Data'!BG36*'Equity Price Data'!BJ37</f>
        <v>38335.74</v>
      </c>
      <c r="BE36" s="30">
        <f>'Equity Volume Data'!BH36*'Equity Price Data'!BK37</f>
        <v>12280.39</v>
      </c>
      <c r="BF36" s="30">
        <f>'Equity Volume Data'!BI36*'Equity Price Data'!BL37</f>
        <v>8248.4</v>
      </c>
      <c r="BG36" s="30">
        <f>'Equity Volume Data'!BJ36*'Equity Price Data'!BM37</f>
        <v>41413.66</v>
      </c>
      <c r="BH36" s="30">
        <f>'Equity Volume Data'!BK36*'Equity Price Data'!BN37</f>
        <v>1030.4</v>
      </c>
      <c r="BI36" s="30">
        <f>'Equity Volume Data'!BL36*'Equity Price Data'!BO37</f>
        <v>36080</v>
      </c>
      <c r="BJ36" s="30">
        <f>'Equity Volume Data'!BM36*'Equity Price Data'!BP37</f>
        <v>37368</v>
      </c>
      <c r="BK36" s="30">
        <f>'Equity Volume Data'!BN36*'Equity Price Data'!BQ37</f>
        <v>86658.18</v>
      </c>
      <c r="BL36" s="30">
        <f>'Equity Volume Data'!BO36*'Equity Price Data'!BR37</f>
        <v>490.21</v>
      </c>
      <c r="BM36" s="30">
        <f>'Equity Volume Data'!BP36*'Equity Price Data'!BS37</f>
        <v>0</v>
      </c>
      <c r="BN36" s="30">
        <f>'Equity Volume Data'!BQ36*'Equity Price Data'!BT37</f>
        <v>18422.12</v>
      </c>
      <c r="BO36" s="30">
        <f>'Equity Volume Data'!BR36*'Equity Price Data'!BU37</f>
        <v>34640</v>
      </c>
    </row>
    <row r="37">
      <c r="A37" s="25">
        <f>'Equity Price Data'!A38</f>
        <v>45476.54514</v>
      </c>
      <c r="B37" s="29">
        <f t="shared" si="1"/>
        <v>1250482.06</v>
      </c>
      <c r="C37" s="30">
        <f>'Equity Volume Data'!F37*'Equity Price Data'!I38</f>
        <v>7411.95</v>
      </c>
      <c r="D37" s="30">
        <f>'Equity Volume Data'!G37*'Equity Price Data'!J38</f>
        <v>51373.4</v>
      </c>
      <c r="E37" s="30">
        <f>'Equity Volume Data'!H37*'Equity Price Data'!K38</f>
        <v>14075.6</v>
      </c>
      <c r="F37" s="30">
        <f>'Equity Volume Data'!I37*'Equity Price Data'!L38</f>
        <v>56716.8</v>
      </c>
      <c r="G37" s="30">
        <f>'Equity Volume Data'!J37*'Equity Price Data'!M38</f>
        <v>20194.73</v>
      </c>
      <c r="H37" s="30">
        <f>'Equity Volume Data'!K37*'Equity Price Data'!N38</f>
        <v>11368.36</v>
      </c>
      <c r="I37" s="30">
        <f>'Equity Volume Data'!L37*'Equity Price Data'!O38</f>
        <v>11180</v>
      </c>
      <c r="J37" s="30">
        <f>'Equity Volume Data'!M37*'Equity Price Data'!P38</f>
        <v>41388.54</v>
      </c>
      <c r="K37" s="30">
        <f>'Equity Volume Data'!N37*'Equity Price Data'!Q38</f>
        <v>11908</v>
      </c>
      <c r="L37" s="30">
        <f>'Equity Volume Data'!O37*'Equity Price Data'!R38</f>
        <v>27177.81</v>
      </c>
      <c r="M37" s="30">
        <f>'Equity Volume Data'!P37*'Equity Price Data'!S38</f>
        <v>0</v>
      </c>
      <c r="N37" s="30">
        <f>'Equity Volume Data'!Q37*'Equity Price Data'!T38</f>
        <v>5076.8</v>
      </c>
      <c r="O37" s="30">
        <f>'Equity Volume Data'!R37*'Equity Price Data'!U38</f>
        <v>49591.5</v>
      </c>
      <c r="P37" s="30">
        <f>'Equity Volume Data'!S37*'Equity Price Data'!V38</f>
        <v>0</v>
      </c>
      <c r="Q37" s="30">
        <f>'Equity Volume Data'!T37*'Equity Price Data'!W38</f>
        <v>20246.4</v>
      </c>
      <c r="R37" s="30">
        <f>'Equity Volume Data'!U37*'Equity Price Data'!X38</f>
        <v>12536.8</v>
      </c>
      <c r="S37" s="30">
        <f>'Equity Volume Data'!V37*'Equity Price Data'!Y38</f>
        <v>28637.84</v>
      </c>
      <c r="T37" s="30">
        <f>'Equity Volume Data'!W37*'Equity Price Data'!Z38</f>
        <v>9012.5</v>
      </c>
      <c r="U37" s="30">
        <f>'Equity Volume Data'!X37*'Equity Price Data'!AA38</f>
        <v>16719.12</v>
      </c>
      <c r="V37" s="30">
        <f>'Equity Volume Data'!Y37*'Equity Price Data'!AB38</f>
        <v>14282.31</v>
      </c>
      <c r="W37" s="30">
        <f>'Equity Volume Data'!Z37*'Equity Price Data'!AC38</f>
        <v>10467.99</v>
      </c>
      <c r="X37" s="30">
        <f>'Equity Volume Data'!AA37*'Equity Price Data'!AD38</f>
        <v>26487.5</v>
      </c>
      <c r="Y37" s="30">
        <f>'Equity Volume Data'!AB37*'Equity Price Data'!AE38</f>
        <v>6465.29</v>
      </c>
      <c r="Z37" s="30">
        <f>'Equity Volume Data'!AC37*'Equity Price Data'!AF38</f>
        <v>7891.5</v>
      </c>
      <c r="AA37" s="30">
        <f>'Equity Volume Data'!AD37*'Equity Price Data'!AG38</f>
        <v>19509.2</v>
      </c>
      <c r="AB37" s="30">
        <f>'Equity Volume Data'!AE37*'Equity Price Data'!AH38</f>
        <v>8811.3</v>
      </c>
      <c r="AC37" s="30">
        <f>'Equity Volume Data'!AF37*'Equity Price Data'!AI38</f>
        <v>16908.8</v>
      </c>
      <c r="AD37" s="30">
        <f>'Equity Volume Data'!AG37*'Equity Price Data'!AJ38</f>
        <v>12819.6</v>
      </c>
      <c r="AE37" s="30">
        <f>'Equity Volume Data'!AH37*'Equity Price Data'!AK38</f>
        <v>9342</v>
      </c>
      <c r="AF37" s="30">
        <f>'Equity Volume Data'!AI37*'Equity Price Data'!AL38</f>
        <v>13650.95</v>
      </c>
      <c r="AG37" s="30">
        <f>'Equity Volume Data'!AJ37*'Equity Price Data'!AM38</f>
        <v>28075.2</v>
      </c>
      <c r="AH37" s="30">
        <f>'Equity Volume Data'!AK37*'Equity Price Data'!AN38</f>
        <v>33364</v>
      </c>
      <c r="AI37" s="30">
        <f>'Equity Volume Data'!AL37*'Equity Price Data'!AO38</f>
        <v>17095.75</v>
      </c>
      <c r="AJ37" s="30">
        <f>'Equity Volume Data'!AM37*'Equity Price Data'!AP38</f>
        <v>18350.8</v>
      </c>
      <c r="AK37" s="30">
        <f>'Equity Volume Data'!AN37*'Equity Price Data'!AQ38</f>
        <v>0</v>
      </c>
      <c r="AL37" s="30">
        <f>'Equity Volume Data'!AO37*'Equity Price Data'!AR38</f>
        <v>33390.4</v>
      </c>
      <c r="AM37" s="30">
        <f>'Equity Volume Data'!AP37*'Equity Price Data'!AS38</f>
        <v>32622.1</v>
      </c>
      <c r="AN37" s="30">
        <f>'Equity Volume Data'!AQ37*'Equity Price Data'!AT38</f>
        <v>10511.2</v>
      </c>
      <c r="AO37" s="30">
        <f>'Equity Volume Data'!AR37*'Equity Price Data'!AU38</f>
        <v>22912.82</v>
      </c>
      <c r="AP37" s="30">
        <f>'Equity Volume Data'!AS37*'Equity Price Data'!AV38</f>
        <v>19292.5</v>
      </c>
      <c r="AQ37" s="30">
        <f>'Equity Volume Data'!AT37*'Equity Price Data'!AW38</f>
        <v>15435.2</v>
      </c>
      <c r="AR37" s="30">
        <f>'Equity Volume Data'!AU37*'Equity Price Data'!AX38</f>
        <v>0</v>
      </c>
      <c r="AS37" s="30">
        <f>'Equity Volume Data'!AV37*'Equity Price Data'!AY38</f>
        <v>55292.4</v>
      </c>
      <c r="AT37" s="30">
        <f>'Equity Volume Data'!AW37*'Equity Price Data'!AZ38</f>
        <v>14366</v>
      </c>
      <c r="AU37" s="30">
        <f>'Equity Volume Data'!AX37*'Equity Price Data'!BA38</f>
        <v>0</v>
      </c>
      <c r="AV37" s="30">
        <f>'Equity Volume Data'!AY37*'Equity Price Data'!BB38</f>
        <v>67988.4</v>
      </c>
      <c r="AW37" s="30">
        <f>'Equity Volume Data'!AZ37*'Equity Price Data'!BC38</f>
        <v>3860.4</v>
      </c>
      <c r="AX37" s="30">
        <f>'Equity Volume Data'!BA37*'Equity Price Data'!BD38</f>
        <v>0</v>
      </c>
      <c r="AY37" s="30">
        <f>'Equity Volume Data'!BB37*'Equity Price Data'!BE38</f>
        <v>0</v>
      </c>
      <c r="AZ37" s="30">
        <f>'Equity Volume Data'!BC37*'Equity Price Data'!BF38</f>
        <v>8946</v>
      </c>
      <c r="BA37" s="30">
        <f>'Equity Volume Data'!BD37*'Equity Price Data'!BG38</f>
        <v>5263</v>
      </c>
      <c r="BB37" s="30">
        <f>'Equity Volume Data'!BE37*'Equity Price Data'!BH38</f>
        <v>8059.2</v>
      </c>
      <c r="BC37" s="30">
        <f>'Equity Volume Data'!BF37*'Equity Price Data'!BI38</f>
        <v>0</v>
      </c>
      <c r="BD37" s="30">
        <f>'Equity Volume Data'!BG37*'Equity Price Data'!BJ38</f>
        <v>38011.98</v>
      </c>
      <c r="BE37" s="30">
        <f>'Equity Volume Data'!BH37*'Equity Price Data'!BK38</f>
        <v>12319.03</v>
      </c>
      <c r="BF37" s="30">
        <f>'Equity Volume Data'!BI37*'Equity Price Data'!BL38</f>
        <v>8250</v>
      </c>
      <c r="BG37" s="30">
        <f>'Equity Volume Data'!BJ37*'Equity Price Data'!BM38</f>
        <v>41569.34</v>
      </c>
      <c r="BH37" s="30">
        <f>'Equity Volume Data'!BK37*'Equity Price Data'!BN38</f>
        <v>1024</v>
      </c>
      <c r="BI37" s="30">
        <f>'Equity Volume Data'!BL37*'Equity Price Data'!BO38</f>
        <v>36091.2</v>
      </c>
      <c r="BJ37" s="30">
        <f>'Equity Volume Data'!BM37*'Equity Price Data'!BP38</f>
        <v>36741.75</v>
      </c>
      <c r="BK37" s="30">
        <f>'Equity Volume Data'!BN37*'Equity Price Data'!BQ38</f>
        <v>86730.26</v>
      </c>
      <c r="BL37" s="30">
        <f>'Equity Volume Data'!BO37*'Equity Price Data'!BR38</f>
        <v>487.86</v>
      </c>
      <c r="BM37" s="30">
        <f>'Equity Volume Data'!BP37*'Equity Price Data'!BS38</f>
        <v>0</v>
      </c>
      <c r="BN37" s="30">
        <f>'Equity Volume Data'!BQ37*'Equity Price Data'!BT38</f>
        <v>18538.68</v>
      </c>
      <c r="BO37" s="30">
        <f>'Equity Volume Data'!BR37*'Equity Price Data'!BU38</f>
        <v>34640</v>
      </c>
    </row>
    <row r="38">
      <c r="A38" s="25">
        <f>'Equity Price Data'!A39</f>
        <v>45478.66667</v>
      </c>
      <c r="B38" s="29">
        <f t="shared" si="1"/>
        <v>1251439.77</v>
      </c>
      <c r="C38" s="30">
        <f>'Equity Volume Data'!F38*'Equity Price Data'!I39</f>
        <v>7518.42</v>
      </c>
      <c r="D38" s="30">
        <f>'Equity Volume Data'!G38*'Equity Price Data'!J39</f>
        <v>52000</v>
      </c>
      <c r="E38" s="30">
        <f>'Equity Volume Data'!H38*'Equity Price Data'!K39</f>
        <v>14301.1</v>
      </c>
      <c r="F38" s="30">
        <f>'Equity Volume Data'!I38*'Equity Price Data'!L39</f>
        <v>57943.04</v>
      </c>
      <c r="G38" s="30">
        <f>'Equity Volume Data'!J38*'Equity Price Data'!M39</f>
        <v>20134.97</v>
      </c>
      <c r="H38" s="30">
        <f>'Equity Volume Data'!K38*'Equity Price Data'!N39</f>
        <v>11257.44</v>
      </c>
      <c r="I38" s="30">
        <f>'Equity Volume Data'!L38*'Equity Price Data'!O39</f>
        <v>11370</v>
      </c>
      <c r="J38" s="30">
        <f>'Equity Volume Data'!M38*'Equity Price Data'!P39</f>
        <v>41939.34</v>
      </c>
      <c r="K38" s="30">
        <f>'Equity Volume Data'!N38*'Equity Price Data'!Q39</f>
        <v>11898</v>
      </c>
      <c r="L38" s="30">
        <f>'Equity Volume Data'!O38*'Equity Price Data'!R39</f>
        <v>27303.65</v>
      </c>
      <c r="M38" s="30">
        <f>'Equity Volume Data'!P38*'Equity Price Data'!S39</f>
        <v>0</v>
      </c>
      <c r="N38" s="30">
        <f>'Equity Volume Data'!Q38*'Equity Price Data'!T39</f>
        <v>5059.2</v>
      </c>
      <c r="O38" s="30">
        <f>'Equity Volume Data'!R38*'Equity Price Data'!U39</f>
        <v>49252.5</v>
      </c>
      <c r="P38" s="30">
        <f>'Equity Volume Data'!S38*'Equity Price Data'!V39</f>
        <v>0</v>
      </c>
      <c r="Q38" s="30">
        <f>'Equity Volume Data'!T38*'Equity Price Data'!W39</f>
        <v>20334</v>
      </c>
      <c r="R38" s="30">
        <f>'Equity Volume Data'!U38*'Equity Price Data'!X39</f>
        <v>12344.8</v>
      </c>
      <c r="S38" s="30">
        <f>'Equity Volume Data'!V38*'Equity Price Data'!Y39</f>
        <v>28082.56</v>
      </c>
      <c r="T38" s="30">
        <f>'Equity Volume Data'!W38*'Equity Price Data'!Z39</f>
        <v>8810</v>
      </c>
      <c r="U38" s="30">
        <f>'Equity Volume Data'!X38*'Equity Price Data'!AA39</f>
        <v>16832.64</v>
      </c>
      <c r="V38" s="30">
        <f>'Equity Volume Data'!Y38*'Equity Price Data'!AB39</f>
        <v>14372.47</v>
      </c>
      <c r="W38" s="30">
        <f>'Equity Volume Data'!Z38*'Equity Price Data'!AC39</f>
        <v>10449.36</v>
      </c>
      <c r="X38" s="30">
        <f>'Equity Volume Data'!AA38*'Equity Price Data'!AD39</f>
        <v>26670</v>
      </c>
      <c r="Y38" s="30">
        <f>'Equity Volume Data'!AB38*'Equity Price Data'!AE39</f>
        <v>6418.49</v>
      </c>
      <c r="Z38" s="30">
        <f>'Equity Volume Data'!AC38*'Equity Price Data'!AF39</f>
        <v>7930.5</v>
      </c>
      <c r="AA38" s="30">
        <f>'Equity Volume Data'!AD38*'Equity Price Data'!AG39</f>
        <v>19272.9</v>
      </c>
      <c r="AB38" s="30">
        <f>'Equity Volume Data'!AE38*'Equity Price Data'!AH39</f>
        <v>8820</v>
      </c>
      <c r="AC38" s="30">
        <f>'Equity Volume Data'!AF38*'Equity Price Data'!AI39</f>
        <v>16895.6</v>
      </c>
      <c r="AD38" s="30">
        <f>'Equity Volume Data'!AG38*'Equity Price Data'!AJ39</f>
        <v>12675.6</v>
      </c>
      <c r="AE38" s="30">
        <f>'Equity Volume Data'!AH38*'Equity Price Data'!AK39</f>
        <v>9304</v>
      </c>
      <c r="AF38" s="30">
        <f>'Equity Volume Data'!AI38*'Equity Price Data'!AL39</f>
        <v>13671.45</v>
      </c>
      <c r="AG38" s="30">
        <f>'Equity Volume Data'!AJ38*'Equity Price Data'!AM39</f>
        <v>27885</v>
      </c>
      <c r="AH38" s="30">
        <f>'Equity Volume Data'!AK38*'Equity Price Data'!AN39</f>
        <v>33458</v>
      </c>
      <c r="AI38" s="30">
        <f>'Equity Volume Data'!AL38*'Equity Price Data'!AO39</f>
        <v>17165.75</v>
      </c>
      <c r="AJ38" s="30">
        <f>'Equity Volume Data'!AM38*'Equity Price Data'!AP39</f>
        <v>18302.7</v>
      </c>
      <c r="AK38" s="30">
        <f>'Equity Volume Data'!AN38*'Equity Price Data'!AQ39</f>
        <v>0</v>
      </c>
      <c r="AL38" s="30">
        <f>'Equity Volume Data'!AO38*'Equity Price Data'!AR39</f>
        <v>32766.4</v>
      </c>
      <c r="AM38" s="30">
        <f>'Equity Volume Data'!AP38*'Equity Price Data'!AS39</f>
        <v>32351.2</v>
      </c>
      <c r="AN38" s="30">
        <f>'Equity Volume Data'!AQ38*'Equity Price Data'!AT39</f>
        <v>10434.9</v>
      </c>
      <c r="AO38" s="30">
        <f>'Equity Volume Data'!AR38*'Equity Price Data'!AU39</f>
        <v>22750.56</v>
      </c>
      <c r="AP38" s="30">
        <f>'Equity Volume Data'!AS38*'Equity Price Data'!AV39</f>
        <v>19402.5</v>
      </c>
      <c r="AQ38" s="30">
        <f>'Equity Volume Data'!AT38*'Equity Price Data'!AW39</f>
        <v>15290</v>
      </c>
      <c r="AR38" s="30">
        <f>'Equity Volume Data'!AU38*'Equity Price Data'!AX39</f>
        <v>0</v>
      </c>
      <c r="AS38" s="30">
        <f>'Equity Volume Data'!AV38*'Equity Price Data'!AY39</f>
        <v>56107.2</v>
      </c>
      <c r="AT38" s="30">
        <f>'Equity Volume Data'!AW38*'Equity Price Data'!AZ39</f>
        <v>14418</v>
      </c>
      <c r="AU38" s="30">
        <f>'Equity Volume Data'!AX38*'Equity Price Data'!BA39</f>
        <v>0</v>
      </c>
      <c r="AV38" s="30">
        <f>'Equity Volume Data'!AY38*'Equity Price Data'!BB39</f>
        <v>66689.9</v>
      </c>
      <c r="AW38" s="30">
        <f>'Equity Volume Data'!AZ38*'Equity Price Data'!BC39</f>
        <v>3875.2</v>
      </c>
      <c r="AX38" s="30">
        <f>'Equity Volume Data'!BA38*'Equity Price Data'!BD39</f>
        <v>0</v>
      </c>
      <c r="AY38" s="30">
        <f>'Equity Volume Data'!BB38*'Equity Price Data'!BE39</f>
        <v>0</v>
      </c>
      <c r="AZ38" s="30">
        <f>'Equity Volume Data'!BC38*'Equity Price Data'!BF39</f>
        <v>8964</v>
      </c>
      <c r="BA38" s="30">
        <f>'Equity Volume Data'!BD38*'Equity Price Data'!BG39</f>
        <v>5329.5</v>
      </c>
      <c r="BB38" s="30">
        <f>'Equity Volume Data'!BE38*'Equity Price Data'!BH39</f>
        <v>8029.6</v>
      </c>
      <c r="BC38" s="30">
        <f>'Equity Volume Data'!BF38*'Equity Price Data'!BI39</f>
        <v>0</v>
      </c>
      <c r="BD38" s="30">
        <f>'Equity Volume Data'!BG38*'Equity Price Data'!BJ39</f>
        <v>38178.12</v>
      </c>
      <c r="BE38" s="30">
        <f>'Equity Volume Data'!BH38*'Equity Price Data'!BK39</f>
        <v>12422.3</v>
      </c>
      <c r="BF38" s="30">
        <f>'Equity Volume Data'!BI38*'Equity Price Data'!BL39</f>
        <v>8258</v>
      </c>
      <c r="BG38" s="30">
        <f>'Equity Volume Data'!BJ38*'Equity Price Data'!BM39</f>
        <v>42353.3</v>
      </c>
      <c r="BH38" s="30">
        <f>'Equity Volume Data'!BK38*'Equity Price Data'!BN39</f>
        <v>1024</v>
      </c>
      <c r="BI38" s="30">
        <f>'Equity Volume Data'!BL38*'Equity Price Data'!BO39</f>
        <v>36027.2</v>
      </c>
      <c r="BJ38" s="30">
        <f>'Equity Volume Data'!BM38*'Equity Price Data'!BP39</f>
        <v>36600.75</v>
      </c>
      <c r="BK38" s="30">
        <f>'Equity Volume Data'!BN38*'Equity Price Data'!BQ39</f>
        <v>86946.5</v>
      </c>
      <c r="BL38" s="30">
        <f>'Equity Volume Data'!BO38*'Equity Price Data'!BR39</f>
        <v>485.04</v>
      </c>
      <c r="BM38" s="30">
        <f>'Equity Volume Data'!BP38*'Equity Price Data'!BS39</f>
        <v>0</v>
      </c>
      <c r="BN38" s="30">
        <f>'Equity Volume Data'!BQ38*'Equity Price Data'!BT39</f>
        <v>18422.12</v>
      </c>
      <c r="BO38" s="30">
        <f>'Equity Volume Data'!BR38*'Equity Price Data'!BU39</f>
        <v>34640</v>
      </c>
    </row>
    <row r="39">
      <c r="A39" s="25">
        <f>'Equity Price Data'!A40</f>
        <v>45481.66667</v>
      </c>
      <c r="B39" s="29">
        <f t="shared" si="1"/>
        <v>1252696.47</v>
      </c>
      <c r="C39" s="30">
        <f>'Equity Volume Data'!F39*'Equity Price Data'!I40</f>
        <v>7480.2</v>
      </c>
      <c r="D39" s="30">
        <f>'Equity Volume Data'!G39*'Equity Price Data'!J40</f>
        <v>51815.4</v>
      </c>
      <c r="E39" s="30">
        <f>'Equity Volume Data'!H39*'Equity Price Data'!K40</f>
        <v>14291.2</v>
      </c>
      <c r="F39" s="30">
        <f>'Equity Volume Data'!I39*'Equity Price Data'!L40</f>
        <v>58321.92</v>
      </c>
      <c r="G39" s="30">
        <f>'Equity Volume Data'!J39*'Equity Price Data'!M40</f>
        <v>20442.07</v>
      </c>
      <c r="H39" s="30">
        <f>'Equity Volume Data'!K39*'Equity Price Data'!N40</f>
        <v>11193.52</v>
      </c>
      <c r="I39" s="30">
        <f>'Equity Volume Data'!L39*'Equity Price Data'!O40</f>
        <v>11480</v>
      </c>
      <c r="J39" s="30">
        <f>'Equity Volume Data'!M39*'Equity Price Data'!P40</f>
        <v>41726.16</v>
      </c>
      <c r="K39" s="30">
        <f>'Equity Volume Data'!N39*'Equity Price Data'!Q40</f>
        <v>11670</v>
      </c>
      <c r="L39" s="30">
        <f>'Equity Volume Data'!O39*'Equity Price Data'!R40</f>
        <v>27596.47</v>
      </c>
      <c r="M39" s="30">
        <f>'Equity Volume Data'!P39*'Equity Price Data'!S40</f>
        <v>0</v>
      </c>
      <c r="N39" s="30">
        <f>'Equity Volume Data'!Q39*'Equity Price Data'!T40</f>
        <v>5050.4</v>
      </c>
      <c r="O39" s="30">
        <f>'Equity Volume Data'!R39*'Equity Price Data'!U40</f>
        <v>49359</v>
      </c>
      <c r="P39" s="30">
        <f>'Equity Volume Data'!S39*'Equity Price Data'!V40</f>
        <v>0</v>
      </c>
      <c r="Q39" s="30">
        <f>'Equity Volume Data'!T39*'Equity Price Data'!W40</f>
        <v>20328</v>
      </c>
      <c r="R39" s="30">
        <f>'Equity Volume Data'!U39*'Equity Price Data'!X40</f>
        <v>12346.4</v>
      </c>
      <c r="S39" s="30">
        <f>'Equity Volume Data'!V39*'Equity Price Data'!Y40</f>
        <v>28492.64</v>
      </c>
      <c r="T39" s="30">
        <f>'Equity Volume Data'!W39*'Equity Price Data'!Z40</f>
        <v>8887.5</v>
      </c>
      <c r="U39" s="30">
        <f>'Equity Volume Data'!X39*'Equity Price Data'!AA40</f>
        <v>16621.44</v>
      </c>
      <c r="V39" s="30">
        <f>'Equity Volume Data'!Y39*'Equity Price Data'!AB40</f>
        <v>14235.62</v>
      </c>
      <c r="W39" s="30">
        <f>'Equity Volume Data'!Z39*'Equity Price Data'!AC40</f>
        <v>10602.54</v>
      </c>
      <c r="X39" s="30">
        <f>'Equity Volume Data'!AA39*'Equity Price Data'!AD40</f>
        <v>26680</v>
      </c>
      <c r="Y39" s="30">
        <f>'Equity Volume Data'!AB39*'Equity Price Data'!AE40</f>
        <v>6504.29</v>
      </c>
      <c r="Z39" s="30">
        <f>'Equity Volume Data'!AC39*'Equity Price Data'!AF40</f>
        <v>7918.5</v>
      </c>
      <c r="AA39" s="30">
        <f>'Equity Volume Data'!AD39*'Equity Price Data'!AG40</f>
        <v>19070.6</v>
      </c>
      <c r="AB39" s="30">
        <f>'Equity Volume Data'!AE39*'Equity Price Data'!AH40</f>
        <v>8865.9</v>
      </c>
      <c r="AC39" s="30">
        <f>'Equity Volume Data'!AF39*'Equity Price Data'!AI40</f>
        <v>17095.2</v>
      </c>
      <c r="AD39" s="30">
        <f>'Equity Volume Data'!AG39*'Equity Price Data'!AJ40</f>
        <v>12621.15</v>
      </c>
      <c r="AE39" s="30">
        <f>'Equity Volume Data'!AH39*'Equity Price Data'!AK40</f>
        <v>9310</v>
      </c>
      <c r="AF39" s="30">
        <f>'Equity Volume Data'!AI39*'Equity Price Data'!AL40</f>
        <v>13847.75</v>
      </c>
      <c r="AG39" s="30">
        <f>'Equity Volume Data'!AJ39*'Equity Price Data'!AM40</f>
        <v>27889.2</v>
      </c>
      <c r="AH39" s="30">
        <f>'Equity Volume Data'!AK39*'Equity Price Data'!AN40</f>
        <v>33960</v>
      </c>
      <c r="AI39" s="30">
        <f>'Equity Volume Data'!AL39*'Equity Price Data'!AO40</f>
        <v>17202.5</v>
      </c>
      <c r="AJ39" s="30">
        <f>'Equity Volume Data'!AM39*'Equity Price Data'!AP40</f>
        <v>18352.1</v>
      </c>
      <c r="AK39" s="30">
        <f>'Equity Volume Data'!AN39*'Equity Price Data'!AQ40</f>
        <v>0</v>
      </c>
      <c r="AL39" s="30">
        <f>'Equity Volume Data'!AO39*'Equity Price Data'!AR40</f>
        <v>32827.2</v>
      </c>
      <c r="AM39" s="30">
        <f>'Equity Volume Data'!AP39*'Equity Price Data'!AS40</f>
        <v>32323.2</v>
      </c>
      <c r="AN39" s="30">
        <f>'Equity Volume Data'!AQ39*'Equity Price Data'!AT40</f>
        <v>10291.05</v>
      </c>
      <c r="AO39" s="30">
        <f>'Equity Volume Data'!AR39*'Equity Price Data'!AU40</f>
        <v>23049.46</v>
      </c>
      <c r="AP39" s="30">
        <f>'Equity Volume Data'!AS39*'Equity Price Data'!AV40</f>
        <v>19210</v>
      </c>
      <c r="AQ39" s="30">
        <f>'Equity Volume Data'!AT39*'Equity Price Data'!AW40</f>
        <v>15270.2</v>
      </c>
      <c r="AR39" s="30">
        <f>'Equity Volume Data'!AU39*'Equity Price Data'!AX40</f>
        <v>0</v>
      </c>
      <c r="AS39" s="30">
        <f>'Equity Volume Data'!AV39*'Equity Price Data'!AY40</f>
        <v>55948.8</v>
      </c>
      <c r="AT39" s="30">
        <f>'Equity Volume Data'!AW39*'Equity Price Data'!AZ40</f>
        <v>14422</v>
      </c>
      <c r="AU39" s="30">
        <f>'Equity Volume Data'!AX39*'Equity Price Data'!BA40</f>
        <v>0</v>
      </c>
      <c r="AV39" s="30">
        <f>'Equity Volume Data'!AY39*'Equity Price Data'!BB40</f>
        <v>67946</v>
      </c>
      <c r="AW39" s="30">
        <f>'Equity Volume Data'!AZ39*'Equity Price Data'!BC40</f>
        <v>3896</v>
      </c>
      <c r="AX39" s="30">
        <f>'Equity Volume Data'!BA39*'Equity Price Data'!BD40</f>
        <v>0</v>
      </c>
      <c r="AY39" s="30">
        <f>'Equity Volume Data'!BB39*'Equity Price Data'!BE40</f>
        <v>0</v>
      </c>
      <c r="AZ39" s="30">
        <f>'Equity Volume Data'!BC39*'Equity Price Data'!BF40</f>
        <v>8863.5</v>
      </c>
      <c r="BA39" s="30">
        <f>'Equity Volume Data'!BD39*'Equity Price Data'!BG40</f>
        <v>5306.7</v>
      </c>
      <c r="BB39" s="30">
        <f>'Equity Volume Data'!BE39*'Equity Price Data'!BH40</f>
        <v>8008</v>
      </c>
      <c r="BC39" s="30">
        <f>'Equity Volume Data'!BF39*'Equity Price Data'!BI40</f>
        <v>0</v>
      </c>
      <c r="BD39" s="30">
        <f>'Equity Volume Data'!BG39*'Equity Price Data'!BJ40</f>
        <v>38163.21</v>
      </c>
      <c r="BE39" s="30">
        <f>'Equity Volume Data'!BH39*'Equity Price Data'!BK40</f>
        <v>12334.67</v>
      </c>
      <c r="BF39" s="30">
        <f>'Equity Volume Data'!BI39*'Equity Price Data'!BL40</f>
        <v>8197.6</v>
      </c>
      <c r="BG39" s="30">
        <f>'Equity Volume Data'!BJ39*'Equity Price Data'!BM40</f>
        <v>41477.6</v>
      </c>
      <c r="BH39" s="30">
        <f>'Equity Volume Data'!BK39*'Equity Price Data'!BN40</f>
        <v>1088</v>
      </c>
      <c r="BI39" s="30">
        <f>'Equity Volume Data'!BL39*'Equity Price Data'!BO40</f>
        <v>35742.4</v>
      </c>
      <c r="BJ39" s="30">
        <f>'Equity Volume Data'!BM39*'Equity Price Data'!BP40</f>
        <v>36700.5</v>
      </c>
      <c r="BK39" s="30">
        <f>'Equity Volume Data'!BN39*'Equity Price Data'!BQ40</f>
        <v>86928.48</v>
      </c>
      <c r="BL39" s="30">
        <f>'Equity Volume Data'!BO39*'Equity Price Data'!BR40</f>
        <v>498.67</v>
      </c>
      <c r="BM39" s="30">
        <f>'Equity Volume Data'!BP39*'Equity Price Data'!BS40</f>
        <v>0</v>
      </c>
      <c r="BN39" s="30">
        <f>'Equity Volume Data'!BQ39*'Equity Price Data'!BT40</f>
        <v>18305.56</v>
      </c>
      <c r="BO39" s="30">
        <f>'Equity Volume Data'!BR39*'Equity Price Data'!BU40</f>
        <v>34640</v>
      </c>
    </row>
    <row r="40">
      <c r="A40" s="25">
        <f>'Equity Price Data'!A41</f>
        <v>45482.66667</v>
      </c>
      <c r="B40" s="29">
        <f t="shared" si="1"/>
        <v>1252660.76</v>
      </c>
      <c r="C40" s="30">
        <f>'Equity Volume Data'!F40*'Equity Price Data'!I41</f>
        <v>7358.26</v>
      </c>
      <c r="D40" s="30">
        <f>'Equity Volume Data'!G40*'Equity Price Data'!J41</f>
        <v>51828.4</v>
      </c>
      <c r="E40" s="30">
        <f>'Equity Volume Data'!H40*'Equity Price Data'!K41</f>
        <v>14379.2</v>
      </c>
      <c r="F40" s="30">
        <f>'Equity Volume Data'!I40*'Equity Price Data'!L41</f>
        <v>58542.08</v>
      </c>
      <c r="G40" s="30">
        <f>'Equity Volume Data'!J40*'Equity Price Data'!M41</f>
        <v>20872.01</v>
      </c>
      <c r="H40" s="30">
        <f>'Equity Volume Data'!K40*'Equity Price Data'!N41</f>
        <v>11319.48</v>
      </c>
      <c r="I40" s="30">
        <f>'Equity Volume Data'!L40*'Equity Price Data'!O41</f>
        <v>11170</v>
      </c>
      <c r="J40" s="30">
        <f>'Equity Volume Data'!M40*'Equity Price Data'!P41</f>
        <v>41873.04</v>
      </c>
      <c r="K40" s="30">
        <f>'Equity Volume Data'!N40*'Equity Price Data'!Q41</f>
        <v>11672</v>
      </c>
      <c r="L40" s="30">
        <f>'Equity Volume Data'!O40*'Equity Price Data'!R41</f>
        <v>27716.26</v>
      </c>
      <c r="M40" s="30">
        <f>'Equity Volume Data'!P40*'Equity Price Data'!S41</f>
        <v>0</v>
      </c>
      <c r="N40" s="30">
        <f>'Equity Volume Data'!Q40*'Equity Price Data'!T41</f>
        <v>4983.2</v>
      </c>
      <c r="O40" s="30">
        <f>'Equity Volume Data'!R40*'Equity Price Data'!U41</f>
        <v>48909</v>
      </c>
      <c r="P40" s="30">
        <f>'Equity Volume Data'!S40*'Equity Price Data'!V41</f>
        <v>0</v>
      </c>
      <c r="Q40" s="30">
        <f>'Equity Volume Data'!T40*'Equity Price Data'!W41</f>
        <v>20386.8</v>
      </c>
      <c r="R40" s="30">
        <f>'Equity Volume Data'!U40*'Equity Price Data'!X41</f>
        <v>12238.4</v>
      </c>
      <c r="S40" s="30">
        <f>'Equity Volume Data'!V40*'Equity Price Data'!Y41</f>
        <v>28896.56</v>
      </c>
      <c r="T40" s="30">
        <f>'Equity Volume Data'!W40*'Equity Price Data'!Z41</f>
        <v>9075</v>
      </c>
      <c r="U40" s="30">
        <f>'Equity Volume Data'!X40*'Equity Price Data'!AA41</f>
        <v>16550.16</v>
      </c>
      <c r="V40" s="30">
        <f>'Equity Volume Data'!Y40*'Equity Price Data'!AB41</f>
        <v>14304.85</v>
      </c>
      <c r="W40" s="30">
        <f>'Equity Volume Data'!Z40*'Equity Price Data'!AC41</f>
        <v>10577.7</v>
      </c>
      <c r="X40" s="30">
        <f>'Equity Volume Data'!AA40*'Equity Price Data'!AD41</f>
        <v>26007.5</v>
      </c>
      <c r="Y40" s="30">
        <f>'Equity Volume Data'!AB40*'Equity Price Data'!AE41</f>
        <v>6211.79</v>
      </c>
      <c r="Z40" s="30">
        <f>'Equity Volume Data'!AC40*'Equity Price Data'!AF41</f>
        <v>7897.5</v>
      </c>
      <c r="AA40" s="30">
        <f>'Equity Volume Data'!AD40*'Equity Price Data'!AG41</f>
        <v>18859.8</v>
      </c>
      <c r="AB40" s="30">
        <f>'Equity Volume Data'!AE40*'Equity Price Data'!AH41</f>
        <v>8781.9</v>
      </c>
      <c r="AC40" s="30">
        <f>'Equity Volume Data'!AF40*'Equity Price Data'!AI41</f>
        <v>17051.6</v>
      </c>
      <c r="AD40" s="30">
        <f>'Equity Volume Data'!AG40*'Equity Price Data'!AJ41</f>
        <v>12577.95</v>
      </c>
      <c r="AE40" s="30">
        <f>'Equity Volume Data'!AH40*'Equity Price Data'!AK41</f>
        <v>9252</v>
      </c>
      <c r="AF40" s="30">
        <f>'Equity Volume Data'!AI40*'Equity Price Data'!AL41</f>
        <v>13890.8</v>
      </c>
      <c r="AG40" s="30">
        <f>'Equity Volume Data'!AJ40*'Equity Price Data'!AM41</f>
        <v>28369.8</v>
      </c>
      <c r="AH40" s="30">
        <f>'Equity Volume Data'!AK40*'Equity Price Data'!AN41</f>
        <v>33709</v>
      </c>
      <c r="AI40" s="30">
        <f>'Equity Volume Data'!AL40*'Equity Price Data'!AO41</f>
        <v>17137.75</v>
      </c>
      <c r="AJ40" s="30">
        <f>'Equity Volume Data'!AM40*'Equity Price Data'!AP41</f>
        <v>18519.8</v>
      </c>
      <c r="AK40" s="30">
        <f>'Equity Volume Data'!AN40*'Equity Price Data'!AQ41</f>
        <v>0</v>
      </c>
      <c r="AL40" s="30">
        <f>'Equity Volume Data'!AO40*'Equity Price Data'!AR41</f>
        <v>33220.8</v>
      </c>
      <c r="AM40" s="30">
        <f>'Equity Volume Data'!AP40*'Equity Price Data'!AS41</f>
        <v>32221</v>
      </c>
      <c r="AN40" s="30">
        <f>'Equity Volume Data'!AQ40*'Equity Price Data'!AT41</f>
        <v>10145.45</v>
      </c>
      <c r="AO40" s="30">
        <f>'Equity Volume Data'!AR40*'Equity Price Data'!AU41</f>
        <v>23006.76</v>
      </c>
      <c r="AP40" s="30">
        <f>'Equity Volume Data'!AS40*'Equity Price Data'!AV41</f>
        <v>19220</v>
      </c>
      <c r="AQ40" s="30">
        <f>'Equity Volume Data'!AT40*'Equity Price Data'!AW41</f>
        <v>15382.4</v>
      </c>
      <c r="AR40" s="30">
        <f>'Equity Volume Data'!AU40*'Equity Price Data'!AX41</f>
        <v>0</v>
      </c>
      <c r="AS40" s="30">
        <f>'Equity Volume Data'!AV40*'Equity Price Data'!AY41</f>
        <v>55144.8</v>
      </c>
      <c r="AT40" s="30">
        <f>'Equity Volume Data'!AW40*'Equity Price Data'!AZ41</f>
        <v>14424</v>
      </c>
      <c r="AU40" s="30">
        <f>'Equity Volume Data'!AX40*'Equity Price Data'!BA41</f>
        <v>0</v>
      </c>
      <c r="AV40" s="30">
        <f>'Equity Volume Data'!AY40*'Equity Price Data'!BB41</f>
        <v>69631.4</v>
      </c>
      <c r="AW40" s="30">
        <f>'Equity Volume Data'!AZ40*'Equity Price Data'!BC41</f>
        <v>3852.4</v>
      </c>
      <c r="AX40" s="30">
        <f>'Equity Volume Data'!BA40*'Equity Price Data'!BD41</f>
        <v>0</v>
      </c>
      <c r="AY40" s="30">
        <f>'Equity Volume Data'!BB40*'Equity Price Data'!BE41</f>
        <v>0</v>
      </c>
      <c r="AZ40" s="30">
        <f>'Equity Volume Data'!BC40*'Equity Price Data'!BF41</f>
        <v>8850</v>
      </c>
      <c r="BA40" s="30">
        <f>'Equity Volume Data'!BD40*'Equity Price Data'!BG41</f>
        <v>5266.8</v>
      </c>
      <c r="BB40" s="30">
        <f>'Equity Volume Data'!BE40*'Equity Price Data'!BH41</f>
        <v>8088.8</v>
      </c>
      <c r="BC40" s="30">
        <f>'Equity Volume Data'!BF40*'Equity Price Data'!BI41</f>
        <v>0</v>
      </c>
      <c r="BD40" s="30">
        <f>'Equity Volume Data'!BG40*'Equity Price Data'!BJ41</f>
        <v>38137.65</v>
      </c>
      <c r="BE40" s="30">
        <f>'Equity Volume Data'!BH40*'Equity Price Data'!BK41</f>
        <v>12232.78</v>
      </c>
      <c r="BF40" s="30">
        <f>'Equity Volume Data'!BI40*'Equity Price Data'!BL41</f>
        <v>8066.8</v>
      </c>
      <c r="BG40" s="30">
        <f>'Equity Volume Data'!BJ40*'Equity Price Data'!BM41</f>
        <v>41082.84</v>
      </c>
      <c r="BH40" s="30">
        <f>'Equity Volume Data'!BK40*'Equity Price Data'!BN41</f>
        <v>1088</v>
      </c>
      <c r="BI40" s="30">
        <f>'Equity Volume Data'!BL40*'Equity Price Data'!BO41</f>
        <v>35484.8</v>
      </c>
      <c r="BJ40" s="30">
        <f>'Equity Volume Data'!BM40*'Equity Price Data'!BP41</f>
        <v>36908.25</v>
      </c>
      <c r="BK40" s="30">
        <f>'Equity Volume Data'!BN40*'Equity Price Data'!BQ41</f>
        <v>86892.44</v>
      </c>
      <c r="BL40" s="30">
        <f>'Equity Volume Data'!BO40*'Equity Price Data'!BR41</f>
        <v>507.6</v>
      </c>
      <c r="BM40" s="30">
        <f>'Equity Volume Data'!BP40*'Equity Price Data'!BS41</f>
        <v>0</v>
      </c>
      <c r="BN40" s="30">
        <f>'Equity Volume Data'!BQ40*'Equity Price Data'!BT41</f>
        <v>18245.4</v>
      </c>
      <c r="BO40" s="30">
        <f>'Equity Volume Data'!BR40*'Equity Price Data'!BU41</f>
        <v>34640</v>
      </c>
    </row>
    <row r="41">
      <c r="A41" s="25">
        <f>'Equity Price Data'!A42</f>
        <v>45483.66667</v>
      </c>
      <c r="B41" s="29">
        <f t="shared" si="1"/>
        <v>1261140.92</v>
      </c>
      <c r="C41" s="30">
        <f>'Equity Volume Data'!F41*'Equity Price Data'!I42</f>
        <v>7339.15</v>
      </c>
      <c r="D41" s="30">
        <f>'Equity Volume Data'!G41*'Equity Price Data'!J42</f>
        <v>51945.4</v>
      </c>
      <c r="E41" s="30">
        <f>'Equity Volume Data'!H41*'Equity Price Data'!K42</f>
        <v>14545.3</v>
      </c>
      <c r="F41" s="30">
        <f>'Equity Volume Data'!I41*'Equity Price Data'!L42</f>
        <v>59642.88</v>
      </c>
      <c r="G41" s="30">
        <f>'Equity Volume Data'!J41*'Equity Price Data'!M42</f>
        <v>21162.51</v>
      </c>
      <c r="H41" s="30">
        <f>'Equity Volume Data'!K41*'Equity Price Data'!N42</f>
        <v>11411.6</v>
      </c>
      <c r="I41" s="30">
        <f>'Equity Volume Data'!L41*'Equity Price Data'!O42</f>
        <v>11400</v>
      </c>
      <c r="J41" s="30">
        <f>'Equity Volume Data'!M41*'Equity Price Data'!P42</f>
        <v>42206.58</v>
      </c>
      <c r="K41" s="30">
        <f>'Equity Volume Data'!N41*'Equity Price Data'!Q42</f>
        <v>11710</v>
      </c>
      <c r="L41" s="30">
        <f>'Equity Volume Data'!O41*'Equity Price Data'!R42</f>
        <v>28162.75</v>
      </c>
      <c r="M41" s="30">
        <f>'Equity Volume Data'!P41*'Equity Price Data'!S42</f>
        <v>0</v>
      </c>
      <c r="N41" s="30">
        <f>'Equity Volume Data'!Q41*'Equity Price Data'!T42</f>
        <v>5088</v>
      </c>
      <c r="O41" s="30">
        <f>'Equity Volume Data'!R41*'Equity Price Data'!U42</f>
        <v>49272</v>
      </c>
      <c r="P41" s="30">
        <f>'Equity Volume Data'!S41*'Equity Price Data'!V42</f>
        <v>0</v>
      </c>
      <c r="Q41" s="30">
        <f>'Equity Volume Data'!T41*'Equity Price Data'!W42</f>
        <v>20437.2</v>
      </c>
      <c r="R41" s="30">
        <f>'Equity Volume Data'!U41*'Equity Price Data'!X42</f>
        <v>12410.4</v>
      </c>
      <c r="S41" s="30">
        <f>'Equity Volume Data'!V41*'Equity Price Data'!Y42</f>
        <v>29032.08</v>
      </c>
      <c r="T41" s="30">
        <f>'Equity Volume Data'!W41*'Equity Price Data'!Z42</f>
        <v>9170</v>
      </c>
      <c r="U41" s="30">
        <f>'Equity Volume Data'!X41*'Equity Price Data'!AA42</f>
        <v>16587.12</v>
      </c>
      <c r="V41" s="30">
        <f>'Equity Volume Data'!Y41*'Equity Price Data'!AB42</f>
        <v>14469.07</v>
      </c>
      <c r="W41" s="30">
        <f>'Equity Volume Data'!Z41*'Equity Price Data'!AC42</f>
        <v>10738.47</v>
      </c>
      <c r="X41" s="30">
        <f>'Equity Volume Data'!AA41*'Equity Price Data'!AD42</f>
        <v>25620</v>
      </c>
      <c r="Y41" s="30">
        <f>'Equity Volume Data'!AB41*'Equity Price Data'!AE42</f>
        <v>6213.87</v>
      </c>
      <c r="Z41" s="30">
        <f>'Equity Volume Data'!AC41*'Equity Price Data'!AF42</f>
        <v>7947</v>
      </c>
      <c r="AA41" s="30">
        <f>'Equity Volume Data'!AD41*'Equity Price Data'!AG42</f>
        <v>19026.4</v>
      </c>
      <c r="AB41" s="30">
        <f>'Equity Volume Data'!AE41*'Equity Price Data'!AH42</f>
        <v>8798.1</v>
      </c>
      <c r="AC41" s="30">
        <f>'Equity Volume Data'!AF41*'Equity Price Data'!AI42</f>
        <v>17402</v>
      </c>
      <c r="AD41" s="30">
        <f>'Equity Volume Data'!AG41*'Equity Price Data'!AJ42</f>
        <v>12685.95</v>
      </c>
      <c r="AE41" s="30">
        <f>'Equity Volume Data'!AH41*'Equity Price Data'!AK42</f>
        <v>9306</v>
      </c>
      <c r="AF41" s="30">
        <f>'Equity Volume Data'!AI41*'Equity Price Data'!AL42</f>
        <v>14093.75</v>
      </c>
      <c r="AG41" s="30">
        <f>'Equity Volume Data'!AJ41*'Equity Price Data'!AM42</f>
        <v>28733.4</v>
      </c>
      <c r="AH41" s="30">
        <f>'Equity Volume Data'!AK41*'Equity Price Data'!AN42</f>
        <v>34418</v>
      </c>
      <c r="AI41" s="30">
        <f>'Equity Volume Data'!AL41*'Equity Price Data'!AO42</f>
        <v>16966.25</v>
      </c>
      <c r="AJ41" s="30">
        <f>'Equity Volume Data'!AM41*'Equity Price Data'!AP42</f>
        <v>18773.3</v>
      </c>
      <c r="AK41" s="30">
        <f>'Equity Volume Data'!AN41*'Equity Price Data'!AQ42</f>
        <v>0</v>
      </c>
      <c r="AL41" s="30">
        <f>'Equity Volume Data'!AO41*'Equity Price Data'!AR42</f>
        <v>33248</v>
      </c>
      <c r="AM41" s="30">
        <f>'Equity Volume Data'!AP41*'Equity Price Data'!AS42</f>
        <v>32270.7</v>
      </c>
      <c r="AN41" s="30">
        <f>'Equity Volume Data'!AQ41*'Equity Price Data'!AT42</f>
        <v>10082.8</v>
      </c>
      <c r="AO41" s="30">
        <f>'Equity Volume Data'!AR41*'Equity Price Data'!AU42</f>
        <v>23203.18</v>
      </c>
      <c r="AP41" s="30">
        <f>'Equity Volume Data'!AS41*'Equity Price Data'!AV42</f>
        <v>19265</v>
      </c>
      <c r="AQ41" s="30">
        <f>'Equity Volume Data'!AT41*'Equity Price Data'!AW42</f>
        <v>15756.4</v>
      </c>
      <c r="AR41" s="30">
        <f>'Equity Volume Data'!AU41*'Equity Price Data'!AX42</f>
        <v>0</v>
      </c>
      <c r="AS41" s="30">
        <f>'Equity Volume Data'!AV41*'Equity Price Data'!AY42</f>
        <v>55950</v>
      </c>
      <c r="AT41" s="30">
        <f>'Equity Volume Data'!AW41*'Equity Price Data'!AZ42</f>
        <v>14580</v>
      </c>
      <c r="AU41" s="30">
        <f>'Equity Volume Data'!AX41*'Equity Price Data'!BA42</f>
        <v>0</v>
      </c>
      <c r="AV41" s="30">
        <f>'Equity Volume Data'!AY41*'Equity Price Data'!BB42</f>
        <v>71502.3</v>
      </c>
      <c r="AW41" s="30">
        <f>'Equity Volume Data'!AZ41*'Equity Price Data'!BC42</f>
        <v>3874.8</v>
      </c>
      <c r="AX41" s="30">
        <f>'Equity Volume Data'!BA41*'Equity Price Data'!BD42</f>
        <v>0</v>
      </c>
      <c r="AY41" s="30">
        <f>'Equity Volume Data'!BB41*'Equity Price Data'!BE42</f>
        <v>0</v>
      </c>
      <c r="AZ41" s="30">
        <f>'Equity Volume Data'!BC41*'Equity Price Data'!BF42</f>
        <v>8835</v>
      </c>
      <c r="BA41" s="30">
        <f>'Equity Volume Data'!BD41*'Equity Price Data'!BG42</f>
        <v>5386.5</v>
      </c>
      <c r="BB41" s="30">
        <f>'Equity Volume Data'!BE41*'Equity Price Data'!BH42</f>
        <v>8054.4</v>
      </c>
      <c r="BC41" s="30">
        <f>'Equity Volume Data'!BF41*'Equity Price Data'!BI42</f>
        <v>0</v>
      </c>
      <c r="BD41" s="30">
        <f>'Equity Volume Data'!BG41*'Equity Price Data'!BJ42</f>
        <v>38450.76</v>
      </c>
      <c r="BE41" s="30">
        <f>'Equity Volume Data'!BH41*'Equity Price Data'!BK42</f>
        <v>12348.01</v>
      </c>
      <c r="BF41" s="30">
        <f>'Equity Volume Data'!BI41*'Equity Price Data'!BL42</f>
        <v>8235.2</v>
      </c>
      <c r="BG41" s="30">
        <f>'Equity Volume Data'!BJ41*'Equity Price Data'!BM42</f>
        <v>38511.34</v>
      </c>
      <c r="BH41" s="30">
        <f>'Equity Volume Data'!BK41*'Equity Price Data'!BN42</f>
        <v>1104</v>
      </c>
      <c r="BI41" s="30">
        <f>'Equity Volume Data'!BL41*'Equity Price Data'!BO42</f>
        <v>35905.6</v>
      </c>
      <c r="BJ41" s="30">
        <f>'Equity Volume Data'!BM41*'Equity Price Data'!BP42</f>
        <v>37569.75</v>
      </c>
      <c r="BK41" s="30">
        <f>'Equity Volume Data'!BN41*'Equity Price Data'!BQ42</f>
        <v>86910.46</v>
      </c>
      <c r="BL41" s="30">
        <f>'Equity Volume Data'!BO41*'Equity Price Data'!BR42</f>
        <v>511.83</v>
      </c>
      <c r="BM41" s="30">
        <f>'Equity Volume Data'!BP41*'Equity Price Data'!BS42</f>
        <v>0</v>
      </c>
      <c r="BN41" s="30">
        <f>'Equity Volume Data'!BQ41*'Equity Price Data'!BT42</f>
        <v>18230.36</v>
      </c>
      <c r="BO41" s="30">
        <f>'Equity Volume Data'!BR41*'Equity Price Data'!BU42</f>
        <v>34640</v>
      </c>
    </row>
    <row r="42">
      <c r="A42" s="25">
        <f>'Equity Price Data'!A43</f>
        <v>45484.66667</v>
      </c>
      <c r="B42" s="29">
        <f t="shared" si="1"/>
        <v>1262355.66</v>
      </c>
      <c r="C42" s="30">
        <f>'Equity Volume Data'!F42*'Equity Price Data'!I43</f>
        <v>7249.19</v>
      </c>
      <c r="D42" s="30">
        <f>'Equity Volume Data'!G42*'Equity Price Data'!J43</f>
        <v>50713</v>
      </c>
      <c r="E42" s="30">
        <f>'Equity Volume Data'!H42*'Equity Price Data'!K43</f>
        <v>14984.2</v>
      </c>
      <c r="F42" s="30">
        <f>'Equity Volume Data'!I42*'Equity Price Data'!L43</f>
        <v>58257.92</v>
      </c>
      <c r="G42" s="30">
        <f>'Equity Volume Data'!J42*'Equity Price Data'!M43</f>
        <v>20024.58</v>
      </c>
      <c r="H42" s="30">
        <f>'Equity Volume Data'!K42*'Equity Price Data'!N43</f>
        <v>11556.36</v>
      </c>
      <c r="I42" s="30">
        <f>'Equity Volume Data'!L42*'Equity Price Data'!O43</f>
        <v>11590</v>
      </c>
      <c r="J42" s="30">
        <f>'Equity Volume Data'!M42*'Equity Price Data'!P43</f>
        <v>42715.56</v>
      </c>
      <c r="K42" s="30">
        <f>'Equity Volume Data'!N42*'Equity Price Data'!Q43</f>
        <v>11646</v>
      </c>
      <c r="L42" s="30">
        <f>'Equity Volume Data'!O42*'Equity Price Data'!R43</f>
        <v>28652.8</v>
      </c>
      <c r="M42" s="30">
        <f>'Equity Volume Data'!P42*'Equity Price Data'!S43</f>
        <v>0</v>
      </c>
      <c r="N42" s="30">
        <f>'Equity Volume Data'!Q42*'Equity Price Data'!T43</f>
        <v>5312.8</v>
      </c>
      <c r="O42" s="30">
        <f>'Equity Volume Data'!R42*'Equity Price Data'!U43</f>
        <v>49669.5</v>
      </c>
      <c r="P42" s="30">
        <f>'Equity Volume Data'!S42*'Equity Price Data'!V43</f>
        <v>0</v>
      </c>
      <c r="Q42" s="30">
        <f>'Equity Volume Data'!T42*'Equity Price Data'!W43</f>
        <v>20400</v>
      </c>
      <c r="R42" s="30">
        <f>'Equity Volume Data'!U42*'Equity Price Data'!X43</f>
        <v>12420.8</v>
      </c>
      <c r="S42" s="30">
        <f>'Equity Volume Data'!V42*'Equity Price Data'!Y43</f>
        <v>29353.28</v>
      </c>
      <c r="T42" s="30">
        <f>'Equity Volume Data'!W42*'Equity Price Data'!Z43</f>
        <v>9550</v>
      </c>
      <c r="U42" s="30">
        <f>'Equity Volume Data'!X42*'Equity Price Data'!AA43</f>
        <v>16658.4</v>
      </c>
      <c r="V42" s="30">
        <f>'Equity Volume Data'!Y42*'Equity Price Data'!AB43</f>
        <v>14725.06</v>
      </c>
      <c r="W42" s="30">
        <f>'Equity Volume Data'!Z42*'Equity Price Data'!AC43</f>
        <v>10883.37</v>
      </c>
      <c r="X42" s="30">
        <f>'Equity Volume Data'!AA42*'Equity Price Data'!AD43</f>
        <v>26682.5</v>
      </c>
      <c r="Y42" s="30">
        <f>'Equity Volume Data'!AB42*'Equity Price Data'!AE43</f>
        <v>6150.17</v>
      </c>
      <c r="Z42" s="30">
        <f>'Equity Volume Data'!AC42*'Equity Price Data'!AF43</f>
        <v>8103</v>
      </c>
      <c r="AA42" s="30">
        <f>'Equity Volume Data'!AD42*'Equity Price Data'!AG43</f>
        <v>19252.5</v>
      </c>
      <c r="AB42" s="30">
        <f>'Equity Volume Data'!AE42*'Equity Price Data'!AH43</f>
        <v>8986.2</v>
      </c>
      <c r="AC42" s="30">
        <f>'Equity Volume Data'!AF42*'Equity Price Data'!AI43</f>
        <v>17138.8</v>
      </c>
      <c r="AD42" s="30">
        <f>'Equity Volume Data'!AG42*'Equity Price Data'!AJ43</f>
        <v>12786.75</v>
      </c>
      <c r="AE42" s="30">
        <f>'Equity Volume Data'!AH42*'Equity Price Data'!AK43</f>
        <v>9586</v>
      </c>
      <c r="AF42" s="30">
        <f>'Equity Volume Data'!AI42*'Equity Price Data'!AL43</f>
        <v>14343.85</v>
      </c>
      <c r="AG42" s="30">
        <f>'Equity Volume Data'!AJ42*'Equity Price Data'!AM43</f>
        <v>28753.8</v>
      </c>
      <c r="AH42" s="30">
        <f>'Equity Volume Data'!AK42*'Equity Price Data'!AN43</f>
        <v>35379</v>
      </c>
      <c r="AI42" s="30">
        <f>'Equity Volume Data'!AL42*'Equity Price Data'!AO43</f>
        <v>17328.5</v>
      </c>
      <c r="AJ42" s="30">
        <f>'Equity Volume Data'!AM42*'Equity Price Data'!AP43</f>
        <v>19129.5</v>
      </c>
      <c r="AK42" s="30">
        <f>'Equity Volume Data'!AN42*'Equity Price Data'!AQ43</f>
        <v>0</v>
      </c>
      <c r="AL42" s="30">
        <f>'Equity Volume Data'!AO42*'Equity Price Data'!AR43</f>
        <v>33192</v>
      </c>
      <c r="AM42" s="30">
        <f>'Equity Volume Data'!AP42*'Equity Price Data'!AS43</f>
        <v>32226.6</v>
      </c>
      <c r="AN42" s="30">
        <f>'Equity Volume Data'!AQ42*'Equity Price Data'!AT43</f>
        <v>10122</v>
      </c>
      <c r="AO42" s="30">
        <f>'Equity Volume Data'!AR42*'Equity Price Data'!AU43</f>
        <v>23220.26</v>
      </c>
      <c r="AP42" s="30">
        <f>'Equity Volume Data'!AS42*'Equity Price Data'!AV43</f>
        <v>19517.5</v>
      </c>
      <c r="AQ42" s="30">
        <f>'Equity Volume Data'!AT42*'Equity Price Data'!AW43</f>
        <v>15936.8</v>
      </c>
      <c r="AR42" s="30">
        <f>'Equity Volume Data'!AU42*'Equity Price Data'!AX43</f>
        <v>0</v>
      </c>
      <c r="AS42" s="30">
        <f>'Equity Volume Data'!AV42*'Equity Price Data'!AY43</f>
        <v>54564</v>
      </c>
      <c r="AT42" s="30">
        <f>'Equity Volume Data'!AW42*'Equity Price Data'!AZ43</f>
        <v>14940</v>
      </c>
      <c r="AU42" s="30">
        <f>'Equity Volume Data'!AX42*'Equity Price Data'!BA43</f>
        <v>0</v>
      </c>
      <c r="AV42" s="30">
        <f>'Equity Volume Data'!AY42*'Equity Price Data'!BB43</f>
        <v>67522</v>
      </c>
      <c r="AW42" s="30">
        <f>'Equity Volume Data'!AZ42*'Equity Price Data'!BC43</f>
        <v>3969.6</v>
      </c>
      <c r="AX42" s="30">
        <f>'Equity Volume Data'!BA42*'Equity Price Data'!BD43</f>
        <v>0</v>
      </c>
      <c r="AY42" s="30">
        <f>'Equity Volume Data'!BB42*'Equity Price Data'!BE43</f>
        <v>0</v>
      </c>
      <c r="AZ42" s="30">
        <f>'Equity Volume Data'!BC42*'Equity Price Data'!BF43</f>
        <v>8998.5</v>
      </c>
      <c r="BA42" s="30">
        <f>'Equity Volume Data'!BD42*'Equity Price Data'!BG43</f>
        <v>5445.4</v>
      </c>
      <c r="BB42" s="30">
        <f>'Equity Volume Data'!BE42*'Equity Price Data'!BH43</f>
        <v>8137.6</v>
      </c>
      <c r="BC42" s="30">
        <f>'Equity Volume Data'!BF42*'Equity Price Data'!BI43</f>
        <v>0</v>
      </c>
      <c r="BD42" s="30">
        <f>'Equity Volume Data'!BG42*'Equity Price Data'!BJ43</f>
        <v>38086.53</v>
      </c>
      <c r="BE42" s="30">
        <f>'Equity Volume Data'!BH42*'Equity Price Data'!BK43</f>
        <v>12481.87</v>
      </c>
      <c r="BF42" s="30">
        <f>'Equity Volume Data'!BI42*'Equity Price Data'!BL43</f>
        <v>8149.2</v>
      </c>
      <c r="BG42" s="30">
        <f>'Equity Volume Data'!BJ42*'Equity Price Data'!BM43</f>
        <v>40012.54</v>
      </c>
      <c r="BH42" s="30">
        <f>'Equity Volume Data'!BK42*'Equity Price Data'!BN43</f>
        <v>1118.4</v>
      </c>
      <c r="BI42" s="30">
        <f>'Equity Volume Data'!BL42*'Equity Price Data'!BO43</f>
        <v>36595.2</v>
      </c>
      <c r="BJ42" s="30">
        <f>'Equity Volume Data'!BM42*'Equity Price Data'!BP43</f>
        <v>37827</v>
      </c>
      <c r="BK42" s="30">
        <f>'Equity Volume Data'!BN42*'Equity Price Data'!BQ43</f>
        <v>86982.54</v>
      </c>
      <c r="BL42" s="30">
        <f>'Equity Volume Data'!BO42*'Equity Price Data'!BR43</f>
        <v>525.93</v>
      </c>
      <c r="BM42" s="30">
        <f>'Equity Volume Data'!BP42*'Equity Price Data'!BS43</f>
        <v>0</v>
      </c>
      <c r="BN42" s="30">
        <f>'Equity Volume Data'!BQ42*'Equity Price Data'!BT43</f>
        <v>18160.8</v>
      </c>
      <c r="BO42" s="30">
        <f>'Equity Volume Data'!BR42*'Equity Price Data'!BU43</f>
        <v>34640</v>
      </c>
    </row>
    <row r="43">
      <c r="A43" s="25">
        <f>'Equity Price Data'!A44</f>
        <v>45485.66667</v>
      </c>
      <c r="B43" s="29">
        <f t="shared" si="1"/>
        <v>1269695.86</v>
      </c>
      <c r="C43" s="30">
        <f>'Equity Volume Data'!F43*'Equity Price Data'!I44</f>
        <v>7267.65</v>
      </c>
      <c r="D43" s="30">
        <f>'Equity Volume Data'!G43*'Equity Price Data'!J44</f>
        <v>50567.4</v>
      </c>
      <c r="E43" s="30">
        <f>'Equity Volume Data'!H43*'Equity Price Data'!K44</f>
        <v>15298.8</v>
      </c>
      <c r="F43" s="30">
        <f>'Equity Volume Data'!I43*'Equity Price Data'!L44</f>
        <v>59018.24</v>
      </c>
      <c r="G43" s="30">
        <f>'Equity Volume Data'!J43*'Equity Price Data'!M44</f>
        <v>20202.2</v>
      </c>
      <c r="H43" s="30">
        <f>'Equity Volume Data'!K43*'Equity Price Data'!N44</f>
        <v>12161.72</v>
      </c>
      <c r="I43" s="30">
        <f>'Equity Volume Data'!L43*'Equity Price Data'!O44</f>
        <v>11600</v>
      </c>
      <c r="J43" s="30">
        <f>'Equity Volume Data'!M43*'Equity Price Data'!P44</f>
        <v>43292.88</v>
      </c>
      <c r="K43" s="30">
        <f>'Equity Volume Data'!N43*'Equity Price Data'!Q44</f>
        <v>11854</v>
      </c>
      <c r="L43" s="30">
        <f>'Equity Volume Data'!O43*'Equity Price Data'!R44</f>
        <v>27837.26</v>
      </c>
      <c r="M43" s="30">
        <f>'Equity Volume Data'!P43*'Equity Price Data'!S44</f>
        <v>0</v>
      </c>
      <c r="N43" s="30">
        <f>'Equity Volume Data'!Q43*'Equity Price Data'!T44</f>
        <v>5280</v>
      </c>
      <c r="O43" s="30">
        <f>'Equity Volume Data'!R43*'Equity Price Data'!U44</f>
        <v>50338.5</v>
      </c>
      <c r="P43" s="30">
        <f>'Equity Volume Data'!S43*'Equity Price Data'!V44</f>
        <v>0</v>
      </c>
      <c r="Q43" s="30">
        <f>'Equity Volume Data'!T43*'Equity Price Data'!W44</f>
        <v>20612.4</v>
      </c>
      <c r="R43" s="30">
        <f>'Equity Volume Data'!U43*'Equity Price Data'!X44</f>
        <v>12447.2</v>
      </c>
      <c r="S43" s="30">
        <f>'Equity Volume Data'!V43*'Equity Price Data'!Y44</f>
        <v>29461.52</v>
      </c>
      <c r="T43" s="30">
        <f>'Equity Volume Data'!W43*'Equity Price Data'!Z44</f>
        <v>9550</v>
      </c>
      <c r="U43" s="30">
        <f>'Equity Volume Data'!X43*'Equity Price Data'!AA44</f>
        <v>16816.8</v>
      </c>
      <c r="V43" s="30">
        <f>'Equity Volume Data'!Y43*'Equity Price Data'!AB44</f>
        <v>14842.59</v>
      </c>
      <c r="W43" s="30">
        <f>'Equity Volume Data'!Z43*'Equity Price Data'!AC44</f>
        <v>10926.15</v>
      </c>
      <c r="X43" s="30">
        <f>'Equity Volume Data'!AA43*'Equity Price Data'!AD44</f>
        <v>26840</v>
      </c>
      <c r="Y43" s="30">
        <f>'Equity Volume Data'!AB43*'Equity Price Data'!AE44</f>
        <v>6389.24</v>
      </c>
      <c r="Z43" s="30">
        <f>'Equity Volume Data'!AC43*'Equity Price Data'!AF44</f>
        <v>8128.5</v>
      </c>
      <c r="AA43" s="30">
        <f>'Equity Volume Data'!AD43*'Equity Price Data'!AG44</f>
        <v>19255.9</v>
      </c>
      <c r="AB43" s="30">
        <f>'Equity Volume Data'!AE43*'Equity Price Data'!AH44</f>
        <v>8970.6</v>
      </c>
      <c r="AC43" s="30">
        <f>'Equity Volume Data'!AF43*'Equity Price Data'!AI44</f>
        <v>17406.4</v>
      </c>
      <c r="AD43" s="30">
        <f>'Equity Volume Data'!AG43*'Equity Price Data'!AJ44</f>
        <v>12775.05</v>
      </c>
      <c r="AE43" s="30">
        <f>'Equity Volume Data'!AH43*'Equity Price Data'!AK44</f>
        <v>9802</v>
      </c>
      <c r="AF43" s="30">
        <f>'Equity Volume Data'!AI43*'Equity Price Data'!AL44</f>
        <v>14341.8</v>
      </c>
      <c r="AG43" s="30">
        <f>'Equity Volume Data'!AJ43*'Equity Price Data'!AM44</f>
        <v>28792.8</v>
      </c>
      <c r="AH43" s="30">
        <f>'Equity Volume Data'!AK43*'Equity Price Data'!AN44</f>
        <v>35977</v>
      </c>
      <c r="AI43" s="30">
        <f>'Equity Volume Data'!AL43*'Equity Price Data'!AO44</f>
        <v>17867.5</v>
      </c>
      <c r="AJ43" s="30">
        <f>'Equity Volume Data'!AM43*'Equity Price Data'!AP44</f>
        <v>19292</v>
      </c>
      <c r="AK43" s="30">
        <f>'Equity Volume Data'!AN43*'Equity Price Data'!AQ44</f>
        <v>0</v>
      </c>
      <c r="AL43" s="30">
        <f>'Equity Volume Data'!AO43*'Equity Price Data'!AR44</f>
        <v>32790.4</v>
      </c>
      <c r="AM43" s="30">
        <f>'Equity Volume Data'!AP43*'Equity Price Data'!AS44</f>
        <v>32461.1</v>
      </c>
      <c r="AN43" s="30">
        <f>'Equity Volume Data'!AQ43*'Equity Price Data'!AT44</f>
        <v>10187.1</v>
      </c>
      <c r="AO43" s="30">
        <f>'Equity Volume Data'!AR43*'Equity Price Data'!AU44</f>
        <v>23177.56</v>
      </c>
      <c r="AP43" s="30">
        <f>'Equity Volume Data'!AS43*'Equity Price Data'!AV44</f>
        <v>19487.5</v>
      </c>
      <c r="AQ43" s="30">
        <f>'Equity Volume Data'!AT43*'Equity Price Data'!AW44</f>
        <v>16145.8</v>
      </c>
      <c r="AR43" s="30">
        <f>'Equity Volume Data'!AU43*'Equity Price Data'!AX44</f>
        <v>0</v>
      </c>
      <c r="AS43" s="30">
        <f>'Equity Volume Data'!AV43*'Equity Price Data'!AY44</f>
        <v>54426</v>
      </c>
      <c r="AT43" s="30">
        <f>'Equity Volume Data'!AW43*'Equity Price Data'!AZ44</f>
        <v>15200</v>
      </c>
      <c r="AU43" s="30">
        <f>'Equity Volume Data'!AX43*'Equity Price Data'!BA44</f>
        <v>0</v>
      </c>
      <c r="AV43" s="30">
        <f>'Equity Volume Data'!AY43*'Equity Price Data'!BB44</f>
        <v>68497.2</v>
      </c>
      <c r="AW43" s="30">
        <f>'Equity Volume Data'!AZ43*'Equity Price Data'!BC44</f>
        <v>4008.4</v>
      </c>
      <c r="AX43" s="30">
        <f>'Equity Volume Data'!BA43*'Equity Price Data'!BD44</f>
        <v>0</v>
      </c>
      <c r="AY43" s="30">
        <f>'Equity Volume Data'!BB43*'Equity Price Data'!BE44</f>
        <v>0</v>
      </c>
      <c r="AZ43" s="30">
        <f>'Equity Volume Data'!BC43*'Equity Price Data'!BF44</f>
        <v>9040.5</v>
      </c>
      <c r="BA43" s="30">
        <f>'Equity Volume Data'!BD43*'Equity Price Data'!BG44</f>
        <v>5494.8</v>
      </c>
      <c r="BB43" s="30">
        <f>'Equity Volume Data'!BE43*'Equity Price Data'!BH44</f>
        <v>8102.4</v>
      </c>
      <c r="BC43" s="30">
        <f>'Equity Volume Data'!BF43*'Equity Price Data'!BI44</f>
        <v>0</v>
      </c>
      <c r="BD43" s="30">
        <f>'Equity Volume Data'!BG43*'Equity Price Data'!BJ44</f>
        <v>38242.02</v>
      </c>
      <c r="BE43" s="30">
        <f>'Equity Volume Data'!BH43*'Equity Price Data'!BK44</f>
        <v>12606.07</v>
      </c>
      <c r="BF43" s="30">
        <f>'Equity Volume Data'!BI43*'Equity Price Data'!BL44</f>
        <v>8303.6</v>
      </c>
      <c r="BG43" s="30">
        <f>'Equity Volume Data'!BJ43*'Equity Price Data'!BM44</f>
        <v>39528.82</v>
      </c>
      <c r="BH43" s="30">
        <f>'Equity Volume Data'!BK43*'Equity Price Data'!BN44</f>
        <v>1099.2</v>
      </c>
      <c r="BI43" s="30">
        <f>'Equity Volume Data'!BL43*'Equity Price Data'!BO44</f>
        <v>36835.2</v>
      </c>
      <c r="BJ43" s="30">
        <f>'Equity Volume Data'!BM43*'Equity Price Data'!BP44</f>
        <v>38364.75</v>
      </c>
      <c r="BK43" s="30">
        <f>'Equity Volume Data'!BN43*'Equity Price Data'!BQ44</f>
        <v>87054.62</v>
      </c>
      <c r="BL43" s="30">
        <f>'Equity Volume Data'!BO43*'Equity Price Data'!BR44</f>
        <v>528.28</v>
      </c>
      <c r="BM43" s="30">
        <f>'Equity Volume Data'!BP43*'Equity Price Data'!BS44</f>
        <v>0</v>
      </c>
      <c r="BN43" s="30">
        <f>'Equity Volume Data'!BQ43*'Equity Price Data'!BT44</f>
        <v>18260.44</v>
      </c>
      <c r="BO43" s="30">
        <f>'Equity Volume Data'!BR43*'Equity Price Data'!BU44</f>
        <v>34640</v>
      </c>
    </row>
    <row r="44">
      <c r="A44" s="25">
        <f>'Equity Price Data'!A45</f>
        <v>45488.66667</v>
      </c>
      <c r="B44" s="29">
        <f t="shared" si="1"/>
        <v>1273425.7</v>
      </c>
      <c r="C44" s="30">
        <f>'Equity Volume Data'!F44*'Equity Price Data'!I45</f>
        <v>7354.23</v>
      </c>
      <c r="D44" s="30">
        <f>'Equity Volume Data'!G44*'Equity Price Data'!J45</f>
        <v>50107.2</v>
      </c>
      <c r="E44" s="30">
        <f>'Equity Volume Data'!H44*'Equity Price Data'!K45</f>
        <v>14996.3</v>
      </c>
      <c r="F44" s="30">
        <f>'Equity Volume Data'!I44*'Equity Price Data'!L45</f>
        <v>60006.4</v>
      </c>
      <c r="G44" s="30">
        <f>'Equity Volume Data'!J44*'Equity Price Data'!M45</f>
        <v>20380.65</v>
      </c>
      <c r="H44" s="30">
        <f>'Equity Volume Data'!K44*'Equity Price Data'!N45</f>
        <v>12353.48</v>
      </c>
      <c r="I44" s="30">
        <f>'Equity Volume Data'!L44*'Equity Price Data'!O45</f>
        <v>11740</v>
      </c>
      <c r="J44" s="30">
        <f>'Equity Volume Data'!M44*'Equity Price Data'!P45</f>
        <v>44310.84</v>
      </c>
      <c r="K44" s="30">
        <f>'Equity Volume Data'!N44*'Equity Price Data'!Q45</f>
        <v>11662</v>
      </c>
      <c r="L44" s="30">
        <f>'Equity Volume Data'!O44*'Equity Price Data'!R45</f>
        <v>26811.18</v>
      </c>
      <c r="M44" s="30">
        <f>'Equity Volume Data'!P44*'Equity Price Data'!S45</f>
        <v>0</v>
      </c>
      <c r="N44" s="30">
        <f>'Equity Volume Data'!Q44*'Equity Price Data'!T45</f>
        <v>5388.8</v>
      </c>
      <c r="O44" s="30">
        <f>'Equity Volume Data'!R44*'Equity Price Data'!U45</f>
        <v>51865.5</v>
      </c>
      <c r="P44" s="30">
        <f>'Equity Volume Data'!S44*'Equity Price Data'!V45</f>
        <v>0</v>
      </c>
      <c r="Q44" s="30">
        <f>'Equity Volume Data'!T44*'Equity Price Data'!W45</f>
        <v>20646</v>
      </c>
      <c r="R44" s="30">
        <f>'Equity Volume Data'!U44*'Equity Price Data'!X45</f>
        <v>12643.2</v>
      </c>
      <c r="S44" s="30">
        <f>'Equity Volume Data'!V44*'Equity Price Data'!Y45</f>
        <v>29164.96</v>
      </c>
      <c r="T44" s="30">
        <f>'Equity Volume Data'!W44*'Equity Price Data'!Z45</f>
        <v>9665</v>
      </c>
      <c r="U44" s="30">
        <f>'Equity Volume Data'!X44*'Equity Price Data'!AA45</f>
        <v>16740.24</v>
      </c>
      <c r="V44" s="30">
        <f>'Equity Volume Data'!Y44*'Equity Price Data'!AB45</f>
        <v>14531.86</v>
      </c>
      <c r="W44" s="30">
        <f>'Equity Volume Data'!Z44*'Equity Price Data'!AC45</f>
        <v>11005.5</v>
      </c>
      <c r="X44" s="30">
        <f>'Equity Volume Data'!AA44*'Equity Price Data'!AD45</f>
        <v>25957.5</v>
      </c>
      <c r="Y44" s="30">
        <f>'Equity Volume Data'!AB44*'Equity Price Data'!AE45</f>
        <v>6279.39</v>
      </c>
      <c r="Z44" s="30">
        <f>'Equity Volume Data'!AC44*'Equity Price Data'!AF45</f>
        <v>8058</v>
      </c>
      <c r="AA44" s="30">
        <f>'Equity Volume Data'!AD44*'Equity Price Data'!AG45</f>
        <v>19585.7</v>
      </c>
      <c r="AB44" s="30">
        <f>'Equity Volume Data'!AE44*'Equity Price Data'!AH45</f>
        <v>9150.6</v>
      </c>
      <c r="AC44" s="30">
        <f>'Equity Volume Data'!AF44*'Equity Price Data'!AI45</f>
        <v>17142.4</v>
      </c>
      <c r="AD44" s="30">
        <f>'Equity Volume Data'!AG44*'Equity Price Data'!AJ45</f>
        <v>12843.9</v>
      </c>
      <c r="AE44" s="30">
        <f>'Equity Volume Data'!AH44*'Equity Price Data'!AK45</f>
        <v>9860</v>
      </c>
      <c r="AF44" s="30">
        <f>'Equity Volume Data'!AI44*'Equity Price Data'!AL45</f>
        <v>14516.05</v>
      </c>
      <c r="AG44" s="30">
        <f>'Equity Volume Data'!AJ44*'Equity Price Data'!AM45</f>
        <v>29533.8</v>
      </c>
      <c r="AH44" s="30">
        <f>'Equity Volume Data'!AK44*'Equity Price Data'!AN45</f>
        <v>35846</v>
      </c>
      <c r="AI44" s="30">
        <f>'Equity Volume Data'!AL44*'Equity Price Data'!AO45</f>
        <v>18238.5</v>
      </c>
      <c r="AJ44" s="30">
        <f>'Equity Volume Data'!AM44*'Equity Price Data'!AP45</f>
        <v>19216.6</v>
      </c>
      <c r="AK44" s="30">
        <f>'Equity Volume Data'!AN44*'Equity Price Data'!AQ45</f>
        <v>0</v>
      </c>
      <c r="AL44" s="30">
        <f>'Equity Volume Data'!AO44*'Equity Price Data'!AR45</f>
        <v>33608</v>
      </c>
      <c r="AM44" s="30">
        <f>'Equity Volume Data'!AP44*'Equity Price Data'!AS45</f>
        <v>32471.6</v>
      </c>
      <c r="AN44" s="30">
        <f>'Equity Volume Data'!AQ44*'Equity Price Data'!AT45</f>
        <v>9930.2</v>
      </c>
      <c r="AO44" s="30">
        <f>'Equity Volume Data'!AR44*'Equity Price Data'!AU45</f>
        <v>23126.32</v>
      </c>
      <c r="AP44" s="30">
        <f>'Equity Volume Data'!AS44*'Equity Price Data'!AV45</f>
        <v>19270</v>
      </c>
      <c r="AQ44" s="30">
        <f>'Equity Volume Data'!AT44*'Equity Price Data'!AW45</f>
        <v>16374.6</v>
      </c>
      <c r="AR44" s="30">
        <f>'Equity Volume Data'!AU44*'Equity Price Data'!AX45</f>
        <v>0</v>
      </c>
      <c r="AS44" s="30">
        <f>'Equity Volume Data'!AV44*'Equity Price Data'!AY45</f>
        <v>54475.2</v>
      </c>
      <c r="AT44" s="30">
        <f>'Equity Volume Data'!AW44*'Equity Price Data'!AZ45</f>
        <v>14194</v>
      </c>
      <c r="AU44" s="30">
        <f>'Equity Volume Data'!AX44*'Equity Price Data'!BA45</f>
        <v>0</v>
      </c>
      <c r="AV44" s="30">
        <f>'Equity Volume Data'!AY44*'Equity Price Data'!BB45</f>
        <v>68073.2</v>
      </c>
      <c r="AW44" s="30">
        <f>'Equity Volume Data'!AZ44*'Equity Price Data'!BC45</f>
        <v>3977.6</v>
      </c>
      <c r="AX44" s="30">
        <f>'Equity Volume Data'!BA44*'Equity Price Data'!BD45</f>
        <v>0</v>
      </c>
      <c r="AY44" s="30">
        <f>'Equity Volume Data'!BB44*'Equity Price Data'!BE45</f>
        <v>0</v>
      </c>
      <c r="AZ44" s="30">
        <f>'Equity Volume Data'!BC44*'Equity Price Data'!BF45</f>
        <v>9070.5</v>
      </c>
      <c r="BA44" s="30">
        <f>'Equity Volume Data'!BD44*'Equity Price Data'!BG45</f>
        <v>5529</v>
      </c>
      <c r="BB44" s="30">
        <f>'Equity Volume Data'!BE44*'Equity Price Data'!BH45</f>
        <v>8129.6</v>
      </c>
      <c r="BC44" s="30">
        <f>'Equity Volume Data'!BF44*'Equity Price Data'!BI45</f>
        <v>0</v>
      </c>
      <c r="BD44" s="30">
        <f>'Equity Volume Data'!BG44*'Equity Price Data'!BJ45</f>
        <v>38712.75</v>
      </c>
      <c r="BE44" s="30">
        <f>'Equity Volume Data'!BH44*'Equity Price Data'!BK45</f>
        <v>12527.64</v>
      </c>
      <c r="BF44" s="30">
        <f>'Equity Volume Data'!BI44*'Equity Price Data'!BL45</f>
        <v>8276.4</v>
      </c>
      <c r="BG44" s="30">
        <f>'Equity Volume Data'!BJ44*'Equity Price Data'!BM45</f>
        <v>40129.3</v>
      </c>
      <c r="BH44" s="30">
        <f>'Equity Volume Data'!BK44*'Equity Price Data'!BN45</f>
        <v>1041.6</v>
      </c>
      <c r="BI44" s="30">
        <f>'Equity Volume Data'!BL44*'Equity Price Data'!BO45</f>
        <v>37758.4</v>
      </c>
      <c r="BJ44" s="30">
        <f>'Equity Volume Data'!BM44*'Equity Price Data'!BP45</f>
        <v>38652.75</v>
      </c>
      <c r="BK44" s="30">
        <f>'Equity Volume Data'!BN44*'Equity Price Data'!BQ45</f>
        <v>87126.7</v>
      </c>
      <c r="BL44" s="30">
        <f>'Equity Volume Data'!BO44*'Equity Price Data'!BR45</f>
        <v>517</v>
      </c>
      <c r="BM44" s="30">
        <f>'Equity Volume Data'!BP44*'Equity Price Data'!BS45</f>
        <v>0</v>
      </c>
      <c r="BN44" s="30">
        <f>'Equity Volume Data'!BQ44*'Equity Price Data'!BT45</f>
        <v>18211.56</v>
      </c>
      <c r="BO44" s="30">
        <f>'Equity Volume Data'!BR44*'Equity Price Data'!BU45</f>
        <v>34640</v>
      </c>
    </row>
    <row r="45">
      <c r="A45" s="25">
        <f>'Equity Price Data'!A46</f>
        <v>45489.66667</v>
      </c>
      <c r="B45" s="29">
        <f t="shared" si="1"/>
        <v>1290132.32</v>
      </c>
      <c r="C45" s="30">
        <f>'Equity Volume Data'!F45*'Equity Price Data'!I46</f>
        <v>7365.02</v>
      </c>
      <c r="D45" s="30">
        <f>'Equity Volume Data'!G45*'Equity Price Data'!J46</f>
        <v>50185.2</v>
      </c>
      <c r="E45" s="30">
        <f>'Equity Volume Data'!H45*'Equity Price Data'!K46</f>
        <v>15298.8</v>
      </c>
      <c r="F45" s="30">
        <f>'Equity Volume Data'!I45*'Equity Price Data'!L46</f>
        <v>60113.92</v>
      </c>
      <c r="G45" s="30">
        <f>'Equity Volume Data'!J45*'Equity Price Data'!M46</f>
        <v>20404.72</v>
      </c>
      <c r="H45" s="30">
        <f>'Equity Volume Data'!K45*'Equity Price Data'!N46</f>
        <v>12223.76</v>
      </c>
      <c r="I45" s="30">
        <f>'Equity Volume Data'!L45*'Equity Price Data'!O46</f>
        <v>11900</v>
      </c>
      <c r="J45" s="30">
        <f>'Equity Volume Data'!M45*'Equity Price Data'!P46</f>
        <v>44767.8</v>
      </c>
      <c r="K45" s="30">
        <f>'Equity Volume Data'!N45*'Equity Price Data'!Q46</f>
        <v>11440</v>
      </c>
      <c r="L45" s="30">
        <f>'Equity Volume Data'!O45*'Equity Price Data'!R46</f>
        <v>27227.42</v>
      </c>
      <c r="M45" s="30">
        <f>'Equity Volume Data'!P45*'Equity Price Data'!S46</f>
        <v>0</v>
      </c>
      <c r="N45" s="30">
        <f>'Equity Volume Data'!Q45*'Equity Price Data'!T46</f>
        <v>5590.4</v>
      </c>
      <c r="O45" s="30">
        <f>'Equity Volume Data'!R45*'Equity Price Data'!U46</f>
        <v>54087</v>
      </c>
      <c r="P45" s="30">
        <f>'Equity Volume Data'!S45*'Equity Price Data'!V46</f>
        <v>0</v>
      </c>
      <c r="Q45" s="30">
        <f>'Equity Volume Data'!T45*'Equity Price Data'!W46</f>
        <v>20964</v>
      </c>
      <c r="R45" s="30">
        <f>'Equity Volume Data'!U45*'Equity Price Data'!X46</f>
        <v>12621.6</v>
      </c>
      <c r="S45" s="30">
        <f>'Equity Volume Data'!V45*'Equity Price Data'!Y46</f>
        <v>29894.48</v>
      </c>
      <c r="T45" s="30">
        <f>'Equity Volume Data'!W45*'Equity Price Data'!Z46</f>
        <v>9900</v>
      </c>
      <c r="U45" s="30">
        <f>'Equity Volume Data'!X45*'Equity Price Data'!AA46</f>
        <v>16967.28</v>
      </c>
      <c r="V45" s="30">
        <f>'Equity Volume Data'!Y45*'Equity Price Data'!AB46</f>
        <v>14739.55</v>
      </c>
      <c r="W45" s="30">
        <f>'Equity Volume Data'!Z45*'Equity Price Data'!AC46</f>
        <v>11200.77</v>
      </c>
      <c r="X45" s="30">
        <f>'Equity Volume Data'!AA45*'Equity Price Data'!AD46</f>
        <v>26205</v>
      </c>
      <c r="Y45" s="30">
        <f>'Equity Volume Data'!AB45*'Equity Price Data'!AE46</f>
        <v>6368.05</v>
      </c>
      <c r="Z45" s="30">
        <f>'Equity Volume Data'!AC45*'Equity Price Data'!AF46</f>
        <v>8313</v>
      </c>
      <c r="AA45" s="30">
        <f>'Equity Volume Data'!AD45*'Equity Price Data'!AG46</f>
        <v>19726.8</v>
      </c>
      <c r="AB45" s="30">
        <f>'Equity Volume Data'!AE45*'Equity Price Data'!AH46</f>
        <v>9405.6</v>
      </c>
      <c r="AC45" s="30">
        <f>'Equity Volume Data'!AF45*'Equity Price Data'!AI46</f>
        <v>17168.8</v>
      </c>
      <c r="AD45" s="30">
        <f>'Equity Volume Data'!AG45*'Equity Price Data'!AJ46</f>
        <v>13121.55</v>
      </c>
      <c r="AE45" s="30">
        <f>'Equity Volume Data'!AH45*'Equity Price Data'!AK46</f>
        <v>9954</v>
      </c>
      <c r="AF45" s="30">
        <f>'Equity Volume Data'!AI45*'Equity Price Data'!AL46</f>
        <v>14686.2</v>
      </c>
      <c r="AG45" s="30">
        <f>'Equity Volume Data'!AJ45*'Equity Price Data'!AM46</f>
        <v>30181.2</v>
      </c>
      <c r="AH45" s="30">
        <f>'Equity Volume Data'!AK45*'Equity Price Data'!AN46</f>
        <v>36912</v>
      </c>
      <c r="AI45" s="30">
        <f>'Equity Volume Data'!AL45*'Equity Price Data'!AO46</f>
        <v>19031.25</v>
      </c>
      <c r="AJ45" s="30">
        <f>'Equity Volume Data'!AM45*'Equity Price Data'!AP46</f>
        <v>19359.6</v>
      </c>
      <c r="AK45" s="30">
        <f>'Equity Volume Data'!AN45*'Equity Price Data'!AQ46</f>
        <v>0</v>
      </c>
      <c r="AL45" s="30">
        <f>'Equity Volume Data'!AO45*'Equity Price Data'!AR46</f>
        <v>34179.2</v>
      </c>
      <c r="AM45" s="30">
        <f>'Equity Volume Data'!AP45*'Equity Price Data'!AS46</f>
        <v>32800.6</v>
      </c>
      <c r="AN45" s="30">
        <f>'Equity Volume Data'!AQ45*'Equity Price Data'!AT46</f>
        <v>10211.6</v>
      </c>
      <c r="AO45" s="30">
        <f>'Equity Volume Data'!AR45*'Equity Price Data'!AU46</f>
        <v>22844.5</v>
      </c>
      <c r="AP45" s="30">
        <f>'Equity Volume Data'!AS45*'Equity Price Data'!AV46</f>
        <v>19525</v>
      </c>
      <c r="AQ45" s="30">
        <f>'Equity Volume Data'!AT45*'Equity Price Data'!AW46</f>
        <v>16645.2</v>
      </c>
      <c r="AR45" s="30">
        <f>'Equity Volume Data'!AU45*'Equity Price Data'!AX46</f>
        <v>0</v>
      </c>
      <c r="AS45" s="30">
        <f>'Equity Volume Data'!AV45*'Equity Price Data'!AY46</f>
        <v>53942.4</v>
      </c>
      <c r="AT45" s="30">
        <f>'Equity Volume Data'!AW45*'Equity Price Data'!AZ46</f>
        <v>14380</v>
      </c>
      <c r="AU45" s="30">
        <f>'Equity Volume Data'!AX45*'Equity Price Data'!BA46</f>
        <v>0</v>
      </c>
      <c r="AV45" s="30">
        <f>'Equity Volume Data'!AY45*'Equity Price Data'!BB46</f>
        <v>66970.8</v>
      </c>
      <c r="AW45" s="30">
        <f>'Equity Volume Data'!AZ45*'Equity Price Data'!BC46</f>
        <v>3984.8</v>
      </c>
      <c r="AX45" s="30">
        <f>'Equity Volume Data'!BA45*'Equity Price Data'!BD46</f>
        <v>0</v>
      </c>
      <c r="AY45" s="30">
        <f>'Equity Volume Data'!BB45*'Equity Price Data'!BE46</f>
        <v>0</v>
      </c>
      <c r="AZ45" s="30">
        <f>'Equity Volume Data'!BC45*'Equity Price Data'!BF46</f>
        <v>9271.5</v>
      </c>
      <c r="BA45" s="30">
        <f>'Equity Volume Data'!BD45*'Equity Price Data'!BG46</f>
        <v>5605</v>
      </c>
      <c r="BB45" s="30">
        <f>'Equity Volume Data'!BE45*'Equity Price Data'!BH46</f>
        <v>8294.4</v>
      </c>
      <c r="BC45" s="30">
        <f>'Equity Volume Data'!BF45*'Equity Price Data'!BI46</f>
        <v>0</v>
      </c>
      <c r="BD45" s="30">
        <f>'Equity Volume Data'!BG45*'Equity Price Data'!BJ46</f>
        <v>38974.74</v>
      </c>
      <c r="BE45" s="30">
        <f>'Equity Volume Data'!BH45*'Equity Price Data'!BK46</f>
        <v>12774.66</v>
      </c>
      <c r="BF45" s="30">
        <f>'Equity Volume Data'!BI45*'Equity Price Data'!BL46</f>
        <v>8264</v>
      </c>
      <c r="BG45" s="30">
        <f>'Equity Volume Data'!BJ45*'Equity Price Data'!BM46</f>
        <v>42203.18</v>
      </c>
      <c r="BH45" s="30">
        <f>'Equity Volume Data'!BK45*'Equity Price Data'!BN46</f>
        <v>1067.2</v>
      </c>
      <c r="BI45" s="30">
        <f>'Equity Volume Data'!BL45*'Equity Price Data'!BO46</f>
        <v>38889.6</v>
      </c>
      <c r="BJ45" s="30">
        <f>'Equity Volume Data'!BM45*'Equity Price Data'!BP46</f>
        <v>41165.25</v>
      </c>
      <c r="BK45" s="30">
        <f>'Equity Volume Data'!BN45*'Equity Price Data'!BQ46</f>
        <v>87126.7</v>
      </c>
      <c r="BL45" s="30">
        <f>'Equity Volume Data'!BO45*'Equity Price Data'!BR46</f>
        <v>534.86</v>
      </c>
      <c r="BM45" s="30">
        <f>'Equity Volume Data'!BP45*'Equity Price Data'!BS46</f>
        <v>0</v>
      </c>
      <c r="BN45" s="30">
        <f>'Equity Volume Data'!BQ45*'Equity Price Data'!BT46</f>
        <v>18512.36</v>
      </c>
      <c r="BO45" s="30">
        <f>'Equity Volume Data'!BR45*'Equity Price Data'!BU46</f>
        <v>34640</v>
      </c>
    </row>
    <row r="46">
      <c r="A46" s="25">
        <f>'Equity Price Data'!A47</f>
        <v>45490.66667</v>
      </c>
      <c r="B46" s="29">
        <f t="shared" si="1"/>
        <v>1284440.35</v>
      </c>
      <c r="C46" s="30">
        <f>'Equity Volume Data'!F46*'Equity Price Data'!I47</f>
        <v>7320.17</v>
      </c>
      <c r="D46" s="30">
        <f>'Equity Volume Data'!G46*'Equity Price Data'!J47</f>
        <v>48861.8</v>
      </c>
      <c r="E46" s="30">
        <f>'Equity Volume Data'!H46*'Equity Price Data'!K47</f>
        <v>15678.3</v>
      </c>
      <c r="F46" s="30">
        <f>'Equity Volume Data'!I46*'Equity Price Data'!L47</f>
        <v>58593.28</v>
      </c>
      <c r="G46" s="30">
        <f>'Equity Volume Data'!J46*'Equity Price Data'!M47</f>
        <v>18265.81</v>
      </c>
      <c r="H46" s="30">
        <f>'Equity Volume Data'!K46*'Equity Price Data'!N47</f>
        <v>12048.92</v>
      </c>
      <c r="I46" s="30">
        <f>'Equity Volume Data'!L46*'Equity Price Data'!O47</f>
        <v>12020</v>
      </c>
      <c r="J46" s="30">
        <f>'Equity Volume Data'!M46*'Equity Price Data'!P47</f>
        <v>45452.22</v>
      </c>
      <c r="K46" s="30">
        <f>'Equity Volume Data'!N46*'Equity Price Data'!Q47</f>
        <v>11398</v>
      </c>
      <c r="L46" s="30">
        <f>'Equity Volume Data'!O46*'Equity Price Data'!R47</f>
        <v>27627.93</v>
      </c>
      <c r="M46" s="30">
        <f>'Equity Volume Data'!P46*'Equity Price Data'!S47</f>
        <v>0</v>
      </c>
      <c r="N46" s="30">
        <f>'Equity Volume Data'!Q46*'Equity Price Data'!T47</f>
        <v>5406.4</v>
      </c>
      <c r="O46" s="30">
        <f>'Equity Volume Data'!R46*'Equity Price Data'!U47</f>
        <v>53670</v>
      </c>
      <c r="P46" s="30">
        <f>'Equity Volume Data'!S46*'Equity Price Data'!V47</f>
        <v>0</v>
      </c>
      <c r="Q46" s="30">
        <f>'Equity Volume Data'!T46*'Equity Price Data'!W47</f>
        <v>20589.6</v>
      </c>
      <c r="R46" s="30">
        <f>'Equity Volume Data'!U46*'Equity Price Data'!X47</f>
        <v>12898.4</v>
      </c>
      <c r="S46" s="30">
        <f>'Equity Volume Data'!V46*'Equity Price Data'!Y47</f>
        <v>30338.88</v>
      </c>
      <c r="T46" s="30">
        <f>'Equity Volume Data'!W46*'Equity Price Data'!Z47</f>
        <v>10230</v>
      </c>
      <c r="U46" s="30">
        <f>'Equity Volume Data'!X46*'Equity Price Data'!AA47</f>
        <v>17215.44</v>
      </c>
      <c r="V46" s="30">
        <f>'Equity Volume Data'!Y46*'Equity Price Data'!AB47</f>
        <v>15095.36</v>
      </c>
      <c r="W46" s="30">
        <f>'Equity Volume Data'!Z46*'Equity Price Data'!AC47</f>
        <v>10821.27</v>
      </c>
      <c r="X46" s="30">
        <f>'Equity Volume Data'!AA46*'Equity Price Data'!AD47</f>
        <v>26335</v>
      </c>
      <c r="Y46" s="30">
        <f>'Equity Volume Data'!AB46*'Equity Price Data'!AE47</f>
        <v>6152.51</v>
      </c>
      <c r="Z46" s="30">
        <f>'Equity Volume Data'!AC46*'Equity Price Data'!AF47</f>
        <v>8187</v>
      </c>
      <c r="AA46" s="30">
        <f>'Equity Volume Data'!AD46*'Equity Price Data'!AG47</f>
        <v>19998.8</v>
      </c>
      <c r="AB46" s="30">
        <f>'Equity Volume Data'!AE46*'Equity Price Data'!AH47</f>
        <v>9312.9</v>
      </c>
      <c r="AC46" s="30">
        <f>'Equity Volume Data'!AF46*'Equity Price Data'!AI47</f>
        <v>16828.4</v>
      </c>
      <c r="AD46" s="30">
        <f>'Equity Volume Data'!AG46*'Equity Price Data'!AJ47</f>
        <v>13139.55</v>
      </c>
      <c r="AE46" s="30">
        <f>'Equity Volume Data'!AH46*'Equity Price Data'!AK47</f>
        <v>9980</v>
      </c>
      <c r="AF46" s="30">
        <f>'Equity Volume Data'!AI46*'Equity Price Data'!AL47</f>
        <v>15026.5</v>
      </c>
      <c r="AG46" s="30">
        <f>'Equity Volume Data'!AJ46*'Equity Price Data'!AM47</f>
        <v>30130.8</v>
      </c>
      <c r="AH46" s="30">
        <f>'Equity Volume Data'!AK46*'Equity Price Data'!AN47</f>
        <v>37189</v>
      </c>
      <c r="AI46" s="30">
        <f>'Equity Volume Data'!AL46*'Equity Price Data'!AO47</f>
        <v>18761.75</v>
      </c>
      <c r="AJ46" s="30">
        <f>'Equity Volume Data'!AM46*'Equity Price Data'!AP47</f>
        <v>19423.3</v>
      </c>
      <c r="AK46" s="30">
        <f>'Equity Volume Data'!AN46*'Equity Price Data'!AQ47</f>
        <v>0</v>
      </c>
      <c r="AL46" s="30">
        <f>'Equity Volume Data'!AO46*'Equity Price Data'!AR47</f>
        <v>34699.2</v>
      </c>
      <c r="AM46" s="30">
        <f>'Equity Volume Data'!AP46*'Equity Price Data'!AS47</f>
        <v>33324.9</v>
      </c>
      <c r="AN46" s="30">
        <f>'Equity Volume Data'!AQ46*'Equity Price Data'!AT47</f>
        <v>10243.8</v>
      </c>
      <c r="AO46" s="30">
        <f>'Equity Volume Data'!AR46*'Equity Price Data'!AU47</f>
        <v>22596.84</v>
      </c>
      <c r="AP46" s="30">
        <f>'Equity Volume Data'!AS46*'Equity Price Data'!AV47</f>
        <v>20315</v>
      </c>
      <c r="AQ46" s="30">
        <f>'Equity Volume Data'!AT46*'Equity Price Data'!AW47</f>
        <v>16759.6</v>
      </c>
      <c r="AR46" s="30">
        <f>'Equity Volume Data'!AU46*'Equity Price Data'!AX47</f>
        <v>0</v>
      </c>
      <c r="AS46" s="30">
        <f>'Equity Volume Data'!AV46*'Equity Price Data'!AY47</f>
        <v>53222.4</v>
      </c>
      <c r="AT46" s="30">
        <f>'Equity Volume Data'!AW46*'Equity Price Data'!AZ47</f>
        <v>14180</v>
      </c>
      <c r="AU46" s="30">
        <f>'Equity Volume Data'!AX46*'Equity Price Data'!BA47</f>
        <v>0</v>
      </c>
      <c r="AV46" s="30">
        <f>'Equity Volume Data'!AY46*'Equity Price Data'!BB47</f>
        <v>62534.7</v>
      </c>
      <c r="AW46" s="30">
        <f>'Equity Volume Data'!AZ46*'Equity Price Data'!BC47</f>
        <v>3957.2</v>
      </c>
      <c r="AX46" s="30">
        <f>'Equity Volume Data'!BA46*'Equity Price Data'!BD47</f>
        <v>0</v>
      </c>
      <c r="AY46" s="30">
        <f>'Equity Volume Data'!BB46*'Equity Price Data'!BE47</f>
        <v>0</v>
      </c>
      <c r="AZ46" s="30">
        <f>'Equity Volume Data'!BC46*'Equity Price Data'!BF47</f>
        <v>9186</v>
      </c>
      <c r="BA46" s="30">
        <f>'Equity Volume Data'!BD46*'Equity Price Data'!BG47</f>
        <v>5705.7</v>
      </c>
      <c r="BB46" s="30">
        <f>'Equity Volume Data'!BE46*'Equity Price Data'!BH47</f>
        <v>8399.2</v>
      </c>
      <c r="BC46" s="30">
        <f>'Equity Volume Data'!BF46*'Equity Price Data'!BI47</f>
        <v>0</v>
      </c>
      <c r="BD46" s="30">
        <f>'Equity Volume Data'!BG46*'Equity Price Data'!BJ47</f>
        <v>39098.28</v>
      </c>
      <c r="BE46" s="30">
        <f>'Equity Volume Data'!BH46*'Equity Price Data'!BK47</f>
        <v>12766.38</v>
      </c>
      <c r="BF46" s="30">
        <f>'Equity Volume Data'!BI46*'Equity Price Data'!BL47</f>
        <v>8175.6</v>
      </c>
      <c r="BG46" s="30">
        <f>'Equity Volume Data'!BJ46*'Equity Price Data'!BM47</f>
        <v>41485.94</v>
      </c>
      <c r="BH46" s="30">
        <f>'Equity Volume Data'!BK46*'Equity Price Data'!BN47</f>
        <v>1102.4</v>
      </c>
      <c r="BI46" s="30">
        <f>'Equity Volume Data'!BL46*'Equity Price Data'!BO47</f>
        <v>39022.4</v>
      </c>
      <c r="BJ46" s="30">
        <f>'Equity Volume Data'!BM46*'Equity Price Data'!BP47</f>
        <v>42996</v>
      </c>
      <c r="BK46" s="30">
        <f>'Equity Volume Data'!BN46*'Equity Price Data'!BQ47</f>
        <v>87180.76</v>
      </c>
      <c r="BL46" s="30">
        <f>'Equity Volume Data'!BO46*'Equity Price Data'!BR47</f>
        <v>556.48</v>
      </c>
      <c r="BM46" s="30">
        <f>'Equity Volume Data'!BP46*'Equity Price Data'!BS47</f>
        <v>0</v>
      </c>
      <c r="BN46" s="30">
        <f>'Equity Volume Data'!BQ46*'Equity Price Data'!BT47</f>
        <v>18294.28</v>
      </c>
      <c r="BO46" s="30">
        <f>'Equity Volume Data'!BR46*'Equity Price Data'!BU47</f>
        <v>34640</v>
      </c>
    </row>
    <row r="47">
      <c r="A47" s="25">
        <f>'Equity Price Data'!A48</f>
        <v>45491.66667</v>
      </c>
      <c r="B47" s="29">
        <f t="shared" si="1"/>
        <v>1273766.02</v>
      </c>
      <c r="C47" s="30">
        <f>'Equity Volume Data'!F47*'Equity Price Data'!I48</f>
        <v>7239.05</v>
      </c>
      <c r="D47" s="30">
        <f>'Equity Volume Data'!G47*'Equity Price Data'!J48</f>
        <v>47775</v>
      </c>
      <c r="E47" s="30">
        <f>'Equity Volume Data'!H47*'Equity Price Data'!K48</f>
        <v>15548.5</v>
      </c>
      <c r="F47" s="30">
        <f>'Equity Volume Data'!I47*'Equity Price Data'!L48</f>
        <v>57390.08</v>
      </c>
      <c r="G47" s="30">
        <f>'Equity Volume Data'!J47*'Equity Price Data'!M48</f>
        <v>18064.95</v>
      </c>
      <c r="H47" s="30">
        <f>'Equity Volume Data'!K47*'Equity Price Data'!N48</f>
        <v>11934.24</v>
      </c>
      <c r="I47" s="30">
        <f>'Equity Volume Data'!L47*'Equity Price Data'!O48</f>
        <v>11740</v>
      </c>
      <c r="J47" s="30">
        <f>'Equity Volume Data'!M47*'Equity Price Data'!P48</f>
        <v>45065.64</v>
      </c>
      <c r="K47" s="30">
        <f>'Equity Volume Data'!N47*'Equity Price Data'!Q48</f>
        <v>11224</v>
      </c>
      <c r="L47" s="30">
        <f>'Equity Volume Data'!O47*'Equity Price Data'!R48</f>
        <v>27255.25</v>
      </c>
      <c r="M47" s="30">
        <f>'Equity Volume Data'!P47*'Equity Price Data'!S48</f>
        <v>0</v>
      </c>
      <c r="N47" s="30">
        <f>'Equity Volume Data'!Q47*'Equity Price Data'!T48</f>
        <v>5364</v>
      </c>
      <c r="O47" s="30">
        <f>'Equity Volume Data'!R47*'Equity Price Data'!U48</f>
        <v>53404.5</v>
      </c>
      <c r="P47" s="30">
        <f>'Equity Volume Data'!S47*'Equity Price Data'!V48</f>
        <v>0</v>
      </c>
      <c r="Q47" s="30">
        <f>'Equity Volume Data'!T47*'Equity Price Data'!W48</f>
        <v>20652</v>
      </c>
      <c r="R47" s="30">
        <f>'Equity Volume Data'!U47*'Equity Price Data'!X48</f>
        <v>12957.6</v>
      </c>
      <c r="S47" s="30">
        <f>'Equity Volume Data'!V47*'Equity Price Data'!Y48</f>
        <v>29965.76</v>
      </c>
      <c r="T47" s="30">
        <f>'Equity Volume Data'!W47*'Equity Price Data'!Z48</f>
        <v>10187.5</v>
      </c>
      <c r="U47" s="30">
        <f>'Equity Volume Data'!X47*'Equity Price Data'!AA48</f>
        <v>17210.16</v>
      </c>
      <c r="V47" s="30">
        <f>'Equity Volume Data'!Y47*'Equity Price Data'!AB48</f>
        <v>15151.71</v>
      </c>
      <c r="W47" s="30">
        <f>'Equity Volume Data'!Z47*'Equity Price Data'!AC48</f>
        <v>10667.4</v>
      </c>
      <c r="X47" s="30">
        <f>'Equity Volume Data'!AA47*'Equity Price Data'!AD48</f>
        <v>26667.5</v>
      </c>
      <c r="Y47" s="30">
        <f>'Equity Volume Data'!AB47*'Equity Price Data'!AE48</f>
        <v>5317.52</v>
      </c>
      <c r="Z47" s="30">
        <f>'Equity Volume Data'!AC47*'Equity Price Data'!AF48</f>
        <v>8158.5</v>
      </c>
      <c r="AA47" s="30">
        <f>'Equity Volume Data'!AD47*'Equity Price Data'!AG48</f>
        <v>20196</v>
      </c>
      <c r="AB47" s="30">
        <f>'Equity Volume Data'!AE47*'Equity Price Data'!AH48</f>
        <v>9198.6</v>
      </c>
      <c r="AC47" s="30">
        <f>'Equity Volume Data'!AF47*'Equity Price Data'!AI48</f>
        <v>16897.2</v>
      </c>
      <c r="AD47" s="30">
        <f>'Equity Volume Data'!AG47*'Equity Price Data'!AJ48</f>
        <v>13197.15</v>
      </c>
      <c r="AE47" s="30">
        <f>'Equity Volume Data'!AH47*'Equity Price Data'!AK48</f>
        <v>9930</v>
      </c>
      <c r="AF47" s="30">
        <f>'Equity Volume Data'!AI47*'Equity Price Data'!AL48</f>
        <v>15069.55</v>
      </c>
      <c r="AG47" s="30">
        <f>'Equity Volume Data'!AJ47*'Equity Price Data'!AM48</f>
        <v>29172.6</v>
      </c>
      <c r="AH47" s="30">
        <f>'Equity Volume Data'!AK47*'Equity Price Data'!AN48</f>
        <v>36608</v>
      </c>
      <c r="AI47" s="30">
        <f>'Equity Volume Data'!AL47*'Equity Price Data'!AO48</f>
        <v>18831.75</v>
      </c>
      <c r="AJ47" s="30">
        <f>'Equity Volume Data'!AM47*'Equity Price Data'!AP48</f>
        <v>19208.8</v>
      </c>
      <c r="AK47" s="30">
        <f>'Equity Volume Data'!AN47*'Equity Price Data'!AQ48</f>
        <v>0</v>
      </c>
      <c r="AL47" s="30">
        <f>'Equity Volume Data'!AO47*'Equity Price Data'!AR48</f>
        <v>33596.8</v>
      </c>
      <c r="AM47" s="30">
        <f>'Equity Volume Data'!AP47*'Equity Price Data'!AS48</f>
        <v>33320</v>
      </c>
      <c r="AN47" s="30">
        <f>'Equity Volume Data'!AQ47*'Equity Price Data'!AT48</f>
        <v>9979.55</v>
      </c>
      <c r="AO47" s="30">
        <f>'Equity Volume Data'!AR47*'Equity Price Data'!AU48</f>
        <v>22323.56</v>
      </c>
      <c r="AP47" s="30">
        <f>'Equity Volume Data'!AS47*'Equity Price Data'!AV48</f>
        <v>20302.5</v>
      </c>
      <c r="AQ47" s="30">
        <f>'Equity Volume Data'!AT47*'Equity Price Data'!AW48</f>
        <v>16585.8</v>
      </c>
      <c r="AR47" s="30">
        <f>'Equity Volume Data'!AU47*'Equity Price Data'!AX48</f>
        <v>0</v>
      </c>
      <c r="AS47" s="30">
        <f>'Equity Volume Data'!AV47*'Equity Price Data'!AY48</f>
        <v>52844.4</v>
      </c>
      <c r="AT47" s="30">
        <f>'Equity Volume Data'!AW47*'Equity Price Data'!AZ48</f>
        <v>14334</v>
      </c>
      <c r="AU47" s="30">
        <f>'Equity Volume Data'!AX47*'Equity Price Data'!BA48</f>
        <v>0</v>
      </c>
      <c r="AV47" s="30">
        <f>'Equity Volume Data'!AY47*'Equity Price Data'!BB48</f>
        <v>64177.7</v>
      </c>
      <c r="AW47" s="30">
        <f>'Equity Volume Data'!AZ47*'Equity Price Data'!BC48</f>
        <v>3948.4</v>
      </c>
      <c r="AX47" s="30">
        <f>'Equity Volume Data'!BA47*'Equity Price Data'!BD48</f>
        <v>0</v>
      </c>
      <c r="AY47" s="30">
        <f>'Equity Volume Data'!BB47*'Equity Price Data'!BE48</f>
        <v>0</v>
      </c>
      <c r="AZ47" s="30">
        <f>'Equity Volume Data'!BC47*'Equity Price Data'!BF48</f>
        <v>9000</v>
      </c>
      <c r="BA47" s="30">
        <f>'Equity Volume Data'!BD47*'Equity Price Data'!BG48</f>
        <v>5644.9</v>
      </c>
      <c r="BB47" s="30">
        <f>'Equity Volume Data'!BE47*'Equity Price Data'!BH48</f>
        <v>8307.2</v>
      </c>
      <c r="BC47" s="30">
        <f>'Equity Volume Data'!BF47*'Equity Price Data'!BI48</f>
        <v>0</v>
      </c>
      <c r="BD47" s="30">
        <f>'Equity Volume Data'!BG47*'Equity Price Data'!BJ48</f>
        <v>38827.77</v>
      </c>
      <c r="BE47" s="30">
        <f>'Equity Volume Data'!BH47*'Equity Price Data'!BK48</f>
        <v>12434.26</v>
      </c>
      <c r="BF47" s="30">
        <f>'Equity Volume Data'!BI47*'Equity Price Data'!BL48</f>
        <v>7994</v>
      </c>
      <c r="BG47" s="30">
        <f>'Equity Volume Data'!BJ47*'Equity Price Data'!BM48</f>
        <v>40143.2</v>
      </c>
      <c r="BH47" s="30">
        <f>'Equity Volume Data'!BK47*'Equity Price Data'!BN48</f>
        <v>1064</v>
      </c>
      <c r="BI47" s="30">
        <f>'Equity Volume Data'!BL47*'Equity Price Data'!BO48</f>
        <v>38881.6</v>
      </c>
      <c r="BJ47" s="30">
        <f>'Equity Volume Data'!BM47*'Equity Price Data'!BP48</f>
        <v>42325.5</v>
      </c>
      <c r="BK47" s="30">
        <f>'Equity Volume Data'!BN47*'Equity Price Data'!BQ48</f>
        <v>87090.66</v>
      </c>
      <c r="BL47" s="30">
        <f>'Equity Volume Data'!BO47*'Equity Price Data'!BR48</f>
        <v>553.19</v>
      </c>
      <c r="BM47" s="30">
        <f>'Equity Volume Data'!BP47*'Equity Price Data'!BS48</f>
        <v>0</v>
      </c>
      <c r="BN47" s="30">
        <f>'Equity Volume Data'!BQ47*'Equity Price Data'!BT48</f>
        <v>18196.52</v>
      </c>
      <c r="BO47" s="30">
        <f>'Equity Volume Data'!BR47*'Equity Price Data'!BU48</f>
        <v>34640</v>
      </c>
    </row>
    <row r="48">
      <c r="A48" s="25">
        <f>'Equity Price Data'!A49</f>
        <v>45492.66667</v>
      </c>
      <c r="B48" s="29">
        <f t="shared" si="1"/>
        <v>1265079.82</v>
      </c>
      <c r="C48" s="30">
        <f>'Equity Volume Data'!F48*'Equity Price Data'!I49</f>
        <v>7163</v>
      </c>
      <c r="D48" s="30">
        <f>'Equity Volume Data'!G48*'Equity Price Data'!J49</f>
        <v>47613.8</v>
      </c>
      <c r="E48" s="30">
        <f>'Equity Volume Data'!H48*'Equity Price Data'!K49</f>
        <v>15527.6</v>
      </c>
      <c r="F48" s="30">
        <f>'Equity Volume Data'!I48*'Equity Price Data'!L49</f>
        <v>57423.36</v>
      </c>
      <c r="G48" s="30">
        <f>'Equity Volume Data'!J48*'Equity Price Data'!M49</f>
        <v>17451.58</v>
      </c>
      <c r="H48" s="30">
        <f>'Equity Volume Data'!K48*'Equity Price Data'!N49</f>
        <v>11785.72</v>
      </c>
      <c r="I48" s="30">
        <f>'Equity Volume Data'!L48*'Equity Price Data'!O49</f>
        <v>11850</v>
      </c>
      <c r="J48" s="30">
        <f>'Equity Volume Data'!M48*'Equity Price Data'!P49</f>
        <v>44315.94</v>
      </c>
      <c r="K48" s="30">
        <f>'Equity Volume Data'!N48*'Equity Price Data'!Q49</f>
        <v>11130</v>
      </c>
      <c r="L48" s="30">
        <f>'Equity Volume Data'!O48*'Equity Price Data'!R49</f>
        <v>27394.4</v>
      </c>
      <c r="M48" s="30">
        <f>'Equity Volume Data'!P48*'Equity Price Data'!S49</f>
        <v>0</v>
      </c>
      <c r="N48" s="30">
        <f>'Equity Volume Data'!Q48*'Equity Price Data'!T49</f>
        <v>5299.2</v>
      </c>
      <c r="O48" s="30">
        <f>'Equity Volume Data'!R48*'Equity Price Data'!U49</f>
        <v>52144.5</v>
      </c>
      <c r="P48" s="30">
        <f>'Equity Volume Data'!S48*'Equity Price Data'!V49</f>
        <v>0</v>
      </c>
      <c r="Q48" s="30">
        <f>'Equity Volume Data'!T48*'Equity Price Data'!W49</f>
        <v>20458.8</v>
      </c>
      <c r="R48" s="30">
        <f>'Equity Volume Data'!U48*'Equity Price Data'!X49</f>
        <v>12732</v>
      </c>
      <c r="S48" s="30">
        <f>'Equity Volume Data'!V48*'Equity Price Data'!Y49</f>
        <v>29553.92</v>
      </c>
      <c r="T48" s="30">
        <f>'Equity Volume Data'!W48*'Equity Price Data'!Z49</f>
        <v>10250</v>
      </c>
      <c r="U48" s="30">
        <f>'Equity Volume Data'!X48*'Equity Price Data'!AA49</f>
        <v>17236.56</v>
      </c>
      <c r="V48" s="30">
        <f>'Equity Volume Data'!Y48*'Equity Price Data'!AB49</f>
        <v>15140.44</v>
      </c>
      <c r="W48" s="30">
        <f>'Equity Volume Data'!Z48*'Equity Price Data'!AC49</f>
        <v>10706.73</v>
      </c>
      <c r="X48" s="30">
        <f>'Equity Volume Data'!AA48*'Equity Price Data'!AD49</f>
        <v>26640</v>
      </c>
      <c r="Y48" s="30">
        <f>'Equity Volume Data'!AB48*'Equity Price Data'!AE49</f>
        <v>5254.21</v>
      </c>
      <c r="Z48" s="30">
        <f>'Equity Volume Data'!AC48*'Equity Price Data'!AF49</f>
        <v>8040</v>
      </c>
      <c r="AA48" s="30">
        <f>'Equity Volume Data'!AD48*'Equity Price Data'!AG49</f>
        <v>19731.9</v>
      </c>
      <c r="AB48" s="30">
        <f>'Equity Volume Data'!AE48*'Equity Price Data'!AH49</f>
        <v>9189.3</v>
      </c>
      <c r="AC48" s="30">
        <f>'Equity Volume Data'!AF48*'Equity Price Data'!AI49</f>
        <v>16652.4</v>
      </c>
      <c r="AD48" s="30">
        <f>'Equity Volume Data'!AG48*'Equity Price Data'!AJ49</f>
        <v>12969.9</v>
      </c>
      <c r="AE48" s="30">
        <f>'Equity Volume Data'!AH48*'Equity Price Data'!AK49</f>
        <v>9660</v>
      </c>
      <c r="AF48" s="30">
        <f>'Equity Volume Data'!AI48*'Equity Price Data'!AL49</f>
        <v>14874.8</v>
      </c>
      <c r="AG48" s="30">
        <f>'Equity Volume Data'!AJ48*'Equity Price Data'!AM49</f>
        <v>29095.8</v>
      </c>
      <c r="AH48" s="30">
        <f>'Equity Volume Data'!AK48*'Equity Price Data'!AN49</f>
        <v>36336</v>
      </c>
      <c r="AI48" s="30">
        <f>'Equity Volume Data'!AL48*'Equity Price Data'!AO49</f>
        <v>18761.75</v>
      </c>
      <c r="AJ48" s="30">
        <f>'Equity Volume Data'!AM48*'Equity Price Data'!AP49</f>
        <v>19198.4</v>
      </c>
      <c r="AK48" s="30">
        <f>'Equity Volume Data'!AN48*'Equity Price Data'!AQ49</f>
        <v>0</v>
      </c>
      <c r="AL48" s="30">
        <f>'Equity Volume Data'!AO48*'Equity Price Data'!AR49</f>
        <v>33564.8</v>
      </c>
      <c r="AM48" s="30">
        <f>'Equity Volume Data'!AP48*'Equity Price Data'!AS49</f>
        <v>33244.4</v>
      </c>
      <c r="AN48" s="30">
        <f>'Equity Volume Data'!AQ48*'Equity Price Data'!AT49</f>
        <v>9808.4</v>
      </c>
      <c r="AO48" s="30">
        <f>'Equity Volume Data'!AR48*'Equity Price Data'!AU49</f>
        <v>22161.3</v>
      </c>
      <c r="AP48" s="30">
        <f>'Equity Volume Data'!AS48*'Equity Price Data'!AV49</f>
        <v>19870</v>
      </c>
      <c r="AQ48" s="30">
        <f>'Equity Volume Data'!AT48*'Equity Price Data'!AW49</f>
        <v>16451.6</v>
      </c>
      <c r="AR48" s="30">
        <f>'Equity Volume Data'!AU48*'Equity Price Data'!AX49</f>
        <v>0</v>
      </c>
      <c r="AS48" s="30">
        <f>'Equity Volume Data'!AV48*'Equity Price Data'!AY49</f>
        <v>52453.2</v>
      </c>
      <c r="AT48" s="30">
        <f>'Equity Volume Data'!AW48*'Equity Price Data'!AZ49</f>
        <v>14400</v>
      </c>
      <c r="AU48" s="30">
        <f>'Equity Volume Data'!AX48*'Equity Price Data'!BA49</f>
        <v>0</v>
      </c>
      <c r="AV48" s="30">
        <f>'Equity Volume Data'!AY48*'Equity Price Data'!BB49</f>
        <v>62502.9</v>
      </c>
      <c r="AW48" s="30">
        <f>'Equity Volume Data'!AZ48*'Equity Price Data'!BC49</f>
        <v>3909.2</v>
      </c>
      <c r="AX48" s="30">
        <f>'Equity Volume Data'!BA48*'Equity Price Data'!BD49</f>
        <v>0</v>
      </c>
      <c r="AY48" s="30">
        <f>'Equity Volume Data'!BB48*'Equity Price Data'!BE49</f>
        <v>0</v>
      </c>
      <c r="AZ48" s="30">
        <f>'Equity Volume Data'!BC48*'Equity Price Data'!BF49</f>
        <v>8899.5</v>
      </c>
      <c r="BA48" s="30">
        <f>'Equity Volume Data'!BD48*'Equity Price Data'!BG49</f>
        <v>5694.3</v>
      </c>
      <c r="BB48" s="30">
        <f>'Equity Volume Data'!BE48*'Equity Price Data'!BH49</f>
        <v>8224.8</v>
      </c>
      <c r="BC48" s="30">
        <f>'Equity Volume Data'!BF48*'Equity Price Data'!BI49</f>
        <v>0</v>
      </c>
      <c r="BD48" s="30">
        <f>'Equity Volume Data'!BG48*'Equity Price Data'!BJ49</f>
        <v>38776.65</v>
      </c>
      <c r="BE48" s="30">
        <f>'Equity Volume Data'!BH48*'Equity Price Data'!BK49</f>
        <v>12290.05</v>
      </c>
      <c r="BF48" s="30">
        <f>'Equity Volume Data'!BI48*'Equity Price Data'!BL49</f>
        <v>7886</v>
      </c>
      <c r="BG48" s="30">
        <f>'Equity Volume Data'!BJ48*'Equity Price Data'!BM49</f>
        <v>40921.6</v>
      </c>
      <c r="BH48" s="30">
        <f>'Equity Volume Data'!BK48*'Equity Price Data'!BN49</f>
        <v>1072</v>
      </c>
      <c r="BI48" s="30">
        <f>'Equity Volume Data'!BL48*'Equity Price Data'!BO49</f>
        <v>38771.2</v>
      </c>
      <c r="BJ48" s="30">
        <f>'Equity Volume Data'!BM48*'Equity Price Data'!BP49</f>
        <v>42399.75</v>
      </c>
      <c r="BK48" s="30">
        <f>'Equity Volume Data'!BN48*'Equity Price Data'!BQ49</f>
        <v>87000.56</v>
      </c>
      <c r="BL48" s="30">
        <f>'Equity Volume Data'!BO48*'Equity Price Data'!BR49</f>
        <v>556.48</v>
      </c>
      <c r="BM48" s="30">
        <f>'Equity Volume Data'!BP48*'Equity Price Data'!BS49</f>
        <v>0</v>
      </c>
      <c r="BN48" s="30">
        <f>'Equity Volume Data'!BQ48*'Equity Price Data'!BT49</f>
        <v>17999.12</v>
      </c>
      <c r="BO48" s="30">
        <f>'Equity Volume Data'!BR48*'Equity Price Data'!BU49</f>
        <v>34640</v>
      </c>
    </row>
    <row r="49">
      <c r="A49" s="25">
        <f>'Equity Price Data'!A50</f>
        <v>45495.66667</v>
      </c>
      <c r="B49" s="29">
        <f t="shared" si="1"/>
        <v>1272310.76</v>
      </c>
      <c r="C49" s="30">
        <f>'Equity Volume Data'!F49*'Equity Price Data'!I50</f>
        <v>7212.66</v>
      </c>
      <c r="D49" s="30">
        <f>'Equity Volume Data'!G49*'Equity Price Data'!J50</f>
        <v>47463</v>
      </c>
      <c r="E49" s="30">
        <f>'Equity Volume Data'!H49*'Equity Price Data'!K50</f>
        <v>15598</v>
      </c>
      <c r="F49" s="30">
        <f>'Equity Volume Data'!I49*'Equity Price Data'!L50</f>
        <v>57333.76</v>
      </c>
      <c r="G49" s="30">
        <f>'Equity Volume Data'!J49*'Equity Price Data'!M50</f>
        <v>18548.01</v>
      </c>
      <c r="H49" s="30">
        <f>'Equity Volume Data'!K49*'Equity Price Data'!N50</f>
        <v>11892.88</v>
      </c>
      <c r="I49" s="30">
        <f>'Equity Volume Data'!L49*'Equity Price Data'!O50</f>
        <v>11990</v>
      </c>
      <c r="J49" s="30">
        <f>'Equity Volume Data'!M49*'Equity Price Data'!P50</f>
        <v>44469.96</v>
      </c>
      <c r="K49" s="30">
        <f>'Equity Volume Data'!N49*'Equity Price Data'!Q50</f>
        <v>11150</v>
      </c>
      <c r="L49" s="30">
        <f>'Equity Volume Data'!O49*'Equity Price Data'!R50</f>
        <v>27422.23</v>
      </c>
      <c r="M49" s="30">
        <f>'Equity Volume Data'!P49*'Equity Price Data'!S50</f>
        <v>0</v>
      </c>
      <c r="N49" s="30">
        <f>'Equity Volume Data'!Q49*'Equity Price Data'!T50</f>
        <v>5440</v>
      </c>
      <c r="O49" s="30">
        <f>'Equity Volume Data'!R49*'Equity Price Data'!U50</f>
        <v>52180.5</v>
      </c>
      <c r="P49" s="30">
        <f>'Equity Volume Data'!S49*'Equity Price Data'!V50</f>
        <v>0</v>
      </c>
      <c r="Q49" s="30">
        <f>'Equity Volume Data'!T49*'Equity Price Data'!W50</f>
        <v>20456.4</v>
      </c>
      <c r="R49" s="30">
        <f>'Equity Volume Data'!U49*'Equity Price Data'!X50</f>
        <v>12559.2</v>
      </c>
      <c r="S49" s="30">
        <f>'Equity Volume Data'!V49*'Equity Price Data'!Y50</f>
        <v>29549.52</v>
      </c>
      <c r="T49" s="30">
        <f>'Equity Volume Data'!W49*'Equity Price Data'!Z50</f>
        <v>10350</v>
      </c>
      <c r="U49" s="30">
        <f>'Equity Volume Data'!X49*'Equity Price Data'!AA50</f>
        <v>17099.28</v>
      </c>
      <c r="V49" s="30">
        <f>'Equity Volume Data'!Y49*'Equity Price Data'!AB50</f>
        <v>15237.04</v>
      </c>
      <c r="W49" s="30">
        <f>'Equity Volume Data'!Z49*'Equity Price Data'!AC50</f>
        <v>10733.64</v>
      </c>
      <c r="X49" s="30">
        <f>'Equity Volume Data'!AA49*'Equity Price Data'!AD50</f>
        <v>26802.5</v>
      </c>
      <c r="Y49" s="30">
        <f>'Equity Volume Data'!AB49*'Equity Price Data'!AE50</f>
        <v>5402.15</v>
      </c>
      <c r="Z49" s="30">
        <f>'Equity Volume Data'!AC49*'Equity Price Data'!AF50</f>
        <v>8086.5</v>
      </c>
      <c r="AA49" s="30">
        <f>'Equity Volume Data'!AD49*'Equity Price Data'!AG50</f>
        <v>19595.9</v>
      </c>
      <c r="AB49" s="30">
        <f>'Equity Volume Data'!AE49*'Equity Price Data'!AH50</f>
        <v>9222.9</v>
      </c>
      <c r="AC49" s="30">
        <f>'Equity Volume Data'!AF49*'Equity Price Data'!AI50</f>
        <v>17087.6</v>
      </c>
      <c r="AD49" s="30">
        <f>'Equity Volume Data'!AG49*'Equity Price Data'!AJ50</f>
        <v>13104.45</v>
      </c>
      <c r="AE49" s="30">
        <f>'Equity Volume Data'!AH49*'Equity Price Data'!AK50</f>
        <v>9912</v>
      </c>
      <c r="AF49" s="30">
        <f>'Equity Volume Data'!AI49*'Equity Price Data'!AL50</f>
        <v>14844.05</v>
      </c>
      <c r="AG49" s="30">
        <f>'Equity Volume Data'!AJ49*'Equity Price Data'!AM50</f>
        <v>29222.4</v>
      </c>
      <c r="AH49" s="30">
        <f>'Equity Volume Data'!AK49*'Equity Price Data'!AN50</f>
        <v>36325</v>
      </c>
      <c r="AI49" s="30">
        <f>'Equity Volume Data'!AL49*'Equity Price Data'!AO50</f>
        <v>19181.75</v>
      </c>
      <c r="AJ49" s="30">
        <f>'Equity Volume Data'!AM49*'Equity Price Data'!AP50</f>
        <v>19401.2</v>
      </c>
      <c r="AK49" s="30">
        <f>'Equity Volume Data'!AN49*'Equity Price Data'!AQ50</f>
        <v>0</v>
      </c>
      <c r="AL49" s="30">
        <f>'Equity Volume Data'!AO49*'Equity Price Data'!AR50</f>
        <v>33644.8</v>
      </c>
      <c r="AM49" s="30">
        <f>'Equity Volume Data'!AP49*'Equity Price Data'!AS50</f>
        <v>33221.3</v>
      </c>
      <c r="AN49" s="30">
        <f>'Equity Volume Data'!AQ49*'Equity Price Data'!AT50</f>
        <v>9975</v>
      </c>
      <c r="AO49" s="30">
        <f>'Equity Volume Data'!AR49*'Equity Price Data'!AU50</f>
        <v>22400.42</v>
      </c>
      <c r="AP49" s="30">
        <f>'Equity Volume Data'!AS49*'Equity Price Data'!AV50</f>
        <v>19825</v>
      </c>
      <c r="AQ49" s="30">
        <f>'Equity Volume Data'!AT49*'Equity Price Data'!AW50</f>
        <v>16552.8</v>
      </c>
      <c r="AR49" s="30">
        <f>'Equity Volume Data'!AU49*'Equity Price Data'!AX50</f>
        <v>0</v>
      </c>
      <c r="AS49" s="30">
        <f>'Equity Volume Data'!AV49*'Equity Price Data'!AY50</f>
        <v>53152.8</v>
      </c>
      <c r="AT49" s="30">
        <f>'Equity Volume Data'!AW49*'Equity Price Data'!AZ50</f>
        <v>14580</v>
      </c>
      <c r="AU49" s="30">
        <f>'Equity Volume Data'!AX49*'Equity Price Data'!BA50</f>
        <v>0</v>
      </c>
      <c r="AV49" s="30">
        <f>'Equity Volume Data'!AY49*'Equity Price Data'!BB50</f>
        <v>65476.2</v>
      </c>
      <c r="AW49" s="30">
        <f>'Equity Volume Data'!AZ49*'Equity Price Data'!BC50</f>
        <v>3978.8</v>
      </c>
      <c r="AX49" s="30">
        <f>'Equity Volume Data'!BA49*'Equity Price Data'!BD50</f>
        <v>0</v>
      </c>
      <c r="AY49" s="30">
        <f>'Equity Volume Data'!BB49*'Equity Price Data'!BE50</f>
        <v>0</v>
      </c>
      <c r="AZ49" s="30">
        <f>'Equity Volume Data'!BC49*'Equity Price Data'!BF50</f>
        <v>9115.5</v>
      </c>
      <c r="BA49" s="30">
        <f>'Equity Volume Data'!BD49*'Equity Price Data'!BG50</f>
        <v>5624</v>
      </c>
      <c r="BB49" s="30">
        <f>'Equity Volume Data'!BE49*'Equity Price Data'!BH50</f>
        <v>8301.6</v>
      </c>
      <c r="BC49" s="30">
        <f>'Equity Volume Data'!BF49*'Equity Price Data'!BI50</f>
        <v>0</v>
      </c>
      <c r="BD49" s="30">
        <f>'Equity Volume Data'!BG49*'Equity Price Data'!BJ50</f>
        <v>37794.72</v>
      </c>
      <c r="BE49" s="30">
        <f>'Equity Volume Data'!BH49*'Equity Price Data'!BK50</f>
        <v>12567.66</v>
      </c>
      <c r="BF49" s="30">
        <f>'Equity Volume Data'!BI49*'Equity Price Data'!BL50</f>
        <v>8005.6</v>
      </c>
      <c r="BG49" s="30">
        <f>'Equity Volume Data'!BJ49*'Equity Price Data'!BM50</f>
        <v>41469.26</v>
      </c>
      <c r="BH49" s="30">
        <f>'Equity Volume Data'!BK49*'Equity Price Data'!BN50</f>
        <v>1070.4</v>
      </c>
      <c r="BI49" s="30">
        <f>'Equity Volume Data'!BL49*'Equity Price Data'!BO50</f>
        <v>38923.2</v>
      </c>
      <c r="BJ49" s="30">
        <f>'Equity Volume Data'!BM49*'Equity Price Data'!BP50</f>
        <v>41889.75</v>
      </c>
      <c r="BK49" s="30">
        <f>'Equity Volume Data'!BN49*'Equity Price Data'!BQ50</f>
        <v>86982.54</v>
      </c>
      <c r="BL49" s="30">
        <f>'Equity Volume Data'!BO49*'Equity Price Data'!BR50</f>
        <v>548.49</v>
      </c>
      <c r="BM49" s="30">
        <f>'Equity Volume Data'!BP49*'Equity Price Data'!BS50</f>
        <v>0</v>
      </c>
      <c r="BN49" s="30">
        <f>'Equity Volume Data'!BQ49*'Equity Price Data'!BT50</f>
        <v>17696.44</v>
      </c>
      <c r="BO49" s="30">
        <f>'Equity Volume Data'!BR49*'Equity Price Data'!BU50</f>
        <v>34640</v>
      </c>
    </row>
    <row r="50">
      <c r="A50" s="25">
        <f>'Equity Price Data'!A51</f>
        <v>45496.66667</v>
      </c>
      <c r="B50" s="29">
        <f t="shared" si="1"/>
        <v>1271503.8</v>
      </c>
      <c r="C50" s="30">
        <f>'Equity Volume Data'!F50*'Equity Price Data'!I51</f>
        <v>7098.13</v>
      </c>
      <c r="D50" s="30">
        <f>'Equity Volume Data'!G50*'Equity Price Data'!J51</f>
        <v>48466.6</v>
      </c>
      <c r="E50" s="30">
        <f>'Equity Volume Data'!H50*'Equity Price Data'!K51</f>
        <v>15453.9</v>
      </c>
      <c r="F50" s="30">
        <f>'Equity Volume Data'!I50*'Equity Price Data'!L51</f>
        <v>57602.56</v>
      </c>
      <c r="G50" s="30">
        <f>'Equity Volume Data'!J50*'Equity Price Data'!M51</f>
        <v>18230.95</v>
      </c>
      <c r="H50" s="30">
        <f>'Equity Volume Data'!K50*'Equity Price Data'!N51</f>
        <v>11962.44</v>
      </c>
      <c r="I50" s="30">
        <f>'Equity Volume Data'!L50*'Equity Price Data'!O51</f>
        <v>11950</v>
      </c>
      <c r="J50" s="30">
        <f>'Equity Volume Data'!M50*'Equity Price Data'!P51</f>
        <v>44269.02</v>
      </c>
      <c r="K50" s="30">
        <f>'Equity Volume Data'!N50*'Equity Price Data'!Q51</f>
        <v>11014</v>
      </c>
      <c r="L50" s="30">
        <f>'Equity Volume Data'!O50*'Equity Price Data'!R51</f>
        <v>27139.09</v>
      </c>
      <c r="M50" s="30">
        <f>'Equity Volume Data'!P50*'Equity Price Data'!S51</f>
        <v>0</v>
      </c>
      <c r="N50" s="30">
        <f>'Equity Volume Data'!Q50*'Equity Price Data'!T51</f>
        <v>5461.6</v>
      </c>
      <c r="O50" s="30">
        <f>'Equity Volume Data'!R50*'Equity Price Data'!U51</f>
        <v>51625.5</v>
      </c>
      <c r="P50" s="30">
        <f>'Equity Volume Data'!S50*'Equity Price Data'!V51</f>
        <v>0</v>
      </c>
      <c r="Q50" s="30">
        <f>'Equity Volume Data'!T50*'Equity Price Data'!W51</f>
        <v>20400</v>
      </c>
      <c r="R50" s="30">
        <f>'Equity Volume Data'!U50*'Equity Price Data'!X51</f>
        <v>12327.2</v>
      </c>
      <c r="S50" s="30">
        <f>'Equity Volume Data'!V50*'Equity Price Data'!Y51</f>
        <v>29582.96</v>
      </c>
      <c r="T50" s="30">
        <f>'Equity Volume Data'!W50*'Equity Price Data'!Z51</f>
        <v>10575</v>
      </c>
      <c r="U50" s="30">
        <f>'Equity Volume Data'!X50*'Equity Price Data'!AA51</f>
        <v>17149.44</v>
      </c>
      <c r="V50" s="30">
        <f>'Equity Volume Data'!Y50*'Equity Price Data'!AB51</f>
        <v>15013.25</v>
      </c>
      <c r="W50" s="30">
        <f>'Equity Volume Data'!Z50*'Equity Price Data'!AC51</f>
        <v>10701.21</v>
      </c>
      <c r="X50" s="30">
        <f>'Equity Volume Data'!AA50*'Equity Price Data'!AD51</f>
        <v>26752.5</v>
      </c>
      <c r="Y50" s="30">
        <f>'Equity Volume Data'!AB50*'Equity Price Data'!AE51</f>
        <v>5498.22</v>
      </c>
      <c r="Z50" s="30">
        <f>'Equity Volume Data'!AC50*'Equity Price Data'!AF51</f>
        <v>7986</v>
      </c>
      <c r="AA50" s="30">
        <f>'Equity Volume Data'!AD50*'Equity Price Data'!AG51</f>
        <v>19279.7</v>
      </c>
      <c r="AB50" s="30">
        <f>'Equity Volume Data'!AE50*'Equity Price Data'!AH51</f>
        <v>9024</v>
      </c>
      <c r="AC50" s="30">
        <f>'Equity Volume Data'!AF50*'Equity Price Data'!AI51</f>
        <v>16926.8</v>
      </c>
      <c r="AD50" s="30">
        <f>'Equity Volume Data'!AG50*'Equity Price Data'!AJ51</f>
        <v>13250.7</v>
      </c>
      <c r="AE50" s="30">
        <f>'Equity Volume Data'!AH50*'Equity Price Data'!AK51</f>
        <v>9276</v>
      </c>
      <c r="AF50" s="30">
        <f>'Equity Volume Data'!AI50*'Equity Price Data'!AL51</f>
        <v>14589.85</v>
      </c>
      <c r="AG50" s="30">
        <f>'Equity Volume Data'!AJ50*'Equity Price Data'!AM51</f>
        <v>29529</v>
      </c>
      <c r="AH50" s="30">
        <f>'Equity Volume Data'!AK50*'Equity Price Data'!AN51</f>
        <v>35962</v>
      </c>
      <c r="AI50" s="30">
        <f>'Equity Volume Data'!AL50*'Equity Price Data'!AO51</f>
        <v>19328.75</v>
      </c>
      <c r="AJ50" s="30">
        <f>'Equity Volume Data'!AM50*'Equity Price Data'!AP51</f>
        <v>19314.1</v>
      </c>
      <c r="AK50" s="30">
        <f>'Equity Volume Data'!AN50*'Equity Price Data'!AQ51</f>
        <v>0</v>
      </c>
      <c r="AL50" s="30">
        <f>'Equity Volume Data'!AO50*'Equity Price Data'!AR51</f>
        <v>33652.8</v>
      </c>
      <c r="AM50" s="30">
        <f>'Equity Volume Data'!AP50*'Equity Price Data'!AS51</f>
        <v>35090.3</v>
      </c>
      <c r="AN50" s="30">
        <f>'Equity Volume Data'!AQ50*'Equity Price Data'!AT51</f>
        <v>9847.95</v>
      </c>
      <c r="AO50" s="30">
        <f>'Equity Volume Data'!AR50*'Equity Price Data'!AU51</f>
        <v>22323.56</v>
      </c>
      <c r="AP50" s="30">
        <f>'Equity Volume Data'!AS50*'Equity Price Data'!AV51</f>
        <v>19850</v>
      </c>
      <c r="AQ50" s="30">
        <f>'Equity Volume Data'!AT50*'Equity Price Data'!AW51</f>
        <v>16541.8</v>
      </c>
      <c r="AR50" s="30">
        <f>'Equity Volume Data'!AU50*'Equity Price Data'!AX51</f>
        <v>0</v>
      </c>
      <c r="AS50" s="30">
        <f>'Equity Volume Data'!AV50*'Equity Price Data'!AY51</f>
        <v>53382</v>
      </c>
      <c r="AT50" s="30">
        <f>'Equity Volume Data'!AW50*'Equity Price Data'!AZ51</f>
        <v>14422</v>
      </c>
      <c r="AU50" s="30">
        <f>'Equity Volume Data'!AX50*'Equity Price Data'!BA51</f>
        <v>0</v>
      </c>
      <c r="AV50" s="30">
        <f>'Equity Volume Data'!AY50*'Equity Price Data'!BB51</f>
        <v>64972.7</v>
      </c>
      <c r="AW50" s="30">
        <f>'Equity Volume Data'!AZ50*'Equity Price Data'!BC51</f>
        <v>3935.2</v>
      </c>
      <c r="AX50" s="30">
        <f>'Equity Volume Data'!BA50*'Equity Price Data'!BD51</f>
        <v>0</v>
      </c>
      <c r="AY50" s="30">
        <f>'Equity Volume Data'!BB50*'Equity Price Data'!BE51</f>
        <v>0</v>
      </c>
      <c r="AZ50" s="30">
        <f>'Equity Volume Data'!BC50*'Equity Price Data'!BF51</f>
        <v>8956.5</v>
      </c>
      <c r="BA50" s="30">
        <f>'Equity Volume Data'!BD50*'Equity Price Data'!BG51</f>
        <v>5605</v>
      </c>
      <c r="BB50" s="30">
        <f>'Equity Volume Data'!BE50*'Equity Price Data'!BH51</f>
        <v>8397.6</v>
      </c>
      <c r="BC50" s="30">
        <f>'Equity Volume Data'!BF50*'Equity Price Data'!BI51</f>
        <v>0</v>
      </c>
      <c r="BD50" s="30">
        <f>'Equity Volume Data'!BG50*'Equity Price Data'!BJ51</f>
        <v>37607.28</v>
      </c>
      <c r="BE50" s="30">
        <f>'Equity Volume Data'!BH50*'Equity Price Data'!BK51</f>
        <v>12701.52</v>
      </c>
      <c r="BF50" s="30">
        <f>'Equity Volume Data'!BI50*'Equity Price Data'!BL51</f>
        <v>8031.6</v>
      </c>
      <c r="BG50" s="30">
        <f>'Equity Volume Data'!BJ50*'Equity Price Data'!BM51</f>
        <v>43195.64</v>
      </c>
      <c r="BH50" s="30">
        <f>'Equity Volume Data'!BK50*'Equity Price Data'!BN51</f>
        <v>1049.6</v>
      </c>
      <c r="BI50" s="30">
        <f>'Equity Volume Data'!BL50*'Equity Price Data'!BO51</f>
        <v>38320</v>
      </c>
      <c r="BJ50" s="30">
        <f>'Equity Volume Data'!BM50*'Equity Price Data'!BP51</f>
        <v>41602.5</v>
      </c>
      <c r="BK50" s="30">
        <f>'Equity Volume Data'!BN50*'Equity Price Data'!BQ51</f>
        <v>87000.56</v>
      </c>
      <c r="BL50" s="30">
        <f>'Equity Volume Data'!BO50*'Equity Price Data'!BR51</f>
        <v>540.5</v>
      </c>
      <c r="BM50" s="30">
        <f>'Equity Volume Data'!BP50*'Equity Price Data'!BS51</f>
        <v>0</v>
      </c>
      <c r="BN50" s="30">
        <f>'Equity Volume Data'!BQ50*'Equity Price Data'!BT51</f>
        <v>17096.72</v>
      </c>
      <c r="BO50" s="30">
        <f>'Equity Volume Data'!BR50*'Equity Price Data'!BU51</f>
        <v>34640</v>
      </c>
    </row>
    <row r="51">
      <c r="A51" s="25">
        <f>'Equity Price Data'!A52</f>
        <v>45497.66667</v>
      </c>
      <c r="B51" s="29">
        <f t="shared" si="1"/>
        <v>1257765.73</v>
      </c>
      <c r="C51" s="30">
        <f>'Equity Volume Data'!F51*'Equity Price Data'!I52</f>
        <v>6903.52</v>
      </c>
      <c r="D51" s="30">
        <f>'Equity Volume Data'!G51*'Equity Price Data'!J52</f>
        <v>47015.8</v>
      </c>
      <c r="E51" s="30">
        <f>'Equity Volume Data'!H51*'Equity Price Data'!K52</f>
        <v>15664</v>
      </c>
      <c r="F51" s="30">
        <f>'Equity Volume Data'!I51*'Equity Price Data'!L52</f>
        <v>55946.24</v>
      </c>
      <c r="G51" s="30">
        <f>'Equity Volume Data'!J51*'Equity Price Data'!M52</f>
        <v>17141.99</v>
      </c>
      <c r="H51" s="30">
        <f>'Equity Volume Data'!K51*'Equity Price Data'!N52</f>
        <v>12013.2</v>
      </c>
      <c r="I51" s="30">
        <f>'Equity Volume Data'!L51*'Equity Price Data'!O52</f>
        <v>11700</v>
      </c>
      <c r="J51" s="30">
        <f>'Equity Volume Data'!M51*'Equity Price Data'!P52</f>
        <v>44145.6</v>
      </c>
      <c r="K51" s="30">
        <f>'Equity Volume Data'!N51*'Equity Price Data'!Q52</f>
        <v>10886</v>
      </c>
      <c r="L51" s="30">
        <f>'Equity Volume Data'!O51*'Equity Price Data'!R52</f>
        <v>27349.63</v>
      </c>
      <c r="M51" s="30">
        <f>'Equity Volume Data'!P51*'Equity Price Data'!S52</f>
        <v>0</v>
      </c>
      <c r="N51" s="30">
        <f>'Equity Volume Data'!Q51*'Equity Price Data'!T52</f>
        <v>5279.2</v>
      </c>
      <c r="O51" s="30">
        <f>'Equity Volume Data'!R51*'Equity Price Data'!U52</f>
        <v>50406</v>
      </c>
      <c r="P51" s="30">
        <f>'Equity Volume Data'!S51*'Equity Price Data'!V52</f>
        <v>0</v>
      </c>
      <c r="Q51" s="30">
        <f>'Equity Volume Data'!T51*'Equity Price Data'!W52</f>
        <v>21608.4</v>
      </c>
      <c r="R51" s="30">
        <f>'Equity Volume Data'!U51*'Equity Price Data'!X52</f>
        <v>12405.6</v>
      </c>
      <c r="S51" s="30">
        <f>'Equity Volume Data'!V51*'Equity Price Data'!Y52</f>
        <v>30114.48</v>
      </c>
      <c r="T51" s="30">
        <f>'Equity Volume Data'!W51*'Equity Price Data'!Z52</f>
        <v>10555</v>
      </c>
      <c r="U51" s="30">
        <f>'Equity Volume Data'!X51*'Equity Price Data'!AA52</f>
        <v>17373.84</v>
      </c>
      <c r="V51" s="30">
        <f>'Equity Volume Data'!Y51*'Equity Price Data'!AB52</f>
        <v>15436.68</v>
      </c>
      <c r="W51" s="30">
        <f>'Equity Volume Data'!Z51*'Equity Price Data'!AC52</f>
        <v>10464.54</v>
      </c>
      <c r="X51" s="30">
        <f>'Equity Volume Data'!AA51*'Equity Price Data'!AD52</f>
        <v>25922.5</v>
      </c>
      <c r="Y51" s="30">
        <f>'Equity Volume Data'!AB51*'Equity Price Data'!AE52</f>
        <v>5521.49</v>
      </c>
      <c r="Z51" s="30">
        <f>'Equity Volume Data'!AC51*'Equity Price Data'!AF52</f>
        <v>8049</v>
      </c>
      <c r="AA51" s="30">
        <f>'Equity Volume Data'!AD51*'Equity Price Data'!AG52</f>
        <v>19551.7</v>
      </c>
      <c r="AB51" s="30">
        <f>'Equity Volume Data'!AE51*'Equity Price Data'!AH52</f>
        <v>8948.4</v>
      </c>
      <c r="AC51" s="30">
        <f>'Equity Volume Data'!AF51*'Equity Price Data'!AI52</f>
        <v>16546.8</v>
      </c>
      <c r="AD51" s="30">
        <f>'Equity Volume Data'!AG51*'Equity Price Data'!AJ52</f>
        <v>12810.15</v>
      </c>
      <c r="AE51" s="30">
        <f>'Equity Volume Data'!AH51*'Equity Price Data'!AK52</f>
        <v>9298</v>
      </c>
      <c r="AF51" s="30">
        <f>'Equity Volume Data'!AI51*'Equity Price Data'!AL52</f>
        <v>15067.5</v>
      </c>
      <c r="AG51" s="30">
        <f>'Equity Volume Data'!AJ51*'Equity Price Data'!AM52</f>
        <v>29202</v>
      </c>
      <c r="AH51" s="30">
        <f>'Equity Volume Data'!AK51*'Equity Price Data'!AN52</f>
        <v>35031</v>
      </c>
      <c r="AI51" s="30">
        <f>'Equity Volume Data'!AL51*'Equity Price Data'!AO52</f>
        <v>19071.5</v>
      </c>
      <c r="AJ51" s="30">
        <f>'Equity Volume Data'!AM51*'Equity Price Data'!AP52</f>
        <v>19176.3</v>
      </c>
      <c r="AK51" s="30">
        <f>'Equity Volume Data'!AN51*'Equity Price Data'!AQ52</f>
        <v>0</v>
      </c>
      <c r="AL51" s="30">
        <f>'Equity Volume Data'!AO51*'Equity Price Data'!AR52</f>
        <v>33374.4</v>
      </c>
      <c r="AM51" s="30">
        <f>'Equity Volume Data'!AP51*'Equity Price Data'!AS52</f>
        <v>36064</v>
      </c>
      <c r="AN51" s="30">
        <f>'Equity Volume Data'!AQ51*'Equity Price Data'!AT52</f>
        <v>9522.1</v>
      </c>
      <c r="AO51" s="30">
        <f>'Equity Volume Data'!AR51*'Equity Price Data'!AU52</f>
        <v>21922.18</v>
      </c>
      <c r="AP51" s="30">
        <f>'Equity Volume Data'!AS51*'Equity Price Data'!AV52</f>
        <v>19992.5</v>
      </c>
      <c r="AQ51" s="30">
        <f>'Equity Volume Data'!AT51*'Equity Price Data'!AW52</f>
        <v>16394.4</v>
      </c>
      <c r="AR51" s="30">
        <f>'Equity Volume Data'!AU51*'Equity Price Data'!AX52</f>
        <v>0</v>
      </c>
      <c r="AS51" s="30">
        <f>'Equity Volume Data'!AV51*'Equity Price Data'!AY52</f>
        <v>51468</v>
      </c>
      <c r="AT51" s="30">
        <f>'Equity Volume Data'!AW51*'Equity Price Data'!AZ52</f>
        <v>15082</v>
      </c>
      <c r="AU51" s="30">
        <f>'Equity Volume Data'!AX51*'Equity Price Data'!BA52</f>
        <v>0</v>
      </c>
      <c r="AV51" s="30">
        <f>'Equity Volume Data'!AY51*'Equity Price Data'!BB52</f>
        <v>60552.5</v>
      </c>
      <c r="AW51" s="30">
        <f>'Equity Volume Data'!AZ51*'Equity Price Data'!BC52</f>
        <v>3657.2</v>
      </c>
      <c r="AX51" s="30">
        <f>'Equity Volume Data'!BA51*'Equity Price Data'!BD52</f>
        <v>0</v>
      </c>
      <c r="AY51" s="30">
        <f>'Equity Volume Data'!BB51*'Equity Price Data'!BE52</f>
        <v>0</v>
      </c>
      <c r="AZ51" s="30">
        <f>'Equity Volume Data'!BC51*'Equity Price Data'!BF52</f>
        <v>8710.5</v>
      </c>
      <c r="BA51" s="30">
        <f>'Equity Volume Data'!BD51*'Equity Price Data'!BG52</f>
        <v>5696.2</v>
      </c>
      <c r="BB51" s="30">
        <f>'Equity Volume Data'!BE51*'Equity Price Data'!BH52</f>
        <v>8386.4</v>
      </c>
      <c r="BC51" s="30">
        <f>'Equity Volume Data'!BF51*'Equity Price Data'!BI52</f>
        <v>0</v>
      </c>
      <c r="BD51" s="30">
        <f>'Equity Volume Data'!BG51*'Equity Price Data'!BJ52</f>
        <v>37677.57</v>
      </c>
      <c r="BE51" s="30">
        <f>'Equity Volume Data'!BH51*'Equity Price Data'!BK52</f>
        <v>13218.79</v>
      </c>
      <c r="BF51" s="30">
        <f>'Equity Volume Data'!BI51*'Equity Price Data'!BL52</f>
        <v>7888</v>
      </c>
      <c r="BG51" s="30">
        <f>'Equity Volume Data'!BJ51*'Equity Price Data'!BM52</f>
        <v>41474.82</v>
      </c>
      <c r="BH51" s="30">
        <f>'Equity Volume Data'!BK51*'Equity Price Data'!BN52</f>
        <v>1043.2</v>
      </c>
      <c r="BI51" s="30">
        <f>'Equity Volume Data'!BL51*'Equity Price Data'!BO52</f>
        <v>37980.8</v>
      </c>
      <c r="BJ51" s="30">
        <f>'Equity Volume Data'!BM51*'Equity Price Data'!BP52</f>
        <v>41981.25</v>
      </c>
      <c r="BK51" s="30">
        <f>'Equity Volume Data'!BN51*'Equity Price Data'!BQ52</f>
        <v>87000.56</v>
      </c>
      <c r="BL51" s="30">
        <f>'Equity Volume Data'!BO51*'Equity Price Data'!BR52</f>
        <v>549.9</v>
      </c>
      <c r="BM51" s="30">
        <f>'Equity Volume Data'!BP51*'Equity Price Data'!BS52</f>
        <v>0</v>
      </c>
      <c r="BN51" s="30">
        <f>'Equity Volume Data'!BQ51*'Equity Price Data'!BT52</f>
        <v>16882.4</v>
      </c>
      <c r="BO51" s="30">
        <f>'Equity Volume Data'!BR51*'Equity Price Data'!BU52</f>
        <v>34640</v>
      </c>
    </row>
    <row r="52">
      <c r="A52" s="25">
        <f>'Equity Price Data'!A53</f>
        <v>45498.66667</v>
      </c>
      <c r="B52" s="29">
        <f t="shared" si="1"/>
        <v>1255890.86</v>
      </c>
      <c r="C52" s="30">
        <f>'Equity Volume Data'!F52*'Equity Price Data'!I53</f>
        <v>6917.95</v>
      </c>
      <c r="D52" s="30">
        <f>'Equity Volume Data'!G52*'Equity Price Data'!J53</f>
        <v>46761</v>
      </c>
      <c r="E52" s="30">
        <f>'Equity Volume Data'!H52*'Equity Price Data'!K53</f>
        <v>15411</v>
      </c>
      <c r="F52" s="30">
        <f>'Equity Volume Data'!I52*'Equity Price Data'!L53</f>
        <v>55677.44</v>
      </c>
      <c r="G52" s="30">
        <f>'Equity Volume Data'!J52*'Equity Price Data'!M53</f>
        <v>16792.56</v>
      </c>
      <c r="H52" s="30">
        <f>'Equity Volume Data'!K52*'Equity Price Data'!N53</f>
        <v>12184.28</v>
      </c>
      <c r="I52" s="30">
        <f>'Equity Volume Data'!L52*'Equity Price Data'!O53</f>
        <v>11750</v>
      </c>
      <c r="J52" s="30">
        <f>'Equity Volume Data'!M52*'Equity Price Data'!P53</f>
        <v>44195.58</v>
      </c>
      <c r="K52" s="30">
        <f>'Equity Volume Data'!N52*'Equity Price Data'!Q53</f>
        <v>10958</v>
      </c>
      <c r="L52" s="30">
        <f>'Equity Volume Data'!O52*'Equity Price Data'!R53</f>
        <v>27520.24</v>
      </c>
      <c r="M52" s="30">
        <f>'Equity Volume Data'!P52*'Equity Price Data'!S53</f>
        <v>0</v>
      </c>
      <c r="N52" s="30">
        <f>'Equity Volume Data'!Q52*'Equity Price Data'!T53</f>
        <v>5186.4</v>
      </c>
      <c r="O52" s="30">
        <f>'Equity Volume Data'!R52*'Equity Price Data'!U53</f>
        <v>51645</v>
      </c>
      <c r="P52" s="30">
        <f>'Equity Volume Data'!S52*'Equity Price Data'!V53</f>
        <v>0</v>
      </c>
      <c r="Q52" s="30">
        <f>'Equity Volume Data'!T52*'Equity Price Data'!W53</f>
        <v>21740.4</v>
      </c>
      <c r="R52" s="30">
        <f>'Equity Volume Data'!U52*'Equity Price Data'!X53</f>
        <v>12603.2</v>
      </c>
      <c r="S52" s="30">
        <f>'Equity Volume Data'!V52*'Equity Price Data'!Y53</f>
        <v>30021.2</v>
      </c>
      <c r="T52" s="30">
        <f>'Equity Volume Data'!W52*'Equity Price Data'!Z53</f>
        <v>10810</v>
      </c>
      <c r="U52" s="30">
        <f>'Equity Volume Data'!X52*'Equity Price Data'!AA53</f>
        <v>17442.48</v>
      </c>
      <c r="V52" s="30">
        <f>'Equity Volume Data'!Y52*'Equity Price Data'!AB53</f>
        <v>15443.12</v>
      </c>
      <c r="W52" s="30">
        <f>'Equity Volume Data'!Z52*'Equity Price Data'!AC53</f>
        <v>10168.53</v>
      </c>
      <c r="X52" s="30">
        <f>'Equity Volume Data'!AA52*'Equity Price Data'!AD53</f>
        <v>25657.5</v>
      </c>
      <c r="Y52" s="30">
        <f>'Equity Volume Data'!AB52*'Equity Price Data'!AE53</f>
        <v>5527.21</v>
      </c>
      <c r="Z52" s="30">
        <f>'Equity Volume Data'!AC52*'Equity Price Data'!AF53</f>
        <v>7968</v>
      </c>
      <c r="AA52" s="30">
        <f>'Equity Volume Data'!AD52*'Equity Price Data'!AG53</f>
        <v>19963.1</v>
      </c>
      <c r="AB52" s="30">
        <f>'Equity Volume Data'!AE52*'Equity Price Data'!AH53</f>
        <v>8957.7</v>
      </c>
      <c r="AC52" s="30">
        <f>'Equity Volume Data'!AF52*'Equity Price Data'!AI53</f>
        <v>16236.8</v>
      </c>
      <c r="AD52" s="30">
        <f>'Equity Volume Data'!AG52*'Equity Price Data'!AJ53</f>
        <v>13094.1</v>
      </c>
      <c r="AE52" s="30">
        <f>'Equity Volume Data'!AH52*'Equity Price Data'!AK53</f>
        <v>8826</v>
      </c>
      <c r="AF52" s="30">
        <f>'Equity Volume Data'!AI52*'Equity Price Data'!AL53</f>
        <v>15684.55</v>
      </c>
      <c r="AG52" s="30">
        <f>'Equity Volume Data'!AJ52*'Equity Price Data'!AM53</f>
        <v>29502.6</v>
      </c>
      <c r="AH52" s="30">
        <f>'Equity Volume Data'!AK52*'Equity Price Data'!AN53</f>
        <v>35329</v>
      </c>
      <c r="AI52" s="30">
        <f>'Equity Volume Data'!AL52*'Equity Price Data'!AO53</f>
        <v>19127.5</v>
      </c>
      <c r="AJ52" s="30">
        <f>'Equity Volume Data'!AM52*'Equity Price Data'!AP53</f>
        <v>19373.9</v>
      </c>
      <c r="AK52" s="30">
        <f>'Equity Volume Data'!AN52*'Equity Price Data'!AQ53</f>
        <v>0</v>
      </c>
      <c r="AL52" s="30">
        <f>'Equity Volume Data'!AO52*'Equity Price Data'!AR53</f>
        <v>33387.2</v>
      </c>
      <c r="AM52" s="30">
        <f>'Equity Volume Data'!AP52*'Equity Price Data'!AS53</f>
        <v>36498</v>
      </c>
      <c r="AN52" s="30">
        <f>'Equity Volume Data'!AQ52*'Equity Price Data'!AT53</f>
        <v>8656.2</v>
      </c>
      <c r="AO52" s="30">
        <f>'Equity Volume Data'!AR52*'Equity Price Data'!AU53</f>
        <v>22041.74</v>
      </c>
      <c r="AP52" s="30">
        <f>'Equity Volume Data'!AS52*'Equity Price Data'!AV53</f>
        <v>19615</v>
      </c>
      <c r="AQ52" s="30">
        <f>'Equity Volume Data'!AT52*'Equity Price Data'!AW53</f>
        <v>16570.4</v>
      </c>
      <c r="AR52" s="30">
        <f>'Equity Volume Data'!AU52*'Equity Price Data'!AX53</f>
        <v>0</v>
      </c>
      <c r="AS52" s="30">
        <f>'Equity Volume Data'!AV52*'Equity Price Data'!AY53</f>
        <v>50208</v>
      </c>
      <c r="AT52" s="30">
        <f>'Equity Volume Data'!AW52*'Equity Price Data'!AZ53</f>
        <v>14688</v>
      </c>
      <c r="AU52" s="30">
        <f>'Equity Volume Data'!AX52*'Equity Price Data'!BA53</f>
        <v>0</v>
      </c>
      <c r="AV52" s="30">
        <f>'Equity Volume Data'!AY52*'Equity Price Data'!BB53</f>
        <v>59508.4</v>
      </c>
      <c r="AW52" s="30">
        <f>'Equity Volume Data'!AZ52*'Equity Price Data'!BC53</f>
        <v>3721.2</v>
      </c>
      <c r="AX52" s="30">
        <f>'Equity Volume Data'!BA52*'Equity Price Data'!BD53</f>
        <v>0</v>
      </c>
      <c r="AY52" s="30">
        <f>'Equity Volume Data'!BB52*'Equity Price Data'!BE53</f>
        <v>0</v>
      </c>
      <c r="AZ52" s="30">
        <f>'Equity Volume Data'!BC52*'Equity Price Data'!BF53</f>
        <v>8583</v>
      </c>
      <c r="BA52" s="30">
        <f>'Equity Volume Data'!BD52*'Equity Price Data'!BG53</f>
        <v>5734.2</v>
      </c>
      <c r="BB52" s="30">
        <f>'Equity Volume Data'!BE52*'Equity Price Data'!BH53</f>
        <v>9077.6</v>
      </c>
      <c r="BC52" s="30">
        <f>'Equity Volume Data'!BF52*'Equity Price Data'!BI53</f>
        <v>0</v>
      </c>
      <c r="BD52" s="30">
        <f>'Equity Volume Data'!BG52*'Equity Price Data'!BJ53</f>
        <v>37304.82</v>
      </c>
      <c r="BE52" s="30">
        <f>'Equity Volume Data'!BH52*'Equity Price Data'!BK53</f>
        <v>13673.5</v>
      </c>
      <c r="BF52" s="30">
        <f>'Equity Volume Data'!BI52*'Equity Price Data'!BL53</f>
        <v>7810</v>
      </c>
      <c r="BG52" s="30">
        <f>'Equity Volume Data'!BJ52*'Equity Price Data'!BM53</f>
        <v>40585.22</v>
      </c>
      <c r="BH52" s="30">
        <f>'Equity Volume Data'!BK52*'Equity Price Data'!BN53</f>
        <v>1083.2</v>
      </c>
      <c r="BI52" s="30">
        <f>'Equity Volume Data'!BL52*'Equity Price Data'!BO53</f>
        <v>37656</v>
      </c>
      <c r="BJ52" s="30">
        <f>'Equity Volume Data'!BM52*'Equity Price Data'!BP53</f>
        <v>41976</v>
      </c>
      <c r="BK52" s="30">
        <f>'Equity Volume Data'!BN52*'Equity Price Data'!BQ53</f>
        <v>87072.64</v>
      </c>
      <c r="BL52" s="30">
        <f>'Equity Volume Data'!BO52*'Equity Price Data'!BR53</f>
        <v>552.72</v>
      </c>
      <c r="BM52" s="30">
        <f>'Equity Volume Data'!BP52*'Equity Price Data'!BS53</f>
        <v>0</v>
      </c>
      <c r="BN52" s="30">
        <f>'Equity Volume Data'!BQ52*'Equity Price Data'!BT53</f>
        <v>16771.48</v>
      </c>
      <c r="BO52" s="30">
        <f>'Equity Volume Data'!BR52*'Equity Price Data'!BU53</f>
        <v>34640</v>
      </c>
    </row>
    <row r="53">
      <c r="A53" s="25">
        <f>'Equity Price Data'!A54</f>
        <v>45499.66667</v>
      </c>
      <c r="B53" s="29">
        <f t="shared" si="1"/>
        <v>1264098.66</v>
      </c>
      <c r="C53" s="30">
        <f>'Equity Volume Data'!F53*'Equity Price Data'!I54</f>
        <v>7051.72</v>
      </c>
      <c r="D53" s="30">
        <f>'Equity Volume Data'!G53*'Equity Price Data'!J54</f>
        <v>47450</v>
      </c>
      <c r="E53" s="30">
        <f>'Equity Volume Data'!H53*'Equity Price Data'!K54</f>
        <v>15588.1</v>
      </c>
      <c r="F53" s="30">
        <f>'Equity Volume Data'!I53*'Equity Price Data'!L54</f>
        <v>55797.76</v>
      </c>
      <c r="G53" s="30">
        <f>'Equity Volume Data'!J53*'Equity Price Data'!M54</f>
        <v>17137.01</v>
      </c>
      <c r="H53" s="30">
        <f>'Equity Volume Data'!K53*'Equity Price Data'!N54</f>
        <v>12285.8</v>
      </c>
      <c r="I53" s="30">
        <f>'Equity Volume Data'!L53*'Equity Price Data'!O54</f>
        <v>11980</v>
      </c>
      <c r="J53" s="30">
        <f>'Equity Volume Data'!M53*'Equity Price Data'!P54</f>
        <v>44641.32</v>
      </c>
      <c r="K53" s="30">
        <f>'Equity Volume Data'!N53*'Equity Price Data'!Q54</f>
        <v>11076</v>
      </c>
      <c r="L53" s="30">
        <f>'Equity Volume Data'!O53*'Equity Price Data'!R54</f>
        <v>25551.57</v>
      </c>
      <c r="M53" s="30">
        <f>'Equity Volume Data'!P53*'Equity Price Data'!S54</f>
        <v>0</v>
      </c>
      <c r="N53" s="30">
        <f>'Equity Volume Data'!Q53*'Equity Price Data'!T54</f>
        <v>5341.6</v>
      </c>
      <c r="O53" s="30">
        <f>'Equity Volume Data'!R53*'Equity Price Data'!U54</f>
        <v>52572</v>
      </c>
      <c r="P53" s="30">
        <f>'Equity Volume Data'!S53*'Equity Price Data'!V54</f>
        <v>0</v>
      </c>
      <c r="Q53" s="30">
        <f>'Equity Volume Data'!T53*'Equity Price Data'!W54</f>
        <v>21928.8</v>
      </c>
      <c r="R53" s="30">
        <f>'Equity Volume Data'!U53*'Equity Price Data'!X54</f>
        <v>12627.2</v>
      </c>
      <c r="S53" s="30">
        <f>'Equity Volume Data'!V53*'Equity Price Data'!Y54</f>
        <v>30240.32</v>
      </c>
      <c r="T53" s="30">
        <f>'Equity Volume Data'!W53*'Equity Price Data'!Z54</f>
        <v>10807.5</v>
      </c>
      <c r="U53" s="30">
        <f>'Equity Volume Data'!X53*'Equity Price Data'!AA54</f>
        <v>17701.2</v>
      </c>
      <c r="V53" s="30">
        <f>'Equity Volume Data'!Y53*'Equity Price Data'!AB54</f>
        <v>15526.84</v>
      </c>
      <c r="W53" s="30">
        <f>'Equity Volume Data'!Z53*'Equity Price Data'!AC54</f>
        <v>10049.85</v>
      </c>
      <c r="X53" s="30">
        <f>'Equity Volume Data'!AA53*'Equity Price Data'!AD54</f>
        <v>25982.5</v>
      </c>
      <c r="Y53" s="30">
        <f>'Equity Volume Data'!AB53*'Equity Price Data'!AE54</f>
        <v>5426.85</v>
      </c>
      <c r="Z53" s="30">
        <f>'Equity Volume Data'!AC53*'Equity Price Data'!AF54</f>
        <v>8127</v>
      </c>
      <c r="AA53" s="30">
        <f>'Equity Volume Data'!AD53*'Equity Price Data'!AG54</f>
        <v>19946.1</v>
      </c>
      <c r="AB53" s="30">
        <f>'Equity Volume Data'!AE53*'Equity Price Data'!AH54</f>
        <v>9004.2</v>
      </c>
      <c r="AC53" s="30">
        <f>'Equity Volume Data'!AF53*'Equity Price Data'!AI54</f>
        <v>16552</v>
      </c>
      <c r="AD53" s="30">
        <f>'Equity Volume Data'!AG53*'Equity Price Data'!AJ54</f>
        <v>13068</v>
      </c>
      <c r="AE53" s="30">
        <f>'Equity Volume Data'!AH53*'Equity Price Data'!AK54</f>
        <v>8824</v>
      </c>
      <c r="AF53" s="30">
        <f>'Equity Volume Data'!AI53*'Equity Price Data'!AL54</f>
        <v>15787.05</v>
      </c>
      <c r="AG53" s="30">
        <f>'Equity Volume Data'!AJ53*'Equity Price Data'!AM54</f>
        <v>29941.8</v>
      </c>
      <c r="AH53" s="30">
        <f>'Equity Volume Data'!AK53*'Equity Price Data'!AN54</f>
        <v>35951</v>
      </c>
      <c r="AI53" s="30">
        <f>'Equity Volume Data'!AL53*'Equity Price Data'!AO54</f>
        <v>19411</v>
      </c>
      <c r="AJ53" s="30">
        <f>'Equity Volume Data'!AM53*'Equity Price Data'!AP54</f>
        <v>19630</v>
      </c>
      <c r="AK53" s="30">
        <f>'Equity Volume Data'!AN53*'Equity Price Data'!AQ54</f>
        <v>0</v>
      </c>
      <c r="AL53" s="30">
        <f>'Equity Volume Data'!AO53*'Equity Price Data'!AR54</f>
        <v>33958.4</v>
      </c>
      <c r="AM53" s="30">
        <f>'Equity Volume Data'!AP53*'Equity Price Data'!AS54</f>
        <v>36736</v>
      </c>
      <c r="AN53" s="30">
        <f>'Equity Volume Data'!AQ53*'Equity Price Data'!AT54</f>
        <v>8872.5</v>
      </c>
      <c r="AO53" s="30">
        <f>'Equity Volume Data'!AR53*'Equity Price Data'!AU54</f>
        <v>22204</v>
      </c>
      <c r="AP53" s="30">
        <f>'Equity Volume Data'!AS53*'Equity Price Data'!AV54</f>
        <v>19675</v>
      </c>
      <c r="AQ53" s="30">
        <f>'Equity Volume Data'!AT53*'Equity Price Data'!AW54</f>
        <v>16720</v>
      </c>
      <c r="AR53" s="30">
        <f>'Equity Volume Data'!AU53*'Equity Price Data'!AX54</f>
        <v>0</v>
      </c>
      <c r="AS53" s="30">
        <f>'Equity Volume Data'!AV53*'Equity Price Data'!AY54</f>
        <v>51032.4</v>
      </c>
      <c r="AT53" s="30">
        <f>'Equity Volume Data'!AW53*'Equity Price Data'!AZ54</f>
        <v>14852</v>
      </c>
      <c r="AU53" s="30">
        <f>'Equity Volume Data'!AX53*'Equity Price Data'!BA54</f>
        <v>0</v>
      </c>
      <c r="AV53" s="30">
        <f>'Equity Volume Data'!AY53*'Equity Price Data'!BB54</f>
        <v>59921.8</v>
      </c>
      <c r="AW53" s="30">
        <f>'Equity Volume Data'!AZ53*'Equity Price Data'!BC54</f>
        <v>3739.2</v>
      </c>
      <c r="AX53" s="30">
        <f>'Equity Volume Data'!BA53*'Equity Price Data'!BD54</f>
        <v>0</v>
      </c>
      <c r="AY53" s="30">
        <f>'Equity Volume Data'!BB53*'Equity Price Data'!BE54</f>
        <v>0</v>
      </c>
      <c r="AZ53" s="30">
        <f>'Equity Volume Data'!BC53*'Equity Price Data'!BF54</f>
        <v>8743.5</v>
      </c>
      <c r="BA53" s="30">
        <f>'Equity Volume Data'!BD53*'Equity Price Data'!BG54</f>
        <v>5846.3</v>
      </c>
      <c r="BB53" s="30">
        <f>'Equity Volume Data'!BE53*'Equity Price Data'!BH54</f>
        <v>9116</v>
      </c>
      <c r="BC53" s="30">
        <f>'Equity Volume Data'!BF53*'Equity Price Data'!BI54</f>
        <v>0</v>
      </c>
      <c r="BD53" s="30">
        <f>'Equity Volume Data'!BG53*'Equity Price Data'!BJ54</f>
        <v>37387.89</v>
      </c>
      <c r="BE53" s="30">
        <f>'Equity Volume Data'!BH53*'Equity Price Data'!BK54</f>
        <v>13964.22</v>
      </c>
      <c r="BF53" s="30">
        <f>'Equity Volume Data'!BI53*'Equity Price Data'!BL54</f>
        <v>7700.8</v>
      </c>
      <c r="BG53" s="30">
        <f>'Equity Volume Data'!BJ53*'Equity Price Data'!BM54</f>
        <v>39056.22</v>
      </c>
      <c r="BH53" s="30">
        <f>'Equity Volume Data'!BK53*'Equity Price Data'!BN54</f>
        <v>1102.4</v>
      </c>
      <c r="BI53" s="30">
        <f>'Equity Volume Data'!BL53*'Equity Price Data'!BO54</f>
        <v>38457.6</v>
      </c>
      <c r="BJ53" s="30">
        <f>'Equity Volume Data'!BM53*'Equity Price Data'!BP54</f>
        <v>42729</v>
      </c>
      <c r="BK53" s="30">
        <f>'Equity Volume Data'!BN53*'Equity Price Data'!BQ54</f>
        <v>87162.74</v>
      </c>
      <c r="BL53" s="30">
        <f>'Equity Volume Data'!BO53*'Equity Price Data'!BR54</f>
        <v>567.76</v>
      </c>
      <c r="BM53" s="30">
        <f>'Equity Volume Data'!BP53*'Equity Price Data'!BS54</f>
        <v>0</v>
      </c>
      <c r="BN53" s="30">
        <f>'Equity Volume Data'!BQ53*'Equity Price Data'!BT54</f>
        <v>16906.84</v>
      </c>
      <c r="BO53" s="30">
        <f>'Equity Volume Data'!BR53*'Equity Price Data'!BU54</f>
        <v>34640</v>
      </c>
    </row>
    <row r="54">
      <c r="A54" s="25">
        <f>'Equity Price Data'!A55</f>
        <v>45502.66667</v>
      </c>
      <c r="B54" s="29">
        <f t="shared" si="1"/>
        <v>1264188.49</v>
      </c>
      <c r="C54" s="30">
        <f>'Equity Volume Data'!F54*'Equity Price Data'!I55</f>
        <v>6975.93</v>
      </c>
      <c r="D54" s="30">
        <f>'Equity Volume Data'!G54*'Equity Price Data'!J55</f>
        <v>47632</v>
      </c>
      <c r="E54" s="30">
        <f>'Equity Volume Data'!H54*'Equity Price Data'!K55</f>
        <v>15549.6</v>
      </c>
      <c r="F54" s="30">
        <f>'Equity Volume Data'!I54*'Equity Price Data'!L55</f>
        <v>55869.44</v>
      </c>
      <c r="G54" s="30">
        <f>'Equity Volume Data'!J54*'Equity Price Data'!M55</f>
        <v>17062.31</v>
      </c>
      <c r="H54" s="30">
        <f>'Equity Volume Data'!K54*'Equity Price Data'!N55</f>
        <v>12142.92</v>
      </c>
      <c r="I54" s="30">
        <f>'Equity Volume Data'!L54*'Equity Price Data'!O55</f>
        <v>11940</v>
      </c>
      <c r="J54" s="30">
        <f>'Equity Volume Data'!M54*'Equity Price Data'!P55</f>
        <v>44707.62</v>
      </c>
      <c r="K54" s="30">
        <f>'Equity Volume Data'!N54*'Equity Price Data'!Q55</f>
        <v>11002</v>
      </c>
      <c r="L54" s="30">
        <f>'Equity Volume Data'!O54*'Equity Price Data'!R55</f>
        <v>25946.03</v>
      </c>
      <c r="M54" s="30">
        <f>'Equity Volume Data'!P54*'Equity Price Data'!S55</f>
        <v>0</v>
      </c>
      <c r="N54" s="30">
        <f>'Equity Volume Data'!Q54*'Equity Price Data'!T55</f>
        <v>5409.6</v>
      </c>
      <c r="O54" s="30">
        <f>'Equity Volume Data'!R54*'Equity Price Data'!U55</f>
        <v>51679.5</v>
      </c>
      <c r="P54" s="30">
        <f>'Equity Volume Data'!S54*'Equity Price Data'!V55</f>
        <v>0</v>
      </c>
      <c r="Q54" s="30">
        <f>'Equity Volume Data'!T54*'Equity Price Data'!W55</f>
        <v>22004.4</v>
      </c>
      <c r="R54" s="30">
        <f>'Equity Volume Data'!U54*'Equity Price Data'!X55</f>
        <v>12528</v>
      </c>
      <c r="S54" s="30">
        <f>'Equity Volume Data'!V54*'Equity Price Data'!Y55</f>
        <v>30495.52</v>
      </c>
      <c r="T54" s="30">
        <f>'Equity Volume Data'!W54*'Equity Price Data'!Z55</f>
        <v>10750</v>
      </c>
      <c r="U54" s="30">
        <f>'Equity Volume Data'!X54*'Equity Price Data'!AA55</f>
        <v>17643.12</v>
      </c>
      <c r="V54" s="30">
        <f>'Equity Volume Data'!Y54*'Equity Price Data'!AB55</f>
        <v>15596.07</v>
      </c>
      <c r="W54" s="30">
        <f>'Equity Volume Data'!Z54*'Equity Price Data'!AC55</f>
        <v>10156.11</v>
      </c>
      <c r="X54" s="30">
        <f>'Equity Volume Data'!AA54*'Equity Price Data'!AD55</f>
        <v>25935</v>
      </c>
      <c r="Y54" s="30">
        <f>'Equity Volume Data'!AB54*'Equity Price Data'!AE55</f>
        <v>5565.69</v>
      </c>
      <c r="Z54" s="30">
        <f>'Equity Volume Data'!AC54*'Equity Price Data'!AF55</f>
        <v>8191.5</v>
      </c>
      <c r="AA54" s="30">
        <f>'Equity Volume Data'!AD54*'Equity Price Data'!AG55</f>
        <v>19737</v>
      </c>
      <c r="AB54" s="30">
        <f>'Equity Volume Data'!AE54*'Equity Price Data'!AH55</f>
        <v>8976.9</v>
      </c>
      <c r="AC54" s="30">
        <f>'Equity Volume Data'!AF54*'Equity Price Data'!AI55</f>
        <v>16468</v>
      </c>
      <c r="AD54" s="30">
        <f>'Equity Volume Data'!AG54*'Equity Price Data'!AJ55</f>
        <v>13027.05</v>
      </c>
      <c r="AE54" s="30">
        <f>'Equity Volume Data'!AH54*'Equity Price Data'!AK55</f>
        <v>8830</v>
      </c>
      <c r="AF54" s="30">
        <f>'Equity Volume Data'!AI54*'Equity Price Data'!AL55</f>
        <v>15934.65</v>
      </c>
      <c r="AG54" s="30">
        <f>'Equity Volume Data'!AJ54*'Equity Price Data'!AM55</f>
        <v>29563.2</v>
      </c>
      <c r="AH54" s="30">
        <f>'Equity Volume Data'!AK54*'Equity Price Data'!AN55</f>
        <v>36167</v>
      </c>
      <c r="AI54" s="30">
        <f>'Equity Volume Data'!AL54*'Equity Price Data'!AO55</f>
        <v>19862.5</v>
      </c>
      <c r="AJ54" s="30">
        <f>'Equity Volume Data'!AM54*'Equity Price Data'!AP55</f>
        <v>19650.8</v>
      </c>
      <c r="AK54" s="30">
        <f>'Equity Volume Data'!AN54*'Equity Price Data'!AQ55</f>
        <v>0</v>
      </c>
      <c r="AL54" s="30">
        <f>'Equity Volume Data'!AO54*'Equity Price Data'!AR55</f>
        <v>33736</v>
      </c>
      <c r="AM54" s="30">
        <f>'Equity Volume Data'!AP54*'Equity Price Data'!AS55</f>
        <v>36934.8</v>
      </c>
      <c r="AN54" s="30">
        <f>'Equity Volume Data'!AQ54*'Equity Price Data'!AT55</f>
        <v>9066.05</v>
      </c>
      <c r="AO54" s="30">
        <f>'Equity Volume Data'!AR54*'Equity Price Data'!AU55</f>
        <v>22118.6</v>
      </c>
      <c r="AP54" s="30">
        <f>'Equity Volume Data'!AS54*'Equity Price Data'!AV55</f>
        <v>20000</v>
      </c>
      <c r="AQ54" s="30">
        <f>'Equity Volume Data'!AT54*'Equity Price Data'!AW55</f>
        <v>16610</v>
      </c>
      <c r="AR54" s="30">
        <f>'Equity Volume Data'!AU54*'Equity Price Data'!AX55</f>
        <v>0</v>
      </c>
      <c r="AS54" s="30">
        <f>'Equity Volume Data'!AV54*'Equity Price Data'!AY55</f>
        <v>51207.6</v>
      </c>
      <c r="AT54" s="30">
        <f>'Equity Volume Data'!AW54*'Equity Price Data'!AZ55</f>
        <v>14868</v>
      </c>
      <c r="AU54" s="30">
        <f>'Equity Volume Data'!AX54*'Equity Price Data'!BA55</f>
        <v>0</v>
      </c>
      <c r="AV54" s="30">
        <f>'Equity Volume Data'!AY54*'Equity Price Data'!BB55</f>
        <v>59142.7</v>
      </c>
      <c r="AW54" s="30">
        <f>'Equity Volume Data'!AZ54*'Equity Price Data'!BC55</f>
        <v>3721.2</v>
      </c>
      <c r="AX54" s="30">
        <f>'Equity Volume Data'!BA54*'Equity Price Data'!BD55</f>
        <v>0</v>
      </c>
      <c r="AY54" s="30">
        <f>'Equity Volume Data'!BB54*'Equity Price Data'!BE55</f>
        <v>0</v>
      </c>
      <c r="AZ54" s="30">
        <f>'Equity Volume Data'!BC54*'Equity Price Data'!BF55</f>
        <v>8841</v>
      </c>
      <c r="BA54" s="30">
        <f>'Equity Volume Data'!BD54*'Equity Price Data'!BG55</f>
        <v>5836.8</v>
      </c>
      <c r="BB54" s="30">
        <f>'Equity Volume Data'!BE54*'Equity Price Data'!BH55</f>
        <v>9155.2</v>
      </c>
      <c r="BC54" s="30">
        <f>'Equity Volume Data'!BF54*'Equity Price Data'!BI55</f>
        <v>0</v>
      </c>
      <c r="BD54" s="30">
        <f>'Equity Volume Data'!BG54*'Equity Price Data'!BJ55</f>
        <v>37673.31</v>
      </c>
      <c r="BE54" s="30">
        <f>'Equity Volume Data'!BH54*'Equity Price Data'!BK55</f>
        <v>13894.76</v>
      </c>
      <c r="BF54" s="30">
        <f>'Equity Volume Data'!BI54*'Equity Price Data'!BL55</f>
        <v>7699.2</v>
      </c>
      <c r="BG54" s="30">
        <f>'Equity Volume Data'!BJ54*'Equity Price Data'!BM55</f>
        <v>38642</v>
      </c>
      <c r="BH54" s="30">
        <f>'Equity Volume Data'!BK54*'Equity Price Data'!BN55</f>
        <v>1107.2</v>
      </c>
      <c r="BI54" s="30">
        <f>'Equity Volume Data'!BL54*'Equity Price Data'!BO55</f>
        <v>38744</v>
      </c>
      <c r="BJ54" s="30">
        <f>'Equity Volume Data'!BM54*'Equity Price Data'!BP55</f>
        <v>42506.25</v>
      </c>
      <c r="BK54" s="30">
        <f>'Equity Volume Data'!BN54*'Equity Price Data'!BQ55</f>
        <v>87162.74</v>
      </c>
      <c r="BL54" s="30">
        <f>'Equity Volume Data'!BO54*'Equity Price Data'!BR55</f>
        <v>559.3</v>
      </c>
      <c r="BM54" s="30">
        <f>'Equity Volume Data'!BP54*'Equity Price Data'!BS55</f>
        <v>0</v>
      </c>
      <c r="BN54" s="30">
        <f>'Equity Volume Data'!BQ54*'Equity Price Data'!BT55</f>
        <v>17322.32</v>
      </c>
      <c r="BO54" s="30">
        <f>'Equity Volume Data'!BR54*'Equity Price Data'!BU55</f>
        <v>34640</v>
      </c>
    </row>
    <row r="55">
      <c r="A55" s="25">
        <f>'Equity Price Data'!A56</f>
        <v>45503.66667</v>
      </c>
      <c r="B55" s="29">
        <f t="shared" si="1"/>
        <v>1265882.54</v>
      </c>
      <c r="C55" s="30">
        <f>'Equity Volume Data'!F55*'Equity Price Data'!I56</f>
        <v>7003.23</v>
      </c>
      <c r="D55" s="30">
        <f>'Equity Volume Data'!G55*'Equity Price Data'!J56</f>
        <v>47244.6</v>
      </c>
      <c r="E55" s="30">
        <f>'Equity Volume Data'!H55*'Equity Price Data'!K56</f>
        <v>15803.7</v>
      </c>
      <c r="F55" s="30">
        <f>'Equity Volume Data'!I55*'Equity Price Data'!L56</f>
        <v>56012.8</v>
      </c>
      <c r="G55" s="30">
        <f>'Equity Volume Data'!J55*'Equity Price Data'!M56</f>
        <v>16329.42</v>
      </c>
      <c r="H55" s="30">
        <f>'Equity Volume Data'!K55*'Equity Price Data'!N56</f>
        <v>12265.12</v>
      </c>
      <c r="I55" s="30">
        <f>'Equity Volume Data'!L55*'Equity Price Data'!O56</f>
        <v>11990</v>
      </c>
      <c r="J55" s="30">
        <f>'Equity Volume Data'!M55*'Equity Price Data'!P56</f>
        <v>45008.52</v>
      </c>
      <c r="K55" s="30">
        <f>'Equity Volume Data'!N55*'Equity Price Data'!Q56</f>
        <v>10822</v>
      </c>
      <c r="L55" s="30">
        <f>'Equity Volume Data'!O55*'Equity Price Data'!R56</f>
        <v>25638.69</v>
      </c>
      <c r="M55" s="30">
        <f>'Equity Volume Data'!P55*'Equity Price Data'!S56</f>
        <v>0</v>
      </c>
      <c r="N55" s="30">
        <f>'Equity Volume Data'!Q55*'Equity Price Data'!T56</f>
        <v>5394.4</v>
      </c>
      <c r="O55" s="30">
        <f>'Equity Volume Data'!R55*'Equity Price Data'!U56</f>
        <v>51258</v>
      </c>
      <c r="P55" s="30">
        <f>'Equity Volume Data'!S55*'Equity Price Data'!V56</f>
        <v>0</v>
      </c>
      <c r="Q55" s="30">
        <f>'Equity Volume Data'!T55*'Equity Price Data'!W56</f>
        <v>21891.6</v>
      </c>
      <c r="R55" s="30">
        <f>'Equity Volume Data'!U55*'Equity Price Data'!X56</f>
        <v>12765.6</v>
      </c>
      <c r="S55" s="30">
        <f>'Equity Volume Data'!V55*'Equity Price Data'!Y56</f>
        <v>31043.76</v>
      </c>
      <c r="T55" s="30">
        <f>'Equity Volume Data'!W55*'Equity Price Data'!Z56</f>
        <v>10800</v>
      </c>
      <c r="U55" s="30">
        <f>'Equity Volume Data'!X55*'Equity Price Data'!AA56</f>
        <v>17867.52</v>
      </c>
      <c r="V55" s="30">
        <f>'Equity Volume Data'!Y55*'Equity Price Data'!AB56</f>
        <v>15803.76</v>
      </c>
      <c r="W55" s="30">
        <f>'Equity Volume Data'!Z55*'Equity Price Data'!AC56</f>
        <v>10007.76</v>
      </c>
      <c r="X55" s="30">
        <f>'Equity Volume Data'!AA55*'Equity Price Data'!AD56</f>
        <v>26332.5</v>
      </c>
      <c r="Y55" s="30">
        <f>'Equity Volume Data'!AB55*'Equity Price Data'!AE56</f>
        <v>5578.95</v>
      </c>
      <c r="Z55" s="30">
        <f>'Equity Volume Data'!AC55*'Equity Price Data'!AF56</f>
        <v>8310</v>
      </c>
      <c r="AA55" s="30">
        <f>'Equity Volume Data'!AD55*'Equity Price Data'!AG56</f>
        <v>20088.9</v>
      </c>
      <c r="AB55" s="30">
        <f>'Equity Volume Data'!AE55*'Equity Price Data'!AH56</f>
        <v>9026.4</v>
      </c>
      <c r="AC55" s="30">
        <f>'Equity Volume Data'!AF55*'Equity Price Data'!AI56</f>
        <v>16410.8</v>
      </c>
      <c r="AD55" s="30">
        <f>'Equity Volume Data'!AG55*'Equity Price Data'!AJ56</f>
        <v>13185.45</v>
      </c>
      <c r="AE55" s="30">
        <f>'Equity Volume Data'!AH55*'Equity Price Data'!AK56</f>
        <v>8846</v>
      </c>
      <c r="AF55" s="30">
        <f>'Equity Volume Data'!AI55*'Equity Price Data'!AL56</f>
        <v>16000.25</v>
      </c>
      <c r="AG55" s="30">
        <f>'Equity Volume Data'!AJ55*'Equity Price Data'!AM56</f>
        <v>30340.2</v>
      </c>
      <c r="AH55" s="30">
        <f>'Equity Volume Data'!AK55*'Equity Price Data'!AN56</f>
        <v>36369</v>
      </c>
      <c r="AI55" s="30">
        <f>'Equity Volume Data'!AL55*'Equity Price Data'!AO56</f>
        <v>19762.75</v>
      </c>
      <c r="AJ55" s="30">
        <f>'Equity Volume Data'!AM55*'Equity Price Data'!AP56</f>
        <v>19669</v>
      </c>
      <c r="AK55" s="30">
        <f>'Equity Volume Data'!AN55*'Equity Price Data'!AQ56</f>
        <v>0</v>
      </c>
      <c r="AL55" s="30">
        <f>'Equity Volume Data'!AO55*'Equity Price Data'!AR56</f>
        <v>34430.4</v>
      </c>
      <c r="AM55" s="30">
        <f>'Equity Volume Data'!AP55*'Equity Price Data'!AS56</f>
        <v>37636.2</v>
      </c>
      <c r="AN55" s="30">
        <f>'Equity Volume Data'!AQ55*'Equity Price Data'!AT56</f>
        <v>8960</v>
      </c>
      <c r="AO55" s="30">
        <f>'Equity Volume Data'!AR55*'Equity Price Data'!AU56</f>
        <v>22289.4</v>
      </c>
      <c r="AP55" s="30">
        <f>'Equity Volume Data'!AS55*'Equity Price Data'!AV56</f>
        <v>20202.5</v>
      </c>
      <c r="AQ55" s="30">
        <f>'Equity Volume Data'!AT55*'Equity Price Data'!AW56</f>
        <v>16885</v>
      </c>
      <c r="AR55" s="30">
        <f>'Equity Volume Data'!AU55*'Equity Price Data'!AX56</f>
        <v>0</v>
      </c>
      <c r="AS55" s="30">
        <f>'Equity Volume Data'!AV55*'Equity Price Data'!AY56</f>
        <v>50750.4</v>
      </c>
      <c r="AT55" s="30">
        <f>'Equity Volume Data'!AW55*'Equity Price Data'!AZ56</f>
        <v>14856</v>
      </c>
      <c r="AU55" s="30">
        <f>'Equity Volume Data'!AX55*'Equity Price Data'!BA56</f>
        <v>0</v>
      </c>
      <c r="AV55" s="30">
        <f>'Equity Volume Data'!AY55*'Equity Price Data'!BB56</f>
        <v>54976.9</v>
      </c>
      <c r="AW55" s="30">
        <f>'Equity Volume Data'!AZ55*'Equity Price Data'!BC56</f>
        <v>3752.8</v>
      </c>
      <c r="AX55" s="30">
        <f>'Equity Volume Data'!BA55*'Equity Price Data'!BD56</f>
        <v>0</v>
      </c>
      <c r="AY55" s="30">
        <f>'Equity Volume Data'!BB55*'Equity Price Data'!BE56</f>
        <v>0</v>
      </c>
      <c r="AZ55" s="30">
        <f>'Equity Volume Data'!BC55*'Equity Price Data'!BF56</f>
        <v>9600</v>
      </c>
      <c r="BA55" s="30">
        <f>'Equity Volume Data'!BD55*'Equity Price Data'!BG56</f>
        <v>5964.1</v>
      </c>
      <c r="BB55" s="30">
        <f>'Equity Volume Data'!BE55*'Equity Price Data'!BH56</f>
        <v>9350.4</v>
      </c>
      <c r="BC55" s="30">
        <f>'Equity Volume Data'!BF55*'Equity Price Data'!BI56</f>
        <v>0</v>
      </c>
      <c r="BD55" s="30">
        <f>'Equity Volume Data'!BG55*'Equity Price Data'!BJ56</f>
        <v>37351.68</v>
      </c>
      <c r="BE55" s="30">
        <f>'Equity Volume Data'!BH55*'Equity Price Data'!BK56</f>
        <v>14146.38</v>
      </c>
      <c r="BF55" s="30">
        <f>'Equity Volume Data'!BI55*'Equity Price Data'!BL56</f>
        <v>7724.4</v>
      </c>
      <c r="BG55" s="30">
        <f>'Equity Volume Data'!BJ55*'Equity Price Data'!BM56</f>
        <v>38483.54</v>
      </c>
      <c r="BH55" s="30">
        <f>'Equity Volume Data'!BK55*'Equity Price Data'!BN56</f>
        <v>1116.8</v>
      </c>
      <c r="BI55" s="30">
        <f>'Equity Volume Data'!BL55*'Equity Price Data'!BO56</f>
        <v>39268.8</v>
      </c>
      <c r="BJ55" s="30">
        <f>'Equity Volume Data'!BM55*'Equity Price Data'!BP56</f>
        <v>43224.75</v>
      </c>
      <c r="BK55" s="30">
        <f>'Equity Volume Data'!BN55*'Equity Price Data'!BQ56</f>
        <v>87198.78</v>
      </c>
      <c r="BL55" s="30">
        <f>'Equity Volume Data'!BO55*'Equity Price Data'!BR56</f>
        <v>570.11</v>
      </c>
      <c r="BM55" s="30">
        <f>'Equity Volume Data'!BP55*'Equity Price Data'!BS56</f>
        <v>0</v>
      </c>
      <c r="BN55" s="30">
        <f>'Equity Volume Data'!BQ55*'Equity Price Data'!BT56</f>
        <v>17632.52</v>
      </c>
      <c r="BO55" s="30">
        <f>'Equity Volume Data'!BR55*'Equity Price Data'!BU56</f>
        <v>34640</v>
      </c>
    </row>
    <row r="56">
      <c r="A56" s="25">
        <f>'Equity Price Data'!A57</f>
        <v>45504.66667</v>
      </c>
      <c r="B56" s="29">
        <f t="shared" si="1"/>
        <v>1280298.72</v>
      </c>
      <c r="C56" s="30">
        <f>'Equity Volume Data'!F56*'Equity Price Data'!I57</f>
        <v>7171.45</v>
      </c>
      <c r="D56" s="30">
        <f>'Equity Volume Data'!G56*'Equity Price Data'!J57</f>
        <v>48614.8</v>
      </c>
      <c r="E56" s="30">
        <f>'Equity Volume Data'!H56*'Equity Price Data'!K57</f>
        <v>15659.6</v>
      </c>
      <c r="F56" s="30">
        <f>'Equity Volume Data'!I56*'Equity Price Data'!L57</f>
        <v>56852.48</v>
      </c>
      <c r="G56" s="30">
        <f>'Equity Volume Data'!J56*'Equity Price Data'!M57</f>
        <v>17612.6</v>
      </c>
      <c r="H56" s="30">
        <f>'Equity Volume Data'!K56*'Equity Price Data'!N57</f>
        <v>12233.16</v>
      </c>
      <c r="I56" s="30">
        <f>'Equity Volume Data'!L56*'Equity Price Data'!O57</f>
        <v>11920</v>
      </c>
      <c r="J56" s="30">
        <f>'Equity Volume Data'!M56*'Equity Price Data'!P57</f>
        <v>44727</v>
      </c>
      <c r="K56" s="30">
        <f>'Equity Volume Data'!N56*'Equity Price Data'!Q57</f>
        <v>11106</v>
      </c>
      <c r="L56" s="30">
        <f>'Equity Volume Data'!O56*'Equity Price Data'!R57</f>
        <v>25797.2</v>
      </c>
      <c r="M56" s="30">
        <f>'Equity Volume Data'!P56*'Equity Price Data'!S57</f>
        <v>0</v>
      </c>
      <c r="N56" s="30">
        <f>'Equity Volume Data'!Q56*'Equity Price Data'!T57</f>
        <v>5448.8</v>
      </c>
      <c r="O56" s="30">
        <f>'Equity Volume Data'!R56*'Equity Price Data'!U57</f>
        <v>51930</v>
      </c>
      <c r="P56" s="30">
        <f>'Equity Volume Data'!S56*'Equity Price Data'!V57</f>
        <v>0</v>
      </c>
      <c r="Q56" s="30">
        <f>'Equity Volume Data'!T56*'Equity Price Data'!W57</f>
        <v>22014</v>
      </c>
      <c r="R56" s="30">
        <f>'Equity Volume Data'!U56*'Equity Price Data'!X57</f>
        <v>12837.6</v>
      </c>
      <c r="S56" s="30">
        <f>'Equity Volume Data'!V56*'Equity Price Data'!Y57</f>
        <v>30682.96</v>
      </c>
      <c r="T56" s="30">
        <f>'Equity Volume Data'!W56*'Equity Price Data'!Z57</f>
        <v>10667.5</v>
      </c>
      <c r="U56" s="30">
        <f>'Equity Volume Data'!X56*'Equity Price Data'!AA57</f>
        <v>17619.36</v>
      </c>
      <c r="V56" s="30">
        <f>'Equity Volume Data'!Y56*'Equity Price Data'!AB57</f>
        <v>15700.72</v>
      </c>
      <c r="W56" s="30">
        <f>'Equity Volume Data'!Z56*'Equity Price Data'!AC57</f>
        <v>10314.81</v>
      </c>
      <c r="X56" s="30">
        <f>'Equity Volume Data'!AA56*'Equity Price Data'!AD57</f>
        <v>26085</v>
      </c>
      <c r="Y56" s="30">
        <f>'Equity Volume Data'!AB56*'Equity Price Data'!AE57</f>
        <v>5573.1</v>
      </c>
      <c r="Z56" s="30">
        <f>'Equity Volume Data'!AC56*'Equity Price Data'!AF57</f>
        <v>8341.5</v>
      </c>
      <c r="AA56" s="30">
        <f>'Equity Volume Data'!AD56*'Equity Price Data'!AG57</f>
        <v>20160.3</v>
      </c>
      <c r="AB56" s="30">
        <f>'Equity Volume Data'!AE56*'Equity Price Data'!AH57</f>
        <v>9067.5</v>
      </c>
      <c r="AC56" s="30">
        <f>'Equity Volume Data'!AF56*'Equity Price Data'!AI57</f>
        <v>16520.4</v>
      </c>
      <c r="AD56" s="30">
        <f>'Equity Volume Data'!AG56*'Equity Price Data'!AJ57</f>
        <v>13441.95</v>
      </c>
      <c r="AE56" s="30">
        <f>'Equity Volume Data'!AH56*'Equity Price Data'!AK57</f>
        <v>8864</v>
      </c>
      <c r="AF56" s="30">
        <f>'Equity Volume Data'!AI56*'Equity Price Data'!AL57</f>
        <v>15592.3</v>
      </c>
      <c r="AG56" s="30">
        <f>'Equity Volume Data'!AJ56*'Equity Price Data'!AM57</f>
        <v>30541.8</v>
      </c>
      <c r="AH56" s="30">
        <f>'Equity Volume Data'!AK56*'Equity Price Data'!AN57</f>
        <v>36816</v>
      </c>
      <c r="AI56" s="30">
        <f>'Equity Volume Data'!AL56*'Equity Price Data'!AO57</f>
        <v>19251.75</v>
      </c>
      <c r="AJ56" s="30">
        <f>'Equity Volume Data'!AM56*'Equity Price Data'!AP57</f>
        <v>19702.8</v>
      </c>
      <c r="AK56" s="30">
        <f>'Equity Volume Data'!AN56*'Equity Price Data'!AQ57</f>
        <v>0</v>
      </c>
      <c r="AL56" s="30">
        <f>'Equity Volume Data'!AO56*'Equity Price Data'!AR57</f>
        <v>34048</v>
      </c>
      <c r="AM56" s="30">
        <f>'Equity Volume Data'!AP56*'Equity Price Data'!AS57</f>
        <v>37934.4</v>
      </c>
      <c r="AN56" s="30">
        <f>'Equity Volume Data'!AQ56*'Equity Price Data'!AT57</f>
        <v>9053.1</v>
      </c>
      <c r="AO56" s="30">
        <f>'Equity Volume Data'!AR56*'Equity Price Data'!AU57</f>
        <v>22742.02</v>
      </c>
      <c r="AP56" s="30">
        <f>'Equity Volume Data'!AS56*'Equity Price Data'!AV57</f>
        <v>20080</v>
      </c>
      <c r="AQ56" s="30">
        <f>'Equity Volume Data'!AT56*'Equity Price Data'!AW57</f>
        <v>16907</v>
      </c>
      <c r="AR56" s="30">
        <f>'Equity Volume Data'!AU56*'Equity Price Data'!AX57</f>
        <v>0</v>
      </c>
      <c r="AS56" s="30">
        <f>'Equity Volume Data'!AV56*'Equity Price Data'!AY57</f>
        <v>50202</v>
      </c>
      <c r="AT56" s="30">
        <f>'Equity Volume Data'!AW56*'Equity Price Data'!AZ57</f>
        <v>15278</v>
      </c>
      <c r="AU56" s="30">
        <f>'Equity Volume Data'!AX56*'Equity Price Data'!BA57</f>
        <v>0</v>
      </c>
      <c r="AV56" s="30">
        <f>'Equity Volume Data'!AY56*'Equity Price Data'!BB57</f>
        <v>62020.6</v>
      </c>
      <c r="AW56" s="30">
        <f>'Equity Volume Data'!AZ56*'Equity Price Data'!BC57</f>
        <v>3780</v>
      </c>
      <c r="AX56" s="30">
        <f>'Equity Volume Data'!BA56*'Equity Price Data'!BD57</f>
        <v>0</v>
      </c>
      <c r="AY56" s="30">
        <f>'Equity Volume Data'!BB56*'Equity Price Data'!BE57</f>
        <v>0</v>
      </c>
      <c r="AZ56" s="30">
        <f>'Equity Volume Data'!BC56*'Equity Price Data'!BF57</f>
        <v>9867</v>
      </c>
      <c r="BA56" s="30">
        <f>'Equity Volume Data'!BD56*'Equity Price Data'!BG57</f>
        <v>5802.6</v>
      </c>
      <c r="BB56" s="30">
        <f>'Equity Volume Data'!BE56*'Equity Price Data'!BH57</f>
        <v>9399.2</v>
      </c>
      <c r="BC56" s="30">
        <f>'Equity Volume Data'!BF56*'Equity Price Data'!BI57</f>
        <v>0</v>
      </c>
      <c r="BD56" s="30">
        <f>'Equity Volume Data'!BG56*'Equity Price Data'!BJ57</f>
        <v>38825.64</v>
      </c>
      <c r="BE56" s="30">
        <f>'Equity Volume Data'!BH56*'Equity Price Data'!BK57</f>
        <v>14106.82</v>
      </c>
      <c r="BF56" s="30">
        <f>'Equity Volume Data'!BI56*'Equity Price Data'!BL57</f>
        <v>7742</v>
      </c>
      <c r="BG56" s="30">
        <f>'Equity Volume Data'!BJ56*'Equity Price Data'!BM57</f>
        <v>39548.28</v>
      </c>
      <c r="BH56" s="30">
        <f>'Equity Volume Data'!BK56*'Equity Price Data'!BN57</f>
        <v>1115.2</v>
      </c>
      <c r="BI56" s="30">
        <f>'Equity Volume Data'!BL56*'Equity Price Data'!BO57</f>
        <v>39476.8</v>
      </c>
      <c r="BJ56" s="30">
        <f>'Equity Volume Data'!BM56*'Equity Price Data'!BP57</f>
        <v>43212</v>
      </c>
      <c r="BK56" s="30">
        <f>'Equity Volume Data'!BN56*'Equity Price Data'!BQ57</f>
        <v>87469.08</v>
      </c>
      <c r="BL56" s="30">
        <f>'Equity Volume Data'!BO56*'Equity Price Data'!BR57</f>
        <v>566.82</v>
      </c>
      <c r="BM56" s="30">
        <f>'Equity Volume Data'!BP56*'Equity Price Data'!BS57</f>
        <v>0</v>
      </c>
      <c r="BN56" s="30">
        <f>'Equity Volume Data'!BQ56*'Equity Price Data'!BT57</f>
        <v>17613.72</v>
      </c>
      <c r="BO56" s="30">
        <f>'Equity Volume Data'!BR56*'Equity Price Data'!BU57</f>
        <v>34640</v>
      </c>
    </row>
    <row r="57">
      <c r="A57" s="25">
        <f>'Equity Price Data'!A58</f>
        <v>45505.66667</v>
      </c>
      <c r="B57" s="29">
        <f t="shared" si="1"/>
        <v>1265568.6</v>
      </c>
      <c r="C57" s="30">
        <f>'Equity Volume Data'!F57*'Equity Price Data'!I58</f>
        <v>7103.33</v>
      </c>
      <c r="D57" s="30">
        <f>'Equity Volume Data'!G57*'Equity Price Data'!J58</f>
        <v>47858.2</v>
      </c>
      <c r="E57" s="30">
        <f>'Equity Volume Data'!H57*'Equity Price Data'!K58</f>
        <v>15895</v>
      </c>
      <c r="F57" s="30">
        <f>'Equity Volume Data'!I57*'Equity Price Data'!L58</f>
        <v>55900.16</v>
      </c>
      <c r="G57" s="30">
        <f>'Equity Volume Data'!J57*'Equity Price Data'!M58</f>
        <v>16292.9</v>
      </c>
      <c r="H57" s="30">
        <f>'Equity Volume Data'!K57*'Equity Price Data'!N58</f>
        <v>12152.32</v>
      </c>
      <c r="I57" s="30">
        <f>'Equity Volume Data'!L57*'Equity Price Data'!O58</f>
        <v>11310</v>
      </c>
      <c r="J57" s="30">
        <f>'Equity Volume Data'!M57*'Equity Price Data'!P58</f>
        <v>44044.62</v>
      </c>
      <c r="K57" s="30">
        <f>'Equity Volume Data'!N57*'Equity Price Data'!Q58</f>
        <v>10852</v>
      </c>
      <c r="L57" s="30">
        <f>'Equity Volume Data'!O57*'Equity Price Data'!R58</f>
        <v>25494.7</v>
      </c>
      <c r="M57" s="30">
        <f>'Equity Volume Data'!P57*'Equity Price Data'!S58</f>
        <v>0</v>
      </c>
      <c r="N57" s="30">
        <f>'Equity Volume Data'!Q57*'Equity Price Data'!T58</f>
        <v>5284.8</v>
      </c>
      <c r="O57" s="30">
        <f>'Equity Volume Data'!R57*'Equity Price Data'!U58</f>
        <v>49728</v>
      </c>
      <c r="P57" s="30">
        <f>'Equity Volume Data'!S57*'Equity Price Data'!V58</f>
        <v>0</v>
      </c>
      <c r="Q57" s="30">
        <f>'Equity Volume Data'!T57*'Equity Price Data'!W58</f>
        <v>21818.4</v>
      </c>
      <c r="R57" s="30">
        <f>'Equity Volume Data'!U57*'Equity Price Data'!X58</f>
        <v>12209.6</v>
      </c>
      <c r="S57" s="30">
        <f>'Equity Volume Data'!V57*'Equity Price Data'!Y58</f>
        <v>29268.8</v>
      </c>
      <c r="T57" s="30">
        <f>'Equity Volume Data'!W57*'Equity Price Data'!Z58</f>
        <v>10177.5</v>
      </c>
      <c r="U57" s="30">
        <f>'Equity Volume Data'!X57*'Equity Price Data'!AA58</f>
        <v>17941.44</v>
      </c>
      <c r="V57" s="30">
        <f>'Equity Volume Data'!Y57*'Equity Price Data'!AB58</f>
        <v>16133.81</v>
      </c>
      <c r="W57" s="30">
        <f>'Equity Volume Data'!Z57*'Equity Price Data'!AC58</f>
        <v>10508.01</v>
      </c>
      <c r="X57" s="30">
        <f>'Equity Volume Data'!AA57*'Equity Price Data'!AD58</f>
        <v>24937.5</v>
      </c>
      <c r="Y57" s="30">
        <f>'Equity Volume Data'!AB57*'Equity Price Data'!AE58</f>
        <v>5546.32</v>
      </c>
      <c r="Z57" s="30">
        <f>'Equity Volume Data'!AC57*'Equity Price Data'!AF58</f>
        <v>8434.5</v>
      </c>
      <c r="AA57" s="30">
        <f>'Equity Volume Data'!AD57*'Equity Price Data'!AG58</f>
        <v>19881.5</v>
      </c>
      <c r="AB57" s="30">
        <f>'Equity Volume Data'!AE57*'Equity Price Data'!AH58</f>
        <v>8934.9</v>
      </c>
      <c r="AC57" s="30">
        <f>'Equity Volume Data'!AF57*'Equity Price Data'!AI58</f>
        <v>16864.8</v>
      </c>
      <c r="AD57" s="30">
        <f>'Equity Volume Data'!AG57*'Equity Price Data'!AJ58</f>
        <v>13205.25</v>
      </c>
      <c r="AE57" s="30">
        <f>'Equity Volume Data'!AH57*'Equity Price Data'!AK58</f>
        <v>8674</v>
      </c>
      <c r="AF57" s="30">
        <f>'Equity Volume Data'!AI57*'Equity Price Data'!AL58</f>
        <v>15680.45</v>
      </c>
      <c r="AG57" s="30">
        <f>'Equity Volume Data'!AJ57*'Equity Price Data'!AM58</f>
        <v>30007.2</v>
      </c>
      <c r="AH57" s="30">
        <f>'Equity Volume Data'!AK57*'Equity Price Data'!AN58</f>
        <v>35858</v>
      </c>
      <c r="AI57" s="30">
        <f>'Equity Volume Data'!AL57*'Equity Price Data'!AO58</f>
        <v>19661.25</v>
      </c>
      <c r="AJ57" s="30">
        <f>'Equity Volume Data'!AM57*'Equity Price Data'!AP58</f>
        <v>19630</v>
      </c>
      <c r="AK57" s="30">
        <f>'Equity Volume Data'!AN57*'Equity Price Data'!AQ58</f>
        <v>0</v>
      </c>
      <c r="AL57" s="30">
        <f>'Equity Volume Data'!AO57*'Equity Price Data'!AR58</f>
        <v>33273.6</v>
      </c>
      <c r="AM57" s="30">
        <f>'Equity Volume Data'!AP57*'Equity Price Data'!AS58</f>
        <v>38420.2</v>
      </c>
      <c r="AN57" s="30">
        <f>'Equity Volume Data'!AQ57*'Equity Price Data'!AT58</f>
        <v>8716.75</v>
      </c>
      <c r="AO57" s="30">
        <f>'Equity Volume Data'!AR57*'Equity Price Data'!AU58</f>
        <v>21922.18</v>
      </c>
      <c r="AP57" s="30">
        <f>'Equity Volume Data'!AS57*'Equity Price Data'!AV58</f>
        <v>20122.5</v>
      </c>
      <c r="AQ57" s="30">
        <f>'Equity Volume Data'!AT57*'Equity Price Data'!AW58</f>
        <v>16671.6</v>
      </c>
      <c r="AR57" s="30">
        <f>'Equity Volume Data'!AU57*'Equity Price Data'!AX58</f>
        <v>0</v>
      </c>
      <c r="AS57" s="30">
        <f>'Equity Volume Data'!AV57*'Equity Price Data'!AY58</f>
        <v>50053.2</v>
      </c>
      <c r="AT57" s="30">
        <f>'Equity Volume Data'!AW57*'Equity Price Data'!AZ58</f>
        <v>15678</v>
      </c>
      <c r="AU57" s="30">
        <f>'Equity Volume Data'!AX57*'Equity Price Data'!BA58</f>
        <v>0</v>
      </c>
      <c r="AV57" s="30">
        <f>'Equity Volume Data'!AY57*'Equity Price Data'!BB58</f>
        <v>57881.3</v>
      </c>
      <c r="AW57" s="30">
        <f>'Equity Volume Data'!AZ57*'Equity Price Data'!BC58</f>
        <v>3772</v>
      </c>
      <c r="AX57" s="30">
        <f>'Equity Volume Data'!BA57*'Equity Price Data'!BD58</f>
        <v>0</v>
      </c>
      <c r="AY57" s="30">
        <f>'Equity Volume Data'!BB57*'Equity Price Data'!BE58</f>
        <v>0</v>
      </c>
      <c r="AZ57" s="30">
        <f>'Equity Volume Data'!BC57*'Equity Price Data'!BF58</f>
        <v>9796.5</v>
      </c>
      <c r="BA57" s="30">
        <f>'Equity Volume Data'!BD57*'Equity Price Data'!BG58</f>
        <v>5823.5</v>
      </c>
      <c r="BB57" s="30">
        <f>'Equity Volume Data'!BE57*'Equity Price Data'!BH58</f>
        <v>9339.2</v>
      </c>
      <c r="BC57" s="30">
        <f>'Equity Volume Data'!BF57*'Equity Price Data'!BI58</f>
        <v>0</v>
      </c>
      <c r="BD57" s="30">
        <f>'Equity Volume Data'!BG57*'Equity Price Data'!BJ58</f>
        <v>39845.91</v>
      </c>
      <c r="BE57" s="30">
        <f>'Equity Volume Data'!BH57*'Equity Price Data'!BK58</f>
        <v>14300.71</v>
      </c>
      <c r="BF57" s="30">
        <f>'Equity Volume Data'!BI57*'Equity Price Data'!BL58</f>
        <v>7162.8</v>
      </c>
      <c r="BG57" s="30">
        <f>'Equity Volume Data'!BJ57*'Equity Price Data'!BM58</f>
        <v>42119.78</v>
      </c>
      <c r="BH57" s="30">
        <f>'Equity Volume Data'!BK57*'Equity Price Data'!BN58</f>
        <v>1088</v>
      </c>
      <c r="BI57" s="30">
        <f>'Equity Volume Data'!BL57*'Equity Price Data'!BO58</f>
        <v>39115.2</v>
      </c>
      <c r="BJ57" s="30">
        <f>'Equity Volume Data'!BM57*'Equity Price Data'!BP58</f>
        <v>42957.75</v>
      </c>
      <c r="BK57" s="30">
        <f>'Equity Volume Data'!BN57*'Equity Price Data'!BQ58</f>
        <v>87523.14</v>
      </c>
      <c r="BL57" s="30">
        <f>'Equity Volume Data'!BO57*'Equity Price Data'!BR58</f>
        <v>562.12</v>
      </c>
      <c r="BM57" s="30">
        <f>'Equity Volume Data'!BP57*'Equity Price Data'!BS58</f>
        <v>0</v>
      </c>
      <c r="BN57" s="30">
        <f>'Equity Volume Data'!BQ57*'Equity Price Data'!BT58</f>
        <v>17493.4</v>
      </c>
      <c r="BO57" s="30">
        <f>'Equity Volume Data'!BR57*'Equity Price Data'!BU58</f>
        <v>34640</v>
      </c>
    </row>
    <row r="58">
      <c r="A58" s="25">
        <f>'Equity Price Data'!A59</f>
        <v>45506.66667</v>
      </c>
      <c r="B58" s="29">
        <f t="shared" si="1"/>
        <v>1247532.87</v>
      </c>
      <c r="C58" s="30">
        <f>'Equity Volume Data'!F58*'Equity Price Data'!I59</f>
        <v>6840.21</v>
      </c>
      <c r="D58" s="30">
        <f>'Equity Volume Data'!G58*'Equity Price Data'!J59</f>
        <v>43654</v>
      </c>
      <c r="E58" s="30">
        <f>'Equity Volume Data'!H58*'Equity Price Data'!K59</f>
        <v>16208.5</v>
      </c>
      <c r="F58" s="30">
        <f>'Equity Volume Data'!I58*'Equity Price Data'!L59</f>
        <v>56284.16</v>
      </c>
      <c r="G58" s="30">
        <f>'Equity Volume Data'!J58*'Equity Price Data'!M59</f>
        <v>15090.23</v>
      </c>
      <c r="H58" s="30">
        <f>'Equity Volume Data'!K58*'Equity Price Data'!N59</f>
        <v>11866.56</v>
      </c>
      <c r="I58" s="30">
        <f>'Equity Volume Data'!L58*'Equity Price Data'!O59</f>
        <v>10730</v>
      </c>
      <c r="J58" s="30">
        <f>'Equity Volume Data'!M58*'Equity Price Data'!P59</f>
        <v>43692.72</v>
      </c>
      <c r="K58" s="30">
        <f>'Equity Volume Data'!N58*'Equity Price Data'!Q59</f>
        <v>10802</v>
      </c>
      <c r="L58" s="30">
        <f>'Equity Volume Data'!O58*'Equity Price Data'!R59</f>
        <v>24884.86</v>
      </c>
      <c r="M58" s="30">
        <f>'Equity Volume Data'!P58*'Equity Price Data'!S59</f>
        <v>0</v>
      </c>
      <c r="N58" s="30">
        <f>'Equity Volume Data'!Q58*'Equity Price Data'!T59</f>
        <v>5119.2</v>
      </c>
      <c r="O58" s="30">
        <f>'Equity Volume Data'!R58*'Equity Price Data'!U59</f>
        <v>48130.5</v>
      </c>
      <c r="P58" s="30">
        <f>'Equity Volume Data'!S58*'Equity Price Data'!V59</f>
        <v>0</v>
      </c>
      <c r="Q58" s="30">
        <f>'Equity Volume Data'!T58*'Equity Price Data'!W59</f>
        <v>21650.4</v>
      </c>
      <c r="R58" s="30">
        <f>'Equity Volume Data'!U58*'Equity Price Data'!X59</f>
        <v>11884</v>
      </c>
      <c r="S58" s="30">
        <f>'Equity Volume Data'!V58*'Equity Price Data'!Y59</f>
        <v>29685.04</v>
      </c>
      <c r="T58" s="30">
        <f>'Equity Volume Data'!W58*'Equity Price Data'!Z59</f>
        <v>9800</v>
      </c>
      <c r="U58" s="30">
        <f>'Equity Volume Data'!X58*'Equity Price Data'!AA59</f>
        <v>18303.12</v>
      </c>
      <c r="V58" s="30">
        <f>'Equity Volume Data'!Y58*'Equity Price Data'!AB59</f>
        <v>16394.63</v>
      </c>
      <c r="W58" s="30">
        <f>'Equity Volume Data'!Z58*'Equity Price Data'!AC59</f>
        <v>10407.96</v>
      </c>
      <c r="X58" s="30">
        <f>'Equity Volume Data'!AA58*'Equity Price Data'!AD59</f>
        <v>24882.5</v>
      </c>
      <c r="Y58" s="30">
        <f>'Equity Volume Data'!AB58*'Equity Price Data'!AE59</f>
        <v>5577</v>
      </c>
      <c r="Z58" s="30">
        <f>'Equity Volume Data'!AC58*'Equity Price Data'!AF59</f>
        <v>8430</v>
      </c>
      <c r="AA58" s="30">
        <f>'Equity Volume Data'!AD58*'Equity Price Data'!AG59</f>
        <v>19869.6</v>
      </c>
      <c r="AB58" s="30">
        <f>'Equity Volume Data'!AE58*'Equity Price Data'!AH59</f>
        <v>8769</v>
      </c>
      <c r="AC58" s="30">
        <f>'Equity Volume Data'!AF58*'Equity Price Data'!AI59</f>
        <v>17343.6</v>
      </c>
      <c r="AD58" s="30">
        <f>'Equity Volume Data'!AG58*'Equity Price Data'!AJ59</f>
        <v>13157.55</v>
      </c>
      <c r="AE58" s="30">
        <f>'Equity Volume Data'!AH58*'Equity Price Data'!AK59</f>
        <v>8234</v>
      </c>
      <c r="AF58" s="30">
        <f>'Equity Volume Data'!AI58*'Equity Price Data'!AL59</f>
        <v>15737.85</v>
      </c>
      <c r="AG58" s="30">
        <f>'Equity Volume Data'!AJ58*'Equity Price Data'!AM59</f>
        <v>28238.4</v>
      </c>
      <c r="AH58" s="30">
        <f>'Equity Volume Data'!AK58*'Equity Price Data'!AN59</f>
        <v>35543</v>
      </c>
      <c r="AI58" s="30">
        <f>'Equity Volume Data'!AL58*'Equity Price Data'!AO59</f>
        <v>18989.25</v>
      </c>
      <c r="AJ58" s="30">
        <f>'Equity Volume Data'!AM58*'Equity Price Data'!AP59</f>
        <v>19480.5</v>
      </c>
      <c r="AK58" s="30">
        <f>'Equity Volume Data'!AN58*'Equity Price Data'!AQ59</f>
        <v>0</v>
      </c>
      <c r="AL58" s="30">
        <f>'Equity Volume Data'!AO58*'Equity Price Data'!AR59</f>
        <v>31862.4</v>
      </c>
      <c r="AM58" s="30">
        <f>'Equity Volume Data'!AP58*'Equity Price Data'!AS59</f>
        <v>38413.9</v>
      </c>
      <c r="AN58" s="30">
        <f>'Equity Volume Data'!AQ58*'Equity Price Data'!AT59</f>
        <v>8260</v>
      </c>
      <c r="AO58" s="30">
        <f>'Equity Volume Data'!AR58*'Equity Price Data'!AU59</f>
        <v>21127.96</v>
      </c>
      <c r="AP58" s="30">
        <f>'Equity Volume Data'!AS58*'Equity Price Data'!AV59</f>
        <v>20377.5</v>
      </c>
      <c r="AQ58" s="30">
        <f>'Equity Volume Data'!AT58*'Equity Price Data'!AW59</f>
        <v>15523.2</v>
      </c>
      <c r="AR58" s="30">
        <f>'Equity Volume Data'!AU58*'Equity Price Data'!AX59</f>
        <v>0</v>
      </c>
      <c r="AS58" s="30">
        <f>'Equity Volume Data'!AV58*'Equity Price Data'!AY59</f>
        <v>49018.8</v>
      </c>
      <c r="AT58" s="30">
        <f>'Equity Volume Data'!AW58*'Equity Price Data'!AZ59</f>
        <v>15840</v>
      </c>
      <c r="AU58" s="30">
        <f>'Equity Volume Data'!AX58*'Equity Price Data'!BA59</f>
        <v>0</v>
      </c>
      <c r="AV58" s="30">
        <f>'Equity Volume Data'!AY58*'Equity Price Data'!BB59</f>
        <v>56853.1</v>
      </c>
      <c r="AW58" s="30">
        <f>'Equity Volume Data'!AZ58*'Equity Price Data'!BC59</f>
        <v>3771.6</v>
      </c>
      <c r="AX58" s="30">
        <f>'Equity Volume Data'!BA58*'Equity Price Data'!BD59</f>
        <v>0</v>
      </c>
      <c r="AY58" s="30">
        <f>'Equity Volume Data'!BB58*'Equity Price Data'!BE59</f>
        <v>0</v>
      </c>
      <c r="AZ58" s="30">
        <f>'Equity Volume Data'!BC58*'Equity Price Data'!BF59</f>
        <v>9297</v>
      </c>
      <c r="BA58" s="30">
        <f>'Equity Volume Data'!BD58*'Equity Price Data'!BG59</f>
        <v>5781.7</v>
      </c>
      <c r="BB58" s="30">
        <f>'Equity Volume Data'!BE58*'Equity Price Data'!BH59</f>
        <v>9315.2</v>
      </c>
      <c r="BC58" s="30">
        <f>'Equity Volume Data'!BF58*'Equity Price Data'!BI59</f>
        <v>0</v>
      </c>
      <c r="BD58" s="30">
        <f>'Equity Volume Data'!BG58*'Equity Price Data'!BJ59</f>
        <v>40205.88</v>
      </c>
      <c r="BE58" s="30">
        <f>'Equity Volume Data'!BH58*'Equity Price Data'!BK59</f>
        <v>14160.87</v>
      </c>
      <c r="BF58" s="30">
        <f>'Equity Volume Data'!BI58*'Equity Price Data'!BL59</f>
        <v>6920.8</v>
      </c>
      <c r="BG58" s="30">
        <f>'Equity Volume Data'!BJ58*'Equity Price Data'!BM59</f>
        <v>41727.8</v>
      </c>
      <c r="BH58" s="30">
        <f>'Equity Volume Data'!BK58*'Equity Price Data'!BN59</f>
        <v>1040</v>
      </c>
      <c r="BI58" s="30">
        <f>'Equity Volume Data'!BL58*'Equity Price Data'!BO59</f>
        <v>38395.2</v>
      </c>
      <c r="BJ58" s="30">
        <f>'Equity Volume Data'!BM58*'Equity Price Data'!BP59</f>
        <v>44237.25</v>
      </c>
      <c r="BK58" s="30">
        <f>'Equity Volume Data'!BN58*'Equity Price Data'!BQ59</f>
        <v>87685.32</v>
      </c>
      <c r="BL58" s="30">
        <f>'Equity Volume Data'!BO58*'Equity Price Data'!BR59</f>
        <v>557.89</v>
      </c>
      <c r="BM58" s="30">
        <f>'Equity Volume Data'!BP58*'Equity Price Data'!BS59</f>
        <v>0</v>
      </c>
      <c r="BN58" s="30">
        <f>'Equity Volume Data'!BQ58*'Equity Price Data'!BT59</f>
        <v>16839.16</v>
      </c>
      <c r="BO58" s="30">
        <f>'Equity Volume Data'!BR58*'Equity Price Data'!BU59</f>
        <v>34640</v>
      </c>
    </row>
    <row r="59">
      <c r="A59" s="25">
        <f>'Equity Price Data'!A60</f>
        <v>45509.66667</v>
      </c>
      <c r="B59" s="29">
        <f t="shared" si="1"/>
        <v>1217651.92</v>
      </c>
      <c r="C59" s="30">
        <f>'Equity Volume Data'!F59*'Equity Price Data'!I60</f>
        <v>6621.16</v>
      </c>
      <c r="D59" s="30">
        <f>'Equity Volume Data'!G59*'Equity Price Data'!J60</f>
        <v>41865.2</v>
      </c>
      <c r="E59" s="30">
        <f>'Equity Volume Data'!H59*'Equity Price Data'!K60</f>
        <v>15699.2</v>
      </c>
      <c r="F59" s="30">
        <f>'Equity Volume Data'!I59*'Equity Price Data'!L60</f>
        <v>53573.12</v>
      </c>
      <c r="G59" s="30">
        <f>'Equity Volume Data'!J59*'Equity Price Data'!M60</f>
        <v>15096.87</v>
      </c>
      <c r="H59" s="30">
        <f>'Equity Volume Data'!K59*'Equity Price Data'!N60</f>
        <v>11546.96</v>
      </c>
      <c r="I59" s="30">
        <f>'Equity Volume Data'!L59*'Equity Price Data'!O60</f>
        <v>10590</v>
      </c>
      <c r="J59" s="30">
        <f>'Equity Volume Data'!M59*'Equity Price Data'!P60</f>
        <v>42199.44</v>
      </c>
      <c r="K59" s="30">
        <f>'Equity Volume Data'!N59*'Equity Price Data'!Q60</f>
        <v>10608</v>
      </c>
      <c r="L59" s="30">
        <f>'Equity Volume Data'!O59*'Equity Price Data'!R60</f>
        <v>24005.19</v>
      </c>
      <c r="M59" s="30">
        <f>'Equity Volume Data'!P59*'Equity Price Data'!S60</f>
        <v>0</v>
      </c>
      <c r="N59" s="30">
        <f>'Equity Volume Data'!Q59*'Equity Price Data'!T60</f>
        <v>5084</v>
      </c>
      <c r="O59" s="30">
        <f>'Equity Volume Data'!R59*'Equity Price Data'!U60</f>
        <v>47520</v>
      </c>
      <c r="P59" s="30">
        <f>'Equity Volume Data'!S59*'Equity Price Data'!V60</f>
        <v>0</v>
      </c>
      <c r="Q59" s="30">
        <f>'Equity Volume Data'!T59*'Equity Price Data'!W60</f>
        <v>20869.2</v>
      </c>
      <c r="R59" s="30">
        <f>'Equity Volume Data'!U59*'Equity Price Data'!X60</f>
        <v>11572.8</v>
      </c>
      <c r="S59" s="30">
        <f>'Equity Volume Data'!V59*'Equity Price Data'!Y60</f>
        <v>28662.48</v>
      </c>
      <c r="T59" s="30">
        <f>'Equity Volume Data'!W59*'Equity Price Data'!Z60</f>
        <v>9575</v>
      </c>
      <c r="U59" s="30">
        <f>'Equity Volume Data'!X59*'Equity Price Data'!AA60</f>
        <v>17978.4</v>
      </c>
      <c r="V59" s="30">
        <f>'Equity Volume Data'!Y59*'Equity Price Data'!AB60</f>
        <v>16212.7</v>
      </c>
      <c r="W59" s="30">
        <f>'Equity Volume Data'!Z59*'Equity Price Data'!AC60</f>
        <v>9968.43</v>
      </c>
      <c r="X59" s="30">
        <f>'Equity Volume Data'!AA59*'Equity Price Data'!AD60</f>
        <v>24125</v>
      </c>
      <c r="Y59" s="30">
        <f>'Equity Volume Data'!AB59*'Equity Price Data'!AE60</f>
        <v>5579.86</v>
      </c>
      <c r="Z59" s="30">
        <f>'Equity Volume Data'!AC59*'Equity Price Data'!AF60</f>
        <v>8199</v>
      </c>
      <c r="AA59" s="30">
        <f>'Equity Volume Data'!AD59*'Equity Price Data'!AG60</f>
        <v>19510.9</v>
      </c>
      <c r="AB59" s="30">
        <f>'Equity Volume Data'!AE59*'Equity Price Data'!AH60</f>
        <v>8492.7</v>
      </c>
      <c r="AC59" s="30">
        <f>'Equity Volume Data'!AF59*'Equity Price Data'!AI60</f>
        <v>16911.2</v>
      </c>
      <c r="AD59" s="30">
        <f>'Equity Volume Data'!AG59*'Equity Price Data'!AJ60</f>
        <v>12865.5</v>
      </c>
      <c r="AE59" s="30">
        <f>'Equity Volume Data'!AH59*'Equity Price Data'!AK60</f>
        <v>7990</v>
      </c>
      <c r="AF59" s="30">
        <f>'Equity Volume Data'!AI59*'Equity Price Data'!AL60</f>
        <v>15340.15</v>
      </c>
      <c r="AG59" s="30">
        <f>'Equity Volume Data'!AJ59*'Equity Price Data'!AM60</f>
        <v>27541.2</v>
      </c>
      <c r="AH59" s="30">
        <f>'Equity Volume Data'!AK59*'Equity Price Data'!AN60</f>
        <v>35001</v>
      </c>
      <c r="AI59" s="30">
        <f>'Equity Volume Data'!AL59*'Equity Price Data'!AO60</f>
        <v>18326</v>
      </c>
      <c r="AJ59" s="30">
        <f>'Equity Volume Data'!AM59*'Equity Price Data'!AP60</f>
        <v>19341.4</v>
      </c>
      <c r="AK59" s="30">
        <f>'Equity Volume Data'!AN59*'Equity Price Data'!AQ60</f>
        <v>0</v>
      </c>
      <c r="AL59" s="30">
        <f>'Equity Volume Data'!AO59*'Equity Price Data'!AR60</f>
        <v>31184</v>
      </c>
      <c r="AM59" s="30">
        <f>'Equity Volume Data'!AP59*'Equity Price Data'!AS60</f>
        <v>38176.6</v>
      </c>
      <c r="AN59" s="30">
        <f>'Equity Volume Data'!AQ59*'Equity Price Data'!AT60</f>
        <v>8169</v>
      </c>
      <c r="AO59" s="30">
        <f>'Equity Volume Data'!AR59*'Equity Price Data'!AU60</f>
        <v>20658.26</v>
      </c>
      <c r="AP59" s="30">
        <f>'Equity Volume Data'!AS59*'Equity Price Data'!AV60</f>
        <v>20082.5</v>
      </c>
      <c r="AQ59" s="30">
        <f>'Equity Volume Data'!AT59*'Equity Price Data'!AW60</f>
        <v>14951.2</v>
      </c>
      <c r="AR59" s="30">
        <f>'Equity Volume Data'!AU59*'Equity Price Data'!AX60</f>
        <v>0</v>
      </c>
      <c r="AS59" s="30">
        <f>'Equity Volume Data'!AV59*'Equity Price Data'!AY60</f>
        <v>47418</v>
      </c>
      <c r="AT59" s="30">
        <f>'Equity Volume Data'!AW59*'Equity Price Data'!AZ60</f>
        <v>15336</v>
      </c>
      <c r="AU59" s="30">
        <f>'Equity Volume Data'!AX59*'Equity Price Data'!BA60</f>
        <v>0</v>
      </c>
      <c r="AV59" s="30">
        <f>'Equity Volume Data'!AY59*'Equity Price Data'!BB60</f>
        <v>53238.5</v>
      </c>
      <c r="AW59" s="30">
        <f>'Equity Volume Data'!AZ59*'Equity Price Data'!BC60</f>
        <v>3736.8</v>
      </c>
      <c r="AX59" s="30">
        <f>'Equity Volume Data'!BA59*'Equity Price Data'!BD60</f>
        <v>0</v>
      </c>
      <c r="AY59" s="30">
        <f>'Equity Volume Data'!BB59*'Equity Price Data'!BE60</f>
        <v>0</v>
      </c>
      <c r="AZ59" s="30">
        <f>'Equity Volume Data'!BC59*'Equity Price Data'!BF60</f>
        <v>9069</v>
      </c>
      <c r="BA59" s="30">
        <f>'Equity Volume Data'!BD59*'Equity Price Data'!BG60</f>
        <v>5650.6</v>
      </c>
      <c r="BB59" s="30">
        <f>'Equity Volume Data'!BE59*'Equity Price Data'!BH60</f>
        <v>9213.6</v>
      </c>
      <c r="BC59" s="30">
        <f>'Equity Volume Data'!BF59*'Equity Price Data'!BI60</f>
        <v>0</v>
      </c>
      <c r="BD59" s="30">
        <f>'Equity Volume Data'!BG59*'Equity Price Data'!BJ60</f>
        <v>39803.31</v>
      </c>
      <c r="BE59" s="30">
        <f>'Equity Volume Data'!BH59*'Equity Price Data'!BK60</f>
        <v>13754.69</v>
      </c>
      <c r="BF59" s="30">
        <f>'Equity Volume Data'!BI59*'Equity Price Data'!BL60</f>
        <v>6734</v>
      </c>
      <c r="BG59" s="30">
        <f>'Equity Volume Data'!BJ59*'Equity Price Data'!BM60</f>
        <v>41269.1</v>
      </c>
      <c r="BH59" s="30">
        <f>'Equity Volume Data'!BK59*'Equity Price Data'!BN60</f>
        <v>1019.2</v>
      </c>
      <c r="BI59" s="30">
        <f>'Equity Volume Data'!BL59*'Equity Price Data'!BO60</f>
        <v>37579.2</v>
      </c>
      <c r="BJ59" s="30">
        <f>'Equity Volume Data'!BM59*'Equity Price Data'!BP60</f>
        <v>42747</v>
      </c>
      <c r="BK59" s="30">
        <f>'Equity Volume Data'!BN59*'Equity Price Data'!BQ60</f>
        <v>87703.34</v>
      </c>
      <c r="BL59" s="30">
        <f>'Equity Volume Data'!BO59*'Equity Price Data'!BR60</f>
        <v>543.32</v>
      </c>
      <c r="BM59" s="30">
        <f>'Equity Volume Data'!BP59*'Equity Price Data'!BS60</f>
        <v>0</v>
      </c>
      <c r="BN59" s="30">
        <f>'Equity Volume Data'!BQ59*'Equity Price Data'!BT60</f>
        <v>16502.64</v>
      </c>
      <c r="BO59" s="30">
        <f>'Equity Volume Data'!BR59*'Equity Price Data'!BU60</f>
        <v>34640</v>
      </c>
    </row>
    <row r="60">
      <c r="A60" s="25">
        <f>'Equity Price Data'!A61</f>
        <v>45510.66667</v>
      </c>
      <c r="B60" s="29">
        <f t="shared" si="1"/>
        <v>1229879.39</v>
      </c>
      <c r="C60" s="30">
        <f>'Equity Volume Data'!F60*'Equity Price Data'!I61</f>
        <v>6684.6</v>
      </c>
      <c r="D60" s="30">
        <f>'Equity Volume Data'!G60*'Equity Price Data'!J61</f>
        <v>42101.8</v>
      </c>
      <c r="E60" s="30">
        <f>'Equity Volume Data'!H60*'Equity Price Data'!K61</f>
        <v>15796</v>
      </c>
      <c r="F60" s="30">
        <f>'Equity Volume Data'!I60*'Equity Price Data'!L61</f>
        <v>53050.88</v>
      </c>
      <c r="G60" s="30">
        <f>'Equity Volume Data'!J60*'Equity Price Data'!M61</f>
        <v>15214.73</v>
      </c>
      <c r="H60" s="30">
        <f>'Equity Volume Data'!K60*'Equity Price Data'!N61</f>
        <v>11691.72</v>
      </c>
      <c r="I60" s="30">
        <f>'Equity Volume Data'!L60*'Equity Price Data'!O61</f>
        <v>10720</v>
      </c>
      <c r="J60" s="30">
        <f>'Equity Volume Data'!M60*'Equity Price Data'!P61</f>
        <v>43058.28</v>
      </c>
      <c r="K60" s="30">
        <f>'Equity Volume Data'!N60*'Equity Price Data'!Q61</f>
        <v>10704</v>
      </c>
      <c r="L60" s="30">
        <f>'Equity Volume Data'!O60*'Equity Price Data'!R61</f>
        <v>24215.73</v>
      </c>
      <c r="M60" s="30">
        <f>'Equity Volume Data'!P60*'Equity Price Data'!S61</f>
        <v>0</v>
      </c>
      <c r="N60" s="30">
        <f>'Equity Volume Data'!Q60*'Equity Price Data'!T61</f>
        <v>5131.2</v>
      </c>
      <c r="O60" s="30">
        <f>'Equity Volume Data'!R60*'Equity Price Data'!U61</f>
        <v>48966</v>
      </c>
      <c r="P60" s="30">
        <f>'Equity Volume Data'!S60*'Equity Price Data'!V61</f>
        <v>0</v>
      </c>
      <c r="Q60" s="30">
        <f>'Equity Volume Data'!T60*'Equity Price Data'!W61</f>
        <v>20851.2</v>
      </c>
      <c r="R60" s="30">
        <f>'Equity Volume Data'!U60*'Equity Price Data'!X61</f>
        <v>11458.4</v>
      </c>
      <c r="S60" s="30">
        <f>'Equity Volume Data'!V60*'Equity Price Data'!Y61</f>
        <v>28977.52</v>
      </c>
      <c r="T60" s="30">
        <f>'Equity Volume Data'!W60*'Equity Price Data'!Z61</f>
        <v>9712.5</v>
      </c>
      <c r="U60" s="30">
        <f>'Equity Volume Data'!X60*'Equity Price Data'!AA61</f>
        <v>17965.2</v>
      </c>
      <c r="V60" s="30">
        <f>'Equity Volume Data'!Y60*'Equity Price Data'!AB61</f>
        <v>16243.29</v>
      </c>
      <c r="W60" s="30">
        <f>'Equity Volume Data'!Z60*'Equity Price Data'!AC61</f>
        <v>10255.47</v>
      </c>
      <c r="X60" s="30">
        <f>'Equity Volume Data'!AA60*'Equity Price Data'!AD61</f>
        <v>24145</v>
      </c>
      <c r="Y60" s="30">
        <f>'Equity Volume Data'!AB60*'Equity Price Data'!AE61</f>
        <v>5576.74</v>
      </c>
      <c r="Z60" s="30">
        <f>'Equity Volume Data'!AC60*'Equity Price Data'!AF61</f>
        <v>8388</v>
      </c>
      <c r="AA60" s="30">
        <f>'Equity Volume Data'!AD60*'Equity Price Data'!AG61</f>
        <v>19407.2</v>
      </c>
      <c r="AB60" s="30">
        <f>'Equity Volume Data'!AE60*'Equity Price Data'!AH61</f>
        <v>8571.9</v>
      </c>
      <c r="AC60" s="30">
        <f>'Equity Volume Data'!AF60*'Equity Price Data'!AI61</f>
        <v>16672.8</v>
      </c>
      <c r="AD60" s="30">
        <f>'Equity Volume Data'!AG60*'Equity Price Data'!AJ61</f>
        <v>12842.1</v>
      </c>
      <c r="AE60" s="30">
        <f>'Equity Volume Data'!AH60*'Equity Price Data'!AK61</f>
        <v>8122</v>
      </c>
      <c r="AF60" s="30">
        <f>'Equity Volume Data'!AI60*'Equity Price Data'!AL61</f>
        <v>15208.95</v>
      </c>
      <c r="AG60" s="30">
        <f>'Equity Volume Data'!AJ60*'Equity Price Data'!AM61</f>
        <v>28213.2</v>
      </c>
      <c r="AH60" s="30">
        <f>'Equity Volume Data'!AK60*'Equity Price Data'!AN61</f>
        <v>35391</v>
      </c>
      <c r="AI60" s="30">
        <f>'Equity Volume Data'!AL60*'Equity Price Data'!AO61</f>
        <v>17969</v>
      </c>
      <c r="AJ60" s="30">
        <f>'Equity Volume Data'!AM60*'Equity Price Data'!AP61</f>
        <v>19566.3</v>
      </c>
      <c r="AK60" s="30">
        <f>'Equity Volume Data'!AN60*'Equity Price Data'!AQ61</f>
        <v>0</v>
      </c>
      <c r="AL60" s="30">
        <f>'Equity Volume Data'!AO60*'Equity Price Data'!AR61</f>
        <v>32054.4</v>
      </c>
      <c r="AM60" s="30">
        <f>'Equity Volume Data'!AP60*'Equity Price Data'!AS61</f>
        <v>37909.2</v>
      </c>
      <c r="AN60" s="30">
        <f>'Equity Volume Data'!AQ60*'Equity Price Data'!AT61</f>
        <v>8291.5</v>
      </c>
      <c r="AO60" s="30">
        <f>'Equity Volume Data'!AR60*'Equity Price Data'!AU61</f>
        <v>21051.1</v>
      </c>
      <c r="AP60" s="30">
        <f>'Equity Volume Data'!AS60*'Equity Price Data'!AV61</f>
        <v>20195</v>
      </c>
      <c r="AQ60" s="30">
        <f>'Equity Volume Data'!AT60*'Equity Price Data'!AW61</f>
        <v>15092</v>
      </c>
      <c r="AR60" s="30">
        <f>'Equity Volume Data'!AU60*'Equity Price Data'!AX61</f>
        <v>0</v>
      </c>
      <c r="AS60" s="30">
        <f>'Equity Volume Data'!AV60*'Equity Price Data'!AY61</f>
        <v>47953.2</v>
      </c>
      <c r="AT60" s="30">
        <f>'Equity Volume Data'!AW60*'Equity Price Data'!AZ61</f>
        <v>15394</v>
      </c>
      <c r="AU60" s="30">
        <f>'Equity Volume Data'!AX60*'Equity Price Data'!BA61</f>
        <v>0</v>
      </c>
      <c r="AV60" s="30">
        <f>'Equity Volume Data'!AY60*'Equity Price Data'!BB61</f>
        <v>55252.5</v>
      </c>
      <c r="AW60" s="30">
        <f>'Equity Volume Data'!AZ60*'Equity Price Data'!BC61</f>
        <v>3735.6</v>
      </c>
      <c r="AX60" s="30">
        <f>'Equity Volume Data'!BA60*'Equity Price Data'!BD61</f>
        <v>0</v>
      </c>
      <c r="AY60" s="30">
        <f>'Equity Volume Data'!BB60*'Equity Price Data'!BE61</f>
        <v>0</v>
      </c>
      <c r="AZ60" s="30">
        <f>'Equity Volume Data'!BC60*'Equity Price Data'!BF61</f>
        <v>9412.5</v>
      </c>
      <c r="BA60" s="30">
        <f>'Equity Volume Data'!BD60*'Equity Price Data'!BG61</f>
        <v>5570.8</v>
      </c>
      <c r="BB60" s="30">
        <f>'Equity Volume Data'!BE60*'Equity Price Data'!BH61</f>
        <v>9152</v>
      </c>
      <c r="BC60" s="30">
        <f>'Equity Volume Data'!BF60*'Equity Price Data'!BI61</f>
        <v>0</v>
      </c>
      <c r="BD60" s="30">
        <f>'Equity Volume Data'!BG60*'Equity Price Data'!BJ61</f>
        <v>40440.18</v>
      </c>
      <c r="BE60" s="30">
        <f>'Equity Volume Data'!BH60*'Equity Price Data'!BK61</f>
        <v>13846.46</v>
      </c>
      <c r="BF60" s="30">
        <f>'Equity Volume Data'!BI60*'Equity Price Data'!BL61</f>
        <v>6784</v>
      </c>
      <c r="BG60" s="30">
        <f>'Equity Volume Data'!BJ60*'Equity Price Data'!BM61</f>
        <v>43395.8</v>
      </c>
      <c r="BH60" s="30">
        <f>'Equity Volume Data'!BK60*'Equity Price Data'!BN61</f>
        <v>1035.2</v>
      </c>
      <c r="BI60" s="30">
        <f>'Equity Volume Data'!BL60*'Equity Price Data'!BO61</f>
        <v>38168</v>
      </c>
      <c r="BJ60" s="30">
        <f>'Equity Volume Data'!BM60*'Equity Price Data'!BP61</f>
        <v>42626.25</v>
      </c>
      <c r="BK60" s="30">
        <f>'Equity Volume Data'!BN60*'Equity Price Data'!BQ61</f>
        <v>87559.18</v>
      </c>
      <c r="BL60" s="30">
        <f>'Equity Volume Data'!BO60*'Equity Price Data'!BR61</f>
        <v>533.45</v>
      </c>
      <c r="BM60" s="30">
        <f>'Equity Volume Data'!BP60*'Equity Price Data'!BS61</f>
        <v>0</v>
      </c>
      <c r="BN60" s="30">
        <f>'Equity Volume Data'!BQ60*'Equity Price Data'!BT61</f>
        <v>16914.36</v>
      </c>
      <c r="BO60" s="30">
        <f>'Equity Volume Data'!BR60*'Equity Price Data'!BU61</f>
        <v>34640</v>
      </c>
    </row>
    <row r="61">
      <c r="A61" s="25">
        <f>'Equity Price Data'!A62</f>
        <v>45511.66667</v>
      </c>
      <c r="B61" s="29">
        <f t="shared" si="1"/>
        <v>1222165.95</v>
      </c>
      <c r="C61" s="30">
        <f>'Equity Volume Data'!F61*'Equity Price Data'!I62</f>
        <v>6677.06</v>
      </c>
      <c r="D61" s="30">
        <f>'Equity Volume Data'!G61*'Equity Price Data'!J62</f>
        <v>42320.2</v>
      </c>
      <c r="E61" s="30">
        <f>'Equity Volume Data'!H61*'Equity Price Data'!K62</f>
        <v>15816.9</v>
      </c>
      <c r="F61" s="30">
        <f>'Equity Volume Data'!I61*'Equity Price Data'!L62</f>
        <v>53713.92</v>
      </c>
      <c r="G61" s="30">
        <f>'Equity Volume Data'!J61*'Equity Price Data'!M62</f>
        <v>14816.33</v>
      </c>
      <c r="H61" s="30">
        <f>'Equity Volume Data'!K61*'Equity Price Data'!N62</f>
        <v>11599.6</v>
      </c>
      <c r="I61" s="30">
        <f>'Equity Volume Data'!L61*'Equity Price Data'!O62</f>
        <v>10840</v>
      </c>
      <c r="J61" s="30">
        <f>'Equity Volume Data'!M61*'Equity Price Data'!P62</f>
        <v>43556.04</v>
      </c>
      <c r="K61" s="30">
        <f>'Equity Volume Data'!N61*'Equity Price Data'!Q62</f>
        <v>10552</v>
      </c>
      <c r="L61" s="30">
        <f>'Equity Volume Data'!O61*'Equity Price Data'!R62</f>
        <v>24173.38</v>
      </c>
      <c r="M61" s="30">
        <f>'Equity Volume Data'!P61*'Equity Price Data'!S62</f>
        <v>0</v>
      </c>
      <c r="N61" s="30">
        <f>'Equity Volume Data'!Q61*'Equity Price Data'!T62</f>
        <v>5048.8</v>
      </c>
      <c r="O61" s="30">
        <f>'Equity Volume Data'!R61*'Equity Price Data'!U62</f>
        <v>48870</v>
      </c>
      <c r="P61" s="30">
        <f>'Equity Volume Data'!S61*'Equity Price Data'!V62</f>
        <v>0</v>
      </c>
      <c r="Q61" s="30">
        <f>'Equity Volume Data'!T61*'Equity Price Data'!W62</f>
        <v>21357.6</v>
      </c>
      <c r="R61" s="30">
        <f>'Equity Volume Data'!U61*'Equity Price Data'!X62</f>
        <v>11392.8</v>
      </c>
      <c r="S61" s="30">
        <f>'Equity Volume Data'!V61*'Equity Price Data'!Y62</f>
        <v>28952.88</v>
      </c>
      <c r="T61" s="30">
        <f>'Equity Volume Data'!W61*'Equity Price Data'!Z62</f>
        <v>9597.5</v>
      </c>
      <c r="U61" s="30">
        <f>'Equity Volume Data'!X61*'Equity Price Data'!AA62</f>
        <v>18073.44</v>
      </c>
      <c r="V61" s="30">
        <f>'Equity Volume Data'!Y61*'Equity Price Data'!AB62</f>
        <v>16291.59</v>
      </c>
      <c r="W61" s="30">
        <f>'Equity Volume Data'!Z61*'Equity Price Data'!AC62</f>
        <v>10152.66</v>
      </c>
      <c r="X61" s="30">
        <f>'Equity Volume Data'!AA61*'Equity Price Data'!AD62</f>
        <v>23757.5</v>
      </c>
      <c r="Y61" s="30">
        <f>'Equity Volume Data'!AB61*'Equity Price Data'!AE62</f>
        <v>5558.41</v>
      </c>
      <c r="Z61" s="30">
        <f>'Equity Volume Data'!AC61*'Equity Price Data'!AF62</f>
        <v>8266.5</v>
      </c>
      <c r="AA61" s="30">
        <f>'Equity Volume Data'!AD61*'Equity Price Data'!AG62</f>
        <v>19665.6</v>
      </c>
      <c r="AB61" s="30">
        <f>'Equity Volume Data'!AE61*'Equity Price Data'!AH62</f>
        <v>8343.9</v>
      </c>
      <c r="AC61" s="30">
        <f>'Equity Volume Data'!AF61*'Equity Price Data'!AI62</f>
        <v>16718</v>
      </c>
      <c r="AD61" s="30">
        <f>'Equity Volume Data'!AG61*'Equity Price Data'!AJ62</f>
        <v>12922.65</v>
      </c>
      <c r="AE61" s="30">
        <f>'Equity Volume Data'!AH61*'Equity Price Data'!AK62</f>
        <v>8130</v>
      </c>
      <c r="AF61" s="30">
        <f>'Equity Volume Data'!AI61*'Equity Price Data'!AL62</f>
        <v>15170</v>
      </c>
      <c r="AG61" s="30">
        <f>'Equity Volume Data'!AJ61*'Equity Price Data'!AM62</f>
        <v>28380.6</v>
      </c>
      <c r="AH61" s="30">
        <f>'Equity Volume Data'!AK61*'Equity Price Data'!AN62</f>
        <v>34240</v>
      </c>
      <c r="AI61" s="30">
        <f>'Equity Volume Data'!AL61*'Equity Price Data'!AO62</f>
        <v>17883.25</v>
      </c>
      <c r="AJ61" s="30">
        <f>'Equity Volume Data'!AM61*'Equity Price Data'!AP62</f>
        <v>19645.6</v>
      </c>
      <c r="AK61" s="30">
        <f>'Equity Volume Data'!AN61*'Equity Price Data'!AQ62</f>
        <v>0</v>
      </c>
      <c r="AL61" s="30">
        <f>'Equity Volume Data'!AO61*'Equity Price Data'!AR62</f>
        <v>32064</v>
      </c>
      <c r="AM61" s="30">
        <f>'Equity Volume Data'!AP61*'Equity Price Data'!AS62</f>
        <v>38395.7</v>
      </c>
      <c r="AN61" s="30">
        <f>'Equity Volume Data'!AQ61*'Equity Price Data'!AT62</f>
        <v>8170.4</v>
      </c>
      <c r="AO61" s="30">
        <f>'Equity Volume Data'!AR61*'Equity Price Data'!AU62</f>
        <v>20607.02</v>
      </c>
      <c r="AP61" s="30">
        <f>'Equity Volume Data'!AS61*'Equity Price Data'!AV62</f>
        <v>20272.5</v>
      </c>
      <c r="AQ61" s="30">
        <f>'Equity Volume Data'!AT61*'Equity Price Data'!AW62</f>
        <v>15120.6</v>
      </c>
      <c r="AR61" s="30">
        <f>'Equity Volume Data'!AU61*'Equity Price Data'!AX62</f>
        <v>0</v>
      </c>
      <c r="AS61" s="30">
        <f>'Equity Volume Data'!AV61*'Equity Price Data'!AY62</f>
        <v>47811.6</v>
      </c>
      <c r="AT61" s="30">
        <f>'Equity Volume Data'!AW61*'Equity Price Data'!AZ62</f>
        <v>15512</v>
      </c>
      <c r="AU61" s="30">
        <f>'Equity Volume Data'!AX61*'Equity Price Data'!BA62</f>
        <v>0</v>
      </c>
      <c r="AV61" s="30">
        <f>'Equity Volume Data'!AY61*'Equity Price Data'!BB62</f>
        <v>52422.3</v>
      </c>
      <c r="AW61" s="30">
        <f>'Equity Volume Data'!AZ61*'Equity Price Data'!BC62</f>
        <v>3698.8</v>
      </c>
      <c r="AX61" s="30">
        <f>'Equity Volume Data'!BA61*'Equity Price Data'!BD62</f>
        <v>0</v>
      </c>
      <c r="AY61" s="30">
        <f>'Equity Volume Data'!BB61*'Equity Price Data'!BE62</f>
        <v>0</v>
      </c>
      <c r="AZ61" s="30">
        <f>'Equity Volume Data'!BC61*'Equity Price Data'!BF62</f>
        <v>9411</v>
      </c>
      <c r="BA61" s="30">
        <f>'Equity Volume Data'!BD61*'Equity Price Data'!BG62</f>
        <v>5481.5</v>
      </c>
      <c r="BB61" s="30">
        <f>'Equity Volume Data'!BE61*'Equity Price Data'!BH62</f>
        <v>9132</v>
      </c>
      <c r="BC61" s="30">
        <f>'Equity Volume Data'!BF61*'Equity Price Data'!BI62</f>
        <v>0</v>
      </c>
      <c r="BD61" s="30">
        <f>'Equity Volume Data'!BG61*'Equity Price Data'!BJ62</f>
        <v>40595.67</v>
      </c>
      <c r="BE61" s="30">
        <f>'Equity Volume Data'!BH61*'Equity Price Data'!BK62</f>
        <v>13509.51</v>
      </c>
      <c r="BF61" s="30">
        <f>'Equity Volume Data'!BI61*'Equity Price Data'!BL62</f>
        <v>6687.2</v>
      </c>
      <c r="BG61" s="30">
        <f>'Equity Volume Data'!BJ61*'Equity Price Data'!BM62</f>
        <v>40546.3</v>
      </c>
      <c r="BH61" s="30">
        <f>'Equity Volume Data'!BK61*'Equity Price Data'!BN62</f>
        <v>1035.2</v>
      </c>
      <c r="BI61" s="30">
        <f>'Equity Volume Data'!BL61*'Equity Price Data'!BO62</f>
        <v>37894.4</v>
      </c>
      <c r="BJ61" s="30">
        <f>'Equity Volume Data'!BM61*'Equity Price Data'!BP62</f>
        <v>42456</v>
      </c>
      <c r="BK61" s="30">
        <f>'Equity Volume Data'!BN61*'Equity Price Data'!BQ62</f>
        <v>87523.14</v>
      </c>
      <c r="BL61" s="30">
        <f>'Equity Volume Data'!BO61*'Equity Price Data'!BR62</f>
        <v>533.92</v>
      </c>
      <c r="BM61" s="30">
        <f>'Equity Volume Data'!BP61*'Equity Price Data'!BS62</f>
        <v>0</v>
      </c>
      <c r="BN61" s="30">
        <f>'Equity Volume Data'!BQ61*'Equity Price Data'!BT62</f>
        <v>16160.48</v>
      </c>
      <c r="BO61" s="30">
        <f>'Equity Volume Data'!BR61*'Equity Price Data'!BU62</f>
        <v>34640</v>
      </c>
    </row>
    <row r="62">
      <c r="A62" s="25">
        <f>'Equity Price Data'!A63</f>
        <v>45512.66667</v>
      </c>
      <c r="B62" s="29">
        <f t="shared" si="1"/>
        <v>1245612.94</v>
      </c>
      <c r="C62" s="30">
        <f>'Equity Volume Data'!F62*'Equity Price Data'!I63</f>
        <v>6893.12</v>
      </c>
      <c r="D62" s="30">
        <f>'Equity Volume Data'!G62*'Equity Price Data'!J63</f>
        <v>43108</v>
      </c>
      <c r="E62" s="30">
        <f>'Equity Volume Data'!H62*'Equity Price Data'!K63</f>
        <v>15918.1</v>
      </c>
      <c r="F62" s="30">
        <f>'Equity Volume Data'!I62*'Equity Price Data'!L63</f>
        <v>54607.36</v>
      </c>
      <c r="G62" s="30">
        <f>'Equity Volume Data'!J62*'Equity Price Data'!M63</f>
        <v>15815.65</v>
      </c>
      <c r="H62" s="30">
        <f>'Equity Volume Data'!K62*'Equity Price Data'!N63</f>
        <v>11921.08</v>
      </c>
      <c r="I62" s="30">
        <f>'Equity Volume Data'!L62*'Equity Price Data'!O63</f>
        <v>11000</v>
      </c>
      <c r="J62" s="30">
        <f>'Equity Volume Data'!M62*'Equity Price Data'!P63</f>
        <v>44017.08</v>
      </c>
      <c r="K62" s="30">
        <f>'Equity Volume Data'!N62*'Equity Price Data'!Q63</f>
        <v>10630</v>
      </c>
      <c r="L62" s="30">
        <f>'Equity Volume Data'!O62*'Equity Price Data'!R63</f>
        <v>24692.47</v>
      </c>
      <c r="M62" s="30">
        <f>'Equity Volume Data'!P62*'Equity Price Data'!S63</f>
        <v>0</v>
      </c>
      <c r="N62" s="30">
        <f>'Equity Volume Data'!Q62*'Equity Price Data'!T63</f>
        <v>5158.4</v>
      </c>
      <c r="O62" s="30">
        <f>'Equity Volume Data'!R62*'Equity Price Data'!U63</f>
        <v>50424</v>
      </c>
      <c r="P62" s="30">
        <f>'Equity Volume Data'!S62*'Equity Price Data'!V63</f>
        <v>0</v>
      </c>
      <c r="Q62" s="30">
        <f>'Equity Volume Data'!T62*'Equity Price Data'!W63</f>
        <v>21541.2</v>
      </c>
      <c r="R62" s="30">
        <f>'Equity Volume Data'!U62*'Equity Price Data'!X63</f>
        <v>11559.2</v>
      </c>
      <c r="S62" s="30">
        <f>'Equity Volume Data'!V62*'Equity Price Data'!Y63</f>
        <v>29481.76</v>
      </c>
      <c r="T62" s="30">
        <f>'Equity Volume Data'!W62*'Equity Price Data'!Z63</f>
        <v>9942.5</v>
      </c>
      <c r="U62" s="30">
        <f>'Equity Volume Data'!X62*'Equity Price Data'!AA63</f>
        <v>18144.72</v>
      </c>
      <c r="V62" s="30">
        <f>'Equity Volume Data'!Y62*'Equity Price Data'!AB63</f>
        <v>16180.5</v>
      </c>
      <c r="W62" s="30">
        <f>'Equity Volume Data'!Z62*'Equity Price Data'!AC63</f>
        <v>10326.54</v>
      </c>
      <c r="X62" s="30">
        <f>'Equity Volume Data'!AA62*'Equity Price Data'!AD63</f>
        <v>23732.5</v>
      </c>
      <c r="Y62" s="30">
        <f>'Equity Volume Data'!AB62*'Equity Price Data'!AE63</f>
        <v>5688.93</v>
      </c>
      <c r="Z62" s="30">
        <f>'Equity Volume Data'!AC62*'Equity Price Data'!AF63</f>
        <v>8391</v>
      </c>
      <c r="AA62" s="30">
        <f>'Equity Volume Data'!AD62*'Equity Price Data'!AG63</f>
        <v>20041.3</v>
      </c>
      <c r="AB62" s="30">
        <f>'Equity Volume Data'!AE62*'Equity Price Data'!AH63</f>
        <v>8358.6</v>
      </c>
      <c r="AC62" s="30">
        <f>'Equity Volume Data'!AF62*'Equity Price Data'!AI63</f>
        <v>16822</v>
      </c>
      <c r="AD62" s="30">
        <f>'Equity Volume Data'!AG62*'Equity Price Data'!AJ63</f>
        <v>13086</v>
      </c>
      <c r="AE62" s="30">
        <f>'Equity Volume Data'!AH62*'Equity Price Data'!AK63</f>
        <v>8546</v>
      </c>
      <c r="AF62" s="30">
        <f>'Equity Volume Data'!AI62*'Equity Price Data'!AL63</f>
        <v>15495.95</v>
      </c>
      <c r="AG62" s="30">
        <f>'Equity Volume Data'!AJ62*'Equity Price Data'!AM63</f>
        <v>29146.2</v>
      </c>
      <c r="AH62" s="30">
        <f>'Equity Volume Data'!AK62*'Equity Price Data'!AN63</f>
        <v>34834</v>
      </c>
      <c r="AI62" s="30">
        <f>'Equity Volume Data'!AL62*'Equity Price Data'!AO63</f>
        <v>18046</v>
      </c>
      <c r="AJ62" s="30">
        <f>'Equity Volume Data'!AM62*'Equity Price Data'!AP63</f>
        <v>19988.8</v>
      </c>
      <c r="AK62" s="30">
        <f>'Equity Volume Data'!AN62*'Equity Price Data'!AQ63</f>
        <v>0</v>
      </c>
      <c r="AL62" s="30">
        <f>'Equity Volume Data'!AO62*'Equity Price Data'!AR63</f>
        <v>32649.6</v>
      </c>
      <c r="AM62" s="30">
        <f>'Equity Volume Data'!AP62*'Equity Price Data'!AS63</f>
        <v>38613.4</v>
      </c>
      <c r="AN62" s="30">
        <f>'Equity Volume Data'!AQ62*'Equity Price Data'!AT63</f>
        <v>8461.25</v>
      </c>
      <c r="AO62" s="30">
        <f>'Equity Volume Data'!AR62*'Equity Price Data'!AU63</f>
        <v>21136.5</v>
      </c>
      <c r="AP62" s="30">
        <f>'Equity Volume Data'!AS62*'Equity Price Data'!AV63</f>
        <v>20552.5</v>
      </c>
      <c r="AQ62" s="30">
        <f>'Equity Volume Data'!AT62*'Equity Price Data'!AW63</f>
        <v>15323</v>
      </c>
      <c r="AR62" s="30">
        <f>'Equity Volume Data'!AU62*'Equity Price Data'!AX63</f>
        <v>0</v>
      </c>
      <c r="AS62" s="30">
        <f>'Equity Volume Data'!AV62*'Equity Price Data'!AY63</f>
        <v>48322.8</v>
      </c>
      <c r="AT62" s="30">
        <f>'Equity Volume Data'!AW62*'Equity Price Data'!AZ63</f>
        <v>15508</v>
      </c>
      <c r="AU62" s="30">
        <f>'Equity Volume Data'!AX62*'Equity Price Data'!BA63</f>
        <v>0</v>
      </c>
      <c r="AV62" s="30">
        <f>'Equity Volume Data'!AY62*'Equity Price Data'!BB63</f>
        <v>55634.1</v>
      </c>
      <c r="AW62" s="30">
        <f>'Equity Volume Data'!AZ62*'Equity Price Data'!BC63</f>
        <v>3705.2</v>
      </c>
      <c r="AX62" s="30">
        <f>'Equity Volume Data'!BA62*'Equity Price Data'!BD63</f>
        <v>0</v>
      </c>
      <c r="AY62" s="30">
        <f>'Equity Volume Data'!BB62*'Equity Price Data'!BE63</f>
        <v>0</v>
      </c>
      <c r="AZ62" s="30">
        <f>'Equity Volume Data'!BC62*'Equity Price Data'!BF63</f>
        <v>9642</v>
      </c>
      <c r="BA62" s="30">
        <f>'Equity Volume Data'!BD62*'Equity Price Data'!BG63</f>
        <v>5464.4</v>
      </c>
      <c r="BB62" s="30">
        <f>'Equity Volume Data'!BE62*'Equity Price Data'!BH63</f>
        <v>9208</v>
      </c>
      <c r="BC62" s="30">
        <f>'Equity Volume Data'!BF62*'Equity Price Data'!BI63</f>
        <v>0</v>
      </c>
      <c r="BD62" s="30">
        <f>'Equity Volume Data'!BG62*'Equity Price Data'!BJ63</f>
        <v>41238.93</v>
      </c>
      <c r="BE62" s="30">
        <f>'Equity Volume Data'!BH62*'Equity Price Data'!BK63</f>
        <v>13800.92</v>
      </c>
      <c r="BF62" s="30">
        <f>'Equity Volume Data'!BI62*'Equity Price Data'!BL63</f>
        <v>6774.8</v>
      </c>
      <c r="BG62" s="30">
        <f>'Equity Volume Data'!BJ62*'Equity Price Data'!BM63</f>
        <v>44994.3</v>
      </c>
      <c r="BH62" s="30">
        <f>'Equity Volume Data'!BK62*'Equity Price Data'!BN63</f>
        <v>1233.6</v>
      </c>
      <c r="BI62" s="30">
        <f>'Equity Volume Data'!BL62*'Equity Price Data'!BO63</f>
        <v>38486.4</v>
      </c>
      <c r="BJ62" s="30">
        <f>'Equity Volume Data'!BM62*'Equity Price Data'!BP63</f>
        <v>42468</v>
      </c>
      <c r="BK62" s="30">
        <f>'Equity Volume Data'!BN62*'Equity Price Data'!BQ63</f>
        <v>87487.1</v>
      </c>
      <c r="BL62" s="30">
        <f>'Equity Volume Data'!BO62*'Equity Price Data'!BR63</f>
        <v>568.7</v>
      </c>
      <c r="BM62" s="30">
        <f>'Equity Volume Data'!BP62*'Equity Price Data'!BS63</f>
        <v>0</v>
      </c>
      <c r="BN62" s="30">
        <f>'Equity Volume Data'!BQ62*'Equity Price Data'!BT63</f>
        <v>16160.48</v>
      </c>
      <c r="BO62" s="30">
        <f>'Equity Volume Data'!BR62*'Equity Price Data'!BU63</f>
        <v>34640</v>
      </c>
    </row>
    <row r="63">
      <c r="A63" s="25">
        <f>'Equity Price Data'!A64</f>
        <v>45513.66667</v>
      </c>
      <c r="B63" s="29">
        <f t="shared" si="1"/>
        <v>1248622.83</v>
      </c>
      <c r="C63" s="30">
        <f>'Equity Volume Data'!F63*'Equity Price Data'!I64</f>
        <v>6971.9</v>
      </c>
      <c r="D63" s="30">
        <f>'Equity Volume Data'!G63*'Equity Price Data'!J64</f>
        <v>43404.4</v>
      </c>
      <c r="E63" s="30">
        <f>'Equity Volume Data'!H63*'Equity Price Data'!K64</f>
        <v>15650.8</v>
      </c>
      <c r="F63" s="30">
        <f>'Equity Volume Data'!I63*'Equity Price Data'!L64</f>
        <v>55357.44</v>
      </c>
      <c r="G63" s="30">
        <f>'Equity Volume Data'!J63*'Equity Price Data'!M64</f>
        <v>15867.94</v>
      </c>
      <c r="H63" s="30">
        <f>'Equity Volume Data'!K63*'Equity Price Data'!N64</f>
        <v>11990.64</v>
      </c>
      <c r="I63" s="30">
        <f>'Equity Volume Data'!L63*'Equity Price Data'!O64</f>
        <v>11260</v>
      </c>
      <c r="J63" s="30">
        <f>'Equity Volume Data'!M63*'Equity Price Data'!P64</f>
        <v>44030.34</v>
      </c>
      <c r="K63" s="30">
        <f>'Equity Volume Data'!N63*'Equity Price Data'!Q64</f>
        <v>10752</v>
      </c>
      <c r="L63" s="30">
        <f>'Equity Volume Data'!O63*'Equity Price Data'!R64</f>
        <v>24442</v>
      </c>
      <c r="M63" s="30">
        <f>'Equity Volume Data'!P63*'Equity Price Data'!S64</f>
        <v>0</v>
      </c>
      <c r="N63" s="30">
        <f>'Equity Volume Data'!Q63*'Equity Price Data'!T64</f>
        <v>5150.4</v>
      </c>
      <c r="O63" s="30">
        <f>'Equity Volume Data'!R63*'Equity Price Data'!U64</f>
        <v>50739</v>
      </c>
      <c r="P63" s="30">
        <f>'Equity Volume Data'!S63*'Equity Price Data'!V64</f>
        <v>0</v>
      </c>
      <c r="Q63" s="30">
        <f>'Equity Volume Data'!T63*'Equity Price Data'!W64</f>
        <v>22126.8</v>
      </c>
      <c r="R63" s="30">
        <f>'Equity Volume Data'!U63*'Equity Price Data'!X64</f>
        <v>11599.2</v>
      </c>
      <c r="S63" s="30">
        <f>'Equity Volume Data'!V63*'Equity Price Data'!Y64</f>
        <v>29580.32</v>
      </c>
      <c r="T63" s="30">
        <f>'Equity Volume Data'!W63*'Equity Price Data'!Z64</f>
        <v>9897.5</v>
      </c>
      <c r="U63" s="30">
        <f>'Equity Volume Data'!X63*'Equity Price Data'!AA64</f>
        <v>18131.52</v>
      </c>
      <c r="V63" s="30">
        <f>'Equity Volume Data'!Y63*'Equity Price Data'!AB64</f>
        <v>16264.22</v>
      </c>
      <c r="W63" s="30">
        <f>'Equity Volume Data'!Z63*'Equity Price Data'!AC64</f>
        <v>10358.28</v>
      </c>
      <c r="X63" s="30">
        <f>'Equity Volume Data'!AA63*'Equity Price Data'!AD64</f>
        <v>23762.5</v>
      </c>
      <c r="Y63" s="30">
        <f>'Equity Volume Data'!AB63*'Equity Price Data'!AE64</f>
        <v>5699.2</v>
      </c>
      <c r="Z63" s="30">
        <f>'Equity Volume Data'!AC63*'Equity Price Data'!AF64</f>
        <v>8478</v>
      </c>
      <c r="AA63" s="30">
        <f>'Equity Volume Data'!AD63*'Equity Price Data'!AG64</f>
        <v>20204.5</v>
      </c>
      <c r="AB63" s="30">
        <f>'Equity Volume Data'!AE63*'Equity Price Data'!AH64</f>
        <v>8322.3</v>
      </c>
      <c r="AC63" s="30">
        <f>'Equity Volume Data'!AF63*'Equity Price Data'!AI64</f>
        <v>16804.4</v>
      </c>
      <c r="AD63" s="30">
        <f>'Equity Volume Data'!AG63*'Equity Price Data'!AJ64</f>
        <v>13184.55</v>
      </c>
      <c r="AE63" s="30">
        <f>'Equity Volume Data'!AH63*'Equity Price Data'!AK64</f>
        <v>8696</v>
      </c>
      <c r="AF63" s="30">
        <f>'Equity Volume Data'!AI63*'Equity Price Data'!AL64</f>
        <v>15100.3</v>
      </c>
      <c r="AG63" s="30">
        <f>'Equity Volume Data'!AJ63*'Equity Price Data'!AM64</f>
        <v>29415.6</v>
      </c>
      <c r="AH63" s="30">
        <f>'Equity Volume Data'!AK63*'Equity Price Data'!AN64</f>
        <v>34864</v>
      </c>
      <c r="AI63" s="30">
        <f>'Equity Volume Data'!AL63*'Equity Price Data'!AO64</f>
        <v>18123</v>
      </c>
      <c r="AJ63" s="30">
        <f>'Equity Volume Data'!AM63*'Equity Price Data'!AP64</f>
        <v>20030.4</v>
      </c>
      <c r="AK63" s="30">
        <f>'Equity Volume Data'!AN63*'Equity Price Data'!AQ64</f>
        <v>0</v>
      </c>
      <c r="AL63" s="30">
        <f>'Equity Volume Data'!AO63*'Equity Price Data'!AR64</f>
        <v>32928</v>
      </c>
      <c r="AM63" s="30">
        <f>'Equity Volume Data'!AP63*'Equity Price Data'!AS64</f>
        <v>38610.6</v>
      </c>
      <c r="AN63" s="30">
        <f>'Equity Volume Data'!AQ63*'Equity Price Data'!AT64</f>
        <v>8355.2</v>
      </c>
      <c r="AO63" s="30">
        <f>'Equity Volume Data'!AR63*'Equity Price Data'!AU64</f>
        <v>21418.32</v>
      </c>
      <c r="AP63" s="30">
        <f>'Equity Volume Data'!AS63*'Equity Price Data'!AV64</f>
        <v>20510</v>
      </c>
      <c r="AQ63" s="30">
        <f>'Equity Volume Data'!AT63*'Equity Price Data'!AW64</f>
        <v>15428.6</v>
      </c>
      <c r="AR63" s="30">
        <f>'Equity Volume Data'!AU63*'Equity Price Data'!AX64</f>
        <v>0</v>
      </c>
      <c r="AS63" s="30">
        <f>'Equity Volume Data'!AV63*'Equity Price Data'!AY64</f>
        <v>48722.4</v>
      </c>
      <c r="AT63" s="30">
        <f>'Equity Volume Data'!AW63*'Equity Price Data'!AZ64</f>
        <v>15492</v>
      </c>
      <c r="AU63" s="30">
        <f>'Equity Volume Data'!AX63*'Equity Price Data'!BA64</f>
        <v>0</v>
      </c>
      <c r="AV63" s="30">
        <f>'Equity Volume Data'!AY63*'Equity Price Data'!BB64</f>
        <v>55517.5</v>
      </c>
      <c r="AW63" s="30">
        <f>'Equity Volume Data'!AZ63*'Equity Price Data'!BC64</f>
        <v>3736</v>
      </c>
      <c r="AX63" s="30">
        <f>'Equity Volume Data'!BA63*'Equity Price Data'!BD64</f>
        <v>0</v>
      </c>
      <c r="AY63" s="30">
        <f>'Equity Volume Data'!BB63*'Equity Price Data'!BE64</f>
        <v>0</v>
      </c>
      <c r="AZ63" s="30">
        <f>'Equity Volume Data'!BC63*'Equity Price Data'!BF64</f>
        <v>9708</v>
      </c>
      <c r="BA63" s="30">
        <f>'Equity Volume Data'!BD63*'Equity Price Data'!BG64</f>
        <v>5424.5</v>
      </c>
      <c r="BB63" s="30">
        <f>'Equity Volume Data'!BE63*'Equity Price Data'!BH64</f>
        <v>9292</v>
      </c>
      <c r="BC63" s="30">
        <f>'Equity Volume Data'!BF63*'Equity Price Data'!BI64</f>
        <v>0</v>
      </c>
      <c r="BD63" s="30">
        <f>'Equity Volume Data'!BG63*'Equity Price Data'!BJ64</f>
        <v>41364.6</v>
      </c>
      <c r="BE63" s="30">
        <f>'Equity Volume Data'!BH63*'Equity Price Data'!BK64</f>
        <v>13712.14</v>
      </c>
      <c r="BF63" s="30">
        <f>'Equity Volume Data'!BI63*'Equity Price Data'!BL64</f>
        <v>6743.6</v>
      </c>
      <c r="BG63" s="30">
        <f>'Equity Volume Data'!BJ63*'Equity Price Data'!BM64</f>
        <v>45283.42</v>
      </c>
      <c r="BH63" s="30">
        <f>'Equity Volume Data'!BK63*'Equity Price Data'!BN64</f>
        <v>1264</v>
      </c>
      <c r="BI63" s="30">
        <f>'Equity Volume Data'!BL63*'Equity Price Data'!BO64</f>
        <v>38003.2</v>
      </c>
      <c r="BJ63" s="30">
        <f>'Equity Volume Data'!BM63*'Equity Price Data'!BP64</f>
        <v>41907</v>
      </c>
      <c r="BK63" s="30">
        <f>'Equity Volume Data'!BN63*'Equity Price Data'!BQ64</f>
        <v>87541.16</v>
      </c>
      <c r="BL63" s="30">
        <f>'Equity Volume Data'!BO63*'Equity Price Data'!BR64</f>
        <v>553.66</v>
      </c>
      <c r="BM63" s="30">
        <f>'Equity Volume Data'!BP63*'Equity Price Data'!BS64</f>
        <v>0</v>
      </c>
      <c r="BN63" s="30">
        <f>'Equity Volume Data'!BQ63*'Equity Price Data'!BT64</f>
        <v>16207.48</v>
      </c>
      <c r="BO63" s="30">
        <f>'Equity Volume Data'!BR63*'Equity Price Data'!BU64</f>
        <v>34640</v>
      </c>
    </row>
    <row r="64">
      <c r="A64" s="25">
        <f>'Equity Price Data'!A65</f>
        <v>45516.66667</v>
      </c>
      <c r="B64" s="29">
        <f t="shared" si="1"/>
        <v>1248956.09</v>
      </c>
      <c r="C64" s="30">
        <f>'Equity Volume Data'!F64*'Equity Price Data'!I65</f>
        <v>6902.09</v>
      </c>
      <c r="D64" s="30">
        <f>'Equity Volume Data'!G64*'Equity Price Data'!J65</f>
        <v>43368</v>
      </c>
      <c r="E64" s="30">
        <f>'Equity Volume Data'!H64*'Equity Price Data'!K65</f>
        <v>15681.6</v>
      </c>
      <c r="F64" s="30">
        <f>'Equity Volume Data'!I64*'Equity Price Data'!L65</f>
        <v>55687.68</v>
      </c>
      <c r="G64" s="30">
        <f>'Equity Volume Data'!J64*'Equity Price Data'!M65</f>
        <v>16026.47</v>
      </c>
      <c r="H64" s="30">
        <f>'Equity Volume Data'!K64*'Equity Price Data'!N65</f>
        <v>11894.76</v>
      </c>
      <c r="I64" s="30">
        <f>'Equity Volume Data'!L64*'Equity Price Data'!O65</f>
        <v>11230</v>
      </c>
      <c r="J64" s="30">
        <f>'Equity Volume Data'!M64*'Equity Price Data'!P65</f>
        <v>43899.78</v>
      </c>
      <c r="K64" s="30">
        <f>'Equity Volume Data'!N64*'Equity Price Data'!Q65</f>
        <v>10712</v>
      </c>
      <c r="L64" s="30">
        <f>'Equity Volume Data'!O64*'Equity Price Data'!R65</f>
        <v>24325.84</v>
      </c>
      <c r="M64" s="30">
        <f>'Equity Volume Data'!P64*'Equity Price Data'!S65</f>
        <v>0</v>
      </c>
      <c r="N64" s="30">
        <f>'Equity Volume Data'!Q64*'Equity Price Data'!T65</f>
        <v>5143.2</v>
      </c>
      <c r="O64" s="30">
        <f>'Equity Volume Data'!R64*'Equity Price Data'!U65</f>
        <v>50404.5</v>
      </c>
      <c r="P64" s="30">
        <f>'Equity Volume Data'!S64*'Equity Price Data'!V65</f>
        <v>0</v>
      </c>
      <c r="Q64" s="30">
        <f>'Equity Volume Data'!T64*'Equity Price Data'!W65</f>
        <v>21730.8</v>
      </c>
      <c r="R64" s="30">
        <f>'Equity Volume Data'!U64*'Equity Price Data'!X65</f>
        <v>11601.6</v>
      </c>
      <c r="S64" s="30">
        <f>'Equity Volume Data'!V64*'Equity Price Data'!Y65</f>
        <v>28872.8</v>
      </c>
      <c r="T64" s="30">
        <f>'Equity Volume Data'!W64*'Equity Price Data'!Z65</f>
        <v>9875</v>
      </c>
      <c r="U64" s="30">
        <f>'Equity Volume Data'!X64*'Equity Price Data'!AA65</f>
        <v>17996.88</v>
      </c>
      <c r="V64" s="30">
        <f>'Equity Volume Data'!Y64*'Equity Price Data'!AB65</f>
        <v>16412.34</v>
      </c>
      <c r="W64" s="30">
        <f>'Equity Volume Data'!Z64*'Equity Price Data'!AC65</f>
        <v>10263.75</v>
      </c>
      <c r="X64" s="30">
        <f>'Equity Volume Data'!AA64*'Equity Price Data'!AD65</f>
        <v>23475</v>
      </c>
      <c r="Y64" s="30">
        <f>'Equity Volume Data'!AB64*'Equity Price Data'!AE65</f>
        <v>5783.7</v>
      </c>
      <c r="Z64" s="30">
        <f>'Equity Volume Data'!AC64*'Equity Price Data'!AF65</f>
        <v>8371.5</v>
      </c>
      <c r="AA64" s="30">
        <f>'Equity Volume Data'!AD64*'Equity Price Data'!AG65</f>
        <v>20230</v>
      </c>
      <c r="AB64" s="30">
        <f>'Equity Volume Data'!AE64*'Equity Price Data'!AH65</f>
        <v>8374.5</v>
      </c>
      <c r="AC64" s="30">
        <f>'Equity Volume Data'!AF64*'Equity Price Data'!AI65</f>
        <v>16893.2</v>
      </c>
      <c r="AD64" s="30">
        <f>'Equity Volume Data'!AG64*'Equity Price Data'!AJ65</f>
        <v>13104</v>
      </c>
      <c r="AE64" s="30">
        <f>'Equity Volume Data'!AH64*'Equity Price Data'!AK65</f>
        <v>8598</v>
      </c>
      <c r="AF64" s="30">
        <f>'Equity Volume Data'!AI64*'Equity Price Data'!AL65</f>
        <v>14962.95</v>
      </c>
      <c r="AG64" s="30">
        <f>'Equity Volume Data'!AJ64*'Equity Price Data'!AM65</f>
        <v>29130</v>
      </c>
      <c r="AH64" s="30">
        <f>'Equity Volume Data'!AK64*'Equity Price Data'!AN65</f>
        <v>34581</v>
      </c>
      <c r="AI64" s="30">
        <f>'Equity Volume Data'!AL64*'Equity Price Data'!AO65</f>
        <v>18114.25</v>
      </c>
      <c r="AJ64" s="30">
        <f>'Equity Volume Data'!AM64*'Equity Price Data'!AP65</f>
        <v>20005.7</v>
      </c>
      <c r="AK64" s="30">
        <f>'Equity Volume Data'!AN64*'Equity Price Data'!AQ65</f>
        <v>0</v>
      </c>
      <c r="AL64" s="30">
        <f>'Equity Volume Data'!AO64*'Equity Price Data'!AR65</f>
        <v>32990.4</v>
      </c>
      <c r="AM64" s="30">
        <f>'Equity Volume Data'!AP64*'Equity Price Data'!AS65</f>
        <v>38983.7</v>
      </c>
      <c r="AN64" s="30">
        <f>'Equity Volume Data'!AQ64*'Equity Price Data'!AT65</f>
        <v>8389.5</v>
      </c>
      <c r="AO64" s="30">
        <f>'Equity Volume Data'!AR64*'Equity Price Data'!AU65</f>
        <v>21315.84</v>
      </c>
      <c r="AP64" s="30">
        <f>'Equity Volume Data'!AS64*'Equity Price Data'!AV65</f>
        <v>20297.5</v>
      </c>
      <c r="AQ64" s="30">
        <f>'Equity Volume Data'!AT64*'Equity Price Data'!AW65</f>
        <v>15367</v>
      </c>
      <c r="AR64" s="30">
        <f>'Equity Volume Data'!AU64*'Equity Price Data'!AX65</f>
        <v>0</v>
      </c>
      <c r="AS64" s="30">
        <f>'Equity Volume Data'!AV64*'Equity Price Data'!AY65</f>
        <v>48817.2</v>
      </c>
      <c r="AT64" s="30">
        <f>'Equity Volume Data'!AW64*'Equity Price Data'!AZ65</f>
        <v>15516</v>
      </c>
      <c r="AU64" s="30">
        <f>'Equity Volume Data'!AX64*'Equity Price Data'!BA65</f>
        <v>0</v>
      </c>
      <c r="AV64" s="30">
        <f>'Equity Volume Data'!AY64*'Equity Price Data'!BB65</f>
        <v>57780.6</v>
      </c>
      <c r="AW64" s="30">
        <f>'Equity Volume Data'!AZ64*'Equity Price Data'!BC65</f>
        <v>3691.6</v>
      </c>
      <c r="AX64" s="30">
        <f>'Equity Volume Data'!BA64*'Equity Price Data'!BD65</f>
        <v>0</v>
      </c>
      <c r="AY64" s="30">
        <f>'Equity Volume Data'!BB64*'Equity Price Data'!BE65</f>
        <v>0</v>
      </c>
      <c r="AZ64" s="30">
        <f>'Equity Volume Data'!BC64*'Equity Price Data'!BF65</f>
        <v>9519</v>
      </c>
      <c r="BA64" s="30">
        <f>'Equity Volume Data'!BD64*'Equity Price Data'!BG65</f>
        <v>5405.5</v>
      </c>
      <c r="BB64" s="30">
        <f>'Equity Volume Data'!BE64*'Equity Price Data'!BH65</f>
        <v>9328</v>
      </c>
      <c r="BC64" s="30">
        <f>'Equity Volume Data'!BF64*'Equity Price Data'!BI65</f>
        <v>0</v>
      </c>
      <c r="BD64" s="30">
        <f>'Equity Volume Data'!BG64*'Equity Price Data'!BJ65</f>
        <v>41524.35</v>
      </c>
      <c r="BE64" s="30">
        <f>'Equity Volume Data'!BH64*'Equity Price Data'!BK65</f>
        <v>13778.61</v>
      </c>
      <c r="BF64" s="30">
        <f>'Equity Volume Data'!BI64*'Equity Price Data'!BL65</f>
        <v>6718.8</v>
      </c>
      <c r="BG64" s="30">
        <f>'Equity Volume Data'!BJ64*'Equity Price Data'!BM65</f>
        <v>45322.34</v>
      </c>
      <c r="BH64" s="30">
        <f>'Equity Volume Data'!BK64*'Equity Price Data'!BN65</f>
        <v>1252.8</v>
      </c>
      <c r="BI64" s="30">
        <f>'Equity Volume Data'!BL64*'Equity Price Data'!BO65</f>
        <v>37880</v>
      </c>
      <c r="BJ64" s="30">
        <f>'Equity Volume Data'!BM64*'Equity Price Data'!BP65</f>
        <v>42396.75</v>
      </c>
      <c r="BK64" s="30">
        <f>'Equity Volume Data'!BN64*'Equity Price Data'!BQ65</f>
        <v>87685.32</v>
      </c>
      <c r="BL64" s="30">
        <f>'Equity Volume Data'!BO64*'Equity Price Data'!BR65</f>
        <v>543.79</v>
      </c>
      <c r="BM64" s="30">
        <f>'Equity Volume Data'!BP64*'Equity Price Data'!BS65</f>
        <v>0</v>
      </c>
      <c r="BN64" s="30">
        <f>'Equity Volume Data'!BQ64*'Equity Price Data'!BT65</f>
        <v>16158.6</v>
      </c>
      <c r="BO64" s="30">
        <f>'Equity Volume Data'!BR64*'Equity Price Data'!BU65</f>
        <v>34640</v>
      </c>
    </row>
    <row r="65">
      <c r="A65" s="25">
        <f>'Equity Price Data'!A66</f>
        <v>45517.66667</v>
      </c>
      <c r="B65" s="29">
        <f t="shared" si="1"/>
        <v>1261973.37</v>
      </c>
      <c r="C65" s="30">
        <f>'Equity Volume Data'!F65*'Equity Price Data'!I66</f>
        <v>6957.86</v>
      </c>
      <c r="D65" s="30">
        <f>'Equity Volume Data'!G65*'Equity Price Data'!J66</f>
        <v>44259.8</v>
      </c>
      <c r="E65" s="30">
        <f>'Equity Volume Data'!H65*'Equity Price Data'!K66</f>
        <v>15552.9</v>
      </c>
      <c r="F65" s="30">
        <f>'Equity Volume Data'!I65*'Equity Price Data'!L66</f>
        <v>56645.12</v>
      </c>
      <c r="G65" s="30">
        <f>'Equity Volume Data'!J65*'Equity Price Data'!M66</f>
        <v>16666.4</v>
      </c>
      <c r="H65" s="30">
        <f>'Equity Volume Data'!K65*'Equity Price Data'!N66</f>
        <v>11947.4</v>
      </c>
      <c r="I65" s="30">
        <f>'Equity Volume Data'!L65*'Equity Price Data'!O66</f>
        <v>11400</v>
      </c>
      <c r="J65" s="30">
        <f>'Equity Volume Data'!M65*'Equity Price Data'!P66</f>
        <v>44105.82</v>
      </c>
      <c r="K65" s="30">
        <f>'Equity Volume Data'!N65*'Equity Price Data'!Q66</f>
        <v>10732</v>
      </c>
      <c r="L65" s="30">
        <f>'Equity Volume Data'!O65*'Equity Price Data'!R66</f>
        <v>24690.05</v>
      </c>
      <c r="M65" s="30">
        <f>'Equity Volume Data'!P65*'Equity Price Data'!S66</f>
        <v>0</v>
      </c>
      <c r="N65" s="30">
        <f>'Equity Volume Data'!Q65*'Equity Price Data'!T66</f>
        <v>5237.6</v>
      </c>
      <c r="O65" s="30">
        <f>'Equity Volume Data'!R65*'Equity Price Data'!U66</f>
        <v>50820</v>
      </c>
      <c r="P65" s="30">
        <f>'Equity Volume Data'!S65*'Equity Price Data'!V66</f>
        <v>0</v>
      </c>
      <c r="Q65" s="30">
        <f>'Equity Volume Data'!T65*'Equity Price Data'!W66</f>
        <v>21871.2</v>
      </c>
      <c r="R65" s="30">
        <f>'Equity Volume Data'!U65*'Equity Price Data'!X66</f>
        <v>11532</v>
      </c>
      <c r="S65" s="30">
        <f>'Equity Volume Data'!V65*'Equity Price Data'!Y66</f>
        <v>29279.36</v>
      </c>
      <c r="T65" s="30">
        <f>'Equity Volume Data'!W65*'Equity Price Data'!Z66</f>
        <v>9922.5</v>
      </c>
      <c r="U65" s="30">
        <f>'Equity Volume Data'!X65*'Equity Price Data'!AA66</f>
        <v>18073.44</v>
      </c>
      <c r="V65" s="30">
        <f>'Equity Volume Data'!Y65*'Equity Price Data'!AB66</f>
        <v>16357.6</v>
      </c>
      <c r="W65" s="30">
        <f>'Equity Volume Data'!Z65*'Equity Price Data'!AC66</f>
        <v>10320.33</v>
      </c>
      <c r="X65" s="30">
        <f>'Equity Volume Data'!AA65*'Equity Price Data'!AD66</f>
        <v>23112.5</v>
      </c>
      <c r="Y65" s="30">
        <f>'Equity Volume Data'!AB65*'Equity Price Data'!AE66</f>
        <v>5736.9</v>
      </c>
      <c r="Z65" s="30">
        <f>'Equity Volume Data'!AC65*'Equity Price Data'!AF66</f>
        <v>8355</v>
      </c>
      <c r="AA65" s="30">
        <f>'Equity Volume Data'!AD65*'Equity Price Data'!AG66</f>
        <v>20036.2</v>
      </c>
      <c r="AB65" s="30">
        <f>'Equity Volume Data'!AE65*'Equity Price Data'!AH66</f>
        <v>8493</v>
      </c>
      <c r="AC65" s="30">
        <f>'Equity Volume Data'!AF65*'Equity Price Data'!AI66</f>
        <v>17272.4</v>
      </c>
      <c r="AD65" s="30">
        <f>'Equity Volume Data'!AG65*'Equity Price Data'!AJ66</f>
        <v>13149</v>
      </c>
      <c r="AE65" s="30">
        <f>'Equity Volume Data'!AH65*'Equity Price Data'!AK66</f>
        <v>8664</v>
      </c>
      <c r="AF65" s="30">
        <f>'Equity Volume Data'!AI65*'Equity Price Data'!AL66</f>
        <v>15165.9</v>
      </c>
      <c r="AG65" s="30">
        <f>'Equity Volume Data'!AJ65*'Equity Price Data'!AM66</f>
        <v>29516.4</v>
      </c>
      <c r="AH65" s="30">
        <f>'Equity Volume Data'!AK65*'Equity Price Data'!AN66</f>
        <v>35007</v>
      </c>
      <c r="AI65" s="30">
        <f>'Equity Volume Data'!AL65*'Equity Price Data'!AO66</f>
        <v>18327.75</v>
      </c>
      <c r="AJ65" s="30">
        <f>'Equity Volume Data'!AM65*'Equity Price Data'!AP66</f>
        <v>20105.8</v>
      </c>
      <c r="AK65" s="30">
        <f>'Equity Volume Data'!AN65*'Equity Price Data'!AQ66</f>
        <v>0</v>
      </c>
      <c r="AL65" s="30">
        <f>'Equity Volume Data'!AO65*'Equity Price Data'!AR66</f>
        <v>33270.4</v>
      </c>
      <c r="AM65" s="30">
        <f>'Equity Volume Data'!AP65*'Equity Price Data'!AS66</f>
        <v>39159.4</v>
      </c>
      <c r="AN65" s="30">
        <f>'Equity Volume Data'!AQ65*'Equity Price Data'!AT66</f>
        <v>8468.25</v>
      </c>
      <c r="AO65" s="30">
        <f>'Equity Volume Data'!AR65*'Equity Price Data'!AU66</f>
        <v>21742.84</v>
      </c>
      <c r="AP65" s="30">
        <f>'Equity Volume Data'!AS65*'Equity Price Data'!AV66</f>
        <v>20567.5</v>
      </c>
      <c r="AQ65" s="30">
        <f>'Equity Volume Data'!AT65*'Equity Price Data'!AW66</f>
        <v>15490.2</v>
      </c>
      <c r="AR65" s="30">
        <f>'Equity Volume Data'!AU65*'Equity Price Data'!AX66</f>
        <v>0</v>
      </c>
      <c r="AS65" s="30">
        <f>'Equity Volume Data'!AV65*'Equity Price Data'!AY66</f>
        <v>49681.2</v>
      </c>
      <c r="AT65" s="30">
        <f>'Equity Volume Data'!AW65*'Equity Price Data'!AZ66</f>
        <v>15624</v>
      </c>
      <c r="AU65" s="30">
        <f>'Equity Volume Data'!AX65*'Equity Price Data'!BA66</f>
        <v>0</v>
      </c>
      <c r="AV65" s="30">
        <f>'Equity Volume Data'!AY65*'Equity Price Data'!BB66</f>
        <v>61554.2</v>
      </c>
      <c r="AW65" s="30">
        <f>'Equity Volume Data'!AZ65*'Equity Price Data'!BC66</f>
        <v>3696.8</v>
      </c>
      <c r="AX65" s="30">
        <f>'Equity Volume Data'!BA65*'Equity Price Data'!BD66</f>
        <v>0</v>
      </c>
      <c r="AY65" s="30">
        <f>'Equity Volume Data'!BB65*'Equity Price Data'!BE66</f>
        <v>0</v>
      </c>
      <c r="AZ65" s="30">
        <f>'Equity Volume Data'!BC65*'Equity Price Data'!BF66</f>
        <v>9766.5</v>
      </c>
      <c r="BA65" s="30">
        <f>'Equity Volume Data'!BD65*'Equity Price Data'!BG66</f>
        <v>5481.5</v>
      </c>
      <c r="BB65" s="30">
        <f>'Equity Volume Data'!BE65*'Equity Price Data'!BH66</f>
        <v>9348.8</v>
      </c>
      <c r="BC65" s="30">
        <f>'Equity Volume Data'!BF65*'Equity Price Data'!BI66</f>
        <v>0</v>
      </c>
      <c r="BD65" s="30">
        <f>'Equity Volume Data'!BG65*'Equity Price Data'!BJ66</f>
        <v>41605.29</v>
      </c>
      <c r="BE65" s="30">
        <f>'Equity Volume Data'!BH65*'Equity Price Data'!BK66</f>
        <v>13896.83</v>
      </c>
      <c r="BF65" s="30">
        <f>'Equity Volume Data'!BI65*'Equity Price Data'!BL66</f>
        <v>6895.6</v>
      </c>
      <c r="BG65" s="30">
        <f>'Equity Volume Data'!BJ65*'Equity Price Data'!BM66</f>
        <v>45033.22</v>
      </c>
      <c r="BH65" s="30">
        <f>'Equity Volume Data'!BK65*'Equity Price Data'!BN66</f>
        <v>1294.4</v>
      </c>
      <c r="BI65" s="30">
        <f>'Equity Volume Data'!BL65*'Equity Price Data'!BO66</f>
        <v>37963.2</v>
      </c>
      <c r="BJ65" s="30">
        <f>'Equity Volume Data'!BM65*'Equity Price Data'!BP66</f>
        <v>43068</v>
      </c>
      <c r="BK65" s="30">
        <f>'Equity Volume Data'!BN65*'Equity Price Data'!BQ66</f>
        <v>87775.42</v>
      </c>
      <c r="BL65" s="30">
        <f>'Equity Volume Data'!BO65*'Equity Price Data'!BR66</f>
        <v>543.79</v>
      </c>
      <c r="BM65" s="30">
        <f>'Equity Volume Data'!BP65*'Equity Price Data'!BS66</f>
        <v>0</v>
      </c>
      <c r="BN65" s="30">
        <f>'Equity Volume Data'!BQ65*'Equity Price Data'!BT66</f>
        <v>16092.8</v>
      </c>
      <c r="BO65" s="30">
        <f>'Equity Volume Data'!BR65*'Equity Price Data'!BU66</f>
        <v>34640</v>
      </c>
    </row>
    <row r="66">
      <c r="A66" s="25">
        <f>'Equity Price Data'!A67</f>
        <v>45518.66667</v>
      </c>
      <c r="B66" s="29">
        <f t="shared" si="1"/>
        <v>1269158.88</v>
      </c>
      <c r="C66" s="30">
        <f>'Equity Volume Data'!F66*'Equity Price Data'!I67</f>
        <v>7017.27</v>
      </c>
      <c r="D66" s="30">
        <f>'Equity Volume Data'!G66*'Equity Price Data'!J67</f>
        <v>44226</v>
      </c>
      <c r="E66" s="30">
        <f>'Equity Volume Data'!H66*'Equity Price Data'!K67</f>
        <v>15583.7</v>
      </c>
      <c r="F66" s="30">
        <f>'Equity Volume Data'!I66*'Equity Price Data'!L67</f>
        <v>56760.32</v>
      </c>
      <c r="G66" s="30">
        <f>'Equity Volume Data'!J66*'Equity Price Data'!M67</f>
        <v>16735.29</v>
      </c>
      <c r="H66" s="30">
        <f>'Equity Volume Data'!K66*'Equity Price Data'!N67</f>
        <v>12052.68</v>
      </c>
      <c r="I66" s="30">
        <f>'Equity Volume Data'!L66*'Equity Price Data'!O67</f>
        <v>11460</v>
      </c>
      <c r="J66" s="30">
        <f>'Equity Volume Data'!M66*'Equity Price Data'!P67</f>
        <v>44723.94</v>
      </c>
      <c r="K66" s="30">
        <f>'Equity Volume Data'!N66*'Equity Price Data'!Q67</f>
        <v>10450</v>
      </c>
      <c r="L66" s="30">
        <f>'Equity Volume Data'!O66*'Equity Price Data'!R67</f>
        <v>24271.39</v>
      </c>
      <c r="M66" s="30">
        <f>'Equity Volume Data'!P66*'Equity Price Data'!S67</f>
        <v>0</v>
      </c>
      <c r="N66" s="30">
        <f>'Equity Volume Data'!Q66*'Equity Price Data'!T67</f>
        <v>5254.4</v>
      </c>
      <c r="O66" s="30">
        <f>'Equity Volume Data'!R66*'Equity Price Data'!U67</f>
        <v>50638.5</v>
      </c>
      <c r="P66" s="30">
        <f>'Equity Volume Data'!S66*'Equity Price Data'!V67</f>
        <v>0</v>
      </c>
      <c r="Q66" s="30">
        <f>'Equity Volume Data'!T66*'Equity Price Data'!W67</f>
        <v>22071.6</v>
      </c>
      <c r="R66" s="30">
        <f>'Equity Volume Data'!U66*'Equity Price Data'!X67</f>
        <v>11573.6</v>
      </c>
      <c r="S66" s="30">
        <f>'Equity Volume Data'!V66*'Equity Price Data'!Y67</f>
        <v>29471.2</v>
      </c>
      <c r="T66" s="30">
        <f>'Equity Volume Data'!W66*'Equity Price Data'!Z67</f>
        <v>10027.5</v>
      </c>
      <c r="U66" s="30">
        <f>'Equity Volume Data'!X66*'Equity Price Data'!AA67</f>
        <v>18105.12</v>
      </c>
      <c r="V66" s="30">
        <f>'Equity Volume Data'!Y66*'Equity Price Data'!AB67</f>
        <v>16238.46</v>
      </c>
      <c r="W66" s="30">
        <f>'Equity Volume Data'!Z66*'Equity Price Data'!AC67</f>
        <v>10431.42</v>
      </c>
      <c r="X66" s="30">
        <f>'Equity Volume Data'!AA66*'Equity Price Data'!AD67</f>
        <v>23092.5</v>
      </c>
      <c r="Y66" s="30">
        <f>'Equity Volume Data'!AB66*'Equity Price Data'!AE67</f>
        <v>5749.12</v>
      </c>
      <c r="Z66" s="30">
        <f>'Equity Volume Data'!AC66*'Equity Price Data'!AF67</f>
        <v>8364</v>
      </c>
      <c r="AA66" s="30">
        <f>'Equity Volume Data'!AD66*'Equity Price Data'!AG67</f>
        <v>20221.5</v>
      </c>
      <c r="AB66" s="30">
        <f>'Equity Volume Data'!AE66*'Equity Price Data'!AH67</f>
        <v>8499.9</v>
      </c>
      <c r="AC66" s="30">
        <f>'Equity Volume Data'!AF66*'Equity Price Data'!AI67</f>
        <v>18116</v>
      </c>
      <c r="AD66" s="30">
        <f>'Equity Volume Data'!AG66*'Equity Price Data'!AJ67</f>
        <v>13217.85</v>
      </c>
      <c r="AE66" s="30">
        <f>'Equity Volume Data'!AH66*'Equity Price Data'!AK67</f>
        <v>8722</v>
      </c>
      <c r="AF66" s="30">
        <f>'Equity Volume Data'!AI66*'Equity Price Data'!AL67</f>
        <v>15198.7</v>
      </c>
      <c r="AG66" s="30">
        <f>'Equity Volume Data'!AJ66*'Equity Price Data'!AM67</f>
        <v>29922</v>
      </c>
      <c r="AH66" s="30">
        <f>'Equity Volume Data'!AK66*'Equity Price Data'!AN67</f>
        <v>35566</v>
      </c>
      <c r="AI66" s="30">
        <f>'Equity Volume Data'!AL66*'Equity Price Data'!AO67</f>
        <v>18121.25</v>
      </c>
      <c r="AJ66" s="30">
        <f>'Equity Volume Data'!AM66*'Equity Price Data'!AP67</f>
        <v>20295.6</v>
      </c>
      <c r="AK66" s="30">
        <f>'Equity Volume Data'!AN66*'Equity Price Data'!AQ67</f>
        <v>0</v>
      </c>
      <c r="AL66" s="30">
        <f>'Equity Volume Data'!AO66*'Equity Price Data'!AR67</f>
        <v>33638.4</v>
      </c>
      <c r="AM66" s="30">
        <f>'Equity Volume Data'!AP66*'Equity Price Data'!AS67</f>
        <v>39425.4</v>
      </c>
      <c r="AN66" s="30">
        <f>'Equity Volume Data'!AQ66*'Equity Price Data'!AT67</f>
        <v>8417.15</v>
      </c>
      <c r="AO66" s="30">
        <f>'Equity Volume Data'!AR66*'Equity Price Data'!AU67</f>
        <v>22092.98</v>
      </c>
      <c r="AP66" s="30">
        <f>'Equity Volume Data'!AS66*'Equity Price Data'!AV67</f>
        <v>20435</v>
      </c>
      <c r="AQ66" s="30">
        <f>'Equity Volume Data'!AT66*'Equity Price Data'!AW67</f>
        <v>15659.6</v>
      </c>
      <c r="AR66" s="30">
        <f>'Equity Volume Data'!AU66*'Equity Price Data'!AX67</f>
        <v>0</v>
      </c>
      <c r="AS66" s="30">
        <f>'Equity Volume Data'!AV66*'Equity Price Data'!AY67</f>
        <v>50023.2</v>
      </c>
      <c r="AT66" s="30">
        <f>'Equity Volume Data'!AW66*'Equity Price Data'!AZ67</f>
        <v>15602</v>
      </c>
      <c r="AU66" s="30">
        <f>'Equity Volume Data'!AX66*'Equity Price Data'!BA67</f>
        <v>0</v>
      </c>
      <c r="AV66" s="30">
        <f>'Equity Volume Data'!AY66*'Equity Price Data'!BB67</f>
        <v>62582.4</v>
      </c>
      <c r="AW66" s="30">
        <f>'Equity Volume Data'!AZ66*'Equity Price Data'!BC67</f>
        <v>3684.4</v>
      </c>
      <c r="AX66" s="30">
        <f>'Equity Volume Data'!BA66*'Equity Price Data'!BD67</f>
        <v>0</v>
      </c>
      <c r="AY66" s="30">
        <f>'Equity Volume Data'!BB66*'Equity Price Data'!BE67</f>
        <v>0</v>
      </c>
      <c r="AZ66" s="30">
        <f>'Equity Volume Data'!BC66*'Equity Price Data'!BF67</f>
        <v>9921</v>
      </c>
      <c r="BA66" s="30">
        <f>'Equity Volume Data'!BD66*'Equity Price Data'!BG67</f>
        <v>5487.2</v>
      </c>
      <c r="BB66" s="30">
        <f>'Equity Volume Data'!BE66*'Equity Price Data'!BH67</f>
        <v>9412</v>
      </c>
      <c r="BC66" s="30">
        <f>'Equity Volume Data'!BF66*'Equity Price Data'!BI67</f>
        <v>0</v>
      </c>
      <c r="BD66" s="30">
        <f>'Equity Volume Data'!BG66*'Equity Price Data'!BJ67</f>
        <v>41852.37</v>
      </c>
      <c r="BE66" s="30">
        <f>'Equity Volume Data'!BH66*'Equity Price Data'!BK67</f>
        <v>13848.3</v>
      </c>
      <c r="BF66" s="30">
        <f>'Equity Volume Data'!BI66*'Equity Price Data'!BL67</f>
        <v>7080.4</v>
      </c>
      <c r="BG66" s="30">
        <f>'Equity Volume Data'!BJ66*'Equity Price Data'!BM67</f>
        <v>45336.24</v>
      </c>
      <c r="BH66" s="30">
        <f>'Equity Volume Data'!BK66*'Equity Price Data'!BN67</f>
        <v>1272</v>
      </c>
      <c r="BI66" s="30">
        <f>'Equity Volume Data'!BL66*'Equity Price Data'!BO67</f>
        <v>38595.2</v>
      </c>
      <c r="BJ66" s="30">
        <f>'Equity Volume Data'!BM66*'Equity Price Data'!BP67</f>
        <v>43475.25</v>
      </c>
      <c r="BK66" s="30">
        <f>'Equity Volume Data'!BN66*'Equity Price Data'!BQ67</f>
        <v>87739.38</v>
      </c>
      <c r="BL66" s="30">
        <f>'Equity Volume Data'!BO66*'Equity Price Data'!BR67</f>
        <v>535.8</v>
      </c>
      <c r="BM66" s="30">
        <f>'Equity Volume Data'!BP66*'Equity Price Data'!BS67</f>
        <v>0</v>
      </c>
      <c r="BN66" s="30">
        <f>'Equity Volume Data'!BQ66*'Equity Price Data'!BT67</f>
        <v>16224.4</v>
      </c>
      <c r="BO66" s="30">
        <f>'Equity Volume Data'!BR66*'Equity Price Data'!BU67</f>
        <v>34640</v>
      </c>
    </row>
    <row r="67">
      <c r="A67" s="25">
        <f>'Equity Price Data'!A68</f>
        <v>45519.66667</v>
      </c>
      <c r="B67" s="29">
        <f t="shared" si="1"/>
        <v>1285131.49</v>
      </c>
      <c r="C67" s="30">
        <f>'Equity Volume Data'!F67*'Equity Price Data'!I68</f>
        <v>7204.08</v>
      </c>
      <c r="D67" s="30">
        <f>'Equity Volume Data'!G67*'Equity Price Data'!J68</f>
        <v>46173.4</v>
      </c>
      <c r="E67" s="30">
        <f>'Equity Volume Data'!H67*'Equity Price Data'!K68</f>
        <v>15623.3</v>
      </c>
      <c r="F67" s="30">
        <f>'Equity Volume Data'!I67*'Equity Price Data'!L68</f>
        <v>57528.32</v>
      </c>
      <c r="G67" s="30">
        <f>'Equity Volume Data'!J67*'Equity Price Data'!M68</f>
        <v>17581.89</v>
      </c>
      <c r="H67" s="30">
        <f>'Equity Volume Data'!K67*'Equity Price Data'!N68</f>
        <v>12216.24</v>
      </c>
      <c r="I67" s="30">
        <f>'Equity Volume Data'!L67*'Equity Price Data'!O68</f>
        <v>11860</v>
      </c>
      <c r="J67" s="30">
        <f>'Equity Volume Data'!M67*'Equity Price Data'!P68</f>
        <v>44965.68</v>
      </c>
      <c r="K67" s="30">
        <f>'Equity Volume Data'!N67*'Equity Price Data'!Q68</f>
        <v>10530</v>
      </c>
      <c r="L67" s="30">
        <f>'Equity Volume Data'!O67*'Equity Price Data'!R68</f>
        <v>24397.23</v>
      </c>
      <c r="M67" s="30">
        <f>'Equity Volume Data'!P67*'Equity Price Data'!S68</f>
        <v>0</v>
      </c>
      <c r="N67" s="30">
        <f>'Equity Volume Data'!Q67*'Equity Price Data'!T68</f>
        <v>5472</v>
      </c>
      <c r="O67" s="30">
        <f>'Equity Volume Data'!R67*'Equity Price Data'!U68</f>
        <v>51846</v>
      </c>
      <c r="P67" s="30">
        <f>'Equity Volume Data'!S67*'Equity Price Data'!V68</f>
        <v>0</v>
      </c>
      <c r="Q67" s="30">
        <f>'Equity Volume Data'!T67*'Equity Price Data'!W68</f>
        <v>22281.6</v>
      </c>
      <c r="R67" s="30">
        <f>'Equity Volume Data'!U67*'Equity Price Data'!X68</f>
        <v>11744</v>
      </c>
      <c r="S67" s="30">
        <f>'Equity Volume Data'!V67*'Equity Price Data'!Y68</f>
        <v>29629.6</v>
      </c>
      <c r="T67" s="30">
        <f>'Equity Volume Data'!W67*'Equity Price Data'!Z68</f>
        <v>10147.5</v>
      </c>
      <c r="U67" s="30">
        <f>'Equity Volume Data'!X67*'Equity Price Data'!AA68</f>
        <v>18123.6</v>
      </c>
      <c r="V67" s="30">
        <f>'Equity Volume Data'!Y67*'Equity Price Data'!AB68</f>
        <v>15976.03</v>
      </c>
      <c r="W67" s="30">
        <f>'Equity Volume Data'!Z67*'Equity Price Data'!AC68</f>
        <v>10340.34</v>
      </c>
      <c r="X67" s="30">
        <f>'Equity Volume Data'!AA67*'Equity Price Data'!AD68</f>
        <v>24297.5</v>
      </c>
      <c r="Y67" s="30">
        <f>'Equity Volume Data'!AB67*'Equity Price Data'!AE68</f>
        <v>5779.54</v>
      </c>
      <c r="Z67" s="30">
        <f>'Equity Volume Data'!AC67*'Equity Price Data'!AF68</f>
        <v>8374.5</v>
      </c>
      <c r="AA67" s="30">
        <f>'Equity Volume Data'!AD67*'Equity Price Data'!AG68</f>
        <v>20184.1</v>
      </c>
      <c r="AB67" s="30">
        <f>'Equity Volume Data'!AE67*'Equity Price Data'!AH68</f>
        <v>8525.4</v>
      </c>
      <c r="AC67" s="30">
        <f>'Equity Volume Data'!AF67*'Equity Price Data'!AI68</f>
        <v>18165.2</v>
      </c>
      <c r="AD67" s="30">
        <f>'Equity Volume Data'!AG67*'Equity Price Data'!AJ68</f>
        <v>13317.75</v>
      </c>
      <c r="AE67" s="30">
        <f>'Equity Volume Data'!AH67*'Equity Price Data'!AK68</f>
        <v>8972</v>
      </c>
      <c r="AF67" s="30">
        <f>'Equity Volume Data'!AI67*'Equity Price Data'!AL68</f>
        <v>15239.7</v>
      </c>
      <c r="AG67" s="30">
        <f>'Equity Volume Data'!AJ67*'Equity Price Data'!AM68</f>
        <v>29941.2</v>
      </c>
      <c r="AH67" s="30">
        <f>'Equity Volume Data'!AK67*'Equity Price Data'!AN68</f>
        <v>36007</v>
      </c>
      <c r="AI67" s="30">
        <f>'Equity Volume Data'!AL67*'Equity Price Data'!AO68</f>
        <v>18462.5</v>
      </c>
      <c r="AJ67" s="30">
        <f>'Equity Volume Data'!AM67*'Equity Price Data'!AP68</f>
        <v>20215</v>
      </c>
      <c r="AK67" s="30">
        <f>'Equity Volume Data'!AN67*'Equity Price Data'!AQ68</f>
        <v>0</v>
      </c>
      <c r="AL67" s="30">
        <f>'Equity Volume Data'!AO67*'Equity Price Data'!AR68</f>
        <v>33848</v>
      </c>
      <c r="AM67" s="30">
        <f>'Equity Volume Data'!AP67*'Equity Price Data'!AS68</f>
        <v>39220.3</v>
      </c>
      <c r="AN67" s="30">
        <f>'Equity Volume Data'!AQ67*'Equity Price Data'!AT68</f>
        <v>8979.25</v>
      </c>
      <c r="AO67" s="30">
        <f>'Equity Volume Data'!AR67*'Equity Price Data'!AU68</f>
        <v>22204</v>
      </c>
      <c r="AP67" s="30">
        <f>'Equity Volume Data'!AS67*'Equity Price Data'!AV68</f>
        <v>20912.5</v>
      </c>
      <c r="AQ67" s="30">
        <f>'Equity Volume Data'!AT67*'Equity Price Data'!AW68</f>
        <v>15780.6</v>
      </c>
      <c r="AR67" s="30">
        <f>'Equity Volume Data'!AU67*'Equity Price Data'!AX68</f>
        <v>0</v>
      </c>
      <c r="AS67" s="30">
        <f>'Equity Volume Data'!AV67*'Equity Price Data'!AY68</f>
        <v>50523.6</v>
      </c>
      <c r="AT67" s="30">
        <f>'Equity Volume Data'!AW67*'Equity Price Data'!AZ68</f>
        <v>15482</v>
      </c>
      <c r="AU67" s="30">
        <f>'Equity Volume Data'!AX67*'Equity Price Data'!BA68</f>
        <v>0</v>
      </c>
      <c r="AV67" s="30">
        <f>'Equity Volume Data'!AY67*'Equity Price Data'!BB68</f>
        <v>65115.8</v>
      </c>
      <c r="AW67" s="30">
        <f>'Equity Volume Data'!AZ67*'Equity Price Data'!BC68</f>
        <v>3728.4</v>
      </c>
      <c r="AX67" s="30">
        <f>'Equity Volume Data'!BA67*'Equity Price Data'!BD68</f>
        <v>0</v>
      </c>
      <c r="AY67" s="30">
        <f>'Equity Volume Data'!BB67*'Equity Price Data'!BE68</f>
        <v>0</v>
      </c>
      <c r="AZ67" s="30">
        <f>'Equity Volume Data'!BC67*'Equity Price Data'!BF68</f>
        <v>10191</v>
      </c>
      <c r="BA67" s="30">
        <f>'Equity Volume Data'!BD67*'Equity Price Data'!BG68</f>
        <v>5454.9</v>
      </c>
      <c r="BB67" s="30">
        <f>'Equity Volume Data'!BE67*'Equity Price Data'!BH68</f>
        <v>9468.8</v>
      </c>
      <c r="BC67" s="30">
        <f>'Equity Volume Data'!BF67*'Equity Price Data'!BI68</f>
        <v>0</v>
      </c>
      <c r="BD67" s="30">
        <f>'Equity Volume Data'!BG67*'Equity Price Data'!BJ68</f>
        <v>41456.19</v>
      </c>
      <c r="BE67" s="30">
        <f>'Equity Volume Data'!BH67*'Equity Price Data'!BK68</f>
        <v>13884.87</v>
      </c>
      <c r="BF67" s="30">
        <f>'Equity Volume Data'!BI67*'Equity Price Data'!BL68</f>
        <v>7271.6</v>
      </c>
      <c r="BG67" s="30">
        <f>'Equity Volume Data'!BJ67*'Equity Price Data'!BM68</f>
        <v>47246.1</v>
      </c>
      <c r="BH67" s="30">
        <f>'Equity Volume Data'!BK67*'Equity Price Data'!BN68</f>
        <v>1300.8</v>
      </c>
      <c r="BI67" s="30">
        <f>'Equity Volume Data'!BL67*'Equity Price Data'!BO68</f>
        <v>38993.6</v>
      </c>
      <c r="BJ67" s="30">
        <f>'Equity Volume Data'!BM67*'Equity Price Data'!BP68</f>
        <v>43470.75</v>
      </c>
      <c r="BK67" s="30">
        <f>'Equity Volume Data'!BN67*'Equity Price Data'!BQ68</f>
        <v>87595.22</v>
      </c>
      <c r="BL67" s="30">
        <f>'Equity Volume Data'!BO67*'Equity Price Data'!BR68</f>
        <v>548.49</v>
      </c>
      <c r="BM67" s="30">
        <f>'Equity Volume Data'!BP67*'Equity Price Data'!BS68</f>
        <v>0</v>
      </c>
      <c r="BN67" s="30">
        <f>'Equity Volume Data'!BQ67*'Equity Price Data'!BT68</f>
        <v>16692.52</v>
      </c>
      <c r="BO67" s="30">
        <f>'Equity Volume Data'!BR67*'Equity Price Data'!BU68</f>
        <v>34640</v>
      </c>
    </row>
    <row r="68">
      <c r="A68" s="25">
        <f>'Equity Price Data'!A69</f>
        <v>45520.66667</v>
      </c>
      <c r="B68" s="29">
        <f t="shared" si="1"/>
        <v>1289474.45</v>
      </c>
      <c r="C68" s="30">
        <f>'Equity Volume Data'!F68*'Equity Price Data'!I69</f>
        <v>7194.98</v>
      </c>
      <c r="D68" s="30">
        <f>'Equity Volume Data'!G68*'Equity Price Data'!J69</f>
        <v>46035.6</v>
      </c>
      <c r="E68" s="30">
        <f>'Equity Volume Data'!H68*'Equity Price Data'!K69</f>
        <v>15507.8</v>
      </c>
      <c r="F68" s="30">
        <f>'Equity Volume Data'!I68*'Equity Price Data'!L69</f>
        <v>57868.8</v>
      </c>
      <c r="G68" s="30">
        <f>'Equity Volume Data'!J68*'Equity Price Data'!M69</f>
        <v>17255.7</v>
      </c>
      <c r="H68" s="30">
        <f>'Equity Volume Data'!K68*'Equity Price Data'!N69</f>
        <v>12334.68</v>
      </c>
      <c r="I68" s="30">
        <f>'Equity Volume Data'!L68*'Equity Price Data'!O69</f>
        <v>11870</v>
      </c>
      <c r="J68" s="30">
        <f>'Equity Volume Data'!M68*'Equity Price Data'!P69</f>
        <v>45340.02</v>
      </c>
      <c r="K68" s="30">
        <f>'Equity Volume Data'!N68*'Equity Price Data'!Q69</f>
        <v>10648</v>
      </c>
      <c r="L68" s="30">
        <f>'Equity Volume Data'!O68*'Equity Price Data'!R69</f>
        <v>24431.11</v>
      </c>
      <c r="M68" s="30">
        <f>'Equity Volume Data'!P68*'Equity Price Data'!S69</f>
        <v>0</v>
      </c>
      <c r="N68" s="30">
        <f>'Equity Volume Data'!Q68*'Equity Price Data'!T69</f>
        <v>5390.4</v>
      </c>
      <c r="O68" s="30">
        <f>'Equity Volume Data'!R68*'Equity Price Data'!U69</f>
        <v>51522</v>
      </c>
      <c r="P68" s="30">
        <f>'Equity Volume Data'!S68*'Equity Price Data'!V69</f>
        <v>0</v>
      </c>
      <c r="Q68" s="30">
        <f>'Equity Volume Data'!T68*'Equity Price Data'!W69</f>
        <v>22249.2</v>
      </c>
      <c r="R68" s="30">
        <f>'Equity Volume Data'!U68*'Equity Price Data'!X69</f>
        <v>11781.6</v>
      </c>
      <c r="S68" s="30">
        <f>'Equity Volume Data'!V68*'Equity Price Data'!Y69</f>
        <v>30124.16</v>
      </c>
      <c r="T68" s="30">
        <f>'Equity Volume Data'!W68*'Equity Price Data'!Z69</f>
        <v>10307.5</v>
      </c>
      <c r="U68" s="30">
        <f>'Equity Volume Data'!X68*'Equity Price Data'!AA69</f>
        <v>18263.52</v>
      </c>
      <c r="V68" s="30">
        <f>'Equity Volume Data'!Y68*'Equity Price Data'!AB69</f>
        <v>16116.1</v>
      </c>
      <c r="W68" s="30">
        <f>'Equity Volume Data'!Z68*'Equity Price Data'!AC69</f>
        <v>10322.4</v>
      </c>
      <c r="X68" s="30">
        <f>'Equity Volume Data'!AA68*'Equity Price Data'!AD69</f>
        <v>24695</v>
      </c>
      <c r="Y68" s="30">
        <f>'Equity Volume Data'!AB68*'Equity Price Data'!AE69</f>
        <v>5757.83</v>
      </c>
      <c r="Z68" s="30">
        <f>'Equity Volume Data'!AC68*'Equity Price Data'!AF69</f>
        <v>8325</v>
      </c>
      <c r="AA68" s="30">
        <f>'Equity Volume Data'!AD68*'Equity Price Data'!AG69</f>
        <v>20088.9</v>
      </c>
      <c r="AB68" s="30">
        <f>'Equity Volume Data'!AE68*'Equity Price Data'!AH69</f>
        <v>8562</v>
      </c>
      <c r="AC68" s="30">
        <f>'Equity Volume Data'!AF68*'Equity Price Data'!AI69</f>
        <v>18388</v>
      </c>
      <c r="AD68" s="30">
        <f>'Equity Volume Data'!AG68*'Equity Price Data'!AJ69</f>
        <v>13346.55</v>
      </c>
      <c r="AE68" s="30">
        <f>'Equity Volume Data'!AH68*'Equity Price Data'!AK69</f>
        <v>9064</v>
      </c>
      <c r="AF68" s="30">
        <f>'Equity Volume Data'!AI68*'Equity Price Data'!AL69</f>
        <v>15124.9</v>
      </c>
      <c r="AG68" s="30">
        <f>'Equity Volume Data'!AJ68*'Equity Price Data'!AM69</f>
        <v>30255.6</v>
      </c>
      <c r="AH68" s="30">
        <f>'Equity Volume Data'!AK68*'Equity Price Data'!AN69</f>
        <v>36206</v>
      </c>
      <c r="AI68" s="30">
        <f>'Equity Volume Data'!AL68*'Equity Price Data'!AO69</f>
        <v>18333</v>
      </c>
      <c r="AJ68" s="30">
        <f>'Equity Volume Data'!AM68*'Equity Price Data'!AP69</f>
        <v>20350.2</v>
      </c>
      <c r="AK68" s="30">
        <f>'Equity Volume Data'!AN68*'Equity Price Data'!AQ69</f>
        <v>0</v>
      </c>
      <c r="AL68" s="30">
        <f>'Equity Volume Data'!AO68*'Equity Price Data'!AR69</f>
        <v>34235.2</v>
      </c>
      <c r="AM68" s="30">
        <f>'Equity Volume Data'!AP68*'Equity Price Data'!AS69</f>
        <v>39209.1</v>
      </c>
      <c r="AN68" s="30">
        <f>'Equity Volume Data'!AQ68*'Equity Price Data'!AT69</f>
        <v>9033.5</v>
      </c>
      <c r="AO68" s="30">
        <f>'Equity Volume Data'!AR68*'Equity Price Data'!AU69</f>
        <v>22323.56</v>
      </c>
      <c r="AP68" s="30">
        <f>'Equity Volume Data'!AS68*'Equity Price Data'!AV69</f>
        <v>21150</v>
      </c>
      <c r="AQ68" s="30">
        <f>'Equity Volume Data'!AT68*'Equity Price Data'!AW69</f>
        <v>16071</v>
      </c>
      <c r="AR68" s="30">
        <f>'Equity Volume Data'!AU68*'Equity Price Data'!AX69</f>
        <v>0</v>
      </c>
      <c r="AS68" s="30">
        <f>'Equity Volume Data'!AV68*'Equity Price Data'!AY69</f>
        <v>50216.4</v>
      </c>
      <c r="AT68" s="30">
        <f>'Equity Volume Data'!AW68*'Equity Price Data'!AZ69</f>
        <v>15714</v>
      </c>
      <c r="AU68" s="30">
        <f>'Equity Volume Data'!AX68*'Equity Price Data'!BA69</f>
        <v>0</v>
      </c>
      <c r="AV68" s="30">
        <f>'Equity Volume Data'!AY68*'Equity Price Data'!BB69</f>
        <v>66027.4</v>
      </c>
      <c r="AW68" s="30">
        <f>'Equity Volume Data'!AZ68*'Equity Price Data'!BC69</f>
        <v>3684.8</v>
      </c>
      <c r="AX68" s="30">
        <f>'Equity Volume Data'!BA68*'Equity Price Data'!BD69</f>
        <v>0</v>
      </c>
      <c r="AY68" s="30">
        <f>'Equity Volume Data'!BB68*'Equity Price Data'!BE69</f>
        <v>0</v>
      </c>
      <c r="AZ68" s="30">
        <f>'Equity Volume Data'!BC68*'Equity Price Data'!BF69</f>
        <v>10194</v>
      </c>
      <c r="BA68" s="30">
        <f>'Equity Volume Data'!BD68*'Equity Price Data'!BG69</f>
        <v>5377</v>
      </c>
      <c r="BB68" s="30">
        <f>'Equity Volume Data'!BE68*'Equity Price Data'!BH69</f>
        <v>9436</v>
      </c>
      <c r="BC68" s="30">
        <f>'Equity Volume Data'!BF68*'Equity Price Data'!BI69</f>
        <v>0</v>
      </c>
      <c r="BD68" s="30">
        <f>'Equity Volume Data'!BG68*'Equity Price Data'!BJ69</f>
        <v>41867.28</v>
      </c>
      <c r="BE68" s="30">
        <f>'Equity Volume Data'!BH68*'Equity Price Data'!BK69</f>
        <v>13891.54</v>
      </c>
      <c r="BF68" s="30">
        <f>'Equity Volume Data'!BI68*'Equity Price Data'!BL69</f>
        <v>7306.8</v>
      </c>
      <c r="BG68" s="30">
        <f>'Equity Volume Data'!BJ68*'Equity Price Data'!BM69</f>
        <v>47337.84</v>
      </c>
      <c r="BH68" s="30">
        <f>'Equity Volume Data'!BK68*'Equity Price Data'!BN69</f>
        <v>1280</v>
      </c>
      <c r="BI68" s="30">
        <f>'Equity Volume Data'!BL68*'Equity Price Data'!BO69</f>
        <v>39124.8</v>
      </c>
      <c r="BJ68" s="30">
        <f>'Equity Volume Data'!BM68*'Equity Price Data'!BP69</f>
        <v>43326</v>
      </c>
      <c r="BK68" s="30">
        <f>'Equity Volume Data'!BN68*'Equity Price Data'!BQ69</f>
        <v>87631.26</v>
      </c>
      <c r="BL68" s="30">
        <f>'Equity Volume Data'!BO68*'Equity Price Data'!BR69</f>
        <v>548.02</v>
      </c>
      <c r="BM68" s="30">
        <f>'Equity Volume Data'!BP68*'Equity Price Data'!BS69</f>
        <v>0</v>
      </c>
      <c r="BN68" s="30">
        <f>'Equity Volume Data'!BQ68*'Equity Price Data'!BT69</f>
        <v>16788.4</v>
      </c>
      <c r="BO68" s="30">
        <f>'Equity Volume Data'!BR68*'Equity Price Data'!BU69</f>
        <v>34640</v>
      </c>
    </row>
    <row r="69">
      <c r="A69" s="25">
        <f>'Equity Price Data'!A70</f>
        <v>45523.66667</v>
      </c>
      <c r="B69" s="29">
        <f t="shared" si="1"/>
        <v>1297386.56</v>
      </c>
      <c r="C69" s="30">
        <f>'Equity Volume Data'!F69*'Equity Price Data'!I70</f>
        <v>7320.56</v>
      </c>
      <c r="D69" s="30">
        <f>'Equity Volume Data'!G69*'Equity Price Data'!J70</f>
        <v>46337.2</v>
      </c>
      <c r="E69" s="30">
        <f>'Equity Volume Data'!H69*'Equity Price Data'!K70</f>
        <v>15572.7</v>
      </c>
      <c r="F69" s="30">
        <f>'Equity Volume Data'!I69*'Equity Price Data'!L70</f>
        <v>57827.84</v>
      </c>
      <c r="G69" s="30">
        <f>'Equity Volume Data'!J69*'Equity Price Data'!M70</f>
        <v>17508.02</v>
      </c>
      <c r="H69" s="30">
        <f>'Equity Volume Data'!K69*'Equity Price Data'!N70</f>
        <v>12359.12</v>
      </c>
      <c r="I69" s="30">
        <f>'Equity Volume Data'!L69*'Equity Price Data'!O70</f>
        <v>11980</v>
      </c>
      <c r="J69" s="30">
        <f>'Equity Volume Data'!M69*'Equity Price Data'!P70</f>
        <v>45774.54</v>
      </c>
      <c r="K69" s="30">
        <f>'Equity Volume Data'!N69*'Equity Price Data'!Q70</f>
        <v>10792</v>
      </c>
      <c r="L69" s="30">
        <f>'Equity Volume Data'!O69*'Equity Price Data'!R70</f>
        <v>24933.26</v>
      </c>
      <c r="M69" s="30">
        <f>'Equity Volume Data'!P69*'Equity Price Data'!S70</f>
        <v>0</v>
      </c>
      <c r="N69" s="30">
        <f>'Equity Volume Data'!Q69*'Equity Price Data'!T70</f>
        <v>5491.2</v>
      </c>
      <c r="O69" s="30">
        <f>'Equity Volume Data'!R69*'Equity Price Data'!U70</f>
        <v>51697.5</v>
      </c>
      <c r="P69" s="30">
        <f>'Equity Volume Data'!S69*'Equity Price Data'!V70</f>
        <v>0</v>
      </c>
      <c r="Q69" s="30">
        <f>'Equity Volume Data'!T69*'Equity Price Data'!W70</f>
        <v>22470</v>
      </c>
      <c r="R69" s="30">
        <f>'Equity Volume Data'!U69*'Equity Price Data'!X70</f>
        <v>11746.4</v>
      </c>
      <c r="S69" s="30">
        <f>'Equity Volume Data'!V69*'Equity Price Data'!Y70</f>
        <v>30125.04</v>
      </c>
      <c r="T69" s="30">
        <f>'Equity Volume Data'!W69*'Equity Price Data'!Z70</f>
        <v>10400</v>
      </c>
      <c r="U69" s="30">
        <f>'Equity Volume Data'!X69*'Equity Price Data'!AA70</f>
        <v>18210.72</v>
      </c>
      <c r="V69" s="30">
        <f>'Equity Volume Data'!Y69*'Equity Price Data'!AB70</f>
        <v>16166.01</v>
      </c>
      <c r="W69" s="30">
        <f>'Equity Volume Data'!Z69*'Equity Price Data'!AC70</f>
        <v>10254.78</v>
      </c>
      <c r="X69" s="30">
        <f>'Equity Volume Data'!AA69*'Equity Price Data'!AD70</f>
        <v>25127.5</v>
      </c>
      <c r="Y69" s="30">
        <f>'Equity Volume Data'!AB69*'Equity Price Data'!AE70</f>
        <v>5626.92</v>
      </c>
      <c r="Z69" s="30">
        <f>'Equity Volume Data'!AC69*'Equity Price Data'!AF70</f>
        <v>8502</v>
      </c>
      <c r="AA69" s="30">
        <f>'Equity Volume Data'!AD69*'Equity Price Data'!AG70</f>
        <v>20150.1</v>
      </c>
      <c r="AB69" s="30">
        <f>'Equity Volume Data'!AE69*'Equity Price Data'!AH70</f>
        <v>8652.6</v>
      </c>
      <c r="AC69" s="30">
        <f>'Equity Volume Data'!AF69*'Equity Price Data'!AI70</f>
        <v>18522.4</v>
      </c>
      <c r="AD69" s="30">
        <f>'Equity Volume Data'!AG69*'Equity Price Data'!AJ70</f>
        <v>13302</v>
      </c>
      <c r="AE69" s="30">
        <f>'Equity Volume Data'!AH69*'Equity Price Data'!AK70</f>
        <v>9152</v>
      </c>
      <c r="AF69" s="30">
        <f>'Equity Volume Data'!AI69*'Equity Price Data'!AL70</f>
        <v>15262.25</v>
      </c>
      <c r="AG69" s="30">
        <f>'Equity Volume Data'!AJ69*'Equity Price Data'!AM70</f>
        <v>30280.8</v>
      </c>
      <c r="AH69" s="30">
        <f>'Equity Volume Data'!AK69*'Equity Price Data'!AN70</f>
        <v>36307</v>
      </c>
      <c r="AI69" s="30">
        <f>'Equity Volume Data'!AL69*'Equity Price Data'!AO70</f>
        <v>18411.75</v>
      </c>
      <c r="AJ69" s="30">
        <f>'Equity Volume Data'!AM69*'Equity Price Data'!AP70</f>
        <v>20445.1</v>
      </c>
      <c r="AK69" s="30">
        <f>'Equity Volume Data'!AN69*'Equity Price Data'!AQ70</f>
        <v>0</v>
      </c>
      <c r="AL69" s="30">
        <f>'Equity Volume Data'!AO69*'Equity Price Data'!AR70</f>
        <v>34472</v>
      </c>
      <c r="AM69" s="30">
        <f>'Equity Volume Data'!AP69*'Equity Price Data'!AS70</f>
        <v>39087.3</v>
      </c>
      <c r="AN69" s="30">
        <f>'Equity Volume Data'!AQ69*'Equity Price Data'!AT70</f>
        <v>9069.2</v>
      </c>
      <c r="AO69" s="30">
        <f>'Equity Volume Data'!AR69*'Equity Price Data'!AU70</f>
        <v>22468.74</v>
      </c>
      <c r="AP69" s="30">
        <f>'Equity Volume Data'!AS69*'Equity Price Data'!AV70</f>
        <v>21205</v>
      </c>
      <c r="AQ69" s="30">
        <f>'Equity Volume Data'!AT69*'Equity Price Data'!AW70</f>
        <v>16115</v>
      </c>
      <c r="AR69" s="30">
        <f>'Equity Volume Data'!AU69*'Equity Price Data'!AX70</f>
        <v>0</v>
      </c>
      <c r="AS69" s="30">
        <f>'Equity Volume Data'!AV69*'Equity Price Data'!AY70</f>
        <v>50583.6</v>
      </c>
      <c r="AT69" s="30">
        <f>'Equity Volume Data'!AW69*'Equity Price Data'!AZ70</f>
        <v>15870</v>
      </c>
      <c r="AU69" s="30">
        <f>'Equity Volume Data'!AX69*'Equity Price Data'!BA70</f>
        <v>0</v>
      </c>
      <c r="AV69" s="30">
        <f>'Equity Volume Data'!AY69*'Equity Price Data'!BB70</f>
        <v>68900</v>
      </c>
      <c r="AW69" s="30">
        <f>'Equity Volume Data'!AZ69*'Equity Price Data'!BC70</f>
        <v>3706.4</v>
      </c>
      <c r="AX69" s="30">
        <f>'Equity Volume Data'!BA69*'Equity Price Data'!BD70</f>
        <v>0</v>
      </c>
      <c r="AY69" s="30">
        <f>'Equity Volume Data'!BB69*'Equity Price Data'!BE70</f>
        <v>0</v>
      </c>
      <c r="AZ69" s="30">
        <f>'Equity Volume Data'!BC69*'Equity Price Data'!BF70</f>
        <v>10414.5</v>
      </c>
      <c r="BA69" s="30">
        <f>'Equity Volume Data'!BD69*'Equity Price Data'!BG70</f>
        <v>5472</v>
      </c>
      <c r="BB69" s="30">
        <f>'Equity Volume Data'!BE69*'Equity Price Data'!BH70</f>
        <v>9468</v>
      </c>
      <c r="BC69" s="30">
        <f>'Equity Volume Data'!BF69*'Equity Price Data'!BI70</f>
        <v>0</v>
      </c>
      <c r="BD69" s="30">
        <f>'Equity Volume Data'!BG69*'Equity Price Data'!BJ70</f>
        <v>42084.54</v>
      </c>
      <c r="BE69" s="30">
        <f>'Equity Volume Data'!BH69*'Equity Price Data'!BK70</f>
        <v>13974.8</v>
      </c>
      <c r="BF69" s="30">
        <f>'Equity Volume Data'!BI69*'Equity Price Data'!BL70</f>
        <v>7348</v>
      </c>
      <c r="BG69" s="30">
        <f>'Equity Volume Data'!BJ69*'Equity Price Data'!BM70</f>
        <v>46445.46</v>
      </c>
      <c r="BH69" s="30">
        <f>'Equity Volume Data'!BK69*'Equity Price Data'!BN70</f>
        <v>1329.6</v>
      </c>
      <c r="BI69" s="30">
        <f>'Equity Volume Data'!BL69*'Equity Price Data'!BO70</f>
        <v>39371.2</v>
      </c>
      <c r="BJ69" s="30">
        <f>'Equity Volume Data'!BM69*'Equity Price Data'!BP70</f>
        <v>43408.5</v>
      </c>
      <c r="BK69" s="30">
        <f>'Equity Volume Data'!BN69*'Equity Price Data'!BQ70</f>
        <v>87613.24</v>
      </c>
      <c r="BL69" s="30">
        <f>'Equity Volume Data'!BO69*'Equity Price Data'!BR70</f>
        <v>556.01</v>
      </c>
      <c r="BM69" s="30">
        <f>'Equity Volume Data'!BP69*'Equity Price Data'!BS70</f>
        <v>0</v>
      </c>
      <c r="BN69" s="30">
        <f>'Equity Volume Data'!BQ69*'Equity Price Data'!BT70</f>
        <v>17074.16</v>
      </c>
      <c r="BO69" s="30">
        <f>'Equity Volume Data'!BR69*'Equity Price Data'!BU70</f>
        <v>34640</v>
      </c>
    </row>
    <row r="70">
      <c r="A70" s="25">
        <f>'Equity Price Data'!A71</f>
        <v>45524.66667</v>
      </c>
      <c r="B70" s="29">
        <f t="shared" si="1"/>
        <v>1294433.97</v>
      </c>
      <c r="C70" s="30">
        <f>'Equity Volume Data'!F70*'Equity Price Data'!I71</f>
        <v>7309.25</v>
      </c>
      <c r="D70" s="30">
        <f>'Equity Volume Data'!G70*'Equity Price Data'!J71</f>
        <v>46508.8</v>
      </c>
      <c r="E70" s="30">
        <f>'Equity Volume Data'!H70*'Equity Price Data'!K71</f>
        <v>15539.7</v>
      </c>
      <c r="F70" s="30">
        <f>'Equity Volume Data'!I70*'Equity Price Data'!L71</f>
        <v>57986.56</v>
      </c>
      <c r="G70" s="30">
        <f>'Equity Volume Data'!J70*'Equity Price Data'!M71</f>
        <v>17111.28</v>
      </c>
      <c r="H70" s="30">
        <f>'Equity Volume Data'!K70*'Equity Price Data'!N71</f>
        <v>12283.92</v>
      </c>
      <c r="I70" s="30">
        <f>'Equity Volume Data'!L70*'Equity Price Data'!O71</f>
        <v>11820</v>
      </c>
      <c r="J70" s="30">
        <f>'Equity Volume Data'!M70*'Equity Price Data'!P71</f>
        <v>45732.72</v>
      </c>
      <c r="K70" s="30">
        <f>'Equity Volume Data'!N70*'Equity Price Data'!Q71</f>
        <v>10728</v>
      </c>
      <c r="L70" s="30">
        <f>'Equity Volume Data'!O70*'Equity Price Data'!R71</f>
        <v>24864.29</v>
      </c>
      <c r="M70" s="30">
        <f>'Equity Volume Data'!P70*'Equity Price Data'!S71</f>
        <v>0</v>
      </c>
      <c r="N70" s="30">
        <f>'Equity Volume Data'!Q70*'Equity Price Data'!T71</f>
        <v>5484.8</v>
      </c>
      <c r="O70" s="30">
        <f>'Equity Volume Data'!R70*'Equity Price Data'!U71</f>
        <v>51495</v>
      </c>
      <c r="P70" s="30">
        <f>'Equity Volume Data'!S70*'Equity Price Data'!V71</f>
        <v>0</v>
      </c>
      <c r="Q70" s="30">
        <f>'Equity Volume Data'!T70*'Equity Price Data'!W71</f>
        <v>22632</v>
      </c>
      <c r="R70" s="30">
        <f>'Equity Volume Data'!U70*'Equity Price Data'!X71</f>
        <v>11575.2</v>
      </c>
      <c r="S70" s="30">
        <f>'Equity Volume Data'!V70*'Equity Price Data'!Y71</f>
        <v>30148.8</v>
      </c>
      <c r="T70" s="30">
        <f>'Equity Volume Data'!W70*'Equity Price Data'!Z71</f>
        <v>10302.5</v>
      </c>
      <c r="U70" s="30">
        <f>'Equity Volume Data'!X70*'Equity Price Data'!AA71</f>
        <v>18316.32</v>
      </c>
      <c r="V70" s="30">
        <f>'Equity Volume Data'!Y70*'Equity Price Data'!AB71</f>
        <v>16127.37</v>
      </c>
      <c r="W70" s="30">
        <f>'Equity Volume Data'!Z70*'Equity Price Data'!AC71</f>
        <v>10287.9</v>
      </c>
      <c r="X70" s="30">
        <f>'Equity Volume Data'!AA70*'Equity Price Data'!AD71</f>
        <v>24797.5</v>
      </c>
      <c r="Y70" s="30">
        <f>'Equity Volume Data'!AB70*'Equity Price Data'!AE71</f>
        <v>5551.78</v>
      </c>
      <c r="Z70" s="30">
        <f>'Equity Volume Data'!AC70*'Equity Price Data'!AF71</f>
        <v>8541</v>
      </c>
      <c r="AA70" s="30">
        <f>'Equity Volume Data'!AD70*'Equity Price Data'!AG71</f>
        <v>19478.6</v>
      </c>
      <c r="AB70" s="30">
        <f>'Equity Volume Data'!AE70*'Equity Price Data'!AH71</f>
        <v>8653.2</v>
      </c>
      <c r="AC70" s="30">
        <f>'Equity Volume Data'!AF70*'Equity Price Data'!AI71</f>
        <v>18669.2</v>
      </c>
      <c r="AD70" s="30">
        <f>'Equity Volume Data'!AG70*'Equity Price Data'!AJ71</f>
        <v>13311</v>
      </c>
      <c r="AE70" s="30">
        <f>'Equity Volume Data'!AH70*'Equity Price Data'!AK71</f>
        <v>9196</v>
      </c>
      <c r="AF70" s="30">
        <f>'Equity Volume Data'!AI70*'Equity Price Data'!AL71</f>
        <v>15323.75</v>
      </c>
      <c r="AG70" s="30">
        <f>'Equity Volume Data'!AJ70*'Equity Price Data'!AM71</f>
        <v>29840.4</v>
      </c>
      <c r="AH70" s="30">
        <f>'Equity Volume Data'!AK70*'Equity Price Data'!AN71</f>
        <v>36727</v>
      </c>
      <c r="AI70" s="30">
        <f>'Equity Volume Data'!AL70*'Equity Price Data'!AO71</f>
        <v>18431</v>
      </c>
      <c r="AJ70" s="30">
        <f>'Equity Volume Data'!AM70*'Equity Price Data'!AP71</f>
        <v>20507.5</v>
      </c>
      <c r="AK70" s="30">
        <f>'Equity Volume Data'!AN70*'Equity Price Data'!AQ71</f>
        <v>0</v>
      </c>
      <c r="AL70" s="30">
        <f>'Equity Volume Data'!AO70*'Equity Price Data'!AR71</f>
        <v>34323.2</v>
      </c>
      <c r="AM70" s="30">
        <f>'Equity Volume Data'!AP70*'Equity Price Data'!AS71</f>
        <v>38990.7</v>
      </c>
      <c r="AN70" s="30">
        <f>'Equity Volume Data'!AQ70*'Equity Price Data'!AT71</f>
        <v>9121</v>
      </c>
      <c r="AO70" s="30">
        <f>'Equity Volume Data'!AR70*'Equity Price Data'!AU71</f>
        <v>22263.78</v>
      </c>
      <c r="AP70" s="30">
        <f>'Equity Volume Data'!AS70*'Equity Price Data'!AV71</f>
        <v>21345</v>
      </c>
      <c r="AQ70" s="30">
        <f>'Equity Volume Data'!AT70*'Equity Price Data'!AW71</f>
        <v>15998.4</v>
      </c>
      <c r="AR70" s="30">
        <f>'Equity Volume Data'!AU70*'Equity Price Data'!AX71</f>
        <v>0</v>
      </c>
      <c r="AS70" s="30">
        <f>'Equity Volume Data'!AV70*'Equity Price Data'!AY71</f>
        <v>50976</v>
      </c>
      <c r="AT70" s="30">
        <f>'Equity Volume Data'!AW70*'Equity Price Data'!AZ71</f>
        <v>15796</v>
      </c>
      <c r="AU70" s="30">
        <f>'Equity Volume Data'!AX70*'Equity Price Data'!BA71</f>
        <v>0</v>
      </c>
      <c r="AV70" s="30">
        <f>'Equity Volume Data'!AY70*'Equity Price Data'!BB71</f>
        <v>67442.5</v>
      </c>
      <c r="AW70" s="30">
        <f>'Equity Volume Data'!AZ70*'Equity Price Data'!BC71</f>
        <v>3710</v>
      </c>
      <c r="AX70" s="30">
        <f>'Equity Volume Data'!BA70*'Equity Price Data'!BD71</f>
        <v>0</v>
      </c>
      <c r="AY70" s="30">
        <f>'Equity Volume Data'!BB70*'Equity Price Data'!BE71</f>
        <v>0</v>
      </c>
      <c r="AZ70" s="30">
        <f>'Equity Volume Data'!BC70*'Equity Price Data'!BF71</f>
        <v>10783.5</v>
      </c>
      <c r="BA70" s="30">
        <f>'Equity Volume Data'!BD70*'Equity Price Data'!BG71</f>
        <v>5491</v>
      </c>
      <c r="BB70" s="30">
        <f>'Equity Volume Data'!BE70*'Equity Price Data'!BH71</f>
        <v>9436</v>
      </c>
      <c r="BC70" s="30">
        <f>'Equity Volume Data'!BF70*'Equity Price Data'!BI71</f>
        <v>0</v>
      </c>
      <c r="BD70" s="30">
        <f>'Equity Volume Data'!BG70*'Equity Price Data'!BJ71</f>
        <v>41794.86</v>
      </c>
      <c r="BE70" s="30">
        <f>'Equity Volume Data'!BH70*'Equity Price Data'!BK71</f>
        <v>14134.42</v>
      </c>
      <c r="BF70" s="30">
        <f>'Equity Volume Data'!BI70*'Equity Price Data'!BL71</f>
        <v>7253.6</v>
      </c>
      <c r="BG70" s="30">
        <f>'Equity Volume Data'!BJ70*'Equity Price Data'!BM71</f>
        <v>46198.04</v>
      </c>
      <c r="BH70" s="30">
        <f>'Equity Volume Data'!BK70*'Equity Price Data'!BN71</f>
        <v>1342.4</v>
      </c>
      <c r="BI70" s="30">
        <f>'Equity Volume Data'!BL70*'Equity Price Data'!BO71</f>
        <v>39440</v>
      </c>
      <c r="BJ70" s="30">
        <f>'Equity Volume Data'!BM70*'Equity Price Data'!BP71</f>
        <v>43548.75</v>
      </c>
      <c r="BK70" s="30">
        <f>'Equity Volume Data'!BN70*'Equity Price Data'!BQ71</f>
        <v>87703.34</v>
      </c>
      <c r="BL70" s="30">
        <f>'Equity Volume Data'!BO70*'Equity Price Data'!BR71</f>
        <v>548.02</v>
      </c>
      <c r="BM70" s="30">
        <f>'Equity Volume Data'!BP70*'Equity Price Data'!BS71</f>
        <v>0</v>
      </c>
      <c r="BN70" s="30">
        <f>'Equity Volume Data'!BQ70*'Equity Price Data'!BT71</f>
        <v>16871.12</v>
      </c>
      <c r="BO70" s="30">
        <f>'Equity Volume Data'!BR70*'Equity Price Data'!BU71</f>
        <v>34640</v>
      </c>
    </row>
    <row r="71">
      <c r="A71" s="25">
        <f>'Equity Price Data'!A72</f>
        <v>45525.66667</v>
      </c>
      <c r="B71" s="29">
        <f t="shared" si="1"/>
        <v>1299870.37</v>
      </c>
      <c r="C71" s="30">
        <f>'Equity Volume Data'!F71*'Equity Price Data'!I72</f>
        <v>7355.27</v>
      </c>
      <c r="D71" s="30">
        <f>'Equity Volume Data'!G71*'Equity Price Data'!J72</f>
        <v>46828.6</v>
      </c>
      <c r="E71" s="30">
        <f>'Equity Volume Data'!H71*'Equity Price Data'!K72</f>
        <v>15484.7</v>
      </c>
      <c r="F71" s="30">
        <f>'Equity Volume Data'!I71*'Equity Price Data'!L72</f>
        <v>57958.4</v>
      </c>
      <c r="G71" s="30">
        <f>'Equity Volume Data'!J71*'Equity Price Data'!M72</f>
        <v>17356.96</v>
      </c>
      <c r="H71" s="30">
        <f>'Equity Volume Data'!K71*'Equity Price Data'!N72</f>
        <v>12265.12</v>
      </c>
      <c r="I71" s="30">
        <f>'Equity Volume Data'!L71*'Equity Price Data'!O72</f>
        <v>11870</v>
      </c>
      <c r="J71" s="30">
        <f>'Equity Volume Data'!M71*'Equity Price Data'!P72</f>
        <v>45553.2</v>
      </c>
      <c r="K71" s="30">
        <f>'Equity Volume Data'!N71*'Equity Price Data'!Q72</f>
        <v>11070</v>
      </c>
      <c r="L71" s="30">
        <f>'Equity Volume Data'!O71*'Equity Price Data'!R72</f>
        <v>24947.78</v>
      </c>
      <c r="M71" s="30">
        <f>'Equity Volume Data'!P71*'Equity Price Data'!S72</f>
        <v>0</v>
      </c>
      <c r="N71" s="30">
        <f>'Equity Volume Data'!Q71*'Equity Price Data'!T72</f>
        <v>5572.8</v>
      </c>
      <c r="O71" s="30">
        <f>'Equity Volume Data'!R71*'Equity Price Data'!U72</f>
        <v>51445.5</v>
      </c>
      <c r="P71" s="30">
        <f>'Equity Volume Data'!S71*'Equity Price Data'!V72</f>
        <v>0</v>
      </c>
      <c r="Q71" s="30">
        <f>'Equity Volume Data'!T71*'Equity Price Data'!W72</f>
        <v>22688.4</v>
      </c>
      <c r="R71" s="30">
        <f>'Equity Volume Data'!U71*'Equity Price Data'!X72</f>
        <v>11625.6</v>
      </c>
      <c r="S71" s="30">
        <f>'Equity Volume Data'!V71*'Equity Price Data'!Y72</f>
        <v>30131.2</v>
      </c>
      <c r="T71" s="30">
        <f>'Equity Volume Data'!W71*'Equity Price Data'!Z72</f>
        <v>10282.5</v>
      </c>
      <c r="U71" s="30">
        <f>'Equity Volume Data'!X71*'Equity Price Data'!AA72</f>
        <v>18366.48</v>
      </c>
      <c r="V71" s="30">
        <f>'Equity Volume Data'!Y71*'Equity Price Data'!AB72</f>
        <v>16167.62</v>
      </c>
      <c r="W71" s="30">
        <f>'Equity Volume Data'!Z71*'Equity Price Data'!AC72</f>
        <v>10333.44</v>
      </c>
      <c r="X71" s="30">
        <f>'Equity Volume Data'!AA71*'Equity Price Data'!AD72</f>
        <v>24995</v>
      </c>
      <c r="Y71" s="30">
        <f>'Equity Volume Data'!AB71*'Equity Price Data'!AE72</f>
        <v>5560.1</v>
      </c>
      <c r="Z71" s="30">
        <f>'Equity Volume Data'!AC71*'Equity Price Data'!AF72</f>
        <v>8802</v>
      </c>
      <c r="AA71" s="30">
        <f>'Equity Volume Data'!AD71*'Equity Price Data'!AG72</f>
        <v>19354.5</v>
      </c>
      <c r="AB71" s="30">
        <f>'Equity Volume Data'!AE71*'Equity Price Data'!AH72</f>
        <v>8745.6</v>
      </c>
      <c r="AC71" s="30">
        <f>'Equity Volume Data'!AF71*'Equity Price Data'!AI72</f>
        <v>19151.6</v>
      </c>
      <c r="AD71" s="30">
        <f>'Equity Volume Data'!AG71*'Equity Price Data'!AJ72</f>
        <v>13233.15</v>
      </c>
      <c r="AE71" s="30">
        <f>'Equity Volume Data'!AH71*'Equity Price Data'!AK72</f>
        <v>9312</v>
      </c>
      <c r="AF71" s="30">
        <f>'Equity Volume Data'!AI71*'Equity Price Data'!AL72</f>
        <v>15401.65</v>
      </c>
      <c r="AG71" s="30">
        <f>'Equity Volume Data'!AJ71*'Equity Price Data'!AM72</f>
        <v>29787.6</v>
      </c>
      <c r="AH71" s="30">
        <f>'Equity Volume Data'!AK71*'Equity Price Data'!AN72</f>
        <v>37046</v>
      </c>
      <c r="AI71" s="30">
        <f>'Equity Volume Data'!AL71*'Equity Price Data'!AO72</f>
        <v>18537.75</v>
      </c>
      <c r="AJ71" s="30">
        <f>'Equity Volume Data'!AM71*'Equity Price Data'!AP72</f>
        <v>20554.3</v>
      </c>
      <c r="AK71" s="30">
        <f>'Equity Volume Data'!AN71*'Equity Price Data'!AQ72</f>
        <v>0</v>
      </c>
      <c r="AL71" s="30">
        <f>'Equity Volume Data'!AO71*'Equity Price Data'!AR72</f>
        <v>34336</v>
      </c>
      <c r="AM71" s="30">
        <f>'Equity Volume Data'!AP71*'Equity Price Data'!AS72</f>
        <v>38763.2</v>
      </c>
      <c r="AN71" s="30">
        <f>'Equity Volume Data'!AQ71*'Equity Price Data'!AT72</f>
        <v>9297.05</v>
      </c>
      <c r="AO71" s="30">
        <f>'Equity Volume Data'!AR71*'Equity Price Data'!AU72</f>
        <v>22280.86</v>
      </c>
      <c r="AP71" s="30">
        <f>'Equity Volume Data'!AS71*'Equity Price Data'!AV72</f>
        <v>21885</v>
      </c>
      <c r="AQ71" s="30">
        <f>'Equity Volume Data'!AT71*'Equity Price Data'!AW72</f>
        <v>16018.2</v>
      </c>
      <c r="AR71" s="30">
        <f>'Equity Volume Data'!AU71*'Equity Price Data'!AX72</f>
        <v>0</v>
      </c>
      <c r="AS71" s="30">
        <f>'Equity Volume Data'!AV71*'Equity Price Data'!AY72</f>
        <v>50896.8</v>
      </c>
      <c r="AT71" s="30">
        <f>'Equity Volume Data'!AW71*'Equity Price Data'!AZ72</f>
        <v>15928</v>
      </c>
      <c r="AU71" s="30">
        <f>'Equity Volume Data'!AX71*'Equity Price Data'!BA72</f>
        <v>0</v>
      </c>
      <c r="AV71" s="30">
        <f>'Equity Volume Data'!AY71*'Equity Price Data'!BB72</f>
        <v>68105</v>
      </c>
      <c r="AW71" s="30">
        <f>'Equity Volume Data'!AZ71*'Equity Price Data'!BC72</f>
        <v>3758.4</v>
      </c>
      <c r="AX71" s="30">
        <f>'Equity Volume Data'!BA71*'Equity Price Data'!BD72</f>
        <v>0</v>
      </c>
      <c r="AY71" s="30">
        <f>'Equity Volume Data'!BB71*'Equity Price Data'!BE72</f>
        <v>0</v>
      </c>
      <c r="AZ71" s="30">
        <f>'Equity Volume Data'!BC71*'Equity Price Data'!BF72</f>
        <v>10719</v>
      </c>
      <c r="BA71" s="30">
        <f>'Equity Volume Data'!BD71*'Equity Price Data'!BG72</f>
        <v>5515.7</v>
      </c>
      <c r="BB71" s="30">
        <f>'Equity Volume Data'!BE71*'Equity Price Data'!BH72</f>
        <v>9380.8</v>
      </c>
      <c r="BC71" s="30">
        <f>'Equity Volume Data'!BF71*'Equity Price Data'!BI72</f>
        <v>0</v>
      </c>
      <c r="BD71" s="30">
        <f>'Equity Volume Data'!BG71*'Equity Price Data'!BJ72</f>
        <v>41632.98</v>
      </c>
      <c r="BE71" s="30">
        <f>'Equity Volume Data'!BH71*'Equity Price Data'!BK72</f>
        <v>14033.91</v>
      </c>
      <c r="BF71" s="30">
        <f>'Equity Volume Data'!BI71*'Equity Price Data'!BL72</f>
        <v>7344.8</v>
      </c>
      <c r="BG71" s="30">
        <f>'Equity Volume Data'!BJ71*'Equity Price Data'!BM72</f>
        <v>48080.1</v>
      </c>
      <c r="BH71" s="30">
        <f>'Equity Volume Data'!BK71*'Equity Price Data'!BN72</f>
        <v>1344</v>
      </c>
      <c r="BI71" s="30">
        <f>'Equity Volume Data'!BL71*'Equity Price Data'!BO72</f>
        <v>39316.8</v>
      </c>
      <c r="BJ71" s="30">
        <f>'Equity Volume Data'!BM71*'Equity Price Data'!BP72</f>
        <v>43355.25</v>
      </c>
      <c r="BK71" s="30">
        <f>'Equity Volume Data'!BN71*'Equity Price Data'!BQ72</f>
        <v>87847.5</v>
      </c>
      <c r="BL71" s="30">
        <f>'Equity Volume Data'!BO71*'Equity Price Data'!BR72</f>
        <v>550.84</v>
      </c>
      <c r="BM71" s="30">
        <f>'Equity Volume Data'!BP71*'Equity Price Data'!BS72</f>
        <v>0</v>
      </c>
      <c r="BN71" s="30">
        <f>'Equity Volume Data'!BQ71*'Equity Price Data'!BT72</f>
        <v>17055.36</v>
      </c>
      <c r="BO71" s="30">
        <f>'Equity Volume Data'!BR71*'Equity Price Data'!BU72</f>
        <v>34640</v>
      </c>
    </row>
    <row r="72">
      <c r="A72" s="25">
        <f>'Equity Price Data'!A73</f>
        <v>45526.66667</v>
      </c>
      <c r="B72" s="29">
        <f t="shared" si="1"/>
        <v>1293736.38</v>
      </c>
      <c r="C72" s="30">
        <f>'Equity Volume Data'!F72*'Equity Price Data'!I73</f>
        <v>7246.72</v>
      </c>
      <c r="D72" s="30">
        <f>'Equity Volume Data'!G72*'Equity Price Data'!J73</f>
        <v>45793.8</v>
      </c>
      <c r="E72" s="30">
        <f>'Equity Volume Data'!H72*'Equity Price Data'!K73</f>
        <v>15402.2</v>
      </c>
      <c r="F72" s="30">
        <f>'Equity Volume Data'!I72*'Equity Price Data'!L73</f>
        <v>57479.68</v>
      </c>
      <c r="G72" s="30">
        <f>'Equity Volume Data'!J72*'Equity Price Data'!M73</f>
        <v>16616.6</v>
      </c>
      <c r="H72" s="30">
        <f>'Equity Volume Data'!K72*'Equity Price Data'!N73</f>
        <v>12312.12</v>
      </c>
      <c r="I72" s="30">
        <f>'Equity Volume Data'!L72*'Equity Price Data'!O73</f>
        <v>11900</v>
      </c>
      <c r="J72" s="30">
        <f>'Equity Volume Data'!M72*'Equity Price Data'!P73</f>
        <v>45801.06</v>
      </c>
      <c r="K72" s="30">
        <f>'Equity Volume Data'!N72*'Equity Price Data'!Q73</f>
        <v>10858</v>
      </c>
      <c r="L72" s="30">
        <f>'Equity Volume Data'!O72*'Equity Price Data'!R73</f>
        <v>24601.72</v>
      </c>
      <c r="M72" s="30">
        <f>'Equity Volume Data'!P72*'Equity Price Data'!S73</f>
        <v>0</v>
      </c>
      <c r="N72" s="30">
        <f>'Equity Volume Data'!Q72*'Equity Price Data'!T73</f>
        <v>5566.4</v>
      </c>
      <c r="O72" s="30">
        <f>'Equity Volume Data'!R72*'Equity Price Data'!U73</f>
        <v>51354</v>
      </c>
      <c r="P72" s="30">
        <f>'Equity Volume Data'!S72*'Equity Price Data'!V73</f>
        <v>0</v>
      </c>
      <c r="Q72" s="30">
        <f>'Equity Volume Data'!T72*'Equity Price Data'!W73</f>
        <v>22842</v>
      </c>
      <c r="R72" s="30">
        <f>'Equity Volume Data'!U72*'Equity Price Data'!X73</f>
        <v>11658.4</v>
      </c>
      <c r="S72" s="30">
        <f>'Equity Volume Data'!V72*'Equity Price Data'!Y73</f>
        <v>30489.36</v>
      </c>
      <c r="T72" s="30">
        <f>'Equity Volume Data'!W72*'Equity Price Data'!Z73</f>
        <v>10345</v>
      </c>
      <c r="U72" s="30">
        <f>'Equity Volume Data'!X72*'Equity Price Data'!AA73</f>
        <v>18303.12</v>
      </c>
      <c r="V72" s="30">
        <f>'Equity Volume Data'!Y72*'Equity Price Data'!AB73</f>
        <v>16207.87</v>
      </c>
      <c r="W72" s="30">
        <f>'Equity Volume Data'!Z72*'Equity Price Data'!AC73</f>
        <v>10397.61</v>
      </c>
      <c r="X72" s="30">
        <f>'Equity Volume Data'!AA72*'Equity Price Data'!AD73</f>
        <v>24490</v>
      </c>
      <c r="Y72" s="30">
        <f>'Equity Volume Data'!AB72*'Equity Price Data'!AE73</f>
        <v>5410.99</v>
      </c>
      <c r="Z72" s="30">
        <f>'Equity Volume Data'!AC72*'Equity Price Data'!AF73</f>
        <v>8853</v>
      </c>
      <c r="AA72" s="30">
        <f>'Equity Volume Data'!AD72*'Equity Price Data'!AG73</f>
        <v>19504.1</v>
      </c>
      <c r="AB72" s="30">
        <f>'Equity Volume Data'!AE72*'Equity Price Data'!AH73</f>
        <v>8828.4</v>
      </c>
      <c r="AC72" s="30">
        <f>'Equity Volume Data'!AF72*'Equity Price Data'!AI73</f>
        <v>19081.6</v>
      </c>
      <c r="AD72" s="30">
        <f>'Equity Volume Data'!AG72*'Equity Price Data'!AJ73</f>
        <v>13205.25</v>
      </c>
      <c r="AE72" s="30">
        <f>'Equity Volume Data'!AH72*'Equity Price Data'!AK73</f>
        <v>9292</v>
      </c>
      <c r="AF72" s="30">
        <f>'Equity Volume Data'!AI72*'Equity Price Data'!AL73</f>
        <v>15559.5</v>
      </c>
      <c r="AG72" s="30">
        <f>'Equity Volume Data'!AJ72*'Equity Price Data'!AM73</f>
        <v>29865</v>
      </c>
      <c r="AH72" s="30">
        <f>'Equity Volume Data'!AK72*'Equity Price Data'!AN73</f>
        <v>36536</v>
      </c>
      <c r="AI72" s="30">
        <f>'Equity Volume Data'!AL72*'Equity Price Data'!AO73</f>
        <v>18425.75</v>
      </c>
      <c r="AJ72" s="30">
        <f>'Equity Volume Data'!AM72*'Equity Price Data'!AP73</f>
        <v>20618</v>
      </c>
      <c r="AK72" s="30">
        <f>'Equity Volume Data'!AN72*'Equity Price Data'!AQ73</f>
        <v>0</v>
      </c>
      <c r="AL72" s="30">
        <f>'Equity Volume Data'!AO72*'Equity Price Data'!AR73</f>
        <v>34660.8</v>
      </c>
      <c r="AM72" s="30">
        <f>'Equity Volume Data'!AP72*'Equity Price Data'!AS73</f>
        <v>38992.1</v>
      </c>
      <c r="AN72" s="30">
        <f>'Equity Volume Data'!AQ72*'Equity Price Data'!AT73</f>
        <v>9220.75</v>
      </c>
      <c r="AO72" s="30">
        <f>'Equity Volume Data'!AR72*'Equity Price Data'!AU73</f>
        <v>22357.72</v>
      </c>
      <c r="AP72" s="30">
        <f>'Equity Volume Data'!AS72*'Equity Price Data'!AV73</f>
        <v>21957.5</v>
      </c>
      <c r="AQ72" s="30">
        <f>'Equity Volume Data'!AT72*'Equity Price Data'!AW73</f>
        <v>16247</v>
      </c>
      <c r="AR72" s="30">
        <f>'Equity Volume Data'!AU72*'Equity Price Data'!AX73</f>
        <v>0</v>
      </c>
      <c r="AS72" s="30">
        <f>'Equity Volume Data'!AV72*'Equity Price Data'!AY73</f>
        <v>49866</v>
      </c>
      <c r="AT72" s="30">
        <f>'Equity Volume Data'!AW72*'Equity Price Data'!AZ73</f>
        <v>15784</v>
      </c>
      <c r="AU72" s="30">
        <f>'Equity Volume Data'!AX72*'Equity Price Data'!BA73</f>
        <v>0</v>
      </c>
      <c r="AV72" s="30">
        <f>'Equity Volume Data'!AY72*'Equity Price Data'!BB73</f>
        <v>65582.2</v>
      </c>
      <c r="AW72" s="30">
        <f>'Equity Volume Data'!AZ72*'Equity Price Data'!BC73</f>
        <v>3748.8</v>
      </c>
      <c r="AX72" s="30">
        <f>'Equity Volume Data'!BA72*'Equity Price Data'!BD73</f>
        <v>0</v>
      </c>
      <c r="AY72" s="30">
        <f>'Equity Volume Data'!BB72*'Equity Price Data'!BE73</f>
        <v>0</v>
      </c>
      <c r="AZ72" s="30">
        <f>'Equity Volume Data'!BC72*'Equity Price Data'!BF73</f>
        <v>10728</v>
      </c>
      <c r="BA72" s="30">
        <f>'Equity Volume Data'!BD72*'Equity Price Data'!BG73</f>
        <v>5468.2</v>
      </c>
      <c r="BB72" s="30">
        <f>'Equity Volume Data'!BE72*'Equity Price Data'!BH73</f>
        <v>9441.6</v>
      </c>
      <c r="BC72" s="30">
        <f>'Equity Volume Data'!BF72*'Equity Price Data'!BI73</f>
        <v>0</v>
      </c>
      <c r="BD72" s="30">
        <f>'Equity Volume Data'!BG72*'Equity Price Data'!BJ73</f>
        <v>41841.72</v>
      </c>
      <c r="BE72" s="30">
        <f>'Equity Volume Data'!BH72*'Equity Price Data'!BK73</f>
        <v>13888.78</v>
      </c>
      <c r="BF72" s="30">
        <f>'Equity Volume Data'!BI72*'Equity Price Data'!BL73</f>
        <v>7260</v>
      </c>
      <c r="BG72" s="30">
        <f>'Equity Volume Data'!BJ72*'Equity Price Data'!BM73</f>
        <v>48188.52</v>
      </c>
      <c r="BH72" s="30">
        <f>'Equity Volume Data'!BK72*'Equity Price Data'!BN73</f>
        <v>1328</v>
      </c>
      <c r="BI72" s="30">
        <f>'Equity Volume Data'!BL72*'Equity Price Data'!BO73</f>
        <v>39091.2</v>
      </c>
      <c r="BJ72" s="30">
        <f>'Equity Volume Data'!BM72*'Equity Price Data'!BP73</f>
        <v>43404</v>
      </c>
      <c r="BK72" s="30">
        <f>'Equity Volume Data'!BN72*'Equity Price Data'!BQ73</f>
        <v>87739.38</v>
      </c>
      <c r="BL72" s="30">
        <f>'Equity Volume Data'!BO72*'Equity Price Data'!BR73</f>
        <v>549.9</v>
      </c>
      <c r="BM72" s="30">
        <f>'Equity Volume Data'!BP72*'Equity Price Data'!BS73</f>
        <v>0</v>
      </c>
      <c r="BN72" s="30">
        <f>'Equity Volume Data'!BQ72*'Equity Price Data'!BT73</f>
        <v>16904.96</v>
      </c>
      <c r="BO72" s="30">
        <f>'Equity Volume Data'!BR72*'Equity Price Data'!BU73</f>
        <v>34640</v>
      </c>
    </row>
    <row r="73">
      <c r="A73" s="25">
        <f>'Equity Price Data'!A74</f>
        <v>45527.66667</v>
      </c>
      <c r="B73" s="29">
        <f t="shared" si="1"/>
        <v>1309207.54</v>
      </c>
      <c r="C73" s="30">
        <f>'Equity Volume Data'!F73*'Equity Price Data'!I74</f>
        <v>7257.9</v>
      </c>
      <c r="D73" s="30">
        <f>'Equity Volume Data'!G73*'Equity Price Data'!J74</f>
        <v>46030.4</v>
      </c>
      <c r="E73" s="30">
        <f>'Equity Volume Data'!H73*'Equity Price Data'!K74</f>
        <v>15446.2</v>
      </c>
      <c r="F73" s="30">
        <f>'Equity Volume Data'!I73*'Equity Price Data'!L74</f>
        <v>58071.04</v>
      </c>
      <c r="G73" s="30">
        <f>'Equity Volume Data'!J73*'Equity Price Data'!M74</f>
        <v>16821.61</v>
      </c>
      <c r="H73" s="30">
        <f>'Equity Volume Data'!K73*'Equity Price Data'!N74</f>
        <v>12483.2</v>
      </c>
      <c r="I73" s="30">
        <f>'Equity Volume Data'!L73*'Equity Price Data'!O74</f>
        <v>12220</v>
      </c>
      <c r="J73" s="30">
        <f>'Equity Volume Data'!M73*'Equity Price Data'!P74</f>
        <v>46244.76</v>
      </c>
      <c r="K73" s="30">
        <f>'Equity Volume Data'!N73*'Equity Price Data'!Q74</f>
        <v>11038</v>
      </c>
      <c r="L73" s="30">
        <f>'Equity Volume Data'!O73*'Equity Price Data'!R74</f>
        <v>24805</v>
      </c>
      <c r="M73" s="30">
        <f>'Equity Volume Data'!P73*'Equity Price Data'!S74</f>
        <v>0</v>
      </c>
      <c r="N73" s="30">
        <f>'Equity Volume Data'!Q73*'Equity Price Data'!T74</f>
        <v>5700</v>
      </c>
      <c r="O73" s="30">
        <f>'Equity Volume Data'!R73*'Equity Price Data'!U74</f>
        <v>52261.5</v>
      </c>
      <c r="P73" s="30">
        <f>'Equity Volume Data'!S73*'Equity Price Data'!V74</f>
        <v>0</v>
      </c>
      <c r="Q73" s="30">
        <f>'Equity Volume Data'!T73*'Equity Price Data'!W74</f>
        <v>22837.2</v>
      </c>
      <c r="R73" s="30">
        <f>'Equity Volume Data'!U73*'Equity Price Data'!X74</f>
        <v>11809.6</v>
      </c>
      <c r="S73" s="30">
        <f>'Equity Volume Data'!V73*'Equity Price Data'!Y74</f>
        <v>31151.12</v>
      </c>
      <c r="T73" s="30">
        <f>'Equity Volume Data'!W73*'Equity Price Data'!Z74</f>
        <v>10722.5</v>
      </c>
      <c r="U73" s="30">
        <f>'Equity Volume Data'!X73*'Equity Price Data'!AA74</f>
        <v>18424.56</v>
      </c>
      <c r="V73" s="30">
        <f>'Equity Volume Data'!Y73*'Equity Price Data'!AB74</f>
        <v>16196.6</v>
      </c>
      <c r="W73" s="30">
        <f>'Equity Volume Data'!Z73*'Equity Price Data'!AC74</f>
        <v>10500.42</v>
      </c>
      <c r="X73" s="30">
        <f>'Equity Volume Data'!AA73*'Equity Price Data'!AD74</f>
        <v>24250</v>
      </c>
      <c r="Y73" s="30">
        <f>'Equity Volume Data'!AB73*'Equity Price Data'!AE74</f>
        <v>5528.64</v>
      </c>
      <c r="Z73" s="30">
        <f>'Equity Volume Data'!AC73*'Equity Price Data'!AF74</f>
        <v>8832</v>
      </c>
      <c r="AA73" s="30">
        <f>'Equity Volume Data'!AD73*'Equity Price Data'!AG74</f>
        <v>19774.4</v>
      </c>
      <c r="AB73" s="30">
        <f>'Equity Volume Data'!AE73*'Equity Price Data'!AH74</f>
        <v>8915.4</v>
      </c>
      <c r="AC73" s="30">
        <f>'Equity Volume Data'!AF73*'Equity Price Data'!AI74</f>
        <v>19357.6</v>
      </c>
      <c r="AD73" s="30">
        <f>'Equity Volume Data'!AG73*'Equity Price Data'!AJ74</f>
        <v>13115.25</v>
      </c>
      <c r="AE73" s="30">
        <f>'Equity Volume Data'!AH73*'Equity Price Data'!AK74</f>
        <v>9714</v>
      </c>
      <c r="AF73" s="30">
        <f>'Equity Volume Data'!AI73*'Equity Price Data'!AL74</f>
        <v>15727.6</v>
      </c>
      <c r="AG73" s="30">
        <f>'Equity Volume Data'!AJ73*'Equity Price Data'!AM74</f>
        <v>30565.2</v>
      </c>
      <c r="AH73" s="30">
        <f>'Equity Volume Data'!AK73*'Equity Price Data'!AN74</f>
        <v>37559</v>
      </c>
      <c r="AI73" s="30">
        <f>'Equity Volume Data'!AL73*'Equity Price Data'!AO74</f>
        <v>18837</v>
      </c>
      <c r="AJ73" s="30">
        <f>'Equity Volume Data'!AM73*'Equity Price Data'!AP74</f>
        <v>20801.3</v>
      </c>
      <c r="AK73" s="30">
        <f>'Equity Volume Data'!AN73*'Equity Price Data'!AQ74</f>
        <v>0</v>
      </c>
      <c r="AL73" s="30">
        <f>'Equity Volume Data'!AO73*'Equity Price Data'!AR74</f>
        <v>34929.6</v>
      </c>
      <c r="AM73" s="30">
        <f>'Equity Volume Data'!AP73*'Equity Price Data'!AS74</f>
        <v>38850.7</v>
      </c>
      <c r="AN73" s="30">
        <f>'Equity Volume Data'!AQ73*'Equity Price Data'!AT74</f>
        <v>9399.25</v>
      </c>
      <c r="AO73" s="30">
        <f>'Equity Volume Data'!AR73*'Equity Price Data'!AU74</f>
        <v>23186.1</v>
      </c>
      <c r="AP73" s="30">
        <f>'Equity Volume Data'!AS73*'Equity Price Data'!AV74</f>
        <v>22087.5</v>
      </c>
      <c r="AQ73" s="30">
        <f>'Equity Volume Data'!AT73*'Equity Price Data'!AW74</f>
        <v>16354.8</v>
      </c>
      <c r="AR73" s="30">
        <f>'Equity Volume Data'!AU73*'Equity Price Data'!AX74</f>
        <v>0</v>
      </c>
      <c r="AS73" s="30">
        <f>'Equity Volume Data'!AV73*'Equity Price Data'!AY74</f>
        <v>50014.8</v>
      </c>
      <c r="AT73" s="30">
        <f>'Equity Volume Data'!AW73*'Equity Price Data'!AZ74</f>
        <v>15932</v>
      </c>
      <c r="AU73" s="30">
        <f>'Equity Volume Data'!AX73*'Equity Price Data'!BA74</f>
        <v>0</v>
      </c>
      <c r="AV73" s="30">
        <f>'Equity Volume Data'!AY73*'Equity Price Data'!BB74</f>
        <v>68566.1</v>
      </c>
      <c r="AW73" s="30">
        <f>'Equity Volume Data'!AZ73*'Equity Price Data'!BC74</f>
        <v>3768</v>
      </c>
      <c r="AX73" s="30">
        <f>'Equity Volume Data'!BA73*'Equity Price Data'!BD74</f>
        <v>0</v>
      </c>
      <c r="AY73" s="30">
        <f>'Equity Volume Data'!BB73*'Equity Price Data'!BE74</f>
        <v>0</v>
      </c>
      <c r="AZ73" s="30">
        <f>'Equity Volume Data'!BC73*'Equity Price Data'!BF74</f>
        <v>10755</v>
      </c>
      <c r="BA73" s="30">
        <f>'Equity Volume Data'!BD73*'Equity Price Data'!BG74</f>
        <v>5491</v>
      </c>
      <c r="BB73" s="30">
        <f>'Equity Volume Data'!BE73*'Equity Price Data'!BH74</f>
        <v>9481.6</v>
      </c>
      <c r="BC73" s="30">
        <f>'Equity Volume Data'!BF73*'Equity Price Data'!BI74</f>
        <v>0</v>
      </c>
      <c r="BD73" s="30">
        <f>'Equity Volume Data'!BG73*'Equity Price Data'!BJ74</f>
        <v>42297.54</v>
      </c>
      <c r="BE73" s="30">
        <f>'Equity Volume Data'!BH73*'Equity Price Data'!BK74</f>
        <v>13940.76</v>
      </c>
      <c r="BF73" s="30">
        <f>'Equity Volume Data'!BI73*'Equity Price Data'!BL74</f>
        <v>7403.6</v>
      </c>
      <c r="BG73" s="30">
        <f>'Equity Volume Data'!BJ73*'Equity Price Data'!BM74</f>
        <v>48833.48</v>
      </c>
      <c r="BH73" s="30">
        <f>'Equity Volume Data'!BK73*'Equity Price Data'!BN74</f>
        <v>1372.8</v>
      </c>
      <c r="BI73" s="30">
        <f>'Equity Volume Data'!BL73*'Equity Price Data'!BO74</f>
        <v>39496</v>
      </c>
      <c r="BJ73" s="30">
        <f>'Equity Volume Data'!BM73*'Equity Price Data'!BP74</f>
        <v>43838.25</v>
      </c>
      <c r="BK73" s="30">
        <f>'Equity Volume Data'!BN73*'Equity Price Data'!BQ74</f>
        <v>87991.66</v>
      </c>
      <c r="BL73" s="30">
        <f>'Equity Volume Data'!BO73*'Equity Price Data'!BR74</f>
        <v>552.72</v>
      </c>
      <c r="BM73" s="30">
        <f>'Equity Volume Data'!BP73*'Equity Price Data'!BS74</f>
        <v>0</v>
      </c>
      <c r="BN73" s="30">
        <f>'Equity Volume Data'!BQ73*'Equity Price Data'!BT74</f>
        <v>17025.28</v>
      </c>
      <c r="BO73" s="30">
        <f>'Equity Volume Data'!BR73*'Equity Price Data'!BU74</f>
        <v>34640</v>
      </c>
    </row>
    <row r="74">
      <c r="A74" s="25">
        <f>'Equity Price Data'!A75</f>
        <v>45530.66667</v>
      </c>
      <c r="B74" s="29">
        <f t="shared" si="1"/>
        <v>1307702.39</v>
      </c>
      <c r="C74" s="30">
        <f>'Equity Volume Data'!F74*'Equity Price Data'!I75</f>
        <v>7272.72</v>
      </c>
      <c r="D74" s="30">
        <f>'Equity Volume Data'!G74*'Equity Price Data'!J75</f>
        <v>45630</v>
      </c>
      <c r="E74" s="30">
        <f>'Equity Volume Data'!H74*'Equity Price Data'!K75</f>
        <v>15516.6</v>
      </c>
      <c r="F74" s="30">
        <f>'Equity Volume Data'!I74*'Equity Price Data'!L75</f>
        <v>58158.08</v>
      </c>
      <c r="G74" s="30">
        <f>'Equity Volume Data'!J74*'Equity Price Data'!M75</f>
        <v>16287.09</v>
      </c>
      <c r="H74" s="30">
        <f>'Equity Volume Data'!K74*'Equity Price Data'!N75</f>
        <v>12596</v>
      </c>
      <c r="I74" s="30">
        <f>'Equity Volume Data'!L74*'Equity Price Data'!O75</f>
        <v>12210</v>
      </c>
      <c r="J74" s="30">
        <f>'Equity Volume Data'!M74*'Equity Price Data'!P75</f>
        <v>46357.98</v>
      </c>
      <c r="K74" s="30">
        <f>'Equity Volume Data'!N74*'Equity Price Data'!Q75</f>
        <v>11102</v>
      </c>
      <c r="L74" s="30">
        <f>'Equity Volume Data'!O74*'Equity Price Data'!R75</f>
        <v>24788.06</v>
      </c>
      <c r="M74" s="30">
        <f>'Equity Volume Data'!P74*'Equity Price Data'!S75</f>
        <v>0</v>
      </c>
      <c r="N74" s="30">
        <f>'Equity Volume Data'!Q74*'Equity Price Data'!T75</f>
        <v>5736</v>
      </c>
      <c r="O74" s="30">
        <f>'Equity Volume Data'!R74*'Equity Price Data'!U75</f>
        <v>52674</v>
      </c>
      <c r="P74" s="30">
        <f>'Equity Volume Data'!S74*'Equity Price Data'!V75</f>
        <v>0</v>
      </c>
      <c r="Q74" s="30">
        <f>'Equity Volume Data'!T74*'Equity Price Data'!W75</f>
        <v>22741.2</v>
      </c>
      <c r="R74" s="30">
        <f>'Equity Volume Data'!U74*'Equity Price Data'!X75</f>
        <v>11880</v>
      </c>
      <c r="S74" s="30">
        <f>'Equity Volume Data'!V74*'Equity Price Data'!Y75</f>
        <v>31146.72</v>
      </c>
      <c r="T74" s="30">
        <f>'Equity Volume Data'!W74*'Equity Price Data'!Z75</f>
        <v>10677.5</v>
      </c>
      <c r="U74" s="30">
        <f>'Equity Volume Data'!X74*'Equity Price Data'!AA75</f>
        <v>18701.76</v>
      </c>
      <c r="V74" s="30">
        <f>'Equity Volume Data'!Y74*'Equity Price Data'!AB75</f>
        <v>16244.9</v>
      </c>
      <c r="W74" s="30">
        <f>'Equity Volume Data'!Z74*'Equity Price Data'!AC75</f>
        <v>10390.71</v>
      </c>
      <c r="X74" s="30">
        <f>'Equity Volume Data'!AA74*'Equity Price Data'!AD75</f>
        <v>24137.5</v>
      </c>
      <c r="Y74" s="30">
        <f>'Equity Volume Data'!AB74*'Equity Price Data'!AE75</f>
        <v>5518.24</v>
      </c>
      <c r="Z74" s="30">
        <f>'Equity Volume Data'!AC74*'Equity Price Data'!AF75</f>
        <v>8850</v>
      </c>
      <c r="AA74" s="30">
        <f>'Equity Volume Data'!AD74*'Equity Price Data'!AG75</f>
        <v>20197.7</v>
      </c>
      <c r="AB74" s="30">
        <f>'Equity Volume Data'!AE74*'Equity Price Data'!AH75</f>
        <v>8917.2</v>
      </c>
      <c r="AC74" s="30">
        <f>'Equity Volume Data'!AF74*'Equity Price Data'!AI75</f>
        <v>19194</v>
      </c>
      <c r="AD74" s="30">
        <f>'Equity Volume Data'!AG74*'Equity Price Data'!AJ75</f>
        <v>13095</v>
      </c>
      <c r="AE74" s="30">
        <f>'Equity Volume Data'!AH74*'Equity Price Data'!AK75</f>
        <v>9750</v>
      </c>
      <c r="AF74" s="30">
        <f>'Equity Volume Data'!AI74*'Equity Price Data'!AL75</f>
        <v>15776.8</v>
      </c>
      <c r="AG74" s="30">
        <f>'Equity Volume Data'!AJ74*'Equity Price Data'!AM75</f>
        <v>30472.2</v>
      </c>
      <c r="AH74" s="30">
        <f>'Equity Volume Data'!AK74*'Equity Price Data'!AN75</f>
        <v>37411</v>
      </c>
      <c r="AI74" s="30">
        <f>'Equity Volume Data'!AL74*'Equity Price Data'!AO75</f>
        <v>18824.75</v>
      </c>
      <c r="AJ74" s="30">
        <f>'Equity Volume Data'!AM74*'Equity Price Data'!AP75</f>
        <v>20840.3</v>
      </c>
      <c r="AK74" s="30">
        <f>'Equity Volume Data'!AN74*'Equity Price Data'!AQ75</f>
        <v>0</v>
      </c>
      <c r="AL74" s="30">
        <f>'Equity Volume Data'!AO74*'Equity Price Data'!AR75</f>
        <v>35067.2</v>
      </c>
      <c r="AM74" s="30">
        <f>'Equity Volume Data'!AP74*'Equity Price Data'!AS75</f>
        <v>39067</v>
      </c>
      <c r="AN74" s="30">
        <f>'Equity Volume Data'!AQ74*'Equity Price Data'!AT75</f>
        <v>9508.1</v>
      </c>
      <c r="AO74" s="30">
        <f>'Equity Volume Data'!AR74*'Equity Price Data'!AU75</f>
        <v>23211.72</v>
      </c>
      <c r="AP74" s="30">
        <f>'Equity Volume Data'!AS74*'Equity Price Data'!AV75</f>
        <v>22335</v>
      </c>
      <c r="AQ74" s="30">
        <f>'Equity Volume Data'!AT74*'Equity Price Data'!AW75</f>
        <v>16442.8</v>
      </c>
      <c r="AR74" s="30">
        <f>'Equity Volume Data'!AU74*'Equity Price Data'!AX75</f>
        <v>0</v>
      </c>
      <c r="AS74" s="30">
        <f>'Equity Volume Data'!AV74*'Equity Price Data'!AY75</f>
        <v>49618.8</v>
      </c>
      <c r="AT74" s="30">
        <f>'Equity Volume Data'!AW74*'Equity Price Data'!AZ75</f>
        <v>16128</v>
      </c>
      <c r="AU74" s="30">
        <f>'Equity Volume Data'!AX74*'Equity Price Data'!BA75</f>
        <v>0</v>
      </c>
      <c r="AV74" s="30">
        <f>'Equity Volume Data'!AY74*'Equity Price Data'!BB75</f>
        <v>67023.8</v>
      </c>
      <c r="AW74" s="30">
        <f>'Equity Volume Data'!AZ74*'Equity Price Data'!BC75</f>
        <v>3746</v>
      </c>
      <c r="AX74" s="30">
        <f>'Equity Volume Data'!BA74*'Equity Price Data'!BD75</f>
        <v>0</v>
      </c>
      <c r="AY74" s="30">
        <f>'Equity Volume Data'!BB74*'Equity Price Data'!BE75</f>
        <v>0</v>
      </c>
      <c r="AZ74" s="30">
        <f>'Equity Volume Data'!BC74*'Equity Price Data'!BF75</f>
        <v>10806</v>
      </c>
      <c r="BA74" s="30">
        <f>'Equity Volume Data'!BD74*'Equity Price Data'!BG75</f>
        <v>5494.8</v>
      </c>
      <c r="BB74" s="30">
        <f>'Equity Volume Data'!BE74*'Equity Price Data'!BH75</f>
        <v>9496</v>
      </c>
      <c r="BC74" s="30">
        <f>'Equity Volume Data'!BF74*'Equity Price Data'!BI75</f>
        <v>0</v>
      </c>
      <c r="BD74" s="30">
        <f>'Equity Volume Data'!BG74*'Equity Price Data'!BJ75</f>
        <v>42691.59</v>
      </c>
      <c r="BE74" s="30">
        <f>'Equity Volume Data'!BH74*'Equity Price Data'!BK75</f>
        <v>13928.57</v>
      </c>
      <c r="BF74" s="30">
        <f>'Equity Volume Data'!BI74*'Equity Price Data'!BL75</f>
        <v>7222.8</v>
      </c>
      <c r="BG74" s="30">
        <f>'Equity Volume Data'!BJ74*'Equity Price Data'!BM75</f>
        <v>47307.26</v>
      </c>
      <c r="BH74" s="30">
        <f>'Equity Volume Data'!BK74*'Equity Price Data'!BN75</f>
        <v>1347.2</v>
      </c>
      <c r="BI74" s="30">
        <f>'Equity Volume Data'!BL74*'Equity Price Data'!BO75</f>
        <v>39654.4</v>
      </c>
      <c r="BJ74" s="30">
        <f>'Equity Volume Data'!BM74*'Equity Price Data'!BP75</f>
        <v>44034.75</v>
      </c>
      <c r="BK74" s="30">
        <f>'Equity Volume Data'!BN74*'Equity Price Data'!BQ75</f>
        <v>88027.7</v>
      </c>
      <c r="BL74" s="30">
        <f>'Equity Volume Data'!BO74*'Equity Price Data'!BR75</f>
        <v>552.25</v>
      </c>
      <c r="BM74" s="30">
        <f>'Equity Volume Data'!BP74*'Equity Price Data'!BS75</f>
        <v>0</v>
      </c>
      <c r="BN74" s="30">
        <f>'Equity Volume Data'!BQ74*'Equity Price Data'!BT75</f>
        <v>17254.64</v>
      </c>
      <c r="BO74" s="30">
        <f>'Equity Volume Data'!BR74*'Equity Price Data'!BU75</f>
        <v>34640</v>
      </c>
    </row>
    <row r="75">
      <c r="A75" s="25">
        <f>'Equity Price Data'!A76</f>
        <v>45531.66667</v>
      </c>
      <c r="B75" s="29">
        <f t="shared" si="1"/>
        <v>1311614.86</v>
      </c>
      <c r="C75" s="30">
        <f>'Equity Volume Data'!F75*'Equity Price Data'!I76</f>
        <v>7381.66</v>
      </c>
      <c r="D75" s="30">
        <f>'Equity Volume Data'!G75*'Equity Price Data'!J76</f>
        <v>45011.2</v>
      </c>
      <c r="E75" s="30">
        <f>'Equity Volume Data'!H75*'Equity Price Data'!K76</f>
        <v>15418.7</v>
      </c>
      <c r="F75" s="30">
        <f>'Equity Volume Data'!I75*'Equity Price Data'!L76</f>
        <v>58375.68</v>
      </c>
      <c r="G75" s="30">
        <f>'Equity Volume Data'!J75*'Equity Price Data'!M76</f>
        <v>16248.91</v>
      </c>
      <c r="H75" s="30">
        <f>'Equity Volume Data'!K75*'Equity Price Data'!N76</f>
        <v>12635.48</v>
      </c>
      <c r="I75" s="30">
        <f>'Equity Volume Data'!L75*'Equity Price Data'!O76</f>
        <v>12450</v>
      </c>
      <c r="J75" s="30">
        <f>'Equity Volume Data'!M75*'Equity Price Data'!P76</f>
        <v>46984.26</v>
      </c>
      <c r="K75" s="30">
        <f>'Equity Volume Data'!N75*'Equity Price Data'!Q76</f>
        <v>11134</v>
      </c>
      <c r="L75" s="30">
        <f>'Equity Volume Data'!O75*'Equity Price Data'!R76</f>
        <v>24599.3</v>
      </c>
      <c r="M75" s="30">
        <f>'Equity Volume Data'!P75*'Equity Price Data'!S76</f>
        <v>0</v>
      </c>
      <c r="N75" s="30">
        <f>'Equity Volume Data'!Q75*'Equity Price Data'!T76</f>
        <v>5740.8</v>
      </c>
      <c r="O75" s="30">
        <f>'Equity Volume Data'!R75*'Equity Price Data'!U76</f>
        <v>52668</v>
      </c>
      <c r="P75" s="30">
        <f>'Equity Volume Data'!S75*'Equity Price Data'!V76</f>
        <v>0</v>
      </c>
      <c r="Q75" s="30">
        <f>'Equity Volume Data'!T75*'Equity Price Data'!W76</f>
        <v>22584</v>
      </c>
      <c r="R75" s="30">
        <f>'Equity Volume Data'!U75*'Equity Price Data'!X76</f>
        <v>11756</v>
      </c>
      <c r="S75" s="30">
        <f>'Equity Volume Data'!V75*'Equity Price Data'!Y76</f>
        <v>31142.32</v>
      </c>
      <c r="T75" s="30">
        <f>'Equity Volume Data'!W75*'Equity Price Data'!Z76</f>
        <v>10567.5</v>
      </c>
      <c r="U75" s="30">
        <f>'Equity Volume Data'!X75*'Equity Price Data'!AA76</f>
        <v>18876</v>
      </c>
      <c r="V75" s="30">
        <f>'Equity Volume Data'!Y75*'Equity Price Data'!AB76</f>
        <v>16033.99</v>
      </c>
      <c r="W75" s="30">
        <f>'Equity Volume Data'!Z75*'Equity Price Data'!AC76</f>
        <v>10392.09</v>
      </c>
      <c r="X75" s="30">
        <f>'Equity Volume Data'!AA75*'Equity Price Data'!AD76</f>
        <v>23850</v>
      </c>
      <c r="Y75" s="30">
        <f>'Equity Volume Data'!AB75*'Equity Price Data'!AE76</f>
        <v>5439.33</v>
      </c>
      <c r="Z75" s="30">
        <f>'Equity Volume Data'!AC75*'Equity Price Data'!AF76</f>
        <v>8905.5</v>
      </c>
      <c r="AA75" s="30">
        <f>'Equity Volume Data'!AD75*'Equity Price Data'!AG76</f>
        <v>20005.6</v>
      </c>
      <c r="AB75" s="30">
        <f>'Equity Volume Data'!AE75*'Equity Price Data'!AH76</f>
        <v>8847</v>
      </c>
      <c r="AC75" s="30">
        <f>'Equity Volume Data'!AF75*'Equity Price Data'!AI76</f>
        <v>19570.4</v>
      </c>
      <c r="AD75" s="30">
        <f>'Equity Volume Data'!AG75*'Equity Price Data'!AJ76</f>
        <v>13059</v>
      </c>
      <c r="AE75" s="30">
        <f>'Equity Volume Data'!AH75*'Equity Price Data'!AK76</f>
        <v>9850</v>
      </c>
      <c r="AF75" s="30">
        <f>'Equity Volume Data'!AI75*'Equity Price Data'!AL76</f>
        <v>15785</v>
      </c>
      <c r="AG75" s="30">
        <f>'Equity Volume Data'!AJ75*'Equity Price Data'!AM76</f>
        <v>30435.6</v>
      </c>
      <c r="AH75" s="30">
        <f>'Equity Volume Data'!AK75*'Equity Price Data'!AN76</f>
        <v>37318</v>
      </c>
      <c r="AI75" s="30">
        <f>'Equity Volume Data'!AL75*'Equity Price Data'!AO76</f>
        <v>18863.25</v>
      </c>
      <c r="AJ75" s="30">
        <f>'Equity Volume Data'!AM75*'Equity Price Data'!AP76</f>
        <v>20878</v>
      </c>
      <c r="AK75" s="30">
        <f>'Equity Volume Data'!AN75*'Equity Price Data'!AQ76</f>
        <v>0</v>
      </c>
      <c r="AL75" s="30">
        <f>'Equity Volume Data'!AO75*'Equity Price Data'!AR76</f>
        <v>35228.8</v>
      </c>
      <c r="AM75" s="30">
        <f>'Equity Volume Data'!AP75*'Equity Price Data'!AS76</f>
        <v>39228.7</v>
      </c>
      <c r="AN75" s="30">
        <f>'Equity Volume Data'!AQ75*'Equity Price Data'!AT76</f>
        <v>9491.3</v>
      </c>
      <c r="AO75" s="30">
        <f>'Equity Volume Data'!AR75*'Equity Price Data'!AU76</f>
        <v>23399.6</v>
      </c>
      <c r="AP75" s="30">
        <f>'Equity Volume Data'!AS75*'Equity Price Data'!AV76</f>
        <v>22200</v>
      </c>
      <c r="AQ75" s="30">
        <f>'Equity Volume Data'!AT75*'Equity Price Data'!AW76</f>
        <v>16504.4</v>
      </c>
      <c r="AR75" s="30">
        <f>'Equity Volume Data'!AU75*'Equity Price Data'!AX76</f>
        <v>0</v>
      </c>
      <c r="AS75" s="30">
        <f>'Equity Volume Data'!AV75*'Equity Price Data'!AY76</f>
        <v>49660.8</v>
      </c>
      <c r="AT75" s="30">
        <f>'Equity Volume Data'!AW75*'Equity Price Data'!AZ76</f>
        <v>15922</v>
      </c>
      <c r="AU75" s="30">
        <f>'Equity Volume Data'!AX75*'Equity Price Data'!BA76</f>
        <v>0</v>
      </c>
      <c r="AV75" s="30">
        <f>'Equity Volume Data'!AY75*'Equity Price Data'!BB76</f>
        <v>67999</v>
      </c>
      <c r="AW75" s="30">
        <f>'Equity Volume Data'!AZ75*'Equity Price Data'!BC76</f>
        <v>3725.2</v>
      </c>
      <c r="AX75" s="30">
        <f>'Equity Volume Data'!BA75*'Equity Price Data'!BD76</f>
        <v>0</v>
      </c>
      <c r="AY75" s="30">
        <f>'Equity Volume Data'!BB75*'Equity Price Data'!BE76</f>
        <v>0</v>
      </c>
      <c r="AZ75" s="30">
        <f>'Equity Volume Data'!BC75*'Equity Price Data'!BF76</f>
        <v>10738.5</v>
      </c>
      <c r="BA75" s="30">
        <f>'Equity Volume Data'!BD75*'Equity Price Data'!BG76</f>
        <v>5475.8</v>
      </c>
      <c r="BB75" s="30">
        <f>'Equity Volume Data'!BE75*'Equity Price Data'!BH76</f>
        <v>9559.2</v>
      </c>
      <c r="BC75" s="30">
        <f>'Equity Volume Data'!BF75*'Equity Price Data'!BI76</f>
        <v>0</v>
      </c>
      <c r="BD75" s="30">
        <f>'Equity Volume Data'!BG75*'Equity Price Data'!BJ76</f>
        <v>43458.39</v>
      </c>
      <c r="BE75" s="30">
        <f>'Equity Volume Data'!BH75*'Equity Price Data'!BK76</f>
        <v>14039.2</v>
      </c>
      <c r="BF75" s="30">
        <f>'Equity Volume Data'!BI75*'Equity Price Data'!BL76</f>
        <v>7430</v>
      </c>
      <c r="BG75" s="30">
        <f>'Equity Volume Data'!BJ75*'Equity Price Data'!BM76</f>
        <v>48958.58</v>
      </c>
      <c r="BH75" s="30">
        <f>'Equity Volume Data'!BK75*'Equity Price Data'!BN76</f>
        <v>1339.2</v>
      </c>
      <c r="BI75" s="30">
        <f>'Equity Volume Data'!BL75*'Equity Price Data'!BO76</f>
        <v>40056</v>
      </c>
      <c r="BJ75" s="30">
        <f>'Equity Volume Data'!BM75*'Equity Price Data'!BP76</f>
        <v>44051.25</v>
      </c>
      <c r="BK75" s="30">
        <f>'Equity Volume Data'!BN75*'Equity Price Data'!BQ76</f>
        <v>88063.74</v>
      </c>
      <c r="BL75" s="30">
        <f>'Equity Volume Data'!BO75*'Equity Price Data'!BR76</f>
        <v>549.43</v>
      </c>
      <c r="BM75" s="30">
        <f>'Equity Volume Data'!BP75*'Equity Price Data'!BS76</f>
        <v>0</v>
      </c>
      <c r="BN75" s="30">
        <f>'Equity Volume Data'!BQ75*'Equity Price Data'!BT76</f>
        <v>17089.2</v>
      </c>
      <c r="BO75" s="30">
        <f>'Equity Volume Data'!BR75*'Equity Price Data'!BU76</f>
        <v>34640</v>
      </c>
    </row>
    <row r="76">
      <c r="A76" s="25">
        <f>'Equity Price Data'!A77</f>
        <v>45532.66667</v>
      </c>
      <c r="B76" s="29">
        <f t="shared" si="1"/>
        <v>1305407.04</v>
      </c>
      <c r="C76" s="30">
        <f>'Equity Volume Data'!F76*'Equity Price Data'!I77</f>
        <v>7287.02</v>
      </c>
      <c r="D76" s="30">
        <f>'Equity Volume Data'!G76*'Equity Price Data'!J77</f>
        <v>44408</v>
      </c>
      <c r="E76" s="30">
        <f>'Equity Volume Data'!H76*'Equity Price Data'!K77</f>
        <v>15594.7</v>
      </c>
      <c r="F76" s="30">
        <f>'Equity Volume Data'!I76*'Equity Price Data'!L77</f>
        <v>57981.44</v>
      </c>
      <c r="G76" s="30">
        <f>'Equity Volume Data'!J76*'Equity Price Data'!M77</f>
        <v>16009.87</v>
      </c>
      <c r="H76" s="30">
        <f>'Equity Volume Data'!K76*'Equity Price Data'!N77</f>
        <v>12596</v>
      </c>
      <c r="I76" s="30">
        <f>'Equity Volume Data'!L76*'Equity Price Data'!O77</f>
        <v>11870</v>
      </c>
      <c r="J76" s="30">
        <f>'Equity Volume Data'!M76*'Equity Price Data'!P77</f>
        <v>47388.18</v>
      </c>
      <c r="K76" s="30">
        <f>'Equity Volume Data'!N76*'Equity Price Data'!Q77</f>
        <v>10884</v>
      </c>
      <c r="L76" s="30">
        <f>'Equity Volume Data'!O76*'Equity Price Data'!R77</f>
        <v>24708.2</v>
      </c>
      <c r="M76" s="30">
        <f>'Equity Volume Data'!P76*'Equity Price Data'!S77</f>
        <v>0</v>
      </c>
      <c r="N76" s="30">
        <f>'Equity Volume Data'!Q76*'Equity Price Data'!T77</f>
        <v>5688.8</v>
      </c>
      <c r="O76" s="30">
        <f>'Equity Volume Data'!R76*'Equity Price Data'!U77</f>
        <v>52230</v>
      </c>
      <c r="P76" s="30">
        <f>'Equity Volume Data'!S76*'Equity Price Data'!V77</f>
        <v>0</v>
      </c>
      <c r="Q76" s="30">
        <f>'Equity Volume Data'!T76*'Equity Price Data'!W77</f>
        <v>22748.4</v>
      </c>
      <c r="R76" s="30">
        <f>'Equity Volume Data'!U76*'Equity Price Data'!X77</f>
        <v>11680</v>
      </c>
      <c r="S76" s="30">
        <f>'Equity Volume Data'!V76*'Equity Price Data'!Y77</f>
        <v>31497.84</v>
      </c>
      <c r="T76" s="30">
        <f>'Equity Volume Data'!W76*'Equity Price Data'!Z77</f>
        <v>10677.5</v>
      </c>
      <c r="U76" s="30">
        <f>'Equity Volume Data'!X76*'Equity Price Data'!AA77</f>
        <v>18942</v>
      </c>
      <c r="V76" s="30">
        <f>'Equity Volume Data'!Y76*'Equity Price Data'!AB77</f>
        <v>16162.79</v>
      </c>
      <c r="W76" s="30">
        <f>'Equity Volume Data'!Z76*'Equity Price Data'!AC77</f>
        <v>10357.59</v>
      </c>
      <c r="X76" s="30">
        <f>'Equity Volume Data'!AA76*'Equity Price Data'!AD77</f>
        <v>23615</v>
      </c>
      <c r="Y76" s="30">
        <f>'Equity Volume Data'!AB76*'Equity Price Data'!AE77</f>
        <v>5409.17</v>
      </c>
      <c r="Z76" s="30">
        <f>'Equity Volume Data'!AC76*'Equity Price Data'!AF77</f>
        <v>8667</v>
      </c>
      <c r="AA76" s="30">
        <f>'Equity Volume Data'!AD76*'Equity Price Data'!AG77</f>
        <v>19808.4</v>
      </c>
      <c r="AB76" s="30">
        <f>'Equity Volume Data'!AE76*'Equity Price Data'!AH77</f>
        <v>8883.9</v>
      </c>
      <c r="AC76" s="30">
        <f>'Equity Volume Data'!AF76*'Equity Price Data'!AI77</f>
        <v>19469.6</v>
      </c>
      <c r="AD76" s="30">
        <f>'Equity Volume Data'!AG76*'Equity Price Data'!AJ77</f>
        <v>13348.8</v>
      </c>
      <c r="AE76" s="30">
        <f>'Equity Volume Data'!AH76*'Equity Price Data'!AK77</f>
        <v>9810</v>
      </c>
      <c r="AF76" s="30">
        <f>'Equity Volume Data'!AI76*'Equity Price Data'!AL77</f>
        <v>16104.8</v>
      </c>
      <c r="AG76" s="30">
        <f>'Equity Volume Data'!AJ76*'Equity Price Data'!AM77</f>
        <v>30199.8</v>
      </c>
      <c r="AH76" s="30">
        <f>'Equity Volume Data'!AK76*'Equity Price Data'!AN77</f>
        <v>37269</v>
      </c>
      <c r="AI76" s="30">
        <f>'Equity Volume Data'!AL76*'Equity Price Data'!AO77</f>
        <v>18672.5</v>
      </c>
      <c r="AJ76" s="30">
        <f>'Equity Volume Data'!AM76*'Equity Price Data'!AP77</f>
        <v>20900.1</v>
      </c>
      <c r="AK76" s="30">
        <f>'Equity Volume Data'!AN76*'Equity Price Data'!AQ77</f>
        <v>0</v>
      </c>
      <c r="AL76" s="30">
        <f>'Equity Volume Data'!AO76*'Equity Price Data'!AR77</f>
        <v>35406.4</v>
      </c>
      <c r="AM76" s="30">
        <f>'Equity Volume Data'!AP76*'Equity Price Data'!AS77</f>
        <v>39478.6</v>
      </c>
      <c r="AN76" s="30">
        <f>'Equity Volume Data'!AQ76*'Equity Price Data'!AT77</f>
        <v>9059.05</v>
      </c>
      <c r="AO76" s="30">
        <f>'Equity Volume Data'!AR76*'Equity Price Data'!AU77</f>
        <v>23314.2</v>
      </c>
      <c r="AP76" s="30">
        <f>'Equity Volume Data'!AS76*'Equity Price Data'!AV77</f>
        <v>22082.5</v>
      </c>
      <c r="AQ76" s="30">
        <f>'Equity Volume Data'!AT76*'Equity Price Data'!AW77</f>
        <v>16665</v>
      </c>
      <c r="AR76" s="30">
        <f>'Equity Volume Data'!AU76*'Equity Price Data'!AX77</f>
        <v>0</v>
      </c>
      <c r="AS76" s="30">
        <f>'Equity Volume Data'!AV76*'Equity Price Data'!AY77</f>
        <v>49272</v>
      </c>
      <c r="AT76" s="30">
        <f>'Equity Volume Data'!AW76*'Equity Price Data'!AZ77</f>
        <v>15882</v>
      </c>
      <c r="AU76" s="30">
        <f>'Equity Volume Data'!AX76*'Equity Price Data'!BA77</f>
        <v>0</v>
      </c>
      <c r="AV76" s="30">
        <f>'Equity Volume Data'!AY76*'Equity Price Data'!BB77</f>
        <v>66573.3</v>
      </c>
      <c r="AW76" s="30">
        <f>'Equity Volume Data'!AZ76*'Equity Price Data'!BC77</f>
        <v>3736.4</v>
      </c>
      <c r="AX76" s="30">
        <f>'Equity Volume Data'!BA76*'Equity Price Data'!BD77</f>
        <v>0</v>
      </c>
      <c r="AY76" s="30">
        <f>'Equity Volume Data'!BB76*'Equity Price Data'!BE77</f>
        <v>0</v>
      </c>
      <c r="AZ76" s="30">
        <f>'Equity Volume Data'!BC76*'Equity Price Data'!BF77</f>
        <v>10564.5</v>
      </c>
      <c r="BA76" s="30">
        <f>'Equity Volume Data'!BD76*'Equity Price Data'!BG77</f>
        <v>5462.5</v>
      </c>
      <c r="BB76" s="30">
        <f>'Equity Volume Data'!BE76*'Equity Price Data'!BH77</f>
        <v>9667.2</v>
      </c>
      <c r="BC76" s="30">
        <f>'Equity Volume Data'!BF76*'Equity Price Data'!BI77</f>
        <v>0</v>
      </c>
      <c r="BD76" s="30">
        <f>'Equity Volume Data'!BG76*'Equity Price Data'!BJ77</f>
        <v>42900.33</v>
      </c>
      <c r="BE76" s="30">
        <f>'Equity Volume Data'!BH76*'Equity Price Data'!BK77</f>
        <v>14102.22</v>
      </c>
      <c r="BF76" s="30">
        <f>'Equity Volume Data'!BI76*'Equity Price Data'!BL77</f>
        <v>7506.8</v>
      </c>
      <c r="BG76" s="30">
        <f>'Equity Volume Data'!BJ76*'Equity Price Data'!BM77</f>
        <v>46982</v>
      </c>
      <c r="BH76" s="30">
        <f>'Equity Volume Data'!BK76*'Equity Price Data'!BN77</f>
        <v>1244.8</v>
      </c>
      <c r="BI76" s="30">
        <f>'Equity Volume Data'!BL76*'Equity Price Data'!BO77</f>
        <v>40427.2</v>
      </c>
      <c r="BJ76" s="30">
        <f>'Equity Volume Data'!BM76*'Equity Price Data'!BP77</f>
        <v>44140.5</v>
      </c>
      <c r="BK76" s="30">
        <f>'Equity Volume Data'!BN76*'Equity Price Data'!BQ77</f>
        <v>88045.72</v>
      </c>
      <c r="BL76" s="30">
        <f>'Equity Volume Data'!BO76*'Equity Price Data'!BR77</f>
        <v>559.3</v>
      </c>
      <c r="BM76" s="30">
        <f>'Equity Volume Data'!BP76*'Equity Price Data'!BS77</f>
        <v>0</v>
      </c>
      <c r="BN76" s="30">
        <f>'Equity Volume Data'!BQ76*'Equity Price Data'!BT77</f>
        <v>16824.12</v>
      </c>
      <c r="BO76" s="30">
        <f>'Equity Volume Data'!BR76*'Equity Price Data'!BU77</f>
        <v>34640</v>
      </c>
    </row>
    <row r="77">
      <c r="A77" s="25">
        <f>'Equity Price Data'!A78</f>
        <v>45533.66667</v>
      </c>
      <c r="B77" s="29">
        <f t="shared" si="1"/>
        <v>1303912.91</v>
      </c>
      <c r="C77" s="30">
        <f>'Equity Volume Data'!F77*'Equity Price Data'!I78</f>
        <v>7405.19</v>
      </c>
      <c r="D77" s="30">
        <f>'Equity Volume Data'!G77*'Equity Price Data'!J78</f>
        <v>44751.2</v>
      </c>
      <c r="E77" s="30">
        <f>'Equity Volume Data'!H77*'Equity Price Data'!K78</f>
        <v>15600.2</v>
      </c>
      <c r="F77" s="30">
        <f>'Equity Volume Data'!I77*'Equity Price Data'!L78</f>
        <v>58826.24</v>
      </c>
      <c r="G77" s="30">
        <f>'Equity Volume Data'!J77*'Equity Price Data'!M78</f>
        <v>16017.34</v>
      </c>
      <c r="H77" s="30">
        <f>'Equity Volume Data'!K77*'Equity Price Data'!N78</f>
        <v>12643</v>
      </c>
      <c r="I77" s="30">
        <f>'Equity Volume Data'!L77*'Equity Price Data'!O78</f>
        <v>12060</v>
      </c>
      <c r="J77" s="30">
        <f>'Equity Volume Data'!M77*'Equity Price Data'!P78</f>
        <v>47773.74</v>
      </c>
      <c r="K77" s="30">
        <f>'Equity Volume Data'!N77*'Equity Price Data'!Q78</f>
        <v>11026</v>
      </c>
      <c r="L77" s="30">
        <f>'Equity Volume Data'!O77*'Equity Price Data'!R78</f>
        <v>24783.22</v>
      </c>
      <c r="M77" s="30">
        <f>'Equity Volume Data'!P77*'Equity Price Data'!S78</f>
        <v>0</v>
      </c>
      <c r="N77" s="30">
        <f>'Equity Volume Data'!Q77*'Equity Price Data'!T78</f>
        <v>5687.2</v>
      </c>
      <c r="O77" s="30">
        <f>'Equity Volume Data'!R77*'Equity Price Data'!U78</f>
        <v>52746</v>
      </c>
      <c r="P77" s="30">
        <f>'Equity Volume Data'!S77*'Equity Price Data'!V78</f>
        <v>0</v>
      </c>
      <c r="Q77" s="30">
        <f>'Equity Volume Data'!T77*'Equity Price Data'!W78</f>
        <v>22993.2</v>
      </c>
      <c r="R77" s="30">
        <f>'Equity Volume Data'!U77*'Equity Price Data'!X78</f>
        <v>11793.6</v>
      </c>
      <c r="S77" s="30">
        <f>'Equity Volume Data'!V77*'Equity Price Data'!Y78</f>
        <v>31773.28</v>
      </c>
      <c r="T77" s="30">
        <f>'Equity Volume Data'!W77*'Equity Price Data'!Z78</f>
        <v>10670</v>
      </c>
      <c r="U77" s="30">
        <f>'Equity Volume Data'!X77*'Equity Price Data'!AA78</f>
        <v>19021.2</v>
      </c>
      <c r="V77" s="30">
        <f>'Equity Volume Data'!Y77*'Equity Price Data'!AB78</f>
        <v>16230.41</v>
      </c>
      <c r="W77" s="30">
        <f>'Equity Volume Data'!Z77*'Equity Price Data'!AC78</f>
        <v>10315.5</v>
      </c>
      <c r="X77" s="30">
        <f>'Equity Volume Data'!AA77*'Equity Price Data'!AD78</f>
        <v>21197.5</v>
      </c>
      <c r="Y77" s="30">
        <f>'Equity Volume Data'!AB77*'Equity Price Data'!AE78</f>
        <v>5368.48</v>
      </c>
      <c r="Z77" s="30">
        <f>'Equity Volume Data'!AC77*'Equity Price Data'!AF78</f>
        <v>8790</v>
      </c>
      <c r="AA77" s="30">
        <f>'Equity Volume Data'!AD77*'Equity Price Data'!AG78</f>
        <v>20082.1</v>
      </c>
      <c r="AB77" s="30">
        <f>'Equity Volume Data'!AE77*'Equity Price Data'!AH78</f>
        <v>8887.5</v>
      </c>
      <c r="AC77" s="30">
        <f>'Equity Volume Data'!AF77*'Equity Price Data'!AI78</f>
        <v>19623.6</v>
      </c>
      <c r="AD77" s="30">
        <f>'Equity Volume Data'!AG77*'Equity Price Data'!AJ78</f>
        <v>13402.35</v>
      </c>
      <c r="AE77" s="30">
        <f>'Equity Volume Data'!AH77*'Equity Price Data'!AK78</f>
        <v>9894</v>
      </c>
      <c r="AF77" s="30">
        <f>'Equity Volume Data'!AI77*'Equity Price Data'!AL78</f>
        <v>16287.25</v>
      </c>
      <c r="AG77" s="30">
        <f>'Equity Volume Data'!AJ77*'Equity Price Data'!AM78</f>
        <v>30606</v>
      </c>
      <c r="AH77" s="30">
        <f>'Equity Volume Data'!AK77*'Equity Price Data'!AN78</f>
        <v>36706</v>
      </c>
      <c r="AI77" s="30">
        <f>'Equity Volume Data'!AL77*'Equity Price Data'!AO78</f>
        <v>18889.5</v>
      </c>
      <c r="AJ77" s="30">
        <f>'Equity Volume Data'!AM77*'Equity Price Data'!AP78</f>
        <v>20828.6</v>
      </c>
      <c r="AK77" s="30">
        <f>'Equity Volume Data'!AN77*'Equity Price Data'!AQ78</f>
        <v>0</v>
      </c>
      <c r="AL77" s="30">
        <f>'Equity Volume Data'!AO77*'Equity Price Data'!AR78</f>
        <v>35553.6</v>
      </c>
      <c r="AM77" s="30">
        <f>'Equity Volume Data'!AP77*'Equity Price Data'!AS78</f>
        <v>39679.5</v>
      </c>
      <c r="AN77" s="30">
        <f>'Equity Volume Data'!AQ77*'Equity Price Data'!AT78</f>
        <v>9065.35</v>
      </c>
      <c r="AO77" s="30">
        <f>'Equity Volume Data'!AR77*'Equity Price Data'!AU78</f>
        <v>23382.52</v>
      </c>
      <c r="AP77" s="30">
        <f>'Equity Volume Data'!AS77*'Equity Price Data'!AV78</f>
        <v>22047.5</v>
      </c>
      <c r="AQ77" s="30">
        <f>'Equity Volume Data'!AT77*'Equity Price Data'!AW78</f>
        <v>16880.6</v>
      </c>
      <c r="AR77" s="30">
        <f>'Equity Volume Data'!AU77*'Equity Price Data'!AX78</f>
        <v>0</v>
      </c>
      <c r="AS77" s="30">
        <f>'Equity Volume Data'!AV77*'Equity Price Data'!AY78</f>
        <v>49574.4</v>
      </c>
      <c r="AT77" s="30">
        <f>'Equity Volume Data'!AW77*'Equity Price Data'!AZ78</f>
        <v>16006</v>
      </c>
      <c r="AU77" s="30">
        <f>'Equity Volume Data'!AX77*'Equity Price Data'!BA78</f>
        <v>0</v>
      </c>
      <c r="AV77" s="30">
        <f>'Equity Volume Data'!AY77*'Equity Price Data'!BB78</f>
        <v>62322.7</v>
      </c>
      <c r="AW77" s="30">
        <f>'Equity Volume Data'!AZ77*'Equity Price Data'!BC78</f>
        <v>3753.2</v>
      </c>
      <c r="AX77" s="30">
        <f>'Equity Volume Data'!BA77*'Equity Price Data'!BD78</f>
        <v>0</v>
      </c>
      <c r="AY77" s="30">
        <f>'Equity Volume Data'!BB77*'Equity Price Data'!BE78</f>
        <v>0</v>
      </c>
      <c r="AZ77" s="30">
        <f>'Equity Volume Data'!BC77*'Equity Price Data'!BF78</f>
        <v>10974</v>
      </c>
      <c r="BA77" s="30">
        <f>'Equity Volume Data'!BD77*'Equity Price Data'!BG78</f>
        <v>5456.8</v>
      </c>
      <c r="BB77" s="30">
        <f>'Equity Volume Data'!BE77*'Equity Price Data'!BH78</f>
        <v>9783.2</v>
      </c>
      <c r="BC77" s="30">
        <f>'Equity Volume Data'!BF77*'Equity Price Data'!BI78</f>
        <v>0</v>
      </c>
      <c r="BD77" s="30">
        <f>'Equity Volume Data'!BG77*'Equity Price Data'!BJ78</f>
        <v>42617.04</v>
      </c>
      <c r="BE77" s="30">
        <f>'Equity Volume Data'!BH77*'Equity Price Data'!BK78</f>
        <v>14068.64</v>
      </c>
      <c r="BF77" s="30">
        <f>'Equity Volume Data'!BI77*'Equity Price Data'!BL78</f>
        <v>7510.8</v>
      </c>
      <c r="BG77" s="30">
        <f>'Equity Volume Data'!BJ77*'Equity Price Data'!BM78</f>
        <v>46328.7</v>
      </c>
      <c r="BH77" s="30">
        <f>'Equity Volume Data'!BK77*'Equity Price Data'!BN78</f>
        <v>1238.4</v>
      </c>
      <c r="BI77" s="30">
        <f>'Equity Volume Data'!BL77*'Equity Price Data'!BO78</f>
        <v>40512</v>
      </c>
      <c r="BJ77" s="30">
        <f>'Equity Volume Data'!BM77*'Equity Price Data'!BP78</f>
        <v>44367.75</v>
      </c>
      <c r="BK77" s="30">
        <f>'Equity Volume Data'!BN77*'Equity Price Data'!BQ78</f>
        <v>88027.7</v>
      </c>
      <c r="BL77" s="30">
        <f>'Equity Volume Data'!BO77*'Equity Price Data'!BR78</f>
        <v>558.83</v>
      </c>
      <c r="BM77" s="30">
        <f>'Equity Volume Data'!BP77*'Equity Price Data'!BS78</f>
        <v>0</v>
      </c>
      <c r="BN77" s="30">
        <f>'Equity Volume Data'!BQ77*'Equity Price Data'!BT78</f>
        <v>16884.28</v>
      </c>
      <c r="BO77" s="30">
        <f>'Equity Volume Data'!BR77*'Equity Price Data'!BU78</f>
        <v>34640</v>
      </c>
    </row>
    <row r="78">
      <c r="A78" s="25">
        <f>'Equity Price Data'!A79</f>
        <v>45534.66667</v>
      </c>
      <c r="B78" s="29">
        <f t="shared" si="1"/>
        <v>1312803.57</v>
      </c>
      <c r="C78" s="30">
        <f>'Equity Volume Data'!F78*'Equity Price Data'!I79</f>
        <v>7467.33</v>
      </c>
      <c r="D78" s="30">
        <f>'Equity Volume Data'!G78*'Equity Price Data'!J79</f>
        <v>46410</v>
      </c>
      <c r="E78" s="30">
        <f>'Equity Volume Data'!H78*'Equity Price Data'!K79</f>
        <v>15743.2</v>
      </c>
      <c r="F78" s="30">
        <f>'Equity Volume Data'!I78*'Equity Price Data'!L79</f>
        <v>58624</v>
      </c>
      <c r="G78" s="30">
        <f>'Equity Volume Data'!J78*'Equity Price Data'!M79</f>
        <v>16372.58</v>
      </c>
      <c r="H78" s="30">
        <f>'Equity Volume Data'!K78*'Equity Price Data'!N79</f>
        <v>12825.36</v>
      </c>
      <c r="I78" s="30">
        <f>'Equity Volume Data'!L78*'Equity Price Data'!O79</f>
        <v>12170</v>
      </c>
      <c r="J78" s="30">
        <f>'Equity Volume Data'!M78*'Equity Price Data'!P79</f>
        <v>48543.84</v>
      </c>
      <c r="K78" s="30">
        <f>'Equity Volume Data'!N78*'Equity Price Data'!Q79</f>
        <v>11026</v>
      </c>
      <c r="L78" s="30">
        <f>'Equity Volume Data'!O78*'Equity Price Data'!R79</f>
        <v>24775.96</v>
      </c>
      <c r="M78" s="30">
        <f>'Equity Volume Data'!P78*'Equity Price Data'!S79</f>
        <v>0</v>
      </c>
      <c r="N78" s="30">
        <f>'Equity Volume Data'!Q78*'Equity Price Data'!T79</f>
        <v>5822.4</v>
      </c>
      <c r="O78" s="30">
        <f>'Equity Volume Data'!R78*'Equity Price Data'!U79</f>
        <v>53415</v>
      </c>
      <c r="P78" s="30">
        <f>'Equity Volume Data'!S78*'Equity Price Data'!V79</f>
        <v>0</v>
      </c>
      <c r="Q78" s="30">
        <f>'Equity Volume Data'!T78*'Equity Price Data'!W79</f>
        <v>23100</v>
      </c>
      <c r="R78" s="30">
        <f>'Equity Volume Data'!U78*'Equity Price Data'!X79</f>
        <v>11836</v>
      </c>
      <c r="S78" s="30">
        <f>'Equity Volume Data'!V78*'Equity Price Data'!Y79</f>
        <v>31839.28</v>
      </c>
      <c r="T78" s="30">
        <f>'Equity Volume Data'!W78*'Equity Price Data'!Z79</f>
        <v>10762.5</v>
      </c>
      <c r="U78" s="30">
        <f>'Equity Volume Data'!X78*'Equity Price Data'!AA79</f>
        <v>19132.08</v>
      </c>
      <c r="V78" s="30">
        <f>'Equity Volume Data'!Y78*'Equity Price Data'!AB79</f>
        <v>16351.16</v>
      </c>
      <c r="W78" s="30">
        <f>'Equity Volume Data'!Z78*'Equity Price Data'!AC79</f>
        <v>10461.09</v>
      </c>
      <c r="X78" s="30">
        <f>'Equity Volume Data'!AA78*'Equity Price Data'!AD79</f>
        <v>21122.5</v>
      </c>
      <c r="Y78" s="30">
        <f>'Equity Volume Data'!AB78*'Equity Price Data'!AE79</f>
        <v>5384.73</v>
      </c>
      <c r="Z78" s="30">
        <f>'Equity Volume Data'!AC78*'Equity Price Data'!AF79</f>
        <v>8865</v>
      </c>
      <c r="AA78" s="30">
        <f>'Equity Volume Data'!AD78*'Equity Price Data'!AG79</f>
        <v>20049.8</v>
      </c>
      <c r="AB78" s="30">
        <f>'Equity Volume Data'!AE78*'Equity Price Data'!AH79</f>
        <v>8963.1</v>
      </c>
      <c r="AC78" s="30">
        <f>'Equity Volume Data'!AF78*'Equity Price Data'!AI79</f>
        <v>19871.6</v>
      </c>
      <c r="AD78" s="30">
        <f>'Equity Volume Data'!AG78*'Equity Price Data'!AJ79</f>
        <v>13471.2</v>
      </c>
      <c r="AE78" s="30">
        <f>'Equity Volume Data'!AH78*'Equity Price Data'!AK79</f>
        <v>9956</v>
      </c>
      <c r="AF78" s="30">
        <f>'Equity Volume Data'!AI78*'Equity Price Data'!AL79</f>
        <v>16195</v>
      </c>
      <c r="AG78" s="30">
        <f>'Equity Volume Data'!AJ78*'Equity Price Data'!AM79</f>
        <v>30615</v>
      </c>
      <c r="AH78" s="30">
        <f>'Equity Volume Data'!AK78*'Equity Price Data'!AN79</f>
        <v>36850</v>
      </c>
      <c r="AI78" s="30">
        <f>'Equity Volume Data'!AL78*'Equity Price Data'!AO79</f>
        <v>19327</v>
      </c>
      <c r="AJ78" s="30">
        <f>'Equity Volume Data'!AM78*'Equity Price Data'!AP79</f>
        <v>21001.5</v>
      </c>
      <c r="AK78" s="30">
        <f>'Equity Volume Data'!AN78*'Equity Price Data'!AQ79</f>
        <v>0</v>
      </c>
      <c r="AL78" s="30">
        <f>'Equity Volume Data'!AO78*'Equity Price Data'!AR79</f>
        <v>35968</v>
      </c>
      <c r="AM78" s="30">
        <f>'Equity Volume Data'!AP78*'Equity Price Data'!AS79</f>
        <v>39767</v>
      </c>
      <c r="AN78" s="30">
        <f>'Equity Volume Data'!AQ78*'Equity Price Data'!AT79</f>
        <v>9081.45</v>
      </c>
      <c r="AO78" s="30">
        <f>'Equity Volume Data'!AR78*'Equity Price Data'!AU79</f>
        <v>23578.94</v>
      </c>
      <c r="AP78" s="30">
        <f>'Equity Volume Data'!AS78*'Equity Price Data'!AV79</f>
        <v>22145</v>
      </c>
      <c r="AQ78" s="30">
        <f>'Equity Volume Data'!AT78*'Equity Price Data'!AW79</f>
        <v>17045.6</v>
      </c>
      <c r="AR78" s="30">
        <f>'Equity Volume Data'!AU78*'Equity Price Data'!AX79</f>
        <v>0</v>
      </c>
      <c r="AS78" s="30">
        <f>'Equity Volume Data'!AV78*'Equity Price Data'!AY79</f>
        <v>50056.8</v>
      </c>
      <c r="AT78" s="30">
        <f>'Equity Volume Data'!AW78*'Equity Price Data'!AZ79</f>
        <v>16102</v>
      </c>
      <c r="AU78" s="30">
        <f>'Equity Volume Data'!AX78*'Equity Price Data'!BA79</f>
        <v>0</v>
      </c>
      <c r="AV78" s="30">
        <f>'Equity Volume Data'!AY78*'Equity Price Data'!BB79</f>
        <v>63266.1</v>
      </c>
      <c r="AW78" s="30">
        <f>'Equity Volume Data'!AZ78*'Equity Price Data'!BC79</f>
        <v>3787.6</v>
      </c>
      <c r="AX78" s="30">
        <f>'Equity Volume Data'!BA78*'Equity Price Data'!BD79</f>
        <v>0</v>
      </c>
      <c r="AY78" s="30">
        <f>'Equity Volume Data'!BB78*'Equity Price Data'!BE79</f>
        <v>0</v>
      </c>
      <c r="AZ78" s="30">
        <f>'Equity Volume Data'!BC78*'Equity Price Data'!BF79</f>
        <v>10864.5</v>
      </c>
      <c r="BA78" s="30">
        <f>'Equity Volume Data'!BD78*'Equity Price Data'!BG79</f>
        <v>5511.9</v>
      </c>
      <c r="BB78" s="30">
        <f>'Equity Volume Data'!BE78*'Equity Price Data'!BH79</f>
        <v>9867.2</v>
      </c>
      <c r="BC78" s="30">
        <f>'Equity Volume Data'!BF78*'Equity Price Data'!BI79</f>
        <v>0</v>
      </c>
      <c r="BD78" s="30">
        <f>'Equity Volume Data'!BG78*'Equity Price Data'!BJ79</f>
        <v>42327.36</v>
      </c>
      <c r="BE78" s="30">
        <f>'Equity Volume Data'!BH78*'Equity Price Data'!BK79</f>
        <v>14146.61</v>
      </c>
      <c r="BF78" s="30">
        <f>'Equity Volume Data'!BI78*'Equity Price Data'!BL79</f>
        <v>7592</v>
      </c>
      <c r="BG78" s="30">
        <f>'Equity Volume Data'!BJ78*'Equity Price Data'!BM79</f>
        <v>46720.68</v>
      </c>
      <c r="BH78" s="30">
        <f>'Equity Volume Data'!BK78*'Equity Price Data'!BN79</f>
        <v>1230.4</v>
      </c>
      <c r="BI78" s="30">
        <f>'Equity Volume Data'!BL78*'Equity Price Data'!BO79</f>
        <v>40974.4</v>
      </c>
      <c r="BJ78" s="30">
        <f>'Equity Volume Data'!BM78*'Equity Price Data'!BP79</f>
        <v>44265</v>
      </c>
      <c r="BK78" s="30">
        <f>'Equity Volume Data'!BN78*'Equity Price Data'!BQ79</f>
        <v>87955.62</v>
      </c>
      <c r="BL78" s="30">
        <f>'Equity Volume Data'!BO78*'Equity Price Data'!BR79</f>
        <v>567.76</v>
      </c>
      <c r="BM78" s="30">
        <f>'Equity Volume Data'!BP78*'Equity Price Data'!BS79</f>
        <v>0</v>
      </c>
      <c r="BN78" s="30">
        <f>'Equity Volume Data'!BQ78*'Equity Price Data'!BT79</f>
        <v>16991.44</v>
      </c>
      <c r="BO78" s="30">
        <f>'Equity Volume Data'!BR78*'Equity Price Data'!BU79</f>
        <v>34640</v>
      </c>
    </row>
    <row r="79">
      <c r="A79" s="25">
        <f>'Equity Price Data'!A80</f>
        <v>45538.66667</v>
      </c>
      <c r="B79" s="29">
        <f t="shared" si="1"/>
        <v>1291340.24</v>
      </c>
      <c r="C79" s="30">
        <f>'Equity Volume Data'!F79*'Equity Price Data'!I80</f>
        <v>7423.52</v>
      </c>
      <c r="D79" s="30">
        <f>'Equity Volume Data'!G79*'Equity Price Data'!J80</f>
        <v>45825</v>
      </c>
      <c r="E79" s="30">
        <f>'Equity Volume Data'!H79*'Equity Price Data'!K80</f>
        <v>15782.8</v>
      </c>
      <c r="F79" s="30">
        <f>'Equity Volume Data'!I79*'Equity Price Data'!L80</f>
        <v>57029.12</v>
      </c>
      <c r="G79" s="30">
        <f>'Equity Volume Data'!J79*'Equity Price Data'!M80</f>
        <v>15219.71</v>
      </c>
      <c r="H79" s="30">
        <f>'Equity Volume Data'!K79*'Equity Price Data'!N80</f>
        <v>12763.32</v>
      </c>
      <c r="I79" s="30">
        <f>'Equity Volume Data'!L79*'Equity Price Data'!O80</f>
        <v>11730</v>
      </c>
      <c r="J79" s="30">
        <f>'Equity Volume Data'!M79*'Equity Price Data'!P80</f>
        <v>48636.66</v>
      </c>
      <c r="K79" s="30">
        <f>'Equity Volume Data'!N79*'Equity Price Data'!Q80</f>
        <v>10468</v>
      </c>
      <c r="L79" s="30">
        <f>'Equity Volume Data'!O79*'Equity Price Data'!R80</f>
        <v>24785.64</v>
      </c>
      <c r="M79" s="30">
        <f>'Equity Volume Data'!P79*'Equity Price Data'!S80</f>
        <v>0</v>
      </c>
      <c r="N79" s="30">
        <f>'Equity Volume Data'!Q79*'Equity Price Data'!T80</f>
        <v>5604.8</v>
      </c>
      <c r="O79" s="30">
        <f>'Equity Volume Data'!R79*'Equity Price Data'!U80</f>
        <v>51036</v>
      </c>
      <c r="P79" s="30">
        <f>'Equity Volume Data'!S79*'Equity Price Data'!V80</f>
        <v>0</v>
      </c>
      <c r="Q79" s="30">
        <f>'Equity Volume Data'!T79*'Equity Price Data'!W80</f>
        <v>22798.8</v>
      </c>
      <c r="R79" s="30">
        <f>'Equity Volume Data'!U79*'Equity Price Data'!X80</f>
        <v>11572.8</v>
      </c>
      <c r="S79" s="30">
        <f>'Equity Volume Data'!V79*'Equity Price Data'!Y80</f>
        <v>32162.24</v>
      </c>
      <c r="T79" s="30">
        <f>'Equity Volume Data'!W79*'Equity Price Data'!Z80</f>
        <v>10667.5</v>
      </c>
      <c r="U79" s="30">
        <f>'Equity Volume Data'!X79*'Equity Price Data'!AA80</f>
        <v>19274.64</v>
      </c>
      <c r="V79" s="30">
        <f>'Equity Volume Data'!Y79*'Equity Price Data'!AB80</f>
        <v>16628.08</v>
      </c>
      <c r="W79" s="30">
        <f>'Equity Volume Data'!Z79*'Equity Price Data'!AC80</f>
        <v>10335.51</v>
      </c>
      <c r="X79" s="30">
        <f>'Equity Volume Data'!AA79*'Equity Price Data'!AD80</f>
        <v>20412.5</v>
      </c>
      <c r="Y79" s="30">
        <f>'Equity Volume Data'!AB79*'Equity Price Data'!AE80</f>
        <v>5246.15</v>
      </c>
      <c r="Z79" s="30">
        <f>'Equity Volume Data'!AC79*'Equity Price Data'!AF80</f>
        <v>8820</v>
      </c>
      <c r="AA79" s="30">
        <f>'Equity Volume Data'!AD79*'Equity Price Data'!AG80</f>
        <v>19629.9</v>
      </c>
      <c r="AB79" s="30">
        <f>'Equity Volume Data'!AE79*'Equity Price Data'!AH80</f>
        <v>8804.4</v>
      </c>
      <c r="AC79" s="30">
        <f>'Equity Volume Data'!AF79*'Equity Price Data'!AI80</f>
        <v>19467.2</v>
      </c>
      <c r="AD79" s="30">
        <f>'Equity Volume Data'!AG79*'Equity Price Data'!AJ80</f>
        <v>13271.4</v>
      </c>
      <c r="AE79" s="30">
        <f>'Equity Volume Data'!AH79*'Equity Price Data'!AK80</f>
        <v>9682</v>
      </c>
      <c r="AF79" s="30">
        <f>'Equity Volume Data'!AI79*'Equity Price Data'!AL80</f>
        <v>16338.5</v>
      </c>
      <c r="AG79" s="30">
        <f>'Equity Volume Data'!AJ79*'Equity Price Data'!AM80</f>
        <v>29247.6</v>
      </c>
      <c r="AH79" s="30">
        <f>'Equity Volume Data'!AK79*'Equity Price Data'!AN80</f>
        <v>36474</v>
      </c>
      <c r="AI79" s="30">
        <f>'Equity Volume Data'!AL79*'Equity Price Data'!AO80</f>
        <v>19050.5</v>
      </c>
      <c r="AJ79" s="30">
        <f>'Equity Volume Data'!AM79*'Equity Price Data'!AP80</f>
        <v>20987.2</v>
      </c>
      <c r="AK79" s="30">
        <f>'Equity Volume Data'!AN79*'Equity Price Data'!AQ80</f>
        <v>0</v>
      </c>
      <c r="AL79" s="30">
        <f>'Equity Volume Data'!AO79*'Equity Price Data'!AR80</f>
        <v>35248</v>
      </c>
      <c r="AM79" s="30">
        <f>'Equity Volume Data'!AP79*'Equity Price Data'!AS80</f>
        <v>39705.4</v>
      </c>
      <c r="AN79" s="30">
        <f>'Equity Volume Data'!AQ79*'Equity Price Data'!AT80</f>
        <v>9032.8</v>
      </c>
      <c r="AO79" s="30">
        <f>'Equity Volume Data'!AR79*'Equity Price Data'!AU80</f>
        <v>23425.22</v>
      </c>
      <c r="AP79" s="30">
        <f>'Equity Volume Data'!AS79*'Equity Price Data'!AV80</f>
        <v>22240</v>
      </c>
      <c r="AQ79" s="30">
        <f>'Equity Volume Data'!AT79*'Equity Price Data'!AW80</f>
        <v>17107.2</v>
      </c>
      <c r="AR79" s="30">
        <f>'Equity Volume Data'!AU79*'Equity Price Data'!AX80</f>
        <v>0</v>
      </c>
      <c r="AS79" s="30">
        <f>'Equity Volume Data'!AV79*'Equity Price Data'!AY80</f>
        <v>49132.8</v>
      </c>
      <c r="AT79" s="30">
        <f>'Equity Volume Data'!AW79*'Equity Price Data'!AZ80</f>
        <v>15986</v>
      </c>
      <c r="AU79" s="30">
        <f>'Equity Volume Data'!AX79*'Equity Price Data'!BA80</f>
        <v>0</v>
      </c>
      <c r="AV79" s="30">
        <f>'Equity Volume Data'!AY79*'Equity Price Data'!BB80</f>
        <v>57240</v>
      </c>
      <c r="AW79" s="30">
        <f>'Equity Volume Data'!AZ79*'Equity Price Data'!BC80</f>
        <v>3801.2</v>
      </c>
      <c r="AX79" s="30">
        <f>'Equity Volume Data'!BA79*'Equity Price Data'!BD80</f>
        <v>0</v>
      </c>
      <c r="AY79" s="30">
        <f>'Equity Volume Data'!BB79*'Equity Price Data'!BE80</f>
        <v>0</v>
      </c>
      <c r="AZ79" s="30">
        <f>'Equity Volume Data'!BC79*'Equity Price Data'!BF80</f>
        <v>10800</v>
      </c>
      <c r="BA79" s="30">
        <f>'Equity Volume Data'!BD79*'Equity Price Data'!BG80</f>
        <v>5377</v>
      </c>
      <c r="BB79" s="30">
        <f>'Equity Volume Data'!BE79*'Equity Price Data'!BH80</f>
        <v>9679.2</v>
      </c>
      <c r="BC79" s="30">
        <f>'Equity Volume Data'!BF79*'Equity Price Data'!BI80</f>
        <v>0</v>
      </c>
      <c r="BD79" s="30">
        <f>'Equity Volume Data'!BG79*'Equity Price Data'!BJ80</f>
        <v>42712.89</v>
      </c>
      <c r="BE79" s="30">
        <f>'Equity Volume Data'!BH79*'Equity Price Data'!BK80</f>
        <v>13947.89</v>
      </c>
      <c r="BF79" s="30">
        <f>'Equity Volume Data'!BI79*'Equity Price Data'!BL80</f>
        <v>7446</v>
      </c>
      <c r="BG79" s="30">
        <f>'Equity Volume Data'!BJ79*'Equity Price Data'!BM80</f>
        <v>44307.64</v>
      </c>
      <c r="BH79" s="30">
        <f>'Equity Volume Data'!BK79*'Equity Price Data'!BN80</f>
        <v>1312</v>
      </c>
      <c r="BI79" s="30">
        <f>'Equity Volume Data'!BL79*'Equity Price Data'!BO80</f>
        <v>40833.6</v>
      </c>
      <c r="BJ79" s="30">
        <f>'Equity Volume Data'!BM79*'Equity Price Data'!BP80</f>
        <v>44901</v>
      </c>
      <c r="BK79" s="30">
        <f>'Equity Volume Data'!BN79*'Equity Price Data'!BQ80</f>
        <v>87973.64</v>
      </c>
      <c r="BL79" s="30">
        <f>'Equity Volume Data'!BO79*'Equity Price Data'!BR80</f>
        <v>558.83</v>
      </c>
      <c r="BM79" s="30">
        <f>'Equity Volume Data'!BP79*'Equity Price Data'!BS80</f>
        <v>0</v>
      </c>
      <c r="BN79" s="30">
        <f>'Equity Volume Data'!BQ79*'Equity Price Data'!BT80</f>
        <v>16756.44</v>
      </c>
      <c r="BO79" s="30">
        <f>'Equity Volume Data'!BR79*'Equity Price Data'!BU80</f>
        <v>34640</v>
      </c>
    </row>
    <row r="80">
      <c r="A80" s="25">
        <f>'Equity Price Data'!A81</f>
        <v>45539.66667</v>
      </c>
      <c r="B80" s="29">
        <f t="shared" si="1"/>
        <v>1282943.45</v>
      </c>
      <c r="C80" s="30">
        <f>'Equity Volume Data'!F80*'Equity Price Data'!I81</f>
        <v>7478.25</v>
      </c>
      <c r="D80" s="30">
        <f>'Equity Volume Data'!G80*'Equity Price Data'!J81</f>
        <v>45065.8</v>
      </c>
      <c r="E80" s="30">
        <f>'Equity Volume Data'!H80*'Equity Price Data'!K81</f>
        <v>15856.5</v>
      </c>
      <c r="F80" s="30">
        <f>'Equity Volume Data'!I80*'Equity Price Data'!L81</f>
        <v>56537.6</v>
      </c>
      <c r="G80" s="30">
        <f>'Equity Volume Data'!J80*'Equity Price Data'!M81</f>
        <v>15137.54</v>
      </c>
      <c r="H80" s="30">
        <f>'Equity Volume Data'!K80*'Equity Price Data'!N81</f>
        <v>12735.12</v>
      </c>
      <c r="I80" s="30">
        <f>'Equity Volume Data'!L80*'Equity Price Data'!O81</f>
        <v>11740</v>
      </c>
      <c r="J80" s="30">
        <f>'Equity Volume Data'!M80*'Equity Price Data'!P81</f>
        <v>48814.14</v>
      </c>
      <c r="K80" s="30">
        <f>'Equity Volume Data'!N80*'Equity Price Data'!Q81</f>
        <v>10450</v>
      </c>
      <c r="L80" s="30">
        <f>'Equity Volume Data'!O80*'Equity Price Data'!R81</f>
        <v>24798.95</v>
      </c>
      <c r="M80" s="30">
        <f>'Equity Volume Data'!P80*'Equity Price Data'!S81</f>
        <v>0</v>
      </c>
      <c r="N80" s="30">
        <f>'Equity Volume Data'!Q80*'Equity Price Data'!T81</f>
        <v>5528.8</v>
      </c>
      <c r="O80" s="30">
        <f>'Equity Volume Data'!R80*'Equity Price Data'!U81</f>
        <v>50512.5</v>
      </c>
      <c r="P80" s="30">
        <f>'Equity Volume Data'!S80*'Equity Price Data'!V81</f>
        <v>0</v>
      </c>
      <c r="Q80" s="30">
        <f>'Equity Volume Data'!T80*'Equity Price Data'!W81</f>
        <v>22834.8</v>
      </c>
      <c r="R80" s="30">
        <f>'Equity Volume Data'!U80*'Equity Price Data'!X81</f>
        <v>11365.6</v>
      </c>
      <c r="S80" s="30">
        <f>'Equity Volume Data'!V80*'Equity Price Data'!Y81</f>
        <v>32264.32</v>
      </c>
      <c r="T80" s="30">
        <f>'Equity Volume Data'!W80*'Equity Price Data'!Z81</f>
        <v>10492.5</v>
      </c>
      <c r="U80" s="30">
        <f>'Equity Volume Data'!X80*'Equity Price Data'!AA81</f>
        <v>19155.84</v>
      </c>
      <c r="V80" s="30">
        <f>'Equity Volume Data'!Y80*'Equity Price Data'!AB81</f>
        <v>16808.4</v>
      </c>
      <c r="W80" s="30">
        <f>'Equity Volume Data'!Z80*'Equity Price Data'!AC81</f>
        <v>10287.21</v>
      </c>
      <c r="X80" s="30">
        <f>'Equity Volume Data'!AA80*'Equity Price Data'!AD81</f>
        <v>15890</v>
      </c>
      <c r="Y80" s="30">
        <f>'Equity Volume Data'!AB80*'Equity Price Data'!AE81</f>
        <v>5271.89</v>
      </c>
      <c r="Z80" s="30">
        <f>'Equity Volume Data'!AC80*'Equity Price Data'!AF81</f>
        <v>8842.5</v>
      </c>
      <c r="AA80" s="30">
        <f>'Equity Volume Data'!AD80*'Equity Price Data'!AG81</f>
        <v>19390.2</v>
      </c>
      <c r="AB80" s="30">
        <f>'Equity Volume Data'!AE80*'Equity Price Data'!AH81</f>
        <v>8785.2</v>
      </c>
      <c r="AC80" s="30">
        <f>'Equity Volume Data'!AF80*'Equity Price Data'!AI81</f>
        <v>19476.8</v>
      </c>
      <c r="AD80" s="30">
        <f>'Equity Volume Data'!AG80*'Equity Price Data'!AJ81</f>
        <v>13245.75</v>
      </c>
      <c r="AE80" s="30">
        <f>'Equity Volume Data'!AH80*'Equity Price Data'!AK81</f>
        <v>9690</v>
      </c>
      <c r="AF80" s="30">
        <f>'Equity Volume Data'!AI80*'Equity Price Data'!AL81</f>
        <v>16221.65</v>
      </c>
      <c r="AG80" s="30">
        <f>'Equity Volume Data'!AJ80*'Equity Price Data'!AM81</f>
        <v>29438.4</v>
      </c>
      <c r="AH80" s="30">
        <f>'Equity Volume Data'!AK80*'Equity Price Data'!AN81</f>
        <v>36467</v>
      </c>
      <c r="AI80" s="30">
        <f>'Equity Volume Data'!AL80*'Equity Price Data'!AO81</f>
        <v>18914</v>
      </c>
      <c r="AJ80" s="30">
        <f>'Equity Volume Data'!AM80*'Equity Price Data'!AP81</f>
        <v>21115.9</v>
      </c>
      <c r="AK80" s="30">
        <f>'Equity Volume Data'!AN80*'Equity Price Data'!AQ81</f>
        <v>0</v>
      </c>
      <c r="AL80" s="30">
        <f>'Equity Volume Data'!AO80*'Equity Price Data'!AR81</f>
        <v>35092.8</v>
      </c>
      <c r="AM80" s="30">
        <f>'Equity Volume Data'!AP80*'Equity Price Data'!AS81</f>
        <v>40234.6</v>
      </c>
      <c r="AN80" s="30">
        <f>'Equity Volume Data'!AQ80*'Equity Price Data'!AT81</f>
        <v>8942.85</v>
      </c>
      <c r="AO80" s="30">
        <f>'Equity Volume Data'!AR80*'Equity Price Data'!AU81</f>
        <v>23570.4</v>
      </c>
      <c r="AP80" s="30">
        <f>'Equity Volume Data'!AS80*'Equity Price Data'!AV81</f>
        <v>22757.5</v>
      </c>
      <c r="AQ80" s="30">
        <f>'Equity Volume Data'!AT80*'Equity Price Data'!AW81</f>
        <v>17054.4</v>
      </c>
      <c r="AR80" s="30">
        <f>'Equity Volume Data'!AU80*'Equity Price Data'!AX81</f>
        <v>0</v>
      </c>
      <c r="AS80" s="30">
        <f>'Equity Volume Data'!AV80*'Equity Price Data'!AY81</f>
        <v>49068</v>
      </c>
      <c r="AT80" s="30">
        <f>'Equity Volume Data'!AW80*'Equity Price Data'!AZ81</f>
        <v>16216</v>
      </c>
      <c r="AU80" s="30">
        <f>'Equity Volume Data'!AX80*'Equity Price Data'!BA81</f>
        <v>0</v>
      </c>
      <c r="AV80" s="30">
        <f>'Equity Volume Data'!AY80*'Equity Price Data'!BB81</f>
        <v>56291.3</v>
      </c>
      <c r="AW80" s="30">
        <f>'Equity Volume Data'!AZ80*'Equity Price Data'!BC81</f>
        <v>3770.4</v>
      </c>
      <c r="AX80" s="30">
        <f>'Equity Volume Data'!BA80*'Equity Price Data'!BD81</f>
        <v>0</v>
      </c>
      <c r="AY80" s="30">
        <f>'Equity Volume Data'!BB80*'Equity Price Data'!BE81</f>
        <v>0</v>
      </c>
      <c r="AZ80" s="30">
        <f>'Equity Volume Data'!BC80*'Equity Price Data'!BF81</f>
        <v>10891.5</v>
      </c>
      <c r="BA80" s="30">
        <f>'Equity Volume Data'!BD80*'Equity Price Data'!BG81</f>
        <v>5394.1</v>
      </c>
      <c r="BB80" s="30">
        <f>'Equity Volume Data'!BE80*'Equity Price Data'!BH81</f>
        <v>9688.8</v>
      </c>
      <c r="BC80" s="30">
        <f>'Equity Volume Data'!BF80*'Equity Price Data'!BI81</f>
        <v>0</v>
      </c>
      <c r="BD80" s="30">
        <f>'Equity Volume Data'!BG80*'Equity Price Data'!BJ81</f>
        <v>42344.4</v>
      </c>
      <c r="BE80" s="30">
        <f>'Equity Volume Data'!BH80*'Equity Price Data'!BK81</f>
        <v>14073.7</v>
      </c>
      <c r="BF80" s="30">
        <f>'Equity Volume Data'!BI80*'Equity Price Data'!BL81</f>
        <v>7388.4</v>
      </c>
      <c r="BG80" s="30">
        <f>'Equity Volume Data'!BJ80*'Equity Price Data'!BM81</f>
        <v>41972.44</v>
      </c>
      <c r="BH80" s="30">
        <f>'Equity Volume Data'!BK80*'Equity Price Data'!BN81</f>
        <v>1316.8</v>
      </c>
      <c r="BI80" s="30">
        <f>'Equity Volume Data'!BL80*'Equity Price Data'!BO81</f>
        <v>40912</v>
      </c>
      <c r="BJ80" s="30">
        <f>'Equity Volume Data'!BM80*'Equity Price Data'!BP81</f>
        <v>45313.5</v>
      </c>
      <c r="BK80" s="30">
        <f>'Equity Volume Data'!BN80*'Equity Price Data'!BQ81</f>
        <v>88063.74</v>
      </c>
      <c r="BL80" s="30">
        <f>'Equity Volume Data'!BO80*'Equity Price Data'!BR81</f>
        <v>553.66</v>
      </c>
      <c r="BM80" s="30">
        <f>'Equity Volume Data'!BP80*'Equity Price Data'!BS81</f>
        <v>0</v>
      </c>
      <c r="BN80" s="30">
        <f>'Equity Volume Data'!BQ80*'Equity Price Data'!BT81</f>
        <v>16779</v>
      </c>
      <c r="BO80" s="30">
        <f>'Equity Volume Data'!BR80*'Equity Price Data'!BU81</f>
        <v>34640</v>
      </c>
    </row>
    <row r="81">
      <c r="A81" s="25">
        <f>'Equity Price Data'!A82</f>
        <v>45540.66667</v>
      </c>
      <c r="B81" s="29">
        <f t="shared" si="1"/>
        <v>1275125.49</v>
      </c>
      <c r="C81" s="30">
        <f>'Equity Volume Data'!F81*'Equity Price Data'!I82</f>
        <v>7383.09</v>
      </c>
      <c r="D81" s="30">
        <f>'Equity Volume Data'!G81*'Equity Price Data'!J82</f>
        <v>46251.4</v>
      </c>
      <c r="E81" s="30">
        <f>'Equity Volume Data'!H81*'Equity Price Data'!K82</f>
        <v>15896.1</v>
      </c>
      <c r="F81" s="30">
        <f>'Equity Volume Data'!I81*'Equity Price Data'!L82</f>
        <v>56929.28</v>
      </c>
      <c r="G81" s="30">
        <f>'Equity Volume Data'!J81*'Equity Price Data'!M82</f>
        <v>14959.92</v>
      </c>
      <c r="H81" s="30">
        <f>'Equity Volume Data'!K81*'Equity Price Data'!N82</f>
        <v>12784</v>
      </c>
      <c r="I81" s="30">
        <f>'Equity Volume Data'!L81*'Equity Price Data'!O82</f>
        <v>12120</v>
      </c>
      <c r="J81" s="30">
        <f>'Equity Volume Data'!M81*'Equity Price Data'!P82</f>
        <v>47421.84</v>
      </c>
      <c r="K81" s="30">
        <f>'Equity Volume Data'!N81*'Equity Price Data'!Q82</f>
        <v>10502</v>
      </c>
      <c r="L81" s="30">
        <f>'Equity Volume Data'!O81*'Equity Price Data'!R82</f>
        <v>24417.8</v>
      </c>
      <c r="M81" s="30">
        <f>'Equity Volume Data'!P81*'Equity Price Data'!S82</f>
        <v>0</v>
      </c>
      <c r="N81" s="30">
        <f>'Equity Volume Data'!Q81*'Equity Price Data'!T82</f>
        <v>5523.2</v>
      </c>
      <c r="O81" s="30">
        <f>'Equity Volume Data'!R81*'Equity Price Data'!U82</f>
        <v>50034</v>
      </c>
      <c r="P81" s="30">
        <f>'Equity Volume Data'!S81*'Equity Price Data'!V82</f>
        <v>0</v>
      </c>
      <c r="Q81" s="30">
        <f>'Equity Volume Data'!T81*'Equity Price Data'!W82</f>
        <v>22576.8</v>
      </c>
      <c r="R81" s="30">
        <f>'Equity Volume Data'!U81*'Equity Price Data'!X82</f>
        <v>11274.4</v>
      </c>
      <c r="S81" s="30">
        <f>'Equity Volume Data'!V81*'Equity Price Data'!Y82</f>
        <v>31250.56</v>
      </c>
      <c r="T81" s="30">
        <f>'Equity Volume Data'!W81*'Equity Price Data'!Z82</f>
        <v>10400</v>
      </c>
      <c r="U81" s="30">
        <f>'Equity Volume Data'!X81*'Equity Price Data'!AA82</f>
        <v>18788.88</v>
      </c>
      <c r="V81" s="30">
        <f>'Equity Volume Data'!Y81*'Equity Price Data'!AB82</f>
        <v>16710.19</v>
      </c>
      <c r="W81" s="30">
        <f>'Equity Volume Data'!Z81*'Equity Price Data'!AC82</f>
        <v>10343.79</v>
      </c>
      <c r="X81" s="30">
        <f>'Equity Volume Data'!AA81*'Equity Price Data'!AD82</f>
        <v>17117.5</v>
      </c>
      <c r="Y81" s="30">
        <f>'Equity Volume Data'!AB81*'Equity Price Data'!AE82</f>
        <v>5333.38</v>
      </c>
      <c r="Z81" s="30">
        <f>'Equity Volume Data'!AC81*'Equity Price Data'!AF82</f>
        <v>8868</v>
      </c>
      <c r="AA81" s="30">
        <f>'Equity Volume Data'!AD81*'Equity Price Data'!AG82</f>
        <v>19238.9</v>
      </c>
      <c r="AB81" s="30">
        <f>'Equity Volume Data'!AE81*'Equity Price Data'!AH82</f>
        <v>8559.3</v>
      </c>
      <c r="AC81" s="30">
        <f>'Equity Volume Data'!AF81*'Equity Price Data'!AI82</f>
        <v>19086</v>
      </c>
      <c r="AD81" s="30">
        <f>'Equity Volume Data'!AG81*'Equity Price Data'!AJ82</f>
        <v>13378.05</v>
      </c>
      <c r="AE81" s="30">
        <f>'Equity Volume Data'!AH81*'Equity Price Data'!AK82</f>
        <v>9630</v>
      </c>
      <c r="AF81" s="30">
        <f>'Equity Volume Data'!AI81*'Equity Price Data'!AL82</f>
        <v>16147.85</v>
      </c>
      <c r="AG81" s="30">
        <f>'Equity Volume Data'!AJ81*'Equity Price Data'!AM82</f>
        <v>29272.8</v>
      </c>
      <c r="AH81" s="30">
        <f>'Equity Volume Data'!AK81*'Equity Price Data'!AN82</f>
        <v>36185</v>
      </c>
      <c r="AI81" s="30">
        <f>'Equity Volume Data'!AL81*'Equity Price Data'!AO82</f>
        <v>18763.5</v>
      </c>
      <c r="AJ81" s="30">
        <f>'Equity Volume Data'!AM81*'Equity Price Data'!AP82</f>
        <v>21138</v>
      </c>
      <c r="AK81" s="30">
        <f>'Equity Volume Data'!AN81*'Equity Price Data'!AQ82</f>
        <v>0</v>
      </c>
      <c r="AL81" s="30">
        <f>'Equity Volume Data'!AO81*'Equity Price Data'!AR82</f>
        <v>34820.8</v>
      </c>
      <c r="AM81" s="30">
        <f>'Equity Volume Data'!AP81*'Equity Price Data'!AS82</f>
        <v>39801.3</v>
      </c>
      <c r="AN81" s="30">
        <f>'Equity Volume Data'!AQ81*'Equity Price Data'!AT82</f>
        <v>8879.5</v>
      </c>
      <c r="AO81" s="30">
        <f>'Equity Volume Data'!AR81*'Equity Price Data'!AU82</f>
        <v>23544.78</v>
      </c>
      <c r="AP81" s="30">
        <f>'Equity Volume Data'!AS81*'Equity Price Data'!AV82</f>
        <v>22347.5</v>
      </c>
      <c r="AQ81" s="30">
        <f>'Equity Volume Data'!AT81*'Equity Price Data'!AW82</f>
        <v>16847.6</v>
      </c>
      <c r="AR81" s="30">
        <f>'Equity Volume Data'!AU81*'Equity Price Data'!AX82</f>
        <v>0</v>
      </c>
      <c r="AS81" s="30">
        <f>'Equity Volume Data'!AV81*'Equity Price Data'!AY82</f>
        <v>49006.8</v>
      </c>
      <c r="AT81" s="30">
        <f>'Equity Volume Data'!AW81*'Equity Price Data'!AZ82</f>
        <v>16066</v>
      </c>
      <c r="AU81" s="30">
        <f>'Equity Volume Data'!AX81*'Equity Price Data'!BA82</f>
        <v>0</v>
      </c>
      <c r="AV81" s="30">
        <f>'Equity Volume Data'!AY81*'Equity Price Data'!BB82</f>
        <v>56821.3</v>
      </c>
      <c r="AW81" s="30">
        <f>'Equity Volume Data'!AZ81*'Equity Price Data'!BC82</f>
        <v>3697.2</v>
      </c>
      <c r="AX81" s="30">
        <f>'Equity Volume Data'!BA81*'Equity Price Data'!BD82</f>
        <v>0</v>
      </c>
      <c r="AY81" s="30">
        <f>'Equity Volume Data'!BB81*'Equity Price Data'!BE82</f>
        <v>0</v>
      </c>
      <c r="AZ81" s="30">
        <f>'Equity Volume Data'!BC81*'Equity Price Data'!BF82</f>
        <v>10804.5</v>
      </c>
      <c r="BA81" s="30">
        <f>'Equity Volume Data'!BD81*'Equity Price Data'!BG82</f>
        <v>5416.9</v>
      </c>
      <c r="BB81" s="30">
        <f>'Equity Volume Data'!BE81*'Equity Price Data'!BH82</f>
        <v>9571.2</v>
      </c>
      <c r="BC81" s="30">
        <f>'Equity Volume Data'!BF81*'Equity Price Data'!BI82</f>
        <v>0</v>
      </c>
      <c r="BD81" s="30">
        <f>'Equity Volume Data'!BG81*'Equity Price Data'!BJ82</f>
        <v>41999.34</v>
      </c>
      <c r="BE81" s="30">
        <f>'Equity Volume Data'!BH81*'Equity Price Data'!BK82</f>
        <v>13958.24</v>
      </c>
      <c r="BF81" s="30">
        <f>'Equity Volume Data'!BI81*'Equity Price Data'!BL82</f>
        <v>7312</v>
      </c>
      <c r="BG81" s="30">
        <f>'Equity Volume Data'!BJ81*'Equity Price Data'!BM82</f>
        <v>39862.42</v>
      </c>
      <c r="BH81" s="30">
        <f>'Equity Volume Data'!BK81*'Equity Price Data'!BN82</f>
        <v>1257.6</v>
      </c>
      <c r="BI81" s="30">
        <f>'Equity Volume Data'!BL81*'Equity Price Data'!BO82</f>
        <v>40244.8</v>
      </c>
      <c r="BJ81" s="30">
        <f>'Equity Volume Data'!BM81*'Equity Price Data'!BP82</f>
        <v>44661.75</v>
      </c>
      <c r="BK81" s="30">
        <f>'Equity Volume Data'!BN81*'Equity Price Data'!BQ82</f>
        <v>88063.74</v>
      </c>
      <c r="BL81" s="30">
        <f>'Equity Volume Data'!BO81*'Equity Price Data'!BR82</f>
        <v>548.49</v>
      </c>
      <c r="BM81" s="30">
        <f>'Equity Volume Data'!BP81*'Equity Price Data'!BS82</f>
        <v>0</v>
      </c>
      <c r="BN81" s="30">
        <f>'Equity Volume Data'!BQ81*'Equity Price Data'!BT82</f>
        <v>16666.2</v>
      </c>
      <c r="BO81" s="30">
        <f>'Equity Volume Data'!BR81*'Equity Price Data'!BU82</f>
        <v>34640</v>
      </c>
    </row>
    <row r="82">
      <c r="A82" s="25">
        <f>'Equity Price Data'!A83</f>
        <v>45541.66667</v>
      </c>
      <c r="B82" s="29">
        <f t="shared" si="1"/>
        <v>1258749.35</v>
      </c>
      <c r="C82" s="30">
        <f>'Equity Volume Data'!F82*'Equity Price Data'!I83</f>
        <v>7324.33</v>
      </c>
      <c r="D82" s="30">
        <f>'Equity Volume Data'!G82*'Equity Price Data'!J83</f>
        <v>44561.4</v>
      </c>
      <c r="E82" s="30">
        <f>'Equity Volume Data'!H82*'Equity Price Data'!K83</f>
        <v>15833.4</v>
      </c>
      <c r="F82" s="30">
        <f>'Equity Volume Data'!I82*'Equity Price Data'!L83</f>
        <v>56529.92</v>
      </c>
      <c r="G82" s="30">
        <f>'Equity Volume Data'!J82*'Equity Price Data'!M83</f>
        <v>14504.25</v>
      </c>
      <c r="H82" s="30">
        <f>'Equity Volume Data'!K82*'Equity Price Data'!N83</f>
        <v>12485.08</v>
      </c>
      <c r="I82" s="30">
        <f>'Equity Volume Data'!L82*'Equity Price Data'!O83</f>
        <v>11550</v>
      </c>
      <c r="J82" s="30">
        <f>'Equity Volume Data'!M82*'Equity Price Data'!P83</f>
        <v>46860.84</v>
      </c>
      <c r="K82" s="30">
        <f>'Equity Volume Data'!N82*'Equity Price Data'!Q83</f>
        <v>10278</v>
      </c>
      <c r="L82" s="30">
        <f>'Equity Volume Data'!O82*'Equity Price Data'!R83</f>
        <v>24298.01</v>
      </c>
      <c r="M82" s="30">
        <f>'Equity Volume Data'!P82*'Equity Price Data'!S83</f>
        <v>0</v>
      </c>
      <c r="N82" s="30">
        <f>'Equity Volume Data'!Q82*'Equity Price Data'!T83</f>
        <v>5558.4</v>
      </c>
      <c r="O82" s="30">
        <f>'Equity Volume Data'!R82*'Equity Price Data'!U83</f>
        <v>49404</v>
      </c>
      <c r="P82" s="30">
        <f>'Equity Volume Data'!S82*'Equity Price Data'!V83</f>
        <v>0</v>
      </c>
      <c r="Q82" s="30">
        <f>'Equity Volume Data'!T82*'Equity Price Data'!W83</f>
        <v>22610.4</v>
      </c>
      <c r="R82" s="30">
        <f>'Equity Volume Data'!U82*'Equity Price Data'!X83</f>
        <v>11084.8</v>
      </c>
      <c r="S82" s="30">
        <f>'Equity Volume Data'!V82*'Equity Price Data'!Y83</f>
        <v>31107.12</v>
      </c>
      <c r="T82" s="30">
        <f>'Equity Volume Data'!W82*'Equity Price Data'!Z83</f>
        <v>10172.5</v>
      </c>
      <c r="U82" s="30">
        <f>'Equity Volume Data'!X82*'Equity Price Data'!AA83</f>
        <v>18780.96</v>
      </c>
      <c r="V82" s="30">
        <f>'Equity Volume Data'!Y82*'Equity Price Data'!AB83</f>
        <v>16628.08</v>
      </c>
      <c r="W82" s="30">
        <f>'Equity Volume Data'!Z82*'Equity Price Data'!AC83</f>
        <v>10227.18</v>
      </c>
      <c r="X82" s="30">
        <f>'Equity Volume Data'!AA82*'Equity Price Data'!AD83</f>
        <v>16625</v>
      </c>
      <c r="Y82" s="30">
        <f>'Equity Volume Data'!AB82*'Equity Price Data'!AE83</f>
        <v>5310.37</v>
      </c>
      <c r="Z82" s="30">
        <f>'Equity Volume Data'!AC82*'Equity Price Data'!AF83</f>
        <v>8880</v>
      </c>
      <c r="AA82" s="30">
        <f>'Equity Volume Data'!AD82*'Equity Price Data'!AG83</f>
        <v>19148.8</v>
      </c>
      <c r="AB82" s="30">
        <f>'Equity Volume Data'!AE82*'Equity Price Data'!AH83</f>
        <v>8491.2</v>
      </c>
      <c r="AC82" s="30">
        <f>'Equity Volume Data'!AF82*'Equity Price Data'!AI83</f>
        <v>18828</v>
      </c>
      <c r="AD82" s="30">
        <f>'Equity Volume Data'!AG82*'Equity Price Data'!AJ83</f>
        <v>13175.1</v>
      </c>
      <c r="AE82" s="30">
        <f>'Equity Volume Data'!AH82*'Equity Price Data'!AK83</f>
        <v>9428</v>
      </c>
      <c r="AF82" s="30">
        <f>'Equity Volume Data'!AI82*'Equity Price Data'!AL83</f>
        <v>16137.6</v>
      </c>
      <c r="AG82" s="30">
        <f>'Equity Volume Data'!AJ82*'Equity Price Data'!AM83</f>
        <v>28776.6</v>
      </c>
      <c r="AH82" s="30">
        <f>'Equity Volume Data'!AK82*'Equity Price Data'!AN83</f>
        <v>36005</v>
      </c>
      <c r="AI82" s="30">
        <f>'Equity Volume Data'!AL82*'Equity Price Data'!AO83</f>
        <v>18278.75</v>
      </c>
      <c r="AJ82" s="30">
        <f>'Equity Volume Data'!AM82*'Equity Price Data'!AP83</f>
        <v>20863.7</v>
      </c>
      <c r="AK82" s="30">
        <f>'Equity Volume Data'!AN82*'Equity Price Data'!AQ83</f>
        <v>0</v>
      </c>
      <c r="AL82" s="30">
        <f>'Equity Volume Data'!AO82*'Equity Price Data'!AR83</f>
        <v>33993.6</v>
      </c>
      <c r="AM82" s="30">
        <f>'Equity Volume Data'!AP82*'Equity Price Data'!AS83</f>
        <v>39664.1</v>
      </c>
      <c r="AN82" s="30">
        <f>'Equity Volume Data'!AQ82*'Equity Price Data'!AT83</f>
        <v>8884.4</v>
      </c>
      <c r="AO82" s="30">
        <f>'Equity Volume Data'!AR82*'Equity Price Data'!AU83</f>
        <v>23109.24</v>
      </c>
      <c r="AP82" s="30">
        <f>'Equity Volume Data'!AS82*'Equity Price Data'!AV83</f>
        <v>22472.5</v>
      </c>
      <c r="AQ82" s="30">
        <f>'Equity Volume Data'!AT82*'Equity Price Data'!AW83</f>
        <v>16297.6</v>
      </c>
      <c r="AR82" s="30">
        <f>'Equity Volume Data'!AU82*'Equity Price Data'!AX83</f>
        <v>0</v>
      </c>
      <c r="AS82" s="30">
        <f>'Equity Volume Data'!AV82*'Equity Price Data'!AY83</f>
        <v>48204</v>
      </c>
      <c r="AT82" s="30">
        <f>'Equity Volume Data'!AW82*'Equity Price Data'!AZ83</f>
        <v>15996</v>
      </c>
      <c r="AU82" s="30">
        <f>'Equity Volume Data'!AX82*'Equity Price Data'!BA83</f>
        <v>0</v>
      </c>
      <c r="AV82" s="30">
        <f>'Equity Volume Data'!AY82*'Equity Price Data'!BB83</f>
        <v>54499.9</v>
      </c>
      <c r="AW82" s="30">
        <f>'Equity Volume Data'!AZ82*'Equity Price Data'!BC83</f>
        <v>3657.2</v>
      </c>
      <c r="AX82" s="30">
        <f>'Equity Volume Data'!BA82*'Equity Price Data'!BD83</f>
        <v>0</v>
      </c>
      <c r="AY82" s="30">
        <f>'Equity Volume Data'!BB82*'Equity Price Data'!BE83</f>
        <v>0</v>
      </c>
      <c r="AZ82" s="30">
        <f>'Equity Volume Data'!BC82*'Equity Price Data'!BF83</f>
        <v>10333.5</v>
      </c>
      <c r="BA82" s="30">
        <f>'Equity Volume Data'!BD82*'Equity Price Data'!BG83</f>
        <v>5426.4</v>
      </c>
      <c r="BB82" s="30">
        <f>'Equity Volume Data'!BE82*'Equity Price Data'!BH83</f>
        <v>9475.2</v>
      </c>
      <c r="BC82" s="30">
        <f>'Equity Volume Data'!BF82*'Equity Price Data'!BI83</f>
        <v>0</v>
      </c>
      <c r="BD82" s="30">
        <f>'Equity Volume Data'!BG82*'Equity Price Data'!BJ83</f>
        <v>41109</v>
      </c>
      <c r="BE82" s="30">
        <f>'Equity Volume Data'!BH82*'Equity Price Data'!BK83</f>
        <v>14060.59</v>
      </c>
      <c r="BF82" s="30">
        <f>'Equity Volume Data'!BI82*'Equity Price Data'!BL83</f>
        <v>7087.2</v>
      </c>
      <c r="BG82" s="30">
        <f>'Equity Volume Data'!BJ82*'Equity Price Data'!BM83</f>
        <v>38886.64</v>
      </c>
      <c r="BH82" s="30">
        <f>'Equity Volume Data'!BK82*'Equity Price Data'!BN83</f>
        <v>1246.4</v>
      </c>
      <c r="BI82" s="30">
        <f>'Equity Volume Data'!BL82*'Equity Price Data'!BO83</f>
        <v>39940.8</v>
      </c>
      <c r="BJ82" s="30">
        <f>'Equity Volume Data'!BM82*'Equity Price Data'!BP83</f>
        <v>44766</v>
      </c>
      <c r="BK82" s="30">
        <f>'Equity Volume Data'!BN82*'Equity Price Data'!BQ83</f>
        <v>88189.88</v>
      </c>
      <c r="BL82" s="30">
        <f>'Equity Volume Data'!BO82*'Equity Price Data'!BR83</f>
        <v>529.69</v>
      </c>
      <c r="BM82" s="30">
        <f>'Equity Volume Data'!BP82*'Equity Price Data'!BS83</f>
        <v>0</v>
      </c>
      <c r="BN82" s="30">
        <f>'Equity Volume Data'!BQ82*'Equity Price Data'!BT83</f>
        <v>16532.72</v>
      </c>
      <c r="BO82" s="30">
        <f>'Equity Volume Data'!BR82*'Equity Price Data'!BU83</f>
        <v>34640</v>
      </c>
    </row>
    <row r="83">
      <c r="A83" s="25">
        <f>'Equity Price Data'!A84</f>
        <v>45544.66667</v>
      </c>
      <c r="B83" s="29">
        <f t="shared" si="1"/>
        <v>1271277.75</v>
      </c>
      <c r="C83" s="30">
        <f>'Equity Volume Data'!F83*'Equity Price Data'!I84</f>
        <v>7408.44</v>
      </c>
      <c r="D83" s="30">
        <f>'Equity Volume Data'!G83*'Equity Price Data'!J84</f>
        <v>45604</v>
      </c>
      <c r="E83" s="30">
        <f>'Equity Volume Data'!H83*'Equity Price Data'!K84</f>
        <v>16061.1</v>
      </c>
      <c r="F83" s="30">
        <f>'Equity Volume Data'!I83*'Equity Price Data'!L84</f>
        <v>56552.96</v>
      </c>
      <c r="G83" s="30">
        <f>'Equity Volume Data'!J83*'Equity Price Data'!M84</f>
        <v>14736.65</v>
      </c>
      <c r="H83" s="30">
        <f>'Equity Volume Data'!K83*'Equity Price Data'!N84</f>
        <v>12731.36</v>
      </c>
      <c r="I83" s="30">
        <f>'Equity Volume Data'!L83*'Equity Price Data'!O84</f>
        <v>11790</v>
      </c>
      <c r="J83" s="30">
        <f>'Equity Volume Data'!M83*'Equity Price Data'!P84</f>
        <v>46880.22</v>
      </c>
      <c r="K83" s="30">
        <f>'Equity Volume Data'!N83*'Equity Price Data'!Q84</f>
        <v>10356</v>
      </c>
      <c r="L83" s="30">
        <f>'Equity Volume Data'!O83*'Equity Price Data'!R84</f>
        <v>24111.67</v>
      </c>
      <c r="M83" s="30">
        <f>'Equity Volume Data'!P83*'Equity Price Data'!S84</f>
        <v>0</v>
      </c>
      <c r="N83" s="30">
        <f>'Equity Volume Data'!Q83*'Equity Price Data'!T84</f>
        <v>5658.4</v>
      </c>
      <c r="O83" s="30">
        <f>'Equity Volume Data'!R83*'Equity Price Data'!U84</f>
        <v>50106</v>
      </c>
      <c r="P83" s="30">
        <f>'Equity Volume Data'!S83*'Equity Price Data'!V84</f>
        <v>0</v>
      </c>
      <c r="Q83" s="30">
        <f>'Equity Volume Data'!T83*'Equity Price Data'!W84</f>
        <v>22638</v>
      </c>
      <c r="R83" s="30">
        <f>'Equity Volume Data'!U83*'Equity Price Data'!X84</f>
        <v>11224</v>
      </c>
      <c r="S83" s="30">
        <f>'Equity Volume Data'!V83*'Equity Price Data'!Y84</f>
        <v>31469.68</v>
      </c>
      <c r="T83" s="30">
        <f>'Equity Volume Data'!W83*'Equity Price Data'!Z84</f>
        <v>10362.5</v>
      </c>
      <c r="U83" s="30">
        <f>'Equity Volume Data'!X83*'Equity Price Data'!AA84</f>
        <v>18968.4</v>
      </c>
      <c r="V83" s="30">
        <f>'Equity Volume Data'!Y83*'Equity Price Data'!AB84</f>
        <v>16864.75</v>
      </c>
      <c r="W83" s="30">
        <f>'Equity Volume Data'!Z83*'Equity Price Data'!AC84</f>
        <v>10304.46</v>
      </c>
      <c r="X83" s="30">
        <f>'Equity Volume Data'!AA83*'Equity Price Data'!AD84</f>
        <v>16855</v>
      </c>
      <c r="Y83" s="30">
        <f>'Equity Volume Data'!AB83*'Equity Price Data'!AE84</f>
        <v>5462.08</v>
      </c>
      <c r="Z83" s="30">
        <f>'Equity Volume Data'!AC83*'Equity Price Data'!AF84</f>
        <v>8914.5</v>
      </c>
      <c r="AA83" s="30">
        <f>'Equity Volume Data'!AD83*'Equity Price Data'!AG84</f>
        <v>19551.7</v>
      </c>
      <c r="AB83" s="30">
        <f>'Equity Volume Data'!AE83*'Equity Price Data'!AH84</f>
        <v>8499</v>
      </c>
      <c r="AC83" s="30">
        <f>'Equity Volume Data'!AF83*'Equity Price Data'!AI84</f>
        <v>18879.2</v>
      </c>
      <c r="AD83" s="30">
        <f>'Equity Volume Data'!AG83*'Equity Price Data'!AJ84</f>
        <v>13570.2</v>
      </c>
      <c r="AE83" s="30">
        <f>'Equity Volume Data'!AH83*'Equity Price Data'!AK84</f>
        <v>9480</v>
      </c>
      <c r="AF83" s="30">
        <f>'Equity Volume Data'!AI83*'Equity Price Data'!AL84</f>
        <v>16229.85</v>
      </c>
      <c r="AG83" s="30">
        <f>'Equity Volume Data'!AJ83*'Equity Price Data'!AM84</f>
        <v>29314.2</v>
      </c>
      <c r="AH83" s="30">
        <f>'Equity Volume Data'!AK83*'Equity Price Data'!AN84</f>
        <v>36552</v>
      </c>
      <c r="AI83" s="30">
        <f>'Equity Volume Data'!AL83*'Equity Price Data'!AO84</f>
        <v>18474.75</v>
      </c>
      <c r="AJ83" s="30">
        <f>'Equity Volume Data'!AM83*'Equity Price Data'!AP84</f>
        <v>21021</v>
      </c>
      <c r="AK83" s="30">
        <f>'Equity Volume Data'!AN83*'Equity Price Data'!AQ84</f>
        <v>0</v>
      </c>
      <c r="AL83" s="30">
        <f>'Equity Volume Data'!AO83*'Equity Price Data'!AR84</f>
        <v>34689.6</v>
      </c>
      <c r="AM83" s="30">
        <f>'Equity Volume Data'!AP83*'Equity Price Data'!AS84</f>
        <v>40359.9</v>
      </c>
      <c r="AN83" s="30">
        <f>'Equity Volume Data'!AQ83*'Equity Price Data'!AT84</f>
        <v>8700.65</v>
      </c>
      <c r="AO83" s="30">
        <f>'Equity Volume Data'!AR83*'Equity Price Data'!AU84</f>
        <v>23365.44</v>
      </c>
      <c r="AP83" s="30">
        <f>'Equity Volume Data'!AS83*'Equity Price Data'!AV84</f>
        <v>22655</v>
      </c>
      <c r="AQ83" s="30">
        <f>'Equity Volume Data'!AT83*'Equity Price Data'!AW84</f>
        <v>16605.6</v>
      </c>
      <c r="AR83" s="30">
        <f>'Equity Volume Data'!AU83*'Equity Price Data'!AX84</f>
        <v>0</v>
      </c>
      <c r="AS83" s="30">
        <f>'Equity Volume Data'!AV83*'Equity Price Data'!AY84</f>
        <v>48686.4</v>
      </c>
      <c r="AT83" s="30">
        <f>'Equity Volume Data'!AW83*'Equity Price Data'!AZ84</f>
        <v>16238</v>
      </c>
      <c r="AU83" s="30">
        <f>'Equity Volume Data'!AX83*'Equity Price Data'!BA84</f>
        <v>0</v>
      </c>
      <c r="AV83" s="30">
        <f>'Equity Volume Data'!AY83*'Equity Price Data'!BB84</f>
        <v>56429.1</v>
      </c>
      <c r="AW83" s="30">
        <f>'Equity Volume Data'!AZ83*'Equity Price Data'!BC84</f>
        <v>3667.2</v>
      </c>
      <c r="AX83" s="30">
        <f>'Equity Volume Data'!BA83*'Equity Price Data'!BD84</f>
        <v>0</v>
      </c>
      <c r="AY83" s="30">
        <f>'Equity Volume Data'!BB83*'Equity Price Data'!BE84</f>
        <v>0</v>
      </c>
      <c r="AZ83" s="30">
        <f>'Equity Volume Data'!BC83*'Equity Price Data'!BF84</f>
        <v>10402.5</v>
      </c>
      <c r="BA83" s="30">
        <f>'Equity Volume Data'!BD83*'Equity Price Data'!BG84</f>
        <v>5587.9</v>
      </c>
      <c r="BB83" s="30">
        <f>'Equity Volume Data'!BE83*'Equity Price Data'!BH84</f>
        <v>9692.8</v>
      </c>
      <c r="BC83" s="30">
        <f>'Equity Volume Data'!BF83*'Equity Price Data'!BI84</f>
        <v>0</v>
      </c>
      <c r="BD83" s="30">
        <f>'Equity Volume Data'!BG83*'Equity Price Data'!BJ84</f>
        <v>41598.9</v>
      </c>
      <c r="BE83" s="30">
        <f>'Equity Volume Data'!BH83*'Equity Price Data'!BK84</f>
        <v>14269.66</v>
      </c>
      <c r="BF83" s="30">
        <f>'Equity Volume Data'!BI83*'Equity Price Data'!BL84</f>
        <v>7043.2</v>
      </c>
      <c r="BG83" s="30">
        <f>'Equity Volume Data'!BJ83*'Equity Price Data'!BM84</f>
        <v>38728.18</v>
      </c>
      <c r="BH83" s="30">
        <f>'Equity Volume Data'!BK83*'Equity Price Data'!BN84</f>
        <v>1193.6</v>
      </c>
      <c r="BI83" s="30">
        <f>'Equity Volume Data'!BL83*'Equity Price Data'!BO84</f>
        <v>40177.6</v>
      </c>
      <c r="BJ83" s="30">
        <f>'Equity Volume Data'!BM83*'Equity Price Data'!BP84</f>
        <v>44557.5</v>
      </c>
      <c r="BK83" s="30">
        <f>'Equity Volume Data'!BN83*'Equity Price Data'!BQ84</f>
        <v>88225.92</v>
      </c>
      <c r="BL83" s="30">
        <f>'Equity Volume Data'!BO83*'Equity Price Data'!BR84</f>
        <v>523.11</v>
      </c>
      <c r="BM83" s="30">
        <f>'Equity Volume Data'!BP83*'Equity Price Data'!BS84</f>
        <v>0</v>
      </c>
      <c r="BN83" s="30">
        <f>'Equity Volume Data'!BQ83*'Equity Price Data'!BT84</f>
        <v>16607.92</v>
      </c>
      <c r="BO83" s="30">
        <f>'Equity Volume Data'!BR83*'Equity Price Data'!BU84</f>
        <v>34640</v>
      </c>
    </row>
    <row r="84">
      <c r="A84" s="25">
        <f>'Equity Price Data'!A85</f>
        <v>45545.66667</v>
      </c>
      <c r="B84" s="29">
        <f t="shared" si="1"/>
        <v>1270110.52</v>
      </c>
      <c r="C84" s="30">
        <f>'Equity Volume Data'!F84*'Equity Price Data'!I85</f>
        <v>7468.24</v>
      </c>
      <c r="D84" s="30">
        <f>'Equity Volume Data'!G84*'Equity Price Data'!J85</f>
        <v>46683</v>
      </c>
      <c r="E84" s="30">
        <f>'Equity Volume Data'!H84*'Equity Price Data'!K85</f>
        <v>16302</v>
      </c>
      <c r="F84" s="30">
        <f>'Equity Volume Data'!I84*'Equity Price Data'!L85</f>
        <v>56348.16</v>
      </c>
      <c r="G84" s="30">
        <f>'Equity Volume Data'!J84*'Equity Price Data'!M85</f>
        <v>14778.15</v>
      </c>
      <c r="H84" s="30">
        <f>'Equity Volume Data'!K84*'Equity Price Data'!N85</f>
        <v>12691.88</v>
      </c>
      <c r="I84" s="30">
        <f>'Equity Volume Data'!L84*'Equity Price Data'!O85</f>
        <v>11510</v>
      </c>
      <c r="J84" s="30">
        <f>'Equity Volume Data'!M84*'Equity Price Data'!P85</f>
        <v>46809.84</v>
      </c>
      <c r="K84" s="30">
        <f>'Equity Volume Data'!N84*'Equity Price Data'!Q85</f>
        <v>10264</v>
      </c>
      <c r="L84" s="30">
        <f>'Equity Volume Data'!O84*'Equity Price Data'!R85</f>
        <v>24277.44</v>
      </c>
      <c r="M84" s="30">
        <f>'Equity Volume Data'!P84*'Equity Price Data'!S85</f>
        <v>0</v>
      </c>
      <c r="N84" s="30">
        <f>'Equity Volume Data'!Q84*'Equity Price Data'!T85</f>
        <v>5746.4</v>
      </c>
      <c r="O84" s="30">
        <f>'Equity Volume Data'!R84*'Equity Price Data'!U85</f>
        <v>50124</v>
      </c>
      <c r="P84" s="30">
        <f>'Equity Volume Data'!S84*'Equity Price Data'!V85</f>
        <v>0</v>
      </c>
      <c r="Q84" s="30">
        <f>'Equity Volume Data'!T84*'Equity Price Data'!W85</f>
        <v>22782</v>
      </c>
      <c r="R84" s="30">
        <f>'Equity Volume Data'!U84*'Equity Price Data'!X85</f>
        <v>11058.4</v>
      </c>
      <c r="S84" s="30">
        <f>'Equity Volume Data'!V84*'Equity Price Data'!Y85</f>
        <v>31512.8</v>
      </c>
      <c r="T84" s="30">
        <f>'Equity Volume Data'!W84*'Equity Price Data'!Z85</f>
        <v>10000</v>
      </c>
      <c r="U84" s="30">
        <f>'Equity Volume Data'!X84*'Equity Price Data'!AA85</f>
        <v>18889.2</v>
      </c>
      <c r="V84" s="30">
        <f>'Equity Volume Data'!Y84*'Equity Price Data'!AB85</f>
        <v>16900.17</v>
      </c>
      <c r="W84" s="30">
        <f>'Equity Volume Data'!Z84*'Equity Price Data'!AC85</f>
        <v>10816.44</v>
      </c>
      <c r="X84" s="30">
        <f>'Equity Volume Data'!AA84*'Equity Price Data'!AD85</f>
        <v>16347.5</v>
      </c>
      <c r="Y84" s="30">
        <f>'Equity Volume Data'!AB84*'Equity Price Data'!AE85</f>
        <v>5418.01</v>
      </c>
      <c r="Z84" s="30">
        <f>'Equity Volume Data'!AC84*'Equity Price Data'!AF85</f>
        <v>9039</v>
      </c>
      <c r="AA84" s="30">
        <f>'Equity Volume Data'!AD84*'Equity Price Data'!AG85</f>
        <v>18839.4</v>
      </c>
      <c r="AB84" s="30">
        <f>'Equity Volume Data'!AE84*'Equity Price Data'!AH85</f>
        <v>8515.5</v>
      </c>
      <c r="AC84" s="30">
        <f>'Equity Volume Data'!AF84*'Equity Price Data'!AI85</f>
        <v>18683.2</v>
      </c>
      <c r="AD84" s="30">
        <f>'Equity Volume Data'!AG84*'Equity Price Data'!AJ85</f>
        <v>13608</v>
      </c>
      <c r="AE84" s="30">
        <f>'Equity Volume Data'!AH84*'Equity Price Data'!AK85</f>
        <v>8964</v>
      </c>
      <c r="AF84" s="30">
        <f>'Equity Volume Data'!AI84*'Equity Price Data'!AL85</f>
        <v>16695.2</v>
      </c>
      <c r="AG84" s="30">
        <f>'Equity Volume Data'!AJ84*'Equity Price Data'!AM85</f>
        <v>28027.8</v>
      </c>
      <c r="AH84" s="30">
        <f>'Equity Volume Data'!AK84*'Equity Price Data'!AN85</f>
        <v>37087</v>
      </c>
      <c r="AI84" s="30">
        <f>'Equity Volume Data'!AL84*'Equity Price Data'!AO85</f>
        <v>18466</v>
      </c>
      <c r="AJ84" s="30">
        <f>'Equity Volume Data'!AM84*'Equity Price Data'!AP85</f>
        <v>21056.1</v>
      </c>
      <c r="AK84" s="30">
        <f>'Equity Volume Data'!AN84*'Equity Price Data'!AQ85</f>
        <v>0</v>
      </c>
      <c r="AL84" s="30">
        <f>'Equity Volume Data'!AO84*'Equity Price Data'!AR85</f>
        <v>32889.6</v>
      </c>
      <c r="AM84" s="30">
        <f>'Equity Volume Data'!AP84*'Equity Price Data'!AS85</f>
        <v>40053.3</v>
      </c>
      <c r="AN84" s="30">
        <f>'Equity Volume Data'!AQ84*'Equity Price Data'!AT85</f>
        <v>8651.3</v>
      </c>
      <c r="AO84" s="30">
        <f>'Equity Volume Data'!AR84*'Equity Price Data'!AU85</f>
        <v>23450.84</v>
      </c>
      <c r="AP84" s="30">
        <f>'Equity Volume Data'!AS84*'Equity Price Data'!AV85</f>
        <v>22747.5</v>
      </c>
      <c r="AQ84" s="30">
        <f>'Equity Volume Data'!AT84*'Equity Price Data'!AW85</f>
        <v>16418.6</v>
      </c>
      <c r="AR84" s="30">
        <f>'Equity Volume Data'!AU84*'Equity Price Data'!AX85</f>
        <v>0</v>
      </c>
      <c r="AS84" s="30">
        <f>'Equity Volume Data'!AV84*'Equity Price Data'!AY85</f>
        <v>49704</v>
      </c>
      <c r="AT84" s="30">
        <f>'Equity Volume Data'!AW84*'Equity Price Data'!AZ85</f>
        <v>16460</v>
      </c>
      <c r="AU84" s="30">
        <f>'Equity Volume Data'!AX84*'Equity Price Data'!BA85</f>
        <v>0</v>
      </c>
      <c r="AV84" s="30">
        <f>'Equity Volume Data'!AY84*'Equity Price Data'!BB85</f>
        <v>57293</v>
      </c>
      <c r="AW84" s="30">
        <f>'Equity Volume Data'!AZ84*'Equity Price Data'!BC85</f>
        <v>3686</v>
      </c>
      <c r="AX84" s="30">
        <f>'Equity Volume Data'!BA84*'Equity Price Data'!BD85</f>
        <v>0</v>
      </c>
      <c r="AY84" s="30">
        <f>'Equity Volume Data'!BB84*'Equity Price Data'!BE85</f>
        <v>0</v>
      </c>
      <c r="AZ84" s="30">
        <f>'Equity Volume Data'!BC84*'Equity Price Data'!BF85</f>
        <v>10327.5</v>
      </c>
      <c r="BA84" s="30">
        <f>'Equity Volume Data'!BD84*'Equity Price Data'!BG85</f>
        <v>5650.6</v>
      </c>
      <c r="BB84" s="30">
        <f>'Equity Volume Data'!BE84*'Equity Price Data'!BH85</f>
        <v>9624</v>
      </c>
      <c r="BC84" s="30">
        <f>'Equity Volume Data'!BF84*'Equity Price Data'!BI85</f>
        <v>0</v>
      </c>
      <c r="BD84" s="30">
        <f>'Equity Volume Data'!BG84*'Equity Price Data'!BJ85</f>
        <v>41854.5</v>
      </c>
      <c r="BE84" s="30">
        <f>'Equity Volume Data'!BH84*'Equity Price Data'!BK85</f>
        <v>14356.83</v>
      </c>
      <c r="BF84" s="30">
        <f>'Equity Volume Data'!BI84*'Equity Price Data'!BL85</f>
        <v>6967.2</v>
      </c>
      <c r="BG84" s="30">
        <f>'Equity Volume Data'!BJ84*'Equity Price Data'!BM85</f>
        <v>37719.04</v>
      </c>
      <c r="BH84" s="30">
        <f>'Equity Volume Data'!BK84*'Equity Price Data'!BN85</f>
        <v>1089.6</v>
      </c>
      <c r="BI84" s="30">
        <f>'Equity Volume Data'!BL84*'Equity Price Data'!BO85</f>
        <v>40412.8</v>
      </c>
      <c r="BJ84" s="30">
        <f>'Equity Volume Data'!BM84*'Equity Price Data'!BP85</f>
        <v>44927.25</v>
      </c>
      <c r="BK84" s="30">
        <f>'Equity Volume Data'!BN84*'Equity Price Data'!BQ85</f>
        <v>88334.04</v>
      </c>
      <c r="BL84" s="30">
        <f>'Equity Volume Data'!BO84*'Equity Price Data'!BR85</f>
        <v>524.99</v>
      </c>
      <c r="BM84" s="30">
        <f>'Equity Volume Data'!BP84*'Equity Price Data'!BS85</f>
        <v>0</v>
      </c>
      <c r="BN84" s="30">
        <f>'Equity Volume Data'!BQ84*'Equity Price Data'!BT85</f>
        <v>16619.2</v>
      </c>
      <c r="BO84" s="30">
        <f>'Equity Volume Data'!BR84*'Equity Price Data'!BU85</f>
        <v>34640</v>
      </c>
    </row>
    <row r="85">
      <c r="A85" s="25">
        <f>'Equity Price Data'!A86</f>
        <v>45546.66667</v>
      </c>
      <c r="B85" s="29">
        <f t="shared" si="1"/>
        <v>1279491.99</v>
      </c>
      <c r="C85" s="30">
        <f>'Equity Volume Data'!F85*'Equity Price Data'!I86</f>
        <v>7544.94</v>
      </c>
      <c r="D85" s="30">
        <f>'Equity Volume Data'!G85*'Equity Price Data'!J86</f>
        <v>47975.2</v>
      </c>
      <c r="E85" s="30">
        <f>'Equity Volume Data'!H85*'Equity Price Data'!K86</f>
        <v>16174.4</v>
      </c>
      <c r="F85" s="30">
        <f>'Equity Volume Data'!I85*'Equity Price Data'!L86</f>
        <v>57000.96</v>
      </c>
      <c r="G85" s="30">
        <f>'Equity Volume Data'!J85*'Equity Price Data'!M86</f>
        <v>15433.02</v>
      </c>
      <c r="H85" s="30">
        <f>'Equity Volume Data'!K85*'Equity Price Data'!N86</f>
        <v>12802.8</v>
      </c>
      <c r="I85" s="30">
        <f>'Equity Volume Data'!L85*'Equity Price Data'!O86</f>
        <v>11490</v>
      </c>
      <c r="J85" s="30">
        <f>'Equity Volume Data'!M85*'Equity Price Data'!P86</f>
        <v>46216.2</v>
      </c>
      <c r="K85" s="30">
        <f>'Equity Volume Data'!N85*'Equity Price Data'!Q86</f>
        <v>10562</v>
      </c>
      <c r="L85" s="30">
        <f>'Equity Volume Data'!O85*'Equity Price Data'!R86</f>
        <v>24089.89</v>
      </c>
      <c r="M85" s="30">
        <f>'Equity Volume Data'!P85*'Equity Price Data'!S86</f>
        <v>0</v>
      </c>
      <c r="N85" s="30">
        <f>'Equity Volume Data'!Q85*'Equity Price Data'!T86</f>
        <v>5893.6</v>
      </c>
      <c r="O85" s="30">
        <f>'Equity Volume Data'!R85*'Equity Price Data'!U86</f>
        <v>50250</v>
      </c>
      <c r="P85" s="30">
        <f>'Equity Volume Data'!S85*'Equity Price Data'!V86</f>
        <v>0</v>
      </c>
      <c r="Q85" s="30">
        <f>'Equity Volume Data'!T85*'Equity Price Data'!W86</f>
        <v>22788</v>
      </c>
      <c r="R85" s="30">
        <f>'Equity Volume Data'!U85*'Equity Price Data'!X86</f>
        <v>11030.4</v>
      </c>
      <c r="S85" s="30">
        <f>'Equity Volume Data'!V85*'Equity Price Data'!Y86</f>
        <v>31484.64</v>
      </c>
      <c r="T85" s="30">
        <f>'Equity Volume Data'!W85*'Equity Price Data'!Z86</f>
        <v>9915</v>
      </c>
      <c r="U85" s="30">
        <f>'Equity Volume Data'!X85*'Equity Price Data'!AA86</f>
        <v>18765.12</v>
      </c>
      <c r="V85" s="30">
        <f>'Equity Volume Data'!Y85*'Equity Price Data'!AB86</f>
        <v>16715.02</v>
      </c>
      <c r="W85" s="30">
        <f>'Equity Volume Data'!Z85*'Equity Price Data'!AC86</f>
        <v>10930.98</v>
      </c>
      <c r="X85" s="30">
        <f>'Equity Volume Data'!AA85*'Equity Price Data'!AD86</f>
        <v>16645</v>
      </c>
      <c r="Y85" s="30">
        <f>'Equity Volume Data'!AB85*'Equity Price Data'!AE86</f>
        <v>5303.61</v>
      </c>
      <c r="Z85" s="30">
        <f>'Equity Volume Data'!AC85*'Equity Price Data'!AF86</f>
        <v>9109.5</v>
      </c>
      <c r="AA85" s="30">
        <f>'Equity Volume Data'!AD85*'Equity Price Data'!AG86</f>
        <v>18652.4</v>
      </c>
      <c r="AB85" s="30">
        <f>'Equity Volume Data'!AE85*'Equity Price Data'!AH86</f>
        <v>8545.8</v>
      </c>
      <c r="AC85" s="30">
        <f>'Equity Volume Data'!AF85*'Equity Price Data'!AI86</f>
        <v>19002</v>
      </c>
      <c r="AD85" s="30">
        <f>'Equity Volume Data'!AG85*'Equity Price Data'!AJ86</f>
        <v>13481.55</v>
      </c>
      <c r="AE85" s="30">
        <f>'Equity Volume Data'!AH85*'Equity Price Data'!AK86</f>
        <v>8934</v>
      </c>
      <c r="AF85" s="30">
        <f>'Equity Volume Data'!AI85*'Equity Price Data'!AL86</f>
        <v>16592.7</v>
      </c>
      <c r="AG85" s="30">
        <f>'Equity Volume Data'!AJ85*'Equity Price Data'!AM86</f>
        <v>28270.2</v>
      </c>
      <c r="AH85" s="30">
        <f>'Equity Volume Data'!AK85*'Equity Price Data'!AN86</f>
        <v>37049</v>
      </c>
      <c r="AI85" s="30">
        <f>'Equity Volume Data'!AL85*'Equity Price Data'!AO86</f>
        <v>18362.75</v>
      </c>
      <c r="AJ85" s="30">
        <f>'Equity Volume Data'!AM85*'Equity Price Data'!AP86</f>
        <v>20798.7</v>
      </c>
      <c r="AK85" s="30">
        <f>'Equity Volume Data'!AN85*'Equity Price Data'!AQ86</f>
        <v>0</v>
      </c>
      <c r="AL85" s="30">
        <f>'Equity Volume Data'!AO85*'Equity Price Data'!AR86</f>
        <v>33156.8</v>
      </c>
      <c r="AM85" s="30">
        <f>'Equity Volume Data'!AP85*'Equity Price Data'!AS86</f>
        <v>39687.2</v>
      </c>
      <c r="AN85" s="30">
        <f>'Equity Volume Data'!AQ85*'Equity Price Data'!AT86</f>
        <v>8932</v>
      </c>
      <c r="AO85" s="30">
        <f>'Equity Volume Data'!AR85*'Equity Price Data'!AU86</f>
        <v>23621.64</v>
      </c>
      <c r="AP85" s="30">
        <f>'Equity Volume Data'!AS85*'Equity Price Data'!AV86</f>
        <v>22587.5</v>
      </c>
      <c r="AQ85" s="30">
        <f>'Equity Volume Data'!AT85*'Equity Price Data'!AW86</f>
        <v>16442.8</v>
      </c>
      <c r="AR85" s="30">
        <f>'Equity Volume Data'!AU85*'Equity Price Data'!AX86</f>
        <v>0</v>
      </c>
      <c r="AS85" s="30">
        <f>'Equity Volume Data'!AV85*'Equity Price Data'!AY86</f>
        <v>50764.8</v>
      </c>
      <c r="AT85" s="30">
        <f>'Equity Volume Data'!AW85*'Equity Price Data'!AZ86</f>
        <v>16686</v>
      </c>
      <c r="AU85" s="30">
        <f>'Equity Volume Data'!AX85*'Equity Price Data'!BA86</f>
        <v>0</v>
      </c>
      <c r="AV85" s="30">
        <f>'Equity Volume Data'!AY85*'Equity Price Data'!BB86</f>
        <v>61962.3</v>
      </c>
      <c r="AW85" s="30">
        <f>'Equity Volume Data'!AZ85*'Equity Price Data'!BC86</f>
        <v>3699.6</v>
      </c>
      <c r="AX85" s="30">
        <f>'Equity Volume Data'!BA85*'Equity Price Data'!BD86</f>
        <v>0</v>
      </c>
      <c r="AY85" s="30">
        <f>'Equity Volume Data'!BB85*'Equity Price Data'!BE86</f>
        <v>0</v>
      </c>
      <c r="AZ85" s="30">
        <f>'Equity Volume Data'!BC85*'Equity Price Data'!BF86</f>
        <v>10402.5</v>
      </c>
      <c r="BA85" s="30">
        <f>'Equity Volume Data'!BD85*'Equity Price Data'!BG86</f>
        <v>5635.4</v>
      </c>
      <c r="BB85" s="30">
        <f>'Equity Volume Data'!BE85*'Equity Price Data'!BH86</f>
        <v>9540.8</v>
      </c>
      <c r="BC85" s="30">
        <f>'Equity Volume Data'!BF85*'Equity Price Data'!BI86</f>
        <v>0</v>
      </c>
      <c r="BD85" s="30">
        <f>'Equity Volume Data'!BG85*'Equity Price Data'!BJ86</f>
        <v>42289.02</v>
      </c>
      <c r="BE85" s="30">
        <f>'Equity Volume Data'!BH85*'Equity Price Data'!BK86</f>
        <v>14224.58</v>
      </c>
      <c r="BF85" s="30">
        <f>'Equity Volume Data'!BI85*'Equity Price Data'!BL86</f>
        <v>6987.6</v>
      </c>
      <c r="BG85" s="30">
        <f>'Equity Volume Data'!BJ85*'Equity Price Data'!BM86</f>
        <v>39979.18</v>
      </c>
      <c r="BH85" s="30">
        <f>'Equity Volume Data'!BK85*'Equity Price Data'!BN86</f>
        <v>1086.4</v>
      </c>
      <c r="BI85" s="30">
        <f>'Equity Volume Data'!BL85*'Equity Price Data'!BO86</f>
        <v>39600</v>
      </c>
      <c r="BJ85" s="30">
        <f>'Equity Volume Data'!BM85*'Equity Price Data'!BP86</f>
        <v>44231.25</v>
      </c>
      <c r="BK85" s="30">
        <f>'Equity Volume Data'!BN85*'Equity Price Data'!BQ86</f>
        <v>88388.1</v>
      </c>
      <c r="BL85" s="30">
        <f>'Equity Volume Data'!BO85*'Equity Price Data'!BR86</f>
        <v>532.98</v>
      </c>
      <c r="BM85" s="30">
        <f>'Equity Volume Data'!BP85*'Equity Price Data'!BS86</f>
        <v>0</v>
      </c>
      <c r="BN85" s="30">
        <f>'Equity Volume Data'!BQ85*'Equity Price Data'!BT86</f>
        <v>16604.16</v>
      </c>
      <c r="BO85" s="30">
        <f>'Equity Volume Data'!BR85*'Equity Price Data'!BU86</f>
        <v>34640</v>
      </c>
    </row>
    <row r="86">
      <c r="A86" s="25">
        <f>'Equity Price Data'!A87</f>
        <v>45547.66667</v>
      </c>
      <c r="B86" s="29">
        <f t="shared" si="1"/>
        <v>1289107.25</v>
      </c>
      <c r="C86" s="30">
        <f>'Equity Volume Data'!F86*'Equity Price Data'!I87</f>
        <v>7625.15</v>
      </c>
      <c r="D86" s="30">
        <f>'Equity Volume Data'!G86*'Equity Price Data'!J87</f>
        <v>48620</v>
      </c>
      <c r="E86" s="30">
        <f>'Equity Volume Data'!H86*'Equity Price Data'!K87</f>
        <v>16184.3</v>
      </c>
      <c r="F86" s="30">
        <f>'Equity Volume Data'!I86*'Equity Price Data'!L87</f>
        <v>57029.12</v>
      </c>
      <c r="G86" s="30">
        <f>'Equity Volume Data'!J86*'Equity Price Data'!M87</f>
        <v>15206.43</v>
      </c>
      <c r="H86" s="30">
        <f>'Equity Volume Data'!K86*'Equity Price Data'!N87</f>
        <v>12975.76</v>
      </c>
      <c r="I86" s="30">
        <f>'Equity Volume Data'!L86*'Equity Price Data'!O87</f>
        <v>11560</v>
      </c>
      <c r="J86" s="30">
        <f>'Equity Volume Data'!M86*'Equity Price Data'!P87</f>
        <v>45988.74</v>
      </c>
      <c r="K86" s="30">
        <f>'Equity Volume Data'!N86*'Equity Price Data'!Q87</f>
        <v>10736</v>
      </c>
      <c r="L86" s="30">
        <f>'Equity Volume Data'!O86*'Equity Price Data'!R87</f>
        <v>23944.69</v>
      </c>
      <c r="M86" s="30">
        <f>'Equity Volume Data'!P86*'Equity Price Data'!S87</f>
        <v>0</v>
      </c>
      <c r="N86" s="30">
        <f>'Equity Volume Data'!Q86*'Equity Price Data'!T87</f>
        <v>6029.6</v>
      </c>
      <c r="O86" s="30">
        <f>'Equity Volume Data'!R86*'Equity Price Data'!U87</f>
        <v>50937</v>
      </c>
      <c r="P86" s="30">
        <f>'Equity Volume Data'!S86*'Equity Price Data'!V87</f>
        <v>0</v>
      </c>
      <c r="Q86" s="30">
        <f>'Equity Volume Data'!T86*'Equity Price Data'!W87</f>
        <v>22866</v>
      </c>
      <c r="R86" s="30">
        <f>'Equity Volume Data'!U86*'Equity Price Data'!X87</f>
        <v>11136.8</v>
      </c>
      <c r="S86" s="30">
        <f>'Equity Volume Data'!V86*'Equity Price Data'!Y87</f>
        <v>31870.96</v>
      </c>
      <c r="T86" s="30">
        <f>'Equity Volume Data'!W86*'Equity Price Data'!Z87</f>
        <v>9927.5</v>
      </c>
      <c r="U86" s="30">
        <f>'Equity Volume Data'!X86*'Equity Price Data'!AA87</f>
        <v>18804.72</v>
      </c>
      <c r="V86" s="30">
        <f>'Equity Volume Data'!Y86*'Equity Price Data'!AB87</f>
        <v>16645.79</v>
      </c>
      <c r="W86" s="30">
        <f>'Equity Volume Data'!Z86*'Equity Price Data'!AC87</f>
        <v>11073.81</v>
      </c>
      <c r="X86" s="30">
        <f>'Equity Volume Data'!AA86*'Equity Price Data'!AD87</f>
        <v>16972.5</v>
      </c>
      <c r="Y86" s="30">
        <f>'Equity Volume Data'!AB86*'Equity Price Data'!AE87</f>
        <v>5275.92</v>
      </c>
      <c r="Z86" s="30">
        <f>'Equity Volume Data'!AC86*'Equity Price Data'!AF87</f>
        <v>9477</v>
      </c>
      <c r="AA86" s="30">
        <f>'Equity Volume Data'!AD86*'Equity Price Data'!AG87</f>
        <v>18909.1</v>
      </c>
      <c r="AB86" s="30">
        <f>'Equity Volume Data'!AE86*'Equity Price Data'!AH87</f>
        <v>8580</v>
      </c>
      <c r="AC86" s="30">
        <f>'Equity Volume Data'!AF86*'Equity Price Data'!AI87</f>
        <v>18876</v>
      </c>
      <c r="AD86" s="30">
        <f>'Equity Volume Data'!AG86*'Equity Price Data'!AJ87</f>
        <v>13530.15</v>
      </c>
      <c r="AE86" s="30">
        <f>'Equity Volume Data'!AH86*'Equity Price Data'!AK87</f>
        <v>9224</v>
      </c>
      <c r="AF86" s="30">
        <f>'Equity Volume Data'!AI86*'Equity Price Data'!AL87</f>
        <v>17047.8</v>
      </c>
      <c r="AG86" s="30">
        <f>'Equity Volume Data'!AJ86*'Equity Price Data'!AM87</f>
        <v>28443.6</v>
      </c>
      <c r="AH86" s="30">
        <f>'Equity Volume Data'!AK86*'Equity Price Data'!AN87</f>
        <v>37443</v>
      </c>
      <c r="AI86" s="30">
        <f>'Equity Volume Data'!AL86*'Equity Price Data'!AO87</f>
        <v>18506.25</v>
      </c>
      <c r="AJ86" s="30">
        <f>'Equity Volume Data'!AM86*'Equity Price Data'!AP87</f>
        <v>20948.2</v>
      </c>
      <c r="AK86" s="30">
        <f>'Equity Volume Data'!AN86*'Equity Price Data'!AQ87</f>
        <v>0</v>
      </c>
      <c r="AL86" s="30">
        <f>'Equity Volume Data'!AO86*'Equity Price Data'!AR87</f>
        <v>33056</v>
      </c>
      <c r="AM86" s="30">
        <f>'Equity Volume Data'!AP86*'Equity Price Data'!AS87</f>
        <v>39778.9</v>
      </c>
      <c r="AN86" s="30">
        <f>'Equity Volume Data'!AQ86*'Equity Price Data'!AT87</f>
        <v>9104.9</v>
      </c>
      <c r="AO86" s="30">
        <f>'Equity Volume Data'!AR86*'Equity Price Data'!AU87</f>
        <v>23869.3</v>
      </c>
      <c r="AP86" s="30">
        <f>'Equity Volume Data'!AS86*'Equity Price Data'!AV87</f>
        <v>22500</v>
      </c>
      <c r="AQ86" s="30">
        <f>'Equity Volume Data'!AT86*'Equity Price Data'!AW87</f>
        <v>16603.4</v>
      </c>
      <c r="AR86" s="30">
        <f>'Equity Volume Data'!AU86*'Equity Price Data'!AX87</f>
        <v>0</v>
      </c>
      <c r="AS86" s="30">
        <f>'Equity Volume Data'!AV86*'Equity Price Data'!AY87</f>
        <v>51240</v>
      </c>
      <c r="AT86" s="30">
        <f>'Equity Volume Data'!AW86*'Equity Price Data'!AZ87</f>
        <v>16692</v>
      </c>
      <c r="AU86" s="30">
        <f>'Equity Volume Data'!AX86*'Equity Price Data'!BA87</f>
        <v>0</v>
      </c>
      <c r="AV86" s="30">
        <f>'Equity Volume Data'!AY86*'Equity Price Data'!BB87</f>
        <v>63144.2</v>
      </c>
      <c r="AW86" s="30">
        <f>'Equity Volume Data'!AZ86*'Equity Price Data'!BC87</f>
        <v>3708.8</v>
      </c>
      <c r="AX86" s="30">
        <f>'Equity Volume Data'!BA86*'Equity Price Data'!BD87</f>
        <v>0</v>
      </c>
      <c r="AY86" s="30">
        <f>'Equity Volume Data'!BB86*'Equity Price Data'!BE87</f>
        <v>0</v>
      </c>
      <c r="AZ86" s="30">
        <f>'Equity Volume Data'!BC86*'Equity Price Data'!BF87</f>
        <v>10554</v>
      </c>
      <c r="BA86" s="30">
        <f>'Equity Volume Data'!BD86*'Equity Price Data'!BG87</f>
        <v>5540.4</v>
      </c>
      <c r="BB86" s="30">
        <f>'Equity Volume Data'!BE86*'Equity Price Data'!BH87</f>
        <v>9608</v>
      </c>
      <c r="BC86" s="30">
        <f>'Equity Volume Data'!BF86*'Equity Price Data'!BI87</f>
        <v>0</v>
      </c>
      <c r="BD86" s="30">
        <f>'Equity Volume Data'!BG86*'Equity Price Data'!BJ87</f>
        <v>43113.33</v>
      </c>
      <c r="BE86" s="30">
        <f>'Equity Volume Data'!BH86*'Equity Price Data'!BK87</f>
        <v>14125.68</v>
      </c>
      <c r="BF86" s="30">
        <f>'Equity Volume Data'!BI86*'Equity Price Data'!BL87</f>
        <v>7047.2</v>
      </c>
      <c r="BG86" s="30">
        <f>'Equity Volume Data'!BJ86*'Equity Price Data'!BM87</f>
        <v>41460.92</v>
      </c>
      <c r="BH86" s="30">
        <f>'Equity Volume Data'!BK86*'Equity Price Data'!BN87</f>
        <v>1169.6</v>
      </c>
      <c r="BI86" s="30">
        <f>'Equity Volume Data'!BL86*'Equity Price Data'!BO87</f>
        <v>39822.4</v>
      </c>
      <c r="BJ86" s="30">
        <f>'Equity Volume Data'!BM86*'Equity Price Data'!BP87</f>
        <v>44131.5</v>
      </c>
      <c r="BK86" s="30">
        <f>'Equity Volume Data'!BN86*'Equity Price Data'!BQ87</f>
        <v>88460.18</v>
      </c>
      <c r="BL86" s="30">
        <f>'Equity Volume Data'!BO86*'Equity Price Data'!BR87</f>
        <v>552.25</v>
      </c>
      <c r="BM86" s="30">
        <f>'Equity Volume Data'!BP86*'Equity Price Data'!BS87</f>
        <v>0</v>
      </c>
      <c r="BN86" s="30">
        <f>'Equity Volume Data'!BQ86*'Equity Price Data'!BT87</f>
        <v>16788.4</v>
      </c>
      <c r="BO86" s="30">
        <f>'Equity Volume Data'!BR86*'Equity Price Data'!BU87</f>
        <v>34640</v>
      </c>
    </row>
    <row r="87">
      <c r="A87" s="25">
        <f>'Equity Price Data'!A88</f>
        <v>45548.66667</v>
      </c>
      <c r="B87" s="29">
        <f t="shared" si="1"/>
        <v>1294293.57</v>
      </c>
      <c r="C87" s="30">
        <f>'Equity Volume Data'!F87*'Equity Price Data'!I88</f>
        <v>6979.31</v>
      </c>
      <c r="D87" s="30">
        <f>'Equity Volume Data'!G87*'Equity Price Data'!J88</f>
        <v>48487.4</v>
      </c>
      <c r="E87" s="30">
        <f>'Equity Volume Data'!H87*'Equity Price Data'!K88</f>
        <v>16294.3</v>
      </c>
      <c r="F87" s="30">
        <f>'Equity Volume Data'!I87*'Equity Price Data'!L88</f>
        <v>56960</v>
      </c>
      <c r="G87" s="30">
        <f>'Equity Volume Data'!J87*'Equity Price Data'!M88</f>
        <v>15643.01</v>
      </c>
      <c r="H87" s="30">
        <f>'Equity Volume Data'!K87*'Equity Price Data'!N88</f>
        <v>12915.6</v>
      </c>
      <c r="I87" s="30">
        <f>'Equity Volume Data'!L87*'Equity Price Data'!O88</f>
        <v>11740</v>
      </c>
      <c r="J87" s="30">
        <f>'Equity Volume Data'!M87*'Equity Price Data'!P88</f>
        <v>45656.22</v>
      </c>
      <c r="K87" s="30">
        <f>'Equity Volume Data'!N87*'Equity Price Data'!Q88</f>
        <v>10578</v>
      </c>
      <c r="L87" s="30">
        <f>'Equity Volume Data'!O87*'Equity Price Data'!R88</f>
        <v>23671.23</v>
      </c>
      <c r="M87" s="30">
        <f>'Equity Volume Data'!P87*'Equity Price Data'!S88</f>
        <v>0</v>
      </c>
      <c r="N87" s="30">
        <f>'Equity Volume Data'!Q87*'Equity Price Data'!T88</f>
        <v>6120.8</v>
      </c>
      <c r="O87" s="30">
        <f>'Equity Volume Data'!R87*'Equity Price Data'!U88</f>
        <v>51796.5</v>
      </c>
      <c r="P87" s="30">
        <f>'Equity Volume Data'!S87*'Equity Price Data'!V88</f>
        <v>0</v>
      </c>
      <c r="Q87" s="30">
        <f>'Equity Volume Data'!T87*'Equity Price Data'!W88</f>
        <v>23420.4</v>
      </c>
      <c r="R87" s="30">
        <f>'Equity Volume Data'!U87*'Equity Price Data'!X88</f>
        <v>11248.8</v>
      </c>
      <c r="S87" s="30">
        <f>'Equity Volume Data'!V87*'Equity Price Data'!Y88</f>
        <v>32095.36</v>
      </c>
      <c r="T87" s="30">
        <f>'Equity Volume Data'!W87*'Equity Price Data'!Z88</f>
        <v>10022.5</v>
      </c>
      <c r="U87" s="30">
        <f>'Equity Volume Data'!X87*'Equity Price Data'!AA88</f>
        <v>18852.24</v>
      </c>
      <c r="V87" s="30">
        <f>'Equity Volume Data'!Y87*'Equity Price Data'!AB88</f>
        <v>16834.16</v>
      </c>
      <c r="W87" s="30">
        <f>'Equity Volume Data'!Z87*'Equity Price Data'!AC88</f>
        <v>10966.17</v>
      </c>
      <c r="X87" s="30">
        <f>'Equity Volume Data'!AA87*'Equity Price Data'!AD88</f>
        <v>17425</v>
      </c>
      <c r="Y87" s="30">
        <f>'Equity Volume Data'!AB87*'Equity Price Data'!AE88</f>
        <v>5232.76</v>
      </c>
      <c r="Z87" s="30">
        <f>'Equity Volume Data'!AC87*'Equity Price Data'!AF88</f>
        <v>9516</v>
      </c>
      <c r="AA87" s="30">
        <f>'Equity Volume Data'!AD87*'Equity Price Data'!AG88</f>
        <v>18895.5</v>
      </c>
      <c r="AB87" s="30">
        <f>'Equity Volume Data'!AE87*'Equity Price Data'!AH88</f>
        <v>8591.4</v>
      </c>
      <c r="AC87" s="30">
        <f>'Equity Volume Data'!AF87*'Equity Price Data'!AI88</f>
        <v>18763.6</v>
      </c>
      <c r="AD87" s="30">
        <f>'Equity Volume Data'!AG87*'Equity Price Data'!AJ88</f>
        <v>13716</v>
      </c>
      <c r="AE87" s="30">
        <f>'Equity Volume Data'!AH87*'Equity Price Data'!AK88</f>
        <v>9260</v>
      </c>
      <c r="AF87" s="30">
        <f>'Equity Volume Data'!AI87*'Equity Price Data'!AL88</f>
        <v>16976.05</v>
      </c>
      <c r="AG87" s="30">
        <f>'Equity Volume Data'!AJ87*'Equity Price Data'!AM88</f>
        <v>28739.4</v>
      </c>
      <c r="AH87" s="30">
        <f>'Equity Volume Data'!AK87*'Equity Price Data'!AN88</f>
        <v>37999</v>
      </c>
      <c r="AI87" s="30">
        <f>'Equity Volume Data'!AL87*'Equity Price Data'!AO88</f>
        <v>18798.5</v>
      </c>
      <c r="AJ87" s="30">
        <f>'Equity Volume Data'!AM87*'Equity Price Data'!AP88</f>
        <v>20976.8</v>
      </c>
      <c r="AK87" s="30">
        <f>'Equity Volume Data'!AN87*'Equity Price Data'!AQ88</f>
        <v>0</v>
      </c>
      <c r="AL87" s="30">
        <f>'Equity Volume Data'!AO87*'Equity Price Data'!AR88</f>
        <v>32691.2</v>
      </c>
      <c r="AM87" s="30">
        <f>'Equity Volume Data'!AP87*'Equity Price Data'!AS88</f>
        <v>39893.7</v>
      </c>
      <c r="AN87" s="30">
        <f>'Equity Volume Data'!AQ87*'Equity Price Data'!AT88</f>
        <v>9336.6</v>
      </c>
      <c r="AO87" s="30">
        <f>'Equity Volume Data'!AR87*'Equity Price Data'!AU88</f>
        <v>23980.32</v>
      </c>
      <c r="AP87" s="30">
        <f>'Equity Volume Data'!AS87*'Equity Price Data'!AV88</f>
        <v>22500</v>
      </c>
      <c r="AQ87" s="30">
        <f>'Equity Volume Data'!AT87*'Equity Price Data'!AW88</f>
        <v>16761.8</v>
      </c>
      <c r="AR87" s="30">
        <f>'Equity Volume Data'!AU87*'Equity Price Data'!AX88</f>
        <v>0</v>
      </c>
      <c r="AS87" s="30">
        <f>'Equity Volume Data'!AV87*'Equity Price Data'!AY88</f>
        <v>51670.8</v>
      </c>
      <c r="AT87" s="30">
        <f>'Equity Volume Data'!AW87*'Equity Price Data'!AZ88</f>
        <v>16930</v>
      </c>
      <c r="AU87" s="30">
        <f>'Equity Volume Data'!AX87*'Equity Price Data'!BA88</f>
        <v>0</v>
      </c>
      <c r="AV87" s="30">
        <f>'Equity Volume Data'!AY87*'Equity Price Data'!BB88</f>
        <v>63123</v>
      </c>
      <c r="AW87" s="30">
        <f>'Equity Volume Data'!AZ87*'Equity Price Data'!BC88</f>
        <v>3767.2</v>
      </c>
      <c r="AX87" s="30">
        <f>'Equity Volume Data'!BA87*'Equity Price Data'!BD88</f>
        <v>0</v>
      </c>
      <c r="AY87" s="30">
        <f>'Equity Volume Data'!BB87*'Equity Price Data'!BE88</f>
        <v>0</v>
      </c>
      <c r="AZ87" s="30">
        <f>'Equity Volume Data'!BC87*'Equity Price Data'!BF88</f>
        <v>10515</v>
      </c>
      <c r="BA87" s="30">
        <f>'Equity Volume Data'!BD87*'Equity Price Data'!BG88</f>
        <v>5561.3</v>
      </c>
      <c r="BB87" s="30">
        <f>'Equity Volume Data'!BE87*'Equity Price Data'!BH88</f>
        <v>9529.6</v>
      </c>
      <c r="BC87" s="30">
        <f>'Equity Volume Data'!BF87*'Equity Price Data'!BI88</f>
        <v>0</v>
      </c>
      <c r="BD87" s="30">
        <f>'Equity Volume Data'!BG87*'Equity Price Data'!BJ88</f>
        <v>43202.79</v>
      </c>
      <c r="BE87" s="30">
        <f>'Equity Volume Data'!BH87*'Equity Price Data'!BK88</f>
        <v>14056.91</v>
      </c>
      <c r="BF87" s="30">
        <f>'Equity Volume Data'!BI87*'Equity Price Data'!BL88</f>
        <v>7015.6</v>
      </c>
      <c r="BG87" s="30">
        <f>'Equity Volume Data'!BJ87*'Equity Price Data'!BM88</f>
        <v>42094.76</v>
      </c>
      <c r="BH87" s="30">
        <f>'Equity Volume Data'!BK87*'Equity Price Data'!BN88</f>
        <v>1224</v>
      </c>
      <c r="BI87" s="30">
        <f>'Equity Volume Data'!BL87*'Equity Price Data'!BO88</f>
        <v>39859.2</v>
      </c>
      <c r="BJ87" s="30">
        <f>'Equity Volume Data'!BM87*'Equity Price Data'!BP88</f>
        <v>44574</v>
      </c>
      <c r="BK87" s="30">
        <f>'Equity Volume Data'!BN87*'Equity Price Data'!BQ88</f>
        <v>88622.36</v>
      </c>
      <c r="BL87" s="30">
        <f>'Equity Volume Data'!BO87*'Equity Price Data'!BR88</f>
        <v>548.02</v>
      </c>
      <c r="BM87" s="30">
        <f>'Equity Volume Data'!BP87*'Equity Price Data'!BS88</f>
        <v>0</v>
      </c>
      <c r="BN87" s="30">
        <f>'Equity Volume Data'!BQ87*'Equity Price Data'!BT88</f>
        <v>17023.4</v>
      </c>
      <c r="BO87" s="30">
        <f>'Equity Volume Data'!BR87*'Equity Price Data'!BU88</f>
        <v>34640</v>
      </c>
    </row>
    <row r="88">
      <c r="A88" s="25">
        <f>'Equity Price Data'!A89</f>
        <v>45551.66667</v>
      </c>
      <c r="B88" s="29">
        <f t="shared" si="1"/>
        <v>1298111.64</v>
      </c>
      <c r="C88" s="30">
        <f>'Equity Volume Data'!F88*'Equity Price Data'!I89</f>
        <v>6779.5</v>
      </c>
      <c r="D88" s="30">
        <f>'Equity Volume Data'!G88*'Equity Price Data'!J89</f>
        <v>48071.4</v>
      </c>
      <c r="E88" s="30">
        <f>'Equity Volume Data'!H88*'Equity Price Data'!K89</f>
        <v>16399.9</v>
      </c>
      <c r="F88" s="30">
        <f>'Equity Volume Data'!I88*'Equity Price Data'!L89</f>
        <v>55377.92</v>
      </c>
      <c r="G88" s="30">
        <f>'Equity Volume Data'!J88*'Equity Price Data'!M89</f>
        <v>15569.14</v>
      </c>
      <c r="H88" s="30">
        <f>'Equity Volume Data'!K88*'Equity Price Data'!N89</f>
        <v>13259.64</v>
      </c>
      <c r="I88" s="30">
        <f>'Equity Volume Data'!L88*'Equity Price Data'!O89</f>
        <v>11850</v>
      </c>
      <c r="J88" s="30">
        <f>'Equity Volume Data'!M88*'Equity Price Data'!P89</f>
        <v>46081.56</v>
      </c>
      <c r="K88" s="30">
        <f>'Equity Volume Data'!N88*'Equity Price Data'!Q89</f>
        <v>10708</v>
      </c>
      <c r="L88" s="30">
        <f>'Equity Volume Data'!O88*'Equity Price Data'!R89</f>
        <v>24149.18</v>
      </c>
      <c r="M88" s="30">
        <f>'Equity Volume Data'!P88*'Equity Price Data'!S89</f>
        <v>0</v>
      </c>
      <c r="N88" s="30">
        <f>'Equity Volume Data'!Q88*'Equity Price Data'!T89</f>
        <v>6168.8</v>
      </c>
      <c r="O88" s="30">
        <f>'Equity Volume Data'!R88*'Equity Price Data'!U89</f>
        <v>52194</v>
      </c>
      <c r="P88" s="30">
        <f>'Equity Volume Data'!S88*'Equity Price Data'!V89</f>
        <v>0</v>
      </c>
      <c r="Q88" s="30">
        <f>'Equity Volume Data'!T88*'Equity Price Data'!W89</f>
        <v>23156.4</v>
      </c>
      <c r="R88" s="30">
        <f>'Equity Volume Data'!U88*'Equity Price Data'!X89</f>
        <v>11367.2</v>
      </c>
      <c r="S88" s="30">
        <f>'Equity Volume Data'!V88*'Equity Price Data'!Y89</f>
        <v>32282.8</v>
      </c>
      <c r="T88" s="30">
        <f>'Equity Volume Data'!W88*'Equity Price Data'!Z89</f>
        <v>10150</v>
      </c>
      <c r="U88" s="30">
        <f>'Equity Volume Data'!X88*'Equity Price Data'!AA89</f>
        <v>19034.4</v>
      </c>
      <c r="V88" s="30">
        <f>'Equity Volume Data'!Y88*'Equity Price Data'!AB89</f>
        <v>16880.85</v>
      </c>
      <c r="W88" s="30">
        <f>'Equity Volume Data'!Z88*'Equity Price Data'!AC89</f>
        <v>11100.03</v>
      </c>
      <c r="X88" s="30">
        <f>'Equity Volume Data'!AA88*'Equity Price Data'!AD89</f>
        <v>17977.5</v>
      </c>
      <c r="Y88" s="30">
        <f>'Equity Volume Data'!AB88*'Equity Price Data'!AE89</f>
        <v>5316.61</v>
      </c>
      <c r="Z88" s="30">
        <f>'Equity Volume Data'!AC88*'Equity Price Data'!AF89</f>
        <v>9654</v>
      </c>
      <c r="AA88" s="30">
        <f>'Equity Volume Data'!AD88*'Equity Price Data'!AG89</f>
        <v>19160.7</v>
      </c>
      <c r="AB88" s="30">
        <f>'Equity Volume Data'!AE88*'Equity Price Data'!AH89</f>
        <v>8778.9</v>
      </c>
      <c r="AC88" s="30">
        <f>'Equity Volume Data'!AF88*'Equity Price Data'!AI89</f>
        <v>18546.4</v>
      </c>
      <c r="AD88" s="30">
        <f>'Equity Volume Data'!AG88*'Equity Price Data'!AJ89</f>
        <v>13839.75</v>
      </c>
      <c r="AE88" s="30">
        <f>'Equity Volume Data'!AH88*'Equity Price Data'!AK89</f>
        <v>9374</v>
      </c>
      <c r="AF88" s="30">
        <f>'Equity Volume Data'!AI88*'Equity Price Data'!AL89</f>
        <v>17047.8</v>
      </c>
      <c r="AG88" s="30">
        <f>'Equity Volume Data'!AJ88*'Equity Price Data'!AM89</f>
        <v>29109.6</v>
      </c>
      <c r="AH88" s="30">
        <f>'Equity Volume Data'!AK88*'Equity Price Data'!AN89</f>
        <v>38201</v>
      </c>
      <c r="AI88" s="30">
        <f>'Equity Volume Data'!AL88*'Equity Price Data'!AO89</f>
        <v>18751.25</v>
      </c>
      <c r="AJ88" s="30">
        <f>'Equity Volume Data'!AM88*'Equity Price Data'!AP89</f>
        <v>21048.3</v>
      </c>
      <c r="AK88" s="30">
        <f>'Equity Volume Data'!AN88*'Equity Price Data'!AQ89</f>
        <v>0</v>
      </c>
      <c r="AL88" s="30">
        <f>'Equity Volume Data'!AO88*'Equity Price Data'!AR89</f>
        <v>33257.6</v>
      </c>
      <c r="AM88" s="30">
        <f>'Equity Volume Data'!AP88*'Equity Price Data'!AS89</f>
        <v>40104.4</v>
      </c>
      <c r="AN88" s="30">
        <f>'Equity Volume Data'!AQ88*'Equity Price Data'!AT89</f>
        <v>9285.5</v>
      </c>
      <c r="AO88" s="30">
        <f>'Equity Volume Data'!AR88*'Equity Price Data'!AU89</f>
        <v>24168.2</v>
      </c>
      <c r="AP88" s="30">
        <f>'Equity Volume Data'!AS88*'Equity Price Data'!AV89</f>
        <v>22527.5</v>
      </c>
      <c r="AQ88" s="30">
        <f>'Equity Volume Data'!AT88*'Equity Price Data'!AW89</f>
        <v>17023.6</v>
      </c>
      <c r="AR88" s="30">
        <f>'Equity Volume Data'!AU88*'Equity Price Data'!AX89</f>
        <v>0</v>
      </c>
      <c r="AS88" s="30">
        <f>'Equity Volume Data'!AV88*'Equity Price Data'!AY89</f>
        <v>51760.8</v>
      </c>
      <c r="AT88" s="30">
        <f>'Equity Volume Data'!AW88*'Equity Price Data'!AZ89</f>
        <v>16928</v>
      </c>
      <c r="AU88" s="30">
        <f>'Equity Volume Data'!AX88*'Equity Price Data'!BA89</f>
        <v>0</v>
      </c>
      <c r="AV88" s="30">
        <f>'Equity Volume Data'!AY88*'Equity Price Data'!BB89</f>
        <v>61893.4</v>
      </c>
      <c r="AW88" s="30">
        <f>'Equity Volume Data'!AZ88*'Equity Price Data'!BC89</f>
        <v>3792.4</v>
      </c>
      <c r="AX88" s="30">
        <f>'Equity Volume Data'!BA88*'Equity Price Data'!BD89</f>
        <v>0</v>
      </c>
      <c r="AY88" s="30">
        <f>'Equity Volume Data'!BB88*'Equity Price Data'!BE89</f>
        <v>0</v>
      </c>
      <c r="AZ88" s="30">
        <f>'Equity Volume Data'!BC88*'Equity Price Data'!BF89</f>
        <v>10660.5</v>
      </c>
      <c r="BA88" s="30">
        <f>'Equity Volume Data'!BD88*'Equity Price Data'!BG89</f>
        <v>5713.3</v>
      </c>
      <c r="BB88" s="30">
        <f>'Equity Volume Data'!BE88*'Equity Price Data'!BH89</f>
        <v>9536</v>
      </c>
      <c r="BC88" s="30">
        <f>'Equity Volume Data'!BF88*'Equity Price Data'!BI89</f>
        <v>0</v>
      </c>
      <c r="BD88" s="30">
        <f>'Equity Volume Data'!BG88*'Equity Price Data'!BJ89</f>
        <v>43846.05</v>
      </c>
      <c r="BE88" s="30">
        <f>'Equity Volume Data'!BH88*'Equity Price Data'!BK89</f>
        <v>14125.45</v>
      </c>
      <c r="BF88" s="30">
        <f>'Equity Volume Data'!BI88*'Equity Price Data'!BL89</f>
        <v>7049.2</v>
      </c>
      <c r="BG88" s="30">
        <f>'Equity Volume Data'!BJ88*'Equity Price Data'!BM89</f>
        <v>42036.38</v>
      </c>
      <c r="BH88" s="30">
        <f>'Equity Volume Data'!BK88*'Equity Price Data'!BN89</f>
        <v>1267.2</v>
      </c>
      <c r="BI88" s="30">
        <f>'Equity Volume Data'!BL88*'Equity Price Data'!BO89</f>
        <v>40388.8</v>
      </c>
      <c r="BJ88" s="30">
        <f>'Equity Volume Data'!BM88*'Equity Price Data'!BP89</f>
        <v>44185.5</v>
      </c>
      <c r="BK88" s="30">
        <f>'Equity Volume Data'!BN88*'Equity Price Data'!BQ89</f>
        <v>88712.46</v>
      </c>
      <c r="BL88" s="30">
        <f>'Equity Volume Data'!BO88*'Equity Price Data'!BR89</f>
        <v>555.07</v>
      </c>
      <c r="BM88" s="30">
        <f>'Equity Volume Data'!BP88*'Equity Price Data'!BS89</f>
        <v>0</v>
      </c>
      <c r="BN88" s="30">
        <f>'Equity Volume Data'!BQ88*'Equity Price Data'!BT89</f>
        <v>17267.8</v>
      </c>
      <c r="BO88" s="30">
        <f>'Equity Volume Data'!BR88*'Equity Price Data'!BU89</f>
        <v>34640</v>
      </c>
    </row>
    <row r="89">
      <c r="A89" s="25">
        <f>'Equity Price Data'!A90</f>
        <v>45552.66667</v>
      </c>
      <c r="B89" s="29">
        <f t="shared" si="1"/>
        <v>1299652.04</v>
      </c>
      <c r="C89" s="30">
        <f>'Equity Volume Data'!F89*'Equity Price Data'!I90</f>
        <v>6695.39</v>
      </c>
      <c r="D89" s="30">
        <f>'Equity Volume Data'!G89*'Equity Price Data'!J90</f>
        <v>48588.8</v>
      </c>
      <c r="E89" s="30">
        <f>'Equity Volume Data'!H89*'Equity Price Data'!K90</f>
        <v>16489</v>
      </c>
      <c r="F89" s="30">
        <f>'Equity Volume Data'!I89*'Equity Price Data'!L90</f>
        <v>55498.24</v>
      </c>
      <c r="G89" s="30">
        <f>'Equity Volume Data'!J89*'Equity Price Data'!M90</f>
        <v>15652.97</v>
      </c>
      <c r="H89" s="30">
        <f>'Equity Volume Data'!K89*'Equity Price Data'!N90</f>
        <v>13312.28</v>
      </c>
      <c r="I89" s="30">
        <f>'Equity Volume Data'!L89*'Equity Price Data'!O90</f>
        <v>11910</v>
      </c>
      <c r="J89" s="30">
        <f>'Equity Volume Data'!M89*'Equity Price Data'!P90</f>
        <v>46581.36</v>
      </c>
      <c r="K89" s="30">
        <f>'Equity Volume Data'!N89*'Equity Price Data'!Q90</f>
        <v>10690</v>
      </c>
      <c r="L89" s="30">
        <f>'Equity Volume Data'!O89*'Equity Price Data'!R90</f>
        <v>23983.41</v>
      </c>
      <c r="M89" s="30">
        <f>'Equity Volume Data'!P89*'Equity Price Data'!S90</f>
        <v>0</v>
      </c>
      <c r="N89" s="30">
        <f>'Equity Volume Data'!Q89*'Equity Price Data'!T90</f>
        <v>6236.8</v>
      </c>
      <c r="O89" s="30">
        <f>'Equity Volume Data'!R89*'Equity Price Data'!U90</f>
        <v>53053.5</v>
      </c>
      <c r="P89" s="30">
        <f>'Equity Volume Data'!S89*'Equity Price Data'!V90</f>
        <v>0</v>
      </c>
      <c r="Q89" s="30">
        <f>'Equity Volume Data'!T89*'Equity Price Data'!W90</f>
        <v>23004</v>
      </c>
      <c r="R89" s="30">
        <f>'Equity Volume Data'!U89*'Equity Price Data'!X90</f>
        <v>11472.8</v>
      </c>
      <c r="S89" s="30">
        <f>'Equity Volume Data'!V89*'Equity Price Data'!Y90</f>
        <v>31348.24</v>
      </c>
      <c r="T89" s="30">
        <f>'Equity Volume Data'!W89*'Equity Price Data'!Z90</f>
        <v>10135</v>
      </c>
      <c r="U89" s="30">
        <f>'Equity Volume Data'!X89*'Equity Price Data'!AA90</f>
        <v>18955.2</v>
      </c>
      <c r="V89" s="30">
        <f>'Equity Volume Data'!Y89*'Equity Price Data'!AB90</f>
        <v>16830.94</v>
      </c>
      <c r="W89" s="30">
        <f>'Equity Volume Data'!Z89*'Equity Price Data'!AC90</f>
        <v>10873.02</v>
      </c>
      <c r="X89" s="30">
        <f>'Equity Volume Data'!AA89*'Equity Price Data'!AD90</f>
        <v>18375</v>
      </c>
      <c r="Y89" s="30">
        <f>'Equity Volume Data'!AB89*'Equity Price Data'!AE90</f>
        <v>5361.72</v>
      </c>
      <c r="Z89" s="30">
        <f>'Equity Volume Data'!AC89*'Equity Price Data'!AF90</f>
        <v>9732</v>
      </c>
      <c r="AA89" s="30">
        <f>'Equity Volume Data'!AD89*'Equity Price Data'!AG90</f>
        <v>19410.6</v>
      </c>
      <c r="AB89" s="30">
        <f>'Equity Volume Data'!AE89*'Equity Price Data'!AH90</f>
        <v>8920.2</v>
      </c>
      <c r="AC89" s="30">
        <f>'Equity Volume Data'!AF89*'Equity Price Data'!AI90</f>
        <v>18512.8</v>
      </c>
      <c r="AD89" s="30">
        <f>'Equity Volume Data'!AG89*'Equity Price Data'!AJ90</f>
        <v>13673.25</v>
      </c>
      <c r="AE89" s="30">
        <f>'Equity Volume Data'!AH89*'Equity Price Data'!AK90</f>
        <v>9504</v>
      </c>
      <c r="AF89" s="30">
        <f>'Equity Volume Data'!AI89*'Equity Price Data'!AL90</f>
        <v>17025.25</v>
      </c>
      <c r="AG89" s="30">
        <f>'Equity Volume Data'!AJ89*'Equity Price Data'!AM90</f>
        <v>29123.4</v>
      </c>
      <c r="AH89" s="30">
        <f>'Equity Volume Data'!AK89*'Equity Price Data'!AN90</f>
        <v>38324</v>
      </c>
      <c r="AI89" s="30">
        <f>'Equity Volume Data'!AL89*'Equity Price Data'!AO90</f>
        <v>18789.75</v>
      </c>
      <c r="AJ89" s="30">
        <f>'Equity Volume Data'!AM89*'Equity Price Data'!AP90</f>
        <v>21165.3</v>
      </c>
      <c r="AK89" s="30">
        <f>'Equity Volume Data'!AN89*'Equity Price Data'!AQ90</f>
        <v>0</v>
      </c>
      <c r="AL89" s="30">
        <f>'Equity Volume Data'!AO89*'Equity Price Data'!AR90</f>
        <v>33480</v>
      </c>
      <c r="AM89" s="30">
        <f>'Equity Volume Data'!AP89*'Equity Price Data'!AS90</f>
        <v>39690.7</v>
      </c>
      <c r="AN89" s="30">
        <f>'Equity Volume Data'!AQ89*'Equity Price Data'!AT90</f>
        <v>9394.35</v>
      </c>
      <c r="AO89" s="30">
        <f>'Equity Volume Data'!AR89*'Equity Price Data'!AU90</f>
        <v>24134.04</v>
      </c>
      <c r="AP89" s="30">
        <f>'Equity Volume Data'!AS89*'Equity Price Data'!AV90</f>
        <v>22157.5</v>
      </c>
      <c r="AQ89" s="30">
        <f>'Equity Volume Data'!AT89*'Equity Price Data'!AW90</f>
        <v>17221.6</v>
      </c>
      <c r="AR89" s="30">
        <f>'Equity Volume Data'!AU89*'Equity Price Data'!AX90</f>
        <v>0</v>
      </c>
      <c r="AS89" s="30">
        <f>'Equity Volume Data'!AV89*'Equity Price Data'!AY90</f>
        <v>52218</v>
      </c>
      <c r="AT89" s="30">
        <f>'Equity Volume Data'!AW89*'Equity Price Data'!AZ90</f>
        <v>16994</v>
      </c>
      <c r="AU89" s="30">
        <f>'Equity Volume Data'!AX89*'Equity Price Data'!BA90</f>
        <v>0</v>
      </c>
      <c r="AV89" s="30">
        <f>'Equity Volume Data'!AY89*'Equity Price Data'!BB90</f>
        <v>61262.7</v>
      </c>
      <c r="AW89" s="30">
        <f>'Equity Volume Data'!AZ89*'Equity Price Data'!BC90</f>
        <v>3843.6</v>
      </c>
      <c r="AX89" s="30">
        <f>'Equity Volume Data'!BA89*'Equity Price Data'!BD90</f>
        <v>0</v>
      </c>
      <c r="AY89" s="30">
        <f>'Equity Volume Data'!BB89*'Equity Price Data'!BE90</f>
        <v>0</v>
      </c>
      <c r="AZ89" s="30">
        <f>'Equity Volume Data'!BC89*'Equity Price Data'!BF90</f>
        <v>10765.5</v>
      </c>
      <c r="BA89" s="30">
        <f>'Equity Volume Data'!BD89*'Equity Price Data'!BG90</f>
        <v>5667.7</v>
      </c>
      <c r="BB89" s="30">
        <f>'Equity Volume Data'!BE89*'Equity Price Data'!BH90</f>
        <v>9498.4</v>
      </c>
      <c r="BC89" s="30">
        <f>'Equity Volume Data'!BF89*'Equity Price Data'!BI90</f>
        <v>0</v>
      </c>
      <c r="BD89" s="30">
        <f>'Equity Volume Data'!BG89*'Equity Price Data'!BJ90</f>
        <v>43175.1</v>
      </c>
      <c r="BE89" s="30">
        <f>'Equity Volume Data'!BH89*'Equity Price Data'!BK90</f>
        <v>14041.27</v>
      </c>
      <c r="BF89" s="30">
        <f>'Equity Volume Data'!BI89*'Equity Price Data'!BL90</f>
        <v>6926</v>
      </c>
      <c r="BG89" s="30">
        <f>'Equity Volume Data'!BJ89*'Equity Price Data'!BM90</f>
        <v>43390.24</v>
      </c>
      <c r="BH89" s="30">
        <f>'Equity Volume Data'!BK89*'Equity Price Data'!BN90</f>
        <v>1246.4</v>
      </c>
      <c r="BI89" s="30">
        <f>'Equity Volume Data'!BL89*'Equity Price Data'!BO90</f>
        <v>40568</v>
      </c>
      <c r="BJ89" s="30">
        <f>'Equity Volume Data'!BM89*'Equity Price Data'!BP90</f>
        <v>43347</v>
      </c>
      <c r="BK89" s="30">
        <f>'Equity Volume Data'!BN89*'Equity Price Data'!BQ90</f>
        <v>88748.5</v>
      </c>
      <c r="BL89" s="30">
        <f>'Equity Volume Data'!BO89*'Equity Price Data'!BR90</f>
        <v>555.54</v>
      </c>
      <c r="BM89" s="30">
        <f>'Equity Volume Data'!BP89*'Equity Price Data'!BS90</f>
        <v>0</v>
      </c>
      <c r="BN89" s="30">
        <f>'Equity Volume Data'!BQ89*'Equity Price Data'!BT90</f>
        <v>17457.68</v>
      </c>
      <c r="BO89" s="30">
        <f>'Equity Volume Data'!BR89*'Equity Price Data'!BU90</f>
        <v>34640</v>
      </c>
    </row>
    <row r="90">
      <c r="A90" s="25">
        <f>'Equity Price Data'!A91</f>
        <v>45553.66667</v>
      </c>
      <c r="B90" s="29">
        <f t="shared" si="1"/>
        <v>1296685.2</v>
      </c>
      <c r="C90" s="30">
        <f>'Equity Volume Data'!F90*'Equity Price Data'!I91</f>
        <v>6605.69</v>
      </c>
      <c r="D90" s="30">
        <f>'Equity Volume Data'!G90*'Equity Price Data'!J91</f>
        <v>48471.8</v>
      </c>
      <c r="E90" s="30">
        <f>'Equity Volume Data'!H90*'Equity Price Data'!K91</f>
        <v>16383.4</v>
      </c>
      <c r="F90" s="30">
        <f>'Equity Volume Data'!I90*'Equity Price Data'!L91</f>
        <v>56496.64</v>
      </c>
      <c r="G90" s="30">
        <f>'Equity Volume Data'!J90*'Equity Price Data'!M91</f>
        <v>15449.62</v>
      </c>
      <c r="H90" s="30">
        <f>'Equity Volume Data'!K90*'Equity Price Data'!N91</f>
        <v>13355.52</v>
      </c>
      <c r="I90" s="30">
        <f>'Equity Volume Data'!L90*'Equity Price Data'!O91</f>
        <v>11950</v>
      </c>
      <c r="J90" s="30">
        <f>'Equity Volume Data'!M90*'Equity Price Data'!P91</f>
        <v>46573.2</v>
      </c>
      <c r="K90" s="30">
        <f>'Equity Volume Data'!N90*'Equity Price Data'!Q91</f>
        <v>10610</v>
      </c>
      <c r="L90" s="30">
        <f>'Equity Volume Data'!O90*'Equity Price Data'!R91</f>
        <v>23908.39</v>
      </c>
      <c r="M90" s="30">
        <f>'Equity Volume Data'!P90*'Equity Price Data'!S91</f>
        <v>0</v>
      </c>
      <c r="N90" s="30">
        <f>'Equity Volume Data'!Q90*'Equity Price Data'!T91</f>
        <v>6255.2</v>
      </c>
      <c r="O90" s="30">
        <f>'Equity Volume Data'!R90*'Equity Price Data'!U91</f>
        <v>53268</v>
      </c>
      <c r="P90" s="30">
        <f>'Equity Volume Data'!S90*'Equity Price Data'!V91</f>
        <v>0</v>
      </c>
      <c r="Q90" s="30">
        <f>'Equity Volume Data'!T90*'Equity Price Data'!W91</f>
        <v>22678.8</v>
      </c>
      <c r="R90" s="30">
        <f>'Equity Volume Data'!U90*'Equity Price Data'!X91</f>
        <v>11516.8</v>
      </c>
      <c r="S90" s="30">
        <f>'Equity Volume Data'!V90*'Equity Price Data'!Y91</f>
        <v>31274.32</v>
      </c>
      <c r="T90" s="30">
        <f>'Equity Volume Data'!W90*'Equity Price Data'!Z91</f>
        <v>10180</v>
      </c>
      <c r="U90" s="30">
        <f>'Equity Volume Data'!X90*'Equity Price Data'!AA91</f>
        <v>18942</v>
      </c>
      <c r="V90" s="30">
        <f>'Equity Volume Data'!Y90*'Equity Price Data'!AB91</f>
        <v>16649.01</v>
      </c>
      <c r="W90" s="30">
        <f>'Equity Volume Data'!Z90*'Equity Price Data'!AC91</f>
        <v>10919.25</v>
      </c>
      <c r="X90" s="30">
        <f>'Equity Volume Data'!AA90*'Equity Price Data'!AD91</f>
        <v>18917.5</v>
      </c>
      <c r="Y90" s="30">
        <f>'Equity Volume Data'!AB90*'Equity Price Data'!AE91</f>
        <v>5317.26</v>
      </c>
      <c r="Z90" s="30">
        <f>'Equity Volume Data'!AC90*'Equity Price Data'!AF91</f>
        <v>9475.5</v>
      </c>
      <c r="AA90" s="30">
        <f>'Equity Volume Data'!AD90*'Equity Price Data'!AG91</f>
        <v>19478.6</v>
      </c>
      <c r="AB90" s="30">
        <f>'Equity Volume Data'!AE90*'Equity Price Data'!AH91</f>
        <v>8945.1</v>
      </c>
      <c r="AC90" s="30">
        <f>'Equity Volume Data'!AF90*'Equity Price Data'!AI91</f>
        <v>18301.2</v>
      </c>
      <c r="AD90" s="30">
        <f>'Equity Volume Data'!AG90*'Equity Price Data'!AJ91</f>
        <v>13607.1</v>
      </c>
      <c r="AE90" s="30">
        <f>'Equity Volume Data'!AH90*'Equity Price Data'!AK91</f>
        <v>9732</v>
      </c>
      <c r="AF90" s="30">
        <f>'Equity Volume Data'!AI90*'Equity Price Data'!AL91</f>
        <v>17197.45</v>
      </c>
      <c r="AG90" s="30">
        <f>'Equity Volume Data'!AJ90*'Equity Price Data'!AM91</f>
        <v>29074.8</v>
      </c>
      <c r="AH90" s="30">
        <f>'Equity Volume Data'!AK90*'Equity Price Data'!AN91</f>
        <v>38401</v>
      </c>
      <c r="AI90" s="30">
        <f>'Equity Volume Data'!AL90*'Equity Price Data'!AO91</f>
        <v>18707.5</v>
      </c>
      <c r="AJ90" s="30">
        <f>'Equity Volume Data'!AM90*'Equity Price Data'!AP91</f>
        <v>20958.6</v>
      </c>
      <c r="AK90" s="30">
        <f>'Equity Volume Data'!AN90*'Equity Price Data'!AQ91</f>
        <v>0</v>
      </c>
      <c r="AL90" s="30">
        <f>'Equity Volume Data'!AO90*'Equity Price Data'!AR91</f>
        <v>33204.8</v>
      </c>
      <c r="AM90" s="30">
        <f>'Equity Volume Data'!AP90*'Equity Price Data'!AS91</f>
        <v>39584.3</v>
      </c>
      <c r="AN90" s="30">
        <f>'Equity Volume Data'!AQ90*'Equity Price Data'!AT91</f>
        <v>9457</v>
      </c>
      <c r="AO90" s="30">
        <f>'Equity Volume Data'!AR90*'Equity Price Data'!AU91</f>
        <v>24116.96</v>
      </c>
      <c r="AP90" s="30">
        <f>'Equity Volume Data'!AS90*'Equity Price Data'!AV91</f>
        <v>22032.5</v>
      </c>
      <c r="AQ90" s="30">
        <f>'Equity Volume Data'!AT90*'Equity Price Data'!AW91</f>
        <v>17435</v>
      </c>
      <c r="AR90" s="30">
        <f>'Equity Volume Data'!AU90*'Equity Price Data'!AX91</f>
        <v>0</v>
      </c>
      <c r="AS90" s="30">
        <f>'Equity Volume Data'!AV90*'Equity Price Data'!AY91</f>
        <v>51697.2</v>
      </c>
      <c r="AT90" s="30">
        <f>'Equity Volume Data'!AW90*'Equity Price Data'!AZ91</f>
        <v>16856</v>
      </c>
      <c r="AU90" s="30">
        <f>'Equity Volume Data'!AX90*'Equity Price Data'!BA91</f>
        <v>0</v>
      </c>
      <c r="AV90" s="30">
        <f>'Equity Volume Data'!AY90*'Equity Price Data'!BB91</f>
        <v>60086.1</v>
      </c>
      <c r="AW90" s="30">
        <f>'Equity Volume Data'!AZ90*'Equity Price Data'!BC91</f>
        <v>3759.6</v>
      </c>
      <c r="AX90" s="30">
        <f>'Equity Volume Data'!BA90*'Equity Price Data'!BD91</f>
        <v>0</v>
      </c>
      <c r="AY90" s="30">
        <f>'Equity Volume Data'!BB90*'Equity Price Data'!BE91</f>
        <v>0</v>
      </c>
      <c r="AZ90" s="30">
        <f>'Equity Volume Data'!BC90*'Equity Price Data'!BF91</f>
        <v>10968</v>
      </c>
      <c r="BA90" s="30">
        <f>'Equity Volume Data'!BD90*'Equity Price Data'!BG91</f>
        <v>5652.5</v>
      </c>
      <c r="BB90" s="30">
        <f>'Equity Volume Data'!BE90*'Equity Price Data'!BH91</f>
        <v>9443.2</v>
      </c>
      <c r="BC90" s="30">
        <f>'Equity Volume Data'!BF90*'Equity Price Data'!BI91</f>
        <v>0</v>
      </c>
      <c r="BD90" s="30">
        <f>'Equity Volume Data'!BG90*'Equity Price Data'!BJ91</f>
        <v>41892.84</v>
      </c>
      <c r="BE90" s="30">
        <f>'Equity Volume Data'!BH90*'Equity Price Data'!BK91</f>
        <v>14032.76</v>
      </c>
      <c r="BF90" s="30">
        <f>'Equity Volume Data'!BI90*'Equity Price Data'!BL91</f>
        <v>7068.4</v>
      </c>
      <c r="BG90" s="30">
        <f>'Equity Volume Data'!BJ90*'Equity Price Data'!BM91</f>
        <v>43356.88</v>
      </c>
      <c r="BH90" s="30">
        <f>'Equity Volume Data'!BK90*'Equity Price Data'!BN91</f>
        <v>1230.4</v>
      </c>
      <c r="BI90" s="30">
        <f>'Equity Volume Data'!BL90*'Equity Price Data'!BO91</f>
        <v>40192</v>
      </c>
      <c r="BJ90" s="30">
        <f>'Equity Volume Data'!BM90*'Equity Price Data'!BP91</f>
        <v>43548.75</v>
      </c>
      <c r="BK90" s="30">
        <f>'Equity Volume Data'!BN90*'Equity Price Data'!BQ91</f>
        <v>88676.42</v>
      </c>
      <c r="BL90" s="30">
        <f>'Equity Volume Data'!BO90*'Equity Price Data'!BR91</f>
        <v>559.3</v>
      </c>
      <c r="BM90" s="30">
        <f>'Equity Volume Data'!BP90*'Equity Price Data'!BS91</f>
        <v>0</v>
      </c>
      <c r="BN90" s="30">
        <f>'Equity Volume Data'!BQ90*'Equity Price Data'!BT91</f>
        <v>17593.04</v>
      </c>
      <c r="BO90" s="30">
        <f>'Equity Volume Data'!BR90*'Equity Price Data'!BU91</f>
        <v>34640</v>
      </c>
    </row>
    <row r="91">
      <c r="A91" s="25">
        <f>'Equity Price Data'!A92</f>
        <v>45554.66667</v>
      </c>
      <c r="B91" s="29">
        <f t="shared" si="1"/>
        <v>1317305.94</v>
      </c>
      <c r="C91" s="30">
        <f>'Equity Volume Data'!F91*'Equity Price Data'!I92</f>
        <v>6843.72</v>
      </c>
      <c r="D91" s="30">
        <f>'Equity Volume Data'!G91*'Equity Price Data'!J92</f>
        <v>49366.2</v>
      </c>
      <c r="E91" s="30">
        <f>'Equity Volume Data'!H91*'Equity Price Data'!K92</f>
        <v>16398.8</v>
      </c>
      <c r="F91" s="30">
        <f>'Equity Volume Data'!I91*'Equity Price Data'!L92</f>
        <v>58590.72</v>
      </c>
      <c r="G91" s="30">
        <f>'Equity Volume Data'!J91*'Equity Price Data'!M92</f>
        <v>16326.93</v>
      </c>
      <c r="H91" s="30">
        <f>'Equity Volume Data'!K91*'Equity Price Data'!N92</f>
        <v>13483.36</v>
      </c>
      <c r="I91" s="30">
        <f>'Equity Volume Data'!L91*'Equity Price Data'!O92</f>
        <v>12250</v>
      </c>
      <c r="J91" s="30">
        <f>'Equity Volume Data'!M91*'Equity Price Data'!P92</f>
        <v>46890.42</v>
      </c>
      <c r="K91" s="30">
        <f>'Equity Volume Data'!N91*'Equity Price Data'!Q92</f>
        <v>11038</v>
      </c>
      <c r="L91" s="30">
        <f>'Equity Volume Data'!O91*'Equity Price Data'!R92</f>
        <v>24374.24</v>
      </c>
      <c r="M91" s="30">
        <f>'Equity Volume Data'!P91*'Equity Price Data'!S92</f>
        <v>0</v>
      </c>
      <c r="N91" s="30">
        <f>'Equity Volume Data'!Q91*'Equity Price Data'!T92</f>
        <v>6445.6</v>
      </c>
      <c r="O91" s="30">
        <f>'Equity Volume Data'!R91*'Equity Price Data'!U92</f>
        <v>55996.5</v>
      </c>
      <c r="P91" s="30">
        <f>'Equity Volume Data'!S91*'Equity Price Data'!V92</f>
        <v>0</v>
      </c>
      <c r="Q91" s="30">
        <f>'Equity Volume Data'!T91*'Equity Price Data'!W92</f>
        <v>22930.8</v>
      </c>
      <c r="R91" s="30">
        <f>'Equity Volume Data'!U91*'Equity Price Data'!X92</f>
        <v>11599.2</v>
      </c>
      <c r="S91" s="30">
        <f>'Equity Volume Data'!V91*'Equity Price Data'!Y92</f>
        <v>31438.88</v>
      </c>
      <c r="T91" s="30">
        <f>'Equity Volume Data'!W91*'Equity Price Data'!Z92</f>
        <v>10552.5</v>
      </c>
      <c r="U91" s="30">
        <f>'Equity Volume Data'!X91*'Equity Price Data'!AA92</f>
        <v>18643.68</v>
      </c>
      <c r="V91" s="30">
        <f>'Equity Volume Data'!Y91*'Equity Price Data'!AB92</f>
        <v>16441.32</v>
      </c>
      <c r="W91" s="30">
        <f>'Equity Volume Data'!Z91*'Equity Price Data'!AC92</f>
        <v>10964.1</v>
      </c>
      <c r="X91" s="30">
        <f>'Equity Volume Data'!AA91*'Equity Price Data'!AD92</f>
        <v>18470</v>
      </c>
      <c r="Y91" s="30">
        <f>'Equity Volume Data'!AB91*'Equity Price Data'!AE92</f>
        <v>5352.23</v>
      </c>
      <c r="Z91" s="30">
        <f>'Equity Volume Data'!AC91*'Equity Price Data'!AF92</f>
        <v>9483</v>
      </c>
      <c r="AA91" s="30">
        <f>'Equity Volume Data'!AD91*'Equity Price Data'!AG92</f>
        <v>19720</v>
      </c>
      <c r="AB91" s="30">
        <f>'Equity Volume Data'!AE91*'Equity Price Data'!AH92</f>
        <v>9011.7</v>
      </c>
      <c r="AC91" s="30">
        <f>'Equity Volume Data'!AF91*'Equity Price Data'!AI92</f>
        <v>18962.4</v>
      </c>
      <c r="AD91" s="30">
        <f>'Equity Volume Data'!AG91*'Equity Price Data'!AJ92</f>
        <v>13712.85</v>
      </c>
      <c r="AE91" s="30">
        <f>'Equity Volume Data'!AH91*'Equity Price Data'!AK92</f>
        <v>9724</v>
      </c>
      <c r="AF91" s="30">
        <f>'Equity Volume Data'!AI91*'Equity Price Data'!AL92</f>
        <v>17199.5</v>
      </c>
      <c r="AG91" s="30">
        <f>'Equity Volume Data'!AJ91*'Equity Price Data'!AM92</f>
        <v>30229.8</v>
      </c>
      <c r="AH91" s="30">
        <f>'Equity Volume Data'!AK91*'Equity Price Data'!AN92</f>
        <v>39034</v>
      </c>
      <c r="AI91" s="30">
        <f>'Equity Volume Data'!AL91*'Equity Price Data'!AO92</f>
        <v>19220.25</v>
      </c>
      <c r="AJ91" s="30">
        <f>'Equity Volume Data'!AM91*'Equity Price Data'!AP92</f>
        <v>20653.1</v>
      </c>
      <c r="AK91" s="30">
        <f>'Equity Volume Data'!AN91*'Equity Price Data'!AQ92</f>
        <v>0</v>
      </c>
      <c r="AL91" s="30">
        <f>'Equity Volume Data'!AO91*'Equity Price Data'!AR92</f>
        <v>33676.8</v>
      </c>
      <c r="AM91" s="30">
        <f>'Equity Volume Data'!AP91*'Equity Price Data'!AS92</f>
        <v>39562.6</v>
      </c>
      <c r="AN91" s="30">
        <f>'Equity Volume Data'!AQ91*'Equity Price Data'!AT92</f>
        <v>9476.6</v>
      </c>
      <c r="AO91" s="30">
        <f>'Equity Volume Data'!AR91*'Equity Price Data'!AU92</f>
        <v>24654.98</v>
      </c>
      <c r="AP91" s="30">
        <f>'Equity Volume Data'!AS91*'Equity Price Data'!AV92</f>
        <v>22367.5</v>
      </c>
      <c r="AQ91" s="30">
        <f>'Equity Volume Data'!AT91*'Equity Price Data'!AW92</f>
        <v>17839.8</v>
      </c>
      <c r="AR91" s="30">
        <f>'Equity Volume Data'!AU91*'Equity Price Data'!AX92</f>
        <v>0</v>
      </c>
      <c r="AS91" s="30">
        <f>'Equity Volume Data'!AV91*'Equity Price Data'!AY92</f>
        <v>52642.8</v>
      </c>
      <c r="AT91" s="30">
        <f>'Equity Volume Data'!AW91*'Equity Price Data'!AZ92</f>
        <v>16458</v>
      </c>
      <c r="AU91" s="30">
        <f>'Equity Volume Data'!AX91*'Equity Price Data'!BA92</f>
        <v>0</v>
      </c>
      <c r="AV91" s="30">
        <f>'Equity Volume Data'!AY91*'Equity Price Data'!BB92</f>
        <v>62471.1</v>
      </c>
      <c r="AW91" s="30">
        <f>'Equity Volume Data'!AZ91*'Equity Price Data'!BC92</f>
        <v>3855.2</v>
      </c>
      <c r="AX91" s="30">
        <f>'Equity Volume Data'!BA91*'Equity Price Data'!BD92</f>
        <v>0</v>
      </c>
      <c r="AY91" s="30">
        <f>'Equity Volume Data'!BB91*'Equity Price Data'!BE92</f>
        <v>0</v>
      </c>
      <c r="AZ91" s="30">
        <f>'Equity Volume Data'!BC91*'Equity Price Data'!BF92</f>
        <v>11635.5</v>
      </c>
      <c r="BA91" s="30">
        <f>'Equity Volume Data'!BD91*'Equity Price Data'!BG92</f>
        <v>5635.4</v>
      </c>
      <c r="BB91" s="30">
        <f>'Equity Volume Data'!BE91*'Equity Price Data'!BH92</f>
        <v>9505.6</v>
      </c>
      <c r="BC91" s="30">
        <f>'Equity Volume Data'!BF91*'Equity Price Data'!BI92</f>
        <v>0</v>
      </c>
      <c r="BD91" s="30">
        <f>'Equity Volume Data'!BG91*'Equity Price Data'!BJ92</f>
        <v>42523.32</v>
      </c>
      <c r="BE91" s="30">
        <f>'Equity Volume Data'!BH91*'Equity Price Data'!BK92</f>
        <v>14265.75</v>
      </c>
      <c r="BF91" s="30">
        <f>'Equity Volume Data'!BI91*'Equity Price Data'!BL92</f>
        <v>7338.8</v>
      </c>
      <c r="BG91" s="30">
        <f>'Equity Volume Data'!BJ91*'Equity Price Data'!BM92</f>
        <v>46142.44</v>
      </c>
      <c r="BH91" s="30">
        <f>'Equity Volume Data'!BK91*'Equity Price Data'!BN92</f>
        <v>1268.8</v>
      </c>
      <c r="BI91" s="30">
        <f>'Equity Volume Data'!BL91*'Equity Price Data'!BO92</f>
        <v>39750.4</v>
      </c>
      <c r="BJ91" s="30">
        <f>'Equity Volume Data'!BM91*'Equity Price Data'!BP92</f>
        <v>43280.25</v>
      </c>
      <c r="BK91" s="30">
        <f>'Equity Volume Data'!BN91*'Equity Price Data'!BQ92</f>
        <v>88838.6</v>
      </c>
      <c r="BL91" s="30">
        <f>'Equity Volume Data'!BO91*'Equity Price Data'!BR92</f>
        <v>559.3</v>
      </c>
      <c r="BM91" s="30">
        <f>'Equity Volume Data'!BP91*'Equity Price Data'!BS92</f>
        <v>0</v>
      </c>
      <c r="BN91" s="30">
        <f>'Equity Volume Data'!BQ91*'Equity Price Data'!BT92</f>
        <v>17568.6</v>
      </c>
      <c r="BO91" s="30">
        <f>'Equity Volume Data'!BR91*'Equity Price Data'!BU92</f>
        <v>34640</v>
      </c>
    </row>
    <row r="92">
      <c r="A92" s="25">
        <f>'Equity Price Data'!A93</f>
        <v>45555.66667</v>
      </c>
      <c r="B92" s="29">
        <f t="shared" si="1"/>
        <v>1313732.34</v>
      </c>
      <c r="C92" s="30">
        <f>'Equity Volume Data'!F92*'Equity Price Data'!I93</f>
        <v>6789.9</v>
      </c>
      <c r="D92" s="30">
        <f>'Equity Volume Data'!G92*'Equity Price Data'!J93</f>
        <v>49816</v>
      </c>
      <c r="E92" s="30">
        <f>'Equity Volume Data'!H92*'Equity Price Data'!K93</f>
        <v>16195.3</v>
      </c>
      <c r="F92" s="30">
        <f>'Equity Volume Data'!I92*'Equity Price Data'!L93</f>
        <v>58419.2</v>
      </c>
      <c r="G92" s="30">
        <f>'Equity Volume Data'!J92*'Equity Price Data'!M93</f>
        <v>15949.28</v>
      </c>
      <c r="H92" s="30">
        <f>'Equity Volume Data'!K92*'Equity Price Data'!N93</f>
        <v>13502.16</v>
      </c>
      <c r="I92" s="30">
        <f>'Equity Volume Data'!L92*'Equity Price Data'!O93</f>
        <v>12220</v>
      </c>
      <c r="J92" s="30">
        <f>'Equity Volume Data'!M92*'Equity Price Data'!P93</f>
        <v>46441.62</v>
      </c>
      <c r="K92" s="30">
        <f>'Equity Volume Data'!N92*'Equity Price Data'!Q93</f>
        <v>10758</v>
      </c>
      <c r="L92" s="30">
        <f>'Equity Volume Data'!O92*'Equity Price Data'!R93</f>
        <v>24122.56</v>
      </c>
      <c r="M92" s="30">
        <f>'Equity Volume Data'!P92*'Equity Price Data'!S93</f>
        <v>0</v>
      </c>
      <c r="N92" s="30">
        <f>'Equity Volume Data'!Q92*'Equity Price Data'!T93</f>
        <v>6393.6</v>
      </c>
      <c r="O92" s="30">
        <f>'Equity Volume Data'!R92*'Equity Price Data'!U93</f>
        <v>55323</v>
      </c>
      <c r="P92" s="30">
        <f>'Equity Volume Data'!S92*'Equity Price Data'!V93</f>
        <v>0</v>
      </c>
      <c r="Q92" s="30">
        <f>'Equity Volume Data'!T92*'Equity Price Data'!W93</f>
        <v>23290.8</v>
      </c>
      <c r="R92" s="30">
        <f>'Equity Volume Data'!U92*'Equity Price Data'!X93</f>
        <v>11654.4</v>
      </c>
      <c r="S92" s="30">
        <f>'Equity Volume Data'!V92*'Equity Price Data'!Y93</f>
        <v>31340.32</v>
      </c>
      <c r="T92" s="30">
        <f>'Equity Volume Data'!W92*'Equity Price Data'!Z93</f>
        <v>10412.5</v>
      </c>
      <c r="U92" s="30">
        <f>'Equity Volume Data'!X92*'Equity Price Data'!AA93</f>
        <v>18912.96</v>
      </c>
      <c r="V92" s="30">
        <f>'Equity Volume Data'!Y92*'Equity Price Data'!AB93</f>
        <v>16639.35</v>
      </c>
      <c r="W92" s="30">
        <f>'Equity Volume Data'!Z92*'Equity Price Data'!AC93</f>
        <v>10950.3</v>
      </c>
      <c r="X92" s="30">
        <f>'Equity Volume Data'!AA92*'Equity Price Data'!AD93</f>
        <v>17932.5</v>
      </c>
      <c r="Y92" s="30">
        <f>'Equity Volume Data'!AB92*'Equity Price Data'!AE93</f>
        <v>5387.46</v>
      </c>
      <c r="Z92" s="30">
        <f>'Equity Volume Data'!AC92*'Equity Price Data'!AF93</f>
        <v>9408</v>
      </c>
      <c r="AA92" s="30">
        <f>'Equity Volume Data'!AD92*'Equity Price Data'!AG93</f>
        <v>19595.9</v>
      </c>
      <c r="AB92" s="30">
        <f>'Equity Volume Data'!AE92*'Equity Price Data'!AH93</f>
        <v>7639.2</v>
      </c>
      <c r="AC92" s="30">
        <f>'Equity Volume Data'!AF92*'Equity Price Data'!AI93</f>
        <v>18822.4</v>
      </c>
      <c r="AD92" s="30">
        <f>'Equity Volume Data'!AG92*'Equity Price Data'!AJ93</f>
        <v>13809.15</v>
      </c>
      <c r="AE92" s="30">
        <f>'Equity Volume Data'!AH92*'Equity Price Data'!AK93</f>
        <v>9776</v>
      </c>
      <c r="AF92" s="30">
        <f>'Equity Volume Data'!AI92*'Equity Price Data'!AL93</f>
        <v>17207.7</v>
      </c>
      <c r="AG92" s="30">
        <f>'Equity Volume Data'!AJ92*'Equity Price Data'!AM93</f>
        <v>29905.8</v>
      </c>
      <c r="AH92" s="30">
        <f>'Equity Volume Data'!AK92*'Equity Price Data'!AN93</f>
        <v>38986</v>
      </c>
      <c r="AI92" s="30">
        <f>'Equity Volume Data'!AL92*'Equity Price Data'!AO93</f>
        <v>19346.25</v>
      </c>
      <c r="AJ92" s="30">
        <f>'Equity Volume Data'!AM92*'Equity Price Data'!AP93</f>
        <v>20779.2</v>
      </c>
      <c r="AK92" s="30">
        <f>'Equity Volume Data'!AN92*'Equity Price Data'!AQ93</f>
        <v>0</v>
      </c>
      <c r="AL92" s="30">
        <f>'Equity Volume Data'!AO92*'Equity Price Data'!AR93</f>
        <v>33774.4</v>
      </c>
      <c r="AM92" s="30">
        <f>'Equity Volume Data'!AP92*'Equity Price Data'!AS93</f>
        <v>40034.4</v>
      </c>
      <c r="AN92" s="30">
        <f>'Equity Volume Data'!AQ92*'Equity Price Data'!AT93</f>
        <v>9191.35</v>
      </c>
      <c r="AO92" s="30">
        <f>'Equity Volume Data'!AR92*'Equity Price Data'!AU93</f>
        <v>24569.58</v>
      </c>
      <c r="AP92" s="30">
        <f>'Equity Volume Data'!AS92*'Equity Price Data'!AV93</f>
        <v>22335</v>
      </c>
      <c r="AQ92" s="30">
        <f>'Equity Volume Data'!AT92*'Equity Price Data'!AW93</f>
        <v>17787</v>
      </c>
      <c r="AR92" s="30">
        <f>'Equity Volume Data'!AU92*'Equity Price Data'!AX93</f>
        <v>0</v>
      </c>
      <c r="AS92" s="30">
        <f>'Equity Volume Data'!AV92*'Equity Price Data'!AY93</f>
        <v>52232.4</v>
      </c>
      <c r="AT92" s="30">
        <f>'Equity Volume Data'!AW92*'Equity Price Data'!AZ93</f>
        <v>16552</v>
      </c>
      <c r="AU92" s="30">
        <f>'Equity Volume Data'!AX92*'Equity Price Data'!BA93</f>
        <v>0</v>
      </c>
      <c r="AV92" s="30">
        <f>'Equity Volume Data'!AY92*'Equity Price Data'!BB93</f>
        <v>16472</v>
      </c>
      <c r="AW92" s="30">
        <f>'Equity Volume Data'!AZ92*'Equity Price Data'!BC93</f>
        <v>3820.8</v>
      </c>
      <c r="AX92" s="30">
        <f>'Equity Volume Data'!BA92*'Equity Price Data'!BD93</f>
        <v>0</v>
      </c>
      <c r="AY92" s="30">
        <f>'Equity Volume Data'!BB92*'Equity Price Data'!BE93</f>
        <v>14954.4</v>
      </c>
      <c r="AZ92" s="30">
        <f>'Equity Volume Data'!BC92*'Equity Price Data'!BF93</f>
        <v>11514</v>
      </c>
      <c r="BA92" s="30">
        <f>'Equity Volume Data'!BD92*'Equity Price Data'!BG93</f>
        <v>5589.8</v>
      </c>
      <c r="BB92" s="30">
        <f>'Equity Volume Data'!BE92*'Equity Price Data'!BH93</f>
        <v>9452</v>
      </c>
      <c r="BC92" s="30">
        <f>'Equity Volume Data'!BF92*'Equity Price Data'!BI93</f>
        <v>0</v>
      </c>
      <c r="BD92" s="30">
        <f>'Equity Volume Data'!BG92*'Equity Price Data'!BJ93</f>
        <v>42480.72</v>
      </c>
      <c r="BE92" s="30">
        <f>'Equity Volume Data'!BH92*'Equity Price Data'!BK93</f>
        <v>14114.87</v>
      </c>
      <c r="BF92" s="30">
        <f>'Equity Volume Data'!BI92*'Equity Price Data'!BL93</f>
        <v>7362.8</v>
      </c>
      <c r="BG92" s="30">
        <f>'Equity Volume Data'!BJ92*'Equity Price Data'!BM93</f>
        <v>45870</v>
      </c>
      <c r="BH92" s="30">
        <f>'Equity Volume Data'!BK92*'Equity Price Data'!BN93</f>
        <v>1278.4</v>
      </c>
      <c r="BI92" s="30">
        <f>'Equity Volume Data'!BL92*'Equity Price Data'!BO93</f>
        <v>39262.4</v>
      </c>
      <c r="BJ92" s="30">
        <f>'Equity Volume Data'!BM92*'Equity Price Data'!BP93</f>
        <v>43125</v>
      </c>
      <c r="BK92" s="30">
        <f>'Equity Volume Data'!BN92*'Equity Price Data'!BQ93</f>
        <v>88874.64</v>
      </c>
      <c r="BL92" s="30">
        <f>'Equity Volume Data'!BO92*'Equity Price Data'!BR93</f>
        <v>535.33</v>
      </c>
      <c r="BM92" s="30">
        <f>'Equity Volume Data'!BP92*'Equity Price Data'!BS93</f>
        <v>0</v>
      </c>
      <c r="BN92" s="30">
        <f>'Equity Volume Data'!BQ92*'Equity Price Data'!BT93</f>
        <v>17625</v>
      </c>
      <c r="BO92" s="30">
        <f>'Equity Volume Data'!BR92*'Equity Price Data'!BU93</f>
        <v>67197.24</v>
      </c>
    </row>
    <row r="93">
      <c r="A93" s="25">
        <f>'Equity Price Data'!A94</f>
        <v>45558.66667</v>
      </c>
      <c r="B93" s="29">
        <f t="shared" si="1"/>
        <v>1315567.71</v>
      </c>
      <c r="C93" s="30">
        <f>'Equity Volume Data'!F93*'Equity Price Data'!I94</f>
        <v>6862.31</v>
      </c>
      <c r="D93" s="30">
        <f>'Equity Volume Data'!G93*'Equity Price Data'!J94</f>
        <v>50408.8</v>
      </c>
      <c r="E93" s="30">
        <f>'Equity Volume Data'!H93*'Equity Price Data'!K94</f>
        <v>16229.4</v>
      </c>
      <c r="F93" s="30">
        <f>'Equity Volume Data'!I93*'Equity Price Data'!L94</f>
        <v>57976.32</v>
      </c>
      <c r="G93" s="30">
        <f>'Equity Volume Data'!J93*'Equity Price Data'!M94</f>
        <v>16105.32</v>
      </c>
      <c r="H93" s="30">
        <f>'Equity Volume Data'!K93*'Equity Price Data'!N94</f>
        <v>13562.32</v>
      </c>
      <c r="I93" s="30">
        <f>'Equity Volume Data'!L93*'Equity Price Data'!O94</f>
        <v>12030</v>
      </c>
      <c r="J93" s="30">
        <f>'Equity Volume Data'!M93*'Equity Price Data'!P94</f>
        <v>46407.96</v>
      </c>
      <c r="K93" s="30">
        <f>'Equity Volume Data'!N93*'Equity Price Data'!Q94</f>
        <v>10918</v>
      </c>
      <c r="L93" s="30">
        <f>'Equity Volume Data'!O93*'Equity Price Data'!R94</f>
        <v>23693.01</v>
      </c>
      <c r="M93" s="30">
        <f>'Equity Volume Data'!P93*'Equity Price Data'!S94</f>
        <v>0</v>
      </c>
      <c r="N93" s="30">
        <f>'Equity Volume Data'!Q93*'Equity Price Data'!T94</f>
        <v>6470.4</v>
      </c>
      <c r="O93" s="30">
        <f>'Equity Volume Data'!R93*'Equity Price Data'!U94</f>
        <v>55675.5</v>
      </c>
      <c r="P93" s="30">
        <f>'Equity Volume Data'!S93*'Equity Price Data'!V94</f>
        <v>0</v>
      </c>
      <c r="Q93" s="30">
        <f>'Equity Volume Data'!T93*'Equity Price Data'!W94</f>
        <v>23456.4</v>
      </c>
      <c r="R93" s="30">
        <f>'Equity Volume Data'!U93*'Equity Price Data'!X94</f>
        <v>11803.2</v>
      </c>
      <c r="S93" s="30">
        <f>'Equity Volume Data'!V93*'Equity Price Data'!Y94</f>
        <v>31234.72</v>
      </c>
      <c r="T93" s="30">
        <f>'Equity Volume Data'!W93*'Equity Price Data'!Z94</f>
        <v>10265</v>
      </c>
      <c r="U93" s="30">
        <f>'Equity Volume Data'!X93*'Equity Price Data'!AA94</f>
        <v>18936.72</v>
      </c>
      <c r="V93" s="30">
        <f>'Equity Volume Data'!Y93*'Equity Price Data'!AB94</f>
        <v>16747.22</v>
      </c>
      <c r="W93" s="30">
        <f>'Equity Volume Data'!Z93*'Equity Price Data'!AC94</f>
        <v>11106.24</v>
      </c>
      <c r="X93" s="30">
        <f>'Equity Volume Data'!AA93*'Equity Price Data'!AD94</f>
        <v>17940</v>
      </c>
      <c r="Y93" s="30">
        <f>'Equity Volume Data'!AB93*'Equity Price Data'!AE94</f>
        <v>5469.1</v>
      </c>
      <c r="Z93" s="30">
        <f>'Equity Volume Data'!AC93*'Equity Price Data'!AF94</f>
        <v>9517.5</v>
      </c>
      <c r="AA93" s="30">
        <f>'Equity Volume Data'!AD93*'Equity Price Data'!AG94</f>
        <v>19951.2</v>
      </c>
      <c r="AB93" s="30">
        <f>'Equity Volume Data'!AE93*'Equity Price Data'!AH94</f>
        <v>7763.7</v>
      </c>
      <c r="AC93" s="30">
        <f>'Equity Volume Data'!AF93*'Equity Price Data'!AI94</f>
        <v>19078.4</v>
      </c>
      <c r="AD93" s="30">
        <f>'Equity Volume Data'!AG93*'Equity Price Data'!AJ94</f>
        <v>13864.05</v>
      </c>
      <c r="AE93" s="30">
        <f>'Equity Volume Data'!AH93*'Equity Price Data'!AK94</f>
        <v>9608</v>
      </c>
      <c r="AF93" s="30">
        <f>'Equity Volume Data'!AI93*'Equity Price Data'!AL94</f>
        <v>17217.95</v>
      </c>
      <c r="AG93" s="30">
        <f>'Equity Volume Data'!AJ93*'Equity Price Data'!AM94</f>
        <v>29844.6</v>
      </c>
      <c r="AH93" s="30">
        <f>'Equity Volume Data'!AK93*'Equity Price Data'!AN94</f>
        <v>39196</v>
      </c>
      <c r="AI93" s="30">
        <f>'Equity Volume Data'!AL93*'Equity Price Data'!AO94</f>
        <v>19141.5</v>
      </c>
      <c r="AJ93" s="30">
        <f>'Equity Volume Data'!AM93*'Equity Price Data'!AP94</f>
        <v>20793.5</v>
      </c>
      <c r="AK93" s="30">
        <f>'Equity Volume Data'!AN93*'Equity Price Data'!AQ94</f>
        <v>0</v>
      </c>
      <c r="AL93" s="30">
        <f>'Equity Volume Data'!AO93*'Equity Price Data'!AR94</f>
        <v>33830.4</v>
      </c>
      <c r="AM93" s="30">
        <f>'Equity Volume Data'!AP93*'Equity Price Data'!AS94</f>
        <v>40635.7</v>
      </c>
      <c r="AN93" s="30">
        <f>'Equity Volume Data'!AQ93*'Equity Price Data'!AT94</f>
        <v>9093</v>
      </c>
      <c r="AO93" s="30">
        <f>'Equity Volume Data'!AR93*'Equity Price Data'!AU94</f>
        <v>24629.36</v>
      </c>
      <c r="AP93" s="30">
        <f>'Equity Volume Data'!AS93*'Equity Price Data'!AV94</f>
        <v>22465</v>
      </c>
      <c r="AQ93" s="30">
        <f>'Equity Volume Data'!AT93*'Equity Price Data'!AW94</f>
        <v>17921.2</v>
      </c>
      <c r="AR93" s="30">
        <f>'Equity Volume Data'!AU93*'Equity Price Data'!AX94</f>
        <v>0</v>
      </c>
      <c r="AS93" s="30">
        <f>'Equity Volume Data'!AV93*'Equity Price Data'!AY94</f>
        <v>52021.2</v>
      </c>
      <c r="AT93" s="30">
        <f>'Equity Volume Data'!AW93*'Equity Price Data'!AZ94</f>
        <v>16964</v>
      </c>
      <c r="AU93" s="30">
        <f>'Equity Volume Data'!AX93*'Equity Price Data'!BA94</f>
        <v>0</v>
      </c>
      <c r="AV93" s="30">
        <f>'Equity Volume Data'!AY93*'Equity Price Data'!BB94</f>
        <v>16508.92</v>
      </c>
      <c r="AW93" s="30">
        <f>'Equity Volume Data'!AZ93*'Equity Price Data'!BC94</f>
        <v>3850</v>
      </c>
      <c r="AX93" s="30">
        <f>'Equity Volume Data'!BA93*'Equity Price Data'!BD94</f>
        <v>0</v>
      </c>
      <c r="AY93" s="30">
        <f>'Equity Volume Data'!BB93*'Equity Price Data'!BE94</f>
        <v>15255.9</v>
      </c>
      <c r="AZ93" s="30">
        <f>'Equity Volume Data'!BC93*'Equity Price Data'!BF94</f>
        <v>11650.5</v>
      </c>
      <c r="BA93" s="30">
        <f>'Equity Volume Data'!BD93*'Equity Price Data'!BG94</f>
        <v>5568.9</v>
      </c>
      <c r="BB93" s="30">
        <f>'Equity Volume Data'!BE93*'Equity Price Data'!BH94</f>
        <v>9621.6</v>
      </c>
      <c r="BC93" s="30">
        <f>'Equity Volume Data'!BF93*'Equity Price Data'!BI94</f>
        <v>0</v>
      </c>
      <c r="BD93" s="30">
        <f>'Equity Volume Data'!BG93*'Equity Price Data'!BJ94</f>
        <v>43123.98</v>
      </c>
      <c r="BE93" s="30">
        <f>'Equity Volume Data'!BH93*'Equity Price Data'!BK94</f>
        <v>14038.05</v>
      </c>
      <c r="BF93" s="30">
        <f>'Equity Volume Data'!BI93*'Equity Price Data'!BL94</f>
        <v>7416</v>
      </c>
      <c r="BG93" s="30">
        <f>'Equity Volume Data'!BJ93*'Equity Price Data'!BM94</f>
        <v>44341</v>
      </c>
      <c r="BH93" s="30">
        <f>'Equity Volume Data'!BK93*'Equity Price Data'!BN94</f>
        <v>1241.6</v>
      </c>
      <c r="BI93" s="30">
        <f>'Equity Volume Data'!BL93*'Equity Price Data'!BO94</f>
        <v>39040</v>
      </c>
      <c r="BJ93" s="30">
        <f>'Equity Volume Data'!BM93*'Equity Price Data'!BP94</f>
        <v>43005.75</v>
      </c>
      <c r="BK93" s="30">
        <f>'Equity Volume Data'!BN93*'Equity Price Data'!BQ94</f>
        <v>88856.62</v>
      </c>
      <c r="BL93" s="30">
        <f>'Equity Volume Data'!BO93*'Equity Price Data'!BR94</f>
        <v>539.09</v>
      </c>
      <c r="BM93" s="30">
        <f>'Equity Volume Data'!BP93*'Equity Price Data'!BS94</f>
        <v>0</v>
      </c>
      <c r="BN93" s="30">
        <f>'Equity Volume Data'!BQ93*'Equity Price Data'!BT94</f>
        <v>17478.36</v>
      </c>
      <c r="BO93" s="30">
        <f>'Equity Volume Data'!BR93*'Equity Price Data'!BU94</f>
        <v>67197.24</v>
      </c>
    </row>
    <row r="94">
      <c r="A94" s="25">
        <f>'Equity Price Data'!A95</f>
        <v>45559.66667</v>
      </c>
      <c r="B94" s="29">
        <f t="shared" si="1"/>
        <v>1318799.04</v>
      </c>
      <c r="C94" s="30">
        <f>'Equity Volume Data'!F94*'Equity Price Data'!I95</f>
        <v>6812.91</v>
      </c>
      <c r="D94" s="30">
        <f>'Equity Volume Data'!G94*'Equity Price Data'!J95</f>
        <v>50429.6</v>
      </c>
      <c r="E94" s="30">
        <f>'Equity Volume Data'!H94*'Equity Price Data'!K95</f>
        <v>15954.4</v>
      </c>
      <c r="F94" s="30">
        <f>'Equity Volume Data'!I94*'Equity Price Data'!L95</f>
        <v>58206.72</v>
      </c>
      <c r="G94" s="30">
        <f>'Equity Volume Data'!J94*'Equity Price Data'!M95</f>
        <v>16332.74</v>
      </c>
      <c r="H94" s="30">
        <f>'Equity Volume Data'!K94*'Equity Price Data'!N95</f>
        <v>13502.16</v>
      </c>
      <c r="I94" s="30">
        <f>'Equity Volume Data'!L94*'Equity Price Data'!O95</f>
        <v>12220</v>
      </c>
      <c r="J94" s="30">
        <f>'Equity Volume Data'!M94*'Equity Price Data'!P95</f>
        <v>46365.12</v>
      </c>
      <c r="K94" s="30">
        <f>'Equity Volume Data'!N94*'Equity Price Data'!Q95</f>
        <v>11470</v>
      </c>
      <c r="L94" s="30">
        <f>'Equity Volume Data'!O94*'Equity Price Data'!R95</f>
        <v>23488.52</v>
      </c>
      <c r="M94" s="30">
        <f>'Equity Volume Data'!P94*'Equity Price Data'!S95</f>
        <v>0</v>
      </c>
      <c r="N94" s="30">
        <f>'Equity Volume Data'!Q94*'Equity Price Data'!T95</f>
        <v>6432.8</v>
      </c>
      <c r="O94" s="30">
        <f>'Equity Volume Data'!R94*'Equity Price Data'!U95</f>
        <v>57889.5</v>
      </c>
      <c r="P94" s="30">
        <f>'Equity Volume Data'!S94*'Equity Price Data'!V95</f>
        <v>0</v>
      </c>
      <c r="Q94" s="30">
        <f>'Equity Volume Data'!T94*'Equity Price Data'!W95</f>
        <v>23434.8</v>
      </c>
      <c r="R94" s="30">
        <f>'Equity Volume Data'!U94*'Equity Price Data'!X95</f>
        <v>11796</v>
      </c>
      <c r="S94" s="30">
        <f>'Equity Volume Data'!V94*'Equity Price Data'!Y95</f>
        <v>31078.96</v>
      </c>
      <c r="T94" s="30">
        <f>'Equity Volume Data'!W94*'Equity Price Data'!Z95</f>
        <v>10190</v>
      </c>
      <c r="U94" s="30">
        <f>'Equity Volume Data'!X94*'Equity Price Data'!AA95</f>
        <v>18831.12</v>
      </c>
      <c r="V94" s="30">
        <f>'Equity Volume Data'!Y94*'Equity Price Data'!AB95</f>
        <v>16554.02</v>
      </c>
      <c r="W94" s="30">
        <f>'Equity Volume Data'!Z94*'Equity Price Data'!AC95</f>
        <v>11186.97</v>
      </c>
      <c r="X94" s="30">
        <f>'Equity Volume Data'!AA94*'Equity Price Data'!AD95</f>
        <v>17822.5</v>
      </c>
      <c r="Y94" s="30">
        <f>'Equity Volume Data'!AB94*'Equity Price Data'!AE95</f>
        <v>5545.02</v>
      </c>
      <c r="Z94" s="30">
        <f>'Equity Volume Data'!AC94*'Equity Price Data'!AF95</f>
        <v>9816</v>
      </c>
      <c r="AA94" s="30">
        <f>'Equity Volume Data'!AD94*'Equity Price Data'!AG95</f>
        <v>19898.5</v>
      </c>
      <c r="AB94" s="30">
        <f>'Equity Volume Data'!AE94*'Equity Price Data'!AH95</f>
        <v>8013.9</v>
      </c>
      <c r="AC94" s="30">
        <f>'Equity Volume Data'!AF94*'Equity Price Data'!AI95</f>
        <v>19117.2</v>
      </c>
      <c r="AD94" s="30">
        <f>'Equity Volume Data'!AG94*'Equity Price Data'!AJ95</f>
        <v>13710.15</v>
      </c>
      <c r="AE94" s="30">
        <f>'Equity Volume Data'!AH94*'Equity Price Data'!AK95</f>
        <v>9614</v>
      </c>
      <c r="AF94" s="30">
        <f>'Equity Volume Data'!AI94*'Equity Price Data'!AL95</f>
        <v>17176.95</v>
      </c>
      <c r="AG94" s="30">
        <f>'Equity Volume Data'!AJ94*'Equity Price Data'!AM95</f>
        <v>29881.2</v>
      </c>
      <c r="AH94" s="30">
        <f>'Equity Volume Data'!AK94*'Equity Price Data'!AN95</f>
        <v>40066</v>
      </c>
      <c r="AI94" s="30">
        <f>'Equity Volume Data'!AL94*'Equity Price Data'!AO95</f>
        <v>19094.25</v>
      </c>
      <c r="AJ94" s="30">
        <f>'Equity Volume Data'!AM94*'Equity Price Data'!AP95</f>
        <v>20637.5</v>
      </c>
      <c r="AK94" s="30">
        <f>'Equity Volume Data'!AN94*'Equity Price Data'!AQ95</f>
        <v>0</v>
      </c>
      <c r="AL94" s="30">
        <f>'Equity Volume Data'!AO94*'Equity Price Data'!AR95</f>
        <v>33854.4</v>
      </c>
      <c r="AM94" s="30">
        <f>'Equity Volume Data'!AP94*'Equity Price Data'!AS95</f>
        <v>40504.1</v>
      </c>
      <c r="AN94" s="30">
        <f>'Equity Volume Data'!AQ94*'Equity Price Data'!AT95</f>
        <v>9224.25</v>
      </c>
      <c r="AO94" s="30">
        <f>'Equity Volume Data'!AR94*'Equity Price Data'!AU95</f>
        <v>24945.34</v>
      </c>
      <c r="AP94" s="30">
        <f>'Equity Volume Data'!AS94*'Equity Price Data'!AV95</f>
        <v>22440</v>
      </c>
      <c r="AQ94" s="30">
        <f>'Equity Volume Data'!AT94*'Equity Price Data'!AW95</f>
        <v>17699</v>
      </c>
      <c r="AR94" s="30">
        <f>'Equity Volume Data'!AU94*'Equity Price Data'!AX95</f>
        <v>0</v>
      </c>
      <c r="AS94" s="30">
        <f>'Equity Volume Data'!AV94*'Equity Price Data'!AY95</f>
        <v>51500.4</v>
      </c>
      <c r="AT94" s="30">
        <f>'Equity Volume Data'!AW94*'Equity Price Data'!AZ95</f>
        <v>16858</v>
      </c>
      <c r="AU94" s="30">
        <f>'Equity Volume Data'!AX94*'Equity Price Data'!BA95</f>
        <v>0</v>
      </c>
      <c r="AV94" s="30">
        <f>'Equity Volume Data'!AY94*'Equity Price Data'!BB95</f>
        <v>17163.54</v>
      </c>
      <c r="AW94" s="30">
        <f>'Equity Volume Data'!AZ94*'Equity Price Data'!BC95</f>
        <v>3957.2</v>
      </c>
      <c r="AX94" s="30">
        <f>'Equity Volume Data'!BA94*'Equity Price Data'!BD95</f>
        <v>0</v>
      </c>
      <c r="AY94" s="30">
        <f>'Equity Volume Data'!BB94*'Equity Price Data'!BE95</f>
        <v>14833.8</v>
      </c>
      <c r="AZ94" s="30">
        <f>'Equity Volume Data'!BC94*'Equity Price Data'!BF95</f>
        <v>11751</v>
      </c>
      <c r="BA94" s="30">
        <f>'Equity Volume Data'!BD94*'Equity Price Data'!BG95</f>
        <v>5605</v>
      </c>
      <c r="BB94" s="30">
        <f>'Equity Volume Data'!BE94*'Equity Price Data'!BH95</f>
        <v>9603.2</v>
      </c>
      <c r="BC94" s="30">
        <f>'Equity Volume Data'!BF94*'Equity Price Data'!BI95</f>
        <v>0</v>
      </c>
      <c r="BD94" s="30">
        <f>'Equity Volume Data'!BG94*'Equity Price Data'!BJ95</f>
        <v>42906.72</v>
      </c>
      <c r="BE94" s="30">
        <f>'Equity Volume Data'!BH94*'Equity Price Data'!BK95</f>
        <v>14073.24</v>
      </c>
      <c r="BF94" s="30">
        <f>'Equity Volume Data'!BI94*'Equity Price Data'!BL95</f>
        <v>7341.2</v>
      </c>
      <c r="BG94" s="30">
        <f>'Equity Volume Data'!BJ94*'Equity Price Data'!BM95</f>
        <v>43368</v>
      </c>
      <c r="BH94" s="30">
        <f>'Equity Volume Data'!BK94*'Equity Price Data'!BN95</f>
        <v>1278.4</v>
      </c>
      <c r="BI94" s="30">
        <f>'Equity Volume Data'!BL94*'Equity Price Data'!BO95</f>
        <v>39833.6</v>
      </c>
      <c r="BJ94" s="30">
        <f>'Equity Volume Data'!BM94*'Equity Price Data'!BP95</f>
        <v>43139.25</v>
      </c>
      <c r="BK94" s="30">
        <f>'Equity Volume Data'!BN94*'Equity Price Data'!BQ95</f>
        <v>89000.78</v>
      </c>
      <c r="BL94" s="30">
        <f>'Equity Volume Data'!BO94*'Equity Price Data'!BR95</f>
        <v>538.15</v>
      </c>
      <c r="BM94" s="30">
        <f>'Equity Volume Data'!BP94*'Equity Price Data'!BS95</f>
        <v>0</v>
      </c>
      <c r="BN94" s="30">
        <f>'Equity Volume Data'!BQ94*'Equity Price Data'!BT95</f>
        <v>17613.72</v>
      </c>
      <c r="BO94" s="30">
        <f>'Equity Volume Data'!BR94*'Equity Price Data'!BU95</f>
        <v>67197.24</v>
      </c>
    </row>
    <row r="95">
      <c r="A95" s="25">
        <f>'Equity Price Data'!A96</f>
        <v>45560.66667</v>
      </c>
      <c r="B95" s="29">
        <f t="shared" si="1"/>
        <v>1310035.28</v>
      </c>
      <c r="C95" s="30">
        <f>'Equity Volume Data'!F95*'Equity Price Data'!I96</f>
        <v>6732.7</v>
      </c>
      <c r="D95" s="30">
        <f>'Equity Volume Data'!G95*'Equity Price Data'!J96</f>
        <v>50057.8</v>
      </c>
      <c r="E95" s="30">
        <f>'Equity Volume Data'!H95*'Equity Price Data'!K96</f>
        <v>15853.2</v>
      </c>
      <c r="F95" s="30">
        <f>'Equity Volume Data'!I95*'Equity Price Data'!L96</f>
        <v>57950.72</v>
      </c>
      <c r="G95" s="30">
        <f>'Equity Volume Data'!J95*'Equity Price Data'!M96</f>
        <v>16376.73</v>
      </c>
      <c r="H95" s="30">
        <f>'Equity Volume Data'!K95*'Equity Price Data'!N96</f>
        <v>13567.96</v>
      </c>
      <c r="I95" s="30">
        <f>'Equity Volume Data'!L95*'Equity Price Data'!O96</f>
        <v>11970</v>
      </c>
      <c r="J95" s="30">
        <f>'Equity Volume Data'!M95*'Equity Price Data'!P96</f>
        <v>46140.72</v>
      </c>
      <c r="K95" s="30">
        <f>'Equity Volume Data'!N95*'Equity Price Data'!Q96</f>
        <v>11546</v>
      </c>
      <c r="L95" s="30">
        <f>'Equity Volume Data'!O95*'Equity Price Data'!R96</f>
        <v>22877.47</v>
      </c>
      <c r="M95" s="30">
        <f>'Equity Volume Data'!P95*'Equity Price Data'!S96</f>
        <v>0</v>
      </c>
      <c r="N95" s="30">
        <f>'Equity Volume Data'!Q95*'Equity Price Data'!T96</f>
        <v>6373.6</v>
      </c>
      <c r="O95" s="30">
        <f>'Equity Volume Data'!R95*'Equity Price Data'!U96</f>
        <v>56737.5</v>
      </c>
      <c r="P95" s="30">
        <f>'Equity Volume Data'!S95*'Equity Price Data'!V96</f>
        <v>0</v>
      </c>
      <c r="Q95" s="30">
        <f>'Equity Volume Data'!T95*'Equity Price Data'!W96</f>
        <v>23284.8</v>
      </c>
      <c r="R95" s="30">
        <f>'Equity Volume Data'!U95*'Equity Price Data'!X96</f>
        <v>11517.6</v>
      </c>
      <c r="S95" s="30">
        <f>'Equity Volume Data'!V95*'Equity Price Data'!Y96</f>
        <v>30699.68</v>
      </c>
      <c r="T95" s="30">
        <f>'Equity Volume Data'!W95*'Equity Price Data'!Z96</f>
        <v>10060</v>
      </c>
      <c r="U95" s="30">
        <f>'Equity Volume Data'!X95*'Equity Price Data'!AA96</f>
        <v>18862.8</v>
      </c>
      <c r="V95" s="30">
        <f>'Equity Volume Data'!Y95*'Equity Price Data'!AB96</f>
        <v>16608.76</v>
      </c>
      <c r="W95" s="30">
        <f>'Equity Volume Data'!Z95*'Equity Price Data'!AC96</f>
        <v>11240.1</v>
      </c>
      <c r="X95" s="30">
        <f>'Equity Volume Data'!AA95*'Equity Price Data'!AD96</f>
        <v>17637.5</v>
      </c>
      <c r="Y95" s="30">
        <f>'Equity Volume Data'!AB95*'Equity Price Data'!AE96</f>
        <v>5536.96</v>
      </c>
      <c r="Z95" s="30">
        <f>'Equity Volume Data'!AC95*'Equity Price Data'!AF96</f>
        <v>9615</v>
      </c>
      <c r="AA95" s="30">
        <f>'Equity Volume Data'!AD95*'Equity Price Data'!AG96</f>
        <v>19510.9</v>
      </c>
      <c r="AB95" s="30">
        <f>'Equity Volume Data'!AE95*'Equity Price Data'!AH96</f>
        <v>7913.1</v>
      </c>
      <c r="AC95" s="30">
        <f>'Equity Volume Data'!AF95*'Equity Price Data'!AI96</f>
        <v>18964.4</v>
      </c>
      <c r="AD95" s="30">
        <f>'Equity Volume Data'!AG95*'Equity Price Data'!AJ96</f>
        <v>13576.05</v>
      </c>
      <c r="AE95" s="30">
        <f>'Equity Volume Data'!AH95*'Equity Price Data'!AK96</f>
        <v>9146</v>
      </c>
      <c r="AF95" s="30">
        <f>'Equity Volume Data'!AI95*'Equity Price Data'!AL96</f>
        <v>16853.05</v>
      </c>
      <c r="AG95" s="30">
        <f>'Equity Volume Data'!AJ95*'Equity Price Data'!AM96</f>
        <v>29468.4</v>
      </c>
      <c r="AH95" s="30">
        <f>'Equity Volume Data'!AK95*'Equity Price Data'!AN96</f>
        <v>39693</v>
      </c>
      <c r="AI95" s="30">
        <f>'Equity Volume Data'!AL95*'Equity Price Data'!AO96</f>
        <v>18947.25</v>
      </c>
      <c r="AJ95" s="30">
        <f>'Equity Volume Data'!AM95*'Equity Price Data'!AP96</f>
        <v>20728.5</v>
      </c>
      <c r="AK95" s="30">
        <f>'Equity Volume Data'!AN95*'Equity Price Data'!AQ96</f>
        <v>0</v>
      </c>
      <c r="AL95" s="30">
        <f>'Equity Volume Data'!AO95*'Equity Price Data'!AR96</f>
        <v>33630.4</v>
      </c>
      <c r="AM95" s="30">
        <f>'Equity Volume Data'!AP95*'Equity Price Data'!AS96</f>
        <v>40455.8</v>
      </c>
      <c r="AN95" s="30">
        <f>'Equity Volume Data'!AQ95*'Equity Price Data'!AT96</f>
        <v>9090.9</v>
      </c>
      <c r="AO95" s="30">
        <f>'Equity Volume Data'!AR95*'Equity Price Data'!AU96</f>
        <v>24877.02</v>
      </c>
      <c r="AP95" s="30">
        <f>'Equity Volume Data'!AS95*'Equity Price Data'!AV96</f>
        <v>22347.5</v>
      </c>
      <c r="AQ95" s="30">
        <f>'Equity Volume Data'!AT95*'Equity Price Data'!AW96</f>
        <v>17762.8</v>
      </c>
      <c r="AR95" s="30">
        <f>'Equity Volume Data'!AU95*'Equity Price Data'!AX96</f>
        <v>0</v>
      </c>
      <c r="AS95" s="30">
        <f>'Equity Volume Data'!AV95*'Equity Price Data'!AY96</f>
        <v>51853.2</v>
      </c>
      <c r="AT95" s="30">
        <f>'Equity Volume Data'!AW95*'Equity Price Data'!AZ96</f>
        <v>16924</v>
      </c>
      <c r="AU95" s="30">
        <f>'Equity Volume Data'!AX95*'Equity Price Data'!BA96</f>
        <v>0</v>
      </c>
      <c r="AV95" s="30">
        <f>'Equity Volume Data'!AY95*'Equity Price Data'!BB96</f>
        <v>17538.42</v>
      </c>
      <c r="AW95" s="30">
        <f>'Equity Volume Data'!AZ95*'Equity Price Data'!BC96</f>
        <v>3981.6</v>
      </c>
      <c r="AX95" s="30">
        <f>'Equity Volume Data'!BA95*'Equity Price Data'!BD96</f>
        <v>0</v>
      </c>
      <c r="AY95" s="30">
        <f>'Equity Volume Data'!BB95*'Equity Price Data'!BE96</f>
        <v>14922.24</v>
      </c>
      <c r="AZ95" s="30">
        <f>'Equity Volume Data'!BC95*'Equity Price Data'!BF96</f>
        <v>11604</v>
      </c>
      <c r="BA95" s="30">
        <f>'Equity Volume Data'!BD95*'Equity Price Data'!BG96</f>
        <v>5496.7</v>
      </c>
      <c r="BB95" s="30">
        <f>'Equity Volume Data'!BE95*'Equity Price Data'!BH96</f>
        <v>9672</v>
      </c>
      <c r="BC95" s="30">
        <f>'Equity Volume Data'!BF95*'Equity Price Data'!BI96</f>
        <v>0</v>
      </c>
      <c r="BD95" s="30">
        <f>'Equity Volume Data'!BG95*'Equity Price Data'!BJ96</f>
        <v>43305.03</v>
      </c>
      <c r="BE95" s="30">
        <f>'Equity Volume Data'!BH95*'Equity Price Data'!BK96</f>
        <v>13794.94</v>
      </c>
      <c r="BF95" s="30">
        <f>'Equity Volume Data'!BI95*'Equity Price Data'!BL96</f>
        <v>7366.4</v>
      </c>
      <c r="BG95" s="30">
        <f>'Equity Volume Data'!BJ95*'Equity Price Data'!BM96</f>
        <v>41221.84</v>
      </c>
      <c r="BH95" s="30">
        <f>'Equity Volume Data'!BK95*'Equity Price Data'!BN96</f>
        <v>1326.4</v>
      </c>
      <c r="BI95" s="30">
        <f>'Equity Volume Data'!BL95*'Equity Price Data'!BO96</f>
        <v>39280</v>
      </c>
      <c r="BJ95" s="30">
        <f>'Equity Volume Data'!BM95*'Equity Price Data'!BP96</f>
        <v>43223.25</v>
      </c>
      <c r="BK95" s="30">
        <f>'Equity Volume Data'!BN95*'Equity Price Data'!BQ96</f>
        <v>88928.7</v>
      </c>
      <c r="BL95" s="30">
        <f>'Equity Volume Data'!BO95*'Equity Price Data'!BR96</f>
        <v>529.69</v>
      </c>
      <c r="BM95" s="30">
        <f>'Equity Volume Data'!BP95*'Equity Price Data'!BS96</f>
        <v>0</v>
      </c>
      <c r="BN95" s="30">
        <f>'Equity Volume Data'!BQ95*'Equity Price Data'!BT96</f>
        <v>17656.96</v>
      </c>
      <c r="BO95" s="30">
        <f>'Equity Volume Data'!BR95*'Equity Price Data'!BU96</f>
        <v>67197.24</v>
      </c>
    </row>
    <row r="96">
      <c r="A96" s="25">
        <f>'Equity Price Data'!A97</f>
        <v>45561.66667</v>
      </c>
      <c r="B96" s="29">
        <f t="shared" si="1"/>
        <v>1315214.42</v>
      </c>
      <c r="C96" s="30">
        <f>'Equity Volume Data'!F96*'Equity Price Data'!I97</f>
        <v>6699.94</v>
      </c>
      <c r="D96" s="30">
        <f>'Equity Volume Data'!G96*'Equity Price Data'!J97</f>
        <v>49701.6</v>
      </c>
      <c r="E96" s="30">
        <f>'Equity Volume Data'!H96*'Equity Price Data'!K97</f>
        <v>15749.8</v>
      </c>
      <c r="F96" s="30">
        <f>'Equity Volume Data'!I96*'Equity Price Data'!L97</f>
        <v>58245.12</v>
      </c>
      <c r="G96" s="30">
        <f>'Equity Volume Data'!J96*'Equity Price Data'!M97</f>
        <v>17397.63</v>
      </c>
      <c r="H96" s="30">
        <f>'Equity Volume Data'!K96*'Equity Price Data'!N97</f>
        <v>13442</v>
      </c>
      <c r="I96" s="30">
        <f>'Equity Volume Data'!L96*'Equity Price Data'!O97</f>
        <v>12350</v>
      </c>
      <c r="J96" s="30">
        <f>'Equity Volume Data'!M96*'Equity Price Data'!P97</f>
        <v>46326.36</v>
      </c>
      <c r="K96" s="30">
        <f>'Equity Volume Data'!N96*'Equity Price Data'!Q97</f>
        <v>12182</v>
      </c>
      <c r="L96" s="30">
        <f>'Equity Volume Data'!O96*'Equity Price Data'!R97</f>
        <v>23425.6</v>
      </c>
      <c r="M96" s="30">
        <f>'Equity Volume Data'!P96*'Equity Price Data'!S97</f>
        <v>0</v>
      </c>
      <c r="N96" s="30">
        <f>'Equity Volume Data'!Q96*'Equity Price Data'!T97</f>
        <v>6382.4</v>
      </c>
      <c r="O96" s="30">
        <f>'Equity Volume Data'!R96*'Equity Price Data'!U97</f>
        <v>58644</v>
      </c>
      <c r="P96" s="30">
        <f>'Equity Volume Data'!S96*'Equity Price Data'!V97</f>
        <v>0</v>
      </c>
      <c r="Q96" s="30">
        <f>'Equity Volume Data'!T96*'Equity Price Data'!W97</f>
        <v>23400</v>
      </c>
      <c r="R96" s="30">
        <f>'Equity Volume Data'!U96*'Equity Price Data'!X97</f>
        <v>11359.2</v>
      </c>
      <c r="S96" s="30">
        <f>'Equity Volume Data'!V96*'Equity Price Data'!Y97</f>
        <v>30359.12</v>
      </c>
      <c r="T96" s="30">
        <f>'Equity Volume Data'!W96*'Equity Price Data'!Z97</f>
        <v>10130</v>
      </c>
      <c r="U96" s="30">
        <f>'Equity Volume Data'!X96*'Equity Price Data'!AA97</f>
        <v>18849.6</v>
      </c>
      <c r="V96" s="30">
        <f>'Equity Volume Data'!Y96*'Equity Price Data'!AB97</f>
        <v>16602.32</v>
      </c>
      <c r="W96" s="30">
        <f>'Equity Volume Data'!Z96*'Equity Price Data'!AC97</f>
        <v>11182.14</v>
      </c>
      <c r="X96" s="30">
        <f>'Equity Volume Data'!AA96*'Equity Price Data'!AD97</f>
        <v>18220</v>
      </c>
      <c r="Y96" s="30">
        <f>'Equity Volume Data'!AB96*'Equity Price Data'!AE97</f>
        <v>5620.55</v>
      </c>
      <c r="Z96" s="30">
        <f>'Equity Volume Data'!AC96*'Equity Price Data'!AF97</f>
        <v>9591</v>
      </c>
      <c r="AA96" s="30">
        <f>'Equity Volume Data'!AD96*'Equity Price Data'!AG97</f>
        <v>19176</v>
      </c>
      <c r="AB96" s="30">
        <f>'Equity Volume Data'!AE96*'Equity Price Data'!AH97</f>
        <v>7989.9</v>
      </c>
      <c r="AC96" s="30">
        <f>'Equity Volume Data'!AF96*'Equity Price Data'!AI97</f>
        <v>19121.2</v>
      </c>
      <c r="AD96" s="30">
        <f>'Equity Volume Data'!AG96*'Equity Price Data'!AJ97</f>
        <v>13522.05</v>
      </c>
      <c r="AE96" s="30">
        <f>'Equity Volume Data'!AH96*'Equity Price Data'!AK97</f>
        <v>9162</v>
      </c>
      <c r="AF96" s="30">
        <f>'Equity Volume Data'!AI96*'Equity Price Data'!AL97</f>
        <v>17023.2</v>
      </c>
      <c r="AG96" s="30">
        <f>'Equity Volume Data'!AJ96*'Equity Price Data'!AM97</f>
        <v>29815.2</v>
      </c>
      <c r="AH96" s="30">
        <f>'Equity Volume Data'!AK96*'Equity Price Data'!AN97</f>
        <v>39670</v>
      </c>
      <c r="AI96" s="30">
        <f>'Equity Volume Data'!AL96*'Equity Price Data'!AO97</f>
        <v>18917.5</v>
      </c>
      <c r="AJ96" s="30">
        <f>'Equity Volume Data'!AM96*'Equity Price Data'!AP97</f>
        <v>20555.6</v>
      </c>
      <c r="AK96" s="30">
        <f>'Equity Volume Data'!AN96*'Equity Price Data'!AQ97</f>
        <v>0</v>
      </c>
      <c r="AL96" s="30">
        <f>'Equity Volume Data'!AO96*'Equity Price Data'!AR97</f>
        <v>33564.8</v>
      </c>
      <c r="AM96" s="30">
        <f>'Equity Volume Data'!AP96*'Equity Price Data'!AS97</f>
        <v>40418</v>
      </c>
      <c r="AN96" s="30">
        <f>'Equity Volume Data'!AQ96*'Equity Price Data'!AT97</f>
        <v>9408.7</v>
      </c>
      <c r="AO96" s="30">
        <f>'Equity Volume Data'!AR96*'Equity Price Data'!AU97</f>
        <v>25304.02</v>
      </c>
      <c r="AP96" s="30">
        <f>'Equity Volume Data'!AS96*'Equity Price Data'!AV97</f>
        <v>22362.5</v>
      </c>
      <c r="AQ96" s="30">
        <f>'Equity Volume Data'!AT96*'Equity Price Data'!AW97</f>
        <v>17938.8</v>
      </c>
      <c r="AR96" s="30">
        <f>'Equity Volume Data'!AU96*'Equity Price Data'!AX97</f>
        <v>0</v>
      </c>
      <c r="AS96" s="30">
        <f>'Equity Volume Data'!AV96*'Equity Price Data'!AY97</f>
        <v>51757.2</v>
      </c>
      <c r="AT96" s="30">
        <f>'Equity Volume Data'!AW96*'Equity Price Data'!AZ97</f>
        <v>16692</v>
      </c>
      <c r="AU96" s="30">
        <f>'Equity Volume Data'!AX96*'Equity Price Data'!BA97</f>
        <v>0</v>
      </c>
      <c r="AV96" s="30">
        <f>'Equity Volume Data'!AY96*'Equity Price Data'!BB97</f>
        <v>17613.68</v>
      </c>
      <c r="AW96" s="30">
        <f>'Equity Volume Data'!AZ96*'Equity Price Data'!BC97</f>
        <v>4135.2</v>
      </c>
      <c r="AX96" s="30">
        <f>'Equity Volume Data'!BA96*'Equity Price Data'!BD97</f>
        <v>0</v>
      </c>
      <c r="AY96" s="30">
        <f>'Equity Volume Data'!BB96*'Equity Price Data'!BE97</f>
        <v>14914.2</v>
      </c>
      <c r="AZ96" s="30">
        <f>'Equity Volume Data'!BC96*'Equity Price Data'!BF97</f>
        <v>12012</v>
      </c>
      <c r="BA96" s="30">
        <f>'Equity Volume Data'!BD96*'Equity Price Data'!BG97</f>
        <v>5504.3</v>
      </c>
      <c r="BB96" s="30">
        <f>'Equity Volume Data'!BE96*'Equity Price Data'!BH97</f>
        <v>9625.6</v>
      </c>
      <c r="BC96" s="30">
        <f>'Equity Volume Data'!BF96*'Equity Price Data'!BI97</f>
        <v>0</v>
      </c>
      <c r="BD96" s="30">
        <f>'Equity Volume Data'!BG96*'Equity Price Data'!BJ97</f>
        <v>43292.25</v>
      </c>
      <c r="BE96" s="30">
        <f>'Equity Volume Data'!BH96*'Equity Price Data'!BK97</f>
        <v>14244.59</v>
      </c>
      <c r="BF96" s="30">
        <f>'Equity Volume Data'!BI96*'Equity Price Data'!BL97</f>
        <v>7574.4</v>
      </c>
      <c r="BG96" s="30">
        <f>'Equity Volume Data'!BJ96*'Equity Price Data'!BM97</f>
        <v>40187.68</v>
      </c>
      <c r="BH96" s="30">
        <f>'Equity Volume Data'!BK96*'Equity Price Data'!BN97</f>
        <v>1398.4</v>
      </c>
      <c r="BI96" s="30">
        <f>'Equity Volume Data'!BL96*'Equity Price Data'!BO97</f>
        <v>38916.8</v>
      </c>
      <c r="BJ96" s="30">
        <f>'Equity Volume Data'!BM96*'Equity Price Data'!BP97</f>
        <v>43110.75</v>
      </c>
      <c r="BK96" s="30">
        <f>'Equity Volume Data'!BN96*'Equity Price Data'!BQ97</f>
        <v>88784.54</v>
      </c>
      <c r="BL96" s="30">
        <f>'Equity Volume Data'!BO96*'Equity Price Data'!BR97</f>
        <v>546.14</v>
      </c>
      <c r="BM96" s="30">
        <f>'Equity Volume Data'!BP96*'Equity Price Data'!BS97</f>
        <v>0</v>
      </c>
      <c r="BN96" s="30">
        <f>'Equity Volume Data'!BQ96*'Equity Price Data'!BT97</f>
        <v>17897.6</v>
      </c>
      <c r="BO96" s="30">
        <f>'Equity Volume Data'!BR96*'Equity Price Data'!BU97</f>
        <v>67197.24</v>
      </c>
    </row>
    <row r="97">
      <c r="A97" s="25">
        <f>'Equity Price Data'!A98</f>
        <v>45562.66667</v>
      </c>
      <c r="B97" s="29">
        <f t="shared" si="1"/>
        <v>1351553.19</v>
      </c>
      <c r="C97" s="30">
        <f>'Equity Volume Data'!F97*'Equity Price Data'!I98</f>
        <v>6701.24</v>
      </c>
      <c r="D97" s="30">
        <f>'Equity Volume Data'!G97*'Equity Price Data'!J98</f>
        <v>48872.2</v>
      </c>
      <c r="E97" s="30">
        <f>'Equity Volume Data'!H97*'Equity Price Data'!K98</f>
        <v>15942.3</v>
      </c>
      <c r="F97" s="30">
        <f>'Equity Volume Data'!I97*'Equity Price Data'!L98</f>
        <v>58314.24</v>
      </c>
      <c r="G97" s="30">
        <f>'Equity Volume Data'!J97*'Equity Price Data'!M98</f>
        <v>17008.36</v>
      </c>
      <c r="H97" s="30">
        <f>'Equity Volume Data'!K97*'Equity Price Data'!N98</f>
        <v>13479.6</v>
      </c>
      <c r="I97" s="30">
        <f>'Equity Volume Data'!L97*'Equity Price Data'!O98</f>
        <v>12300</v>
      </c>
      <c r="J97" s="30">
        <f>'Equity Volume Data'!M97*'Equity Price Data'!P98</f>
        <v>46661.94</v>
      </c>
      <c r="K97" s="30">
        <f>'Equity Volume Data'!N97*'Equity Price Data'!Q98</f>
        <v>12402</v>
      </c>
      <c r="L97" s="30">
        <f>'Equity Volume Data'!O97*'Equity Price Data'!R98</f>
        <v>23555.07</v>
      </c>
      <c r="M97" s="30">
        <f>'Equity Volume Data'!P97*'Equity Price Data'!S98</f>
        <v>0</v>
      </c>
      <c r="N97" s="30">
        <f>'Equity Volume Data'!Q97*'Equity Price Data'!T98</f>
        <v>6441.6</v>
      </c>
      <c r="O97" s="30">
        <f>'Equity Volume Data'!R97*'Equity Price Data'!U98</f>
        <v>58662</v>
      </c>
      <c r="P97" s="30">
        <f>'Equity Volume Data'!S97*'Equity Price Data'!V98</f>
        <v>20007.66</v>
      </c>
      <c r="Q97" s="30">
        <f>'Equity Volume Data'!T97*'Equity Price Data'!W98</f>
        <v>23164.8</v>
      </c>
      <c r="R97" s="30">
        <f>'Equity Volume Data'!U97*'Equity Price Data'!X98</f>
        <v>11639.2</v>
      </c>
      <c r="S97" s="30">
        <f>'Equity Volume Data'!V97*'Equity Price Data'!Y98</f>
        <v>30597.6</v>
      </c>
      <c r="T97" s="30">
        <f>'Equity Volume Data'!W97*'Equity Price Data'!Z98</f>
        <v>10200</v>
      </c>
      <c r="U97" s="30">
        <f>'Equity Volume Data'!X97*'Equity Price Data'!AA98</f>
        <v>18952.56</v>
      </c>
      <c r="V97" s="30">
        <f>'Equity Volume Data'!Y97*'Equity Price Data'!AB98</f>
        <v>16752.05</v>
      </c>
      <c r="W97" s="30">
        <f>'Equity Volume Data'!Z97*'Equity Price Data'!AC98</f>
        <v>11120.04</v>
      </c>
      <c r="X97" s="30">
        <f>'Equity Volume Data'!AA97*'Equity Price Data'!AD98</f>
        <v>18280</v>
      </c>
      <c r="Y97" s="30">
        <f>'Equity Volume Data'!AB97*'Equity Price Data'!AE98</f>
        <v>5577.39</v>
      </c>
      <c r="Z97" s="30">
        <f>'Equity Volume Data'!AC97*'Equity Price Data'!AF98</f>
        <v>9600</v>
      </c>
      <c r="AA97" s="30">
        <f>'Equity Volume Data'!AD97*'Equity Price Data'!AG98</f>
        <v>19689.4</v>
      </c>
      <c r="AB97" s="30">
        <f>'Equity Volume Data'!AE97*'Equity Price Data'!AH98</f>
        <v>8026.5</v>
      </c>
      <c r="AC97" s="30">
        <f>'Equity Volume Data'!AF97*'Equity Price Data'!AI98</f>
        <v>18867.2</v>
      </c>
      <c r="AD97" s="30">
        <f>'Equity Volume Data'!AG97*'Equity Price Data'!AJ98</f>
        <v>13505.85</v>
      </c>
      <c r="AE97" s="30">
        <f>'Equity Volume Data'!AH97*'Equity Price Data'!AK98</f>
        <v>9296</v>
      </c>
      <c r="AF97" s="30">
        <f>'Equity Volume Data'!AI97*'Equity Price Data'!AL98</f>
        <v>17140.05</v>
      </c>
      <c r="AG97" s="30">
        <f>'Equity Volume Data'!AJ97*'Equity Price Data'!AM98</f>
        <v>29910.6</v>
      </c>
      <c r="AH97" s="30">
        <f>'Equity Volume Data'!AK97*'Equity Price Data'!AN98</f>
        <v>39953</v>
      </c>
      <c r="AI97" s="30">
        <f>'Equity Volume Data'!AL97*'Equity Price Data'!AO98</f>
        <v>18901.75</v>
      </c>
      <c r="AJ97" s="30">
        <f>'Equity Volume Data'!AM97*'Equity Price Data'!AP98</f>
        <v>20620.6</v>
      </c>
      <c r="AK97" s="30">
        <f>'Equity Volume Data'!AN97*'Equity Price Data'!AQ98</f>
        <v>0</v>
      </c>
      <c r="AL97" s="30">
        <f>'Equity Volume Data'!AO97*'Equity Price Data'!AR98</f>
        <v>33680</v>
      </c>
      <c r="AM97" s="30">
        <f>'Equity Volume Data'!AP97*'Equity Price Data'!AS98</f>
        <v>40765.2</v>
      </c>
      <c r="AN97" s="30">
        <f>'Equity Volume Data'!AQ97*'Equity Price Data'!AT98</f>
        <v>9800.35</v>
      </c>
      <c r="AO97" s="30">
        <f>'Equity Volume Data'!AR97*'Equity Price Data'!AU98</f>
        <v>25218.62</v>
      </c>
      <c r="AP97" s="30">
        <f>'Equity Volume Data'!AS97*'Equity Price Data'!AV98</f>
        <v>22330</v>
      </c>
      <c r="AQ97" s="30">
        <f>'Equity Volume Data'!AT97*'Equity Price Data'!AW98</f>
        <v>18145.6</v>
      </c>
      <c r="AR97" s="30">
        <f>'Equity Volume Data'!AU97*'Equity Price Data'!AX98</f>
        <v>0</v>
      </c>
      <c r="AS97" s="30">
        <f>'Equity Volume Data'!AV97*'Equity Price Data'!AY98</f>
        <v>51362.4</v>
      </c>
      <c r="AT97" s="30">
        <f>'Equity Volume Data'!AW97*'Equity Price Data'!AZ98</f>
        <v>16908</v>
      </c>
      <c r="AU97" s="30">
        <f>'Equity Volume Data'!AX97*'Equity Price Data'!BA98</f>
        <v>0</v>
      </c>
      <c r="AV97" s="30">
        <f>'Equity Volume Data'!AY97*'Equity Price Data'!BB98</f>
        <v>17238.8</v>
      </c>
      <c r="AW97" s="30">
        <f>'Equity Volume Data'!AZ97*'Equity Price Data'!BC98</f>
        <v>4177.2</v>
      </c>
      <c r="AX97" s="30">
        <f>'Equity Volume Data'!BA97*'Equity Price Data'!BD98</f>
        <v>0</v>
      </c>
      <c r="AY97" s="30">
        <f>'Equity Volume Data'!BB97*'Equity Price Data'!BE98</f>
        <v>14809.68</v>
      </c>
      <c r="AZ97" s="30">
        <f>'Equity Volume Data'!BC97*'Equity Price Data'!BF98</f>
        <v>11682</v>
      </c>
      <c r="BA97" s="30">
        <f>'Equity Volume Data'!BD97*'Equity Price Data'!BG98</f>
        <v>5527.1</v>
      </c>
      <c r="BB97" s="30">
        <f>'Equity Volume Data'!BE97*'Equity Price Data'!BH98</f>
        <v>9631.2</v>
      </c>
      <c r="BC97" s="30">
        <f>'Equity Volume Data'!BF97*'Equity Price Data'!BI98</f>
        <v>0</v>
      </c>
      <c r="BD97" s="30">
        <f>'Equity Volume Data'!BG97*'Equity Price Data'!BJ98</f>
        <v>43703.34</v>
      </c>
      <c r="BE97" s="30">
        <f>'Equity Volume Data'!BH97*'Equity Price Data'!BK98</f>
        <v>14131.66</v>
      </c>
      <c r="BF97" s="30">
        <f>'Equity Volume Data'!BI97*'Equity Price Data'!BL98</f>
        <v>7312.8</v>
      </c>
      <c r="BG97" s="30">
        <f>'Equity Volume Data'!BJ97*'Equity Price Data'!BM98</f>
        <v>44240.92</v>
      </c>
      <c r="BH97" s="30">
        <f>'Equity Volume Data'!BK97*'Equity Price Data'!BN98</f>
        <v>1430.4</v>
      </c>
      <c r="BI97" s="30">
        <f>'Equity Volume Data'!BL97*'Equity Price Data'!BO98</f>
        <v>39075.2</v>
      </c>
      <c r="BJ97" s="30">
        <f>'Equity Volume Data'!BM97*'Equity Price Data'!BP98</f>
        <v>43638.75</v>
      </c>
      <c r="BK97" s="30">
        <f>'Equity Volume Data'!BN97*'Equity Price Data'!BQ98</f>
        <v>88946.72</v>
      </c>
      <c r="BL97" s="30">
        <f>'Equity Volume Data'!BO97*'Equity Price Data'!BR98</f>
        <v>542.85</v>
      </c>
      <c r="BM97" s="30">
        <f>'Equity Volume Data'!BP97*'Equity Price Data'!BS98</f>
        <v>9864.48</v>
      </c>
      <c r="BN97" s="30">
        <f>'Equity Volume Data'!BQ97*'Equity Price Data'!BT98</f>
        <v>18049.88</v>
      </c>
      <c r="BO97" s="30">
        <f>'Equity Volume Data'!BR97*'Equity Price Data'!BU98</f>
        <v>67197.24</v>
      </c>
    </row>
    <row r="98">
      <c r="A98" s="25">
        <f>'Equity Price Data'!A99</f>
        <v>45565.66667</v>
      </c>
      <c r="B98" s="29">
        <f t="shared" si="1"/>
        <v>1353699</v>
      </c>
      <c r="C98" s="30">
        <f>'Equity Volume Data'!F98*'Equity Price Data'!I99</f>
        <v>6731.14</v>
      </c>
      <c r="D98" s="30">
        <f>'Equity Volume Data'!G98*'Equity Price Data'!J99</f>
        <v>48445.8</v>
      </c>
      <c r="E98" s="30">
        <f>'Equity Volume Data'!H98*'Equity Price Data'!K99</f>
        <v>16086.4</v>
      </c>
      <c r="F98" s="30">
        <f>'Equity Volume Data'!I98*'Equity Price Data'!L99</f>
        <v>59648</v>
      </c>
      <c r="G98" s="30">
        <f>'Equity Volume Data'!J98*'Equity Price Data'!M99</f>
        <v>16770.15</v>
      </c>
      <c r="H98" s="30">
        <f>'Equity Volume Data'!K98*'Equity Price Data'!N99</f>
        <v>13509.68</v>
      </c>
      <c r="I98" s="30">
        <f>'Equity Volume Data'!L98*'Equity Price Data'!O99</f>
        <v>12150</v>
      </c>
      <c r="J98" s="30">
        <f>'Equity Volume Data'!M98*'Equity Price Data'!P99</f>
        <v>46946.52</v>
      </c>
      <c r="K98" s="30">
        <f>'Equity Volume Data'!N98*'Equity Price Data'!Q99</f>
        <v>12422</v>
      </c>
      <c r="L98" s="30">
        <f>'Equity Volume Data'!O98*'Equity Price Data'!R99</f>
        <v>23454.64</v>
      </c>
      <c r="M98" s="30">
        <f>'Equity Volume Data'!P98*'Equity Price Data'!S99</f>
        <v>0</v>
      </c>
      <c r="N98" s="30">
        <f>'Equity Volume Data'!Q98*'Equity Price Data'!T99</f>
        <v>6439.2</v>
      </c>
      <c r="O98" s="30">
        <f>'Equity Volume Data'!R98*'Equity Price Data'!U99</f>
        <v>58668</v>
      </c>
      <c r="P98" s="30">
        <f>'Equity Volume Data'!S98*'Equity Price Data'!V99</f>
        <v>19915.92</v>
      </c>
      <c r="Q98" s="30">
        <f>'Equity Volume Data'!T98*'Equity Price Data'!W99</f>
        <v>23137.2</v>
      </c>
      <c r="R98" s="30">
        <f>'Equity Volume Data'!U98*'Equity Price Data'!X99</f>
        <v>11781.6</v>
      </c>
      <c r="S98" s="30">
        <f>'Equity Volume Data'!V98*'Equity Price Data'!Y99</f>
        <v>30486.72</v>
      </c>
      <c r="T98" s="30">
        <f>'Equity Volume Data'!W98*'Equity Price Data'!Z99</f>
        <v>10267.5</v>
      </c>
      <c r="U98" s="30">
        <f>'Equity Volume Data'!X98*'Equity Price Data'!AA99</f>
        <v>18971.04</v>
      </c>
      <c r="V98" s="30">
        <f>'Equity Volume Data'!Y98*'Equity Price Data'!AB99</f>
        <v>16764.93</v>
      </c>
      <c r="W98" s="30">
        <f>'Equity Volume Data'!Z98*'Equity Price Data'!AC99</f>
        <v>11166.27</v>
      </c>
      <c r="X98" s="30">
        <f>'Equity Volume Data'!AA98*'Equity Price Data'!AD99</f>
        <v>17580</v>
      </c>
      <c r="Y98" s="30">
        <f>'Equity Volume Data'!AB98*'Equity Price Data'!AE99</f>
        <v>5591.82</v>
      </c>
      <c r="Z98" s="30">
        <f>'Equity Volume Data'!AC98*'Equity Price Data'!AF99</f>
        <v>9766.5</v>
      </c>
      <c r="AA98" s="30">
        <f>'Equity Volume Data'!AD98*'Equity Price Data'!AG99</f>
        <v>19927.4</v>
      </c>
      <c r="AB98" s="30">
        <f>'Equity Volume Data'!AE98*'Equity Price Data'!AH99</f>
        <v>8210.4</v>
      </c>
      <c r="AC98" s="30">
        <f>'Equity Volume Data'!AF98*'Equity Price Data'!AI99</f>
        <v>18804.4</v>
      </c>
      <c r="AD98" s="30">
        <f>'Equity Volume Data'!AG98*'Equity Price Data'!AJ99</f>
        <v>13599</v>
      </c>
      <c r="AE98" s="30">
        <f>'Equity Volume Data'!AH98*'Equity Price Data'!AK99</f>
        <v>8968</v>
      </c>
      <c r="AF98" s="30">
        <f>'Equity Volume Data'!AI98*'Equity Price Data'!AL99</f>
        <v>17187.2</v>
      </c>
      <c r="AG98" s="30">
        <f>'Equity Volume Data'!AJ98*'Equity Price Data'!AM99</f>
        <v>29706.6</v>
      </c>
      <c r="AH98" s="30">
        <f>'Equity Volume Data'!AK98*'Equity Price Data'!AN99</f>
        <v>40520</v>
      </c>
      <c r="AI98" s="30">
        <f>'Equity Volume Data'!AL98*'Equity Price Data'!AO99</f>
        <v>19022.5</v>
      </c>
      <c r="AJ98" s="30">
        <f>'Equity Volume Data'!AM98*'Equity Price Data'!AP99</f>
        <v>20883.2</v>
      </c>
      <c r="AK98" s="30">
        <f>'Equity Volume Data'!AN98*'Equity Price Data'!AQ99</f>
        <v>0</v>
      </c>
      <c r="AL98" s="30">
        <f>'Equity Volume Data'!AO98*'Equity Price Data'!AR99</f>
        <v>33737.6</v>
      </c>
      <c r="AM98" s="30">
        <f>'Equity Volume Data'!AP98*'Equity Price Data'!AS99</f>
        <v>40919.2</v>
      </c>
      <c r="AN98" s="30">
        <f>'Equity Volume Data'!AQ98*'Equity Price Data'!AT99</f>
        <v>9497.25</v>
      </c>
      <c r="AO98" s="30">
        <f>'Equity Volume Data'!AR98*'Equity Price Data'!AU99</f>
        <v>25235.7</v>
      </c>
      <c r="AP98" s="30">
        <f>'Equity Volume Data'!AS98*'Equity Price Data'!AV99</f>
        <v>22507.5</v>
      </c>
      <c r="AQ98" s="30">
        <f>'Equity Volume Data'!AT98*'Equity Price Data'!AW99</f>
        <v>18145.6</v>
      </c>
      <c r="AR98" s="30">
        <f>'Equity Volume Data'!AU98*'Equity Price Data'!AX99</f>
        <v>0</v>
      </c>
      <c r="AS98" s="30">
        <f>'Equity Volume Data'!AV98*'Equity Price Data'!AY99</f>
        <v>51636</v>
      </c>
      <c r="AT98" s="30">
        <f>'Equity Volume Data'!AW98*'Equity Price Data'!AZ99</f>
        <v>16906</v>
      </c>
      <c r="AU98" s="30">
        <f>'Equity Volume Data'!AX98*'Equity Price Data'!BA99</f>
        <v>0</v>
      </c>
      <c r="AV98" s="30">
        <f>'Equity Volume Data'!AY98*'Equity Price Data'!BB99</f>
        <v>17244.48</v>
      </c>
      <c r="AW98" s="30">
        <f>'Equity Volume Data'!AZ98*'Equity Price Data'!BC99</f>
        <v>4157.6</v>
      </c>
      <c r="AX98" s="30">
        <f>'Equity Volume Data'!BA98*'Equity Price Data'!BD99</f>
        <v>0</v>
      </c>
      <c r="AY98" s="30">
        <f>'Equity Volume Data'!BB98*'Equity Price Data'!BE99</f>
        <v>14954.4</v>
      </c>
      <c r="AZ98" s="30">
        <f>'Equity Volume Data'!BC98*'Equity Price Data'!BF99</f>
        <v>11704.5</v>
      </c>
      <c r="BA98" s="30">
        <f>'Equity Volume Data'!BD98*'Equity Price Data'!BG99</f>
        <v>5498.6</v>
      </c>
      <c r="BB98" s="30">
        <f>'Equity Volume Data'!BE98*'Equity Price Data'!BH99</f>
        <v>9692.8</v>
      </c>
      <c r="BC98" s="30">
        <f>'Equity Volume Data'!BF98*'Equity Price Data'!BI99</f>
        <v>0</v>
      </c>
      <c r="BD98" s="30">
        <f>'Equity Volume Data'!BG98*'Equity Price Data'!BJ99</f>
        <v>43954.68</v>
      </c>
      <c r="BE98" s="30">
        <f>'Equity Volume Data'!BH98*'Equity Price Data'!BK99</f>
        <v>14227.11</v>
      </c>
      <c r="BF98" s="30">
        <f>'Equity Volume Data'!BI98*'Equity Price Data'!BL99</f>
        <v>7142.8</v>
      </c>
      <c r="BG98" s="30">
        <f>'Equity Volume Data'!BJ98*'Equity Price Data'!BM99</f>
        <v>43646</v>
      </c>
      <c r="BH98" s="30">
        <f>'Equity Volume Data'!BK98*'Equity Price Data'!BN99</f>
        <v>1425.6</v>
      </c>
      <c r="BI98" s="30">
        <f>'Equity Volume Data'!BL98*'Equity Price Data'!BO99</f>
        <v>39436.8</v>
      </c>
      <c r="BJ98" s="30">
        <f>'Equity Volume Data'!BM98*'Equity Price Data'!BP99</f>
        <v>43851</v>
      </c>
      <c r="BK98" s="30">
        <f>'Equity Volume Data'!BN98*'Equity Price Data'!BQ99</f>
        <v>88856.62</v>
      </c>
      <c r="BL98" s="30">
        <f>'Equity Volume Data'!BO98*'Equity Price Data'!BR99</f>
        <v>545.67</v>
      </c>
      <c r="BM98" s="30">
        <f>'Equity Volume Data'!BP98*'Equity Price Data'!BS99</f>
        <v>9964.8</v>
      </c>
      <c r="BN98" s="30">
        <f>'Equity Volume Data'!BQ98*'Equity Price Data'!BT99</f>
        <v>18083.72</v>
      </c>
      <c r="BO98" s="30">
        <f>'Equity Volume Data'!BR98*'Equity Price Data'!BU99</f>
        <v>67197.24</v>
      </c>
    </row>
    <row r="99">
      <c r="A99" s="25">
        <f>'Equity Price Data'!A100</f>
        <v>45566.66667</v>
      </c>
      <c r="B99" s="29">
        <f t="shared" si="1"/>
        <v>1344027.11</v>
      </c>
      <c r="C99" s="30">
        <f>'Equity Volume Data'!F99*'Equity Price Data'!I100</f>
        <v>6536.4</v>
      </c>
      <c r="D99" s="30">
        <f>'Equity Volume Data'!G99*'Equity Price Data'!J100</f>
        <v>48133.8</v>
      </c>
      <c r="E99" s="30">
        <f>'Equity Volume Data'!H99*'Equity Price Data'!K100</f>
        <v>16023.7</v>
      </c>
      <c r="F99" s="30">
        <f>'Equity Volume Data'!I99*'Equity Price Data'!L100</f>
        <v>57909.76</v>
      </c>
      <c r="G99" s="30">
        <f>'Equity Volume Data'!J99*'Equity Price Data'!M100</f>
        <v>16367.6</v>
      </c>
      <c r="H99" s="30">
        <f>'Equity Volume Data'!K99*'Equity Price Data'!N100</f>
        <v>13368.68</v>
      </c>
      <c r="I99" s="30">
        <f>'Equity Volume Data'!L99*'Equity Price Data'!O100</f>
        <v>11770</v>
      </c>
      <c r="J99" s="30">
        <f>'Equity Volume Data'!M99*'Equity Price Data'!P100</f>
        <v>46655.82</v>
      </c>
      <c r="K99" s="30">
        <f>'Equity Volume Data'!N99*'Equity Price Data'!Q100</f>
        <v>12478</v>
      </c>
      <c r="L99" s="30">
        <f>'Equity Volume Data'!O99*'Equity Price Data'!R100</f>
        <v>23086.8</v>
      </c>
      <c r="M99" s="30">
        <f>'Equity Volume Data'!P99*'Equity Price Data'!S100</f>
        <v>0</v>
      </c>
      <c r="N99" s="30">
        <f>'Equity Volume Data'!Q99*'Equity Price Data'!T100</f>
        <v>6348</v>
      </c>
      <c r="O99" s="30">
        <f>'Equity Volume Data'!R99*'Equity Price Data'!U100</f>
        <v>58858.5</v>
      </c>
      <c r="P99" s="30">
        <f>'Equity Volume Data'!S99*'Equity Price Data'!V100</f>
        <v>20282.88</v>
      </c>
      <c r="Q99" s="30">
        <f>'Equity Volume Data'!T99*'Equity Price Data'!W100</f>
        <v>22678.8</v>
      </c>
      <c r="R99" s="30">
        <f>'Equity Volume Data'!U99*'Equity Price Data'!X100</f>
        <v>11976</v>
      </c>
      <c r="S99" s="30">
        <f>'Equity Volume Data'!V99*'Equity Price Data'!Y100</f>
        <v>30631.92</v>
      </c>
      <c r="T99" s="30">
        <f>'Equity Volume Data'!W99*'Equity Price Data'!Z100</f>
        <v>9980</v>
      </c>
      <c r="U99" s="30">
        <f>'Equity Volume Data'!X99*'Equity Price Data'!AA100</f>
        <v>18931.44</v>
      </c>
      <c r="V99" s="30">
        <f>'Equity Volume Data'!Y99*'Equity Price Data'!AB100</f>
        <v>16929.15</v>
      </c>
      <c r="W99" s="30">
        <f>'Equity Volume Data'!Z99*'Equity Price Data'!AC100</f>
        <v>11058.63</v>
      </c>
      <c r="X99" s="30">
        <f>'Equity Volume Data'!AA99*'Equity Price Data'!AD100</f>
        <v>17610</v>
      </c>
      <c r="Y99" s="30">
        <f>'Equity Volume Data'!AB99*'Equity Price Data'!AE100</f>
        <v>5598.58</v>
      </c>
      <c r="Z99" s="30">
        <f>'Equity Volume Data'!AC99*'Equity Price Data'!AF100</f>
        <v>9874.5</v>
      </c>
      <c r="AA99" s="30">
        <f>'Equity Volume Data'!AD99*'Equity Price Data'!AG100</f>
        <v>20388.1</v>
      </c>
      <c r="AB99" s="30">
        <f>'Equity Volume Data'!AE99*'Equity Price Data'!AH100</f>
        <v>8086.8</v>
      </c>
      <c r="AC99" s="30">
        <f>'Equity Volume Data'!AF99*'Equity Price Data'!AI100</f>
        <v>18234.4</v>
      </c>
      <c r="AD99" s="30">
        <f>'Equity Volume Data'!AG99*'Equity Price Data'!AJ100</f>
        <v>13739.85</v>
      </c>
      <c r="AE99" s="30">
        <f>'Equity Volume Data'!AH99*'Equity Price Data'!AK100</f>
        <v>8976</v>
      </c>
      <c r="AF99" s="30">
        <f>'Equity Volume Data'!AI99*'Equity Price Data'!AL100</f>
        <v>17207.7</v>
      </c>
      <c r="AG99" s="30">
        <f>'Equity Volume Data'!AJ99*'Equity Price Data'!AM100</f>
        <v>29410.2</v>
      </c>
      <c r="AH99" s="30">
        <f>'Equity Volume Data'!AK99*'Equity Price Data'!AN100</f>
        <v>40905</v>
      </c>
      <c r="AI99" s="30">
        <f>'Equity Volume Data'!AL99*'Equity Price Data'!AO100</f>
        <v>18826.5</v>
      </c>
      <c r="AJ99" s="30">
        <f>'Equity Volume Data'!AM99*'Equity Price Data'!AP100</f>
        <v>20948.2</v>
      </c>
      <c r="AK99" s="30">
        <f>'Equity Volume Data'!AN99*'Equity Price Data'!AQ100</f>
        <v>0</v>
      </c>
      <c r="AL99" s="30">
        <f>'Equity Volume Data'!AO99*'Equity Price Data'!AR100</f>
        <v>33126.4</v>
      </c>
      <c r="AM99" s="30">
        <f>'Equity Volume Data'!AP99*'Equity Price Data'!AS100</f>
        <v>42410.2</v>
      </c>
      <c r="AN99" s="30">
        <f>'Equity Volume Data'!AQ99*'Equity Price Data'!AT100</f>
        <v>9325.75</v>
      </c>
      <c r="AO99" s="30">
        <f>'Equity Volume Data'!AR99*'Equity Price Data'!AU100</f>
        <v>25210.08</v>
      </c>
      <c r="AP99" s="30">
        <f>'Equity Volume Data'!AS99*'Equity Price Data'!AV100</f>
        <v>22500</v>
      </c>
      <c r="AQ99" s="30">
        <f>'Equity Volume Data'!AT99*'Equity Price Data'!AW100</f>
        <v>17991.6</v>
      </c>
      <c r="AR99" s="30">
        <f>'Equity Volume Data'!AU99*'Equity Price Data'!AX100</f>
        <v>0</v>
      </c>
      <c r="AS99" s="30">
        <f>'Equity Volume Data'!AV99*'Equity Price Data'!AY100</f>
        <v>50482.8</v>
      </c>
      <c r="AT99" s="30">
        <f>'Equity Volume Data'!AW99*'Equity Price Data'!AZ100</f>
        <v>17054</v>
      </c>
      <c r="AU99" s="30">
        <f>'Equity Volume Data'!AX99*'Equity Price Data'!BA100</f>
        <v>0</v>
      </c>
      <c r="AV99" s="30">
        <f>'Equity Volume Data'!AY99*'Equity Price Data'!BB100</f>
        <v>16614</v>
      </c>
      <c r="AW99" s="30">
        <f>'Equity Volume Data'!AZ99*'Equity Price Data'!BC100</f>
        <v>4150.8</v>
      </c>
      <c r="AX99" s="30">
        <f>'Equity Volume Data'!BA99*'Equity Price Data'!BD100</f>
        <v>0</v>
      </c>
      <c r="AY99" s="30">
        <f>'Equity Volume Data'!BB99*'Equity Price Data'!BE100</f>
        <v>14656.92</v>
      </c>
      <c r="AZ99" s="30">
        <f>'Equity Volume Data'!BC99*'Equity Price Data'!BF100</f>
        <v>11620.5</v>
      </c>
      <c r="BA99" s="30">
        <f>'Equity Volume Data'!BD99*'Equity Price Data'!BG100</f>
        <v>5447.3</v>
      </c>
      <c r="BB99" s="30">
        <f>'Equity Volume Data'!BE99*'Equity Price Data'!BH100</f>
        <v>9951.2</v>
      </c>
      <c r="BC99" s="30">
        <f>'Equity Volume Data'!BF99*'Equity Price Data'!BI100</f>
        <v>0</v>
      </c>
      <c r="BD99" s="30">
        <f>'Equity Volume Data'!BG99*'Equity Price Data'!BJ100</f>
        <v>43899.3</v>
      </c>
      <c r="BE99" s="30">
        <f>'Equity Volume Data'!BH99*'Equity Price Data'!BK100</f>
        <v>14097.62</v>
      </c>
      <c r="BF99" s="30">
        <f>'Equity Volume Data'!BI99*'Equity Price Data'!BL100</f>
        <v>7122.4</v>
      </c>
      <c r="BG99" s="30">
        <f>'Equity Volume Data'!BJ99*'Equity Price Data'!BM100</f>
        <v>40259.96</v>
      </c>
      <c r="BH99" s="30">
        <f>'Equity Volume Data'!BK99*'Equity Price Data'!BN100</f>
        <v>1417.6</v>
      </c>
      <c r="BI99" s="30">
        <f>'Equity Volume Data'!BL99*'Equity Price Data'!BO100</f>
        <v>39288</v>
      </c>
      <c r="BJ99" s="30">
        <f>'Equity Volume Data'!BM99*'Equity Price Data'!BP100</f>
        <v>43747.5</v>
      </c>
      <c r="BK99" s="30">
        <f>'Equity Volume Data'!BN99*'Equity Price Data'!BQ100</f>
        <v>88442.16</v>
      </c>
      <c r="BL99" s="30">
        <f>'Equity Volume Data'!BO99*'Equity Price Data'!BR100</f>
        <v>540.03</v>
      </c>
      <c r="BM99" s="30">
        <f>'Equity Volume Data'!BP99*'Equity Price Data'!BS100</f>
        <v>9980.64</v>
      </c>
      <c r="BN99" s="30">
        <f>'Equity Volume Data'!BQ99*'Equity Price Data'!BT100</f>
        <v>17681.4</v>
      </c>
      <c r="BO99" s="30">
        <f>'Equity Volume Data'!BR99*'Equity Price Data'!BU100</f>
        <v>67197.24</v>
      </c>
    </row>
    <row r="100">
      <c r="A100" s="25">
        <f>'Equity Price Data'!A101</f>
        <v>45567.66667</v>
      </c>
      <c r="B100" s="29">
        <f t="shared" si="1"/>
        <v>1344499.27</v>
      </c>
      <c r="C100" s="30">
        <f>'Equity Volume Data'!F100*'Equity Price Data'!I101</f>
        <v>6575.53</v>
      </c>
      <c r="D100" s="30">
        <f>'Equity Volume Data'!G100*'Equity Price Data'!J101</f>
        <v>48037.6</v>
      </c>
      <c r="E100" s="30">
        <f>'Equity Volume Data'!H100*'Equity Price Data'!K101</f>
        <v>16071</v>
      </c>
      <c r="F100" s="30">
        <f>'Equity Volume Data'!I100*'Equity Price Data'!L101</f>
        <v>58055.68</v>
      </c>
      <c r="G100" s="30">
        <f>'Equity Volume Data'!J100*'Equity Price Data'!M101</f>
        <v>16695.45</v>
      </c>
      <c r="H100" s="30">
        <f>'Equity Volume Data'!K100*'Equity Price Data'!N101</f>
        <v>13338.6</v>
      </c>
      <c r="I100" s="30">
        <f>'Equity Volume Data'!L100*'Equity Price Data'!O101</f>
        <v>11790</v>
      </c>
      <c r="J100" s="30">
        <f>'Equity Volume Data'!M100*'Equity Price Data'!P101</f>
        <v>46580.34</v>
      </c>
      <c r="K100" s="30">
        <f>'Equity Volume Data'!N100*'Equity Price Data'!Q101</f>
        <v>12486</v>
      </c>
      <c r="L100" s="30">
        <f>'Equity Volume Data'!O100*'Equity Price Data'!R101</f>
        <v>22837.54</v>
      </c>
      <c r="M100" s="30">
        <f>'Equity Volume Data'!P100*'Equity Price Data'!S101</f>
        <v>0</v>
      </c>
      <c r="N100" s="30">
        <f>'Equity Volume Data'!Q100*'Equity Price Data'!T101</f>
        <v>6443.2</v>
      </c>
      <c r="O100" s="30">
        <f>'Equity Volume Data'!R100*'Equity Price Data'!U101</f>
        <v>59107.5</v>
      </c>
      <c r="P100" s="30">
        <f>'Equity Volume Data'!S100*'Equity Price Data'!V101</f>
        <v>20616.48</v>
      </c>
      <c r="Q100" s="30">
        <f>'Equity Volume Data'!T100*'Equity Price Data'!W101</f>
        <v>22942.8</v>
      </c>
      <c r="R100" s="30">
        <f>'Equity Volume Data'!U100*'Equity Price Data'!X101</f>
        <v>12076</v>
      </c>
      <c r="S100" s="30">
        <f>'Equity Volume Data'!V100*'Equity Price Data'!Y101</f>
        <v>29982.48</v>
      </c>
      <c r="T100" s="30">
        <f>'Equity Volume Data'!W100*'Equity Price Data'!Z101</f>
        <v>10012.5</v>
      </c>
      <c r="U100" s="30">
        <f>'Equity Volume Data'!X100*'Equity Price Data'!AA101</f>
        <v>18746.64</v>
      </c>
      <c r="V100" s="30">
        <f>'Equity Volume Data'!Y100*'Equity Price Data'!AB101</f>
        <v>16816.45</v>
      </c>
      <c r="W100" s="30">
        <f>'Equity Volume Data'!Z100*'Equity Price Data'!AC101</f>
        <v>11012.4</v>
      </c>
      <c r="X100" s="30">
        <f>'Equity Volume Data'!AA100*'Equity Price Data'!AD101</f>
        <v>17372.5</v>
      </c>
      <c r="Y100" s="30">
        <f>'Equity Volume Data'!AB100*'Equity Price Data'!AE101</f>
        <v>5501.6</v>
      </c>
      <c r="Z100" s="30">
        <f>'Equity Volume Data'!AC100*'Equity Price Data'!AF101</f>
        <v>9780</v>
      </c>
      <c r="AA100" s="30">
        <f>'Equity Volume Data'!AD100*'Equity Price Data'!AG101</f>
        <v>20658.4</v>
      </c>
      <c r="AB100" s="30">
        <f>'Equity Volume Data'!AE100*'Equity Price Data'!AH101</f>
        <v>8007.9</v>
      </c>
      <c r="AC100" s="30">
        <f>'Equity Volume Data'!AF100*'Equity Price Data'!AI101</f>
        <v>18286.4</v>
      </c>
      <c r="AD100" s="30">
        <f>'Equity Volume Data'!AG100*'Equity Price Data'!AJ101</f>
        <v>13676.4</v>
      </c>
      <c r="AE100" s="30">
        <f>'Equity Volume Data'!AH100*'Equity Price Data'!AK101</f>
        <v>8964</v>
      </c>
      <c r="AF100" s="30">
        <f>'Equity Volume Data'!AI100*'Equity Price Data'!AL101</f>
        <v>17371.7</v>
      </c>
      <c r="AG100" s="30">
        <f>'Equity Volume Data'!AJ100*'Equity Price Data'!AM101</f>
        <v>29519.4</v>
      </c>
      <c r="AH100" s="30">
        <f>'Equity Volume Data'!AK100*'Equity Price Data'!AN101</f>
        <v>41126</v>
      </c>
      <c r="AI100" s="30">
        <f>'Equity Volume Data'!AL100*'Equity Price Data'!AO101</f>
        <v>18555.25</v>
      </c>
      <c r="AJ100" s="30">
        <f>'Equity Volume Data'!AM100*'Equity Price Data'!AP101</f>
        <v>20919.6</v>
      </c>
      <c r="AK100" s="30">
        <f>'Equity Volume Data'!AN100*'Equity Price Data'!AQ101</f>
        <v>0</v>
      </c>
      <c r="AL100" s="30">
        <f>'Equity Volume Data'!AO100*'Equity Price Data'!AR101</f>
        <v>33166.4</v>
      </c>
      <c r="AM100" s="30">
        <f>'Equity Volume Data'!AP100*'Equity Price Data'!AS101</f>
        <v>42224</v>
      </c>
      <c r="AN100" s="30">
        <f>'Equity Volume Data'!AQ100*'Equity Price Data'!AT101</f>
        <v>9118.55</v>
      </c>
      <c r="AO100" s="30">
        <f>'Equity Volume Data'!AR100*'Equity Price Data'!AU101</f>
        <v>25346.72</v>
      </c>
      <c r="AP100" s="30">
        <f>'Equity Volume Data'!AS100*'Equity Price Data'!AV101</f>
        <v>22280</v>
      </c>
      <c r="AQ100" s="30">
        <f>'Equity Volume Data'!AT100*'Equity Price Data'!AW101</f>
        <v>17993.8</v>
      </c>
      <c r="AR100" s="30">
        <f>'Equity Volume Data'!AU100*'Equity Price Data'!AX101</f>
        <v>0</v>
      </c>
      <c r="AS100" s="30">
        <f>'Equity Volume Data'!AV100*'Equity Price Data'!AY101</f>
        <v>50055.6</v>
      </c>
      <c r="AT100" s="30">
        <f>'Equity Volume Data'!AW100*'Equity Price Data'!AZ101</f>
        <v>17086</v>
      </c>
      <c r="AU100" s="30">
        <f>'Equity Volume Data'!AX100*'Equity Price Data'!BA101</f>
        <v>0</v>
      </c>
      <c r="AV100" s="30">
        <f>'Equity Volume Data'!AY100*'Equity Price Data'!BB101</f>
        <v>16876.7</v>
      </c>
      <c r="AW100" s="30">
        <f>'Equity Volume Data'!AZ100*'Equity Price Data'!BC101</f>
        <v>4192.4</v>
      </c>
      <c r="AX100" s="30">
        <f>'Equity Volume Data'!BA100*'Equity Price Data'!BD101</f>
        <v>0</v>
      </c>
      <c r="AY100" s="30">
        <f>'Equity Volume Data'!BB100*'Equity Price Data'!BE101</f>
        <v>15070.98</v>
      </c>
      <c r="AZ100" s="30">
        <f>'Equity Volume Data'!BC100*'Equity Price Data'!BF101</f>
        <v>11616</v>
      </c>
      <c r="BA100" s="30">
        <f>'Equity Volume Data'!BD100*'Equity Price Data'!BG101</f>
        <v>5435.9</v>
      </c>
      <c r="BB100" s="30">
        <f>'Equity Volume Data'!BE100*'Equity Price Data'!BH101</f>
        <v>9923.2</v>
      </c>
      <c r="BC100" s="30">
        <f>'Equity Volume Data'!BF100*'Equity Price Data'!BI101</f>
        <v>0</v>
      </c>
      <c r="BD100" s="30">
        <f>'Equity Volume Data'!BG100*'Equity Price Data'!BJ101</f>
        <v>44321.04</v>
      </c>
      <c r="BE100" s="30">
        <f>'Equity Volume Data'!BH100*'Equity Price Data'!BK101</f>
        <v>14092.56</v>
      </c>
      <c r="BF100" s="30">
        <f>'Equity Volume Data'!BI100*'Equity Price Data'!BL101</f>
        <v>7220</v>
      </c>
      <c r="BG100" s="30">
        <f>'Equity Volume Data'!BJ100*'Equity Price Data'!BM101</f>
        <v>39926.36</v>
      </c>
      <c r="BH100" s="30">
        <f>'Equity Volume Data'!BK100*'Equity Price Data'!BN101</f>
        <v>1382.4</v>
      </c>
      <c r="BI100" s="30">
        <f>'Equity Volume Data'!BL100*'Equity Price Data'!BO101</f>
        <v>38936</v>
      </c>
      <c r="BJ100" s="30">
        <f>'Equity Volume Data'!BM100*'Equity Price Data'!BP101</f>
        <v>44423.25</v>
      </c>
      <c r="BK100" s="30">
        <f>'Equity Volume Data'!BN100*'Equity Price Data'!BQ101</f>
        <v>88460.18</v>
      </c>
      <c r="BL100" s="30">
        <f>'Equity Volume Data'!BO100*'Equity Price Data'!BR101</f>
        <v>539.09</v>
      </c>
      <c r="BM100" s="30">
        <f>'Equity Volume Data'!BP100*'Equity Price Data'!BS101</f>
        <v>9951.36</v>
      </c>
      <c r="BN100" s="30">
        <f>'Equity Volume Data'!BQ100*'Equity Price Data'!BT101</f>
        <v>17700.2</v>
      </c>
      <c r="BO100" s="30">
        <f>'Equity Volume Data'!BR100*'Equity Price Data'!BU101</f>
        <v>67197.24</v>
      </c>
    </row>
    <row r="101">
      <c r="A101" s="25">
        <f>'Equity Price Data'!A102</f>
        <v>45568.66667</v>
      </c>
      <c r="B101" s="29">
        <f t="shared" si="1"/>
        <v>1339859.32</v>
      </c>
      <c r="C101" s="30">
        <f>'Equity Volume Data'!F101*'Equity Price Data'!I102</f>
        <v>6549.4</v>
      </c>
      <c r="D101" s="30">
        <f>'Equity Volume Data'!G101*'Equity Price Data'!J102</f>
        <v>47309.6</v>
      </c>
      <c r="E101" s="30">
        <f>'Equity Volume Data'!H101*'Equity Price Data'!K102</f>
        <v>15914.8</v>
      </c>
      <c r="F101" s="30">
        <f>'Equity Volume Data'!I101*'Equity Price Data'!L102</f>
        <v>57771.52</v>
      </c>
      <c r="G101" s="30">
        <f>'Equity Volume Data'!J101*'Equity Price Data'!M102</f>
        <v>16565.97</v>
      </c>
      <c r="H101" s="30">
        <f>'Equity Volume Data'!K101*'Equity Price Data'!N102</f>
        <v>13314.16</v>
      </c>
      <c r="I101" s="30">
        <f>'Equity Volume Data'!L101*'Equity Price Data'!O102</f>
        <v>11640</v>
      </c>
      <c r="J101" s="30">
        <f>'Equity Volume Data'!M101*'Equity Price Data'!P102</f>
        <v>46201.92</v>
      </c>
      <c r="K101" s="30">
        <f>'Equity Volume Data'!N101*'Equity Price Data'!Q102</f>
        <v>12178</v>
      </c>
      <c r="L101" s="30">
        <f>'Equity Volume Data'!O101*'Equity Price Data'!R102</f>
        <v>22358.38</v>
      </c>
      <c r="M101" s="30">
        <f>'Equity Volume Data'!P101*'Equity Price Data'!S102</f>
        <v>0</v>
      </c>
      <c r="N101" s="30">
        <f>'Equity Volume Data'!Q101*'Equity Price Data'!T102</f>
        <v>6404</v>
      </c>
      <c r="O101" s="30">
        <f>'Equity Volume Data'!R101*'Equity Price Data'!U102</f>
        <v>58663.5</v>
      </c>
      <c r="P101" s="30">
        <f>'Equity Volume Data'!S101*'Equity Price Data'!V102</f>
        <v>20833.32</v>
      </c>
      <c r="Q101" s="30">
        <f>'Equity Volume Data'!T101*'Equity Price Data'!W102</f>
        <v>22908</v>
      </c>
      <c r="R101" s="30">
        <f>'Equity Volume Data'!U101*'Equity Price Data'!X102</f>
        <v>12100</v>
      </c>
      <c r="S101" s="30">
        <f>'Equity Volume Data'!V101*'Equity Price Data'!Y102</f>
        <v>29969.28</v>
      </c>
      <c r="T101" s="30">
        <f>'Equity Volume Data'!W101*'Equity Price Data'!Z102</f>
        <v>10007.5</v>
      </c>
      <c r="U101" s="30">
        <f>'Equity Volume Data'!X101*'Equity Price Data'!AA102</f>
        <v>18617.28</v>
      </c>
      <c r="V101" s="30">
        <f>'Equity Volume Data'!Y101*'Equity Price Data'!AB102</f>
        <v>16747.22</v>
      </c>
      <c r="W101" s="30">
        <f>'Equity Volume Data'!Z101*'Equity Price Data'!AC102</f>
        <v>10853.7</v>
      </c>
      <c r="X101" s="30">
        <f>'Equity Volume Data'!AA101*'Equity Price Data'!AD102</f>
        <v>17270</v>
      </c>
      <c r="Y101" s="30">
        <f>'Equity Volume Data'!AB101*'Equity Price Data'!AE102</f>
        <v>5471.57</v>
      </c>
      <c r="Z101" s="30">
        <f>'Equity Volume Data'!AC101*'Equity Price Data'!AF102</f>
        <v>9807</v>
      </c>
      <c r="AA101" s="30">
        <f>'Equity Volume Data'!AD101*'Equity Price Data'!AG102</f>
        <v>20838.6</v>
      </c>
      <c r="AB101" s="30">
        <f>'Equity Volume Data'!AE101*'Equity Price Data'!AH102</f>
        <v>7862.4</v>
      </c>
      <c r="AC101" s="30">
        <f>'Equity Volume Data'!AF101*'Equity Price Data'!AI102</f>
        <v>18003.6</v>
      </c>
      <c r="AD101" s="30">
        <f>'Equity Volume Data'!AG101*'Equity Price Data'!AJ102</f>
        <v>13482.45</v>
      </c>
      <c r="AE101" s="30">
        <f>'Equity Volume Data'!AH101*'Equity Price Data'!AK102</f>
        <v>8996</v>
      </c>
      <c r="AF101" s="30">
        <f>'Equity Volume Data'!AI101*'Equity Price Data'!AL102</f>
        <v>17254.85</v>
      </c>
      <c r="AG101" s="30">
        <f>'Equity Volume Data'!AJ101*'Equity Price Data'!AM102</f>
        <v>29166</v>
      </c>
      <c r="AH101" s="30">
        <f>'Equity Volume Data'!AK101*'Equity Price Data'!AN102</f>
        <v>41158</v>
      </c>
      <c r="AI101" s="30">
        <f>'Equity Volume Data'!AL101*'Equity Price Data'!AO102</f>
        <v>18376.75</v>
      </c>
      <c r="AJ101" s="30">
        <f>'Equity Volume Data'!AM101*'Equity Price Data'!AP102</f>
        <v>21223.8</v>
      </c>
      <c r="AK101" s="30">
        <f>'Equity Volume Data'!AN101*'Equity Price Data'!AQ102</f>
        <v>0</v>
      </c>
      <c r="AL101" s="30">
        <f>'Equity Volume Data'!AO101*'Equity Price Data'!AR102</f>
        <v>32836.8</v>
      </c>
      <c r="AM101" s="30">
        <f>'Equity Volume Data'!AP101*'Equity Price Data'!AS102</f>
        <v>42407.4</v>
      </c>
      <c r="AN101" s="30">
        <f>'Equity Volume Data'!AQ101*'Equity Price Data'!AT102</f>
        <v>9189.6</v>
      </c>
      <c r="AO101" s="30">
        <f>'Equity Volume Data'!AR101*'Equity Price Data'!AU102</f>
        <v>25295.48</v>
      </c>
      <c r="AP101" s="30">
        <f>'Equity Volume Data'!AS101*'Equity Price Data'!AV102</f>
        <v>21942.5</v>
      </c>
      <c r="AQ101" s="30">
        <f>'Equity Volume Data'!AT101*'Equity Price Data'!AW102</f>
        <v>17877.2</v>
      </c>
      <c r="AR101" s="30">
        <f>'Equity Volume Data'!AU101*'Equity Price Data'!AX102</f>
        <v>0</v>
      </c>
      <c r="AS101" s="30">
        <f>'Equity Volume Data'!AV101*'Equity Price Data'!AY102</f>
        <v>49984.8</v>
      </c>
      <c r="AT101" s="30">
        <f>'Equity Volume Data'!AW101*'Equity Price Data'!AZ102</f>
        <v>17010</v>
      </c>
      <c r="AU101" s="30">
        <f>'Equity Volume Data'!AX101*'Equity Price Data'!BA102</f>
        <v>0</v>
      </c>
      <c r="AV101" s="30">
        <f>'Equity Volume Data'!AY101*'Equity Price Data'!BB102</f>
        <v>17444.7</v>
      </c>
      <c r="AW101" s="30">
        <f>'Equity Volume Data'!AZ101*'Equity Price Data'!BC102</f>
        <v>4172</v>
      </c>
      <c r="AX101" s="30">
        <f>'Equity Volume Data'!BA101*'Equity Price Data'!BD102</f>
        <v>0</v>
      </c>
      <c r="AY101" s="30">
        <f>'Equity Volume Data'!BB101*'Equity Price Data'!BE102</f>
        <v>15774.48</v>
      </c>
      <c r="AZ101" s="30">
        <f>'Equity Volume Data'!BC101*'Equity Price Data'!BF102</f>
        <v>11596.5</v>
      </c>
      <c r="BA101" s="30">
        <f>'Equity Volume Data'!BD101*'Equity Price Data'!BG102</f>
        <v>5384.6</v>
      </c>
      <c r="BB101" s="30">
        <f>'Equity Volume Data'!BE101*'Equity Price Data'!BH102</f>
        <v>9893.6</v>
      </c>
      <c r="BC101" s="30">
        <f>'Equity Volume Data'!BF101*'Equity Price Data'!BI102</f>
        <v>0</v>
      </c>
      <c r="BD101" s="30">
        <f>'Equity Volume Data'!BG101*'Equity Price Data'!BJ102</f>
        <v>44310.39</v>
      </c>
      <c r="BE101" s="30">
        <f>'Equity Volume Data'!BH101*'Equity Price Data'!BK102</f>
        <v>13821.16</v>
      </c>
      <c r="BF101" s="30">
        <f>'Equity Volume Data'!BI101*'Equity Price Data'!BL102</f>
        <v>7046.8</v>
      </c>
      <c r="BG101" s="30">
        <f>'Equity Volume Data'!BJ101*'Equity Price Data'!BM102</f>
        <v>39976.4</v>
      </c>
      <c r="BH101" s="30">
        <f>'Equity Volume Data'!BK101*'Equity Price Data'!BN102</f>
        <v>1376</v>
      </c>
      <c r="BI101" s="30">
        <f>'Equity Volume Data'!BL101*'Equity Price Data'!BO102</f>
        <v>38500.8</v>
      </c>
      <c r="BJ101" s="30">
        <f>'Equity Volume Data'!BM101*'Equity Price Data'!BP102</f>
        <v>44456.25</v>
      </c>
      <c r="BK101" s="30">
        <f>'Equity Volume Data'!BN101*'Equity Price Data'!BQ102</f>
        <v>88370.08</v>
      </c>
      <c r="BL101" s="30">
        <f>'Equity Volume Data'!BO101*'Equity Price Data'!BR102</f>
        <v>537.21</v>
      </c>
      <c r="BM101" s="30">
        <f>'Equity Volume Data'!BP101*'Equity Price Data'!BS102</f>
        <v>10036.32</v>
      </c>
      <c r="BN101" s="30">
        <f>'Equity Volume Data'!BQ101*'Equity Price Data'!BT102</f>
        <v>17602.44</v>
      </c>
      <c r="BO101" s="30">
        <f>'Equity Volume Data'!BR101*'Equity Price Data'!BU102</f>
        <v>67197.24</v>
      </c>
    </row>
    <row r="102">
      <c r="A102" s="25">
        <f>'Equity Price Data'!A103</f>
        <v>45569.66667</v>
      </c>
      <c r="B102" s="29">
        <f t="shared" si="1"/>
        <v>1348478.88</v>
      </c>
      <c r="C102" s="30">
        <f>'Equity Volume Data'!F102*'Equity Price Data'!I103</f>
        <v>6593.86</v>
      </c>
      <c r="D102" s="30">
        <f>'Equity Volume Data'!G102*'Equity Price Data'!J103</f>
        <v>48492.6</v>
      </c>
      <c r="E102" s="30">
        <f>'Equity Volume Data'!H102*'Equity Price Data'!K103</f>
        <v>15682.7</v>
      </c>
      <c r="F102" s="30">
        <f>'Equity Volume Data'!I102*'Equity Price Data'!L103</f>
        <v>58060.8</v>
      </c>
      <c r="G102" s="30">
        <f>'Equity Volume Data'!J102*'Equity Price Data'!M103</f>
        <v>16763.51</v>
      </c>
      <c r="H102" s="30">
        <f>'Equity Volume Data'!K102*'Equity Price Data'!N103</f>
        <v>13532.24</v>
      </c>
      <c r="I102" s="30">
        <f>'Equity Volume Data'!L102*'Equity Price Data'!O103</f>
        <v>12070</v>
      </c>
      <c r="J102" s="30">
        <f>'Equity Volume Data'!M102*'Equity Price Data'!P103</f>
        <v>47120.94</v>
      </c>
      <c r="K102" s="30">
        <f>'Equity Volume Data'!N102*'Equity Price Data'!Q103</f>
        <v>12114</v>
      </c>
      <c r="L102" s="30">
        <f>'Equity Volume Data'!O102*'Equity Price Data'!R103</f>
        <v>22467.28</v>
      </c>
      <c r="M102" s="30">
        <f>'Equity Volume Data'!P102*'Equity Price Data'!S103</f>
        <v>0</v>
      </c>
      <c r="N102" s="30">
        <f>'Equity Volume Data'!Q102*'Equity Price Data'!T103</f>
        <v>6464</v>
      </c>
      <c r="O102" s="30">
        <f>'Equity Volume Data'!R102*'Equity Price Data'!U103</f>
        <v>59563.5</v>
      </c>
      <c r="P102" s="30">
        <f>'Equity Volume Data'!S102*'Equity Price Data'!V103</f>
        <v>21617.28</v>
      </c>
      <c r="Q102" s="30">
        <f>'Equity Volume Data'!T102*'Equity Price Data'!W103</f>
        <v>23271.6</v>
      </c>
      <c r="R102" s="30">
        <f>'Equity Volume Data'!U102*'Equity Price Data'!X103</f>
        <v>12059.2</v>
      </c>
      <c r="S102" s="30">
        <f>'Equity Volume Data'!V102*'Equity Price Data'!Y103</f>
        <v>30069.6</v>
      </c>
      <c r="T102" s="30">
        <f>'Equity Volume Data'!W102*'Equity Price Data'!Z103</f>
        <v>10295</v>
      </c>
      <c r="U102" s="30">
        <f>'Equity Volume Data'!X102*'Equity Price Data'!AA103</f>
        <v>18524.88</v>
      </c>
      <c r="V102" s="30">
        <f>'Equity Volume Data'!Y102*'Equity Price Data'!AB103</f>
        <v>16607.15</v>
      </c>
      <c r="W102" s="30">
        <f>'Equity Volume Data'!Z102*'Equity Price Data'!AC103</f>
        <v>10833</v>
      </c>
      <c r="X102" s="30">
        <f>'Equity Volume Data'!AA102*'Equity Price Data'!AD103</f>
        <v>17725</v>
      </c>
      <c r="Y102" s="30">
        <f>'Equity Volume Data'!AB102*'Equity Price Data'!AE103</f>
        <v>5529.03</v>
      </c>
      <c r="Z102" s="30">
        <f>'Equity Volume Data'!AC102*'Equity Price Data'!AF103</f>
        <v>9943.5</v>
      </c>
      <c r="AA102" s="30">
        <f>'Equity Volume Data'!AD102*'Equity Price Data'!AG103</f>
        <v>21221.1</v>
      </c>
      <c r="AB102" s="30">
        <f>'Equity Volume Data'!AE102*'Equity Price Data'!AH103</f>
        <v>7825.2</v>
      </c>
      <c r="AC102" s="30">
        <f>'Equity Volume Data'!AF102*'Equity Price Data'!AI103</f>
        <v>17992.4</v>
      </c>
      <c r="AD102" s="30">
        <f>'Equity Volume Data'!AG102*'Equity Price Data'!AJ103</f>
        <v>13529.7</v>
      </c>
      <c r="AE102" s="30">
        <f>'Equity Volume Data'!AH102*'Equity Price Data'!AK103</f>
        <v>9136</v>
      </c>
      <c r="AF102" s="30">
        <f>'Equity Volume Data'!AI102*'Equity Price Data'!AL103</f>
        <v>17340.95</v>
      </c>
      <c r="AG102" s="30">
        <f>'Equity Volume Data'!AJ102*'Equity Price Data'!AM103</f>
        <v>29709.6</v>
      </c>
      <c r="AH102" s="30">
        <f>'Equity Volume Data'!AK102*'Equity Price Data'!AN103</f>
        <v>40836</v>
      </c>
      <c r="AI102" s="30">
        <f>'Equity Volume Data'!AL102*'Equity Price Data'!AO103</f>
        <v>18700.5</v>
      </c>
      <c r="AJ102" s="30">
        <f>'Equity Volume Data'!AM102*'Equity Price Data'!AP103</f>
        <v>21158.8</v>
      </c>
      <c r="AK102" s="30">
        <f>'Equity Volume Data'!AN102*'Equity Price Data'!AQ103</f>
        <v>0</v>
      </c>
      <c r="AL102" s="30">
        <f>'Equity Volume Data'!AO102*'Equity Price Data'!AR103</f>
        <v>33795.2</v>
      </c>
      <c r="AM102" s="30">
        <f>'Equity Volume Data'!AP102*'Equity Price Data'!AS103</f>
        <v>42359.1</v>
      </c>
      <c r="AN102" s="30">
        <f>'Equity Volume Data'!AQ102*'Equity Price Data'!AT103</f>
        <v>9463.3</v>
      </c>
      <c r="AO102" s="30">
        <f>'Equity Volume Data'!AR102*'Equity Price Data'!AU103</f>
        <v>25824.96</v>
      </c>
      <c r="AP102" s="30">
        <f>'Equity Volume Data'!AS102*'Equity Price Data'!AV103</f>
        <v>22065</v>
      </c>
      <c r="AQ102" s="30">
        <f>'Equity Volume Data'!AT102*'Equity Price Data'!AW103</f>
        <v>18488.8</v>
      </c>
      <c r="AR102" s="30">
        <f>'Equity Volume Data'!AU102*'Equity Price Data'!AX103</f>
        <v>0</v>
      </c>
      <c r="AS102" s="30">
        <f>'Equity Volume Data'!AV102*'Equity Price Data'!AY103</f>
        <v>49927.2</v>
      </c>
      <c r="AT102" s="30">
        <f>'Equity Volume Data'!AW102*'Equity Price Data'!AZ103</f>
        <v>16770</v>
      </c>
      <c r="AU102" s="30">
        <f>'Equity Volume Data'!AX102*'Equity Price Data'!BA103</f>
        <v>0</v>
      </c>
      <c r="AV102" s="30">
        <f>'Equity Volume Data'!AY102*'Equity Price Data'!BB103</f>
        <v>17738.64</v>
      </c>
      <c r="AW102" s="30">
        <f>'Equity Volume Data'!AZ102*'Equity Price Data'!BC103</f>
        <v>4182.4</v>
      </c>
      <c r="AX102" s="30">
        <f>'Equity Volume Data'!BA102*'Equity Price Data'!BD103</f>
        <v>0</v>
      </c>
      <c r="AY102" s="30">
        <f>'Equity Volume Data'!BB102*'Equity Price Data'!BE103</f>
        <v>16084.02</v>
      </c>
      <c r="AZ102" s="30">
        <f>'Equity Volume Data'!BC102*'Equity Price Data'!BF103</f>
        <v>11904</v>
      </c>
      <c r="BA102" s="30">
        <f>'Equity Volume Data'!BD102*'Equity Price Data'!BG103</f>
        <v>5430.2</v>
      </c>
      <c r="BB102" s="30">
        <f>'Equity Volume Data'!BE102*'Equity Price Data'!BH103</f>
        <v>9992.8</v>
      </c>
      <c r="BC102" s="30">
        <f>'Equity Volume Data'!BF102*'Equity Price Data'!BI103</f>
        <v>0</v>
      </c>
      <c r="BD102" s="30">
        <f>'Equity Volume Data'!BG102*'Equity Price Data'!BJ103</f>
        <v>44363.64</v>
      </c>
      <c r="BE102" s="30">
        <f>'Equity Volume Data'!BH102*'Equity Price Data'!BK103</f>
        <v>13768.03</v>
      </c>
      <c r="BF102" s="30">
        <f>'Equity Volume Data'!BI102*'Equity Price Data'!BL103</f>
        <v>7200.8</v>
      </c>
      <c r="BG102" s="30">
        <f>'Equity Volume Data'!BJ102*'Equity Price Data'!BM103</f>
        <v>38633.66</v>
      </c>
      <c r="BH102" s="30">
        <f>'Equity Volume Data'!BK102*'Equity Price Data'!BN103</f>
        <v>1414.4</v>
      </c>
      <c r="BI102" s="30">
        <f>'Equity Volume Data'!BL102*'Equity Price Data'!BO103</f>
        <v>38217.6</v>
      </c>
      <c r="BJ102" s="30">
        <f>'Equity Volume Data'!BM102*'Equity Price Data'!BP103</f>
        <v>44340</v>
      </c>
      <c r="BK102" s="30">
        <f>'Equity Volume Data'!BN102*'Equity Price Data'!BQ103</f>
        <v>88045.72</v>
      </c>
      <c r="BL102" s="30">
        <f>'Equity Volume Data'!BO102*'Equity Price Data'!BR103</f>
        <v>544.73</v>
      </c>
      <c r="BM102" s="30">
        <f>'Equity Volume Data'!BP102*'Equity Price Data'!BS103</f>
        <v>9988.32</v>
      </c>
      <c r="BN102" s="30">
        <f>'Equity Volume Data'!BQ102*'Equity Price Data'!BT103</f>
        <v>17888.2</v>
      </c>
      <c r="BO102" s="30">
        <f>'Equity Volume Data'!BR102*'Equity Price Data'!BU103</f>
        <v>67197.24</v>
      </c>
    </row>
    <row r="103">
      <c r="A103" s="25">
        <f>'Equity Price Data'!A104</f>
        <v>45572.66667</v>
      </c>
      <c r="B103" s="29">
        <f t="shared" si="1"/>
        <v>1336210.68</v>
      </c>
      <c r="C103" s="30">
        <f>'Equity Volume Data'!F103*'Equity Price Data'!I104</f>
        <v>6334.9</v>
      </c>
      <c r="D103" s="30">
        <f>'Equity Volume Data'!G103*'Equity Price Data'!J104</f>
        <v>47008</v>
      </c>
      <c r="E103" s="30">
        <f>'Equity Volume Data'!H103*'Equity Price Data'!K104</f>
        <v>15068.9</v>
      </c>
      <c r="F103" s="30">
        <f>'Equity Volume Data'!I103*'Equity Price Data'!L104</f>
        <v>56752.64</v>
      </c>
      <c r="G103" s="30">
        <f>'Equity Volume Data'!J103*'Equity Price Data'!M104</f>
        <v>16610.79</v>
      </c>
      <c r="H103" s="30">
        <f>'Equity Volume Data'!K103*'Equity Price Data'!N104</f>
        <v>13618.72</v>
      </c>
      <c r="I103" s="30">
        <f>'Equity Volume Data'!L103*'Equity Price Data'!O104</f>
        <v>12120</v>
      </c>
      <c r="J103" s="30">
        <f>'Equity Volume Data'!M103*'Equity Price Data'!P104</f>
        <v>46257</v>
      </c>
      <c r="K103" s="30">
        <f>'Equity Volume Data'!N103*'Equity Price Data'!Q104</f>
        <v>12162</v>
      </c>
      <c r="L103" s="30">
        <f>'Equity Volume Data'!O103*'Equity Price Data'!R104</f>
        <v>22184.14</v>
      </c>
      <c r="M103" s="30">
        <f>'Equity Volume Data'!P103*'Equity Price Data'!S104</f>
        <v>0</v>
      </c>
      <c r="N103" s="30">
        <f>'Equity Volume Data'!Q103*'Equity Price Data'!T104</f>
        <v>6433.6</v>
      </c>
      <c r="O103" s="30">
        <f>'Equity Volume Data'!R103*'Equity Price Data'!U104</f>
        <v>59737.5</v>
      </c>
      <c r="P103" s="30">
        <f>'Equity Volume Data'!S103*'Equity Price Data'!V104</f>
        <v>21442.14</v>
      </c>
      <c r="Q103" s="30">
        <f>'Equity Volume Data'!T103*'Equity Price Data'!W104</f>
        <v>22980</v>
      </c>
      <c r="R103" s="30">
        <f>'Equity Volume Data'!U103*'Equity Price Data'!X104</f>
        <v>12089.6</v>
      </c>
      <c r="S103" s="30">
        <f>'Equity Volume Data'!V103*'Equity Price Data'!Y104</f>
        <v>29943.76</v>
      </c>
      <c r="T103" s="30">
        <f>'Equity Volume Data'!W103*'Equity Price Data'!Z104</f>
        <v>10292.5</v>
      </c>
      <c r="U103" s="30">
        <f>'Equity Volume Data'!X103*'Equity Price Data'!AA104</f>
        <v>18218.64</v>
      </c>
      <c r="V103" s="30">
        <f>'Equity Volume Data'!Y103*'Equity Price Data'!AB104</f>
        <v>16283.54</v>
      </c>
      <c r="W103" s="30">
        <f>'Equity Volume Data'!Z103*'Equity Price Data'!AC104</f>
        <v>10796.43</v>
      </c>
      <c r="X103" s="30">
        <f>'Equity Volume Data'!AA103*'Equity Price Data'!AD104</f>
        <v>17365</v>
      </c>
      <c r="Y103" s="30">
        <f>'Equity Volume Data'!AB103*'Equity Price Data'!AE104</f>
        <v>5330</v>
      </c>
      <c r="Z103" s="30">
        <f>'Equity Volume Data'!AC103*'Equity Price Data'!AF104</f>
        <v>10015.5</v>
      </c>
      <c r="AA103" s="30">
        <f>'Equity Volume Data'!AD103*'Equity Price Data'!AG104</f>
        <v>21312.9</v>
      </c>
      <c r="AB103" s="30">
        <f>'Equity Volume Data'!AE103*'Equity Price Data'!AH104</f>
        <v>7815</v>
      </c>
      <c r="AC103" s="30">
        <f>'Equity Volume Data'!AF103*'Equity Price Data'!AI104</f>
        <v>17981.2</v>
      </c>
      <c r="AD103" s="30">
        <f>'Equity Volume Data'!AG103*'Equity Price Data'!AJ104</f>
        <v>13378.05</v>
      </c>
      <c r="AE103" s="30">
        <f>'Equity Volume Data'!AH103*'Equity Price Data'!AK104</f>
        <v>9196</v>
      </c>
      <c r="AF103" s="30">
        <f>'Equity Volume Data'!AI103*'Equity Price Data'!AL104</f>
        <v>17308.15</v>
      </c>
      <c r="AG103" s="30">
        <f>'Equity Volume Data'!AJ103*'Equity Price Data'!AM104</f>
        <v>29677.2</v>
      </c>
      <c r="AH103" s="30">
        <f>'Equity Volume Data'!AK103*'Equity Price Data'!AN104</f>
        <v>40806</v>
      </c>
      <c r="AI103" s="30">
        <f>'Equity Volume Data'!AL103*'Equity Price Data'!AO104</f>
        <v>18488.75</v>
      </c>
      <c r="AJ103" s="30">
        <f>'Equity Volume Data'!AM103*'Equity Price Data'!AP104</f>
        <v>20740.2</v>
      </c>
      <c r="AK103" s="30">
        <f>'Equity Volume Data'!AN103*'Equity Price Data'!AQ104</f>
        <v>0</v>
      </c>
      <c r="AL103" s="30">
        <f>'Equity Volume Data'!AO103*'Equity Price Data'!AR104</f>
        <v>33748.8</v>
      </c>
      <c r="AM103" s="30">
        <f>'Equity Volume Data'!AP103*'Equity Price Data'!AS104</f>
        <v>42387.8</v>
      </c>
      <c r="AN103" s="30">
        <f>'Equity Volume Data'!AQ103*'Equity Price Data'!AT104</f>
        <v>9536.8</v>
      </c>
      <c r="AO103" s="30">
        <f>'Equity Volume Data'!AR103*'Equity Price Data'!AU104</f>
        <v>25526.06</v>
      </c>
      <c r="AP103" s="30">
        <f>'Equity Volume Data'!AS103*'Equity Price Data'!AV104</f>
        <v>21760</v>
      </c>
      <c r="AQ103" s="30">
        <f>'Equity Volume Data'!AT103*'Equity Price Data'!AW104</f>
        <v>18260</v>
      </c>
      <c r="AR103" s="30">
        <f>'Equity Volume Data'!AU103*'Equity Price Data'!AX104</f>
        <v>0</v>
      </c>
      <c r="AS103" s="30">
        <f>'Equity Volume Data'!AV103*'Equity Price Data'!AY104</f>
        <v>49144.8</v>
      </c>
      <c r="AT103" s="30">
        <f>'Equity Volume Data'!AW103*'Equity Price Data'!AZ104</f>
        <v>16058</v>
      </c>
      <c r="AU103" s="30">
        <f>'Equity Volume Data'!AX103*'Equity Price Data'!BA104</f>
        <v>0</v>
      </c>
      <c r="AV103" s="30">
        <f>'Equity Volume Data'!AY103*'Equity Price Data'!BB104</f>
        <v>18136.24</v>
      </c>
      <c r="AW103" s="30">
        <f>'Equity Volume Data'!AZ103*'Equity Price Data'!BC104</f>
        <v>4160.8</v>
      </c>
      <c r="AX103" s="30">
        <f>'Equity Volume Data'!BA103*'Equity Price Data'!BD104</f>
        <v>0</v>
      </c>
      <c r="AY103" s="30">
        <f>'Equity Volume Data'!BB103*'Equity Price Data'!BE104</f>
        <v>15633.78</v>
      </c>
      <c r="AZ103" s="30">
        <f>'Equity Volume Data'!BC103*'Equity Price Data'!BF104</f>
        <v>12039</v>
      </c>
      <c r="BA103" s="30">
        <f>'Equity Volume Data'!BD103*'Equity Price Data'!BG104</f>
        <v>5548</v>
      </c>
      <c r="BB103" s="30">
        <f>'Equity Volume Data'!BE103*'Equity Price Data'!BH104</f>
        <v>10004</v>
      </c>
      <c r="BC103" s="30">
        <f>'Equity Volume Data'!BF103*'Equity Price Data'!BI104</f>
        <v>0</v>
      </c>
      <c r="BD103" s="30">
        <f>'Equity Volume Data'!BG103*'Equity Price Data'!BJ104</f>
        <v>44374.29</v>
      </c>
      <c r="BE103" s="30">
        <f>'Equity Volume Data'!BH103*'Equity Price Data'!BK104</f>
        <v>13773.55</v>
      </c>
      <c r="BF103" s="30">
        <f>'Equity Volume Data'!BI103*'Equity Price Data'!BL104</f>
        <v>7092.8</v>
      </c>
      <c r="BG103" s="30">
        <f>'Equity Volume Data'!BJ103*'Equity Price Data'!BM104</f>
        <v>37282.58</v>
      </c>
      <c r="BH103" s="30">
        <f>'Equity Volume Data'!BK103*'Equity Price Data'!BN104</f>
        <v>1360</v>
      </c>
      <c r="BI103" s="30">
        <f>'Equity Volume Data'!BL103*'Equity Price Data'!BO104</f>
        <v>37899.2</v>
      </c>
      <c r="BJ103" s="30">
        <f>'Equity Volume Data'!BM103*'Equity Price Data'!BP104</f>
        <v>43767</v>
      </c>
      <c r="BK103" s="30">
        <f>'Equity Volume Data'!BN103*'Equity Price Data'!BQ104</f>
        <v>88009.68</v>
      </c>
      <c r="BL103" s="30">
        <f>'Equity Volume Data'!BO103*'Equity Price Data'!BR104</f>
        <v>532.51</v>
      </c>
      <c r="BM103" s="30">
        <f>'Equity Volume Data'!BP103*'Equity Price Data'!BS104</f>
        <v>9859.68</v>
      </c>
      <c r="BN103" s="30">
        <f>'Equity Volume Data'!BQ103*'Equity Price Data'!BT104</f>
        <v>17369.32</v>
      </c>
      <c r="BO103" s="30">
        <f>'Equity Volume Data'!BR103*'Equity Price Data'!BU104</f>
        <v>67197.24</v>
      </c>
    </row>
    <row r="104">
      <c r="A104" s="25">
        <f>'Equity Price Data'!A105</f>
        <v>45573.66667</v>
      </c>
      <c r="B104" s="29">
        <f t="shared" si="1"/>
        <v>1343210.03</v>
      </c>
      <c r="C104" s="30">
        <f>'Equity Volume Data'!F104*'Equity Price Data'!I105</f>
        <v>6451.12</v>
      </c>
      <c r="D104" s="30">
        <f>'Equity Volume Data'!G104*'Equity Price Data'!J105</f>
        <v>47507.2</v>
      </c>
      <c r="E104" s="30">
        <f>'Equity Volume Data'!H104*'Equity Price Data'!K105</f>
        <v>15112.9</v>
      </c>
      <c r="F104" s="30">
        <f>'Equity Volume Data'!I104*'Equity Price Data'!L105</f>
        <v>57797.12</v>
      </c>
      <c r="G104" s="30">
        <f>'Equity Volume Data'!J104*'Equity Price Data'!M105</f>
        <v>16673.04</v>
      </c>
      <c r="H104" s="30">
        <f>'Equity Volume Data'!K104*'Equity Price Data'!N105</f>
        <v>13761.6</v>
      </c>
      <c r="I104" s="30">
        <f>'Equity Volume Data'!L104*'Equity Price Data'!O105</f>
        <v>12120</v>
      </c>
      <c r="J104" s="30">
        <f>'Equity Volume Data'!M104*'Equity Price Data'!P105</f>
        <v>46287.6</v>
      </c>
      <c r="K104" s="30">
        <f>'Equity Volume Data'!N104*'Equity Price Data'!Q105</f>
        <v>11680</v>
      </c>
      <c r="L104" s="30">
        <f>'Equity Volume Data'!O104*'Equity Price Data'!R105</f>
        <v>22058.3</v>
      </c>
      <c r="M104" s="30">
        <f>'Equity Volume Data'!P104*'Equity Price Data'!S105</f>
        <v>0</v>
      </c>
      <c r="N104" s="30">
        <f>'Equity Volume Data'!Q104*'Equity Price Data'!T105</f>
        <v>6467.2</v>
      </c>
      <c r="O104" s="30">
        <f>'Equity Volume Data'!R104*'Equity Price Data'!U105</f>
        <v>58194</v>
      </c>
      <c r="P104" s="30">
        <f>'Equity Volume Data'!S104*'Equity Price Data'!V105</f>
        <v>21508.86</v>
      </c>
      <c r="Q104" s="30">
        <f>'Equity Volume Data'!T104*'Equity Price Data'!W105</f>
        <v>23704.8</v>
      </c>
      <c r="R104" s="30">
        <f>'Equity Volume Data'!U104*'Equity Price Data'!X105</f>
        <v>11900</v>
      </c>
      <c r="S104" s="30">
        <f>'Equity Volume Data'!V104*'Equity Price Data'!Y105</f>
        <v>30265.84</v>
      </c>
      <c r="T104" s="30">
        <f>'Equity Volume Data'!W104*'Equity Price Data'!Z105</f>
        <v>10302.5</v>
      </c>
      <c r="U104" s="30">
        <f>'Equity Volume Data'!X104*'Equity Price Data'!AA105</f>
        <v>18263.52</v>
      </c>
      <c r="V104" s="30">
        <f>'Equity Volume Data'!Y104*'Equity Price Data'!AB105</f>
        <v>16439.71</v>
      </c>
      <c r="W104" s="30">
        <f>'Equity Volume Data'!Z104*'Equity Price Data'!AC105</f>
        <v>10921.32</v>
      </c>
      <c r="X104" s="30">
        <f>'Equity Volume Data'!AA104*'Equity Price Data'!AD105</f>
        <v>17370</v>
      </c>
      <c r="Y104" s="30">
        <f>'Equity Volume Data'!AB104*'Equity Price Data'!AE105</f>
        <v>5344.95</v>
      </c>
      <c r="Z104" s="30">
        <f>'Equity Volume Data'!AC104*'Equity Price Data'!AF105</f>
        <v>10075.5</v>
      </c>
      <c r="AA104" s="30">
        <f>'Equity Volume Data'!AD104*'Equity Price Data'!AG105</f>
        <v>20746.8</v>
      </c>
      <c r="AB104" s="30">
        <f>'Equity Volume Data'!AE104*'Equity Price Data'!AH105</f>
        <v>7842</v>
      </c>
      <c r="AC104" s="30">
        <f>'Equity Volume Data'!AF104*'Equity Price Data'!AI105</f>
        <v>18442.4</v>
      </c>
      <c r="AD104" s="30">
        <f>'Equity Volume Data'!AG104*'Equity Price Data'!AJ105</f>
        <v>13360.5</v>
      </c>
      <c r="AE104" s="30">
        <f>'Equity Volume Data'!AH104*'Equity Price Data'!AK105</f>
        <v>9202</v>
      </c>
      <c r="AF104" s="30">
        <f>'Equity Volume Data'!AI104*'Equity Price Data'!AL105</f>
        <v>17468.05</v>
      </c>
      <c r="AG104" s="30">
        <f>'Equity Volume Data'!AJ104*'Equity Price Data'!AM105</f>
        <v>29794.2</v>
      </c>
      <c r="AH104" s="30">
        <f>'Equity Volume Data'!AK104*'Equity Price Data'!AN105</f>
        <v>41418</v>
      </c>
      <c r="AI104" s="30">
        <f>'Equity Volume Data'!AL104*'Equity Price Data'!AO105</f>
        <v>18555.25</v>
      </c>
      <c r="AJ104" s="30">
        <f>'Equity Volume Data'!AM104*'Equity Price Data'!AP105</f>
        <v>21071.7</v>
      </c>
      <c r="AK104" s="30">
        <f>'Equity Volume Data'!AN104*'Equity Price Data'!AQ105</f>
        <v>0</v>
      </c>
      <c r="AL104" s="30">
        <f>'Equity Volume Data'!AO104*'Equity Price Data'!AR105</f>
        <v>33720</v>
      </c>
      <c r="AM104" s="30">
        <f>'Equity Volume Data'!AP104*'Equity Price Data'!AS105</f>
        <v>42563.5</v>
      </c>
      <c r="AN104" s="30">
        <f>'Equity Volume Data'!AQ104*'Equity Price Data'!AT105</f>
        <v>9680.65</v>
      </c>
      <c r="AO104" s="30">
        <f>'Equity Volume Data'!AR104*'Equity Price Data'!AU105</f>
        <v>25466.28</v>
      </c>
      <c r="AP104" s="30">
        <f>'Equity Volume Data'!AS104*'Equity Price Data'!AV105</f>
        <v>22035</v>
      </c>
      <c r="AQ104" s="30">
        <f>'Equity Volume Data'!AT104*'Equity Price Data'!AW105</f>
        <v>18321.6</v>
      </c>
      <c r="AR104" s="30">
        <f>'Equity Volume Data'!AU104*'Equity Price Data'!AX105</f>
        <v>0</v>
      </c>
      <c r="AS104" s="30">
        <f>'Equity Volume Data'!AV104*'Equity Price Data'!AY105</f>
        <v>49765.2</v>
      </c>
      <c r="AT104" s="30">
        <f>'Equity Volume Data'!AW104*'Equity Price Data'!AZ105</f>
        <v>16100</v>
      </c>
      <c r="AU104" s="30">
        <f>'Equity Volume Data'!AX104*'Equity Price Data'!BA105</f>
        <v>0</v>
      </c>
      <c r="AV104" s="30">
        <f>'Equity Volume Data'!AY104*'Equity Price Data'!BB105</f>
        <v>18870.38</v>
      </c>
      <c r="AW104" s="30">
        <f>'Equity Volume Data'!AZ104*'Equity Price Data'!BC105</f>
        <v>4046</v>
      </c>
      <c r="AX104" s="30">
        <f>'Equity Volume Data'!BA104*'Equity Price Data'!BD105</f>
        <v>0</v>
      </c>
      <c r="AY104" s="30">
        <f>'Equity Volume Data'!BB104*'Equity Price Data'!BE105</f>
        <v>16662.9</v>
      </c>
      <c r="AZ104" s="30">
        <f>'Equity Volume Data'!BC104*'Equity Price Data'!BF105</f>
        <v>12174</v>
      </c>
      <c r="BA104" s="30">
        <f>'Equity Volume Data'!BD104*'Equity Price Data'!BG105</f>
        <v>5544.2</v>
      </c>
      <c r="BB104" s="30">
        <f>'Equity Volume Data'!BE104*'Equity Price Data'!BH105</f>
        <v>9880</v>
      </c>
      <c r="BC104" s="30">
        <f>'Equity Volume Data'!BF104*'Equity Price Data'!BI105</f>
        <v>0</v>
      </c>
      <c r="BD104" s="30">
        <f>'Equity Volume Data'!BG104*'Equity Price Data'!BJ105</f>
        <v>44979.21</v>
      </c>
      <c r="BE104" s="30">
        <f>'Equity Volume Data'!BH104*'Equity Price Data'!BK105</f>
        <v>13695.35</v>
      </c>
      <c r="BF104" s="30">
        <f>'Equity Volume Data'!BI104*'Equity Price Data'!BL105</f>
        <v>7030.4</v>
      </c>
      <c r="BG104" s="30">
        <f>'Equity Volume Data'!BJ104*'Equity Price Data'!BM105</f>
        <v>38397.36</v>
      </c>
      <c r="BH104" s="30">
        <f>'Equity Volume Data'!BK104*'Equity Price Data'!BN105</f>
        <v>1358.4</v>
      </c>
      <c r="BI104" s="30">
        <f>'Equity Volume Data'!BL104*'Equity Price Data'!BO105</f>
        <v>38009.6</v>
      </c>
      <c r="BJ104" s="30">
        <f>'Equity Volume Data'!BM104*'Equity Price Data'!BP105</f>
        <v>43618.5</v>
      </c>
      <c r="BK104" s="30">
        <f>'Equity Volume Data'!BN104*'Equity Price Data'!BQ105</f>
        <v>88045.72</v>
      </c>
      <c r="BL104" s="30">
        <f>'Equity Volume Data'!BO104*'Equity Price Data'!BR105</f>
        <v>532.04</v>
      </c>
      <c r="BM104" s="30">
        <f>'Equity Volume Data'!BP104*'Equity Price Data'!BS105</f>
        <v>10016.64</v>
      </c>
      <c r="BN104" s="30">
        <f>'Equity Volume Data'!BQ104*'Equity Price Data'!BT105</f>
        <v>17391.88</v>
      </c>
      <c r="BO104" s="30">
        <f>'Equity Volume Data'!BR104*'Equity Price Data'!BU105</f>
        <v>67197.24</v>
      </c>
    </row>
    <row r="105">
      <c r="A105" s="25">
        <f>'Equity Price Data'!A106</f>
        <v>45574.66667</v>
      </c>
      <c r="B105" s="29">
        <f t="shared" si="1"/>
        <v>1352008.71</v>
      </c>
      <c r="C105" s="30">
        <f>'Equity Volume Data'!F105*'Equity Price Data'!I106</f>
        <v>6423.04</v>
      </c>
      <c r="D105" s="30">
        <f>'Equity Volume Data'!G105*'Equity Price Data'!J106</f>
        <v>48144.2</v>
      </c>
      <c r="E105" s="30">
        <f>'Equity Volume Data'!H105*'Equity Price Data'!K106</f>
        <v>14979.8</v>
      </c>
      <c r="F105" s="30">
        <f>'Equity Volume Data'!I105*'Equity Price Data'!L106</f>
        <v>58762.24</v>
      </c>
      <c r="G105" s="30">
        <f>'Equity Volume Data'!J105*'Equity Price Data'!M106</f>
        <v>17019.98</v>
      </c>
      <c r="H105" s="30">
        <f>'Equity Volume Data'!K105*'Equity Price Data'!N106</f>
        <v>13915.76</v>
      </c>
      <c r="I105" s="30">
        <f>'Equity Volume Data'!L105*'Equity Price Data'!O106</f>
        <v>12190</v>
      </c>
      <c r="J105" s="30">
        <f>'Equity Volume Data'!M105*'Equity Price Data'!P106</f>
        <v>46501.8</v>
      </c>
      <c r="K105" s="30">
        <f>'Equity Volume Data'!N105*'Equity Price Data'!Q106</f>
        <v>11636</v>
      </c>
      <c r="L105" s="30">
        <f>'Equity Volume Data'!O105*'Equity Price Data'!R106</f>
        <v>22476.96</v>
      </c>
      <c r="M105" s="30">
        <f>'Equity Volume Data'!P105*'Equity Price Data'!S106</f>
        <v>0</v>
      </c>
      <c r="N105" s="30">
        <f>'Equity Volume Data'!Q105*'Equity Price Data'!T106</f>
        <v>6566.4</v>
      </c>
      <c r="O105" s="30">
        <f>'Equity Volume Data'!R105*'Equity Price Data'!U106</f>
        <v>59428.5</v>
      </c>
      <c r="P105" s="30">
        <f>'Equity Volume Data'!S105*'Equity Price Data'!V106</f>
        <v>21091.86</v>
      </c>
      <c r="Q105" s="30">
        <f>'Equity Volume Data'!T105*'Equity Price Data'!W106</f>
        <v>24410.4</v>
      </c>
      <c r="R105" s="30">
        <f>'Equity Volume Data'!U105*'Equity Price Data'!X106</f>
        <v>11972</v>
      </c>
      <c r="S105" s="30">
        <f>'Equity Volume Data'!V105*'Equity Price Data'!Y106</f>
        <v>30511.36</v>
      </c>
      <c r="T105" s="30">
        <f>'Equity Volume Data'!W105*'Equity Price Data'!Z106</f>
        <v>10367.5</v>
      </c>
      <c r="U105" s="30">
        <f>'Equity Volume Data'!X105*'Equity Price Data'!AA106</f>
        <v>18366.48</v>
      </c>
      <c r="V105" s="30">
        <f>'Equity Volume Data'!Y105*'Equity Price Data'!AB106</f>
        <v>16481.57</v>
      </c>
      <c r="W105" s="30">
        <f>'Equity Volume Data'!Z105*'Equity Price Data'!AC106</f>
        <v>10979.97</v>
      </c>
      <c r="X105" s="30">
        <f>'Equity Volume Data'!AA105*'Equity Price Data'!AD106</f>
        <v>17407.5</v>
      </c>
      <c r="Y105" s="30">
        <f>'Equity Volume Data'!AB105*'Equity Price Data'!AE106</f>
        <v>5371.6</v>
      </c>
      <c r="Z105" s="30">
        <f>'Equity Volume Data'!AC105*'Equity Price Data'!AF106</f>
        <v>10042.5</v>
      </c>
      <c r="AA105" s="30">
        <f>'Equity Volume Data'!AD105*'Equity Price Data'!AG106</f>
        <v>20755.3</v>
      </c>
      <c r="AB105" s="30">
        <f>'Equity Volume Data'!AE105*'Equity Price Data'!AH106</f>
        <v>7939.2</v>
      </c>
      <c r="AC105" s="30">
        <f>'Equity Volume Data'!AF105*'Equity Price Data'!AI106</f>
        <v>18260</v>
      </c>
      <c r="AD105" s="30">
        <f>'Equity Volume Data'!AG105*'Equity Price Data'!AJ106</f>
        <v>13441.05</v>
      </c>
      <c r="AE105" s="30">
        <f>'Equity Volume Data'!AH105*'Equity Price Data'!AK106</f>
        <v>9586</v>
      </c>
      <c r="AF105" s="30">
        <f>'Equity Volume Data'!AI105*'Equity Price Data'!AL106</f>
        <v>17658.7</v>
      </c>
      <c r="AG105" s="30">
        <f>'Equity Volume Data'!AJ105*'Equity Price Data'!AM106</f>
        <v>30310.8</v>
      </c>
      <c r="AH105" s="30">
        <f>'Equity Volume Data'!AK105*'Equity Price Data'!AN106</f>
        <v>41607</v>
      </c>
      <c r="AI105" s="30">
        <f>'Equity Volume Data'!AL105*'Equity Price Data'!AO106</f>
        <v>18506.25</v>
      </c>
      <c r="AJ105" s="30">
        <f>'Equity Volume Data'!AM105*'Equity Price Data'!AP106</f>
        <v>21026.2</v>
      </c>
      <c r="AK105" s="30">
        <f>'Equity Volume Data'!AN105*'Equity Price Data'!AQ106</f>
        <v>0</v>
      </c>
      <c r="AL105" s="30">
        <f>'Equity Volume Data'!AO105*'Equity Price Data'!AR106</f>
        <v>34147.2</v>
      </c>
      <c r="AM105" s="30">
        <f>'Equity Volume Data'!AP105*'Equity Price Data'!AS106</f>
        <v>42357.7</v>
      </c>
      <c r="AN105" s="30">
        <f>'Equity Volume Data'!AQ105*'Equity Price Data'!AT106</f>
        <v>9594.2</v>
      </c>
      <c r="AO105" s="30">
        <f>'Equity Volume Data'!AR105*'Equity Price Data'!AU106</f>
        <v>25423.58</v>
      </c>
      <c r="AP105" s="30">
        <f>'Equity Volume Data'!AS105*'Equity Price Data'!AV106</f>
        <v>22087.5</v>
      </c>
      <c r="AQ105" s="30">
        <f>'Equity Volume Data'!AT105*'Equity Price Data'!AW106</f>
        <v>18598.8</v>
      </c>
      <c r="AR105" s="30">
        <f>'Equity Volume Data'!AU105*'Equity Price Data'!AX106</f>
        <v>0</v>
      </c>
      <c r="AS105" s="30">
        <f>'Equity Volume Data'!AV105*'Equity Price Data'!AY106</f>
        <v>50095.2</v>
      </c>
      <c r="AT105" s="30">
        <f>'Equity Volume Data'!AW105*'Equity Price Data'!AZ106</f>
        <v>16116</v>
      </c>
      <c r="AU105" s="30">
        <f>'Equity Volume Data'!AX105*'Equity Price Data'!BA106</f>
        <v>0</v>
      </c>
      <c r="AV105" s="30">
        <f>'Equity Volume Data'!AY105*'Equity Price Data'!BB106</f>
        <v>18836.3</v>
      </c>
      <c r="AW105" s="30">
        <f>'Equity Volume Data'!AZ105*'Equity Price Data'!BC106</f>
        <v>4116</v>
      </c>
      <c r="AX105" s="30">
        <f>'Equity Volume Data'!BA105*'Equity Price Data'!BD106</f>
        <v>0</v>
      </c>
      <c r="AY105" s="30">
        <f>'Equity Volume Data'!BB105*'Equity Price Data'!BE106</f>
        <v>17338.26</v>
      </c>
      <c r="AZ105" s="30">
        <f>'Equity Volume Data'!BC105*'Equity Price Data'!BF106</f>
        <v>12247.5</v>
      </c>
      <c r="BA105" s="30">
        <f>'Equity Volume Data'!BD105*'Equity Price Data'!BG106</f>
        <v>5736.1</v>
      </c>
      <c r="BB105" s="30">
        <f>'Equity Volume Data'!BE105*'Equity Price Data'!BH106</f>
        <v>9916</v>
      </c>
      <c r="BC105" s="30">
        <f>'Equity Volume Data'!BF105*'Equity Price Data'!BI106</f>
        <v>0</v>
      </c>
      <c r="BD105" s="30">
        <f>'Equity Volume Data'!BG105*'Equity Price Data'!BJ106</f>
        <v>45175.17</v>
      </c>
      <c r="BE105" s="30">
        <f>'Equity Volume Data'!BH105*'Equity Price Data'!BK106</f>
        <v>13782.75</v>
      </c>
      <c r="BF105" s="30">
        <f>'Equity Volume Data'!BI105*'Equity Price Data'!BL106</f>
        <v>6959.6</v>
      </c>
      <c r="BG105" s="30">
        <f>'Equity Volume Data'!BJ105*'Equity Price Data'!BM106</f>
        <v>38136.04</v>
      </c>
      <c r="BH105" s="30">
        <f>'Equity Volume Data'!BK105*'Equity Price Data'!BN106</f>
        <v>1345.6</v>
      </c>
      <c r="BI105" s="30">
        <f>'Equity Volume Data'!BL105*'Equity Price Data'!BO106</f>
        <v>38028.8</v>
      </c>
      <c r="BJ105" s="30">
        <f>'Equity Volume Data'!BM105*'Equity Price Data'!BP106</f>
        <v>44341.5</v>
      </c>
      <c r="BK105" s="30">
        <f>'Equity Volume Data'!BN105*'Equity Price Data'!BQ106</f>
        <v>87973.64</v>
      </c>
      <c r="BL105" s="30">
        <f>'Equity Volume Data'!BO105*'Equity Price Data'!BR106</f>
        <v>536.27</v>
      </c>
      <c r="BM105" s="30">
        <f>'Equity Volume Data'!BP105*'Equity Price Data'!BS106</f>
        <v>10187.04</v>
      </c>
      <c r="BN105" s="30">
        <f>'Equity Volume Data'!BQ105*'Equity Price Data'!BT106</f>
        <v>17596.8</v>
      </c>
      <c r="BO105" s="30">
        <f>'Equity Volume Data'!BR105*'Equity Price Data'!BU106</f>
        <v>67197.24</v>
      </c>
    </row>
    <row r="106">
      <c r="A106" s="25">
        <f>'Equity Price Data'!A107</f>
        <v>45575.66667</v>
      </c>
      <c r="B106" s="29">
        <f t="shared" si="1"/>
        <v>1351404.05</v>
      </c>
      <c r="C106" s="30">
        <f>'Equity Volume Data'!F106*'Equity Price Data'!I107</f>
        <v>6546.41</v>
      </c>
      <c r="D106" s="30">
        <f>'Equity Volume Data'!G106*'Equity Price Data'!J107</f>
        <v>48529</v>
      </c>
      <c r="E106" s="30">
        <f>'Equity Volume Data'!H106*'Equity Price Data'!K107</f>
        <v>14984.2</v>
      </c>
      <c r="F106" s="30">
        <f>'Equity Volume Data'!I106*'Equity Price Data'!L107</f>
        <v>58634.24</v>
      </c>
      <c r="G106" s="30">
        <f>'Equity Volume Data'!J106*'Equity Price Data'!M107</f>
        <v>16928.68</v>
      </c>
      <c r="H106" s="30">
        <f>'Equity Volume Data'!K106*'Equity Price Data'!N107</f>
        <v>13996.6</v>
      </c>
      <c r="I106" s="30">
        <f>'Equity Volume Data'!L106*'Equity Price Data'!O107</f>
        <v>12260</v>
      </c>
      <c r="J106" s="30">
        <f>'Equity Volume Data'!M106*'Equity Price Data'!P107</f>
        <v>46402.86</v>
      </c>
      <c r="K106" s="30">
        <f>'Equity Volume Data'!N106*'Equity Price Data'!Q107</f>
        <v>11782</v>
      </c>
      <c r="L106" s="30">
        <f>'Equity Volume Data'!O106*'Equity Price Data'!R107</f>
        <v>22819.39</v>
      </c>
      <c r="M106" s="30">
        <f>'Equity Volume Data'!P106*'Equity Price Data'!S107</f>
        <v>0</v>
      </c>
      <c r="N106" s="30">
        <f>'Equity Volume Data'!Q106*'Equity Price Data'!T107</f>
        <v>6434.4</v>
      </c>
      <c r="O106" s="30">
        <f>'Equity Volume Data'!R106*'Equity Price Data'!U107</f>
        <v>59496</v>
      </c>
      <c r="P106" s="30">
        <f>'Equity Volume Data'!S106*'Equity Price Data'!V107</f>
        <v>21054.33</v>
      </c>
      <c r="Q106" s="30">
        <f>'Equity Volume Data'!T106*'Equity Price Data'!W107</f>
        <v>25081.2</v>
      </c>
      <c r="R106" s="30">
        <f>'Equity Volume Data'!U106*'Equity Price Data'!X107</f>
        <v>12049.6</v>
      </c>
      <c r="S106" s="30">
        <f>'Equity Volume Data'!V106*'Equity Price Data'!Y107</f>
        <v>30844</v>
      </c>
      <c r="T106" s="30">
        <f>'Equity Volume Data'!W106*'Equity Price Data'!Z107</f>
        <v>10325</v>
      </c>
      <c r="U106" s="30">
        <f>'Equity Volume Data'!X106*'Equity Price Data'!AA107</f>
        <v>18282</v>
      </c>
      <c r="V106" s="30">
        <f>'Equity Volume Data'!Y106*'Equity Price Data'!AB107</f>
        <v>16354.38</v>
      </c>
      <c r="W106" s="30">
        <f>'Equity Volume Data'!Z106*'Equity Price Data'!AC107</f>
        <v>10960.65</v>
      </c>
      <c r="X106" s="30">
        <f>'Equity Volume Data'!AA106*'Equity Price Data'!AD107</f>
        <v>17340</v>
      </c>
      <c r="Y106" s="30">
        <f>'Equity Volume Data'!AB106*'Equity Price Data'!AE107</f>
        <v>5313.75</v>
      </c>
      <c r="Z106" s="30">
        <f>'Equity Volume Data'!AC106*'Equity Price Data'!AF107</f>
        <v>9907.5</v>
      </c>
      <c r="AA106" s="30">
        <f>'Equity Volume Data'!AD106*'Equity Price Data'!AG107</f>
        <v>20933.8</v>
      </c>
      <c r="AB106" s="30">
        <f>'Equity Volume Data'!AE106*'Equity Price Data'!AH107</f>
        <v>7928.1</v>
      </c>
      <c r="AC106" s="30">
        <f>'Equity Volume Data'!AF106*'Equity Price Data'!AI107</f>
        <v>18130.8</v>
      </c>
      <c r="AD106" s="30">
        <f>'Equity Volume Data'!AG106*'Equity Price Data'!AJ107</f>
        <v>13322.25</v>
      </c>
      <c r="AE106" s="30">
        <f>'Equity Volume Data'!AH106*'Equity Price Data'!AK107</f>
        <v>9538</v>
      </c>
      <c r="AF106" s="30">
        <f>'Equity Volume Data'!AI106*'Equity Price Data'!AL107</f>
        <v>17357.35</v>
      </c>
      <c r="AG106" s="30">
        <f>'Equity Volume Data'!AJ106*'Equity Price Data'!AM107</f>
        <v>30223.2</v>
      </c>
      <c r="AH106" s="30">
        <f>'Equity Volume Data'!AK106*'Equity Price Data'!AN107</f>
        <v>40996</v>
      </c>
      <c r="AI106" s="30">
        <f>'Equity Volume Data'!AL106*'Equity Price Data'!AO107</f>
        <v>18443.25</v>
      </c>
      <c r="AJ106" s="30">
        <f>'Equity Volume Data'!AM106*'Equity Price Data'!AP107</f>
        <v>20884.5</v>
      </c>
      <c r="AK106" s="30">
        <f>'Equity Volume Data'!AN106*'Equity Price Data'!AQ107</f>
        <v>0</v>
      </c>
      <c r="AL106" s="30">
        <f>'Equity Volume Data'!AO106*'Equity Price Data'!AR107</f>
        <v>34054.4</v>
      </c>
      <c r="AM106" s="30">
        <f>'Equity Volume Data'!AP106*'Equity Price Data'!AS107</f>
        <v>41824.3</v>
      </c>
      <c r="AN106" s="30">
        <f>'Equity Volume Data'!AQ106*'Equity Price Data'!AT107</f>
        <v>9575.3</v>
      </c>
      <c r="AO106" s="30">
        <f>'Equity Volume Data'!AR106*'Equity Price Data'!AU107</f>
        <v>25696.86</v>
      </c>
      <c r="AP106" s="30">
        <f>'Equity Volume Data'!AS106*'Equity Price Data'!AV107</f>
        <v>22212.5</v>
      </c>
      <c r="AQ106" s="30">
        <f>'Equity Volume Data'!AT106*'Equity Price Data'!AW107</f>
        <v>18486.6</v>
      </c>
      <c r="AR106" s="30">
        <f>'Equity Volume Data'!AU106*'Equity Price Data'!AX107</f>
        <v>0</v>
      </c>
      <c r="AS106" s="30">
        <f>'Equity Volume Data'!AV106*'Equity Price Data'!AY107</f>
        <v>49900.8</v>
      </c>
      <c r="AT106" s="30">
        <f>'Equity Volume Data'!AW106*'Equity Price Data'!AZ107</f>
        <v>16188</v>
      </c>
      <c r="AU106" s="30">
        <f>'Equity Volume Data'!AX106*'Equity Price Data'!BA107</f>
        <v>0</v>
      </c>
      <c r="AV106" s="30">
        <f>'Equity Volume Data'!AY106*'Equity Price Data'!BB107</f>
        <v>19143.02</v>
      </c>
      <c r="AW106" s="30">
        <f>'Equity Volume Data'!AZ106*'Equity Price Data'!BC107</f>
        <v>4119.2</v>
      </c>
      <c r="AX106" s="30">
        <f>'Equity Volume Data'!BA106*'Equity Price Data'!BD107</f>
        <v>0</v>
      </c>
      <c r="AY106" s="30">
        <f>'Equity Volume Data'!BB106*'Equity Price Data'!BE107</f>
        <v>17495.04</v>
      </c>
      <c r="AZ106" s="30">
        <f>'Equity Volume Data'!BC106*'Equity Price Data'!BF107</f>
        <v>11847</v>
      </c>
      <c r="BA106" s="30">
        <f>'Equity Volume Data'!BD106*'Equity Price Data'!BG107</f>
        <v>5574.6</v>
      </c>
      <c r="BB106" s="30">
        <f>'Equity Volume Data'!BE106*'Equity Price Data'!BH107</f>
        <v>9835.2</v>
      </c>
      <c r="BC106" s="30">
        <f>'Equity Volume Data'!BF106*'Equity Price Data'!BI107</f>
        <v>0</v>
      </c>
      <c r="BD106" s="30">
        <f>'Equity Volume Data'!BG106*'Equity Price Data'!BJ107</f>
        <v>45038.85</v>
      </c>
      <c r="BE106" s="30">
        <f>'Equity Volume Data'!BH106*'Equity Price Data'!BK107</f>
        <v>13657.17</v>
      </c>
      <c r="BF106" s="30">
        <f>'Equity Volume Data'!BI106*'Equity Price Data'!BL107</f>
        <v>6974</v>
      </c>
      <c r="BG106" s="30">
        <f>'Equity Volume Data'!BJ106*'Equity Price Data'!BM107</f>
        <v>37780.2</v>
      </c>
      <c r="BH106" s="30">
        <f>'Equity Volume Data'!BK106*'Equity Price Data'!BN107</f>
        <v>1337.6</v>
      </c>
      <c r="BI106" s="30">
        <f>'Equity Volume Data'!BL106*'Equity Price Data'!BO107</f>
        <v>38211.2</v>
      </c>
      <c r="BJ106" s="30">
        <f>'Equity Volume Data'!BM106*'Equity Price Data'!BP107</f>
        <v>44827.5</v>
      </c>
      <c r="BK106" s="30">
        <f>'Equity Volume Data'!BN106*'Equity Price Data'!BQ107</f>
        <v>88189.88</v>
      </c>
      <c r="BL106" s="30">
        <f>'Equity Volume Data'!BO106*'Equity Price Data'!BR107</f>
        <v>532.51</v>
      </c>
      <c r="BM106" s="30">
        <f>'Equity Volume Data'!BP106*'Equity Price Data'!BS107</f>
        <v>10139.52</v>
      </c>
      <c r="BN106" s="30">
        <f>'Equity Volume Data'!BQ106*'Equity Price Data'!BT107</f>
        <v>17482.12</v>
      </c>
      <c r="BO106" s="30">
        <f>'Equity Volume Data'!BR106*'Equity Price Data'!BU107</f>
        <v>67197.24</v>
      </c>
    </row>
    <row r="107">
      <c r="A107" s="25">
        <f>'Equity Price Data'!A108</f>
        <v>45576.66667</v>
      </c>
      <c r="B107" s="29">
        <f t="shared" si="1"/>
        <v>1361492.51</v>
      </c>
      <c r="C107" s="30">
        <f>'Equity Volume Data'!F107*'Equity Price Data'!I108</f>
        <v>6440.46</v>
      </c>
      <c r="D107" s="30">
        <f>'Equity Volume Data'!G107*'Equity Price Data'!J108</f>
        <v>49093.2</v>
      </c>
      <c r="E107" s="30">
        <f>'Equity Volume Data'!H107*'Equity Price Data'!K108</f>
        <v>15275.7</v>
      </c>
      <c r="F107" s="30">
        <f>'Equity Volume Data'!I107*'Equity Price Data'!L108</f>
        <v>58252.8</v>
      </c>
      <c r="G107" s="30">
        <f>'Equity Volume Data'!J107*'Equity Price Data'!M108</f>
        <v>17019.98</v>
      </c>
      <c r="H107" s="30">
        <f>'Equity Volume Data'!K107*'Equity Price Data'!N108</f>
        <v>13940.2</v>
      </c>
      <c r="I107" s="30">
        <f>'Equity Volume Data'!L107*'Equity Price Data'!O108</f>
        <v>12450</v>
      </c>
      <c r="J107" s="30">
        <f>'Equity Volume Data'!M107*'Equity Price Data'!P108</f>
        <v>46941.42</v>
      </c>
      <c r="K107" s="30">
        <f>'Equity Volume Data'!N107*'Equity Price Data'!Q108</f>
        <v>11790</v>
      </c>
      <c r="L107" s="30">
        <f>'Equity Volume Data'!O107*'Equity Price Data'!R108</f>
        <v>22793.98</v>
      </c>
      <c r="M107" s="30">
        <f>'Equity Volume Data'!P107*'Equity Price Data'!S108</f>
        <v>0</v>
      </c>
      <c r="N107" s="30">
        <f>'Equity Volume Data'!Q107*'Equity Price Data'!T108</f>
        <v>6528.8</v>
      </c>
      <c r="O107" s="30">
        <f>'Equity Volume Data'!R107*'Equity Price Data'!U108</f>
        <v>60303</v>
      </c>
      <c r="P107" s="30">
        <f>'Equity Volume Data'!S107*'Equity Price Data'!V108</f>
        <v>21412.95</v>
      </c>
      <c r="Q107" s="30">
        <f>'Equity Volume Data'!T107*'Equity Price Data'!W108</f>
        <v>25024.8</v>
      </c>
      <c r="R107" s="30">
        <f>'Equity Volume Data'!U107*'Equity Price Data'!X108</f>
        <v>12113.6</v>
      </c>
      <c r="S107" s="30">
        <f>'Equity Volume Data'!V107*'Equity Price Data'!Y108</f>
        <v>30826.4</v>
      </c>
      <c r="T107" s="30">
        <f>'Equity Volume Data'!W107*'Equity Price Data'!Z108</f>
        <v>10652.5</v>
      </c>
      <c r="U107" s="30">
        <f>'Equity Volume Data'!X107*'Equity Price Data'!AA108</f>
        <v>18366.48</v>
      </c>
      <c r="V107" s="30">
        <f>'Equity Volume Data'!Y107*'Equity Price Data'!AB108</f>
        <v>16473.52</v>
      </c>
      <c r="W107" s="30">
        <f>'Equity Volume Data'!Z107*'Equity Price Data'!AC108</f>
        <v>11090.37</v>
      </c>
      <c r="X107" s="30">
        <f>'Equity Volume Data'!AA107*'Equity Price Data'!AD108</f>
        <v>17235</v>
      </c>
      <c r="Y107" s="30">
        <f>'Equity Volume Data'!AB107*'Equity Price Data'!AE108</f>
        <v>5585.71</v>
      </c>
      <c r="Z107" s="30">
        <f>'Equity Volume Data'!AC107*'Equity Price Data'!AF108</f>
        <v>9949.5</v>
      </c>
      <c r="AA107" s="30">
        <f>'Equity Volume Data'!AD107*'Equity Price Data'!AG108</f>
        <v>21013.7</v>
      </c>
      <c r="AB107" s="30">
        <f>'Equity Volume Data'!AE107*'Equity Price Data'!AH108</f>
        <v>7930.8</v>
      </c>
      <c r="AC107" s="30">
        <f>'Equity Volume Data'!AF107*'Equity Price Data'!AI108</f>
        <v>18763.2</v>
      </c>
      <c r="AD107" s="30">
        <f>'Equity Volume Data'!AG107*'Equity Price Data'!AJ108</f>
        <v>13474.8</v>
      </c>
      <c r="AE107" s="30">
        <f>'Equity Volume Data'!AH107*'Equity Price Data'!AK108</f>
        <v>9574</v>
      </c>
      <c r="AF107" s="30">
        <f>'Equity Volume Data'!AI107*'Equity Price Data'!AL108</f>
        <v>17414.75</v>
      </c>
      <c r="AG107" s="30">
        <f>'Equity Volume Data'!AJ107*'Equity Price Data'!AM108</f>
        <v>30978</v>
      </c>
      <c r="AH107" s="30">
        <f>'Equity Volume Data'!AK107*'Equity Price Data'!AN108</f>
        <v>41190</v>
      </c>
      <c r="AI107" s="30">
        <f>'Equity Volume Data'!AL107*'Equity Price Data'!AO108</f>
        <v>18656.75</v>
      </c>
      <c r="AJ107" s="30">
        <f>'Equity Volume Data'!AM107*'Equity Price Data'!AP108</f>
        <v>21134.1</v>
      </c>
      <c r="AK107" s="30">
        <f>'Equity Volume Data'!AN107*'Equity Price Data'!AQ108</f>
        <v>0</v>
      </c>
      <c r="AL107" s="30">
        <f>'Equity Volume Data'!AO107*'Equity Price Data'!AR108</f>
        <v>35566.4</v>
      </c>
      <c r="AM107" s="30">
        <f>'Equity Volume Data'!AP107*'Equity Price Data'!AS108</f>
        <v>42291.9</v>
      </c>
      <c r="AN107" s="30">
        <f>'Equity Volume Data'!AQ107*'Equity Price Data'!AT108</f>
        <v>9738.75</v>
      </c>
      <c r="AO107" s="30">
        <f>'Equity Volume Data'!AR107*'Equity Price Data'!AU108</f>
        <v>25953.06</v>
      </c>
      <c r="AP107" s="30">
        <f>'Equity Volume Data'!AS107*'Equity Price Data'!AV108</f>
        <v>22340</v>
      </c>
      <c r="AQ107" s="30">
        <f>'Equity Volume Data'!AT107*'Equity Price Data'!AW108</f>
        <v>18812.2</v>
      </c>
      <c r="AR107" s="30">
        <f>'Equity Volume Data'!AU107*'Equity Price Data'!AX108</f>
        <v>0</v>
      </c>
      <c r="AS107" s="30">
        <f>'Equity Volume Data'!AV107*'Equity Price Data'!AY108</f>
        <v>49958.4</v>
      </c>
      <c r="AT107" s="30">
        <f>'Equity Volume Data'!AW107*'Equity Price Data'!AZ108</f>
        <v>16372</v>
      </c>
      <c r="AU107" s="30">
        <f>'Equity Volume Data'!AX107*'Equity Price Data'!BA108</f>
        <v>0</v>
      </c>
      <c r="AV107" s="30">
        <f>'Equity Volume Data'!AY107*'Equity Price Data'!BB108</f>
        <v>19141.6</v>
      </c>
      <c r="AW107" s="30">
        <f>'Equity Volume Data'!AZ107*'Equity Price Data'!BC108</f>
        <v>4161.2</v>
      </c>
      <c r="AX107" s="30">
        <f>'Equity Volume Data'!BA107*'Equity Price Data'!BD108</f>
        <v>0</v>
      </c>
      <c r="AY107" s="30">
        <f>'Equity Volume Data'!BB107*'Equity Price Data'!BE108</f>
        <v>17491.02</v>
      </c>
      <c r="AZ107" s="30">
        <f>'Equity Volume Data'!BC107*'Equity Price Data'!BF108</f>
        <v>12076.5</v>
      </c>
      <c r="BA107" s="30">
        <f>'Equity Volume Data'!BD107*'Equity Price Data'!BG108</f>
        <v>5540.4</v>
      </c>
      <c r="BB107" s="30">
        <f>'Equity Volume Data'!BE107*'Equity Price Data'!BH108</f>
        <v>9914.4</v>
      </c>
      <c r="BC107" s="30">
        <f>'Equity Volume Data'!BF107*'Equity Price Data'!BI108</f>
        <v>0</v>
      </c>
      <c r="BD107" s="30">
        <f>'Equity Volume Data'!BG107*'Equity Price Data'!BJ108</f>
        <v>45377.52</v>
      </c>
      <c r="BE107" s="30">
        <f>'Equity Volume Data'!BH107*'Equity Price Data'!BK108</f>
        <v>13729.16</v>
      </c>
      <c r="BF107" s="30">
        <f>'Equity Volume Data'!BI107*'Equity Price Data'!BL108</f>
        <v>6962.4</v>
      </c>
      <c r="BG107" s="30">
        <f>'Equity Volume Data'!BJ107*'Equity Price Data'!BM108</f>
        <v>37582.82</v>
      </c>
      <c r="BH107" s="30">
        <f>'Equity Volume Data'!BK107*'Equity Price Data'!BN108</f>
        <v>1329.6</v>
      </c>
      <c r="BI107" s="30">
        <f>'Equity Volume Data'!BL107*'Equity Price Data'!BO108</f>
        <v>38769.6</v>
      </c>
      <c r="BJ107" s="30">
        <f>'Equity Volume Data'!BM107*'Equity Price Data'!BP108</f>
        <v>44853.75</v>
      </c>
      <c r="BK107" s="30">
        <f>'Equity Volume Data'!BN107*'Equity Price Data'!BQ108</f>
        <v>88243.94</v>
      </c>
      <c r="BL107" s="30">
        <f>'Equity Volume Data'!BO107*'Equity Price Data'!BR108</f>
        <v>534.86</v>
      </c>
      <c r="BM107" s="30">
        <f>'Equity Volume Data'!BP107*'Equity Price Data'!BS108</f>
        <v>10166.88</v>
      </c>
      <c r="BN107" s="30">
        <f>'Equity Volume Data'!BQ107*'Equity Price Data'!BT108</f>
        <v>17696.44</v>
      </c>
      <c r="BO107" s="30">
        <f>'Equity Volume Data'!BR107*'Equity Price Data'!BU108</f>
        <v>67197.24</v>
      </c>
    </row>
    <row r="108">
      <c r="A108" s="25">
        <f>'Equity Price Data'!A109</f>
        <v>45579.66667</v>
      </c>
      <c r="B108" s="29">
        <f t="shared" si="1"/>
        <v>1369067.93</v>
      </c>
      <c r="C108" s="30">
        <f>'Equity Volume Data'!F108*'Equity Price Data'!I109</f>
        <v>6625.45</v>
      </c>
      <c r="D108" s="30">
        <f>'Equity Volume Data'!G108*'Equity Price Data'!J109</f>
        <v>48760.4</v>
      </c>
      <c r="E108" s="30">
        <f>'Equity Volume Data'!H108*'Equity Price Data'!K109</f>
        <v>15440.7</v>
      </c>
      <c r="F108" s="30">
        <f>'Equity Volume Data'!I108*'Equity Price Data'!L109</f>
        <v>59212.8</v>
      </c>
      <c r="G108" s="30">
        <f>'Equity Volume Data'!J108*'Equity Price Data'!M109</f>
        <v>17752.87</v>
      </c>
      <c r="H108" s="30">
        <f>'Equity Volume Data'!K108*'Equity Price Data'!N109</f>
        <v>14383.88</v>
      </c>
      <c r="I108" s="30">
        <f>'Equity Volume Data'!L108*'Equity Price Data'!O109</f>
        <v>12350</v>
      </c>
      <c r="J108" s="30">
        <f>'Equity Volume Data'!M108*'Equity Price Data'!P109</f>
        <v>46917.96</v>
      </c>
      <c r="K108" s="30">
        <f>'Equity Volume Data'!N108*'Equity Price Data'!Q109</f>
        <v>11886</v>
      </c>
      <c r="L108" s="30">
        <f>'Equity Volume Data'!O108*'Equity Price Data'!R109</f>
        <v>23178.76</v>
      </c>
      <c r="M108" s="30">
        <f>'Equity Volume Data'!P108*'Equity Price Data'!S109</f>
        <v>0</v>
      </c>
      <c r="N108" s="30">
        <f>'Equity Volume Data'!Q108*'Equity Price Data'!T109</f>
        <v>6613.6</v>
      </c>
      <c r="O108" s="30">
        <f>'Equity Volume Data'!R108*'Equity Price Data'!U109</f>
        <v>59092.5</v>
      </c>
      <c r="P108" s="30">
        <f>'Equity Volume Data'!S108*'Equity Price Data'!V109</f>
        <v>21633.96</v>
      </c>
      <c r="Q108" s="30">
        <f>'Equity Volume Data'!T108*'Equity Price Data'!W109</f>
        <v>24962.4</v>
      </c>
      <c r="R108" s="30">
        <f>'Equity Volume Data'!U108*'Equity Price Data'!X109</f>
        <v>12142.4</v>
      </c>
      <c r="S108" s="30">
        <f>'Equity Volume Data'!V108*'Equity Price Data'!Y109</f>
        <v>30927.6</v>
      </c>
      <c r="T108" s="30">
        <f>'Equity Volume Data'!W108*'Equity Price Data'!Z109</f>
        <v>10817.5</v>
      </c>
      <c r="U108" s="30">
        <f>'Equity Volume Data'!X108*'Equity Price Data'!AA109</f>
        <v>18569.76</v>
      </c>
      <c r="V108" s="30">
        <f>'Equity Volume Data'!Y108*'Equity Price Data'!AB109</f>
        <v>16589.44</v>
      </c>
      <c r="W108" s="30">
        <f>'Equity Volume Data'!Z108*'Equity Price Data'!AC109</f>
        <v>11176.62</v>
      </c>
      <c r="X108" s="30">
        <f>'Equity Volume Data'!AA108*'Equity Price Data'!AD109</f>
        <v>16700</v>
      </c>
      <c r="Y108" s="30">
        <f>'Equity Volume Data'!AB108*'Equity Price Data'!AE109</f>
        <v>5565.04</v>
      </c>
      <c r="Z108" s="30">
        <f>'Equity Volume Data'!AC108*'Equity Price Data'!AF109</f>
        <v>10032</v>
      </c>
      <c r="AA108" s="30">
        <f>'Equity Volume Data'!AD108*'Equity Price Data'!AG109</f>
        <v>21093.6</v>
      </c>
      <c r="AB108" s="30">
        <f>'Equity Volume Data'!AE108*'Equity Price Data'!AH109</f>
        <v>8023.5</v>
      </c>
      <c r="AC108" s="30">
        <f>'Equity Volume Data'!AF108*'Equity Price Data'!AI109</f>
        <v>19169.2</v>
      </c>
      <c r="AD108" s="30">
        <f>'Equity Volume Data'!AG108*'Equity Price Data'!AJ109</f>
        <v>13583.7</v>
      </c>
      <c r="AE108" s="30">
        <f>'Equity Volume Data'!AH108*'Equity Price Data'!AK109</f>
        <v>9726</v>
      </c>
      <c r="AF108" s="30">
        <f>'Equity Volume Data'!AI108*'Equity Price Data'!AL109</f>
        <v>17435.25</v>
      </c>
      <c r="AG108" s="30">
        <f>'Equity Volume Data'!AJ108*'Equity Price Data'!AM109</f>
        <v>31365</v>
      </c>
      <c r="AH108" s="30">
        <f>'Equity Volume Data'!AK108*'Equity Price Data'!AN109</f>
        <v>41542</v>
      </c>
      <c r="AI108" s="30">
        <f>'Equity Volume Data'!AL108*'Equity Price Data'!AO109</f>
        <v>18705.75</v>
      </c>
      <c r="AJ108" s="30">
        <f>'Equity Volume Data'!AM108*'Equity Price Data'!AP109</f>
        <v>21369.4</v>
      </c>
      <c r="AK108" s="30">
        <f>'Equity Volume Data'!AN108*'Equity Price Data'!AQ109</f>
        <v>0</v>
      </c>
      <c r="AL108" s="30">
        <f>'Equity Volume Data'!AO108*'Equity Price Data'!AR109</f>
        <v>35436.8</v>
      </c>
      <c r="AM108" s="30">
        <f>'Equity Volume Data'!AP108*'Equity Price Data'!AS109</f>
        <v>42760.9</v>
      </c>
      <c r="AN108" s="30">
        <f>'Equity Volume Data'!AQ108*'Equity Price Data'!AT109</f>
        <v>10036.6</v>
      </c>
      <c r="AO108" s="30">
        <f>'Equity Volume Data'!AR108*'Equity Price Data'!AU109</f>
        <v>26029.92</v>
      </c>
      <c r="AP108" s="30">
        <f>'Equity Volume Data'!AS108*'Equity Price Data'!AV109</f>
        <v>22502.5</v>
      </c>
      <c r="AQ108" s="30">
        <f>'Equity Volume Data'!AT108*'Equity Price Data'!AW109</f>
        <v>18893.6</v>
      </c>
      <c r="AR108" s="30">
        <f>'Equity Volume Data'!AU108*'Equity Price Data'!AX109</f>
        <v>0</v>
      </c>
      <c r="AS108" s="30">
        <f>'Equity Volume Data'!AV108*'Equity Price Data'!AY109</f>
        <v>50296.8</v>
      </c>
      <c r="AT108" s="30">
        <f>'Equity Volume Data'!AW108*'Equity Price Data'!AZ109</f>
        <v>16582</v>
      </c>
      <c r="AU108" s="30">
        <f>'Equity Volume Data'!AX108*'Equity Price Data'!BA109</f>
        <v>0</v>
      </c>
      <c r="AV108" s="30">
        <f>'Equity Volume Data'!AY108*'Equity Price Data'!BB109</f>
        <v>19605.94</v>
      </c>
      <c r="AW108" s="30">
        <f>'Equity Volume Data'!AZ108*'Equity Price Data'!BC109</f>
        <v>4212.8</v>
      </c>
      <c r="AX108" s="30">
        <f>'Equity Volume Data'!BA108*'Equity Price Data'!BD109</f>
        <v>0</v>
      </c>
      <c r="AY108" s="30">
        <f>'Equity Volume Data'!BB108*'Equity Price Data'!BE109</f>
        <v>17446.8</v>
      </c>
      <c r="AZ108" s="30">
        <f>'Equity Volume Data'!BC108*'Equity Price Data'!BF109</f>
        <v>12100.5</v>
      </c>
      <c r="BA108" s="30">
        <f>'Equity Volume Data'!BD108*'Equity Price Data'!BG109</f>
        <v>5525.2</v>
      </c>
      <c r="BB108" s="30">
        <f>'Equity Volume Data'!BE108*'Equity Price Data'!BH109</f>
        <v>9971.2</v>
      </c>
      <c r="BC108" s="30">
        <f>'Equity Volume Data'!BF108*'Equity Price Data'!BI109</f>
        <v>0</v>
      </c>
      <c r="BD108" s="30">
        <f>'Equity Volume Data'!BG108*'Equity Price Data'!BJ109</f>
        <v>45988.83</v>
      </c>
      <c r="BE108" s="30">
        <f>'Equity Volume Data'!BH108*'Equity Price Data'!BK109</f>
        <v>13887.17</v>
      </c>
      <c r="BF108" s="30">
        <f>'Equity Volume Data'!BI108*'Equity Price Data'!BL109</f>
        <v>7004</v>
      </c>
      <c r="BG108" s="30">
        <f>'Equity Volume Data'!BJ108*'Equity Price Data'!BM109</f>
        <v>37318.72</v>
      </c>
      <c r="BH108" s="30">
        <f>'Equity Volume Data'!BK108*'Equity Price Data'!BN109</f>
        <v>1449.6</v>
      </c>
      <c r="BI108" s="30">
        <f>'Equity Volume Data'!BL108*'Equity Price Data'!BO109</f>
        <v>39243.2</v>
      </c>
      <c r="BJ108" s="30">
        <f>'Equity Volume Data'!BM108*'Equity Price Data'!BP109</f>
        <v>45405</v>
      </c>
      <c r="BK108" s="30">
        <f>'Equity Volume Data'!BN108*'Equity Price Data'!BQ109</f>
        <v>88189.88</v>
      </c>
      <c r="BL108" s="30">
        <f>'Equity Volume Data'!BO108*'Equity Price Data'!BR109</f>
        <v>535.33</v>
      </c>
      <c r="BM108" s="30">
        <f>'Equity Volume Data'!BP108*'Equity Price Data'!BS109</f>
        <v>10248</v>
      </c>
      <c r="BN108" s="30">
        <f>'Equity Volume Data'!BQ108*'Equity Price Data'!BT109</f>
        <v>17854.36</v>
      </c>
      <c r="BO108" s="30">
        <f>'Equity Volume Data'!BR108*'Equity Price Data'!BU109</f>
        <v>67197.24</v>
      </c>
    </row>
    <row r="109">
      <c r="A109" s="25">
        <f>'Equity Price Data'!A110</f>
        <v>45580.66667</v>
      </c>
      <c r="B109" s="29">
        <f t="shared" si="1"/>
        <v>1360907.46</v>
      </c>
      <c r="C109" s="30">
        <f>'Equity Volume Data'!F109*'Equity Price Data'!I110</f>
        <v>6604.39</v>
      </c>
      <c r="D109" s="30">
        <f>'Equity Volume Data'!G109*'Equity Price Data'!J110</f>
        <v>48760.4</v>
      </c>
      <c r="E109" s="30">
        <f>'Equity Volume Data'!H109*'Equity Price Data'!K110</f>
        <v>15532</v>
      </c>
      <c r="F109" s="30">
        <f>'Equity Volume Data'!I109*'Equity Price Data'!L110</f>
        <v>59865.6</v>
      </c>
      <c r="G109" s="30">
        <f>'Equity Volume Data'!J109*'Equity Price Data'!M110</f>
        <v>15854.66</v>
      </c>
      <c r="H109" s="30">
        <f>'Equity Volume Data'!K109*'Equity Price Data'!N110</f>
        <v>14331.24</v>
      </c>
      <c r="I109" s="30">
        <f>'Equity Volume Data'!L109*'Equity Price Data'!O110</f>
        <v>12290</v>
      </c>
      <c r="J109" s="30">
        <f>'Equity Volume Data'!M109*'Equity Price Data'!P110</f>
        <v>47193.36</v>
      </c>
      <c r="K109" s="30">
        <f>'Equity Volume Data'!N109*'Equity Price Data'!Q110</f>
        <v>11632</v>
      </c>
      <c r="L109" s="30">
        <f>'Equity Volume Data'!O109*'Equity Price Data'!R110</f>
        <v>23177.55</v>
      </c>
      <c r="M109" s="30">
        <f>'Equity Volume Data'!P109*'Equity Price Data'!S110</f>
        <v>0</v>
      </c>
      <c r="N109" s="30">
        <f>'Equity Volume Data'!Q109*'Equity Price Data'!T110</f>
        <v>6528.8</v>
      </c>
      <c r="O109" s="30">
        <f>'Equity Volume Data'!R109*'Equity Price Data'!U110</f>
        <v>58198.5</v>
      </c>
      <c r="P109" s="30">
        <f>'Equity Volume Data'!S109*'Equity Price Data'!V110</f>
        <v>21563.07</v>
      </c>
      <c r="Q109" s="30">
        <f>'Equity Volume Data'!T109*'Equity Price Data'!W110</f>
        <v>24939.6</v>
      </c>
      <c r="R109" s="30">
        <f>'Equity Volume Data'!U109*'Equity Price Data'!X110</f>
        <v>11818.4</v>
      </c>
      <c r="S109" s="30">
        <f>'Equity Volume Data'!V109*'Equity Price Data'!Y110</f>
        <v>30697.92</v>
      </c>
      <c r="T109" s="30">
        <f>'Equity Volume Data'!W109*'Equity Price Data'!Z110</f>
        <v>10870</v>
      </c>
      <c r="U109" s="30">
        <f>'Equity Volume Data'!X109*'Equity Price Data'!AA110</f>
        <v>18569.76</v>
      </c>
      <c r="V109" s="30">
        <f>'Equity Volume Data'!Y109*'Equity Price Data'!AB110</f>
        <v>16977.45</v>
      </c>
      <c r="W109" s="30">
        <f>'Equity Volume Data'!Z109*'Equity Price Data'!AC110</f>
        <v>11176.62</v>
      </c>
      <c r="X109" s="30">
        <f>'Equity Volume Data'!AA109*'Equity Price Data'!AD110</f>
        <v>16932.5</v>
      </c>
      <c r="Y109" s="30">
        <f>'Equity Volume Data'!AB109*'Equity Price Data'!AE110</f>
        <v>5554.38</v>
      </c>
      <c r="Z109" s="30">
        <f>'Equity Volume Data'!AC109*'Equity Price Data'!AF110</f>
        <v>10048.5</v>
      </c>
      <c r="AA109" s="30">
        <f>'Equity Volume Data'!AD109*'Equity Price Data'!AG110</f>
        <v>21093.6</v>
      </c>
      <c r="AB109" s="30">
        <f>'Equity Volume Data'!AE109*'Equity Price Data'!AH110</f>
        <v>7977.6</v>
      </c>
      <c r="AC109" s="30">
        <f>'Equity Volume Data'!AF109*'Equity Price Data'!AI110</f>
        <v>19169.2</v>
      </c>
      <c r="AD109" s="30">
        <f>'Equity Volume Data'!AG109*'Equity Price Data'!AJ110</f>
        <v>13509.45</v>
      </c>
      <c r="AE109" s="30">
        <f>'Equity Volume Data'!AH109*'Equity Price Data'!AK110</f>
        <v>9570</v>
      </c>
      <c r="AF109" s="30">
        <f>'Equity Volume Data'!AI109*'Equity Price Data'!AL110</f>
        <v>17593.1</v>
      </c>
      <c r="AG109" s="30">
        <f>'Equity Volume Data'!AJ109*'Equity Price Data'!AM110</f>
        <v>31342.8</v>
      </c>
      <c r="AH109" s="30">
        <f>'Equity Volume Data'!AK109*'Equity Price Data'!AN110</f>
        <v>41542</v>
      </c>
      <c r="AI109" s="30">
        <f>'Equity Volume Data'!AL109*'Equity Price Data'!AO110</f>
        <v>18705.75</v>
      </c>
      <c r="AJ109" s="30">
        <f>'Equity Volume Data'!AM109*'Equity Price Data'!AP110</f>
        <v>21473.4</v>
      </c>
      <c r="AK109" s="30">
        <f>'Equity Volume Data'!AN109*'Equity Price Data'!AQ110</f>
        <v>0</v>
      </c>
      <c r="AL109" s="30">
        <f>'Equity Volume Data'!AO109*'Equity Price Data'!AR110</f>
        <v>35582.4</v>
      </c>
      <c r="AM109" s="30">
        <f>'Equity Volume Data'!AP109*'Equity Price Data'!AS110</f>
        <v>42350</v>
      </c>
      <c r="AN109" s="30">
        <f>'Equity Volume Data'!AQ109*'Equity Price Data'!AT110</f>
        <v>10061.8</v>
      </c>
      <c r="AO109" s="30">
        <f>'Equity Volume Data'!AR109*'Equity Price Data'!AU110</f>
        <v>25893.28</v>
      </c>
      <c r="AP109" s="30">
        <f>'Equity Volume Data'!AS109*'Equity Price Data'!AV110</f>
        <v>22460</v>
      </c>
      <c r="AQ109" s="30">
        <f>'Equity Volume Data'!AT109*'Equity Price Data'!AW110</f>
        <v>18893.6</v>
      </c>
      <c r="AR109" s="30">
        <f>'Equity Volume Data'!AU109*'Equity Price Data'!AX110</f>
        <v>0</v>
      </c>
      <c r="AS109" s="30">
        <f>'Equity Volume Data'!AV109*'Equity Price Data'!AY110</f>
        <v>50248.8</v>
      </c>
      <c r="AT109" s="30">
        <f>'Equity Volume Data'!AW109*'Equity Price Data'!AZ110</f>
        <v>16558</v>
      </c>
      <c r="AU109" s="30">
        <f>'Equity Volume Data'!AX109*'Equity Price Data'!BA110</f>
        <v>0</v>
      </c>
      <c r="AV109" s="30">
        <f>'Equity Volume Data'!AY109*'Equity Price Data'!BB110</f>
        <v>18687.2</v>
      </c>
      <c r="AW109" s="30">
        <f>'Equity Volume Data'!AZ109*'Equity Price Data'!BC110</f>
        <v>4179.2</v>
      </c>
      <c r="AX109" s="30">
        <f>'Equity Volume Data'!BA109*'Equity Price Data'!BD110</f>
        <v>0</v>
      </c>
      <c r="AY109" s="30">
        <f>'Equity Volume Data'!BB109*'Equity Price Data'!BE110</f>
        <v>17446.8</v>
      </c>
      <c r="AZ109" s="30">
        <f>'Equity Volume Data'!BC109*'Equity Price Data'!BF110</f>
        <v>11932.5</v>
      </c>
      <c r="BA109" s="30">
        <f>'Equity Volume Data'!BD109*'Equity Price Data'!BG110</f>
        <v>5593.6</v>
      </c>
      <c r="BB109" s="30">
        <f>'Equity Volume Data'!BE109*'Equity Price Data'!BH110</f>
        <v>10002.4</v>
      </c>
      <c r="BC109" s="30">
        <f>'Equity Volume Data'!BF109*'Equity Price Data'!BI110</f>
        <v>0</v>
      </c>
      <c r="BD109" s="30">
        <f>'Equity Volume Data'!BG109*'Equity Price Data'!BJ110</f>
        <v>46227.39</v>
      </c>
      <c r="BE109" s="30">
        <f>'Equity Volume Data'!BH109*'Equity Price Data'!BK110</f>
        <v>13811.96</v>
      </c>
      <c r="BF109" s="30">
        <f>'Equity Volume Data'!BI109*'Equity Price Data'!BL110</f>
        <v>6782</v>
      </c>
      <c r="BG109" s="30">
        <f>'Equity Volume Data'!BJ109*'Equity Price Data'!BM110</f>
        <v>36651.52</v>
      </c>
      <c r="BH109" s="30">
        <f>'Equity Volume Data'!BK109*'Equity Price Data'!BN110</f>
        <v>1502.4</v>
      </c>
      <c r="BI109" s="30">
        <f>'Equity Volume Data'!BL109*'Equity Price Data'!BO110</f>
        <v>39326.4</v>
      </c>
      <c r="BJ109" s="30">
        <f>'Equity Volume Data'!BM109*'Equity Price Data'!BP110</f>
        <v>41721.75</v>
      </c>
      <c r="BK109" s="30">
        <f>'Equity Volume Data'!BN109*'Equity Price Data'!BQ110</f>
        <v>88171.86</v>
      </c>
      <c r="BL109" s="30">
        <f>'Equity Volume Data'!BO109*'Equity Price Data'!BR110</f>
        <v>556.48</v>
      </c>
      <c r="BM109" s="30">
        <f>'Equity Volume Data'!BP109*'Equity Price Data'!BS110</f>
        <v>10261.92</v>
      </c>
      <c r="BN109" s="30">
        <f>'Equity Volume Data'!BQ109*'Equity Price Data'!BT110</f>
        <v>17713.36</v>
      </c>
      <c r="BO109" s="30">
        <f>'Equity Volume Data'!BR109*'Equity Price Data'!BU110</f>
        <v>67197.24</v>
      </c>
    </row>
    <row r="110">
      <c r="A110" s="25">
        <f>'Equity Price Data'!A111</f>
        <v>45581.66667</v>
      </c>
      <c r="B110" s="29">
        <f t="shared" si="1"/>
        <v>1367234.35</v>
      </c>
      <c r="C110" s="30">
        <f>'Equity Volume Data'!F110*'Equity Price Data'!I111</f>
        <v>6533.02</v>
      </c>
      <c r="D110" s="30">
        <f>'Equity Volume Data'!G110*'Equity Price Data'!J111</f>
        <v>48591.4</v>
      </c>
      <c r="E110" s="30">
        <f>'Equity Volume Data'!H110*'Equity Price Data'!K111</f>
        <v>15683.8</v>
      </c>
      <c r="F110" s="30">
        <f>'Equity Volume Data'!I110*'Equity Price Data'!L111</f>
        <v>59335.68</v>
      </c>
      <c r="G110" s="30">
        <f>'Equity Volume Data'!J110*'Equity Price Data'!M111</f>
        <v>15320.97</v>
      </c>
      <c r="H110" s="30">
        <f>'Equity Volume Data'!K110*'Equity Price Data'!N111</f>
        <v>14532.4</v>
      </c>
      <c r="I110" s="30">
        <f>'Equity Volume Data'!L110*'Equity Price Data'!O111</f>
        <v>12520</v>
      </c>
      <c r="J110" s="30">
        <f>'Equity Volume Data'!M110*'Equity Price Data'!P111</f>
        <v>47500.38</v>
      </c>
      <c r="K110" s="30">
        <f>'Equity Volume Data'!N110*'Equity Price Data'!Q111</f>
        <v>11346</v>
      </c>
      <c r="L110" s="30">
        <f>'Equity Volume Data'!O110*'Equity Price Data'!R111</f>
        <v>22869</v>
      </c>
      <c r="M110" s="30">
        <f>'Equity Volume Data'!P110*'Equity Price Data'!S111</f>
        <v>0</v>
      </c>
      <c r="N110" s="30">
        <f>'Equity Volume Data'!Q110*'Equity Price Data'!T111</f>
        <v>6484</v>
      </c>
      <c r="O110" s="30">
        <f>'Equity Volume Data'!R110*'Equity Price Data'!U111</f>
        <v>59043</v>
      </c>
      <c r="P110" s="30">
        <f>'Equity Volume Data'!S110*'Equity Price Data'!V111</f>
        <v>23260.26</v>
      </c>
      <c r="Q110" s="30">
        <f>'Equity Volume Data'!T110*'Equity Price Data'!W111</f>
        <v>24705.6</v>
      </c>
      <c r="R110" s="30">
        <f>'Equity Volume Data'!U110*'Equity Price Data'!X111</f>
        <v>11898.4</v>
      </c>
      <c r="S110" s="30">
        <f>'Equity Volume Data'!V110*'Equity Price Data'!Y111</f>
        <v>31555.04</v>
      </c>
      <c r="T110" s="30">
        <f>'Equity Volume Data'!W110*'Equity Price Data'!Z111</f>
        <v>10602.5</v>
      </c>
      <c r="U110" s="30">
        <f>'Equity Volume Data'!X110*'Equity Price Data'!AA111</f>
        <v>18630.48</v>
      </c>
      <c r="V110" s="30">
        <f>'Equity Volume Data'!Y110*'Equity Price Data'!AB111</f>
        <v>17088.54</v>
      </c>
      <c r="W110" s="30">
        <f>'Equity Volume Data'!Z110*'Equity Price Data'!AC111</f>
        <v>11186.97</v>
      </c>
      <c r="X110" s="30">
        <f>'Equity Volume Data'!AA110*'Equity Price Data'!AD111</f>
        <v>17005</v>
      </c>
      <c r="Y110" s="30">
        <f>'Equity Volume Data'!AB110*'Equity Price Data'!AE111</f>
        <v>5568.68</v>
      </c>
      <c r="Z110" s="30">
        <f>'Equity Volume Data'!AC110*'Equity Price Data'!AF111</f>
        <v>10038</v>
      </c>
      <c r="AA110" s="30">
        <f>'Equity Volume Data'!AD110*'Equity Price Data'!AG111</f>
        <v>20512.2</v>
      </c>
      <c r="AB110" s="30">
        <f>'Equity Volume Data'!AE110*'Equity Price Data'!AH111</f>
        <v>8154</v>
      </c>
      <c r="AC110" s="30">
        <f>'Equity Volume Data'!AF110*'Equity Price Data'!AI111</f>
        <v>18879.6</v>
      </c>
      <c r="AD110" s="30">
        <f>'Equity Volume Data'!AG110*'Equity Price Data'!AJ111</f>
        <v>13719.15</v>
      </c>
      <c r="AE110" s="30">
        <f>'Equity Volume Data'!AH110*'Equity Price Data'!AK111</f>
        <v>9802</v>
      </c>
      <c r="AF110" s="30">
        <f>'Equity Volume Data'!AI110*'Equity Price Data'!AL111</f>
        <v>17783.75</v>
      </c>
      <c r="AG110" s="30">
        <f>'Equity Volume Data'!AJ110*'Equity Price Data'!AM111</f>
        <v>31791.6</v>
      </c>
      <c r="AH110" s="30">
        <f>'Equity Volume Data'!AK110*'Equity Price Data'!AN111</f>
        <v>41861</v>
      </c>
      <c r="AI110" s="30">
        <f>'Equity Volume Data'!AL110*'Equity Price Data'!AO111</f>
        <v>18737.25</v>
      </c>
      <c r="AJ110" s="30">
        <f>'Equity Volume Data'!AM110*'Equity Price Data'!AP111</f>
        <v>21466.9</v>
      </c>
      <c r="AK110" s="30">
        <f>'Equity Volume Data'!AN110*'Equity Price Data'!AQ111</f>
        <v>0</v>
      </c>
      <c r="AL110" s="30">
        <f>'Equity Volume Data'!AO110*'Equity Price Data'!AR111</f>
        <v>35782.4</v>
      </c>
      <c r="AM110" s="30">
        <f>'Equity Volume Data'!AP110*'Equity Price Data'!AS111</f>
        <v>42898.1</v>
      </c>
      <c r="AN110" s="30">
        <f>'Equity Volume Data'!AQ110*'Equity Price Data'!AT111</f>
        <v>10297.35</v>
      </c>
      <c r="AO110" s="30">
        <f>'Equity Volume Data'!AR110*'Equity Price Data'!AU111</f>
        <v>26192.18</v>
      </c>
      <c r="AP110" s="30">
        <f>'Equity Volume Data'!AS110*'Equity Price Data'!AV111</f>
        <v>22497.5</v>
      </c>
      <c r="AQ110" s="30">
        <f>'Equity Volume Data'!AT110*'Equity Price Data'!AW111</f>
        <v>18739.6</v>
      </c>
      <c r="AR110" s="30">
        <f>'Equity Volume Data'!AU110*'Equity Price Data'!AX111</f>
        <v>0</v>
      </c>
      <c r="AS110" s="30">
        <f>'Equity Volume Data'!AV110*'Equity Price Data'!AY111</f>
        <v>49934.4</v>
      </c>
      <c r="AT110" s="30">
        <f>'Equity Volume Data'!AW110*'Equity Price Data'!AZ111</f>
        <v>16878</v>
      </c>
      <c r="AU110" s="30">
        <f>'Equity Volume Data'!AX110*'Equity Price Data'!BA111</f>
        <v>0</v>
      </c>
      <c r="AV110" s="30">
        <f>'Equity Volume Data'!AY110*'Equity Price Data'!BB111</f>
        <v>19272.24</v>
      </c>
      <c r="AW110" s="30">
        <f>'Equity Volume Data'!AZ110*'Equity Price Data'!BC111</f>
        <v>4205.2</v>
      </c>
      <c r="AX110" s="30">
        <f>'Equity Volume Data'!BA110*'Equity Price Data'!BD111</f>
        <v>0</v>
      </c>
      <c r="AY110" s="30">
        <f>'Equity Volume Data'!BB110*'Equity Price Data'!BE111</f>
        <v>16855.86</v>
      </c>
      <c r="AZ110" s="30">
        <f>'Equity Volume Data'!BC110*'Equity Price Data'!BF111</f>
        <v>12123</v>
      </c>
      <c r="BA110" s="30">
        <f>'Equity Volume Data'!BD110*'Equity Price Data'!BG111</f>
        <v>5637.3</v>
      </c>
      <c r="BB110" s="30">
        <f>'Equity Volume Data'!BE110*'Equity Price Data'!BH111</f>
        <v>10097.6</v>
      </c>
      <c r="BC110" s="30">
        <f>'Equity Volume Data'!BF110*'Equity Price Data'!BI111</f>
        <v>0</v>
      </c>
      <c r="BD110" s="30">
        <f>'Equity Volume Data'!BG110*'Equity Price Data'!BJ111</f>
        <v>46808.88</v>
      </c>
      <c r="BE110" s="30">
        <f>'Equity Volume Data'!BH110*'Equity Price Data'!BK111</f>
        <v>13605.65</v>
      </c>
      <c r="BF110" s="30">
        <f>'Equity Volume Data'!BI110*'Equity Price Data'!BL111</f>
        <v>6860</v>
      </c>
      <c r="BG110" s="30">
        <f>'Equity Volume Data'!BJ110*'Equity Price Data'!BM111</f>
        <v>36131.66</v>
      </c>
      <c r="BH110" s="30">
        <f>'Equity Volume Data'!BK110*'Equity Price Data'!BN111</f>
        <v>1520</v>
      </c>
      <c r="BI110" s="30">
        <f>'Equity Volume Data'!BL110*'Equity Price Data'!BO111</f>
        <v>39696</v>
      </c>
      <c r="BJ110" s="30">
        <f>'Equity Volume Data'!BM110*'Equity Price Data'!BP111</f>
        <v>42850.5</v>
      </c>
      <c r="BK110" s="30">
        <f>'Equity Volume Data'!BN110*'Equity Price Data'!BQ111</f>
        <v>88171.86</v>
      </c>
      <c r="BL110" s="30">
        <f>'Equity Volume Data'!BO110*'Equity Price Data'!BR111</f>
        <v>555.54</v>
      </c>
      <c r="BM110" s="30">
        <f>'Equity Volume Data'!BP110*'Equity Price Data'!BS111</f>
        <v>10230.72</v>
      </c>
      <c r="BN110" s="30">
        <f>'Equity Volume Data'!BQ110*'Equity Price Data'!BT111</f>
        <v>18189</v>
      </c>
      <c r="BO110" s="30">
        <f>'Equity Volume Data'!BR110*'Equity Price Data'!BU111</f>
        <v>67197.24</v>
      </c>
    </row>
    <row r="111">
      <c r="A111" s="25">
        <f>'Equity Price Data'!A112</f>
        <v>45582.66667</v>
      </c>
      <c r="B111" s="29">
        <f t="shared" si="1"/>
        <v>1365906.44</v>
      </c>
      <c r="C111" s="30">
        <f>'Equity Volume Data'!F111*'Equity Price Data'!I112</f>
        <v>6458.79</v>
      </c>
      <c r="D111" s="30">
        <f>'Equity Volume Data'!G111*'Equity Price Data'!J112</f>
        <v>48757.8</v>
      </c>
      <c r="E111" s="30">
        <f>'Equity Volume Data'!H111*'Equity Price Data'!K112</f>
        <v>15486.9</v>
      </c>
      <c r="F111" s="30">
        <f>'Equity Volume Data'!I111*'Equity Price Data'!L112</f>
        <v>59430.4</v>
      </c>
      <c r="G111" s="30">
        <f>'Equity Volume Data'!J111*'Equity Price Data'!M112</f>
        <v>15208.92</v>
      </c>
      <c r="H111" s="30">
        <f>'Equity Volume Data'!K111*'Equity Price Data'!N112</f>
        <v>14617</v>
      </c>
      <c r="I111" s="30">
        <f>'Equity Volume Data'!L111*'Equity Price Data'!O112</f>
        <v>12940</v>
      </c>
      <c r="J111" s="30">
        <f>'Equity Volume Data'!M111*'Equity Price Data'!P112</f>
        <v>47516.7</v>
      </c>
      <c r="K111" s="30">
        <f>'Equity Volume Data'!N111*'Equity Price Data'!Q112</f>
        <v>11378</v>
      </c>
      <c r="L111" s="30">
        <f>'Equity Volume Data'!O111*'Equity Price Data'!R112</f>
        <v>22935.55</v>
      </c>
      <c r="M111" s="30">
        <f>'Equity Volume Data'!P111*'Equity Price Data'!S112</f>
        <v>0</v>
      </c>
      <c r="N111" s="30">
        <f>'Equity Volume Data'!Q111*'Equity Price Data'!T112</f>
        <v>6515.2</v>
      </c>
      <c r="O111" s="30">
        <f>'Equity Volume Data'!R111*'Equity Price Data'!U112</f>
        <v>59173.5</v>
      </c>
      <c r="P111" s="30">
        <f>'Equity Volume Data'!S111*'Equity Price Data'!V112</f>
        <v>23631.39</v>
      </c>
      <c r="Q111" s="30">
        <f>'Equity Volume Data'!T111*'Equity Price Data'!W112</f>
        <v>24892.8</v>
      </c>
      <c r="R111" s="30">
        <f>'Equity Volume Data'!U111*'Equity Price Data'!X112</f>
        <v>12096</v>
      </c>
      <c r="S111" s="30">
        <f>'Equity Volume Data'!V111*'Equity Price Data'!Y112</f>
        <v>31074.56</v>
      </c>
      <c r="T111" s="30">
        <f>'Equity Volume Data'!W111*'Equity Price Data'!Z112</f>
        <v>10532.5</v>
      </c>
      <c r="U111" s="30">
        <f>'Equity Volume Data'!X111*'Equity Price Data'!AA112</f>
        <v>18453.6</v>
      </c>
      <c r="V111" s="30">
        <f>'Equity Volume Data'!Y111*'Equity Price Data'!AB112</f>
        <v>17011.26</v>
      </c>
      <c r="W111" s="30">
        <f>'Equity Volume Data'!Z111*'Equity Price Data'!AC112</f>
        <v>11294.61</v>
      </c>
      <c r="X111" s="30">
        <f>'Equity Volume Data'!AA111*'Equity Price Data'!AD112</f>
        <v>16965</v>
      </c>
      <c r="Y111" s="30">
        <f>'Equity Volume Data'!AB111*'Equity Price Data'!AE112</f>
        <v>5581.94</v>
      </c>
      <c r="Z111" s="30">
        <f>'Equity Volume Data'!AC111*'Equity Price Data'!AF112</f>
        <v>9804</v>
      </c>
      <c r="AA111" s="30">
        <f>'Equity Volume Data'!AD111*'Equity Price Data'!AG112</f>
        <v>20459.5</v>
      </c>
      <c r="AB111" s="30">
        <f>'Equity Volume Data'!AE111*'Equity Price Data'!AH112</f>
        <v>8227.8</v>
      </c>
      <c r="AC111" s="30">
        <f>'Equity Volume Data'!AF111*'Equity Price Data'!AI112</f>
        <v>19292.8</v>
      </c>
      <c r="AD111" s="30">
        <f>'Equity Volume Data'!AG111*'Equity Price Data'!AJ112</f>
        <v>13870.35</v>
      </c>
      <c r="AE111" s="30">
        <f>'Equity Volume Data'!AH111*'Equity Price Data'!AK112</f>
        <v>9876</v>
      </c>
      <c r="AF111" s="30">
        <f>'Equity Volume Data'!AI111*'Equity Price Data'!AL112</f>
        <v>17908.8</v>
      </c>
      <c r="AG111" s="30">
        <f>'Equity Volume Data'!AJ111*'Equity Price Data'!AM112</f>
        <v>31740</v>
      </c>
      <c r="AH111" s="30">
        <f>'Equity Volume Data'!AK111*'Equity Price Data'!AN112</f>
        <v>41560</v>
      </c>
      <c r="AI111" s="30">
        <f>'Equity Volume Data'!AL111*'Equity Price Data'!AO112</f>
        <v>18847.5</v>
      </c>
      <c r="AJ111" s="30">
        <f>'Equity Volume Data'!AM111*'Equity Price Data'!AP112</f>
        <v>21425.3</v>
      </c>
      <c r="AK111" s="30">
        <f>'Equity Volume Data'!AN111*'Equity Price Data'!AQ112</f>
        <v>0</v>
      </c>
      <c r="AL111" s="30">
        <f>'Equity Volume Data'!AO111*'Equity Price Data'!AR112</f>
        <v>35907.2</v>
      </c>
      <c r="AM111" s="30">
        <f>'Equity Volume Data'!AP111*'Equity Price Data'!AS112</f>
        <v>42673.4</v>
      </c>
      <c r="AN111" s="30">
        <f>'Equity Volume Data'!AQ111*'Equity Price Data'!AT112</f>
        <v>9929.85</v>
      </c>
      <c r="AO111" s="30">
        <f>'Equity Volume Data'!AR111*'Equity Price Data'!AU112</f>
        <v>26098.24</v>
      </c>
      <c r="AP111" s="30">
        <f>'Equity Volume Data'!AS111*'Equity Price Data'!AV112</f>
        <v>22447.5</v>
      </c>
      <c r="AQ111" s="30">
        <f>'Equity Volume Data'!AT111*'Equity Price Data'!AW112</f>
        <v>18851.8</v>
      </c>
      <c r="AR111" s="30">
        <f>'Equity Volume Data'!AU111*'Equity Price Data'!AX112</f>
        <v>0</v>
      </c>
      <c r="AS111" s="30">
        <f>'Equity Volume Data'!AV111*'Equity Price Data'!AY112</f>
        <v>50006.4</v>
      </c>
      <c r="AT111" s="30">
        <f>'Equity Volume Data'!AW111*'Equity Price Data'!AZ112</f>
        <v>16756</v>
      </c>
      <c r="AU111" s="30">
        <f>'Equity Volume Data'!AX111*'Equity Price Data'!BA112</f>
        <v>0</v>
      </c>
      <c r="AV111" s="30">
        <f>'Equity Volume Data'!AY111*'Equity Price Data'!BB112</f>
        <v>19444.06</v>
      </c>
      <c r="AW111" s="30">
        <f>'Equity Volume Data'!AZ111*'Equity Price Data'!BC112</f>
        <v>4208.4</v>
      </c>
      <c r="AX111" s="30">
        <f>'Equity Volume Data'!BA111*'Equity Price Data'!BD112</f>
        <v>0</v>
      </c>
      <c r="AY111" s="30">
        <f>'Equity Volume Data'!BB111*'Equity Price Data'!BE112</f>
        <v>16884</v>
      </c>
      <c r="AZ111" s="30">
        <f>'Equity Volume Data'!BC111*'Equity Price Data'!BF112</f>
        <v>11973</v>
      </c>
      <c r="BA111" s="30">
        <f>'Equity Volume Data'!BD111*'Equity Price Data'!BG112</f>
        <v>5561.3</v>
      </c>
      <c r="BB111" s="30">
        <f>'Equity Volume Data'!BE111*'Equity Price Data'!BH112</f>
        <v>10060</v>
      </c>
      <c r="BC111" s="30">
        <f>'Equity Volume Data'!BF111*'Equity Price Data'!BI112</f>
        <v>0</v>
      </c>
      <c r="BD111" s="30">
        <f>'Equity Volume Data'!BG111*'Equity Price Data'!BJ112</f>
        <v>47275.35</v>
      </c>
      <c r="BE111" s="30">
        <f>'Equity Volume Data'!BH111*'Equity Price Data'!BK112</f>
        <v>13782.75</v>
      </c>
      <c r="BF111" s="30">
        <f>'Equity Volume Data'!BI111*'Equity Price Data'!BL112</f>
        <v>6848</v>
      </c>
      <c r="BG111" s="30">
        <f>'Equity Volume Data'!BJ111*'Equity Price Data'!BM112</f>
        <v>35347.7</v>
      </c>
      <c r="BH111" s="30">
        <f>'Equity Volume Data'!BK111*'Equity Price Data'!BN112</f>
        <v>1516.8</v>
      </c>
      <c r="BI111" s="30">
        <f>'Equity Volume Data'!BL111*'Equity Price Data'!BO112</f>
        <v>38675.2</v>
      </c>
      <c r="BJ111" s="30">
        <f>'Equity Volume Data'!BM111*'Equity Price Data'!BP112</f>
        <v>42452.25</v>
      </c>
      <c r="BK111" s="30">
        <f>'Equity Volume Data'!BN111*'Equity Price Data'!BQ112</f>
        <v>88117.8</v>
      </c>
      <c r="BL111" s="30">
        <f>'Equity Volume Data'!BO111*'Equity Price Data'!BR112</f>
        <v>550.37</v>
      </c>
      <c r="BM111" s="30">
        <f>'Equity Volume Data'!BP111*'Equity Price Data'!BS112</f>
        <v>10227.84</v>
      </c>
      <c r="BN111" s="30">
        <f>'Equity Volume Data'!BQ111*'Equity Price Data'!BT112</f>
        <v>18149.52</v>
      </c>
      <c r="BO111" s="30">
        <f>'Equity Volume Data'!BR111*'Equity Price Data'!BU112</f>
        <v>67197.24</v>
      </c>
    </row>
    <row r="112">
      <c r="A112" s="25">
        <f>'Equity Price Data'!A113</f>
        <v>45583.66667</v>
      </c>
      <c r="B112" s="29">
        <f t="shared" si="1"/>
        <v>1369520.9</v>
      </c>
      <c r="C112" s="30">
        <f>'Equity Volume Data'!F112*'Equity Price Data'!I113</f>
        <v>6433.7</v>
      </c>
      <c r="D112" s="30">
        <f>'Equity Volume Data'!G112*'Equity Price Data'!J113</f>
        <v>49137.4</v>
      </c>
      <c r="E112" s="30">
        <f>'Equity Volume Data'!H112*'Equity Price Data'!K113</f>
        <v>15615.6</v>
      </c>
      <c r="F112" s="30">
        <f>'Equity Volume Data'!I112*'Equity Price Data'!L113</f>
        <v>60160</v>
      </c>
      <c r="G112" s="30">
        <f>'Equity Volume Data'!J112*'Equity Price Data'!M113</f>
        <v>15467.88</v>
      </c>
      <c r="H112" s="30">
        <f>'Equity Volume Data'!K112*'Equity Price Data'!N113</f>
        <v>14413.96</v>
      </c>
      <c r="I112" s="30">
        <f>'Equity Volume Data'!L112*'Equity Price Data'!O113</f>
        <v>12840</v>
      </c>
      <c r="J112" s="30">
        <f>'Equity Volume Data'!M112*'Equity Price Data'!P113</f>
        <v>47409.6</v>
      </c>
      <c r="K112" s="30">
        <f>'Equity Volume Data'!N112*'Equity Price Data'!Q113</f>
        <v>11424</v>
      </c>
      <c r="L112" s="30">
        <f>'Equity Volume Data'!O112*'Equity Price Data'!R113</f>
        <v>23009.36</v>
      </c>
      <c r="M112" s="30">
        <f>'Equity Volume Data'!P112*'Equity Price Data'!S113</f>
        <v>0</v>
      </c>
      <c r="N112" s="30">
        <f>'Equity Volume Data'!Q112*'Equity Price Data'!T113</f>
        <v>6524</v>
      </c>
      <c r="O112" s="30">
        <f>'Equity Volume Data'!R112*'Equity Price Data'!U113</f>
        <v>59079</v>
      </c>
      <c r="P112" s="30">
        <f>'Equity Volume Data'!S112*'Equity Price Data'!V113</f>
        <v>24194.34</v>
      </c>
      <c r="Q112" s="30">
        <f>'Equity Volume Data'!T112*'Equity Price Data'!W113</f>
        <v>24747.6</v>
      </c>
      <c r="R112" s="30">
        <f>'Equity Volume Data'!U112*'Equity Price Data'!X113</f>
        <v>12060</v>
      </c>
      <c r="S112" s="30">
        <f>'Equity Volume Data'!V112*'Equity Price Data'!Y113</f>
        <v>29568</v>
      </c>
      <c r="T112" s="30">
        <f>'Equity Volume Data'!W112*'Equity Price Data'!Z113</f>
        <v>10617.5</v>
      </c>
      <c r="U112" s="30">
        <f>'Equity Volume Data'!X112*'Equity Price Data'!AA113</f>
        <v>18596.16</v>
      </c>
      <c r="V112" s="30">
        <f>'Equity Volume Data'!Y112*'Equity Price Data'!AB113</f>
        <v>17188.36</v>
      </c>
      <c r="W112" s="30">
        <f>'Equity Volume Data'!Z112*'Equity Price Data'!AC113</f>
        <v>11411.22</v>
      </c>
      <c r="X112" s="30">
        <f>'Equity Volume Data'!AA112*'Equity Price Data'!AD113</f>
        <v>17050</v>
      </c>
      <c r="Y112" s="30">
        <f>'Equity Volume Data'!AB112*'Equity Price Data'!AE113</f>
        <v>5575.05</v>
      </c>
      <c r="Z112" s="30">
        <f>'Equity Volume Data'!AC112*'Equity Price Data'!AF113</f>
        <v>9742.5</v>
      </c>
      <c r="AA112" s="30">
        <f>'Equity Volume Data'!AD112*'Equity Price Data'!AG113</f>
        <v>20401.7</v>
      </c>
      <c r="AB112" s="30">
        <f>'Equity Volume Data'!AE112*'Equity Price Data'!AH113</f>
        <v>8232</v>
      </c>
      <c r="AC112" s="30">
        <f>'Equity Volume Data'!AF112*'Equity Price Data'!AI113</f>
        <v>19294</v>
      </c>
      <c r="AD112" s="30">
        <f>'Equity Volume Data'!AG112*'Equity Price Data'!AJ113</f>
        <v>13881.6</v>
      </c>
      <c r="AE112" s="30">
        <f>'Equity Volume Data'!AH112*'Equity Price Data'!AK113</f>
        <v>9836</v>
      </c>
      <c r="AF112" s="30">
        <f>'Equity Volume Data'!AI112*'Equity Price Data'!AL113</f>
        <v>17777.6</v>
      </c>
      <c r="AG112" s="30">
        <f>'Equity Volume Data'!AJ112*'Equity Price Data'!AM113</f>
        <v>31710</v>
      </c>
      <c r="AH112" s="30">
        <f>'Equity Volume Data'!AK112*'Equity Price Data'!AN113</f>
        <v>41500</v>
      </c>
      <c r="AI112" s="30">
        <f>'Equity Volume Data'!AL112*'Equity Price Data'!AO113</f>
        <v>18905.25</v>
      </c>
      <c r="AJ112" s="30">
        <f>'Equity Volume Data'!AM112*'Equity Price Data'!AP113</f>
        <v>21687.9</v>
      </c>
      <c r="AK112" s="30">
        <f>'Equity Volume Data'!AN112*'Equity Price Data'!AQ113</f>
        <v>0</v>
      </c>
      <c r="AL112" s="30">
        <f>'Equity Volume Data'!AO112*'Equity Price Data'!AR113</f>
        <v>36059.2</v>
      </c>
      <c r="AM112" s="30">
        <f>'Equity Volume Data'!AP112*'Equity Price Data'!AS113</f>
        <v>42826.7</v>
      </c>
      <c r="AN112" s="30">
        <f>'Equity Volume Data'!AQ112*'Equity Price Data'!AT113</f>
        <v>10207.05</v>
      </c>
      <c r="AO112" s="30">
        <f>'Equity Volume Data'!AR112*'Equity Price Data'!AU113</f>
        <v>26038.46</v>
      </c>
      <c r="AP112" s="30">
        <f>'Equity Volume Data'!AS112*'Equity Price Data'!AV113</f>
        <v>23060</v>
      </c>
      <c r="AQ112" s="30">
        <f>'Equity Volume Data'!AT112*'Equity Price Data'!AW113</f>
        <v>18770.4</v>
      </c>
      <c r="AR112" s="30">
        <f>'Equity Volume Data'!AU112*'Equity Price Data'!AX113</f>
        <v>0</v>
      </c>
      <c r="AS112" s="30">
        <f>'Equity Volume Data'!AV112*'Equity Price Data'!AY113</f>
        <v>50179.2</v>
      </c>
      <c r="AT112" s="30">
        <f>'Equity Volume Data'!AW112*'Equity Price Data'!AZ113</f>
        <v>16876</v>
      </c>
      <c r="AU112" s="30">
        <f>'Equity Volume Data'!AX112*'Equity Price Data'!BA113</f>
        <v>0</v>
      </c>
      <c r="AV112" s="30">
        <f>'Equity Volume Data'!AY112*'Equity Price Data'!BB113</f>
        <v>19596</v>
      </c>
      <c r="AW112" s="30">
        <f>'Equity Volume Data'!AZ112*'Equity Price Data'!BC113</f>
        <v>4240.4</v>
      </c>
      <c r="AX112" s="30">
        <f>'Equity Volume Data'!BA112*'Equity Price Data'!BD113</f>
        <v>0</v>
      </c>
      <c r="AY112" s="30">
        <f>'Equity Volume Data'!BB112*'Equity Price Data'!BE113</f>
        <v>17273.94</v>
      </c>
      <c r="AZ112" s="30">
        <f>'Equity Volume Data'!BC112*'Equity Price Data'!BF113</f>
        <v>12141</v>
      </c>
      <c r="BA112" s="30">
        <f>'Equity Volume Data'!BD112*'Equity Price Data'!BG113</f>
        <v>5551.8</v>
      </c>
      <c r="BB112" s="30">
        <f>'Equity Volume Data'!BE112*'Equity Price Data'!BH113</f>
        <v>10073.6</v>
      </c>
      <c r="BC112" s="30">
        <f>'Equity Volume Data'!BF112*'Equity Price Data'!BI113</f>
        <v>0</v>
      </c>
      <c r="BD112" s="30">
        <f>'Equity Volume Data'!BG112*'Equity Price Data'!BJ113</f>
        <v>47543.73</v>
      </c>
      <c r="BE112" s="30">
        <f>'Equity Volume Data'!BH112*'Equity Price Data'!BK113</f>
        <v>13839.33</v>
      </c>
      <c r="BF112" s="30">
        <f>'Equity Volume Data'!BI112*'Equity Price Data'!BL113</f>
        <v>6861.2</v>
      </c>
      <c r="BG112" s="30">
        <f>'Equity Volume Data'!BJ112*'Equity Price Data'!BM113</f>
        <v>35194.8</v>
      </c>
      <c r="BH112" s="30">
        <f>'Equity Volume Data'!BK112*'Equity Price Data'!BN113</f>
        <v>1497.6</v>
      </c>
      <c r="BI112" s="30">
        <f>'Equity Volume Data'!BL112*'Equity Price Data'!BO113</f>
        <v>39056</v>
      </c>
      <c r="BJ112" s="30">
        <f>'Equity Volume Data'!BM112*'Equity Price Data'!BP113</f>
        <v>42720.75</v>
      </c>
      <c r="BK112" s="30">
        <f>'Equity Volume Data'!BN112*'Equity Price Data'!BQ113</f>
        <v>88171.86</v>
      </c>
      <c r="BL112" s="30">
        <f>'Equity Volume Data'!BO112*'Equity Price Data'!BR113</f>
        <v>552.72</v>
      </c>
      <c r="BM112" s="30">
        <f>'Equity Volume Data'!BP112*'Equity Price Data'!BS113</f>
        <v>10212</v>
      </c>
      <c r="BN112" s="30">
        <f>'Equity Volume Data'!BQ112*'Equity Price Data'!BT113</f>
        <v>18288.64</v>
      </c>
      <c r="BO112" s="30">
        <f>'Equity Volume Data'!BR112*'Equity Price Data'!BU113</f>
        <v>67197.24</v>
      </c>
    </row>
    <row r="113">
      <c r="A113" s="25">
        <f>'Equity Price Data'!A114</f>
        <v>45586.66667</v>
      </c>
      <c r="B113" s="29">
        <f t="shared" si="1"/>
        <v>1361488.2</v>
      </c>
      <c r="C113" s="30">
        <f>'Equity Volume Data'!F113*'Equity Price Data'!I114</f>
        <v>6470.23</v>
      </c>
      <c r="D113" s="30">
        <f>'Equity Volume Data'!G113*'Equity Price Data'!J114</f>
        <v>49158.2</v>
      </c>
      <c r="E113" s="30">
        <f>'Equity Volume Data'!H113*'Equity Price Data'!K114</f>
        <v>15515.5</v>
      </c>
      <c r="F113" s="30">
        <f>'Equity Volume Data'!I113*'Equity Price Data'!L114</f>
        <v>60538.88</v>
      </c>
      <c r="G113" s="30">
        <f>'Equity Volume Data'!J113*'Equity Price Data'!M114</f>
        <v>15310.18</v>
      </c>
      <c r="H113" s="30">
        <f>'Equity Volume Data'!K113*'Equity Price Data'!N114</f>
        <v>14265.44</v>
      </c>
      <c r="I113" s="30">
        <f>'Equity Volume Data'!L113*'Equity Price Data'!O114</f>
        <v>12610</v>
      </c>
      <c r="J113" s="30">
        <f>'Equity Volume Data'!M113*'Equity Price Data'!P114</f>
        <v>47344.32</v>
      </c>
      <c r="K113" s="30">
        <f>'Equity Volume Data'!N113*'Equity Price Data'!Q114</f>
        <v>11264</v>
      </c>
      <c r="L113" s="30">
        <f>'Equity Volume Data'!O113*'Equity Price Data'!R114</f>
        <v>22342.65</v>
      </c>
      <c r="M113" s="30">
        <f>'Equity Volume Data'!P113*'Equity Price Data'!S114</f>
        <v>0</v>
      </c>
      <c r="N113" s="30">
        <f>'Equity Volume Data'!Q113*'Equity Price Data'!T114</f>
        <v>6510.4</v>
      </c>
      <c r="O113" s="30">
        <f>'Equity Volume Data'!R113*'Equity Price Data'!U114</f>
        <v>58572</v>
      </c>
      <c r="P113" s="30">
        <f>'Equity Volume Data'!S113*'Equity Price Data'!V114</f>
        <v>24152.64</v>
      </c>
      <c r="Q113" s="30">
        <f>'Equity Volume Data'!T113*'Equity Price Data'!W114</f>
        <v>24633.6</v>
      </c>
      <c r="R113" s="30">
        <f>'Equity Volume Data'!U113*'Equity Price Data'!X114</f>
        <v>12070.4</v>
      </c>
      <c r="S113" s="30">
        <f>'Equity Volume Data'!V113*'Equity Price Data'!Y114</f>
        <v>28180.24</v>
      </c>
      <c r="T113" s="30">
        <f>'Equity Volume Data'!W113*'Equity Price Data'!Z114</f>
        <v>10265</v>
      </c>
      <c r="U113" s="30">
        <f>'Equity Volume Data'!X113*'Equity Price Data'!AA114</f>
        <v>18334.8</v>
      </c>
      <c r="V113" s="30">
        <f>'Equity Volume Data'!Y113*'Equity Price Data'!AB114</f>
        <v>17107.86</v>
      </c>
      <c r="W113" s="30">
        <f>'Equity Volume Data'!Z113*'Equity Price Data'!AC114</f>
        <v>11398.8</v>
      </c>
      <c r="X113" s="30">
        <f>'Equity Volume Data'!AA113*'Equity Price Data'!AD114</f>
        <v>16827.5</v>
      </c>
      <c r="Y113" s="30">
        <f>'Equity Volume Data'!AB113*'Equity Price Data'!AE114</f>
        <v>5606.77</v>
      </c>
      <c r="Z113" s="30">
        <f>'Equity Volume Data'!AC113*'Equity Price Data'!AF114</f>
        <v>9624</v>
      </c>
      <c r="AA113" s="30">
        <f>'Equity Volume Data'!AD113*'Equity Price Data'!AG114</f>
        <v>20413.6</v>
      </c>
      <c r="AB113" s="30">
        <f>'Equity Volume Data'!AE113*'Equity Price Data'!AH114</f>
        <v>8064.3</v>
      </c>
      <c r="AC113" s="30">
        <f>'Equity Volume Data'!AF113*'Equity Price Data'!AI114</f>
        <v>19207.2</v>
      </c>
      <c r="AD113" s="30">
        <f>'Equity Volume Data'!AG113*'Equity Price Data'!AJ114</f>
        <v>13863.6</v>
      </c>
      <c r="AE113" s="30">
        <f>'Equity Volume Data'!AH113*'Equity Price Data'!AK114</f>
        <v>9786</v>
      </c>
      <c r="AF113" s="30">
        <f>'Equity Volume Data'!AI113*'Equity Price Data'!AL114</f>
        <v>17689.45</v>
      </c>
      <c r="AG113" s="30">
        <f>'Equity Volume Data'!AJ113*'Equity Price Data'!AM114</f>
        <v>31068</v>
      </c>
      <c r="AH113" s="30">
        <f>'Equity Volume Data'!AK113*'Equity Price Data'!AN114</f>
        <v>40640</v>
      </c>
      <c r="AI113" s="30">
        <f>'Equity Volume Data'!AL113*'Equity Price Data'!AO114</f>
        <v>18928</v>
      </c>
      <c r="AJ113" s="30">
        <f>'Equity Volume Data'!AM113*'Equity Price Data'!AP114</f>
        <v>21624.2</v>
      </c>
      <c r="AK113" s="30">
        <f>'Equity Volume Data'!AN113*'Equity Price Data'!AQ114</f>
        <v>0</v>
      </c>
      <c r="AL113" s="30">
        <f>'Equity Volume Data'!AO113*'Equity Price Data'!AR114</f>
        <v>35680</v>
      </c>
      <c r="AM113" s="30">
        <f>'Equity Volume Data'!AP113*'Equity Price Data'!AS114</f>
        <v>43022.7</v>
      </c>
      <c r="AN113" s="30">
        <f>'Equity Volume Data'!AQ113*'Equity Price Data'!AT114</f>
        <v>10420.9</v>
      </c>
      <c r="AO113" s="30">
        <f>'Equity Volume Data'!AR113*'Equity Price Data'!AU114</f>
        <v>25654.16</v>
      </c>
      <c r="AP113" s="30">
        <f>'Equity Volume Data'!AS113*'Equity Price Data'!AV114</f>
        <v>22757.5</v>
      </c>
      <c r="AQ113" s="30">
        <f>'Equity Volume Data'!AT113*'Equity Price Data'!AW114</f>
        <v>18664.8</v>
      </c>
      <c r="AR113" s="30">
        <f>'Equity Volume Data'!AU113*'Equity Price Data'!AX114</f>
        <v>0</v>
      </c>
      <c r="AS113" s="30">
        <f>'Equity Volume Data'!AV113*'Equity Price Data'!AY114</f>
        <v>50253.6</v>
      </c>
      <c r="AT113" s="30">
        <f>'Equity Volume Data'!AW113*'Equity Price Data'!AZ114</f>
        <v>16806</v>
      </c>
      <c r="AU113" s="30">
        <f>'Equity Volume Data'!AX113*'Equity Price Data'!BA114</f>
        <v>0</v>
      </c>
      <c r="AV113" s="30">
        <f>'Equity Volume Data'!AY113*'Equity Price Data'!BB114</f>
        <v>20406.82</v>
      </c>
      <c r="AW113" s="30">
        <f>'Equity Volume Data'!AZ113*'Equity Price Data'!BC114</f>
        <v>4220.8</v>
      </c>
      <c r="AX113" s="30">
        <f>'Equity Volume Data'!BA113*'Equity Price Data'!BD114</f>
        <v>0</v>
      </c>
      <c r="AY113" s="30">
        <f>'Equity Volume Data'!BB113*'Equity Price Data'!BE114</f>
        <v>17165.4</v>
      </c>
      <c r="AZ113" s="30">
        <f>'Equity Volume Data'!BC113*'Equity Price Data'!BF114</f>
        <v>12084</v>
      </c>
      <c r="BA113" s="30">
        <f>'Equity Volume Data'!BD113*'Equity Price Data'!BG114</f>
        <v>5496.7</v>
      </c>
      <c r="BB113" s="30">
        <f>'Equity Volume Data'!BE113*'Equity Price Data'!BH114</f>
        <v>10072</v>
      </c>
      <c r="BC113" s="30">
        <f>'Equity Volume Data'!BF113*'Equity Price Data'!BI114</f>
        <v>0</v>
      </c>
      <c r="BD113" s="30">
        <f>'Equity Volume Data'!BG113*'Equity Price Data'!BJ114</f>
        <v>47450.01</v>
      </c>
      <c r="BE113" s="30">
        <f>'Equity Volume Data'!BH113*'Equity Price Data'!BK114</f>
        <v>13693.51</v>
      </c>
      <c r="BF113" s="30">
        <f>'Equity Volume Data'!BI113*'Equity Price Data'!BL114</f>
        <v>6766.8</v>
      </c>
      <c r="BG113" s="30">
        <f>'Equity Volume Data'!BJ113*'Equity Price Data'!BM114</f>
        <v>34605.44</v>
      </c>
      <c r="BH113" s="30">
        <f>'Equity Volume Data'!BK113*'Equity Price Data'!BN114</f>
        <v>1462.4</v>
      </c>
      <c r="BI113" s="30">
        <f>'Equity Volume Data'!BL113*'Equity Price Data'!BO114</f>
        <v>38456</v>
      </c>
      <c r="BJ113" s="30">
        <f>'Equity Volume Data'!BM113*'Equity Price Data'!BP114</f>
        <v>42860.25</v>
      </c>
      <c r="BK113" s="30">
        <f>'Equity Volume Data'!BN113*'Equity Price Data'!BQ114</f>
        <v>88027.7</v>
      </c>
      <c r="BL113" s="30">
        <f>'Equity Volume Data'!BO113*'Equity Price Data'!BR114</f>
        <v>543.79</v>
      </c>
      <c r="BM113" s="30">
        <f>'Equity Volume Data'!BP113*'Equity Price Data'!BS114</f>
        <v>10167.36</v>
      </c>
      <c r="BN113" s="30">
        <f>'Equity Volume Data'!BQ113*'Equity Price Data'!BT114</f>
        <v>18164.56</v>
      </c>
      <c r="BO113" s="30">
        <f>'Equity Volume Data'!BR113*'Equity Price Data'!BU114</f>
        <v>67197.24</v>
      </c>
    </row>
    <row r="114">
      <c r="A114" s="25">
        <f>'Equity Price Data'!A115</f>
        <v>45587.66667</v>
      </c>
      <c r="B114" s="29">
        <f t="shared" si="1"/>
        <v>1358318.06</v>
      </c>
      <c r="C114" s="30">
        <f>'Equity Volume Data'!F114*'Equity Price Data'!I115</f>
        <v>6410.43</v>
      </c>
      <c r="D114" s="30">
        <f>'Equity Volume Data'!G114*'Equity Price Data'!J115</f>
        <v>49322</v>
      </c>
      <c r="E114" s="30">
        <f>'Equity Volume Data'!H114*'Equity Price Data'!K115</f>
        <v>15482.5</v>
      </c>
      <c r="F114" s="30">
        <f>'Equity Volume Data'!I114*'Equity Price Data'!L115</f>
        <v>60380.16</v>
      </c>
      <c r="G114" s="30">
        <f>'Equity Volume Data'!J114*'Equity Price Data'!M115</f>
        <v>15189</v>
      </c>
      <c r="H114" s="30">
        <f>'Equity Volume Data'!K114*'Equity Price Data'!N115</f>
        <v>14271.08</v>
      </c>
      <c r="I114" s="30">
        <f>'Equity Volume Data'!L114*'Equity Price Data'!O115</f>
        <v>12750</v>
      </c>
      <c r="J114" s="30">
        <f>'Equity Volume Data'!M114*'Equity Price Data'!P115</f>
        <v>47067.9</v>
      </c>
      <c r="K114" s="30">
        <f>'Equity Volume Data'!N114*'Equity Price Data'!Q115</f>
        <v>11328</v>
      </c>
      <c r="L114" s="30">
        <f>'Equity Volume Data'!O114*'Equity Price Data'!R115</f>
        <v>22493.9</v>
      </c>
      <c r="M114" s="30">
        <f>'Equity Volume Data'!P114*'Equity Price Data'!S115</f>
        <v>0</v>
      </c>
      <c r="N114" s="30">
        <f>'Equity Volume Data'!Q114*'Equity Price Data'!T115</f>
        <v>6412</v>
      </c>
      <c r="O114" s="30">
        <f>'Equity Volume Data'!R114*'Equity Price Data'!U115</f>
        <v>58269</v>
      </c>
      <c r="P114" s="30">
        <f>'Equity Volume Data'!S114*'Equity Price Data'!V115</f>
        <v>23635.56</v>
      </c>
      <c r="Q114" s="30">
        <f>'Equity Volume Data'!T114*'Equity Price Data'!W115</f>
        <v>24878.4</v>
      </c>
      <c r="R114" s="30">
        <f>'Equity Volume Data'!U114*'Equity Price Data'!X115</f>
        <v>12073.6</v>
      </c>
      <c r="S114" s="30">
        <f>'Equity Volume Data'!V114*'Equity Price Data'!Y115</f>
        <v>27936.48</v>
      </c>
      <c r="T114" s="30">
        <f>'Equity Volume Data'!W114*'Equity Price Data'!Z115</f>
        <v>10402.5</v>
      </c>
      <c r="U114" s="30">
        <f>'Equity Volume Data'!X114*'Equity Price Data'!AA115</f>
        <v>18334.8</v>
      </c>
      <c r="V114" s="30">
        <f>'Equity Volume Data'!Y114*'Equity Price Data'!AB115</f>
        <v>17017.7</v>
      </c>
      <c r="W114" s="30">
        <f>'Equity Volume Data'!Z114*'Equity Price Data'!AC115</f>
        <v>11402.25</v>
      </c>
      <c r="X114" s="30">
        <f>'Equity Volume Data'!AA114*'Equity Price Data'!AD115</f>
        <v>16735</v>
      </c>
      <c r="Y114" s="30">
        <f>'Equity Volume Data'!AB114*'Equity Price Data'!AE115</f>
        <v>5548.14</v>
      </c>
      <c r="Z114" s="30">
        <f>'Equity Volume Data'!AC114*'Equity Price Data'!AF115</f>
        <v>9498</v>
      </c>
      <c r="AA114" s="30">
        <f>'Equity Volume Data'!AD114*'Equity Price Data'!AG115</f>
        <v>20519</v>
      </c>
      <c r="AB114" s="30">
        <f>'Equity Volume Data'!AE114*'Equity Price Data'!AH115</f>
        <v>8093.7</v>
      </c>
      <c r="AC114" s="30">
        <f>'Equity Volume Data'!AF114*'Equity Price Data'!AI115</f>
        <v>19140.4</v>
      </c>
      <c r="AD114" s="30">
        <f>'Equity Volume Data'!AG114*'Equity Price Data'!AJ115</f>
        <v>13769.55</v>
      </c>
      <c r="AE114" s="30">
        <f>'Equity Volume Data'!AH114*'Equity Price Data'!AK115</f>
        <v>10746</v>
      </c>
      <c r="AF114" s="30">
        <f>'Equity Volume Data'!AI114*'Equity Price Data'!AL115</f>
        <v>18072.8</v>
      </c>
      <c r="AG114" s="30">
        <f>'Equity Volume Data'!AJ114*'Equity Price Data'!AM115</f>
        <v>31098</v>
      </c>
      <c r="AH114" s="30">
        <f>'Equity Volume Data'!AK114*'Equity Price Data'!AN115</f>
        <v>40185</v>
      </c>
      <c r="AI114" s="30">
        <f>'Equity Volume Data'!AL114*'Equity Price Data'!AO115</f>
        <v>18947.25</v>
      </c>
      <c r="AJ114" s="30">
        <f>'Equity Volume Data'!AM114*'Equity Price Data'!AP115</f>
        <v>21572.2</v>
      </c>
      <c r="AK114" s="30">
        <f>'Equity Volume Data'!AN114*'Equity Price Data'!AQ115</f>
        <v>0</v>
      </c>
      <c r="AL114" s="30">
        <f>'Equity Volume Data'!AO114*'Equity Price Data'!AR115</f>
        <v>35859.2</v>
      </c>
      <c r="AM114" s="30">
        <f>'Equity Volume Data'!AP114*'Equity Price Data'!AS115</f>
        <v>40388.6</v>
      </c>
      <c r="AN114" s="30">
        <f>'Equity Volume Data'!AQ114*'Equity Price Data'!AT115</f>
        <v>10460.8</v>
      </c>
      <c r="AO114" s="30">
        <f>'Equity Volume Data'!AR114*'Equity Price Data'!AU115</f>
        <v>25688.32</v>
      </c>
      <c r="AP114" s="30">
        <f>'Equity Volume Data'!AS114*'Equity Price Data'!AV115</f>
        <v>22780</v>
      </c>
      <c r="AQ114" s="30">
        <f>'Equity Volume Data'!AT114*'Equity Price Data'!AW115</f>
        <v>18645</v>
      </c>
      <c r="AR114" s="30">
        <f>'Equity Volume Data'!AU114*'Equity Price Data'!AX115</f>
        <v>0</v>
      </c>
      <c r="AS114" s="30">
        <f>'Equity Volume Data'!AV114*'Equity Price Data'!AY115</f>
        <v>51301.2</v>
      </c>
      <c r="AT114" s="30">
        <f>'Equity Volume Data'!AW114*'Equity Price Data'!AZ115</f>
        <v>16740</v>
      </c>
      <c r="AU114" s="30">
        <f>'Equity Volume Data'!AX114*'Equity Price Data'!BA115</f>
        <v>0</v>
      </c>
      <c r="AV114" s="30">
        <f>'Equity Volume Data'!AY114*'Equity Price Data'!BB115</f>
        <v>20389.78</v>
      </c>
      <c r="AW114" s="30">
        <f>'Equity Volume Data'!AZ114*'Equity Price Data'!BC115</f>
        <v>4118.4</v>
      </c>
      <c r="AX114" s="30">
        <f>'Equity Volume Data'!BA114*'Equity Price Data'!BD115</f>
        <v>0</v>
      </c>
      <c r="AY114" s="30">
        <f>'Equity Volume Data'!BB114*'Equity Price Data'!BE115</f>
        <v>17261.88</v>
      </c>
      <c r="AZ114" s="30">
        <f>'Equity Volume Data'!BC114*'Equity Price Data'!BF115</f>
        <v>12136.5</v>
      </c>
      <c r="BA114" s="30">
        <f>'Equity Volume Data'!BD114*'Equity Price Data'!BG115</f>
        <v>5479.6</v>
      </c>
      <c r="BB114" s="30">
        <f>'Equity Volume Data'!BE114*'Equity Price Data'!BH115</f>
        <v>10042.4</v>
      </c>
      <c r="BC114" s="30">
        <f>'Equity Volume Data'!BF114*'Equity Price Data'!BI115</f>
        <v>0</v>
      </c>
      <c r="BD114" s="30">
        <f>'Equity Volume Data'!BG114*'Equity Price Data'!BJ115</f>
        <v>46649.13</v>
      </c>
      <c r="BE114" s="30">
        <f>'Equity Volume Data'!BH114*'Equity Price Data'!BK115</f>
        <v>13486.74</v>
      </c>
      <c r="BF114" s="30">
        <f>'Equity Volume Data'!BI114*'Equity Price Data'!BL115</f>
        <v>6797.2</v>
      </c>
      <c r="BG114" s="30">
        <f>'Equity Volume Data'!BJ114*'Equity Price Data'!BM115</f>
        <v>34177.32</v>
      </c>
      <c r="BH114" s="30">
        <f>'Equity Volume Data'!BK114*'Equity Price Data'!BN115</f>
        <v>1435.2</v>
      </c>
      <c r="BI114" s="30">
        <f>'Equity Volume Data'!BL114*'Equity Price Data'!BO115</f>
        <v>38632</v>
      </c>
      <c r="BJ114" s="30">
        <f>'Equity Volume Data'!BM114*'Equity Price Data'!BP115</f>
        <v>42739.5</v>
      </c>
      <c r="BK114" s="30">
        <f>'Equity Volume Data'!BN114*'Equity Price Data'!BQ115</f>
        <v>88063.74</v>
      </c>
      <c r="BL114" s="30">
        <f>'Equity Volume Data'!BO114*'Equity Price Data'!BR115</f>
        <v>548.49</v>
      </c>
      <c r="BM114" s="30">
        <f>'Equity Volume Data'!BP114*'Equity Price Data'!BS115</f>
        <v>10130.4</v>
      </c>
      <c r="BN114" s="30">
        <f>'Equity Volume Data'!BQ114*'Equity Price Data'!BT115</f>
        <v>18187.12</v>
      </c>
      <c r="BO114" s="30">
        <f>'Equity Volume Data'!BR114*'Equity Price Data'!BU115</f>
        <v>67197.24</v>
      </c>
    </row>
    <row r="115">
      <c r="A115" s="25">
        <f>'Equity Price Data'!A116</f>
        <v>45588.66667</v>
      </c>
      <c r="B115" s="29">
        <f t="shared" si="1"/>
        <v>1348791.79</v>
      </c>
      <c r="C115" s="30">
        <f>'Equity Volume Data'!F115*'Equity Price Data'!I116</f>
        <v>6305.39</v>
      </c>
      <c r="D115" s="30">
        <f>'Equity Volume Data'!G115*'Equity Price Data'!J116</f>
        <v>48024.6</v>
      </c>
      <c r="E115" s="30">
        <f>'Equity Volume Data'!H115*'Equity Price Data'!K116</f>
        <v>15633.2</v>
      </c>
      <c r="F115" s="30">
        <f>'Equity Volume Data'!I115*'Equity Price Data'!L116</f>
        <v>59074.56</v>
      </c>
      <c r="G115" s="30">
        <f>'Equity Volume Data'!J115*'Equity Price Data'!M116</f>
        <v>15164.1</v>
      </c>
      <c r="H115" s="30">
        <f>'Equity Volume Data'!K115*'Equity Price Data'!N116</f>
        <v>14357.56</v>
      </c>
      <c r="I115" s="30">
        <f>'Equity Volume Data'!L115*'Equity Price Data'!O116</f>
        <v>12470</v>
      </c>
      <c r="J115" s="30">
        <f>'Equity Volume Data'!M115*'Equity Price Data'!P116</f>
        <v>46982.22</v>
      </c>
      <c r="K115" s="30">
        <f>'Equity Volume Data'!N115*'Equity Price Data'!Q116</f>
        <v>11146</v>
      </c>
      <c r="L115" s="30">
        <f>'Equity Volume Data'!O115*'Equity Price Data'!R116</f>
        <v>22140.58</v>
      </c>
      <c r="M115" s="30">
        <f>'Equity Volume Data'!P115*'Equity Price Data'!S116</f>
        <v>0</v>
      </c>
      <c r="N115" s="30">
        <f>'Equity Volume Data'!Q115*'Equity Price Data'!T116</f>
        <v>6396</v>
      </c>
      <c r="O115" s="30">
        <f>'Equity Volume Data'!R115*'Equity Price Data'!U116</f>
        <v>57859.5</v>
      </c>
      <c r="P115" s="30">
        <f>'Equity Volume Data'!S115*'Equity Price Data'!V116</f>
        <v>22551.36</v>
      </c>
      <c r="Q115" s="30">
        <f>'Equity Volume Data'!T115*'Equity Price Data'!W116</f>
        <v>24645.6</v>
      </c>
      <c r="R115" s="30">
        <f>'Equity Volume Data'!U115*'Equity Price Data'!X116</f>
        <v>12038.4</v>
      </c>
      <c r="S115" s="30">
        <f>'Equity Volume Data'!V115*'Equity Price Data'!Y116</f>
        <v>27946.16</v>
      </c>
      <c r="T115" s="30">
        <f>'Equity Volume Data'!W115*'Equity Price Data'!Z116</f>
        <v>10360</v>
      </c>
      <c r="U115" s="30">
        <f>'Equity Volume Data'!X115*'Equity Price Data'!AA116</f>
        <v>17954.64</v>
      </c>
      <c r="V115" s="30">
        <f>'Equity Volume Data'!Y115*'Equity Price Data'!AB116</f>
        <v>17291.4</v>
      </c>
      <c r="W115" s="30">
        <f>'Equity Volume Data'!Z115*'Equity Price Data'!AC116</f>
        <v>11440.2</v>
      </c>
      <c r="X115" s="30">
        <f>'Equity Volume Data'!AA115*'Equity Price Data'!AD116</f>
        <v>16532.5</v>
      </c>
      <c r="Y115" s="30">
        <f>'Equity Volume Data'!AB115*'Equity Price Data'!AE116</f>
        <v>5495.1</v>
      </c>
      <c r="Z115" s="30">
        <f>'Equity Volume Data'!AC115*'Equity Price Data'!AF116</f>
        <v>9550.5</v>
      </c>
      <c r="AA115" s="30">
        <f>'Equity Volume Data'!AD115*'Equity Price Data'!AG116</f>
        <v>20445.9</v>
      </c>
      <c r="AB115" s="30">
        <f>'Equity Volume Data'!AE115*'Equity Price Data'!AH116</f>
        <v>8041.5</v>
      </c>
      <c r="AC115" s="30">
        <f>'Equity Volume Data'!AF115*'Equity Price Data'!AI116</f>
        <v>19297.6</v>
      </c>
      <c r="AD115" s="30">
        <f>'Equity Volume Data'!AG115*'Equity Price Data'!AJ116</f>
        <v>13698</v>
      </c>
      <c r="AE115" s="30">
        <f>'Equity Volume Data'!AH115*'Equity Price Data'!AK116</f>
        <v>10584</v>
      </c>
      <c r="AF115" s="30">
        <f>'Equity Volume Data'!AI115*'Equity Price Data'!AL116</f>
        <v>17882.15</v>
      </c>
      <c r="AG115" s="30">
        <f>'Equity Volume Data'!AJ115*'Equity Price Data'!AM116</f>
        <v>31032</v>
      </c>
      <c r="AH115" s="30">
        <f>'Equity Volume Data'!AK115*'Equity Price Data'!AN116</f>
        <v>39964</v>
      </c>
      <c r="AI115" s="30">
        <f>'Equity Volume Data'!AL115*'Equity Price Data'!AO116</f>
        <v>18644.5</v>
      </c>
      <c r="AJ115" s="30">
        <f>'Equity Volume Data'!AM115*'Equity Price Data'!AP116</f>
        <v>21450</v>
      </c>
      <c r="AK115" s="30">
        <f>'Equity Volume Data'!AN115*'Equity Price Data'!AQ116</f>
        <v>0</v>
      </c>
      <c r="AL115" s="30">
        <f>'Equity Volume Data'!AO115*'Equity Price Data'!AR116</f>
        <v>35745.6</v>
      </c>
      <c r="AM115" s="30">
        <f>'Equity Volume Data'!AP115*'Equity Price Data'!AS116</f>
        <v>39977</v>
      </c>
      <c r="AN115" s="30">
        <f>'Equity Volume Data'!AQ115*'Equity Price Data'!AT116</f>
        <v>10259.9</v>
      </c>
      <c r="AO115" s="30">
        <f>'Equity Volume Data'!AR115*'Equity Price Data'!AU116</f>
        <v>25637.08</v>
      </c>
      <c r="AP115" s="30">
        <f>'Equity Volume Data'!AS115*'Equity Price Data'!AV116</f>
        <v>23067.5</v>
      </c>
      <c r="AQ115" s="30">
        <f>'Equity Volume Data'!AT115*'Equity Price Data'!AW116</f>
        <v>18508.6</v>
      </c>
      <c r="AR115" s="30">
        <f>'Equity Volume Data'!AU115*'Equity Price Data'!AX116</f>
        <v>0</v>
      </c>
      <c r="AS115" s="30">
        <f>'Equity Volume Data'!AV115*'Equity Price Data'!AY116</f>
        <v>50952</v>
      </c>
      <c r="AT115" s="30">
        <f>'Equity Volume Data'!AW115*'Equity Price Data'!AZ116</f>
        <v>16992</v>
      </c>
      <c r="AU115" s="30">
        <f>'Equity Volume Data'!AX115*'Equity Price Data'!BA116</f>
        <v>0</v>
      </c>
      <c r="AV115" s="30">
        <f>'Equity Volume Data'!AY115*'Equity Price Data'!BB116</f>
        <v>19817.52</v>
      </c>
      <c r="AW115" s="30">
        <f>'Equity Volume Data'!AZ115*'Equity Price Data'!BC116</f>
        <v>4114.4</v>
      </c>
      <c r="AX115" s="30">
        <f>'Equity Volume Data'!BA115*'Equity Price Data'!BD116</f>
        <v>0</v>
      </c>
      <c r="AY115" s="30">
        <f>'Equity Volume Data'!BB115*'Equity Price Data'!BE116</f>
        <v>17121.18</v>
      </c>
      <c r="AZ115" s="30">
        <f>'Equity Volume Data'!BC115*'Equity Price Data'!BF116</f>
        <v>12124.5</v>
      </c>
      <c r="BA115" s="30">
        <f>'Equity Volume Data'!BD115*'Equity Price Data'!BG116</f>
        <v>5483.4</v>
      </c>
      <c r="BB115" s="30">
        <f>'Equity Volume Data'!BE115*'Equity Price Data'!BH116</f>
        <v>10176.8</v>
      </c>
      <c r="BC115" s="30">
        <f>'Equity Volume Data'!BF115*'Equity Price Data'!BI116</f>
        <v>0</v>
      </c>
      <c r="BD115" s="30">
        <f>'Equity Volume Data'!BG115*'Equity Price Data'!BJ116</f>
        <v>47062.35</v>
      </c>
      <c r="BE115" s="30">
        <f>'Equity Volume Data'!BH115*'Equity Price Data'!BK116</f>
        <v>13259.27</v>
      </c>
      <c r="BF115" s="30">
        <f>'Equity Volume Data'!BI115*'Equity Price Data'!BL116</f>
        <v>6853.2</v>
      </c>
      <c r="BG115" s="30">
        <f>'Equity Volume Data'!BJ115*'Equity Price Data'!BM116</f>
        <v>32987.48</v>
      </c>
      <c r="BH115" s="30">
        <f>'Equity Volume Data'!BK115*'Equity Price Data'!BN116</f>
        <v>1369.6</v>
      </c>
      <c r="BI115" s="30">
        <f>'Equity Volume Data'!BL115*'Equity Price Data'!BO116</f>
        <v>38616</v>
      </c>
      <c r="BJ115" s="30">
        <f>'Equity Volume Data'!BM115*'Equity Price Data'!BP116</f>
        <v>42348</v>
      </c>
      <c r="BK115" s="30">
        <f>'Equity Volume Data'!BN115*'Equity Price Data'!BQ116</f>
        <v>87919.58</v>
      </c>
      <c r="BL115" s="30">
        <f>'Equity Volume Data'!BO115*'Equity Price Data'!BR116</f>
        <v>542.85</v>
      </c>
      <c r="BM115" s="30">
        <f>'Equity Volume Data'!BP115*'Equity Price Data'!BS116</f>
        <v>10166.4</v>
      </c>
      <c r="BN115" s="30">
        <f>'Equity Volume Data'!BQ115*'Equity Price Data'!BT116</f>
        <v>18093.12</v>
      </c>
      <c r="BO115" s="30">
        <f>'Equity Volume Data'!BR115*'Equity Price Data'!BU116</f>
        <v>67197.24</v>
      </c>
    </row>
    <row r="116">
      <c r="A116" s="25">
        <f>'Equity Price Data'!A117</f>
        <v>45589.66667</v>
      </c>
      <c r="B116" s="29">
        <f t="shared" si="1"/>
        <v>1350505.03</v>
      </c>
      <c r="C116" s="30">
        <f>'Equity Volume Data'!F116*'Equity Price Data'!I117</f>
        <v>6277.31</v>
      </c>
      <c r="D116" s="30">
        <f>'Equity Volume Data'!G116*'Equity Price Data'!J117</f>
        <v>48458.8</v>
      </c>
      <c r="E116" s="30">
        <f>'Equity Volume Data'!H116*'Equity Price Data'!K117</f>
        <v>15378</v>
      </c>
      <c r="F116" s="30">
        <f>'Equity Volume Data'!I116*'Equity Price Data'!L117</f>
        <v>59025.92</v>
      </c>
      <c r="G116" s="30">
        <f>'Equity Volume Data'!J116*'Equity Price Data'!M117</f>
        <v>15251.25</v>
      </c>
      <c r="H116" s="30">
        <f>'Equity Volume Data'!K116*'Equity Price Data'!N117</f>
        <v>14382</v>
      </c>
      <c r="I116" s="30">
        <f>'Equity Volume Data'!L116*'Equity Price Data'!O117</f>
        <v>13180</v>
      </c>
      <c r="J116" s="30">
        <f>'Equity Volume Data'!M116*'Equity Price Data'!P117</f>
        <v>46692.54</v>
      </c>
      <c r="K116" s="30">
        <f>'Equity Volume Data'!N116*'Equity Price Data'!Q117</f>
        <v>11232</v>
      </c>
      <c r="L116" s="30">
        <f>'Equity Volume Data'!O116*'Equity Price Data'!R117</f>
        <v>22247.06</v>
      </c>
      <c r="M116" s="30">
        <f>'Equity Volume Data'!P116*'Equity Price Data'!S117</f>
        <v>0</v>
      </c>
      <c r="N116" s="30">
        <f>'Equity Volume Data'!Q116*'Equity Price Data'!T117</f>
        <v>5832</v>
      </c>
      <c r="O116" s="30">
        <f>'Equity Volume Data'!R116*'Equity Price Data'!U117</f>
        <v>58059</v>
      </c>
      <c r="P116" s="30">
        <f>'Equity Volume Data'!S116*'Equity Price Data'!V117</f>
        <v>22455.45</v>
      </c>
      <c r="Q116" s="30">
        <f>'Equity Volume Data'!T116*'Equity Price Data'!W117</f>
        <v>24648</v>
      </c>
      <c r="R116" s="30">
        <f>'Equity Volume Data'!U116*'Equity Price Data'!X117</f>
        <v>12036</v>
      </c>
      <c r="S116" s="30">
        <f>'Equity Volume Data'!V116*'Equity Price Data'!Y117</f>
        <v>28005.12</v>
      </c>
      <c r="T116" s="30">
        <f>'Equity Volume Data'!W116*'Equity Price Data'!Z117</f>
        <v>10435</v>
      </c>
      <c r="U116" s="30">
        <f>'Equity Volume Data'!X116*'Equity Price Data'!AA117</f>
        <v>17767.2</v>
      </c>
      <c r="V116" s="30">
        <f>'Equity Volume Data'!Y116*'Equity Price Data'!AB117</f>
        <v>17227</v>
      </c>
      <c r="W116" s="30">
        <f>'Equity Volume Data'!Z116*'Equity Price Data'!AC117</f>
        <v>11393.97</v>
      </c>
      <c r="X116" s="30">
        <f>'Equity Volume Data'!AA116*'Equity Price Data'!AD117</f>
        <v>16737.5</v>
      </c>
      <c r="Y116" s="30">
        <f>'Equity Volume Data'!AB116*'Equity Price Data'!AE117</f>
        <v>5396.43</v>
      </c>
      <c r="Z116" s="30">
        <f>'Equity Volume Data'!AC116*'Equity Price Data'!AF117</f>
        <v>9538.5</v>
      </c>
      <c r="AA116" s="30">
        <f>'Equity Volume Data'!AD116*'Equity Price Data'!AG117</f>
        <v>20330.3</v>
      </c>
      <c r="AB116" s="30">
        <f>'Equity Volume Data'!AE116*'Equity Price Data'!AH117</f>
        <v>8186.1</v>
      </c>
      <c r="AC116" s="30">
        <f>'Equity Volume Data'!AF116*'Equity Price Data'!AI117</f>
        <v>19459.2</v>
      </c>
      <c r="AD116" s="30">
        <f>'Equity Volume Data'!AG116*'Equity Price Data'!AJ117</f>
        <v>13557.15</v>
      </c>
      <c r="AE116" s="30">
        <f>'Equity Volume Data'!AH116*'Equity Price Data'!AK117</f>
        <v>10544</v>
      </c>
      <c r="AF116" s="30">
        <f>'Equity Volume Data'!AI116*'Equity Price Data'!AL117</f>
        <v>18199.9</v>
      </c>
      <c r="AG116" s="30">
        <f>'Equity Volume Data'!AJ116*'Equity Price Data'!AM117</f>
        <v>31470</v>
      </c>
      <c r="AH116" s="30">
        <f>'Equity Volume Data'!AK116*'Equity Price Data'!AN117</f>
        <v>40268</v>
      </c>
      <c r="AI116" s="30">
        <f>'Equity Volume Data'!AL116*'Equity Price Data'!AO117</f>
        <v>18219.25</v>
      </c>
      <c r="AJ116" s="30">
        <f>'Equity Volume Data'!AM116*'Equity Price Data'!AP117</f>
        <v>21697</v>
      </c>
      <c r="AK116" s="30">
        <f>'Equity Volume Data'!AN116*'Equity Price Data'!AQ117</f>
        <v>0</v>
      </c>
      <c r="AL116" s="30">
        <f>'Equity Volume Data'!AO116*'Equity Price Data'!AR117</f>
        <v>35996.8</v>
      </c>
      <c r="AM116" s="30">
        <f>'Equity Volume Data'!AP116*'Equity Price Data'!AS117</f>
        <v>39494.7</v>
      </c>
      <c r="AN116" s="30">
        <f>'Equity Volume Data'!AQ116*'Equity Price Data'!AT117</f>
        <v>10464.65</v>
      </c>
      <c r="AO116" s="30">
        <f>'Equity Volume Data'!AR116*'Equity Price Data'!AU117</f>
        <v>25602.92</v>
      </c>
      <c r="AP116" s="30">
        <f>'Equity Volume Data'!AS116*'Equity Price Data'!AV117</f>
        <v>22747.5</v>
      </c>
      <c r="AQ116" s="30">
        <f>'Equity Volume Data'!AT116*'Equity Price Data'!AW117</f>
        <v>18559.2</v>
      </c>
      <c r="AR116" s="30">
        <f>'Equity Volume Data'!AU116*'Equity Price Data'!AX117</f>
        <v>0</v>
      </c>
      <c r="AS116" s="30">
        <f>'Equity Volume Data'!AV116*'Equity Price Data'!AY117</f>
        <v>50967.6</v>
      </c>
      <c r="AT116" s="30">
        <f>'Equity Volume Data'!AW116*'Equity Price Data'!AZ117</f>
        <v>16562</v>
      </c>
      <c r="AU116" s="30">
        <f>'Equity Volume Data'!AX116*'Equity Price Data'!BA117</f>
        <v>0</v>
      </c>
      <c r="AV116" s="30">
        <f>'Equity Volume Data'!AY116*'Equity Price Data'!BB117</f>
        <v>19938.22</v>
      </c>
      <c r="AW116" s="30">
        <f>'Equity Volume Data'!AZ116*'Equity Price Data'!BC117</f>
        <v>4099.6</v>
      </c>
      <c r="AX116" s="30">
        <f>'Equity Volume Data'!BA116*'Equity Price Data'!BD117</f>
        <v>0</v>
      </c>
      <c r="AY116" s="30">
        <f>'Equity Volume Data'!BB116*'Equity Price Data'!BE117</f>
        <v>17511.12</v>
      </c>
      <c r="AZ116" s="30">
        <f>'Equity Volume Data'!BC116*'Equity Price Data'!BF117</f>
        <v>12208.5</v>
      </c>
      <c r="BA116" s="30">
        <f>'Equity Volume Data'!BD116*'Equity Price Data'!BG117</f>
        <v>5441.6</v>
      </c>
      <c r="BB116" s="30">
        <f>'Equity Volume Data'!BE116*'Equity Price Data'!BH117</f>
        <v>10013.6</v>
      </c>
      <c r="BC116" s="30">
        <f>'Equity Volume Data'!BF116*'Equity Price Data'!BI117</f>
        <v>0</v>
      </c>
      <c r="BD116" s="30">
        <f>'Equity Volume Data'!BG116*'Equity Price Data'!BJ117</f>
        <v>49748.28</v>
      </c>
      <c r="BE116" s="30">
        <f>'Equity Volume Data'!BH116*'Equity Price Data'!BK117</f>
        <v>12819.74</v>
      </c>
      <c r="BF116" s="30">
        <f>'Equity Volume Data'!BI116*'Equity Price Data'!BL117</f>
        <v>6817.2</v>
      </c>
      <c r="BG116" s="30">
        <f>'Equity Volume Data'!BJ116*'Equity Price Data'!BM117</f>
        <v>33916</v>
      </c>
      <c r="BH116" s="30">
        <f>'Equity Volume Data'!BK116*'Equity Price Data'!BN117</f>
        <v>1372.8</v>
      </c>
      <c r="BI116" s="30">
        <f>'Equity Volume Data'!BL116*'Equity Price Data'!BO117</f>
        <v>36920</v>
      </c>
      <c r="BJ116" s="30">
        <f>'Equity Volume Data'!BM116*'Equity Price Data'!BP117</f>
        <v>42060.75</v>
      </c>
      <c r="BK116" s="30">
        <f>'Equity Volume Data'!BN116*'Equity Price Data'!BQ117</f>
        <v>87955.62</v>
      </c>
      <c r="BL116" s="30">
        <f>'Equity Volume Data'!BO116*'Equity Price Data'!BR117</f>
        <v>539.56</v>
      </c>
      <c r="BM116" s="30">
        <f>'Equity Volume Data'!BP116*'Equity Price Data'!BS117</f>
        <v>10027.68</v>
      </c>
      <c r="BN116" s="30">
        <f>'Equity Volume Data'!BQ116*'Equity Price Data'!BT117</f>
        <v>17935.2</v>
      </c>
      <c r="BO116" s="30">
        <f>'Equity Volume Data'!BR116*'Equity Price Data'!BU117</f>
        <v>67197.24</v>
      </c>
    </row>
    <row r="117">
      <c r="A117" s="25">
        <f>'Equity Price Data'!A118</f>
        <v>45590.66667</v>
      </c>
      <c r="B117" s="29">
        <f t="shared" si="1"/>
        <v>1321896.01</v>
      </c>
      <c r="C117" s="30">
        <f>'Equity Volume Data'!F117*'Equity Price Data'!I118</f>
        <v>6288.36</v>
      </c>
      <c r="D117" s="30">
        <f>'Equity Volume Data'!G117*'Equity Price Data'!J118</f>
        <v>48835.8</v>
      </c>
      <c r="E117" s="30">
        <f>'Equity Volume Data'!H117*'Equity Price Data'!K118</f>
        <v>15142.6</v>
      </c>
      <c r="F117" s="30">
        <f>'Equity Volume Data'!I117*'Equity Price Data'!L118</f>
        <v>59240.96</v>
      </c>
      <c r="G117" s="30">
        <f>'Equity Volume Data'!J117*'Equity Price Data'!M118</f>
        <v>15481.16</v>
      </c>
      <c r="H117" s="30">
        <f>'Equity Volume Data'!K117*'Equity Price Data'!N118</f>
        <v>14137.6</v>
      </c>
      <c r="I117" s="30">
        <f>'Equity Volume Data'!L117*'Equity Price Data'!O118</f>
        <v>12590</v>
      </c>
      <c r="J117" s="30">
        <f>'Equity Volume Data'!M117*'Equity Price Data'!P118</f>
        <v>46309.02</v>
      </c>
      <c r="K117" s="30">
        <f>'Equity Volume Data'!N117*'Equity Price Data'!Q118</f>
        <v>11288</v>
      </c>
      <c r="L117" s="30">
        <f>'Equity Volume Data'!O117*'Equity Price Data'!R118</f>
        <v>21984.49</v>
      </c>
      <c r="M117" s="30">
        <f>'Equity Volume Data'!P117*'Equity Price Data'!S118</f>
        <v>0</v>
      </c>
      <c r="N117" s="30">
        <f>'Equity Volume Data'!Q117*'Equity Price Data'!T118</f>
        <v>5897.6</v>
      </c>
      <c r="O117" s="30">
        <f>'Equity Volume Data'!R117*'Equity Price Data'!U118</f>
        <v>57895.5</v>
      </c>
      <c r="P117" s="30">
        <f>'Equity Volume Data'!S117*'Equity Price Data'!V118</f>
        <v>22430.43</v>
      </c>
      <c r="Q117" s="30">
        <f>'Equity Volume Data'!T117*'Equity Price Data'!W118</f>
        <v>24859.2</v>
      </c>
      <c r="R117" s="30">
        <f>'Equity Volume Data'!U117*'Equity Price Data'!X118</f>
        <v>12064.8</v>
      </c>
      <c r="S117" s="30">
        <f>'Equity Volume Data'!V117*'Equity Price Data'!Y118</f>
        <v>27882.8</v>
      </c>
      <c r="T117" s="30">
        <f>'Equity Volume Data'!W117*'Equity Price Data'!Z118</f>
        <v>10377.5</v>
      </c>
      <c r="U117" s="30">
        <f>'Equity Volume Data'!X117*'Equity Price Data'!AA118</f>
        <v>17666.88</v>
      </c>
      <c r="V117" s="30">
        <f>'Equity Volume Data'!Y117*'Equity Price Data'!AB118</f>
        <v>16840.6</v>
      </c>
      <c r="W117" s="30">
        <f>'Equity Volume Data'!Z117*'Equity Price Data'!AC118</f>
        <v>12489.69</v>
      </c>
      <c r="X117" s="30">
        <f>'Equity Volume Data'!AA117*'Equity Price Data'!AD118</f>
        <v>16612.5</v>
      </c>
      <c r="Y117" s="30">
        <f>'Equity Volume Data'!AB117*'Equity Price Data'!AE118</f>
        <v>5379.53</v>
      </c>
      <c r="Z117" s="30">
        <f>'Equity Volume Data'!AC117*'Equity Price Data'!AF118</f>
        <v>9465</v>
      </c>
      <c r="AA117" s="30">
        <f>'Equity Volume Data'!AD117*'Equity Price Data'!AG118</f>
        <v>20313.3</v>
      </c>
      <c r="AB117" s="30">
        <f>'Equity Volume Data'!AE117*'Equity Price Data'!AH118</f>
        <v>8163.6</v>
      </c>
      <c r="AC117" s="30">
        <f>'Equity Volume Data'!AF117*'Equity Price Data'!AI118</f>
        <v>19389.2</v>
      </c>
      <c r="AD117" s="30">
        <f>'Equity Volume Data'!AG117*'Equity Price Data'!AJ118</f>
        <v>13613.4</v>
      </c>
      <c r="AE117" s="30">
        <f>'Equity Volume Data'!AH117*'Equity Price Data'!AK118</f>
        <v>10414</v>
      </c>
      <c r="AF117" s="30">
        <f>'Equity Volume Data'!AI117*'Equity Price Data'!AL118</f>
        <v>18245</v>
      </c>
      <c r="AG117" s="30">
        <f>'Equity Volume Data'!AJ117*'Equity Price Data'!AM118</f>
        <v>30756</v>
      </c>
      <c r="AH117" s="30">
        <f>'Equity Volume Data'!AK117*'Equity Price Data'!AN118</f>
        <v>39891</v>
      </c>
      <c r="AI117" s="30">
        <f>'Equity Volume Data'!AL117*'Equity Price Data'!AO118</f>
        <v>18109</v>
      </c>
      <c r="AJ117" s="30">
        <f>'Equity Volume Data'!AM117*'Equity Price Data'!AP118</f>
        <v>21490.3</v>
      </c>
      <c r="AK117" s="30">
        <f>'Equity Volume Data'!AN117*'Equity Price Data'!AQ118</f>
        <v>0</v>
      </c>
      <c r="AL117" s="30">
        <f>'Equity Volume Data'!AO117*'Equity Price Data'!AR118</f>
        <v>35569.6</v>
      </c>
      <c r="AM117" s="30">
        <f>'Equity Volume Data'!AP117*'Equity Price Data'!AS118</f>
        <v>39360.3</v>
      </c>
      <c r="AN117" s="30">
        <f>'Equity Volume Data'!AQ117*'Equity Price Data'!AT118</f>
        <v>10645.25</v>
      </c>
      <c r="AO117" s="30">
        <f>'Equity Volume Data'!AR117*'Equity Price Data'!AU118</f>
        <v>25440.66</v>
      </c>
      <c r="AP117" s="30">
        <f>'Equity Volume Data'!AS117*'Equity Price Data'!AV118</f>
        <v>22647.5</v>
      </c>
      <c r="AQ117" s="30">
        <f>'Equity Volume Data'!AT117*'Equity Price Data'!AW118</f>
        <v>18125.8</v>
      </c>
      <c r="AR117" s="30">
        <f>'Equity Volume Data'!AU117*'Equity Price Data'!AX118</f>
        <v>0</v>
      </c>
      <c r="AS117" s="30">
        <f>'Equity Volume Data'!AV117*'Equity Price Data'!AY118</f>
        <v>51378</v>
      </c>
      <c r="AT117" s="30">
        <f>'Equity Volume Data'!AW117*'Equity Price Data'!AZ118</f>
        <v>16286</v>
      </c>
      <c r="AU117" s="30">
        <f>'Equity Volume Data'!AX117*'Equity Price Data'!BA118</f>
        <v>0</v>
      </c>
      <c r="AV117" s="30">
        <f>'Equity Volume Data'!AY117*'Equity Price Data'!BB118</f>
        <v>20098.68</v>
      </c>
      <c r="AW117" s="30">
        <f>'Equity Volume Data'!AZ117*'Equity Price Data'!BC118</f>
        <v>4050.4</v>
      </c>
      <c r="AX117" s="30">
        <f>'Equity Volume Data'!BA117*'Equity Price Data'!BD118</f>
        <v>4052</v>
      </c>
      <c r="AY117" s="30">
        <f>'Equity Volume Data'!BB117*'Equity Price Data'!BE118</f>
        <v>18033.72</v>
      </c>
      <c r="AZ117" s="30">
        <f>'Equity Volume Data'!BC117*'Equity Price Data'!BF118</f>
        <v>12255</v>
      </c>
      <c r="BA117" s="30">
        <f>'Equity Volume Data'!BD117*'Equity Price Data'!BG118</f>
        <v>5405.5</v>
      </c>
      <c r="BB117" s="30">
        <f>'Equity Volume Data'!BE117*'Equity Price Data'!BH118</f>
        <v>10012.8</v>
      </c>
      <c r="BC117" s="30">
        <f>'Equity Volume Data'!BF117*'Equity Price Data'!BI118</f>
        <v>0</v>
      </c>
      <c r="BD117" s="30">
        <f>'Equity Volume Data'!BG117*'Equity Price Data'!BJ118</f>
        <v>48214.68</v>
      </c>
      <c r="BE117" s="30">
        <f>'Equity Volume Data'!BH117*'Equity Price Data'!BK118</f>
        <v>12750.74</v>
      </c>
      <c r="BF117" s="30">
        <f>'Equity Volume Data'!BI117*'Equity Price Data'!BL118</f>
        <v>6880</v>
      </c>
      <c r="BG117" s="30">
        <f>'Equity Volume Data'!BJ117*'Equity Price Data'!BM118</f>
        <v>34797.26</v>
      </c>
      <c r="BH117" s="30">
        <f>'Equity Volume Data'!BK117*'Equity Price Data'!BN118</f>
        <v>0</v>
      </c>
      <c r="BI117" s="30">
        <f>'Equity Volume Data'!BL117*'Equity Price Data'!BO118</f>
        <v>36848</v>
      </c>
      <c r="BJ117" s="30">
        <f>'Equity Volume Data'!BM117*'Equity Price Data'!BP118</f>
        <v>42342</v>
      </c>
      <c r="BK117" s="30">
        <f>'Equity Volume Data'!BN117*'Equity Price Data'!BQ118</f>
        <v>87919.58</v>
      </c>
      <c r="BL117" s="30">
        <f>'Equity Volume Data'!BO117*'Equity Price Data'!BR118</f>
        <v>537.68</v>
      </c>
      <c r="BM117" s="30">
        <f>'Equity Volume Data'!BP117*'Equity Price Data'!BS118</f>
        <v>9926.4</v>
      </c>
      <c r="BN117" s="30">
        <f>'Equity Volume Data'!BQ117*'Equity Price Data'!BT118</f>
        <v>17865.64</v>
      </c>
      <c r="BO117" s="30">
        <f>'Equity Volume Data'!BR117*'Equity Price Data'!BU118</f>
        <v>38908</v>
      </c>
    </row>
    <row r="118">
      <c r="A118" s="25">
        <f>'Equity Price Data'!A119</f>
        <v>45593.66667</v>
      </c>
      <c r="B118" s="29">
        <f t="shared" si="1"/>
        <v>1329630.39</v>
      </c>
      <c r="C118" s="30">
        <f>'Equity Volume Data'!F118*'Equity Price Data'!I119</f>
        <v>6253.52</v>
      </c>
      <c r="D118" s="30">
        <f>'Equity Volume Data'!G118*'Equity Price Data'!J119</f>
        <v>48981.4</v>
      </c>
      <c r="E118" s="30">
        <f>'Equity Volume Data'!H118*'Equity Price Data'!K119</f>
        <v>15266.9</v>
      </c>
      <c r="F118" s="30">
        <f>'Equity Volume Data'!I118*'Equity Price Data'!L119</f>
        <v>59750.4</v>
      </c>
      <c r="G118" s="30">
        <f>'Equity Volume Data'!J118*'Equity Price Data'!M119</f>
        <v>15383.22</v>
      </c>
      <c r="H118" s="30">
        <f>'Equity Volume Data'!K118*'Equity Price Data'!N119</f>
        <v>14383.88</v>
      </c>
      <c r="I118" s="30">
        <f>'Equity Volume Data'!L118*'Equity Price Data'!O119</f>
        <v>12680</v>
      </c>
      <c r="J118" s="30">
        <f>'Equity Volume Data'!M118*'Equity Price Data'!P119</f>
        <v>46765.98</v>
      </c>
      <c r="K118" s="30">
        <f>'Equity Volume Data'!N118*'Equity Price Data'!Q119</f>
        <v>11424</v>
      </c>
      <c r="L118" s="30">
        <f>'Equity Volume Data'!O118*'Equity Price Data'!R119</f>
        <v>22386.21</v>
      </c>
      <c r="M118" s="30">
        <f>'Equity Volume Data'!P118*'Equity Price Data'!S119</f>
        <v>0</v>
      </c>
      <c r="N118" s="30">
        <f>'Equity Volume Data'!Q118*'Equity Price Data'!T119</f>
        <v>6052.8</v>
      </c>
      <c r="O118" s="30">
        <f>'Equity Volume Data'!R118*'Equity Price Data'!U119</f>
        <v>58591.5</v>
      </c>
      <c r="P118" s="30">
        <f>'Equity Volume Data'!S118*'Equity Price Data'!V119</f>
        <v>23005.89</v>
      </c>
      <c r="Q118" s="30">
        <f>'Equity Volume Data'!T118*'Equity Price Data'!W119</f>
        <v>24955.2</v>
      </c>
      <c r="R118" s="30">
        <f>'Equity Volume Data'!U118*'Equity Price Data'!X119</f>
        <v>12043.2</v>
      </c>
      <c r="S118" s="30">
        <f>'Equity Volume Data'!V118*'Equity Price Data'!Y119</f>
        <v>27712.96</v>
      </c>
      <c r="T118" s="30">
        <f>'Equity Volume Data'!W118*'Equity Price Data'!Z119</f>
        <v>10685</v>
      </c>
      <c r="U118" s="30">
        <f>'Equity Volume Data'!X118*'Equity Price Data'!AA119</f>
        <v>17600.88</v>
      </c>
      <c r="V118" s="30">
        <f>'Equity Volume Data'!Y118*'Equity Price Data'!AB119</f>
        <v>16874.41</v>
      </c>
      <c r="W118" s="30">
        <f>'Equity Volume Data'!Z118*'Equity Price Data'!AC119</f>
        <v>12648.39</v>
      </c>
      <c r="X118" s="30">
        <f>'Equity Volume Data'!AA118*'Equity Price Data'!AD119</f>
        <v>16565</v>
      </c>
      <c r="Y118" s="30">
        <f>'Equity Volume Data'!AB118*'Equity Price Data'!AE119</f>
        <v>5424.12</v>
      </c>
      <c r="Z118" s="30">
        <f>'Equity Volume Data'!AC118*'Equity Price Data'!AF119</f>
        <v>9448.5</v>
      </c>
      <c r="AA118" s="30">
        <f>'Equity Volume Data'!AD118*'Equity Price Data'!AG119</f>
        <v>20213</v>
      </c>
      <c r="AB118" s="30">
        <f>'Equity Volume Data'!AE118*'Equity Price Data'!AH119</f>
        <v>8263.5</v>
      </c>
      <c r="AC118" s="30">
        <f>'Equity Volume Data'!AF118*'Equity Price Data'!AI119</f>
        <v>19619.2</v>
      </c>
      <c r="AD118" s="30">
        <f>'Equity Volume Data'!AG118*'Equity Price Data'!AJ119</f>
        <v>13676.4</v>
      </c>
      <c r="AE118" s="30">
        <f>'Equity Volume Data'!AH118*'Equity Price Data'!AK119</f>
        <v>10546</v>
      </c>
      <c r="AF118" s="30">
        <f>'Equity Volume Data'!AI118*'Equity Price Data'!AL119</f>
        <v>18195.8</v>
      </c>
      <c r="AG118" s="30">
        <f>'Equity Volume Data'!AJ118*'Equity Price Data'!AM119</f>
        <v>31414.8</v>
      </c>
      <c r="AH118" s="30">
        <f>'Equity Volume Data'!AK118*'Equity Price Data'!AN119</f>
        <v>40289</v>
      </c>
      <c r="AI118" s="30">
        <f>'Equity Volume Data'!AL118*'Equity Price Data'!AO119</f>
        <v>18224.5</v>
      </c>
      <c r="AJ118" s="30">
        <f>'Equity Volume Data'!AM118*'Equity Price Data'!AP119</f>
        <v>21637.2</v>
      </c>
      <c r="AK118" s="30">
        <f>'Equity Volume Data'!AN118*'Equity Price Data'!AQ119</f>
        <v>0</v>
      </c>
      <c r="AL118" s="30">
        <f>'Equity Volume Data'!AO118*'Equity Price Data'!AR119</f>
        <v>36080</v>
      </c>
      <c r="AM118" s="30">
        <f>'Equity Volume Data'!AP118*'Equity Price Data'!AS119</f>
        <v>38861.9</v>
      </c>
      <c r="AN118" s="30">
        <f>'Equity Volume Data'!AQ118*'Equity Price Data'!AT119</f>
        <v>10763.9</v>
      </c>
      <c r="AO118" s="30">
        <f>'Equity Volume Data'!AR118*'Equity Price Data'!AU119</f>
        <v>25816.42</v>
      </c>
      <c r="AP118" s="30">
        <f>'Equity Volume Data'!AS118*'Equity Price Data'!AV119</f>
        <v>22650</v>
      </c>
      <c r="AQ118" s="30">
        <f>'Equity Volume Data'!AT118*'Equity Price Data'!AW119</f>
        <v>18279.8</v>
      </c>
      <c r="AR118" s="30">
        <f>'Equity Volume Data'!AU118*'Equity Price Data'!AX119</f>
        <v>0</v>
      </c>
      <c r="AS118" s="30">
        <f>'Equity Volume Data'!AV118*'Equity Price Data'!AY119</f>
        <v>51190.8</v>
      </c>
      <c r="AT118" s="30">
        <f>'Equity Volume Data'!AW118*'Equity Price Data'!AZ119</f>
        <v>16574</v>
      </c>
      <c r="AU118" s="30">
        <f>'Equity Volume Data'!AX118*'Equity Price Data'!BA119</f>
        <v>0</v>
      </c>
      <c r="AV118" s="30">
        <f>'Equity Volume Data'!AY118*'Equity Price Data'!BB119</f>
        <v>19953.84</v>
      </c>
      <c r="AW118" s="30">
        <f>'Equity Volume Data'!AZ118*'Equity Price Data'!BC119</f>
        <v>4058</v>
      </c>
      <c r="AX118" s="30">
        <f>'Equity Volume Data'!BA118*'Equity Price Data'!BD119</f>
        <v>4048.8</v>
      </c>
      <c r="AY118" s="30">
        <f>'Equity Volume Data'!BB118*'Equity Price Data'!BE119</f>
        <v>18077.94</v>
      </c>
      <c r="AZ118" s="30">
        <f>'Equity Volume Data'!BC118*'Equity Price Data'!BF119</f>
        <v>12538.5</v>
      </c>
      <c r="BA118" s="30">
        <f>'Equity Volume Data'!BD118*'Equity Price Data'!BG119</f>
        <v>5483.4</v>
      </c>
      <c r="BB118" s="30">
        <f>'Equity Volume Data'!BE118*'Equity Price Data'!BH119</f>
        <v>10034.4</v>
      </c>
      <c r="BC118" s="30">
        <f>'Equity Volume Data'!BF118*'Equity Price Data'!BI119</f>
        <v>0</v>
      </c>
      <c r="BD118" s="30">
        <f>'Equity Volume Data'!BG118*'Equity Price Data'!BJ119</f>
        <v>48523.53</v>
      </c>
      <c r="BE118" s="30">
        <f>'Equity Volume Data'!BH118*'Equity Price Data'!BK119</f>
        <v>12708.42</v>
      </c>
      <c r="BF118" s="30">
        <f>'Equity Volume Data'!BI118*'Equity Price Data'!BL119</f>
        <v>7065.2</v>
      </c>
      <c r="BG118" s="30">
        <f>'Equity Volume Data'!BJ118*'Equity Price Data'!BM119</f>
        <v>35094.72</v>
      </c>
      <c r="BH118" s="30">
        <f>'Equity Volume Data'!BK118*'Equity Price Data'!BN119</f>
        <v>0</v>
      </c>
      <c r="BI118" s="30">
        <f>'Equity Volume Data'!BL118*'Equity Price Data'!BO119</f>
        <v>37116.8</v>
      </c>
      <c r="BJ118" s="30">
        <f>'Equity Volume Data'!BM118*'Equity Price Data'!BP119</f>
        <v>42393</v>
      </c>
      <c r="BK118" s="30">
        <f>'Equity Volume Data'!BN118*'Equity Price Data'!BQ119</f>
        <v>87811.46</v>
      </c>
      <c r="BL118" s="30">
        <f>'Equity Volume Data'!BO118*'Equity Price Data'!BR119</f>
        <v>552.72</v>
      </c>
      <c r="BM118" s="30">
        <f>'Equity Volume Data'!BP118*'Equity Price Data'!BS119</f>
        <v>9996.48</v>
      </c>
      <c r="BN118" s="30">
        <f>'Equity Volume Data'!BQ118*'Equity Price Data'!BT119</f>
        <v>18085.6</v>
      </c>
      <c r="BO118" s="30">
        <f>'Equity Volume Data'!BR118*'Equity Price Data'!BU119</f>
        <v>38908</v>
      </c>
    </row>
    <row r="119">
      <c r="A119" s="25">
        <f>'Equity Price Data'!A120</f>
        <v>45594.66667</v>
      </c>
      <c r="B119" s="29">
        <f t="shared" si="1"/>
        <v>1309208.05</v>
      </c>
      <c r="C119" s="30">
        <f>'Equity Volume Data'!F119*'Equity Price Data'!I120</f>
        <v>6310.07</v>
      </c>
      <c r="D119" s="30">
        <f>'Equity Volume Data'!G119*'Equity Price Data'!J120</f>
        <v>49615.8</v>
      </c>
      <c r="E119" s="30">
        <f>'Equity Volume Data'!H119*'Equity Price Data'!K120</f>
        <v>14938</v>
      </c>
      <c r="F119" s="30">
        <f>'Equity Volume Data'!I119*'Equity Price Data'!L120</f>
        <v>59819.52</v>
      </c>
      <c r="G119" s="30">
        <f>'Equity Volume Data'!J119*'Equity Price Data'!M120</f>
        <v>15779.96</v>
      </c>
      <c r="H119" s="30">
        <f>'Equity Volume Data'!K119*'Equity Price Data'!N120</f>
        <v>14393.28</v>
      </c>
      <c r="I119" s="30">
        <f>'Equity Volume Data'!L119*'Equity Price Data'!O120</f>
        <v>12550</v>
      </c>
      <c r="J119" s="30">
        <f>'Equity Volume Data'!M119*'Equity Price Data'!P120</f>
        <v>46371.24</v>
      </c>
      <c r="K119" s="30">
        <f>'Equity Volume Data'!N119*'Equity Price Data'!Q120</f>
        <v>11428</v>
      </c>
      <c r="L119" s="30">
        <f>'Equity Volume Data'!O119*'Equity Price Data'!R120</f>
        <v>22199.87</v>
      </c>
      <c r="M119" s="30">
        <f>'Equity Volume Data'!P119*'Equity Price Data'!S120</f>
        <v>0</v>
      </c>
      <c r="N119" s="30">
        <f>'Equity Volume Data'!Q119*'Equity Price Data'!T120</f>
        <v>5968</v>
      </c>
      <c r="O119" s="30">
        <f>'Equity Volume Data'!R119*'Equity Price Data'!U120</f>
        <v>58126.5</v>
      </c>
      <c r="P119" s="30">
        <f>'Equity Volume Data'!S119*'Equity Price Data'!V120</f>
        <v>22839.09</v>
      </c>
      <c r="Q119" s="30">
        <f>'Equity Volume Data'!T119*'Equity Price Data'!W120</f>
        <v>21344.4</v>
      </c>
      <c r="R119" s="30">
        <f>'Equity Volume Data'!U119*'Equity Price Data'!X120</f>
        <v>11881.6</v>
      </c>
      <c r="S119" s="30">
        <f>'Equity Volume Data'!V119*'Equity Price Data'!Y120</f>
        <v>27124.24</v>
      </c>
      <c r="T119" s="30">
        <f>'Equity Volume Data'!W119*'Equity Price Data'!Z120</f>
        <v>10560</v>
      </c>
      <c r="U119" s="30">
        <f>'Equity Volume Data'!X119*'Equity Price Data'!AA120</f>
        <v>17307.84</v>
      </c>
      <c r="V119" s="30">
        <f>'Equity Volume Data'!Y119*'Equity Price Data'!AB120</f>
        <v>16568.51</v>
      </c>
      <c r="W119" s="30">
        <f>'Equity Volume Data'!Z119*'Equity Price Data'!AC120</f>
        <v>12613.2</v>
      </c>
      <c r="X119" s="30">
        <f>'Equity Volume Data'!AA119*'Equity Price Data'!AD120</f>
        <v>16125</v>
      </c>
      <c r="Y119" s="30">
        <f>'Equity Volume Data'!AB119*'Equity Price Data'!AE120</f>
        <v>5370.82</v>
      </c>
      <c r="Z119" s="30">
        <f>'Equity Volume Data'!AC119*'Equity Price Data'!AF120</f>
        <v>9415.5</v>
      </c>
      <c r="AA119" s="30">
        <f>'Equity Volume Data'!AD119*'Equity Price Data'!AG120</f>
        <v>19937.6</v>
      </c>
      <c r="AB119" s="30">
        <f>'Equity Volume Data'!AE119*'Equity Price Data'!AH120</f>
        <v>8251.2</v>
      </c>
      <c r="AC119" s="30">
        <f>'Equity Volume Data'!AF119*'Equity Price Data'!AI120</f>
        <v>19517.6</v>
      </c>
      <c r="AD119" s="30">
        <f>'Equity Volume Data'!AG119*'Equity Price Data'!AJ120</f>
        <v>13578.75</v>
      </c>
      <c r="AE119" s="30">
        <f>'Equity Volume Data'!AH119*'Equity Price Data'!AK120</f>
        <v>10308</v>
      </c>
      <c r="AF119" s="30">
        <f>'Equity Volume Data'!AI119*'Equity Price Data'!AL120</f>
        <v>18056.4</v>
      </c>
      <c r="AG119" s="30">
        <f>'Equity Volume Data'!AJ119*'Equity Price Data'!AM120</f>
        <v>31456.8</v>
      </c>
      <c r="AH119" s="30">
        <f>'Equity Volume Data'!AK119*'Equity Price Data'!AN120</f>
        <v>39507</v>
      </c>
      <c r="AI119" s="30">
        <f>'Equity Volume Data'!AL119*'Equity Price Data'!AO120</f>
        <v>18373.25</v>
      </c>
      <c r="AJ119" s="30">
        <f>'Equity Volume Data'!AM119*'Equity Price Data'!AP120</f>
        <v>21673.6</v>
      </c>
      <c r="AK119" s="30">
        <f>'Equity Volume Data'!AN119*'Equity Price Data'!AQ120</f>
        <v>0</v>
      </c>
      <c r="AL119" s="30">
        <f>'Equity Volume Data'!AO119*'Equity Price Data'!AR120</f>
        <v>35664</v>
      </c>
      <c r="AM119" s="30">
        <f>'Equity Volume Data'!AP119*'Equity Price Data'!AS120</f>
        <v>38276</v>
      </c>
      <c r="AN119" s="30">
        <f>'Equity Volume Data'!AQ119*'Equity Price Data'!AT120</f>
        <v>10668.7</v>
      </c>
      <c r="AO119" s="30">
        <f>'Equity Volume Data'!AR119*'Equity Price Data'!AU120</f>
        <v>25679.78</v>
      </c>
      <c r="AP119" s="30">
        <f>'Equity Volume Data'!AS119*'Equity Price Data'!AV120</f>
        <v>22580</v>
      </c>
      <c r="AQ119" s="30">
        <f>'Equity Volume Data'!AT119*'Equity Price Data'!AW120</f>
        <v>18222.6</v>
      </c>
      <c r="AR119" s="30">
        <f>'Equity Volume Data'!AU119*'Equity Price Data'!AX120</f>
        <v>0</v>
      </c>
      <c r="AS119" s="30">
        <f>'Equity Volume Data'!AV119*'Equity Price Data'!AY120</f>
        <v>51834</v>
      </c>
      <c r="AT119" s="30">
        <f>'Equity Volume Data'!AW119*'Equity Price Data'!AZ120</f>
        <v>15912</v>
      </c>
      <c r="AU119" s="30">
        <f>'Equity Volume Data'!AX119*'Equity Price Data'!BA120</f>
        <v>0</v>
      </c>
      <c r="AV119" s="30">
        <f>'Equity Volume Data'!AY119*'Equity Price Data'!BB120</f>
        <v>20057.5</v>
      </c>
      <c r="AW119" s="30">
        <f>'Equity Volume Data'!AZ119*'Equity Price Data'!BC120</f>
        <v>4054.8</v>
      </c>
      <c r="AX119" s="30">
        <f>'Equity Volume Data'!BA119*'Equity Price Data'!BD120</f>
        <v>3992.8</v>
      </c>
      <c r="AY119" s="30">
        <f>'Equity Volume Data'!BB119*'Equity Price Data'!BE120</f>
        <v>18061.86</v>
      </c>
      <c r="AZ119" s="30">
        <f>'Equity Volume Data'!BC119*'Equity Price Data'!BF120</f>
        <v>12042</v>
      </c>
      <c r="BA119" s="30">
        <f>'Equity Volume Data'!BD119*'Equity Price Data'!BG120</f>
        <v>5407.4</v>
      </c>
      <c r="BB119" s="30">
        <f>'Equity Volume Data'!BE119*'Equity Price Data'!BH120</f>
        <v>9823.2</v>
      </c>
      <c r="BC119" s="30">
        <f>'Equity Volume Data'!BF119*'Equity Price Data'!BI120</f>
        <v>0</v>
      </c>
      <c r="BD119" s="30">
        <f>'Equity Volume Data'!BG119*'Equity Price Data'!BJ120</f>
        <v>48148.65</v>
      </c>
      <c r="BE119" s="30">
        <f>'Equity Volume Data'!BH119*'Equity Price Data'!BK120</f>
        <v>12598.71</v>
      </c>
      <c r="BF119" s="30">
        <f>'Equity Volume Data'!BI119*'Equity Price Data'!BL120</f>
        <v>7041.2</v>
      </c>
      <c r="BG119" s="30">
        <f>'Equity Volume Data'!BJ119*'Equity Price Data'!BM120</f>
        <v>24603</v>
      </c>
      <c r="BH119" s="30">
        <f>'Equity Volume Data'!BK119*'Equity Price Data'!BN120</f>
        <v>0</v>
      </c>
      <c r="BI119" s="30">
        <f>'Equity Volume Data'!BL119*'Equity Price Data'!BO120</f>
        <v>37118.4</v>
      </c>
      <c r="BJ119" s="30">
        <f>'Equity Volume Data'!BM119*'Equity Price Data'!BP120</f>
        <v>42159.75</v>
      </c>
      <c r="BK119" s="30">
        <f>'Equity Volume Data'!BN119*'Equity Price Data'!BQ120</f>
        <v>87901.56</v>
      </c>
      <c r="BL119" s="30">
        <f>'Equity Volume Data'!BO119*'Equity Price Data'!BR120</f>
        <v>551.78</v>
      </c>
      <c r="BM119" s="30">
        <f>'Equity Volume Data'!BP119*'Equity Price Data'!BS120</f>
        <v>10517.28</v>
      </c>
      <c r="BN119" s="30">
        <f>'Equity Volume Data'!BQ119*'Equity Price Data'!BT120</f>
        <v>18072.44</v>
      </c>
      <c r="BO119" s="30">
        <f>'Equity Volume Data'!BR119*'Equity Price Data'!BU120</f>
        <v>38908</v>
      </c>
    </row>
    <row r="120">
      <c r="A120" s="25">
        <f>'Equity Price Data'!A121</f>
        <v>45595.66667</v>
      </c>
      <c r="B120" s="29">
        <f t="shared" si="1"/>
        <v>1303356.57</v>
      </c>
      <c r="C120" s="30">
        <f>'Equity Volume Data'!F120*'Equity Price Data'!I121</f>
        <v>6326.84</v>
      </c>
      <c r="D120" s="30">
        <f>'Equity Volume Data'!G120*'Equity Price Data'!J121</f>
        <v>50109.8</v>
      </c>
      <c r="E120" s="30">
        <f>'Equity Volume Data'!H120*'Equity Price Data'!K121</f>
        <v>14925.9</v>
      </c>
      <c r="F120" s="30">
        <f>'Equity Volume Data'!I120*'Equity Price Data'!L121</f>
        <v>58905.6</v>
      </c>
      <c r="G120" s="30">
        <f>'Equity Volume Data'!J120*'Equity Price Data'!M121</f>
        <v>15379.9</v>
      </c>
      <c r="H120" s="30">
        <f>'Equity Volume Data'!K120*'Equity Price Data'!N121</f>
        <v>14274.84</v>
      </c>
      <c r="I120" s="30">
        <f>'Equity Volume Data'!L120*'Equity Price Data'!O121</f>
        <v>12700</v>
      </c>
      <c r="J120" s="30">
        <f>'Equity Volume Data'!M120*'Equity Price Data'!P121</f>
        <v>46405.92</v>
      </c>
      <c r="K120" s="30">
        <f>'Equity Volume Data'!N120*'Equity Price Data'!Q121</f>
        <v>11284</v>
      </c>
      <c r="L120" s="30">
        <f>'Equity Volume Data'!O120*'Equity Price Data'!R121</f>
        <v>21922.78</v>
      </c>
      <c r="M120" s="30">
        <f>'Equity Volume Data'!P120*'Equity Price Data'!S121</f>
        <v>0</v>
      </c>
      <c r="N120" s="30">
        <f>'Equity Volume Data'!Q120*'Equity Price Data'!T121</f>
        <v>5888</v>
      </c>
      <c r="O120" s="30">
        <f>'Equity Volume Data'!R120*'Equity Price Data'!U121</f>
        <v>56886</v>
      </c>
      <c r="P120" s="30">
        <f>'Equity Volume Data'!S120*'Equity Price Data'!V121</f>
        <v>22509.66</v>
      </c>
      <c r="Q120" s="30">
        <f>'Equity Volume Data'!T120*'Equity Price Data'!W121</f>
        <v>20866.8</v>
      </c>
      <c r="R120" s="30">
        <f>'Equity Volume Data'!U120*'Equity Price Data'!X121</f>
        <v>11844</v>
      </c>
      <c r="S120" s="30">
        <f>'Equity Volume Data'!V120*'Equity Price Data'!Y121</f>
        <v>27534.32</v>
      </c>
      <c r="T120" s="30">
        <f>'Equity Volume Data'!W120*'Equity Price Data'!Z121</f>
        <v>10675</v>
      </c>
      <c r="U120" s="30">
        <f>'Equity Volume Data'!X120*'Equity Price Data'!AA121</f>
        <v>17402.88</v>
      </c>
      <c r="V120" s="30">
        <f>'Equity Volume Data'!Y120*'Equity Price Data'!AB121</f>
        <v>16537.92</v>
      </c>
      <c r="W120" s="30">
        <f>'Equity Volume Data'!Z120*'Equity Price Data'!AC121</f>
        <v>12569.73</v>
      </c>
      <c r="X120" s="30">
        <f>'Equity Volume Data'!AA120*'Equity Price Data'!AD121</f>
        <v>15827.5</v>
      </c>
      <c r="Y120" s="30">
        <f>'Equity Volume Data'!AB120*'Equity Price Data'!AE121</f>
        <v>5330.26</v>
      </c>
      <c r="Z120" s="30">
        <f>'Equity Volume Data'!AC120*'Equity Price Data'!AF121</f>
        <v>9394.5</v>
      </c>
      <c r="AA120" s="30">
        <f>'Equity Volume Data'!AD120*'Equity Price Data'!AG121</f>
        <v>19837.3</v>
      </c>
      <c r="AB120" s="30">
        <f>'Equity Volume Data'!AE120*'Equity Price Data'!AH121</f>
        <v>8222.4</v>
      </c>
      <c r="AC120" s="30">
        <f>'Equity Volume Data'!AF120*'Equity Price Data'!AI121</f>
        <v>19153.6</v>
      </c>
      <c r="AD120" s="30">
        <f>'Equity Volume Data'!AG120*'Equity Price Data'!AJ121</f>
        <v>13561.65</v>
      </c>
      <c r="AE120" s="30">
        <f>'Equity Volume Data'!AH120*'Equity Price Data'!AK121</f>
        <v>10394</v>
      </c>
      <c r="AF120" s="30">
        <f>'Equity Volume Data'!AI120*'Equity Price Data'!AL121</f>
        <v>18099.45</v>
      </c>
      <c r="AG120" s="30">
        <f>'Equity Volume Data'!AJ120*'Equity Price Data'!AM121</f>
        <v>31464</v>
      </c>
      <c r="AH120" s="30">
        <f>'Equity Volume Data'!AK120*'Equity Price Data'!AN121</f>
        <v>39252</v>
      </c>
      <c r="AI120" s="30">
        <f>'Equity Volume Data'!AL120*'Equity Price Data'!AO121</f>
        <v>20326.25</v>
      </c>
      <c r="AJ120" s="30">
        <f>'Equity Volume Data'!AM120*'Equity Price Data'!AP121</f>
        <v>21648.9</v>
      </c>
      <c r="AK120" s="30">
        <f>'Equity Volume Data'!AN120*'Equity Price Data'!AQ121</f>
        <v>0</v>
      </c>
      <c r="AL120" s="30">
        <f>'Equity Volume Data'!AO120*'Equity Price Data'!AR121</f>
        <v>35905.6</v>
      </c>
      <c r="AM120" s="30">
        <f>'Equity Volume Data'!AP120*'Equity Price Data'!AS121</f>
        <v>38215.8</v>
      </c>
      <c r="AN120" s="30">
        <f>'Equity Volume Data'!AQ120*'Equity Price Data'!AT121</f>
        <v>10634.75</v>
      </c>
      <c r="AO120" s="30">
        <f>'Equity Volume Data'!AR120*'Equity Price Data'!AU121</f>
        <v>25585.84</v>
      </c>
      <c r="AP120" s="30">
        <f>'Equity Volume Data'!AS120*'Equity Price Data'!AV121</f>
        <v>22625</v>
      </c>
      <c r="AQ120" s="30">
        <f>'Equity Volume Data'!AT120*'Equity Price Data'!AW121</f>
        <v>18299.6</v>
      </c>
      <c r="AR120" s="30">
        <f>'Equity Volume Data'!AU120*'Equity Price Data'!AX121</f>
        <v>0</v>
      </c>
      <c r="AS120" s="30">
        <f>'Equity Volume Data'!AV120*'Equity Price Data'!AY121</f>
        <v>51903.6</v>
      </c>
      <c r="AT120" s="30">
        <f>'Equity Volume Data'!AW120*'Equity Price Data'!AZ121</f>
        <v>15818</v>
      </c>
      <c r="AU120" s="30">
        <f>'Equity Volume Data'!AX120*'Equity Price Data'!BA121</f>
        <v>0</v>
      </c>
      <c r="AV120" s="30">
        <f>'Equity Volume Data'!AY120*'Equity Price Data'!BB121</f>
        <v>19786.28</v>
      </c>
      <c r="AW120" s="30">
        <f>'Equity Volume Data'!AZ120*'Equity Price Data'!BC121</f>
        <v>3931.2</v>
      </c>
      <c r="AX120" s="30">
        <f>'Equity Volume Data'!BA120*'Equity Price Data'!BD121</f>
        <v>3904.8</v>
      </c>
      <c r="AY120" s="30">
        <f>'Equity Volume Data'!BB120*'Equity Price Data'!BE121</f>
        <v>17563.38</v>
      </c>
      <c r="AZ120" s="30">
        <f>'Equity Volume Data'!BC120*'Equity Price Data'!BF121</f>
        <v>11733</v>
      </c>
      <c r="BA120" s="30">
        <f>'Equity Volume Data'!BD120*'Equity Price Data'!BG121</f>
        <v>5418.8</v>
      </c>
      <c r="BB120" s="30">
        <f>'Equity Volume Data'!BE120*'Equity Price Data'!BH121</f>
        <v>9748.8</v>
      </c>
      <c r="BC120" s="30">
        <f>'Equity Volume Data'!BF120*'Equity Price Data'!BI121</f>
        <v>0</v>
      </c>
      <c r="BD120" s="30">
        <f>'Equity Volume Data'!BG120*'Equity Price Data'!BJ121</f>
        <v>47450.01</v>
      </c>
      <c r="BE120" s="30">
        <f>'Equity Volume Data'!BH120*'Equity Price Data'!BK121</f>
        <v>12664.26</v>
      </c>
      <c r="BF120" s="30">
        <f>'Equity Volume Data'!BI120*'Equity Price Data'!BL121</f>
        <v>7008.4</v>
      </c>
      <c r="BG120" s="30">
        <f>'Equity Volume Data'!BJ120*'Equity Price Data'!BM121</f>
        <v>22773.76</v>
      </c>
      <c r="BH120" s="30">
        <f>'Equity Volume Data'!BK120*'Equity Price Data'!BN121</f>
        <v>0</v>
      </c>
      <c r="BI120" s="30">
        <f>'Equity Volume Data'!BL120*'Equity Price Data'!BO121</f>
        <v>37147.2</v>
      </c>
      <c r="BJ120" s="30">
        <f>'Equity Volume Data'!BM120*'Equity Price Data'!BP121</f>
        <v>42222</v>
      </c>
      <c r="BK120" s="30">
        <f>'Equity Volume Data'!BN120*'Equity Price Data'!BQ121</f>
        <v>87901.56</v>
      </c>
      <c r="BL120" s="30">
        <f>'Equity Volume Data'!BO120*'Equity Price Data'!BR121</f>
        <v>558.83</v>
      </c>
      <c r="BM120" s="30">
        <f>'Equity Volume Data'!BP120*'Equity Price Data'!BS121</f>
        <v>10311.36</v>
      </c>
      <c r="BN120" s="30">
        <f>'Equity Volume Data'!BQ120*'Equity Price Data'!BT121</f>
        <v>17875.04</v>
      </c>
      <c r="BO120" s="30">
        <f>'Equity Volume Data'!BR120*'Equity Price Data'!BU121</f>
        <v>38908</v>
      </c>
    </row>
    <row r="121">
      <c r="A121" s="25">
        <f>'Equity Price Data'!A122</f>
        <v>45596.66667</v>
      </c>
      <c r="B121" s="29">
        <f t="shared" si="1"/>
        <v>1286647.5</v>
      </c>
      <c r="C121" s="30">
        <f>'Equity Volume Data'!F121*'Equity Price Data'!I122</f>
        <v>6215.04</v>
      </c>
      <c r="D121" s="30">
        <f>'Equity Volume Data'!G121*'Equity Price Data'!J122</f>
        <v>48464</v>
      </c>
      <c r="E121" s="30">
        <f>'Equity Volume Data'!H121*'Equity Price Data'!K122</f>
        <v>15192.1</v>
      </c>
      <c r="F121" s="30">
        <f>'Equity Volume Data'!I121*'Equity Price Data'!L122</f>
        <v>57832.96</v>
      </c>
      <c r="G121" s="30">
        <f>'Equity Volume Data'!J121*'Equity Price Data'!M122</f>
        <v>15071.14</v>
      </c>
      <c r="H121" s="30">
        <f>'Equity Volume Data'!K121*'Equity Price Data'!N122</f>
        <v>14167.68</v>
      </c>
      <c r="I121" s="30">
        <f>'Equity Volume Data'!L121*'Equity Price Data'!O122</f>
        <v>12410</v>
      </c>
      <c r="J121" s="30">
        <f>'Equity Volume Data'!M121*'Equity Price Data'!P122</f>
        <v>45993.84</v>
      </c>
      <c r="K121" s="30">
        <f>'Equity Volume Data'!N121*'Equity Price Data'!Q122</f>
        <v>11092</v>
      </c>
      <c r="L121" s="30">
        <f>'Equity Volume Data'!O121*'Equity Price Data'!R122</f>
        <v>21054</v>
      </c>
      <c r="M121" s="30">
        <f>'Equity Volume Data'!P121*'Equity Price Data'!S122</f>
        <v>0</v>
      </c>
      <c r="N121" s="30">
        <f>'Equity Volume Data'!Q121*'Equity Price Data'!T122</f>
        <v>5817.6</v>
      </c>
      <c r="O121" s="30">
        <f>'Equity Volume Data'!R121*'Equity Price Data'!U122</f>
        <v>56430</v>
      </c>
      <c r="P121" s="30">
        <f>'Equity Volume Data'!S121*'Equity Price Data'!V122</f>
        <v>21775.74</v>
      </c>
      <c r="Q121" s="30">
        <f>'Equity Volume Data'!T121*'Equity Price Data'!W122</f>
        <v>20785.2</v>
      </c>
      <c r="R121" s="30">
        <f>'Equity Volume Data'!U121*'Equity Price Data'!X122</f>
        <v>11905.6</v>
      </c>
      <c r="S121" s="30">
        <f>'Equity Volume Data'!V121*'Equity Price Data'!Y122</f>
        <v>27703.28</v>
      </c>
      <c r="T121" s="30">
        <f>'Equity Volume Data'!W121*'Equity Price Data'!Z122</f>
        <v>10530</v>
      </c>
      <c r="U121" s="30">
        <f>'Equity Volume Data'!X121*'Equity Price Data'!AA122</f>
        <v>17241.84</v>
      </c>
      <c r="V121" s="30">
        <f>'Equity Volume Data'!Y121*'Equity Price Data'!AB122</f>
        <v>16370.48</v>
      </c>
      <c r="W121" s="30">
        <f>'Equity Volume Data'!Z121*'Equity Price Data'!AC122</f>
        <v>12297.87</v>
      </c>
      <c r="X121" s="30">
        <f>'Equity Volume Data'!AA121*'Equity Price Data'!AD122</f>
        <v>16160</v>
      </c>
      <c r="Y121" s="30">
        <f>'Equity Volume Data'!AB121*'Equity Price Data'!AE122</f>
        <v>5378.49</v>
      </c>
      <c r="Z121" s="30">
        <f>'Equity Volume Data'!AC121*'Equity Price Data'!AF122</f>
        <v>8626.5</v>
      </c>
      <c r="AA121" s="30">
        <f>'Equity Volume Data'!AD121*'Equity Price Data'!AG122</f>
        <v>19852.6</v>
      </c>
      <c r="AB121" s="30">
        <f>'Equity Volume Data'!AE121*'Equity Price Data'!AH122</f>
        <v>8215.5</v>
      </c>
      <c r="AC121" s="30">
        <f>'Equity Volume Data'!AF121*'Equity Price Data'!AI122</f>
        <v>19035.2</v>
      </c>
      <c r="AD121" s="30">
        <f>'Equity Volume Data'!AG121*'Equity Price Data'!AJ122</f>
        <v>13122.45</v>
      </c>
      <c r="AE121" s="30">
        <f>'Equity Volume Data'!AH121*'Equity Price Data'!AK122</f>
        <v>10152</v>
      </c>
      <c r="AF121" s="30">
        <f>'Equity Volume Data'!AI121*'Equity Price Data'!AL122</f>
        <v>18208.1</v>
      </c>
      <c r="AG121" s="30">
        <f>'Equity Volume Data'!AJ121*'Equity Price Data'!AM122</f>
        <v>31067.4</v>
      </c>
      <c r="AH121" s="30">
        <f>'Equity Volume Data'!AK121*'Equity Price Data'!AN122</f>
        <v>39375</v>
      </c>
      <c r="AI121" s="30">
        <f>'Equity Volume Data'!AL121*'Equity Price Data'!AO122</f>
        <v>20252.75</v>
      </c>
      <c r="AJ121" s="30">
        <f>'Equity Volume Data'!AM121*'Equity Price Data'!AP122</f>
        <v>20263.1</v>
      </c>
      <c r="AK121" s="30">
        <f>'Equity Volume Data'!AN121*'Equity Price Data'!AQ122</f>
        <v>0</v>
      </c>
      <c r="AL121" s="30">
        <f>'Equity Volume Data'!AO121*'Equity Price Data'!AR122</f>
        <v>35507.2</v>
      </c>
      <c r="AM121" s="30">
        <f>'Equity Volume Data'!AP121*'Equity Price Data'!AS122</f>
        <v>38223.5</v>
      </c>
      <c r="AN121" s="30">
        <f>'Equity Volume Data'!AQ121*'Equity Price Data'!AT122</f>
        <v>10426.5</v>
      </c>
      <c r="AO121" s="30">
        <f>'Equity Volume Data'!AR121*'Equity Price Data'!AU122</f>
        <v>24945.34</v>
      </c>
      <c r="AP121" s="30">
        <f>'Equity Volume Data'!AS121*'Equity Price Data'!AV122</f>
        <v>22312.5</v>
      </c>
      <c r="AQ121" s="30">
        <f>'Equity Volume Data'!AT121*'Equity Price Data'!AW122</f>
        <v>17252.4</v>
      </c>
      <c r="AR121" s="30">
        <f>'Equity Volume Data'!AU121*'Equity Price Data'!AX122</f>
        <v>0</v>
      </c>
      <c r="AS121" s="30">
        <f>'Equity Volume Data'!AV121*'Equity Price Data'!AY122</f>
        <v>48762</v>
      </c>
      <c r="AT121" s="30">
        <f>'Equity Volume Data'!AW121*'Equity Price Data'!AZ122</f>
        <v>15850</v>
      </c>
      <c r="AU121" s="30">
        <f>'Equity Volume Data'!AX121*'Equity Price Data'!BA122</f>
        <v>0</v>
      </c>
      <c r="AV121" s="30">
        <f>'Equity Volume Data'!AY121*'Equity Price Data'!BB122</f>
        <v>18851.92</v>
      </c>
      <c r="AW121" s="30">
        <f>'Equity Volume Data'!AZ121*'Equity Price Data'!BC122</f>
        <v>3928</v>
      </c>
      <c r="AX121" s="30">
        <f>'Equity Volume Data'!BA121*'Equity Price Data'!BD122</f>
        <v>3793.6</v>
      </c>
      <c r="AY121" s="30">
        <f>'Equity Volume Data'!BB121*'Equity Price Data'!BE122</f>
        <v>16707.12</v>
      </c>
      <c r="AZ121" s="30">
        <f>'Equity Volume Data'!BC121*'Equity Price Data'!BF122</f>
        <v>11895</v>
      </c>
      <c r="BA121" s="30">
        <f>'Equity Volume Data'!BD121*'Equity Price Data'!BG122</f>
        <v>5377</v>
      </c>
      <c r="BB121" s="30">
        <f>'Equity Volume Data'!BE121*'Equity Price Data'!BH122</f>
        <v>9679.2</v>
      </c>
      <c r="BC121" s="30">
        <f>'Equity Volume Data'!BF121*'Equity Price Data'!BI122</f>
        <v>0</v>
      </c>
      <c r="BD121" s="30">
        <f>'Equity Volume Data'!BG121*'Equity Price Data'!BJ122</f>
        <v>47533.08</v>
      </c>
      <c r="BE121" s="30">
        <f>'Equity Volume Data'!BH121*'Equity Price Data'!BK122</f>
        <v>12565.36</v>
      </c>
      <c r="BF121" s="30">
        <f>'Equity Volume Data'!BI121*'Equity Price Data'!BL122</f>
        <v>6920.8</v>
      </c>
      <c r="BG121" s="30">
        <f>'Equity Volume Data'!BJ121*'Equity Price Data'!BM122</f>
        <v>22787.66</v>
      </c>
      <c r="BH121" s="30">
        <f>'Equity Volume Data'!BK121*'Equity Price Data'!BN122</f>
        <v>0</v>
      </c>
      <c r="BI121" s="30">
        <f>'Equity Volume Data'!BL121*'Equity Price Data'!BO122</f>
        <v>37131.2</v>
      </c>
      <c r="BJ121" s="30">
        <f>'Equity Volume Data'!BM121*'Equity Price Data'!BP122</f>
        <v>42337.5</v>
      </c>
      <c r="BK121" s="30">
        <f>'Equity Volume Data'!BN121*'Equity Price Data'!BQ122</f>
        <v>87901.56</v>
      </c>
      <c r="BL121" s="30">
        <f>'Equity Volume Data'!BO121*'Equity Price Data'!BR122</f>
        <v>545.2</v>
      </c>
      <c r="BM121" s="30">
        <f>'Equity Volume Data'!BP121*'Equity Price Data'!BS122</f>
        <v>10360.8</v>
      </c>
      <c r="BN121" s="30">
        <f>'Equity Volume Data'!BQ121*'Equity Price Data'!BT122</f>
        <v>18085.6</v>
      </c>
      <c r="BO121" s="30">
        <f>'Equity Volume Data'!BR121*'Equity Price Data'!BU122</f>
        <v>38908</v>
      </c>
    </row>
    <row r="122">
      <c r="A122" s="25">
        <f>'Equity Price Data'!A123</f>
        <v>45597.66667</v>
      </c>
      <c r="B122" s="29">
        <f t="shared" si="1"/>
        <v>1291681.2</v>
      </c>
      <c r="C122" s="30">
        <f>'Equity Volume Data'!F122*'Equity Price Data'!I123</f>
        <v>6276.4</v>
      </c>
      <c r="D122" s="30">
        <f>'Equity Volume Data'!G122*'Equity Price Data'!J123</f>
        <v>51461.8</v>
      </c>
      <c r="E122" s="30">
        <f>'Equity Volume Data'!H122*'Equity Price Data'!K123</f>
        <v>14960</v>
      </c>
      <c r="F122" s="30">
        <f>'Equity Volume Data'!I122*'Equity Price Data'!L123</f>
        <v>57064.96</v>
      </c>
      <c r="G122" s="30">
        <f>'Equity Volume Data'!J122*'Equity Price Data'!M123</f>
        <v>15220.54</v>
      </c>
      <c r="H122" s="30">
        <f>'Equity Volume Data'!K122*'Equity Price Data'!N123</f>
        <v>14158.28</v>
      </c>
      <c r="I122" s="30">
        <f>'Equity Volume Data'!L122*'Equity Price Data'!O123</f>
        <v>12530</v>
      </c>
      <c r="J122" s="30">
        <f>'Equity Volume Data'!M122*'Equity Price Data'!P123</f>
        <v>46118.28</v>
      </c>
      <c r="K122" s="30">
        <f>'Equity Volume Data'!N122*'Equity Price Data'!Q123</f>
        <v>11188</v>
      </c>
      <c r="L122" s="30">
        <f>'Equity Volume Data'!O122*'Equity Price Data'!R123</f>
        <v>21028.59</v>
      </c>
      <c r="M122" s="30">
        <f>'Equity Volume Data'!P122*'Equity Price Data'!S123</f>
        <v>0</v>
      </c>
      <c r="N122" s="30">
        <f>'Equity Volume Data'!Q122*'Equity Price Data'!T123</f>
        <v>5807.2</v>
      </c>
      <c r="O122" s="30">
        <f>'Equity Volume Data'!R122*'Equity Price Data'!U123</f>
        <v>56944.5</v>
      </c>
      <c r="P122" s="30">
        <f>'Equity Volume Data'!S122*'Equity Price Data'!V123</f>
        <v>21892.5</v>
      </c>
      <c r="Q122" s="30">
        <f>'Equity Volume Data'!T122*'Equity Price Data'!W123</f>
        <v>20460</v>
      </c>
      <c r="R122" s="30">
        <f>'Equity Volume Data'!U122*'Equity Price Data'!X123</f>
        <v>12245.6</v>
      </c>
      <c r="S122" s="30">
        <f>'Equity Volume Data'!V122*'Equity Price Data'!Y123</f>
        <v>27851.12</v>
      </c>
      <c r="T122" s="30">
        <f>'Equity Volume Data'!W122*'Equity Price Data'!Z123</f>
        <v>10455</v>
      </c>
      <c r="U122" s="30">
        <f>'Equity Volume Data'!X122*'Equity Price Data'!AA123</f>
        <v>17162.64</v>
      </c>
      <c r="V122" s="30">
        <f>'Equity Volume Data'!Y122*'Equity Price Data'!AB123</f>
        <v>16100</v>
      </c>
      <c r="W122" s="30">
        <f>'Equity Volume Data'!Z122*'Equity Price Data'!AC123</f>
        <v>12144</v>
      </c>
      <c r="X122" s="30">
        <f>'Equity Volume Data'!AA122*'Equity Price Data'!AD123</f>
        <v>16650</v>
      </c>
      <c r="Y122" s="30">
        <f>'Equity Volume Data'!AB122*'Equity Price Data'!AE123</f>
        <v>5535.79</v>
      </c>
      <c r="Z122" s="30">
        <f>'Equity Volume Data'!AC122*'Equity Price Data'!AF123</f>
        <v>8716.5</v>
      </c>
      <c r="AA122" s="30">
        <f>'Equity Volume Data'!AD122*'Equity Price Data'!AG123</f>
        <v>19541.5</v>
      </c>
      <c r="AB122" s="30">
        <f>'Equity Volume Data'!AE122*'Equity Price Data'!AH123</f>
        <v>8230.5</v>
      </c>
      <c r="AC122" s="30">
        <f>'Equity Volume Data'!AF122*'Equity Price Data'!AI123</f>
        <v>19070.4</v>
      </c>
      <c r="AD122" s="30">
        <f>'Equity Volume Data'!AG122*'Equity Price Data'!AJ123</f>
        <v>13184.55</v>
      </c>
      <c r="AE122" s="30">
        <f>'Equity Volume Data'!AH122*'Equity Price Data'!AK123</f>
        <v>10192</v>
      </c>
      <c r="AF122" s="30">
        <f>'Equity Volume Data'!AI122*'Equity Price Data'!AL123</f>
        <v>18349.55</v>
      </c>
      <c r="AG122" s="30">
        <f>'Equity Volume Data'!AJ122*'Equity Price Data'!AM123</f>
        <v>31161</v>
      </c>
      <c r="AH122" s="30">
        <f>'Equity Volume Data'!AK122*'Equity Price Data'!AN123</f>
        <v>39259</v>
      </c>
      <c r="AI122" s="30">
        <f>'Equity Volume Data'!AL122*'Equity Price Data'!AO123</f>
        <v>20137.25</v>
      </c>
      <c r="AJ122" s="30">
        <f>'Equity Volume Data'!AM122*'Equity Price Data'!AP123</f>
        <v>20103.2</v>
      </c>
      <c r="AK122" s="30">
        <f>'Equity Volume Data'!AN122*'Equity Price Data'!AQ123</f>
        <v>0</v>
      </c>
      <c r="AL122" s="30">
        <f>'Equity Volume Data'!AO122*'Equity Price Data'!AR123</f>
        <v>35670.4</v>
      </c>
      <c r="AM122" s="30">
        <f>'Equity Volume Data'!AP122*'Equity Price Data'!AS123</f>
        <v>38174.5</v>
      </c>
      <c r="AN122" s="30">
        <f>'Equity Volume Data'!AQ122*'Equity Price Data'!AT123</f>
        <v>11240.95</v>
      </c>
      <c r="AO122" s="30">
        <f>'Equity Volume Data'!AR122*'Equity Price Data'!AU123</f>
        <v>25167.38</v>
      </c>
      <c r="AP122" s="30">
        <f>'Equity Volume Data'!AS122*'Equity Price Data'!AV123</f>
        <v>22517.5</v>
      </c>
      <c r="AQ122" s="30">
        <f>'Equity Volume Data'!AT122*'Equity Price Data'!AW123</f>
        <v>17254.6</v>
      </c>
      <c r="AR122" s="30">
        <f>'Equity Volume Data'!AU122*'Equity Price Data'!AX123</f>
        <v>0</v>
      </c>
      <c r="AS122" s="30">
        <f>'Equity Volume Data'!AV122*'Equity Price Data'!AY123</f>
        <v>49244.4</v>
      </c>
      <c r="AT122" s="30">
        <f>'Equity Volume Data'!AW122*'Equity Price Data'!AZ123</f>
        <v>15470</v>
      </c>
      <c r="AU122" s="30">
        <f>'Equity Volume Data'!AX122*'Equity Price Data'!BA123</f>
        <v>0</v>
      </c>
      <c r="AV122" s="30">
        <f>'Equity Volume Data'!AY122*'Equity Price Data'!BB123</f>
        <v>19226.8</v>
      </c>
      <c r="AW122" s="30">
        <f>'Equity Volume Data'!AZ122*'Equity Price Data'!BC123</f>
        <v>3977.6</v>
      </c>
      <c r="AX122" s="30">
        <f>'Equity Volume Data'!BA122*'Equity Price Data'!BD123</f>
        <v>3720</v>
      </c>
      <c r="AY122" s="30">
        <f>'Equity Volume Data'!BB122*'Equity Price Data'!BE123</f>
        <v>16851.84</v>
      </c>
      <c r="AZ122" s="30">
        <f>'Equity Volume Data'!BC122*'Equity Price Data'!BF123</f>
        <v>11587.5</v>
      </c>
      <c r="BA122" s="30">
        <f>'Equity Volume Data'!BD122*'Equity Price Data'!BG123</f>
        <v>5337.1</v>
      </c>
      <c r="BB122" s="30">
        <f>'Equity Volume Data'!BE122*'Equity Price Data'!BH123</f>
        <v>9500</v>
      </c>
      <c r="BC122" s="30">
        <f>'Equity Volume Data'!BF122*'Equity Price Data'!BI123</f>
        <v>0</v>
      </c>
      <c r="BD122" s="30">
        <f>'Equity Volume Data'!BG122*'Equity Price Data'!BJ123</f>
        <v>47558.64</v>
      </c>
      <c r="BE122" s="30">
        <f>'Equity Volume Data'!BH122*'Equity Price Data'!BK123</f>
        <v>12832.16</v>
      </c>
      <c r="BF122" s="30">
        <f>'Equity Volume Data'!BI122*'Equity Price Data'!BL123</f>
        <v>6913.2</v>
      </c>
      <c r="BG122" s="30">
        <f>'Equity Volume Data'!BJ122*'Equity Price Data'!BM123</f>
        <v>22907.2</v>
      </c>
      <c r="BH122" s="30">
        <f>'Equity Volume Data'!BK122*'Equity Price Data'!BN123</f>
        <v>0</v>
      </c>
      <c r="BI122" s="30">
        <f>'Equity Volume Data'!BL122*'Equity Price Data'!BO123</f>
        <v>37230.4</v>
      </c>
      <c r="BJ122" s="30">
        <f>'Equity Volume Data'!BM122*'Equity Price Data'!BP123</f>
        <v>42567</v>
      </c>
      <c r="BK122" s="30">
        <f>'Equity Volume Data'!BN122*'Equity Price Data'!BQ123</f>
        <v>87793.44</v>
      </c>
      <c r="BL122" s="30">
        <f>'Equity Volume Data'!BO122*'Equity Price Data'!BR123</f>
        <v>546.14</v>
      </c>
      <c r="BM122" s="30">
        <f>'Equity Volume Data'!BP122*'Equity Price Data'!BS123</f>
        <v>10271.52</v>
      </c>
      <c r="BN122" s="30">
        <f>'Equity Volume Data'!BQ122*'Equity Price Data'!BT123</f>
        <v>18012.28</v>
      </c>
      <c r="BO122" s="30">
        <f>'Equity Volume Data'!BR122*'Equity Price Data'!BU123</f>
        <v>38908</v>
      </c>
    </row>
    <row r="123">
      <c r="A123" s="25">
        <f>'Equity Price Data'!A124</f>
        <v>45600.66667</v>
      </c>
      <c r="B123" s="29">
        <f t="shared" si="1"/>
        <v>1286273.26</v>
      </c>
      <c r="C123" s="30">
        <f>'Equity Volume Data'!F123*'Equity Price Data'!I124</f>
        <v>6257.55</v>
      </c>
      <c r="D123" s="30">
        <f>'Equity Volume Data'!G123*'Equity Price Data'!J124</f>
        <v>50902.8</v>
      </c>
      <c r="E123" s="30">
        <f>'Equity Volume Data'!H123*'Equity Price Data'!K124</f>
        <v>14883</v>
      </c>
      <c r="F123" s="30">
        <f>'Equity Volume Data'!I123*'Equity Price Data'!L124</f>
        <v>56834.56</v>
      </c>
      <c r="G123" s="30">
        <f>'Equity Volume Data'!J123*'Equity Price Data'!M124</f>
        <v>15091.06</v>
      </c>
      <c r="H123" s="30">
        <f>'Equity Volume Data'!K123*'Equity Price Data'!N124</f>
        <v>14100</v>
      </c>
      <c r="I123" s="30">
        <f>'Equity Volume Data'!L123*'Equity Price Data'!O124</f>
        <v>12680</v>
      </c>
      <c r="J123" s="30">
        <f>'Equity Volume Data'!M123*'Equity Price Data'!P124</f>
        <v>45113.58</v>
      </c>
      <c r="K123" s="30">
        <f>'Equity Volume Data'!N123*'Equity Price Data'!Q124</f>
        <v>11224</v>
      </c>
      <c r="L123" s="30">
        <f>'Equity Volume Data'!O123*'Equity Price Data'!R124</f>
        <v>20995.92</v>
      </c>
      <c r="M123" s="30">
        <f>'Equity Volume Data'!P123*'Equity Price Data'!S124</f>
        <v>0</v>
      </c>
      <c r="N123" s="30">
        <f>'Equity Volume Data'!Q123*'Equity Price Data'!T124</f>
        <v>5792</v>
      </c>
      <c r="O123" s="30">
        <f>'Equity Volume Data'!R123*'Equity Price Data'!U124</f>
        <v>56478</v>
      </c>
      <c r="P123" s="30">
        <f>'Equity Volume Data'!S123*'Equity Price Data'!V124</f>
        <v>21329.55</v>
      </c>
      <c r="Q123" s="30">
        <f>'Equity Volume Data'!T123*'Equity Price Data'!W124</f>
        <v>20421.6</v>
      </c>
      <c r="R123" s="30">
        <f>'Equity Volume Data'!U123*'Equity Price Data'!X124</f>
        <v>12317.6</v>
      </c>
      <c r="S123" s="30">
        <f>'Equity Volume Data'!V123*'Equity Price Data'!Y124</f>
        <v>27484.16</v>
      </c>
      <c r="T123" s="30">
        <f>'Equity Volume Data'!W123*'Equity Price Data'!Z124</f>
        <v>10397.5</v>
      </c>
      <c r="U123" s="30">
        <f>'Equity Volume Data'!X123*'Equity Price Data'!AA124</f>
        <v>17189.04</v>
      </c>
      <c r="V123" s="30">
        <f>'Equity Volume Data'!Y123*'Equity Price Data'!AB124</f>
        <v>15963.15</v>
      </c>
      <c r="W123" s="30">
        <f>'Equity Volume Data'!Z123*'Equity Price Data'!AC124</f>
        <v>12235.08</v>
      </c>
      <c r="X123" s="30">
        <f>'Equity Volume Data'!AA123*'Equity Price Data'!AD124</f>
        <v>16702.5</v>
      </c>
      <c r="Y123" s="30">
        <f>'Equity Volume Data'!AB123*'Equity Price Data'!AE124</f>
        <v>5589.74</v>
      </c>
      <c r="Z123" s="30">
        <f>'Equity Volume Data'!AC123*'Equity Price Data'!AF124</f>
        <v>9034.5</v>
      </c>
      <c r="AA123" s="30">
        <f>'Equity Volume Data'!AD123*'Equity Price Data'!AG124</f>
        <v>20163.7</v>
      </c>
      <c r="AB123" s="30">
        <f>'Equity Volume Data'!AE123*'Equity Price Data'!AH124</f>
        <v>8135.4</v>
      </c>
      <c r="AC123" s="30">
        <f>'Equity Volume Data'!AF123*'Equity Price Data'!AI124</f>
        <v>19042</v>
      </c>
      <c r="AD123" s="30">
        <f>'Equity Volume Data'!AG123*'Equity Price Data'!AJ124</f>
        <v>13212</v>
      </c>
      <c r="AE123" s="30">
        <f>'Equity Volume Data'!AH123*'Equity Price Data'!AK124</f>
        <v>10360</v>
      </c>
      <c r="AF123" s="30">
        <f>'Equity Volume Data'!AI123*'Equity Price Data'!AL124</f>
        <v>18417.2</v>
      </c>
      <c r="AG123" s="30">
        <f>'Equity Volume Data'!AJ123*'Equity Price Data'!AM124</f>
        <v>30688.2</v>
      </c>
      <c r="AH123" s="30">
        <f>'Equity Volume Data'!AK123*'Equity Price Data'!AN124</f>
        <v>39557</v>
      </c>
      <c r="AI123" s="30">
        <f>'Equity Volume Data'!AL123*'Equity Price Data'!AO124</f>
        <v>20685</v>
      </c>
      <c r="AJ123" s="30">
        <f>'Equity Volume Data'!AM123*'Equity Price Data'!AP124</f>
        <v>20083.7</v>
      </c>
      <c r="AK123" s="30">
        <f>'Equity Volume Data'!AN123*'Equity Price Data'!AQ124</f>
        <v>0</v>
      </c>
      <c r="AL123" s="30">
        <f>'Equity Volume Data'!AO123*'Equity Price Data'!AR124</f>
        <v>35164.8</v>
      </c>
      <c r="AM123" s="30">
        <f>'Equity Volume Data'!AP123*'Equity Price Data'!AS124</f>
        <v>38017</v>
      </c>
      <c r="AN123" s="30">
        <f>'Equity Volume Data'!AQ123*'Equity Price Data'!AT124</f>
        <v>11134.55</v>
      </c>
      <c r="AO123" s="30">
        <f>'Equity Volume Data'!AR123*'Equity Price Data'!AU124</f>
        <v>25363.8</v>
      </c>
      <c r="AP123" s="30">
        <f>'Equity Volume Data'!AS123*'Equity Price Data'!AV124</f>
        <v>22327.5</v>
      </c>
      <c r="AQ123" s="30">
        <f>'Equity Volume Data'!AT123*'Equity Price Data'!AW124</f>
        <v>17283.2</v>
      </c>
      <c r="AR123" s="30">
        <f>'Equity Volume Data'!AU123*'Equity Price Data'!AX124</f>
        <v>0</v>
      </c>
      <c r="AS123" s="30">
        <f>'Equity Volume Data'!AV123*'Equity Price Data'!AY124</f>
        <v>49015.2</v>
      </c>
      <c r="AT123" s="30">
        <f>'Equity Volume Data'!AW123*'Equity Price Data'!AZ124</f>
        <v>15674</v>
      </c>
      <c r="AU123" s="30">
        <f>'Equity Volume Data'!AX123*'Equity Price Data'!BA124</f>
        <v>0</v>
      </c>
      <c r="AV123" s="30">
        <f>'Equity Volume Data'!AY123*'Equity Price Data'!BB124</f>
        <v>19319.1</v>
      </c>
      <c r="AW123" s="30">
        <f>'Equity Volume Data'!AZ123*'Equity Price Data'!BC124</f>
        <v>3977.6</v>
      </c>
      <c r="AX123" s="30">
        <f>'Equity Volume Data'!BA123*'Equity Price Data'!BD124</f>
        <v>3704</v>
      </c>
      <c r="AY123" s="30">
        <f>'Equity Volume Data'!BB123*'Equity Price Data'!BE124</f>
        <v>16646.82</v>
      </c>
      <c r="AZ123" s="30">
        <f>'Equity Volume Data'!BC123*'Equity Price Data'!BF124</f>
        <v>11719.5</v>
      </c>
      <c r="BA123" s="30">
        <f>'Equity Volume Data'!BD123*'Equity Price Data'!BG124</f>
        <v>5274.4</v>
      </c>
      <c r="BB123" s="30">
        <f>'Equity Volume Data'!BE123*'Equity Price Data'!BH124</f>
        <v>9440</v>
      </c>
      <c r="BC123" s="30">
        <f>'Equity Volume Data'!BF123*'Equity Price Data'!BI124</f>
        <v>0</v>
      </c>
      <c r="BD123" s="30">
        <f>'Equity Volume Data'!BG123*'Equity Price Data'!BJ124</f>
        <v>47765.25</v>
      </c>
      <c r="BE123" s="30">
        <f>'Equity Volume Data'!BH123*'Equity Price Data'!BK124</f>
        <v>12775.81</v>
      </c>
      <c r="BF123" s="30">
        <f>'Equity Volume Data'!BI123*'Equity Price Data'!BL124</f>
        <v>6908</v>
      </c>
      <c r="BG123" s="30">
        <f>'Equity Volume Data'!BJ123*'Equity Price Data'!BM124</f>
        <v>23621.66</v>
      </c>
      <c r="BH123" s="30">
        <f>'Equity Volume Data'!BK123*'Equity Price Data'!BN124</f>
        <v>0</v>
      </c>
      <c r="BI123" s="30">
        <f>'Equity Volume Data'!BL123*'Equity Price Data'!BO124</f>
        <v>36785.6</v>
      </c>
      <c r="BJ123" s="30">
        <f>'Equity Volume Data'!BM123*'Equity Price Data'!BP124</f>
        <v>41832.75</v>
      </c>
      <c r="BK123" s="30">
        <f>'Equity Volume Data'!BN123*'Equity Price Data'!BQ124</f>
        <v>87793.44</v>
      </c>
      <c r="BL123" s="30">
        <f>'Equity Volume Data'!BO123*'Equity Price Data'!BR124</f>
        <v>538.15</v>
      </c>
      <c r="BM123" s="30">
        <f>'Equity Volume Data'!BP123*'Equity Price Data'!BS124</f>
        <v>10283.52</v>
      </c>
      <c r="BN123" s="30">
        <f>'Equity Volume Data'!BQ123*'Equity Price Data'!BT124</f>
        <v>18008.52</v>
      </c>
      <c r="BO123" s="30">
        <f>'Equity Volume Data'!BR123*'Equity Price Data'!BU124</f>
        <v>36538</v>
      </c>
    </row>
    <row r="124">
      <c r="A124" s="25">
        <f>'Equity Price Data'!A125</f>
        <v>45601.66667</v>
      </c>
      <c r="B124" s="29">
        <f t="shared" si="1"/>
        <v>1301510.23</v>
      </c>
      <c r="C124" s="30">
        <f>'Equity Volume Data'!F124*'Equity Price Data'!I125</f>
        <v>6323.46</v>
      </c>
      <c r="D124" s="30">
        <f>'Equity Volume Data'!G124*'Equity Price Data'!J125</f>
        <v>51870</v>
      </c>
      <c r="E124" s="30">
        <f>'Equity Volume Data'!H124*'Equity Price Data'!K125</f>
        <v>15082.1</v>
      </c>
      <c r="F124" s="30">
        <f>'Equity Volume Data'!I124*'Equity Price Data'!L125</f>
        <v>57203.2</v>
      </c>
      <c r="G124" s="30">
        <f>'Equity Volume Data'!J124*'Equity Price Data'!M125</f>
        <v>15477.84</v>
      </c>
      <c r="H124" s="30">
        <f>'Equity Volume Data'!K124*'Equity Price Data'!N125</f>
        <v>14289.88</v>
      </c>
      <c r="I124" s="30">
        <f>'Equity Volume Data'!L124*'Equity Price Data'!O125</f>
        <v>12860</v>
      </c>
      <c r="J124" s="30">
        <f>'Equity Volume Data'!M124*'Equity Price Data'!P125</f>
        <v>45396.12</v>
      </c>
      <c r="K124" s="30">
        <f>'Equity Volume Data'!N124*'Equity Price Data'!Q125</f>
        <v>11336</v>
      </c>
      <c r="L124" s="30">
        <f>'Equity Volume Data'!O124*'Equity Price Data'!R125</f>
        <v>21408.53</v>
      </c>
      <c r="M124" s="30">
        <f>'Equity Volume Data'!P124*'Equity Price Data'!S125</f>
        <v>0</v>
      </c>
      <c r="N124" s="30">
        <f>'Equity Volume Data'!Q124*'Equity Price Data'!T125</f>
        <v>5912</v>
      </c>
      <c r="O124" s="30">
        <f>'Equity Volume Data'!R124*'Equity Price Data'!U125</f>
        <v>57505.5</v>
      </c>
      <c r="P124" s="30">
        <f>'Equity Volume Data'!S124*'Equity Price Data'!V125</f>
        <v>21375.42</v>
      </c>
      <c r="Q124" s="30">
        <f>'Equity Volume Data'!T124*'Equity Price Data'!W125</f>
        <v>20524.8</v>
      </c>
      <c r="R124" s="30">
        <f>'Equity Volume Data'!U124*'Equity Price Data'!X125</f>
        <v>12272.8</v>
      </c>
      <c r="S124" s="30">
        <f>'Equity Volume Data'!V124*'Equity Price Data'!Y125</f>
        <v>28018.32</v>
      </c>
      <c r="T124" s="30">
        <f>'Equity Volume Data'!W124*'Equity Price Data'!Z125</f>
        <v>10555</v>
      </c>
      <c r="U124" s="30">
        <f>'Equity Volume Data'!X124*'Equity Price Data'!AA125</f>
        <v>17257.68</v>
      </c>
      <c r="V124" s="30">
        <f>'Equity Volume Data'!Y124*'Equity Price Data'!AB125</f>
        <v>16071.02</v>
      </c>
      <c r="W124" s="30">
        <f>'Equity Volume Data'!Z124*'Equity Price Data'!AC125</f>
        <v>12490.38</v>
      </c>
      <c r="X124" s="30">
        <f>'Equity Volume Data'!AA124*'Equity Price Data'!AD125</f>
        <v>16692.5</v>
      </c>
      <c r="Y124" s="30">
        <f>'Equity Volume Data'!AB124*'Equity Price Data'!AE125</f>
        <v>5564</v>
      </c>
      <c r="Z124" s="30">
        <f>'Equity Volume Data'!AC124*'Equity Price Data'!AF125</f>
        <v>9226.5</v>
      </c>
      <c r="AA124" s="30">
        <f>'Equity Volume Data'!AD124*'Equity Price Data'!AG125</f>
        <v>20223.2</v>
      </c>
      <c r="AB124" s="30">
        <f>'Equity Volume Data'!AE124*'Equity Price Data'!AH125</f>
        <v>8262.6</v>
      </c>
      <c r="AC124" s="30">
        <f>'Equity Volume Data'!AF124*'Equity Price Data'!AI125</f>
        <v>17640</v>
      </c>
      <c r="AD124" s="30">
        <f>'Equity Volume Data'!AG124*'Equity Price Data'!AJ125</f>
        <v>13349.25</v>
      </c>
      <c r="AE124" s="30">
        <f>'Equity Volume Data'!AH124*'Equity Price Data'!AK125</f>
        <v>10740</v>
      </c>
      <c r="AF124" s="30">
        <f>'Equity Volume Data'!AI124*'Equity Price Data'!AL125</f>
        <v>18495.1</v>
      </c>
      <c r="AG124" s="30">
        <f>'Equity Volume Data'!AJ124*'Equity Price Data'!AM125</f>
        <v>31617.6</v>
      </c>
      <c r="AH124" s="30">
        <f>'Equity Volume Data'!AK124*'Equity Price Data'!AN125</f>
        <v>40009</v>
      </c>
      <c r="AI124" s="30">
        <f>'Equity Volume Data'!AL124*'Equity Price Data'!AO125</f>
        <v>21056</v>
      </c>
      <c r="AJ124" s="30">
        <f>'Equity Volume Data'!AM124*'Equity Price Data'!AP125</f>
        <v>20520.5</v>
      </c>
      <c r="AK124" s="30">
        <f>'Equity Volume Data'!AN124*'Equity Price Data'!AQ125</f>
        <v>0</v>
      </c>
      <c r="AL124" s="30">
        <f>'Equity Volume Data'!AO124*'Equity Price Data'!AR125</f>
        <v>35438.4</v>
      </c>
      <c r="AM124" s="30">
        <f>'Equity Volume Data'!AP124*'Equity Price Data'!AS125</f>
        <v>38272.5</v>
      </c>
      <c r="AN124" s="30">
        <f>'Equity Volume Data'!AQ124*'Equity Price Data'!AT125</f>
        <v>11173.05</v>
      </c>
      <c r="AO124" s="30">
        <f>'Equity Volume Data'!AR124*'Equity Price Data'!AU125</f>
        <v>25611.46</v>
      </c>
      <c r="AP124" s="30">
        <f>'Equity Volume Data'!AS124*'Equity Price Data'!AV125</f>
        <v>22420</v>
      </c>
      <c r="AQ124" s="30">
        <f>'Equity Volume Data'!AT124*'Equity Price Data'!AW125</f>
        <v>17193</v>
      </c>
      <c r="AR124" s="30">
        <f>'Equity Volume Data'!AU124*'Equity Price Data'!AX125</f>
        <v>0</v>
      </c>
      <c r="AS124" s="30">
        <f>'Equity Volume Data'!AV124*'Equity Price Data'!AY125</f>
        <v>49375.2</v>
      </c>
      <c r="AT124" s="30">
        <f>'Equity Volume Data'!AW124*'Equity Price Data'!AZ125</f>
        <v>15730</v>
      </c>
      <c r="AU124" s="30">
        <f>'Equity Volume Data'!AX124*'Equity Price Data'!BA125</f>
        <v>0</v>
      </c>
      <c r="AV124" s="30">
        <f>'Equity Volume Data'!AY124*'Equity Price Data'!BB125</f>
        <v>19867.22</v>
      </c>
      <c r="AW124" s="30">
        <f>'Equity Volume Data'!AZ124*'Equity Price Data'!BC125</f>
        <v>4006.4</v>
      </c>
      <c r="AX124" s="30">
        <f>'Equity Volume Data'!BA124*'Equity Price Data'!BD125</f>
        <v>3830.4</v>
      </c>
      <c r="AY124" s="30">
        <f>'Equity Volume Data'!BB124*'Equity Price Data'!BE125</f>
        <v>20554.26</v>
      </c>
      <c r="AZ124" s="30">
        <f>'Equity Volume Data'!BC124*'Equity Price Data'!BF125</f>
        <v>11887.5</v>
      </c>
      <c r="BA124" s="30">
        <f>'Equity Volume Data'!BD124*'Equity Price Data'!BG125</f>
        <v>5318.1</v>
      </c>
      <c r="BB124" s="30">
        <f>'Equity Volume Data'!BE124*'Equity Price Data'!BH125</f>
        <v>9518.4</v>
      </c>
      <c r="BC124" s="30">
        <f>'Equity Volume Data'!BF124*'Equity Price Data'!BI125</f>
        <v>0</v>
      </c>
      <c r="BD124" s="30">
        <f>'Equity Volume Data'!BG124*'Equity Price Data'!BJ125</f>
        <v>48374.43</v>
      </c>
      <c r="BE124" s="30">
        <f>'Equity Volume Data'!BH124*'Equity Price Data'!BK125</f>
        <v>12898.17</v>
      </c>
      <c r="BF124" s="30">
        <f>'Equity Volume Data'!BI124*'Equity Price Data'!BL125</f>
        <v>6989.2</v>
      </c>
      <c r="BG124" s="30">
        <f>'Equity Volume Data'!BJ124*'Equity Price Data'!BM125</f>
        <v>23074</v>
      </c>
      <c r="BH124" s="30">
        <f>'Equity Volume Data'!BK124*'Equity Price Data'!BN125</f>
        <v>0</v>
      </c>
      <c r="BI124" s="30">
        <f>'Equity Volume Data'!BL124*'Equity Price Data'!BO125</f>
        <v>37419.2</v>
      </c>
      <c r="BJ124" s="30">
        <f>'Equity Volume Data'!BM124*'Equity Price Data'!BP125</f>
        <v>42527.25</v>
      </c>
      <c r="BK124" s="30">
        <f>'Equity Volume Data'!BN124*'Equity Price Data'!BQ125</f>
        <v>87793.44</v>
      </c>
      <c r="BL124" s="30">
        <f>'Equity Volume Data'!BO124*'Equity Price Data'!BR125</f>
        <v>545.67</v>
      </c>
      <c r="BM124" s="30">
        <f>'Equity Volume Data'!BP124*'Equity Price Data'!BS125</f>
        <v>10362.24</v>
      </c>
      <c r="BN124" s="30">
        <f>'Equity Volume Data'!BQ124*'Equity Price Data'!BT125</f>
        <v>18166.44</v>
      </c>
      <c r="BO124" s="30">
        <f>'Equity Volume Data'!BR124*'Equity Price Data'!BU125</f>
        <v>36538</v>
      </c>
    </row>
    <row r="125">
      <c r="A125" s="25">
        <f>'Equity Price Data'!A126</f>
        <v>45602.66667</v>
      </c>
      <c r="B125" s="29">
        <f t="shared" si="1"/>
        <v>1334078.3</v>
      </c>
      <c r="C125" s="30">
        <f>'Equity Volume Data'!F125*'Equity Price Data'!I126</f>
        <v>6562.79</v>
      </c>
      <c r="D125" s="30">
        <f>'Equity Volume Data'!G125*'Equity Price Data'!J126</f>
        <v>53843.4</v>
      </c>
      <c r="E125" s="30">
        <f>'Equity Volume Data'!H125*'Equity Price Data'!K126</f>
        <v>14693.8</v>
      </c>
      <c r="F125" s="30">
        <f>'Equity Volume Data'!I125*'Equity Price Data'!L126</f>
        <v>57016.32</v>
      </c>
      <c r="G125" s="30">
        <f>'Equity Volume Data'!J125*'Equity Price Data'!M126</f>
        <v>15564.16</v>
      </c>
      <c r="H125" s="30">
        <f>'Equity Volume Data'!K125*'Equity Price Data'!N126</f>
        <v>14701.6</v>
      </c>
      <c r="I125" s="30">
        <f>'Equity Volume Data'!L125*'Equity Price Data'!O126</f>
        <v>13490</v>
      </c>
      <c r="J125" s="30">
        <f>'Equity Volume Data'!M125*'Equity Price Data'!P126</f>
        <v>47827.8</v>
      </c>
      <c r="K125" s="30">
        <f>'Equity Volume Data'!N125*'Equity Price Data'!Q126</f>
        <v>11188</v>
      </c>
      <c r="L125" s="30">
        <f>'Equity Volume Data'!O125*'Equity Price Data'!R126</f>
        <v>21102.4</v>
      </c>
      <c r="M125" s="30">
        <f>'Equity Volume Data'!P125*'Equity Price Data'!S126</f>
        <v>0</v>
      </c>
      <c r="N125" s="30">
        <f>'Equity Volume Data'!Q125*'Equity Price Data'!T126</f>
        <v>6030.4</v>
      </c>
      <c r="O125" s="30">
        <f>'Equity Volume Data'!R125*'Equity Price Data'!U126</f>
        <v>62532</v>
      </c>
      <c r="P125" s="30">
        <f>'Equity Volume Data'!S125*'Equity Price Data'!V126</f>
        <v>21354.57</v>
      </c>
      <c r="Q125" s="30">
        <f>'Equity Volume Data'!T125*'Equity Price Data'!W126</f>
        <v>20881.2</v>
      </c>
      <c r="R125" s="30">
        <f>'Equity Volume Data'!U125*'Equity Price Data'!X126</f>
        <v>12617.6</v>
      </c>
      <c r="S125" s="30">
        <f>'Equity Volume Data'!V125*'Equity Price Data'!Y126</f>
        <v>27739.36</v>
      </c>
      <c r="T125" s="30">
        <f>'Equity Volume Data'!W125*'Equity Price Data'!Z126</f>
        <v>12077.5</v>
      </c>
      <c r="U125" s="30">
        <f>'Equity Volume Data'!X125*'Equity Price Data'!AA126</f>
        <v>16816.8</v>
      </c>
      <c r="V125" s="30">
        <f>'Equity Volume Data'!Y125*'Equity Price Data'!AB126</f>
        <v>15932.56</v>
      </c>
      <c r="W125" s="30">
        <f>'Equity Volume Data'!Z125*'Equity Price Data'!AC126</f>
        <v>11979.78</v>
      </c>
      <c r="X125" s="30">
        <f>'Equity Volume Data'!AA125*'Equity Price Data'!AD126</f>
        <v>15602.5</v>
      </c>
      <c r="Y125" s="30">
        <f>'Equity Volume Data'!AB125*'Equity Price Data'!AE126</f>
        <v>5745.35</v>
      </c>
      <c r="Z125" s="30">
        <f>'Equity Volume Data'!AC125*'Equity Price Data'!AF126</f>
        <v>9162</v>
      </c>
      <c r="AA125" s="30">
        <f>'Equity Volume Data'!AD125*'Equity Price Data'!AG126</f>
        <v>20570</v>
      </c>
      <c r="AB125" s="30">
        <f>'Equity Volume Data'!AE125*'Equity Price Data'!AH126</f>
        <v>8401.8</v>
      </c>
      <c r="AC125" s="30">
        <f>'Equity Volume Data'!AF125*'Equity Price Data'!AI126</f>
        <v>17720</v>
      </c>
      <c r="AD125" s="30">
        <f>'Equity Volume Data'!AG125*'Equity Price Data'!AJ126</f>
        <v>13880.7</v>
      </c>
      <c r="AE125" s="30">
        <f>'Equity Volume Data'!AH125*'Equity Price Data'!AK126</f>
        <v>11010</v>
      </c>
      <c r="AF125" s="30">
        <f>'Equity Volume Data'!AI125*'Equity Price Data'!AL126</f>
        <v>18796.45</v>
      </c>
      <c r="AG125" s="30">
        <f>'Equity Volume Data'!AJ125*'Equity Price Data'!AM126</f>
        <v>35758.8</v>
      </c>
      <c r="AH125" s="30">
        <f>'Equity Volume Data'!AK125*'Equity Price Data'!AN126</f>
        <v>38837</v>
      </c>
      <c r="AI125" s="30">
        <f>'Equity Volume Data'!AL125*'Equity Price Data'!AO126</f>
        <v>22422.75</v>
      </c>
      <c r="AJ125" s="30">
        <f>'Equity Volume Data'!AM125*'Equity Price Data'!AP126</f>
        <v>20252.7</v>
      </c>
      <c r="AK125" s="30">
        <f>'Equity Volume Data'!AN125*'Equity Price Data'!AQ126</f>
        <v>0</v>
      </c>
      <c r="AL125" s="30">
        <f>'Equity Volume Data'!AO125*'Equity Price Data'!AR126</f>
        <v>39529.6</v>
      </c>
      <c r="AM125" s="30">
        <f>'Equity Volume Data'!AP125*'Equity Price Data'!AS126</f>
        <v>38627.4</v>
      </c>
      <c r="AN125" s="30">
        <f>'Equity Volume Data'!AQ125*'Equity Price Data'!AT126</f>
        <v>10959.9</v>
      </c>
      <c r="AO125" s="30">
        <f>'Equity Volume Data'!AR125*'Equity Price Data'!AU126</f>
        <v>26730.2</v>
      </c>
      <c r="AP125" s="30">
        <f>'Equity Volume Data'!AS125*'Equity Price Data'!AV126</f>
        <v>22527.5</v>
      </c>
      <c r="AQ125" s="30">
        <f>'Equity Volume Data'!AT125*'Equity Price Data'!AW126</f>
        <v>18315</v>
      </c>
      <c r="AR125" s="30">
        <f>'Equity Volume Data'!AU125*'Equity Price Data'!AX126</f>
        <v>0</v>
      </c>
      <c r="AS125" s="30">
        <f>'Equity Volume Data'!AV125*'Equity Price Data'!AY126</f>
        <v>50421.6</v>
      </c>
      <c r="AT125" s="30">
        <f>'Equity Volume Data'!AW125*'Equity Price Data'!AZ126</f>
        <v>14904</v>
      </c>
      <c r="AU125" s="30">
        <f>'Equity Volume Data'!AX125*'Equity Price Data'!BA126</f>
        <v>0</v>
      </c>
      <c r="AV125" s="30">
        <f>'Equity Volume Data'!AY125*'Equity Price Data'!BB126</f>
        <v>20676.62</v>
      </c>
      <c r="AW125" s="30">
        <f>'Equity Volume Data'!AZ125*'Equity Price Data'!BC126</f>
        <v>4022.4</v>
      </c>
      <c r="AX125" s="30">
        <f>'Equity Volume Data'!BA125*'Equity Price Data'!BD126</f>
        <v>3805.6</v>
      </c>
      <c r="AY125" s="30">
        <f>'Equity Volume Data'!BB125*'Equity Price Data'!BE126</f>
        <v>22323.06</v>
      </c>
      <c r="AZ125" s="30">
        <f>'Equity Volume Data'!BC125*'Equity Price Data'!BF126</f>
        <v>12211.5</v>
      </c>
      <c r="BA125" s="30">
        <f>'Equity Volume Data'!BD125*'Equity Price Data'!BG126</f>
        <v>5198.4</v>
      </c>
      <c r="BB125" s="30">
        <f>'Equity Volume Data'!BE125*'Equity Price Data'!BH126</f>
        <v>9727.2</v>
      </c>
      <c r="BC125" s="30">
        <f>'Equity Volume Data'!BF125*'Equity Price Data'!BI126</f>
        <v>0</v>
      </c>
      <c r="BD125" s="30">
        <f>'Equity Volume Data'!BG125*'Equity Price Data'!BJ126</f>
        <v>49456.47</v>
      </c>
      <c r="BE125" s="30">
        <f>'Equity Volume Data'!BH125*'Equity Price Data'!BK126</f>
        <v>12872.64</v>
      </c>
      <c r="BF125" s="30">
        <f>'Equity Volume Data'!BI125*'Equity Price Data'!BL126</f>
        <v>7006</v>
      </c>
      <c r="BG125" s="30">
        <f>'Equity Volume Data'!BJ125*'Equity Price Data'!BM126</f>
        <v>24005.3</v>
      </c>
      <c r="BH125" s="30">
        <f>'Equity Volume Data'!BK125*'Equity Price Data'!BN126</f>
        <v>0</v>
      </c>
      <c r="BI125" s="30">
        <f>'Equity Volume Data'!BL125*'Equity Price Data'!BO126</f>
        <v>39758.4</v>
      </c>
      <c r="BJ125" s="30">
        <f>'Equity Volume Data'!BM125*'Equity Price Data'!BP126</f>
        <v>44751.75</v>
      </c>
      <c r="BK125" s="30">
        <f>'Equity Volume Data'!BN125*'Equity Price Data'!BQ126</f>
        <v>87973.64</v>
      </c>
      <c r="BL125" s="30">
        <f>'Equity Volume Data'!BO125*'Equity Price Data'!BR126</f>
        <v>545.67</v>
      </c>
      <c r="BM125" s="30">
        <f>'Equity Volume Data'!BP125*'Equity Price Data'!BS126</f>
        <v>10487.04</v>
      </c>
      <c r="BN125" s="30">
        <f>'Equity Volume Data'!BQ125*'Equity Price Data'!BT126</f>
        <v>18591.32</v>
      </c>
      <c r="BO125" s="30">
        <f>'Equity Volume Data'!BR125*'Equity Price Data'!BU126</f>
        <v>36538</v>
      </c>
    </row>
    <row r="126">
      <c r="A126" s="25">
        <f>'Equity Price Data'!A127</f>
        <v>45603.66667</v>
      </c>
      <c r="B126" s="29">
        <f t="shared" si="1"/>
        <v>1337177.03</v>
      </c>
      <c r="C126" s="30">
        <f>'Equity Volume Data'!F126*'Equity Price Data'!I127</f>
        <v>6511.96</v>
      </c>
      <c r="D126" s="30">
        <f>'Equity Volume Data'!G126*'Equity Price Data'!J127</f>
        <v>54613</v>
      </c>
      <c r="E126" s="30">
        <f>'Equity Volume Data'!H126*'Equity Price Data'!K127</f>
        <v>14612.4</v>
      </c>
      <c r="F126" s="30">
        <f>'Equity Volume Data'!I126*'Equity Price Data'!L127</f>
        <v>58234.88</v>
      </c>
      <c r="G126" s="30">
        <f>'Equity Volume Data'!J126*'Equity Price Data'!M127</f>
        <v>16109.47</v>
      </c>
      <c r="H126" s="30">
        <f>'Equity Volume Data'!K126*'Equity Price Data'!N127</f>
        <v>14605.72</v>
      </c>
      <c r="I126" s="30">
        <f>'Equity Volume Data'!L126*'Equity Price Data'!O127</f>
        <v>13270</v>
      </c>
      <c r="J126" s="30">
        <f>'Equity Volume Data'!M126*'Equity Price Data'!P127</f>
        <v>46933.26</v>
      </c>
      <c r="K126" s="30">
        <f>'Equity Volume Data'!N126*'Equity Price Data'!Q127</f>
        <v>11550</v>
      </c>
      <c r="L126" s="30">
        <f>'Equity Volume Data'!O126*'Equity Price Data'!R127</f>
        <v>21044.32</v>
      </c>
      <c r="M126" s="30">
        <f>'Equity Volume Data'!P126*'Equity Price Data'!S127</f>
        <v>0</v>
      </c>
      <c r="N126" s="30">
        <f>'Equity Volume Data'!Q126*'Equity Price Data'!T127</f>
        <v>6010.4</v>
      </c>
      <c r="O126" s="30">
        <f>'Equity Volume Data'!R126*'Equity Price Data'!U127</f>
        <v>61231.5</v>
      </c>
      <c r="P126" s="30">
        <f>'Equity Volume Data'!S126*'Equity Price Data'!V127</f>
        <v>22342.86</v>
      </c>
      <c r="Q126" s="30">
        <f>'Equity Volume Data'!T126*'Equity Price Data'!W127</f>
        <v>21224.4</v>
      </c>
      <c r="R126" s="30">
        <f>'Equity Volume Data'!U126*'Equity Price Data'!X127</f>
        <v>12541.6</v>
      </c>
      <c r="S126" s="30">
        <f>'Equity Volume Data'!V126*'Equity Price Data'!Y127</f>
        <v>28115.12</v>
      </c>
      <c r="T126" s="30">
        <f>'Equity Volume Data'!W126*'Equity Price Data'!Z127</f>
        <v>11507.5</v>
      </c>
      <c r="U126" s="30">
        <f>'Equity Volume Data'!X126*'Equity Price Data'!AA127</f>
        <v>16806.24</v>
      </c>
      <c r="V126" s="30">
        <f>'Equity Volume Data'!Y126*'Equity Price Data'!AB127</f>
        <v>15710.38</v>
      </c>
      <c r="W126" s="30">
        <f>'Equity Volume Data'!Z126*'Equity Price Data'!AC127</f>
        <v>12314.43</v>
      </c>
      <c r="X126" s="30">
        <f>'Equity Volume Data'!AA126*'Equity Price Data'!AD127</f>
        <v>15885</v>
      </c>
      <c r="Y126" s="30">
        <f>'Equity Volume Data'!AB126*'Equity Price Data'!AE127</f>
        <v>5829.72</v>
      </c>
      <c r="Z126" s="30">
        <f>'Equity Volume Data'!AC126*'Equity Price Data'!AF127</f>
        <v>9303</v>
      </c>
      <c r="AA126" s="30">
        <f>'Equity Volume Data'!AD126*'Equity Price Data'!AG127</f>
        <v>20595.5</v>
      </c>
      <c r="AB126" s="30">
        <f>'Equity Volume Data'!AE126*'Equity Price Data'!AH127</f>
        <v>8496.3</v>
      </c>
      <c r="AC126" s="30">
        <f>'Equity Volume Data'!AF126*'Equity Price Data'!AI127</f>
        <v>18106.4</v>
      </c>
      <c r="AD126" s="30">
        <f>'Equity Volume Data'!AG126*'Equity Price Data'!AJ127</f>
        <v>13770</v>
      </c>
      <c r="AE126" s="30">
        <f>'Equity Volume Data'!AH126*'Equity Price Data'!AK127</f>
        <v>11078</v>
      </c>
      <c r="AF126" s="30">
        <f>'Equity Volume Data'!AI126*'Equity Price Data'!AL127</f>
        <v>20069.5</v>
      </c>
      <c r="AG126" s="30">
        <f>'Equity Volume Data'!AJ126*'Equity Price Data'!AM127</f>
        <v>34930.2</v>
      </c>
      <c r="AH126" s="30">
        <f>'Equity Volume Data'!AK126*'Equity Price Data'!AN127</f>
        <v>39944</v>
      </c>
      <c r="AI126" s="30">
        <f>'Equity Volume Data'!AL126*'Equity Price Data'!AO127</f>
        <v>22340.5</v>
      </c>
      <c r="AJ126" s="30">
        <f>'Equity Volume Data'!AM126*'Equity Price Data'!AP127</f>
        <v>20294.3</v>
      </c>
      <c r="AK126" s="30">
        <f>'Equity Volume Data'!AN126*'Equity Price Data'!AQ127</f>
        <v>0</v>
      </c>
      <c r="AL126" s="30">
        <f>'Equity Volume Data'!AO126*'Equity Price Data'!AR127</f>
        <v>37820.8</v>
      </c>
      <c r="AM126" s="30">
        <f>'Equity Volume Data'!AP126*'Equity Price Data'!AS127</f>
        <v>38628.8</v>
      </c>
      <c r="AN126" s="30">
        <f>'Equity Volume Data'!AQ126*'Equity Price Data'!AT127</f>
        <v>11035.5</v>
      </c>
      <c r="AO126" s="30">
        <f>'Equity Volume Data'!AR126*'Equity Price Data'!AU127</f>
        <v>27575.66</v>
      </c>
      <c r="AP126" s="30">
        <f>'Equity Volume Data'!AS126*'Equity Price Data'!AV127</f>
        <v>22030</v>
      </c>
      <c r="AQ126" s="30">
        <f>'Equity Volume Data'!AT126*'Equity Price Data'!AW127</f>
        <v>17824.4</v>
      </c>
      <c r="AR126" s="30">
        <f>'Equity Volume Data'!AU126*'Equity Price Data'!AX127</f>
        <v>0</v>
      </c>
      <c r="AS126" s="30">
        <f>'Equity Volume Data'!AV126*'Equity Price Data'!AY127</f>
        <v>51051.6</v>
      </c>
      <c r="AT126" s="30">
        <f>'Equity Volume Data'!AW126*'Equity Price Data'!AZ127</f>
        <v>14924</v>
      </c>
      <c r="AU126" s="30">
        <f>'Equity Volume Data'!AX126*'Equity Price Data'!BA127</f>
        <v>0</v>
      </c>
      <c r="AV126" s="30">
        <f>'Equity Volume Data'!AY126*'Equity Price Data'!BB127</f>
        <v>21140.96</v>
      </c>
      <c r="AW126" s="30">
        <f>'Equity Volume Data'!AZ126*'Equity Price Data'!BC127</f>
        <v>4037.6</v>
      </c>
      <c r="AX126" s="30">
        <f>'Equity Volume Data'!BA126*'Equity Price Data'!BD127</f>
        <v>4030.4</v>
      </c>
      <c r="AY126" s="30">
        <f>'Equity Volume Data'!BB126*'Equity Price Data'!BE127</f>
        <v>22463.76</v>
      </c>
      <c r="AZ126" s="30">
        <f>'Equity Volume Data'!BC126*'Equity Price Data'!BF127</f>
        <v>12202.5</v>
      </c>
      <c r="BA126" s="30">
        <f>'Equity Volume Data'!BD126*'Equity Price Data'!BG127</f>
        <v>5217.4</v>
      </c>
      <c r="BB126" s="30">
        <f>'Equity Volume Data'!BE126*'Equity Price Data'!BH127</f>
        <v>9606.4</v>
      </c>
      <c r="BC126" s="30">
        <f>'Equity Volume Data'!BF126*'Equity Price Data'!BI127</f>
        <v>0</v>
      </c>
      <c r="BD126" s="30">
        <f>'Equity Volume Data'!BG126*'Equity Price Data'!BJ127</f>
        <v>49307.37</v>
      </c>
      <c r="BE126" s="30">
        <f>'Equity Volume Data'!BH126*'Equity Price Data'!BK127</f>
        <v>12785.47</v>
      </c>
      <c r="BF126" s="30">
        <f>'Equity Volume Data'!BI126*'Equity Price Data'!BL127</f>
        <v>7138</v>
      </c>
      <c r="BG126" s="30">
        <f>'Equity Volume Data'!BJ126*'Equity Price Data'!BM127</f>
        <v>23769</v>
      </c>
      <c r="BH126" s="30">
        <f>'Equity Volume Data'!BK126*'Equity Price Data'!BN127</f>
        <v>0</v>
      </c>
      <c r="BI126" s="30">
        <f>'Equity Volume Data'!BL126*'Equity Price Data'!BO127</f>
        <v>38809.6</v>
      </c>
      <c r="BJ126" s="30">
        <f>'Equity Volume Data'!BM126*'Equity Price Data'!BP127</f>
        <v>45408.75</v>
      </c>
      <c r="BK126" s="30">
        <f>'Equity Volume Data'!BN126*'Equity Price Data'!BQ127</f>
        <v>88099.78</v>
      </c>
      <c r="BL126" s="30">
        <f>'Equity Volume Data'!BO126*'Equity Price Data'!BR127</f>
        <v>619.46</v>
      </c>
      <c r="BM126" s="30">
        <f>'Equity Volume Data'!BP126*'Equity Price Data'!BS127</f>
        <v>10581.12</v>
      </c>
      <c r="BN126" s="30">
        <f>'Equity Volume Data'!BQ126*'Equity Price Data'!BT127</f>
        <v>18598.84</v>
      </c>
      <c r="BO126" s="30">
        <f>'Equity Volume Data'!BR126*'Equity Price Data'!BU127</f>
        <v>36538</v>
      </c>
    </row>
    <row r="127">
      <c r="A127" s="25">
        <f>'Equity Price Data'!A128</f>
        <v>45604.66667</v>
      </c>
      <c r="B127" s="29">
        <f t="shared" si="1"/>
        <v>1337570.55</v>
      </c>
      <c r="C127" s="30">
        <f>'Equity Volume Data'!F127*'Equity Price Data'!I128</f>
        <v>6430.84</v>
      </c>
      <c r="D127" s="30">
        <f>'Equity Volume Data'!G127*'Equity Price Data'!J128</f>
        <v>54126.8</v>
      </c>
      <c r="E127" s="30">
        <f>'Equity Volume Data'!H127*'Equity Price Data'!K128</f>
        <v>14969.9</v>
      </c>
      <c r="F127" s="30">
        <f>'Equity Volume Data'!I127*'Equity Price Data'!L128</f>
        <v>58101.76</v>
      </c>
      <c r="G127" s="30">
        <f>'Equity Volume Data'!J127*'Equity Price Data'!M128</f>
        <v>15938.49</v>
      </c>
      <c r="H127" s="30">
        <f>'Equity Volume Data'!K127*'Equity Price Data'!N128</f>
        <v>14487.28</v>
      </c>
      <c r="I127" s="30">
        <f>'Equity Volume Data'!L127*'Equity Price Data'!O128</f>
        <v>13090</v>
      </c>
      <c r="J127" s="30">
        <f>'Equity Volume Data'!M127*'Equity Price Data'!P128</f>
        <v>47267.82</v>
      </c>
      <c r="K127" s="30">
        <f>'Equity Volume Data'!N127*'Equity Price Data'!Q128</f>
        <v>11038</v>
      </c>
      <c r="L127" s="30">
        <f>'Equity Volume Data'!O127*'Equity Price Data'!R128</f>
        <v>20937.84</v>
      </c>
      <c r="M127" s="30">
        <f>'Equity Volume Data'!P127*'Equity Price Data'!S128</f>
        <v>0</v>
      </c>
      <c r="N127" s="30">
        <f>'Equity Volume Data'!Q127*'Equity Price Data'!T128</f>
        <v>6134.4</v>
      </c>
      <c r="O127" s="30">
        <f>'Equity Volume Data'!R127*'Equity Price Data'!U128</f>
        <v>59005.5</v>
      </c>
      <c r="P127" s="30">
        <f>'Equity Volume Data'!S127*'Equity Price Data'!V128</f>
        <v>21909.18</v>
      </c>
      <c r="Q127" s="30">
        <f>'Equity Volume Data'!T127*'Equity Price Data'!W128</f>
        <v>21123.6</v>
      </c>
      <c r="R127" s="30">
        <f>'Equity Volume Data'!U127*'Equity Price Data'!X128</f>
        <v>12554.4</v>
      </c>
      <c r="S127" s="30">
        <f>'Equity Volume Data'!V127*'Equity Price Data'!Y128</f>
        <v>28139.76</v>
      </c>
      <c r="T127" s="30">
        <f>'Equity Volume Data'!W127*'Equity Price Data'!Z128</f>
        <v>11452.5</v>
      </c>
      <c r="U127" s="30">
        <f>'Equity Volume Data'!X127*'Equity Price Data'!AA128</f>
        <v>16874.88</v>
      </c>
      <c r="V127" s="30">
        <f>'Equity Volume Data'!Y127*'Equity Price Data'!AB128</f>
        <v>15798.93</v>
      </c>
      <c r="W127" s="30">
        <f>'Equity Volume Data'!Z127*'Equity Price Data'!AC128</f>
        <v>12556.62</v>
      </c>
      <c r="X127" s="30">
        <f>'Equity Volume Data'!AA127*'Equity Price Data'!AD128</f>
        <v>15352.5</v>
      </c>
      <c r="Y127" s="30">
        <f>'Equity Volume Data'!AB127*'Equity Price Data'!AE128</f>
        <v>5976.49</v>
      </c>
      <c r="Z127" s="30">
        <f>'Equity Volume Data'!AC127*'Equity Price Data'!AF128</f>
        <v>9283.5</v>
      </c>
      <c r="AA127" s="30">
        <f>'Equity Volume Data'!AD127*'Equity Price Data'!AG128</f>
        <v>20588.7</v>
      </c>
      <c r="AB127" s="30">
        <f>'Equity Volume Data'!AE127*'Equity Price Data'!AH128</f>
        <v>8588.4</v>
      </c>
      <c r="AC127" s="30">
        <f>'Equity Volume Data'!AF127*'Equity Price Data'!AI128</f>
        <v>18178.4</v>
      </c>
      <c r="AD127" s="30">
        <f>'Equity Volume Data'!AG127*'Equity Price Data'!AJ128</f>
        <v>13926.15</v>
      </c>
      <c r="AE127" s="30">
        <f>'Equity Volume Data'!AH127*'Equity Price Data'!AK128</f>
        <v>11116</v>
      </c>
      <c r="AF127" s="30">
        <f>'Equity Volume Data'!AI127*'Equity Price Data'!AL128</f>
        <v>19796.85</v>
      </c>
      <c r="AG127" s="30">
        <f>'Equity Volume Data'!AJ127*'Equity Price Data'!AM128</f>
        <v>35355.6</v>
      </c>
      <c r="AH127" s="30">
        <f>'Equity Volume Data'!AK127*'Equity Price Data'!AN128</f>
        <v>40590</v>
      </c>
      <c r="AI127" s="30">
        <f>'Equity Volume Data'!AL127*'Equity Price Data'!AO128</f>
        <v>22300.25</v>
      </c>
      <c r="AJ127" s="30">
        <f>'Equity Volume Data'!AM127*'Equity Price Data'!AP128</f>
        <v>20334.6</v>
      </c>
      <c r="AK127" s="30">
        <f>'Equity Volume Data'!AN127*'Equity Price Data'!AQ128</f>
        <v>0</v>
      </c>
      <c r="AL127" s="30">
        <f>'Equity Volume Data'!AO127*'Equity Price Data'!AR128</f>
        <v>37916.8</v>
      </c>
      <c r="AM127" s="30">
        <f>'Equity Volume Data'!AP127*'Equity Price Data'!AS128</f>
        <v>39519.2</v>
      </c>
      <c r="AN127" s="30">
        <f>'Equity Volume Data'!AQ127*'Equity Price Data'!AT128</f>
        <v>10798.55</v>
      </c>
      <c r="AO127" s="30">
        <f>'Equity Volume Data'!AR127*'Equity Price Data'!AU128</f>
        <v>27148.66</v>
      </c>
      <c r="AP127" s="30">
        <f>'Equity Volume Data'!AS127*'Equity Price Data'!AV128</f>
        <v>21930</v>
      </c>
      <c r="AQ127" s="30">
        <f>'Equity Volume Data'!AT127*'Equity Price Data'!AW128</f>
        <v>17824.4</v>
      </c>
      <c r="AR127" s="30">
        <f>'Equity Volume Data'!AU127*'Equity Price Data'!AX128</f>
        <v>0</v>
      </c>
      <c r="AS127" s="30">
        <f>'Equity Volume Data'!AV127*'Equity Price Data'!AY128</f>
        <v>50704.8</v>
      </c>
      <c r="AT127" s="30">
        <f>'Equity Volume Data'!AW127*'Equity Price Data'!AZ128</f>
        <v>15394</v>
      </c>
      <c r="AU127" s="30">
        <f>'Equity Volume Data'!AX127*'Equity Price Data'!BA128</f>
        <v>0</v>
      </c>
      <c r="AV127" s="30">
        <f>'Equity Volume Data'!AY127*'Equity Price Data'!BB128</f>
        <v>20963.46</v>
      </c>
      <c r="AW127" s="30">
        <f>'Equity Volume Data'!AZ127*'Equity Price Data'!BC128</f>
        <v>4001.2</v>
      </c>
      <c r="AX127" s="30">
        <f>'Equity Volume Data'!BA127*'Equity Price Data'!BD128</f>
        <v>4119.2</v>
      </c>
      <c r="AY127" s="30">
        <f>'Equity Volume Data'!BB127*'Equity Price Data'!BE128</f>
        <v>23472.78</v>
      </c>
      <c r="AZ127" s="30">
        <f>'Equity Volume Data'!BC127*'Equity Price Data'!BF128</f>
        <v>12451.5</v>
      </c>
      <c r="BA127" s="30">
        <f>'Equity Volume Data'!BD127*'Equity Price Data'!BG128</f>
        <v>5076.8</v>
      </c>
      <c r="BB127" s="30">
        <f>'Equity Volume Data'!BE127*'Equity Price Data'!BH128</f>
        <v>9884</v>
      </c>
      <c r="BC127" s="30">
        <f>'Equity Volume Data'!BF127*'Equity Price Data'!BI128</f>
        <v>0</v>
      </c>
      <c r="BD127" s="30">
        <f>'Equity Volume Data'!BG127*'Equity Price Data'!BJ128</f>
        <v>50121.03</v>
      </c>
      <c r="BE127" s="30">
        <f>'Equity Volume Data'!BH127*'Equity Price Data'!BK128</f>
        <v>12690.02</v>
      </c>
      <c r="BF127" s="30">
        <f>'Equity Volume Data'!BI127*'Equity Price Data'!BL128</f>
        <v>6881.2</v>
      </c>
      <c r="BG127" s="30">
        <f>'Equity Volume Data'!BJ127*'Equity Price Data'!BM128</f>
        <v>23902.44</v>
      </c>
      <c r="BH127" s="30">
        <f>'Equity Volume Data'!BK127*'Equity Price Data'!BN128</f>
        <v>0</v>
      </c>
      <c r="BI127" s="30">
        <f>'Equity Volume Data'!BL127*'Equity Price Data'!BO128</f>
        <v>38638.4</v>
      </c>
      <c r="BJ127" s="30">
        <f>'Equity Volume Data'!BM127*'Equity Price Data'!BP128</f>
        <v>46185.75</v>
      </c>
      <c r="BK127" s="30">
        <f>'Equity Volume Data'!BN127*'Equity Price Data'!BQ128</f>
        <v>88099.78</v>
      </c>
      <c r="BL127" s="30">
        <f>'Equity Volume Data'!BO127*'Equity Price Data'!BR128</f>
        <v>609.12</v>
      </c>
      <c r="BM127" s="30">
        <f>'Equity Volume Data'!BP127*'Equity Price Data'!BS128</f>
        <v>10757.76</v>
      </c>
      <c r="BN127" s="30">
        <f>'Equity Volume Data'!BQ127*'Equity Price Data'!BT128</f>
        <v>18615.76</v>
      </c>
      <c r="BO127" s="30">
        <f>'Equity Volume Data'!BR127*'Equity Price Data'!BU128</f>
        <v>36538</v>
      </c>
    </row>
    <row r="128">
      <c r="A128" s="25">
        <f>'Equity Price Data'!A129</f>
        <v>45607.66667</v>
      </c>
      <c r="B128" s="29">
        <f t="shared" si="1"/>
        <v>1346368.52</v>
      </c>
      <c r="C128" s="30">
        <f>'Equity Volume Data'!F128*'Equity Price Data'!I129</f>
        <v>6558.24</v>
      </c>
      <c r="D128" s="30">
        <f>'Equity Volume Data'!G128*'Equity Price Data'!J129</f>
        <v>53778.4</v>
      </c>
      <c r="E128" s="30">
        <f>'Equity Volume Data'!H128*'Equity Price Data'!K129</f>
        <v>14824.7</v>
      </c>
      <c r="F128" s="30">
        <f>'Equity Volume Data'!I128*'Equity Price Data'!L129</f>
        <v>57402.88</v>
      </c>
      <c r="G128" s="30">
        <f>'Equity Volume Data'!J128*'Equity Price Data'!M129</f>
        <v>15650.48</v>
      </c>
      <c r="H128" s="30">
        <f>'Equity Volume Data'!K128*'Equity Price Data'!N129</f>
        <v>14791.84</v>
      </c>
      <c r="I128" s="30">
        <f>'Equity Volume Data'!L128*'Equity Price Data'!O129</f>
        <v>13480</v>
      </c>
      <c r="J128" s="30">
        <f>'Equity Volume Data'!M128*'Equity Price Data'!P129</f>
        <v>47670.72</v>
      </c>
      <c r="K128" s="30">
        <f>'Equity Volume Data'!N128*'Equity Price Data'!Q129</f>
        <v>10706</v>
      </c>
      <c r="L128" s="30">
        <f>'Equity Volume Data'!O128*'Equity Price Data'!R129</f>
        <v>20815.63</v>
      </c>
      <c r="M128" s="30">
        <f>'Equity Volume Data'!P128*'Equity Price Data'!S129</f>
        <v>0</v>
      </c>
      <c r="N128" s="30">
        <f>'Equity Volume Data'!Q128*'Equity Price Data'!T129</f>
        <v>6103.2</v>
      </c>
      <c r="O128" s="30">
        <f>'Equity Volume Data'!R128*'Equity Price Data'!U129</f>
        <v>59481</v>
      </c>
      <c r="P128" s="30">
        <f>'Equity Volume Data'!S128*'Equity Price Data'!V129</f>
        <v>21717.36</v>
      </c>
      <c r="Q128" s="30">
        <f>'Equity Volume Data'!T128*'Equity Price Data'!W129</f>
        <v>21391.2</v>
      </c>
      <c r="R128" s="30">
        <f>'Equity Volume Data'!U128*'Equity Price Data'!X129</f>
        <v>12520</v>
      </c>
      <c r="S128" s="30">
        <f>'Equity Volume Data'!V128*'Equity Price Data'!Y129</f>
        <v>30189.28</v>
      </c>
      <c r="T128" s="30">
        <f>'Equity Volume Data'!W128*'Equity Price Data'!Z129</f>
        <v>11620</v>
      </c>
      <c r="U128" s="30">
        <f>'Equity Volume Data'!X128*'Equity Price Data'!AA129</f>
        <v>16727.04</v>
      </c>
      <c r="V128" s="30">
        <f>'Equity Volume Data'!Y128*'Equity Price Data'!AB129</f>
        <v>15855.28</v>
      </c>
      <c r="W128" s="30">
        <f>'Equity Volume Data'!Z128*'Equity Price Data'!AC129</f>
        <v>12616.65</v>
      </c>
      <c r="X128" s="30">
        <f>'Equity Volume Data'!AA128*'Equity Price Data'!AD129</f>
        <v>15302.5</v>
      </c>
      <c r="Y128" s="30">
        <f>'Equity Volume Data'!AB128*'Equity Price Data'!AE129</f>
        <v>5809.31</v>
      </c>
      <c r="Z128" s="30">
        <f>'Equity Volume Data'!AC128*'Equity Price Data'!AF129</f>
        <v>9364.5</v>
      </c>
      <c r="AA128" s="30">
        <f>'Equity Volume Data'!AD128*'Equity Price Data'!AG129</f>
        <v>20479.9</v>
      </c>
      <c r="AB128" s="30">
        <f>'Equity Volume Data'!AE128*'Equity Price Data'!AH129</f>
        <v>8693.7</v>
      </c>
      <c r="AC128" s="30">
        <f>'Equity Volume Data'!AF128*'Equity Price Data'!AI129</f>
        <v>18098.4</v>
      </c>
      <c r="AD128" s="30">
        <f>'Equity Volume Data'!AG128*'Equity Price Data'!AJ129</f>
        <v>14125.95</v>
      </c>
      <c r="AE128" s="30">
        <f>'Equity Volume Data'!AH128*'Equity Price Data'!AK129</f>
        <v>11532</v>
      </c>
      <c r="AF128" s="30">
        <f>'Equity Volume Data'!AI128*'Equity Price Data'!AL129</f>
        <v>19891.15</v>
      </c>
      <c r="AG128" s="30">
        <f>'Equity Volume Data'!AJ128*'Equity Price Data'!AM129</f>
        <v>36140.4</v>
      </c>
      <c r="AH128" s="30">
        <f>'Equity Volume Data'!AK128*'Equity Price Data'!AN129</f>
        <v>40829</v>
      </c>
      <c r="AI128" s="30">
        <f>'Equity Volume Data'!AL128*'Equity Price Data'!AO129</f>
        <v>22720.25</v>
      </c>
      <c r="AJ128" s="30">
        <f>'Equity Volume Data'!AM128*'Equity Price Data'!AP129</f>
        <v>20420.4</v>
      </c>
      <c r="AK128" s="30">
        <f>'Equity Volume Data'!AN128*'Equity Price Data'!AQ129</f>
        <v>0</v>
      </c>
      <c r="AL128" s="30">
        <f>'Equity Volume Data'!AO128*'Equity Price Data'!AR129</f>
        <v>38286.4</v>
      </c>
      <c r="AM128" s="30">
        <f>'Equity Volume Data'!AP128*'Equity Price Data'!AS129</f>
        <v>39940.6</v>
      </c>
      <c r="AN128" s="30">
        <f>'Equity Volume Data'!AQ128*'Equity Price Data'!AT129</f>
        <v>11146.1</v>
      </c>
      <c r="AO128" s="30">
        <f>'Equity Volume Data'!AR128*'Equity Price Data'!AU129</f>
        <v>27669.6</v>
      </c>
      <c r="AP128" s="30">
        <f>'Equity Volume Data'!AS128*'Equity Price Data'!AV129</f>
        <v>22067.5</v>
      </c>
      <c r="AQ128" s="30">
        <f>'Equity Volume Data'!AT128*'Equity Price Data'!AW129</f>
        <v>17989.4</v>
      </c>
      <c r="AR128" s="30">
        <f>'Equity Volume Data'!AU128*'Equity Price Data'!AX129</f>
        <v>0</v>
      </c>
      <c r="AS128" s="30">
        <f>'Equity Volume Data'!AV128*'Equity Price Data'!AY129</f>
        <v>50161.2</v>
      </c>
      <c r="AT128" s="30">
        <f>'Equity Volume Data'!AW128*'Equity Price Data'!AZ129</f>
        <v>15182</v>
      </c>
      <c r="AU128" s="30">
        <f>'Equity Volume Data'!AX128*'Equity Price Data'!BA129</f>
        <v>0</v>
      </c>
      <c r="AV128" s="30">
        <f>'Equity Volume Data'!AY128*'Equity Price Data'!BB129</f>
        <v>20626.92</v>
      </c>
      <c r="AW128" s="30">
        <f>'Equity Volume Data'!AZ128*'Equity Price Data'!BC129</f>
        <v>4060.8</v>
      </c>
      <c r="AX128" s="30">
        <f>'Equity Volume Data'!BA128*'Equity Price Data'!BD129</f>
        <v>4216.8</v>
      </c>
      <c r="AY128" s="30">
        <f>'Equity Volume Data'!BB128*'Equity Price Data'!BE129</f>
        <v>24216.48</v>
      </c>
      <c r="AZ128" s="30">
        <f>'Equity Volume Data'!BC128*'Equity Price Data'!BF129</f>
        <v>13041</v>
      </c>
      <c r="BA128" s="30">
        <f>'Equity Volume Data'!BD128*'Equity Price Data'!BG129</f>
        <v>4985.6</v>
      </c>
      <c r="BB128" s="30">
        <f>'Equity Volume Data'!BE128*'Equity Price Data'!BH129</f>
        <v>9964.8</v>
      </c>
      <c r="BC128" s="30">
        <f>'Equity Volume Data'!BF128*'Equity Price Data'!BI129</f>
        <v>0</v>
      </c>
      <c r="BD128" s="30">
        <f>'Equity Volume Data'!BG128*'Equity Price Data'!BJ129</f>
        <v>50762.16</v>
      </c>
      <c r="BE128" s="30">
        <f>'Equity Volume Data'!BH128*'Equity Price Data'!BK129</f>
        <v>12579.16</v>
      </c>
      <c r="BF128" s="30">
        <f>'Equity Volume Data'!BI128*'Equity Price Data'!BL129</f>
        <v>6964</v>
      </c>
      <c r="BG128" s="30">
        <f>'Equity Volume Data'!BJ128*'Equity Price Data'!BM129</f>
        <v>24772.58</v>
      </c>
      <c r="BH128" s="30">
        <f>'Equity Volume Data'!BK128*'Equity Price Data'!BN129</f>
        <v>0</v>
      </c>
      <c r="BI128" s="30">
        <f>'Equity Volume Data'!BL128*'Equity Price Data'!BO129</f>
        <v>38712</v>
      </c>
      <c r="BJ128" s="30">
        <f>'Equity Volume Data'!BM128*'Equity Price Data'!BP129</f>
        <v>46893.75</v>
      </c>
      <c r="BK128" s="30">
        <f>'Equity Volume Data'!BN128*'Equity Price Data'!BQ129</f>
        <v>87973.64</v>
      </c>
      <c r="BL128" s="30">
        <f>'Equity Volume Data'!BO128*'Equity Price Data'!BR129</f>
        <v>615.23</v>
      </c>
      <c r="BM128" s="30">
        <f>'Equity Volume Data'!BP128*'Equity Price Data'!BS129</f>
        <v>10733.76</v>
      </c>
      <c r="BN128" s="30">
        <f>'Equity Volume Data'!BQ128*'Equity Price Data'!BT129</f>
        <v>18961.68</v>
      </c>
      <c r="BO128" s="30">
        <f>'Equity Volume Data'!BR128*'Equity Price Data'!BU129</f>
        <v>36538</v>
      </c>
    </row>
    <row r="129">
      <c r="A129" s="25">
        <f>'Equity Price Data'!A130</f>
        <v>45608.66667</v>
      </c>
      <c r="B129" s="29">
        <f t="shared" si="1"/>
        <v>1342002.52</v>
      </c>
      <c r="C129" s="30">
        <f>'Equity Volume Data'!F129*'Equity Price Data'!I130</f>
        <v>6843.46</v>
      </c>
      <c r="D129" s="30">
        <f>'Equity Volume Data'!G129*'Equity Price Data'!J130</f>
        <v>54316.6</v>
      </c>
      <c r="E129" s="30">
        <f>'Equity Volume Data'!H129*'Equity Price Data'!K130</f>
        <v>14567.3</v>
      </c>
      <c r="F129" s="30">
        <f>'Equity Volume Data'!I129*'Equity Price Data'!L130</f>
        <v>57402.88</v>
      </c>
      <c r="G129" s="30">
        <f>'Equity Volume Data'!J129*'Equity Price Data'!M130</f>
        <v>15488.63</v>
      </c>
      <c r="H129" s="30">
        <f>'Equity Volume Data'!K129*'Equity Price Data'!N130</f>
        <v>14654.6</v>
      </c>
      <c r="I129" s="30">
        <f>'Equity Volume Data'!L129*'Equity Price Data'!O130</f>
        <v>13220</v>
      </c>
      <c r="J129" s="30">
        <f>'Equity Volume Data'!M129*'Equity Price Data'!P130</f>
        <v>47561.58</v>
      </c>
      <c r="K129" s="30">
        <f>'Equity Volume Data'!N129*'Equity Price Data'!Q130</f>
        <v>10520</v>
      </c>
      <c r="L129" s="30">
        <f>'Equity Volume Data'!O129*'Equity Price Data'!R130</f>
        <v>20361.88</v>
      </c>
      <c r="M129" s="30">
        <f>'Equity Volume Data'!P129*'Equity Price Data'!S130</f>
        <v>0</v>
      </c>
      <c r="N129" s="30">
        <f>'Equity Volume Data'!Q129*'Equity Price Data'!T130</f>
        <v>6035.2</v>
      </c>
      <c r="O129" s="30">
        <f>'Equity Volume Data'!R129*'Equity Price Data'!U130</f>
        <v>58951.5</v>
      </c>
      <c r="P129" s="30">
        <f>'Equity Volume Data'!S129*'Equity Price Data'!V130</f>
        <v>22688.97</v>
      </c>
      <c r="Q129" s="30">
        <f>'Equity Volume Data'!T129*'Equity Price Data'!W130</f>
        <v>21337.2</v>
      </c>
      <c r="R129" s="30">
        <f>'Equity Volume Data'!U129*'Equity Price Data'!X130</f>
        <v>12423.2</v>
      </c>
      <c r="S129" s="30">
        <f>'Equity Volume Data'!V129*'Equity Price Data'!Y130</f>
        <v>29908.56</v>
      </c>
      <c r="T129" s="30">
        <f>'Equity Volume Data'!W129*'Equity Price Data'!Z130</f>
        <v>11605</v>
      </c>
      <c r="U129" s="30">
        <f>'Equity Volume Data'!X129*'Equity Price Data'!AA130</f>
        <v>16684.8</v>
      </c>
      <c r="V129" s="30">
        <f>'Equity Volume Data'!Y129*'Equity Price Data'!AB130</f>
        <v>15623.44</v>
      </c>
      <c r="W129" s="30">
        <f>'Equity Volume Data'!Z129*'Equity Price Data'!AC130</f>
        <v>12474.51</v>
      </c>
      <c r="X129" s="30">
        <f>'Equity Volume Data'!AA129*'Equity Price Data'!AD130</f>
        <v>15567.5</v>
      </c>
      <c r="Y129" s="30">
        <f>'Equity Volume Data'!AB129*'Equity Price Data'!AE130</f>
        <v>5727.8</v>
      </c>
      <c r="Z129" s="30">
        <f>'Equity Volume Data'!AC129*'Equity Price Data'!AF130</f>
        <v>9225</v>
      </c>
      <c r="AA129" s="30">
        <f>'Equity Volume Data'!AD129*'Equity Price Data'!AG130</f>
        <v>20459.5</v>
      </c>
      <c r="AB129" s="30">
        <f>'Equity Volume Data'!AE129*'Equity Price Data'!AH130</f>
        <v>8618.1</v>
      </c>
      <c r="AC129" s="30">
        <f>'Equity Volume Data'!AF129*'Equity Price Data'!AI130</f>
        <v>17484.8</v>
      </c>
      <c r="AD129" s="30">
        <f>'Equity Volume Data'!AG129*'Equity Price Data'!AJ130</f>
        <v>14042.25</v>
      </c>
      <c r="AE129" s="30">
        <f>'Equity Volume Data'!AH129*'Equity Price Data'!AK130</f>
        <v>11482</v>
      </c>
      <c r="AF129" s="30">
        <f>'Equity Volume Data'!AI129*'Equity Price Data'!AL130</f>
        <v>19341.75</v>
      </c>
      <c r="AG129" s="30">
        <f>'Equity Volume Data'!AJ129*'Equity Price Data'!AM130</f>
        <v>35555.4</v>
      </c>
      <c r="AH129" s="30">
        <f>'Equity Volume Data'!AK129*'Equity Price Data'!AN130</f>
        <v>40308</v>
      </c>
      <c r="AI129" s="30">
        <f>'Equity Volume Data'!AL129*'Equity Price Data'!AO130</f>
        <v>22536.5</v>
      </c>
      <c r="AJ129" s="30">
        <f>'Equity Volume Data'!AM129*'Equity Price Data'!AP130</f>
        <v>20287.8</v>
      </c>
      <c r="AK129" s="30">
        <f>'Equity Volume Data'!AN129*'Equity Price Data'!AQ130</f>
        <v>0</v>
      </c>
      <c r="AL129" s="30">
        <f>'Equity Volume Data'!AO129*'Equity Price Data'!AR130</f>
        <v>38329.6</v>
      </c>
      <c r="AM129" s="30">
        <f>'Equity Volume Data'!AP129*'Equity Price Data'!AS130</f>
        <v>39617.2</v>
      </c>
      <c r="AN129" s="30">
        <f>'Equity Volume Data'!AQ129*'Equity Price Data'!AT130</f>
        <v>11231.5</v>
      </c>
      <c r="AO129" s="30">
        <f>'Equity Volume Data'!AR129*'Equity Price Data'!AU130</f>
        <v>27772.08</v>
      </c>
      <c r="AP129" s="30">
        <f>'Equity Volume Data'!AS129*'Equity Price Data'!AV130</f>
        <v>22075</v>
      </c>
      <c r="AQ129" s="30">
        <f>'Equity Volume Data'!AT129*'Equity Price Data'!AW130</f>
        <v>18084</v>
      </c>
      <c r="AR129" s="30">
        <f>'Equity Volume Data'!AU129*'Equity Price Data'!AX130</f>
        <v>0</v>
      </c>
      <c r="AS129" s="30">
        <f>'Equity Volume Data'!AV129*'Equity Price Data'!AY130</f>
        <v>50763.6</v>
      </c>
      <c r="AT129" s="30">
        <f>'Equity Volume Data'!AW129*'Equity Price Data'!AZ130</f>
        <v>14852</v>
      </c>
      <c r="AU129" s="30">
        <f>'Equity Volume Data'!AX129*'Equity Price Data'!BA130</f>
        <v>0</v>
      </c>
      <c r="AV129" s="30">
        <f>'Equity Volume Data'!AY129*'Equity Price Data'!BB130</f>
        <v>21057.18</v>
      </c>
      <c r="AW129" s="30">
        <f>'Equity Volume Data'!AZ129*'Equity Price Data'!BC130</f>
        <v>3989.2</v>
      </c>
      <c r="AX129" s="30">
        <f>'Equity Volume Data'!BA129*'Equity Price Data'!BD130</f>
        <v>4209.6</v>
      </c>
      <c r="AY129" s="30">
        <f>'Equity Volume Data'!BB129*'Equity Price Data'!BE130</f>
        <v>24059.7</v>
      </c>
      <c r="AZ129" s="30">
        <f>'Equity Volume Data'!BC129*'Equity Price Data'!BF130</f>
        <v>12960</v>
      </c>
      <c r="BA129" s="30">
        <f>'Equity Volume Data'!BD129*'Equity Price Data'!BG130</f>
        <v>4976.1</v>
      </c>
      <c r="BB129" s="30">
        <f>'Equity Volume Data'!BE129*'Equity Price Data'!BH130</f>
        <v>9869.6</v>
      </c>
      <c r="BC129" s="30">
        <f>'Equity Volume Data'!BF129*'Equity Price Data'!BI130</f>
        <v>0</v>
      </c>
      <c r="BD129" s="30">
        <f>'Equity Volume Data'!BG129*'Equity Price Data'!BJ130</f>
        <v>50907</v>
      </c>
      <c r="BE129" s="30">
        <f>'Equity Volume Data'!BH129*'Equity Price Data'!BK130</f>
        <v>12437.25</v>
      </c>
      <c r="BF129" s="30">
        <f>'Equity Volume Data'!BI129*'Equity Price Data'!BL130</f>
        <v>6999.6</v>
      </c>
      <c r="BG129" s="30">
        <f>'Equity Volume Data'!BJ129*'Equity Price Data'!BM130</f>
        <v>25411.98</v>
      </c>
      <c r="BH129" s="30">
        <f>'Equity Volume Data'!BK129*'Equity Price Data'!BN130</f>
        <v>0</v>
      </c>
      <c r="BI129" s="30">
        <f>'Equity Volume Data'!BL129*'Equity Price Data'!BO130</f>
        <v>38225.6</v>
      </c>
      <c r="BJ129" s="30">
        <f>'Equity Volume Data'!BM129*'Equity Price Data'!BP130</f>
        <v>46100.25</v>
      </c>
      <c r="BK129" s="30">
        <f>'Equity Volume Data'!BN129*'Equity Price Data'!BQ130</f>
        <v>87847.5</v>
      </c>
      <c r="BL129" s="30">
        <f>'Equity Volume Data'!BO129*'Equity Price Data'!BR130</f>
        <v>607.71</v>
      </c>
      <c r="BM129" s="30">
        <f>'Equity Volume Data'!BP129*'Equity Price Data'!BS130</f>
        <v>10789.44</v>
      </c>
      <c r="BN129" s="30">
        <f>'Equity Volume Data'!BQ129*'Equity Price Data'!BT130</f>
        <v>18986.12</v>
      </c>
      <c r="BO129" s="30">
        <f>'Equity Volume Data'!BR129*'Equity Price Data'!BU130</f>
        <v>36538</v>
      </c>
    </row>
    <row r="130">
      <c r="A130" s="25">
        <f>'Equity Price Data'!A131</f>
        <v>45609.66667</v>
      </c>
      <c r="B130" s="29">
        <f t="shared" si="1"/>
        <v>1343181.41</v>
      </c>
      <c r="C130" s="30">
        <f>'Equity Volume Data'!F130*'Equity Price Data'!I131</f>
        <v>6922.5</v>
      </c>
      <c r="D130" s="30">
        <f>'Equity Volume Data'!G130*'Equity Price Data'!J131</f>
        <v>55666</v>
      </c>
      <c r="E130" s="30">
        <f>'Equity Volume Data'!H130*'Equity Price Data'!K131</f>
        <v>14568.4</v>
      </c>
      <c r="F130" s="30">
        <f>'Equity Volume Data'!I130*'Equity Price Data'!L131</f>
        <v>57630.72</v>
      </c>
      <c r="G130" s="30">
        <f>'Equity Volume Data'!J130*'Equity Price Data'!M131</f>
        <v>15171.57</v>
      </c>
      <c r="H130" s="30">
        <f>'Equity Volume Data'!K130*'Equity Price Data'!N131</f>
        <v>14590.68</v>
      </c>
      <c r="I130" s="30">
        <f>'Equity Volume Data'!L130*'Equity Price Data'!O131</f>
        <v>13210</v>
      </c>
      <c r="J130" s="30">
        <f>'Equity Volume Data'!M130*'Equity Price Data'!P131</f>
        <v>47746.2</v>
      </c>
      <c r="K130" s="30">
        <f>'Equity Volume Data'!N130*'Equity Price Data'!Q131</f>
        <v>10464</v>
      </c>
      <c r="L130" s="30">
        <f>'Equity Volume Data'!O130*'Equity Price Data'!R131</f>
        <v>20060.59</v>
      </c>
      <c r="M130" s="30">
        <f>'Equity Volume Data'!P130*'Equity Price Data'!S131</f>
        <v>0</v>
      </c>
      <c r="N130" s="30">
        <f>'Equity Volume Data'!Q130*'Equity Price Data'!T131</f>
        <v>6112</v>
      </c>
      <c r="O130" s="30">
        <f>'Equity Volume Data'!R130*'Equity Price Data'!U131</f>
        <v>58060.5</v>
      </c>
      <c r="P130" s="30">
        <f>'Equity Volume Data'!S130*'Equity Price Data'!V131</f>
        <v>22092.66</v>
      </c>
      <c r="Q130" s="30">
        <f>'Equity Volume Data'!T130*'Equity Price Data'!W131</f>
        <v>21265.2</v>
      </c>
      <c r="R130" s="30">
        <f>'Equity Volume Data'!U130*'Equity Price Data'!X131</f>
        <v>12697.6</v>
      </c>
      <c r="S130" s="30">
        <f>'Equity Volume Data'!V130*'Equity Price Data'!Y131</f>
        <v>29219.52</v>
      </c>
      <c r="T130" s="30">
        <f>'Equity Volume Data'!W130*'Equity Price Data'!Z131</f>
        <v>11605</v>
      </c>
      <c r="U130" s="30">
        <f>'Equity Volume Data'!X130*'Equity Price Data'!AA131</f>
        <v>16632</v>
      </c>
      <c r="V130" s="30">
        <f>'Equity Volume Data'!Y130*'Equity Price Data'!AB131</f>
        <v>15361.01</v>
      </c>
      <c r="W130" s="30">
        <f>'Equity Volume Data'!Z130*'Equity Price Data'!AC131</f>
        <v>12290.97</v>
      </c>
      <c r="X130" s="30">
        <f>'Equity Volume Data'!AA130*'Equity Price Data'!AD131</f>
        <v>16287.5</v>
      </c>
      <c r="Y130" s="30">
        <f>'Equity Volume Data'!AB130*'Equity Price Data'!AE131</f>
        <v>5714.15</v>
      </c>
      <c r="Z130" s="30">
        <f>'Equity Volume Data'!AC130*'Equity Price Data'!AF131</f>
        <v>9283.5</v>
      </c>
      <c r="AA130" s="30">
        <f>'Equity Volume Data'!AD130*'Equity Price Data'!AG131</f>
        <v>20649.9</v>
      </c>
      <c r="AB130" s="30">
        <f>'Equity Volume Data'!AE130*'Equity Price Data'!AH131</f>
        <v>8756.7</v>
      </c>
      <c r="AC130" s="30">
        <f>'Equity Volume Data'!AF130*'Equity Price Data'!AI131</f>
        <v>17595.6</v>
      </c>
      <c r="AD130" s="30">
        <f>'Equity Volume Data'!AG130*'Equity Price Data'!AJ131</f>
        <v>14131.35</v>
      </c>
      <c r="AE130" s="30">
        <f>'Equity Volume Data'!AH130*'Equity Price Data'!AK131</f>
        <v>11542</v>
      </c>
      <c r="AF130" s="30">
        <f>'Equity Volume Data'!AI130*'Equity Price Data'!AL131</f>
        <v>18989.15</v>
      </c>
      <c r="AG130" s="30">
        <f>'Equity Volume Data'!AJ130*'Equity Price Data'!AM131</f>
        <v>35653.2</v>
      </c>
      <c r="AH130" s="30">
        <f>'Equity Volume Data'!AK130*'Equity Price Data'!AN131</f>
        <v>41019</v>
      </c>
      <c r="AI130" s="30">
        <f>'Equity Volume Data'!AL130*'Equity Price Data'!AO131</f>
        <v>22181.25</v>
      </c>
      <c r="AJ130" s="30">
        <f>'Equity Volume Data'!AM130*'Equity Price Data'!AP131</f>
        <v>20259.2</v>
      </c>
      <c r="AK130" s="30">
        <f>'Equity Volume Data'!AN130*'Equity Price Data'!AQ131</f>
        <v>0</v>
      </c>
      <c r="AL130" s="30">
        <f>'Equity Volume Data'!AO130*'Equity Price Data'!AR131</f>
        <v>38585.6</v>
      </c>
      <c r="AM130" s="30">
        <f>'Equity Volume Data'!AP130*'Equity Price Data'!AS131</f>
        <v>39041.1</v>
      </c>
      <c r="AN130" s="30">
        <f>'Equity Volume Data'!AQ130*'Equity Price Data'!AT131</f>
        <v>11490.5</v>
      </c>
      <c r="AO130" s="30">
        <f>'Equity Volume Data'!AR130*'Equity Price Data'!AU131</f>
        <v>27703.76</v>
      </c>
      <c r="AP130" s="30">
        <f>'Equity Volume Data'!AS130*'Equity Price Data'!AV131</f>
        <v>21992.5</v>
      </c>
      <c r="AQ130" s="30">
        <f>'Equity Volume Data'!AT130*'Equity Price Data'!AW131</f>
        <v>18044.4</v>
      </c>
      <c r="AR130" s="30">
        <f>'Equity Volume Data'!AU130*'Equity Price Data'!AX131</f>
        <v>0</v>
      </c>
      <c r="AS130" s="30">
        <f>'Equity Volume Data'!AV130*'Equity Price Data'!AY131</f>
        <v>51024</v>
      </c>
      <c r="AT130" s="30">
        <f>'Equity Volume Data'!AW130*'Equity Price Data'!AZ131</f>
        <v>14848</v>
      </c>
      <c r="AU130" s="30">
        <f>'Equity Volume Data'!AX130*'Equity Price Data'!BA131</f>
        <v>0</v>
      </c>
      <c r="AV130" s="30">
        <f>'Equity Volume Data'!AY130*'Equity Price Data'!BB131</f>
        <v>20770.34</v>
      </c>
      <c r="AW130" s="30">
        <f>'Equity Volume Data'!AZ130*'Equity Price Data'!BC131</f>
        <v>4015.6</v>
      </c>
      <c r="AX130" s="30">
        <f>'Equity Volume Data'!BA130*'Equity Price Data'!BD131</f>
        <v>4216.8</v>
      </c>
      <c r="AY130" s="30">
        <f>'Equity Volume Data'!BB130*'Equity Price Data'!BE131</f>
        <v>24401.4</v>
      </c>
      <c r="AZ130" s="30">
        <f>'Equity Volume Data'!BC130*'Equity Price Data'!BF131</f>
        <v>13096.5</v>
      </c>
      <c r="BA130" s="30">
        <f>'Equity Volume Data'!BD130*'Equity Price Data'!BG131</f>
        <v>5076.8</v>
      </c>
      <c r="BB130" s="30">
        <f>'Equity Volume Data'!BE130*'Equity Price Data'!BH131</f>
        <v>9900</v>
      </c>
      <c r="BC130" s="30">
        <f>'Equity Volume Data'!BF130*'Equity Price Data'!BI131</f>
        <v>0</v>
      </c>
      <c r="BD130" s="30">
        <f>'Equity Volume Data'!BG130*'Equity Price Data'!BJ131</f>
        <v>51307.44</v>
      </c>
      <c r="BE130" s="30">
        <f>'Equity Volume Data'!BH130*'Equity Price Data'!BK131</f>
        <v>12463.7</v>
      </c>
      <c r="BF130" s="30">
        <f>'Equity Volume Data'!BI130*'Equity Price Data'!BL131</f>
        <v>6894</v>
      </c>
      <c r="BG130" s="30">
        <f>'Equity Volume Data'!BJ130*'Equity Price Data'!BM131</f>
        <v>25778.94</v>
      </c>
      <c r="BH130" s="30">
        <f>'Equity Volume Data'!BK130*'Equity Price Data'!BN131</f>
        <v>0</v>
      </c>
      <c r="BI130" s="30">
        <f>'Equity Volume Data'!BL130*'Equity Price Data'!BO131</f>
        <v>38465.6</v>
      </c>
      <c r="BJ130" s="30">
        <f>'Equity Volume Data'!BM130*'Equity Price Data'!BP131</f>
        <v>45440.25</v>
      </c>
      <c r="BK130" s="30">
        <f>'Equity Volume Data'!BN130*'Equity Price Data'!BQ131</f>
        <v>87901.56</v>
      </c>
      <c r="BL130" s="30">
        <f>'Equity Volume Data'!BO130*'Equity Price Data'!BR131</f>
        <v>611</v>
      </c>
      <c r="BM130" s="30">
        <f>'Equity Volume Data'!BP130*'Equity Price Data'!BS131</f>
        <v>10832.64</v>
      </c>
      <c r="BN130" s="30">
        <f>'Equity Volume Data'!BQ130*'Equity Price Data'!BT131</f>
        <v>19311.36</v>
      </c>
      <c r="BO130" s="30">
        <f>'Equity Volume Data'!BR130*'Equity Price Data'!BU131</f>
        <v>36538</v>
      </c>
    </row>
    <row r="131">
      <c r="A131" s="25">
        <f>'Equity Price Data'!A132</f>
        <v>45610.66667</v>
      </c>
      <c r="B131" s="29">
        <f t="shared" si="1"/>
        <v>1385967.89</v>
      </c>
      <c r="C131" s="30">
        <f>'Equity Volume Data'!F131*'Equity Price Data'!I132</f>
        <v>6888.31</v>
      </c>
      <c r="D131" s="30">
        <f>'Equity Volume Data'!G131*'Equity Price Data'!J132</f>
        <v>54984.8</v>
      </c>
      <c r="E131" s="30">
        <f>'Equity Volume Data'!H131*'Equity Price Data'!K132</f>
        <v>14522.2</v>
      </c>
      <c r="F131" s="30">
        <f>'Equity Volume Data'!I131*'Equity Price Data'!L132</f>
        <v>58424.32</v>
      </c>
      <c r="G131" s="30">
        <f>'Equity Volume Data'!J131*'Equity Price Data'!M132</f>
        <v>15438</v>
      </c>
      <c r="H131" s="30">
        <f>'Equity Volume Data'!K131*'Equity Price Data'!N132</f>
        <v>14583.16</v>
      </c>
      <c r="I131" s="30">
        <f>'Equity Volume Data'!L131*'Equity Price Data'!O132</f>
        <v>12960</v>
      </c>
      <c r="J131" s="30">
        <f>'Equity Volume Data'!M131*'Equity Price Data'!P132</f>
        <v>47705.4</v>
      </c>
      <c r="K131" s="30">
        <f>'Equity Volume Data'!N131*'Equity Price Data'!Q132</f>
        <v>10410</v>
      </c>
      <c r="L131" s="30">
        <f>'Equity Volume Data'!O131*'Equity Price Data'!R132</f>
        <v>19951.69</v>
      </c>
      <c r="M131" s="30">
        <f>'Equity Volume Data'!P131*'Equity Price Data'!S132</f>
        <v>0</v>
      </c>
      <c r="N131" s="30">
        <f>'Equity Volume Data'!Q131*'Equity Price Data'!T132</f>
        <v>5997.6</v>
      </c>
      <c r="O131" s="30">
        <f>'Equity Volume Data'!R131*'Equity Price Data'!U132</f>
        <v>58104</v>
      </c>
      <c r="P131" s="30">
        <f>'Equity Volume Data'!S131*'Equity Price Data'!V132</f>
        <v>22146.87</v>
      </c>
      <c r="Q131" s="30">
        <f>'Equity Volume Data'!T131*'Equity Price Data'!W132</f>
        <v>21306</v>
      </c>
      <c r="R131" s="30">
        <f>'Equity Volume Data'!U131*'Equity Price Data'!X132</f>
        <v>12944</v>
      </c>
      <c r="S131" s="30">
        <f>'Equity Volume Data'!V131*'Equity Price Data'!Y132</f>
        <v>28501.44</v>
      </c>
      <c r="T131" s="30">
        <f>'Equity Volume Data'!W131*'Equity Price Data'!Z132</f>
        <v>11645</v>
      </c>
      <c r="U131" s="30">
        <f>'Equity Volume Data'!X131*'Equity Price Data'!AA132</f>
        <v>16513.2</v>
      </c>
      <c r="V131" s="30">
        <f>'Equity Volume Data'!Y131*'Equity Price Data'!AB132</f>
        <v>15333.64</v>
      </c>
      <c r="W131" s="30">
        <f>'Equity Volume Data'!Z131*'Equity Price Data'!AC132</f>
        <v>12296.49</v>
      </c>
      <c r="X131" s="30">
        <f>'Equity Volume Data'!AA131*'Equity Price Data'!AD132</f>
        <v>16417.5</v>
      </c>
      <c r="Y131" s="30">
        <f>'Equity Volume Data'!AB131*'Equity Price Data'!AE132</f>
        <v>5667.61</v>
      </c>
      <c r="Z131" s="30">
        <f>'Equity Volume Data'!AC131*'Equity Price Data'!AF132</f>
        <v>9345</v>
      </c>
      <c r="AA131" s="30">
        <f>'Equity Volume Data'!AD131*'Equity Price Data'!AG132</f>
        <v>20495.2</v>
      </c>
      <c r="AB131" s="30">
        <f>'Equity Volume Data'!AE131*'Equity Price Data'!AH132</f>
        <v>17537.4</v>
      </c>
      <c r="AC131" s="30">
        <f>'Equity Volume Data'!AF131*'Equity Price Data'!AI132</f>
        <v>17615.6</v>
      </c>
      <c r="AD131" s="30">
        <f>'Equity Volume Data'!AG131*'Equity Price Data'!AJ132</f>
        <v>13158.9</v>
      </c>
      <c r="AE131" s="30">
        <f>'Equity Volume Data'!AH131*'Equity Price Data'!AK132</f>
        <v>11524</v>
      </c>
      <c r="AF131" s="30">
        <f>'Equity Volume Data'!AI131*'Equity Price Data'!AL132</f>
        <v>18882.55</v>
      </c>
      <c r="AG131" s="30">
        <f>'Equity Volume Data'!AJ131*'Equity Price Data'!AM132</f>
        <v>35316.6</v>
      </c>
      <c r="AH131" s="30">
        <f>'Equity Volume Data'!AK131*'Equity Price Data'!AN132</f>
        <v>40572</v>
      </c>
      <c r="AI131" s="30">
        <f>'Equity Volume Data'!AL131*'Equity Price Data'!AO132</f>
        <v>21399</v>
      </c>
      <c r="AJ131" s="30">
        <f>'Equity Volume Data'!AM131*'Equity Price Data'!AP132</f>
        <v>20341.1</v>
      </c>
      <c r="AK131" s="30">
        <f>'Equity Volume Data'!AN131*'Equity Price Data'!AQ132</f>
        <v>25276.6</v>
      </c>
      <c r="AL131" s="30">
        <f>'Equity Volume Data'!AO131*'Equity Price Data'!AR132</f>
        <v>38699.2</v>
      </c>
      <c r="AM131" s="30">
        <f>'Equity Volume Data'!AP131*'Equity Price Data'!AS132</f>
        <v>37729.3</v>
      </c>
      <c r="AN131" s="30">
        <f>'Equity Volume Data'!AQ131*'Equity Price Data'!AT132</f>
        <v>11559.1</v>
      </c>
      <c r="AO131" s="30">
        <f>'Equity Volume Data'!AR131*'Equity Price Data'!AU132</f>
        <v>28070.98</v>
      </c>
      <c r="AP131" s="30">
        <f>'Equity Volume Data'!AS131*'Equity Price Data'!AV132</f>
        <v>21500</v>
      </c>
      <c r="AQ131" s="30">
        <f>'Equity Volume Data'!AT131*'Equity Price Data'!AW132</f>
        <v>18172</v>
      </c>
      <c r="AR131" s="30">
        <f>'Equity Volume Data'!AU131*'Equity Price Data'!AX132</f>
        <v>0</v>
      </c>
      <c r="AS131" s="30">
        <f>'Equity Volume Data'!AV131*'Equity Price Data'!AY132</f>
        <v>51226.8</v>
      </c>
      <c r="AT131" s="30">
        <f>'Equity Volume Data'!AW131*'Equity Price Data'!AZ132</f>
        <v>15056</v>
      </c>
      <c r="AU131" s="30">
        <f>'Equity Volume Data'!AX131*'Equity Price Data'!BA132</f>
        <v>0</v>
      </c>
      <c r="AV131" s="30">
        <f>'Equity Volume Data'!AY131*'Equity Price Data'!BB132</f>
        <v>20839.92</v>
      </c>
      <c r="AW131" s="30">
        <f>'Equity Volume Data'!AZ131*'Equity Price Data'!BC132</f>
        <v>3988.8</v>
      </c>
      <c r="AX131" s="30">
        <f>'Equity Volume Data'!BA131*'Equity Price Data'!BD132</f>
        <v>4268</v>
      </c>
      <c r="AY131" s="30">
        <f>'Equity Volume Data'!BB131*'Equity Price Data'!BE132</f>
        <v>23790.36</v>
      </c>
      <c r="AZ131" s="30">
        <f>'Equity Volume Data'!BC131*'Equity Price Data'!BF132</f>
        <v>12868.5</v>
      </c>
      <c r="BA131" s="30">
        <f>'Equity Volume Data'!BD131*'Equity Price Data'!BG132</f>
        <v>4943.8</v>
      </c>
      <c r="BB131" s="30">
        <f>'Equity Volume Data'!BE131*'Equity Price Data'!BH132</f>
        <v>9513.6</v>
      </c>
      <c r="BC131" s="30">
        <f>'Equity Volume Data'!BF131*'Equity Price Data'!BI132</f>
        <v>0</v>
      </c>
      <c r="BD131" s="30">
        <f>'Equity Volume Data'!BG131*'Equity Price Data'!BJ132</f>
        <v>50640.75</v>
      </c>
      <c r="BE131" s="30">
        <f>'Equity Volume Data'!BH131*'Equity Price Data'!BK132</f>
        <v>12259.46</v>
      </c>
      <c r="BF131" s="30">
        <f>'Equity Volume Data'!BI131*'Equity Price Data'!BL132</f>
        <v>6939.2</v>
      </c>
      <c r="BG131" s="30">
        <f>'Equity Volume Data'!BJ131*'Equity Price Data'!BM132</f>
        <v>24564.08</v>
      </c>
      <c r="BH131" s="30">
        <f>'Equity Volume Data'!BK131*'Equity Price Data'!BN132</f>
        <v>0</v>
      </c>
      <c r="BI131" s="30">
        <f>'Equity Volume Data'!BL131*'Equity Price Data'!BO132</f>
        <v>37692.8</v>
      </c>
      <c r="BJ131" s="30">
        <f>'Equity Volume Data'!BM131*'Equity Price Data'!BP132</f>
        <v>44486.25</v>
      </c>
      <c r="BK131" s="30">
        <f>'Equity Volume Data'!BN131*'Equity Price Data'!BQ132</f>
        <v>87829.48</v>
      </c>
      <c r="BL131" s="30">
        <f>'Equity Volume Data'!BO131*'Equity Price Data'!BR132</f>
        <v>593.14</v>
      </c>
      <c r="BM131" s="30">
        <f>'Equity Volume Data'!BP131*'Equity Price Data'!BS132</f>
        <v>10642.56</v>
      </c>
      <c r="BN131" s="30">
        <f>'Equity Volume Data'!BQ131*'Equity Price Data'!BT132</f>
        <v>20514.56</v>
      </c>
      <c r="BO131" s="30">
        <f>'Equity Volume Data'!BR131*'Equity Price Data'!BU132</f>
        <v>53374.07</v>
      </c>
    </row>
    <row r="132">
      <c r="A132" s="25">
        <f>'Equity Price Data'!A133</f>
        <v>45611.66667</v>
      </c>
      <c r="B132" s="29">
        <f t="shared" si="1"/>
        <v>1360498.62</v>
      </c>
      <c r="C132" s="30">
        <f>'Equity Volume Data'!F132*'Equity Price Data'!I133</f>
        <v>6543.81</v>
      </c>
      <c r="D132" s="30">
        <f>'Equity Volume Data'!G132*'Equity Price Data'!J133</f>
        <v>52678.6</v>
      </c>
      <c r="E132" s="30">
        <f>'Equity Volume Data'!H132*'Equity Price Data'!K133</f>
        <v>14765.3</v>
      </c>
      <c r="F132" s="30">
        <f>'Equity Volume Data'!I132*'Equity Price Data'!L133</f>
        <v>57600</v>
      </c>
      <c r="G132" s="30">
        <f>'Equity Volume Data'!J132*'Equity Price Data'!M133</f>
        <v>14017.04</v>
      </c>
      <c r="H132" s="30">
        <f>'Equity Volume Data'!K132*'Equity Price Data'!N133</f>
        <v>14718.52</v>
      </c>
      <c r="I132" s="30">
        <f>'Equity Volume Data'!L132*'Equity Price Data'!O133</f>
        <v>13210</v>
      </c>
      <c r="J132" s="30">
        <f>'Equity Volume Data'!M132*'Equity Price Data'!P133</f>
        <v>47968.56</v>
      </c>
      <c r="K132" s="30">
        <f>'Equity Volume Data'!N132*'Equity Price Data'!Q133</f>
        <v>10368</v>
      </c>
      <c r="L132" s="30">
        <f>'Equity Volume Data'!O132*'Equity Price Data'!R133</f>
        <v>19358.79</v>
      </c>
      <c r="M132" s="30">
        <f>'Equity Volume Data'!P132*'Equity Price Data'!S133</f>
        <v>0</v>
      </c>
      <c r="N132" s="30">
        <f>'Equity Volume Data'!Q132*'Equity Price Data'!T133</f>
        <v>5962.4</v>
      </c>
      <c r="O132" s="30">
        <f>'Equity Volume Data'!R132*'Equity Price Data'!U133</f>
        <v>57610.5</v>
      </c>
      <c r="P132" s="30">
        <f>'Equity Volume Data'!S132*'Equity Price Data'!V133</f>
        <v>22347.03</v>
      </c>
      <c r="Q132" s="30">
        <f>'Equity Volume Data'!T132*'Equity Price Data'!W133</f>
        <v>20910</v>
      </c>
      <c r="R132" s="30">
        <f>'Equity Volume Data'!U132*'Equity Price Data'!X133</f>
        <v>12913.6</v>
      </c>
      <c r="S132" s="30">
        <f>'Equity Volume Data'!V132*'Equity Price Data'!Y133</f>
        <v>28293.76</v>
      </c>
      <c r="T132" s="30">
        <f>'Equity Volume Data'!W132*'Equity Price Data'!Z133</f>
        <v>11695</v>
      </c>
      <c r="U132" s="30">
        <f>'Equity Volume Data'!X132*'Equity Price Data'!AA133</f>
        <v>16299.36</v>
      </c>
      <c r="V132" s="30">
        <f>'Equity Volume Data'!Y132*'Equity Price Data'!AB133</f>
        <v>15526.84</v>
      </c>
      <c r="W132" s="30">
        <f>'Equity Volume Data'!Z132*'Equity Price Data'!AC133</f>
        <v>12397.23</v>
      </c>
      <c r="X132" s="30">
        <f>'Equity Volume Data'!AA132*'Equity Price Data'!AD133</f>
        <v>0</v>
      </c>
      <c r="Y132" s="30">
        <f>'Equity Volume Data'!AB132*'Equity Price Data'!AE133</f>
        <v>5595.59</v>
      </c>
      <c r="Z132" s="30">
        <f>'Equity Volume Data'!AC132*'Equity Price Data'!AF133</f>
        <v>9214.5</v>
      </c>
      <c r="AA132" s="30">
        <f>'Equity Volume Data'!AD132*'Equity Price Data'!AG133</f>
        <v>20282.7</v>
      </c>
      <c r="AB132" s="30">
        <f>'Equity Volume Data'!AE132*'Equity Price Data'!AH133</f>
        <v>17667.6</v>
      </c>
      <c r="AC132" s="30">
        <f>'Equity Volume Data'!AF132*'Equity Price Data'!AI133</f>
        <v>17239.6</v>
      </c>
      <c r="AD132" s="30">
        <f>'Equity Volume Data'!AG132*'Equity Price Data'!AJ133</f>
        <v>12959.55</v>
      </c>
      <c r="AE132" s="30">
        <f>'Equity Volume Data'!AH132*'Equity Price Data'!AK133</f>
        <v>11408</v>
      </c>
      <c r="AF132" s="30">
        <f>'Equity Volume Data'!AI132*'Equity Price Data'!AL133</f>
        <v>18122</v>
      </c>
      <c r="AG132" s="30">
        <f>'Equity Volume Data'!AJ132*'Equity Price Data'!AM133</f>
        <v>35612.4</v>
      </c>
      <c r="AH132" s="30">
        <f>'Equity Volume Data'!AK132*'Equity Price Data'!AN133</f>
        <v>40818</v>
      </c>
      <c r="AI132" s="30">
        <f>'Equity Volume Data'!AL132*'Equity Price Data'!AO133</f>
        <v>21133</v>
      </c>
      <c r="AJ132" s="30">
        <f>'Equity Volume Data'!AM132*'Equity Price Data'!AP133</f>
        <v>20221.5</v>
      </c>
      <c r="AK132" s="30">
        <f>'Equity Volume Data'!AN132*'Equity Price Data'!AQ133</f>
        <v>24797.67</v>
      </c>
      <c r="AL132" s="30">
        <f>'Equity Volume Data'!AO132*'Equity Price Data'!AR133</f>
        <v>39249.6</v>
      </c>
      <c r="AM132" s="30">
        <f>'Equity Volume Data'!AP132*'Equity Price Data'!AS133</f>
        <v>37438.1</v>
      </c>
      <c r="AN132" s="30">
        <f>'Equity Volume Data'!AQ132*'Equity Price Data'!AT133</f>
        <v>11200.35</v>
      </c>
      <c r="AO132" s="30">
        <f>'Equity Volume Data'!AR132*'Equity Price Data'!AU133</f>
        <v>27891.64</v>
      </c>
      <c r="AP132" s="30">
        <f>'Equity Volume Data'!AS132*'Equity Price Data'!AV133</f>
        <v>21882.5</v>
      </c>
      <c r="AQ132" s="30">
        <f>'Equity Volume Data'!AT132*'Equity Price Data'!AW133</f>
        <v>18332.6</v>
      </c>
      <c r="AR132" s="30">
        <f>'Equity Volume Data'!AU132*'Equity Price Data'!AX133</f>
        <v>0</v>
      </c>
      <c r="AS132" s="30">
        <f>'Equity Volume Data'!AV132*'Equity Price Data'!AY133</f>
        <v>49800</v>
      </c>
      <c r="AT132" s="30">
        <f>'Equity Volume Data'!AW132*'Equity Price Data'!AZ133</f>
        <v>15270</v>
      </c>
      <c r="AU132" s="30">
        <f>'Equity Volume Data'!AX132*'Equity Price Data'!BA133</f>
        <v>0</v>
      </c>
      <c r="AV132" s="30">
        <f>'Equity Volume Data'!AY132*'Equity Price Data'!BB133</f>
        <v>20161.16</v>
      </c>
      <c r="AW132" s="30">
        <f>'Equity Volume Data'!AZ132*'Equity Price Data'!BC133</f>
        <v>3964</v>
      </c>
      <c r="AX132" s="30">
        <f>'Equity Volume Data'!BA132*'Equity Price Data'!BD133</f>
        <v>4153.6</v>
      </c>
      <c r="AY132" s="30">
        <f>'Equity Volume Data'!BB132*'Equity Price Data'!BE133</f>
        <v>26439.54</v>
      </c>
      <c r="AZ132" s="30">
        <f>'Equity Volume Data'!BC132*'Equity Price Data'!BF133</f>
        <v>12874.5</v>
      </c>
      <c r="BA132" s="30">
        <f>'Equity Volume Data'!BD132*'Equity Price Data'!BG133</f>
        <v>4712</v>
      </c>
      <c r="BB132" s="30">
        <f>'Equity Volume Data'!BE132*'Equity Price Data'!BH133</f>
        <v>9482.4</v>
      </c>
      <c r="BC132" s="30">
        <f>'Equity Volume Data'!BF132*'Equity Price Data'!BI133</f>
        <v>0</v>
      </c>
      <c r="BD132" s="30">
        <f>'Equity Volume Data'!BG132*'Equity Price Data'!BJ133</f>
        <v>50184.93</v>
      </c>
      <c r="BE132" s="30">
        <f>'Equity Volume Data'!BH132*'Equity Price Data'!BK133</f>
        <v>11800.84</v>
      </c>
      <c r="BF132" s="30">
        <f>'Equity Volume Data'!BI132*'Equity Price Data'!BL133</f>
        <v>6913.6</v>
      </c>
      <c r="BG132" s="30">
        <f>'Equity Volume Data'!BJ132*'Equity Price Data'!BM133</f>
        <v>22373.44</v>
      </c>
      <c r="BH132" s="30">
        <f>'Equity Volume Data'!BK132*'Equity Price Data'!BN133</f>
        <v>0</v>
      </c>
      <c r="BI132" s="30">
        <f>'Equity Volume Data'!BL132*'Equity Price Data'!BO133</f>
        <v>37691.2</v>
      </c>
      <c r="BJ132" s="30">
        <f>'Equity Volume Data'!BM132*'Equity Price Data'!BP133</f>
        <v>44417.25</v>
      </c>
      <c r="BK132" s="30">
        <f>'Equity Volume Data'!BN132*'Equity Price Data'!BQ133</f>
        <v>87937.6</v>
      </c>
      <c r="BL132" s="30">
        <f>'Equity Volume Data'!BO132*'Equity Price Data'!BR133</f>
        <v>603.01</v>
      </c>
      <c r="BM132" s="30">
        <f>'Equity Volume Data'!BP132*'Equity Price Data'!BS133</f>
        <v>10459.2</v>
      </c>
      <c r="BN132" s="30">
        <f>'Equity Volume Data'!BQ132*'Equity Price Data'!BT133</f>
        <v>21635.04</v>
      </c>
      <c r="BO132" s="30">
        <f>'Equity Volume Data'!BR132*'Equity Price Data'!BU133</f>
        <v>53374.07</v>
      </c>
    </row>
    <row r="133">
      <c r="A133" s="25">
        <f>'Equity Price Data'!A134</f>
        <v>45614.66667</v>
      </c>
      <c r="B133" s="29">
        <f t="shared" si="1"/>
        <v>1359820.82</v>
      </c>
      <c r="C133" s="30">
        <f>'Equity Volume Data'!F133*'Equity Price Data'!I134</f>
        <v>6493.63</v>
      </c>
      <c r="D133" s="30">
        <f>'Equity Volume Data'!G133*'Equity Price Data'!J134</f>
        <v>52442</v>
      </c>
      <c r="E133" s="30">
        <f>'Equity Volume Data'!H133*'Equity Price Data'!K134</f>
        <v>15033.7</v>
      </c>
      <c r="F133" s="30">
        <f>'Equity Volume Data'!I133*'Equity Price Data'!L134</f>
        <v>58373.12</v>
      </c>
      <c r="G133" s="30">
        <f>'Equity Volume Data'!J133*'Equity Price Data'!M134</f>
        <v>14170.59</v>
      </c>
      <c r="H133" s="30">
        <f>'Equity Volume Data'!K133*'Equity Price Data'!N134</f>
        <v>14786.2</v>
      </c>
      <c r="I133" s="30">
        <f>'Equity Volume Data'!L133*'Equity Price Data'!O134</f>
        <v>13260</v>
      </c>
      <c r="J133" s="30">
        <f>'Equity Volume Data'!M133*'Equity Price Data'!P134</f>
        <v>48164.4</v>
      </c>
      <c r="K133" s="30">
        <f>'Equity Volume Data'!N133*'Equity Price Data'!Q134</f>
        <v>10498</v>
      </c>
      <c r="L133" s="30">
        <f>'Equity Volume Data'!O133*'Equity Price Data'!R134</f>
        <v>19110.74</v>
      </c>
      <c r="M133" s="30">
        <f>'Equity Volume Data'!P133*'Equity Price Data'!S134</f>
        <v>0</v>
      </c>
      <c r="N133" s="30">
        <f>'Equity Volume Data'!Q133*'Equity Price Data'!T134</f>
        <v>5924</v>
      </c>
      <c r="O133" s="30">
        <f>'Equity Volume Data'!R133*'Equity Price Data'!U134</f>
        <v>57669</v>
      </c>
      <c r="P133" s="30">
        <f>'Equity Volume Data'!S133*'Equity Price Data'!V134</f>
        <v>23310.3</v>
      </c>
      <c r="Q133" s="30">
        <f>'Equity Volume Data'!T133*'Equity Price Data'!W134</f>
        <v>20823.6</v>
      </c>
      <c r="R133" s="30">
        <f>'Equity Volume Data'!U133*'Equity Price Data'!X134</f>
        <v>12860.8</v>
      </c>
      <c r="S133" s="30">
        <f>'Equity Volume Data'!V133*'Equity Price Data'!Y134</f>
        <v>28375.6</v>
      </c>
      <c r="T133" s="30">
        <f>'Equity Volume Data'!W133*'Equity Price Data'!Z134</f>
        <v>11642.5</v>
      </c>
      <c r="U133" s="30">
        <f>'Equity Volume Data'!X133*'Equity Price Data'!AA134</f>
        <v>16331.04</v>
      </c>
      <c r="V133" s="30">
        <f>'Equity Volume Data'!Y133*'Equity Price Data'!AB134</f>
        <v>15528.45</v>
      </c>
      <c r="W133" s="30">
        <f>'Equity Volume Data'!Z133*'Equity Price Data'!AC134</f>
        <v>12647.01</v>
      </c>
      <c r="X133" s="30">
        <f>'Equity Volume Data'!AA133*'Equity Price Data'!AD134</f>
        <v>0</v>
      </c>
      <c r="Y133" s="30">
        <f>'Equity Volume Data'!AB133*'Equity Price Data'!AE134</f>
        <v>5783.7</v>
      </c>
      <c r="Z133" s="30">
        <f>'Equity Volume Data'!AC133*'Equity Price Data'!AF134</f>
        <v>9211.5</v>
      </c>
      <c r="AA133" s="30">
        <f>'Equity Volume Data'!AD133*'Equity Price Data'!AG134</f>
        <v>20452.7</v>
      </c>
      <c r="AB133" s="30">
        <f>'Equity Volume Data'!AE133*'Equity Price Data'!AH134</f>
        <v>17712.6</v>
      </c>
      <c r="AC133" s="30">
        <f>'Equity Volume Data'!AF133*'Equity Price Data'!AI134</f>
        <v>17399.2</v>
      </c>
      <c r="AD133" s="30">
        <f>'Equity Volume Data'!AG133*'Equity Price Data'!AJ134</f>
        <v>12870</v>
      </c>
      <c r="AE133" s="30">
        <f>'Equity Volume Data'!AH133*'Equity Price Data'!AK134</f>
        <v>11250</v>
      </c>
      <c r="AF133" s="30">
        <f>'Equity Volume Data'!AI133*'Equity Price Data'!AL134</f>
        <v>18134.3</v>
      </c>
      <c r="AG133" s="30">
        <f>'Equity Volume Data'!AJ133*'Equity Price Data'!AM134</f>
        <v>35279.4</v>
      </c>
      <c r="AH133" s="30">
        <f>'Equity Volume Data'!AK133*'Equity Price Data'!AN134</f>
        <v>41044</v>
      </c>
      <c r="AI133" s="30">
        <f>'Equity Volume Data'!AL133*'Equity Price Data'!AO134</f>
        <v>20802.25</v>
      </c>
      <c r="AJ133" s="30">
        <f>'Equity Volume Data'!AM133*'Equity Price Data'!AP134</f>
        <v>20499.7</v>
      </c>
      <c r="AK133" s="30">
        <f>'Equity Volume Data'!AN133*'Equity Price Data'!AQ134</f>
        <v>24987.08</v>
      </c>
      <c r="AL133" s="30">
        <f>'Equity Volume Data'!AO133*'Equity Price Data'!AR134</f>
        <v>39204.8</v>
      </c>
      <c r="AM133" s="30">
        <f>'Equity Volume Data'!AP133*'Equity Price Data'!AS134</f>
        <v>37167.2</v>
      </c>
      <c r="AN133" s="30">
        <f>'Equity Volume Data'!AQ133*'Equity Price Data'!AT134</f>
        <v>10833.55</v>
      </c>
      <c r="AO133" s="30">
        <f>'Equity Volume Data'!AR133*'Equity Price Data'!AU134</f>
        <v>27609.82</v>
      </c>
      <c r="AP133" s="30">
        <f>'Equity Volume Data'!AS133*'Equity Price Data'!AV134</f>
        <v>21897.5</v>
      </c>
      <c r="AQ133" s="30">
        <f>'Equity Volume Data'!AT133*'Equity Price Data'!AW134</f>
        <v>18341.4</v>
      </c>
      <c r="AR133" s="30">
        <f>'Equity Volume Data'!AU133*'Equity Price Data'!AX134</f>
        <v>0</v>
      </c>
      <c r="AS133" s="30">
        <f>'Equity Volume Data'!AV133*'Equity Price Data'!AY134</f>
        <v>49891.2</v>
      </c>
      <c r="AT133" s="30">
        <f>'Equity Volume Data'!AW133*'Equity Price Data'!AZ134</f>
        <v>15278</v>
      </c>
      <c r="AU133" s="30">
        <f>'Equity Volume Data'!AX133*'Equity Price Data'!BA134</f>
        <v>0</v>
      </c>
      <c r="AV133" s="30">
        <f>'Equity Volume Data'!AY133*'Equity Price Data'!BB134</f>
        <v>19901.3</v>
      </c>
      <c r="AW133" s="30">
        <f>'Equity Volume Data'!AZ133*'Equity Price Data'!BC134</f>
        <v>4030.8</v>
      </c>
      <c r="AX133" s="30">
        <f>'Equity Volume Data'!BA133*'Equity Price Data'!BD134</f>
        <v>4119.2</v>
      </c>
      <c r="AY133" s="30">
        <f>'Equity Volume Data'!BB133*'Equity Price Data'!BE134</f>
        <v>24626.52</v>
      </c>
      <c r="AZ133" s="30">
        <f>'Equity Volume Data'!BC133*'Equity Price Data'!BF134</f>
        <v>12700.5</v>
      </c>
      <c r="BA133" s="30">
        <f>'Equity Volume Data'!BD133*'Equity Price Data'!BG134</f>
        <v>4723.4</v>
      </c>
      <c r="BB133" s="30">
        <f>'Equity Volume Data'!BE133*'Equity Price Data'!BH134</f>
        <v>9551.2</v>
      </c>
      <c r="BC133" s="30">
        <f>'Equity Volume Data'!BF133*'Equity Price Data'!BI134</f>
        <v>0</v>
      </c>
      <c r="BD133" s="30">
        <f>'Equity Volume Data'!BG133*'Equity Price Data'!BJ134</f>
        <v>50487.39</v>
      </c>
      <c r="BE133" s="30">
        <f>'Equity Volume Data'!BH133*'Equity Price Data'!BK134</f>
        <v>11529.67</v>
      </c>
      <c r="BF133" s="30">
        <f>'Equity Volume Data'!BI133*'Equity Price Data'!BL134</f>
        <v>6991.2</v>
      </c>
      <c r="BG133" s="30">
        <f>'Equity Volume Data'!BJ133*'Equity Price Data'!BM134</f>
        <v>22498.54</v>
      </c>
      <c r="BH133" s="30">
        <f>'Equity Volume Data'!BK133*'Equity Price Data'!BN134</f>
        <v>0</v>
      </c>
      <c r="BI133" s="30">
        <f>'Equity Volume Data'!BL133*'Equity Price Data'!BO134</f>
        <v>37505.6</v>
      </c>
      <c r="BJ133" s="30">
        <f>'Equity Volume Data'!BM133*'Equity Price Data'!BP134</f>
        <v>44223.75</v>
      </c>
      <c r="BK133" s="30">
        <f>'Equity Volume Data'!BN133*'Equity Price Data'!BQ134</f>
        <v>88027.7</v>
      </c>
      <c r="BL133" s="30">
        <f>'Equity Volume Data'!BO133*'Equity Price Data'!BR134</f>
        <v>611</v>
      </c>
      <c r="BM133" s="30">
        <f>'Equity Volume Data'!BP133*'Equity Price Data'!BS134</f>
        <v>10478.88</v>
      </c>
      <c r="BN133" s="30">
        <f>'Equity Volume Data'!BQ133*'Equity Price Data'!BT134</f>
        <v>21345.52</v>
      </c>
      <c r="BO133" s="30">
        <f>'Equity Volume Data'!BR133*'Equity Price Data'!BU134</f>
        <v>53374.07</v>
      </c>
    </row>
    <row r="134">
      <c r="A134" s="25">
        <f>'Equity Price Data'!A135</f>
        <v>45615.66667</v>
      </c>
      <c r="B134" s="29">
        <f t="shared" si="1"/>
        <v>1358788.43</v>
      </c>
      <c r="C134" s="30">
        <f>'Equity Volume Data'!F134*'Equity Price Data'!I135</f>
        <v>6494.93</v>
      </c>
      <c r="D134" s="30">
        <f>'Equity Volume Data'!G134*'Equity Price Data'!J135</f>
        <v>53198.6</v>
      </c>
      <c r="E134" s="30">
        <f>'Equity Volume Data'!H134*'Equity Price Data'!K135</f>
        <v>15202</v>
      </c>
      <c r="F134" s="30">
        <f>'Equity Volume Data'!I134*'Equity Price Data'!L135</f>
        <v>58439.68</v>
      </c>
      <c r="G134" s="30">
        <f>'Equity Volume Data'!J134*'Equity Price Data'!M135</f>
        <v>14052.73</v>
      </c>
      <c r="H134" s="30">
        <f>'Equity Volume Data'!K134*'Equity Price Data'!N135</f>
        <v>14590.68</v>
      </c>
      <c r="I134" s="30">
        <f>'Equity Volume Data'!L134*'Equity Price Data'!O135</f>
        <v>13080</v>
      </c>
      <c r="J134" s="30">
        <f>'Equity Volume Data'!M134*'Equity Price Data'!P135</f>
        <v>47823.72</v>
      </c>
      <c r="K134" s="30">
        <f>'Equity Volume Data'!N134*'Equity Price Data'!Q135</f>
        <v>10536</v>
      </c>
      <c r="L134" s="30">
        <f>'Equity Volume Data'!O134*'Equity Price Data'!R135</f>
        <v>18807.03</v>
      </c>
      <c r="M134" s="30">
        <f>'Equity Volume Data'!P134*'Equity Price Data'!S135</f>
        <v>0</v>
      </c>
      <c r="N134" s="30">
        <f>'Equity Volume Data'!Q134*'Equity Price Data'!T135</f>
        <v>5946.4</v>
      </c>
      <c r="O134" s="30">
        <f>'Equity Volume Data'!R134*'Equity Price Data'!U135</f>
        <v>57349.5</v>
      </c>
      <c r="P134" s="30">
        <f>'Equity Volume Data'!S134*'Equity Price Data'!V135</f>
        <v>23960.82</v>
      </c>
      <c r="Q134" s="30">
        <f>'Equity Volume Data'!T134*'Equity Price Data'!W135</f>
        <v>20947.2</v>
      </c>
      <c r="R134" s="30">
        <f>'Equity Volume Data'!U134*'Equity Price Data'!X135</f>
        <v>12768</v>
      </c>
      <c r="S134" s="30">
        <f>'Equity Volume Data'!V134*'Equity Price Data'!Y135</f>
        <v>28380</v>
      </c>
      <c r="T134" s="30">
        <f>'Equity Volume Data'!W134*'Equity Price Data'!Z135</f>
        <v>11512.5</v>
      </c>
      <c r="U134" s="30">
        <f>'Equity Volume Data'!X134*'Equity Price Data'!AA135</f>
        <v>16523.76</v>
      </c>
      <c r="V134" s="30">
        <f>'Equity Volume Data'!Y134*'Equity Price Data'!AB135</f>
        <v>15612.17</v>
      </c>
      <c r="W134" s="30">
        <f>'Equity Volume Data'!Z134*'Equity Price Data'!AC135</f>
        <v>12921.63</v>
      </c>
      <c r="X134" s="30">
        <f>'Equity Volume Data'!AA134*'Equity Price Data'!AD135</f>
        <v>0</v>
      </c>
      <c r="Y134" s="30">
        <f>'Equity Volume Data'!AB134*'Equity Price Data'!AE135</f>
        <v>5717.4</v>
      </c>
      <c r="Z134" s="30">
        <f>'Equity Volume Data'!AC134*'Equity Price Data'!AF135</f>
        <v>9165</v>
      </c>
      <c r="AA134" s="30">
        <f>'Equity Volume Data'!AD134*'Equity Price Data'!AG135</f>
        <v>20167.1</v>
      </c>
      <c r="AB134" s="30">
        <f>'Equity Volume Data'!AE134*'Equity Price Data'!AH135</f>
        <v>17583.6</v>
      </c>
      <c r="AC134" s="30">
        <f>'Equity Volume Data'!AF134*'Equity Price Data'!AI135</f>
        <v>17139.2</v>
      </c>
      <c r="AD134" s="30">
        <f>'Equity Volume Data'!AG134*'Equity Price Data'!AJ135</f>
        <v>12643.2</v>
      </c>
      <c r="AE134" s="30">
        <f>'Equity Volume Data'!AH134*'Equity Price Data'!AK135</f>
        <v>11022</v>
      </c>
      <c r="AF134" s="30">
        <f>'Equity Volume Data'!AI134*'Equity Price Data'!AL135</f>
        <v>17988.75</v>
      </c>
      <c r="AG134" s="30">
        <f>'Equity Volume Data'!AJ134*'Equity Price Data'!AM135</f>
        <v>34882.8</v>
      </c>
      <c r="AH134" s="30">
        <f>'Equity Volume Data'!AK134*'Equity Price Data'!AN135</f>
        <v>40680</v>
      </c>
      <c r="AI134" s="30">
        <f>'Equity Volume Data'!AL134*'Equity Price Data'!AO135</f>
        <v>21052.5</v>
      </c>
      <c r="AJ134" s="30">
        <f>'Equity Volume Data'!AM134*'Equity Price Data'!AP135</f>
        <v>20530.9</v>
      </c>
      <c r="AK134" s="30">
        <f>'Equity Volume Data'!AN134*'Equity Price Data'!AQ135</f>
        <v>25324.54</v>
      </c>
      <c r="AL134" s="30">
        <f>'Equity Volume Data'!AO134*'Equity Price Data'!AR135</f>
        <v>38894.4</v>
      </c>
      <c r="AM134" s="30">
        <f>'Equity Volume Data'!AP134*'Equity Price Data'!AS135</f>
        <v>37328.2</v>
      </c>
      <c r="AN134" s="30">
        <f>'Equity Volume Data'!AQ134*'Equity Price Data'!AT135</f>
        <v>10564.75</v>
      </c>
      <c r="AO134" s="30">
        <f>'Equity Volume Data'!AR134*'Equity Price Data'!AU135</f>
        <v>27814.78</v>
      </c>
      <c r="AP134" s="30">
        <f>'Equity Volume Data'!AS134*'Equity Price Data'!AV135</f>
        <v>21250</v>
      </c>
      <c r="AQ134" s="30">
        <f>'Equity Volume Data'!AT134*'Equity Price Data'!AW135</f>
        <v>18178.6</v>
      </c>
      <c r="AR134" s="30">
        <f>'Equity Volume Data'!AU134*'Equity Price Data'!AX135</f>
        <v>0</v>
      </c>
      <c r="AS134" s="30">
        <f>'Equity Volume Data'!AV134*'Equity Price Data'!AY135</f>
        <v>50134.8</v>
      </c>
      <c r="AT134" s="30">
        <f>'Equity Volume Data'!AW134*'Equity Price Data'!AZ135</f>
        <v>15416</v>
      </c>
      <c r="AU134" s="30">
        <f>'Equity Volume Data'!AX134*'Equity Price Data'!BA135</f>
        <v>0</v>
      </c>
      <c r="AV134" s="30">
        <f>'Equity Volume Data'!AY134*'Equity Price Data'!BB135</f>
        <v>20875.42</v>
      </c>
      <c r="AW134" s="30">
        <f>'Equity Volume Data'!AZ134*'Equity Price Data'!BC135</f>
        <v>4011.2</v>
      </c>
      <c r="AX134" s="30">
        <f>'Equity Volume Data'!BA134*'Equity Price Data'!BD135</f>
        <v>4272</v>
      </c>
      <c r="AY134" s="30">
        <f>'Equity Volume Data'!BB134*'Equity Price Data'!BE135</f>
        <v>25317.96</v>
      </c>
      <c r="AZ134" s="30">
        <f>'Equity Volume Data'!BC134*'Equity Price Data'!BF135</f>
        <v>12613.5</v>
      </c>
      <c r="BA134" s="30">
        <f>'Equity Volume Data'!BD134*'Equity Price Data'!BG135</f>
        <v>4769</v>
      </c>
      <c r="BB134" s="30">
        <f>'Equity Volume Data'!BE134*'Equity Price Data'!BH135</f>
        <v>9516.8</v>
      </c>
      <c r="BC134" s="30">
        <f>'Equity Volume Data'!BF134*'Equity Price Data'!BI135</f>
        <v>0</v>
      </c>
      <c r="BD134" s="30">
        <f>'Equity Volume Data'!BG134*'Equity Price Data'!BJ135</f>
        <v>49671.6</v>
      </c>
      <c r="BE134" s="30">
        <f>'Equity Volume Data'!BH134*'Equity Price Data'!BK135</f>
        <v>11709.76</v>
      </c>
      <c r="BF134" s="30">
        <f>'Equity Volume Data'!BI134*'Equity Price Data'!BL135</f>
        <v>7015.6</v>
      </c>
      <c r="BG134" s="30">
        <f>'Equity Volume Data'!BJ134*'Equity Price Data'!BM135</f>
        <v>23051.76</v>
      </c>
      <c r="BH134" s="30">
        <f>'Equity Volume Data'!BK134*'Equity Price Data'!BN135</f>
        <v>0</v>
      </c>
      <c r="BI134" s="30">
        <f>'Equity Volume Data'!BL134*'Equity Price Data'!BO135</f>
        <v>37326.4</v>
      </c>
      <c r="BJ134" s="30">
        <f>'Equity Volume Data'!BM134*'Equity Price Data'!BP135</f>
        <v>43275</v>
      </c>
      <c r="BK134" s="30">
        <f>'Equity Volume Data'!BN134*'Equity Price Data'!BQ135</f>
        <v>88099.78</v>
      </c>
      <c r="BL134" s="30">
        <f>'Equity Volume Data'!BO134*'Equity Price Data'!BR135</f>
        <v>613.35</v>
      </c>
      <c r="BM134" s="30">
        <f>'Equity Volume Data'!BP134*'Equity Price Data'!BS135</f>
        <v>10514.4</v>
      </c>
      <c r="BN134" s="30">
        <f>'Equity Volume Data'!BQ134*'Equity Price Data'!BT135</f>
        <v>21134.96</v>
      </c>
      <c r="BO134" s="30">
        <f>'Equity Volume Data'!BR134*'Equity Price Data'!BU135</f>
        <v>53374.07</v>
      </c>
    </row>
    <row r="135">
      <c r="A135" s="25">
        <f>'Equity Price Data'!A136</f>
        <v>45616.66667</v>
      </c>
      <c r="B135" s="29">
        <f t="shared" si="1"/>
        <v>1358318.74</v>
      </c>
      <c r="C135" s="30">
        <f>'Equity Volume Data'!F135*'Equity Price Data'!I136</f>
        <v>6493.5</v>
      </c>
      <c r="D135" s="30">
        <f>'Equity Volume Data'!G135*'Equity Price Data'!J136</f>
        <v>52748.8</v>
      </c>
      <c r="E135" s="30">
        <f>'Equity Volume Data'!H135*'Equity Price Data'!K136</f>
        <v>15167.9</v>
      </c>
      <c r="F135" s="30">
        <f>'Equity Volume Data'!I135*'Equity Price Data'!L136</f>
        <v>58624</v>
      </c>
      <c r="G135" s="30">
        <f>'Equity Volume Data'!J135*'Equity Price Data'!M136</f>
        <v>14150.67</v>
      </c>
      <c r="H135" s="30">
        <f>'Equity Volume Data'!K135*'Equity Price Data'!N136</f>
        <v>14639.56</v>
      </c>
      <c r="I135" s="30">
        <f>'Equity Volume Data'!L135*'Equity Price Data'!O136</f>
        <v>13240</v>
      </c>
      <c r="J135" s="30">
        <f>'Equity Volume Data'!M135*'Equity Price Data'!P136</f>
        <v>47820.66</v>
      </c>
      <c r="K135" s="30">
        <f>'Equity Volume Data'!N135*'Equity Price Data'!Q136</f>
        <v>10454</v>
      </c>
      <c r="L135" s="30">
        <f>'Equity Volume Data'!O135*'Equity Price Data'!R136</f>
        <v>18876</v>
      </c>
      <c r="M135" s="30">
        <f>'Equity Volume Data'!P135*'Equity Price Data'!S136</f>
        <v>0</v>
      </c>
      <c r="N135" s="30">
        <f>'Equity Volume Data'!Q135*'Equity Price Data'!T136</f>
        <v>5960</v>
      </c>
      <c r="O135" s="30">
        <f>'Equity Volume Data'!R135*'Equity Price Data'!U136</f>
        <v>57225</v>
      </c>
      <c r="P135" s="30">
        <f>'Equity Volume Data'!S135*'Equity Price Data'!V136</f>
        <v>24023.37</v>
      </c>
      <c r="Q135" s="30">
        <f>'Equity Volume Data'!T135*'Equity Price Data'!W136</f>
        <v>21219.6</v>
      </c>
      <c r="R135" s="30">
        <f>'Equity Volume Data'!U135*'Equity Price Data'!X136</f>
        <v>12906.4</v>
      </c>
      <c r="S135" s="30">
        <f>'Equity Volume Data'!V135*'Equity Price Data'!Y136</f>
        <v>28458.32</v>
      </c>
      <c r="T135" s="30">
        <f>'Equity Volume Data'!W135*'Equity Price Data'!Z136</f>
        <v>11530</v>
      </c>
      <c r="U135" s="30">
        <f>'Equity Volume Data'!X135*'Equity Price Data'!AA136</f>
        <v>16629.36</v>
      </c>
      <c r="V135" s="30">
        <f>'Equity Volume Data'!Y135*'Equity Price Data'!AB136</f>
        <v>15758.68</v>
      </c>
      <c r="W135" s="30">
        <f>'Equity Volume Data'!Z135*'Equity Price Data'!AC136</f>
        <v>12827.79</v>
      </c>
      <c r="X135" s="30">
        <f>'Equity Volume Data'!AA135*'Equity Price Data'!AD136</f>
        <v>0</v>
      </c>
      <c r="Y135" s="30">
        <f>'Equity Volume Data'!AB135*'Equity Price Data'!AE136</f>
        <v>5706.61</v>
      </c>
      <c r="Z135" s="30">
        <f>'Equity Volume Data'!AC135*'Equity Price Data'!AF136</f>
        <v>9123</v>
      </c>
      <c r="AA135" s="30">
        <f>'Equity Volume Data'!AD135*'Equity Price Data'!AG136</f>
        <v>20454.4</v>
      </c>
      <c r="AB135" s="30">
        <f>'Equity Volume Data'!AE135*'Equity Price Data'!AH136</f>
        <v>17281.8</v>
      </c>
      <c r="AC135" s="30">
        <f>'Equity Volume Data'!AF135*'Equity Price Data'!AI136</f>
        <v>17086.4</v>
      </c>
      <c r="AD135" s="30">
        <f>'Equity Volume Data'!AG135*'Equity Price Data'!AJ136</f>
        <v>12602.25</v>
      </c>
      <c r="AE135" s="30">
        <f>'Equity Volume Data'!AH135*'Equity Price Data'!AK136</f>
        <v>10974</v>
      </c>
      <c r="AF135" s="30">
        <f>'Equity Volume Data'!AI135*'Equity Price Data'!AL136</f>
        <v>18169.15</v>
      </c>
      <c r="AG135" s="30">
        <f>'Equity Volume Data'!AJ135*'Equity Price Data'!AM136</f>
        <v>34915.8</v>
      </c>
      <c r="AH135" s="30">
        <f>'Equity Volume Data'!AK135*'Equity Price Data'!AN136</f>
        <v>40000</v>
      </c>
      <c r="AI135" s="30">
        <f>'Equity Volume Data'!AL135*'Equity Price Data'!AO136</f>
        <v>21098</v>
      </c>
      <c r="AJ135" s="30">
        <f>'Equity Volume Data'!AM135*'Equity Price Data'!AP136</f>
        <v>20250.1</v>
      </c>
      <c r="AK135" s="30">
        <f>'Equity Volume Data'!AN135*'Equity Price Data'!AQ136</f>
        <v>25465.54</v>
      </c>
      <c r="AL135" s="30">
        <f>'Equity Volume Data'!AO135*'Equity Price Data'!AR136</f>
        <v>38524.8</v>
      </c>
      <c r="AM135" s="30">
        <f>'Equity Volume Data'!AP135*'Equity Price Data'!AS136</f>
        <v>37431.1</v>
      </c>
      <c r="AN135" s="30">
        <f>'Equity Volume Data'!AQ135*'Equity Price Data'!AT136</f>
        <v>10790.85</v>
      </c>
      <c r="AO135" s="30">
        <f>'Equity Volume Data'!AR135*'Equity Price Data'!AU136</f>
        <v>27473.18</v>
      </c>
      <c r="AP135" s="30">
        <f>'Equity Volume Data'!AS135*'Equity Price Data'!AV136</f>
        <v>21027.5</v>
      </c>
      <c r="AQ135" s="30">
        <f>'Equity Volume Data'!AT135*'Equity Price Data'!AW136</f>
        <v>18172</v>
      </c>
      <c r="AR135" s="30">
        <f>'Equity Volume Data'!AU135*'Equity Price Data'!AX136</f>
        <v>0</v>
      </c>
      <c r="AS135" s="30">
        <f>'Equity Volume Data'!AV135*'Equity Price Data'!AY136</f>
        <v>49858.8</v>
      </c>
      <c r="AT135" s="30">
        <f>'Equity Volume Data'!AW135*'Equity Price Data'!AZ136</f>
        <v>15376</v>
      </c>
      <c r="AU135" s="30">
        <f>'Equity Volume Data'!AX135*'Equity Price Data'!BA136</f>
        <v>0</v>
      </c>
      <c r="AV135" s="30">
        <f>'Equity Volume Data'!AY135*'Equity Price Data'!BB136</f>
        <v>20716.38</v>
      </c>
      <c r="AW135" s="30">
        <f>'Equity Volume Data'!AZ135*'Equity Price Data'!BC136</f>
        <v>3987.6</v>
      </c>
      <c r="AX135" s="30">
        <f>'Equity Volume Data'!BA135*'Equity Price Data'!BD136</f>
        <v>4299.2</v>
      </c>
      <c r="AY135" s="30">
        <f>'Equity Volume Data'!BB135*'Equity Price Data'!BE136</f>
        <v>24972.24</v>
      </c>
      <c r="AZ135" s="30">
        <f>'Equity Volume Data'!BC135*'Equity Price Data'!BF136</f>
        <v>12711</v>
      </c>
      <c r="BA135" s="30">
        <f>'Equity Volume Data'!BD135*'Equity Price Data'!BG136</f>
        <v>4738.6</v>
      </c>
      <c r="BB135" s="30">
        <f>'Equity Volume Data'!BE135*'Equity Price Data'!BH136</f>
        <v>9532</v>
      </c>
      <c r="BC135" s="30">
        <f>'Equity Volume Data'!BF135*'Equity Price Data'!BI136</f>
        <v>0</v>
      </c>
      <c r="BD135" s="30">
        <f>'Equity Volume Data'!BG135*'Equity Price Data'!BJ136</f>
        <v>50155.11</v>
      </c>
      <c r="BE135" s="30">
        <f>'Equity Volume Data'!BH135*'Equity Price Data'!BK136</f>
        <v>11795.32</v>
      </c>
      <c r="BF135" s="30">
        <f>'Equity Volume Data'!BI135*'Equity Price Data'!BL136</f>
        <v>6916.4</v>
      </c>
      <c r="BG135" s="30">
        <f>'Equity Volume Data'!BJ135*'Equity Price Data'!BM136</f>
        <v>21461.6</v>
      </c>
      <c r="BH135" s="30">
        <f>'Equity Volume Data'!BK135*'Equity Price Data'!BN136</f>
        <v>0</v>
      </c>
      <c r="BI135" s="30">
        <f>'Equity Volume Data'!BL135*'Equity Price Data'!BO136</f>
        <v>37369.6</v>
      </c>
      <c r="BJ135" s="30">
        <f>'Equity Volume Data'!BM135*'Equity Price Data'!BP136</f>
        <v>45037.5</v>
      </c>
      <c r="BK135" s="30">
        <f>'Equity Volume Data'!BN135*'Equity Price Data'!BQ136</f>
        <v>88117.8</v>
      </c>
      <c r="BL135" s="30">
        <f>'Equity Volume Data'!BO135*'Equity Price Data'!BR136</f>
        <v>617.11</v>
      </c>
      <c r="BM135" s="30">
        <f>'Equity Volume Data'!BP135*'Equity Price Data'!BS136</f>
        <v>10501.44</v>
      </c>
      <c r="BN135" s="30">
        <f>'Equity Volume Data'!BQ135*'Equity Price Data'!BT136</f>
        <v>21480.88</v>
      </c>
      <c r="BO135" s="30">
        <f>'Equity Volume Data'!BR135*'Equity Price Data'!BU136</f>
        <v>53374.07</v>
      </c>
    </row>
    <row r="136">
      <c r="A136" s="25">
        <f>'Equity Price Data'!A137</f>
        <v>45617.66667</v>
      </c>
      <c r="B136" s="29">
        <f t="shared" si="1"/>
        <v>1371451.82</v>
      </c>
      <c r="C136" s="30">
        <f>'Equity Volume Data'!F136*'Equity Price Data'!I137</f>
        <v>6557.72</v>
      </c>
      <c r="D136" s="30">
        <f>'Equity Volume Data'!G136*'Equity Price Data'!J137</f>
        <v>51578.8</v>
      </c>
      <c r="E136" s="30">
        <f>'Equity Volume Data'!H136*'Equity Price Data'!K137</f>
        <v>15266.9</v>
      </c>
      <c r="F136" s="30">
        <f>'Equity Volume Data'!I136*'Equity Price Data'!L137</f>
        <v>58501.12</v>
      </c>
      <c r="G136" s="30">
        <f>'Equity Volume Data'!J136*'Equity Price Data'!M137</f>
        <v>14587.25</v>
      </c>
      <c r="H136" s="30">
        <f>'Equity Volume Data'!K136*'Equity Price Data'!N137</f>
        <v>14829.44</v>
      </c>
      <c r="I136" s="30">
        <f>'Equity Volume Data'!L136*'Equity Price Data'!O137</f>
        <v>13320</v>
      </c>
      <c r="J136" s="30">
        <f>'Equity Volume Data'!M136*'Equity Price Data'!P137</f>
        <v>48150.12</v>
      </c>
      <c r="K136" s="30">
        <f>'Equity Volume Data'!N136*'Equity Price Data'!Q137</f>
        <v>10404</v>
      </c>
      <c r="L136" s="30">
        <f>'Equity Volume Data'!O136*'Equity Price Data'!R137</f>
        <v>19119.21</v>
      </c>
      <c r="M136" s="30">
        <f>'Equity Volume Data'!P136*'Equity Price Data'!S137</f>
        <v>0</v>
      </c>
      <c r="N136" s="30">
        <f>'Equity Volume Data'!Q136*'Equity Price Data'!T137</f>
        <v>6080.8</v>
      </c>
      <c r="O136" s="30">
        <f>'Equity Volume Data'!R136*'Equity Price Data'!U137</f>
        <v>58438.5</v>
      </c>
      <c r="P136" s="30">
        <f>'Equity Volume Data'!S136*'Equity Price Data'!V137</f>
        <v>25407.81</v>
      </c>
      <c r="Q136" s="30">
        <f>'Equity Volume Data'!T136*'Equity Price Data'!W137</f>
        <v>21838.8</v>
      </c>
      <c r="R136" s="30">
        <f>'Equity Volume Data'!U136*'Equity Price Data'!X137</f>
        <v>12930.4</v>
      </c>
      <c r="S136" s="30">
        <f>'Equity Volume Data'!V136*'Equity Price Data'!Y137</f>
        <v>29046.16</v>
      </c>
      <c r="T136" s="30">
        <f>'Equity Volume Data'!W136*'Equity Price Data'!Z137</f>
        <v>11692.5</v>
      </c>
      <c r="U136" s="30">
        <f>'Equity Volume Data'!X136*'Equity Price Data'!AA137</f>
        <v>16832.64</v>
      </c>
      <c r="V136" s="30">
        <f>'Equity Volume Data'!Y136*'Equity Price Data'!AB137</f>
        <v>15890.7</v>
      </c>
      <c r="W136" s="30">
        <f>'Equity Volume Data'!Z136*'Equity Price Data'!AC137</f>
        <v>12928.53</v>
      </c>
      <c r="X136" s="30">
        <f>'Equity Volume Data'!AA136*'Equity Price Data'!AD137</f>
        <v>0</v>
      </c>
      <c r="Y136" s="30">
        <f>'Equity Volume Data'!AB136*'Equity Price Data'!AE137</f>
        <v>5796.05</v>
      </c>
      <c r="Z136" s="30">
        <f>'Equity Volume Data'!AC136*'Equity Price Data'!AF137</f>
        <v>9211.5</v>
      </c>
      <c r="AA136" s="30">
        <f>'Equity Volume Data'!AD136*'Equity Price Data'!AG137</f>
        <v>20728.1</v>
      </c>
      <c r="AB136" s="30">
        <f>'Equity Volume Data'!AE136*'Equity Price Data'!AH137</f>
        <v>17709.6</v>
      </c>
      <c r="AC136" s="30">
        <f>'Equity Volume Data'!AF136*'Equity Price Data'!AI137</f>
        <v>17180.4</v>
      </c>
      <c r="AD136" s="30">
        <f>'Equity Volume Data'!AG136*'Equity Price Data'!AJ137</f>
        <v>12596.85</v>
      </c>
      <c r="AE136" s="30">
        <f>'Equity Volume Data'!AH136*'Equity Price Data'!AK137</f>
        <v>11136</v>
      </c>
      <c r="AF136" s="30">
        <f>'Equity Volume Data'!AI136*'Equity Price Data'!AL137</f>
        <v>18400.8</v>
      </c>
      <c r="AG136" s="30">
        <f>'Equity Volume Data'!AJ136*'Equity Price Data'!AM137</f>
        <v>35766.6</v>
      </c>
      <c r="AH136" s="30">
        <f>'Equity Volume Data'!AK136*'Equity Price Data'!AN137</f>
        <v>41045</v>
      </c>
      <c r="AI136" s="30">
        <f>'Equity Volume Data'!AL136*'Equity Price Data'!AO137</f>
        <v>21351.75</v>
      </c>
      <c r="AJ136" s="30">
        <f>'Equity Volume Data'!AM136*'Equity Price Data'!AP137</f>
        <v>20585.5</v>
      </c>
      <c r="AK136" s="30">
        <f>'Equity Volume Data'!AN136*'Equity Price Data'!AQ137</f>
        <v>25879.14</v>
      </c>
      <c r="AL136" s="30">
        <f>'Equity Volume Data'!AO136*'Equity Price Data'!AR137</f>
        <v>39161.6</v>
      </c>
      <c r="AM136" s="30">
        <f>'Equity Volume Data'!AP136*'Equity Price Data'!AS137</f>
        <v>37940.7</v>
      </c>
      <c r="AN136" s="30">
        <f>'Equity Volume Data'!AQ136*'Equity Price Data'!AT137</f>
        <v>11029.9</v>
      </c>
      <c r="AO136" s="30">
        <f>'Equity Volume Data'!AR136*'Equity Price Data'!AU137</f>
        <v>27908.72</v>
      </c>
      <c r="AP136" s="30">
        <f>'Equity Volume Data'!AS136*'Equity Price Data'!AV137</f>
        <v>21185</v>
      </c>
      <c r="AQ136" s="30">
        <f>'Equity Volume Data'!AT136*'Equity Price Data'!AW137</f>
        <v>18741.8</v>
      </c>
      <c r="AR136" s="30">
        <f>'Equity Volume Data'!AU136*'Equity Price Data'!AX137</f>
        <v>0</v>
      </c>
      <c r="AS136" s="30">
        <f>'Equity Volume Data'!AV136*'Equity Price Data'!AY137</f>
        <v>49544.4</v>
      </c>
      <c r="AT136" s="30">
        <f>'Equity Volume Data'!AW136*'Equity Price Data'!AZ137</f>
        <v>15472</v>
      </c>
      <c r="AU136" s="30">
        <f>'Equity Volume Data'!AX136*'Equity Price Data'!BA137</f>
        <v>0</v>
      </c>
      <c r="AV136" s="30">
        <f>'Equity Volume Data'!AY136*'Equity Price Data'!BB137</f>
        <v>20827.14</v>
      </c>
      <c r="AW136" s="30">
        <f>'Equity Volume Data'!AZ136*'Equity Price Data'!BC137</f>
        <v>3998</v>
      </c>
      <c r="AX136" s="30">
        <f>'Equity Volume Data'!BA136*'Equity Price Data'!BD137</f>
        <v>4495.2</v>
      </c>
      <c r="AY136" s="30">
        <f>'Equity Volume Data'!BB136*'Equity Price Data'!BE137</f>
        <v>24666.72</v>
      </c>
      <c r="AZ136" s="30">
        <f>'Equity Volume Data'!BC136*'Equity Price Data'!BF137</f>
        <v>12723</v>
      </c>
      <c r="BA136" s="30">
        <f>'Equity Volume Data'!BD136*'Equity Price Data'!BG137</f>
        <v>4774.7</v>
      </c>
      <c r="BB136" s="30">
        <f>'Equity Volume Data'!BE136*'Equity Price Data'!BH137</f>
        <v>9642.4</v>
      </c>
      <c r="BC136" s="30">
        <f>'Equity Volume Data'!BF136*'Equity Price Data'!BI137</f>
        <v>0</v>
      </c>
      <c r="BD136" s="30">
        <f>'Equity Volume Data'!BG136*'Equity Price Data'!BJ137</f>
        <v>50391.54</v>
      </c>
      <c r="BE136" s="30">
        <f>'Equity Volume Data'!BH136*'Equity Price Data'!BK137</f>
        <v>11870.3</v>
      </c>
      <c r="BF136" s="30">
        <f>'Equity Volume Data'!BI136*'Equity Price Data'!BL137</f>
        <v>6935.2</v>
      </c>
      <c r="BG136" s="30">
        <f>'Equity Volume Data'!BJ136*'Equity Price Data'!BM137</f>
        <v>22056.52</v>
      </c>
      <c r="BH136" s="30">
        <f>'Equity Volume Data'!BK136*'Equity Price Data'!BN137</f>
        <v>0</v>
      </c>
      <c r="BI136" s="30">
        <f>'Equity Volume Data'!BL136*'Equity Price Data'!BO137</f>
        <v>38243.2</v>
      </c>
      <c r="BJ136" s="30">
        <f>'Equity Volume Data'!BM136*'Equity Price Data'!BP137</f>
        <v>44811.75</v>
      </c>
      <c r="BK136" s="30">
        <f>'Equity Volume Data'!BN136*'Equity Price Data'!BQ137</f>
        <v>88045.72</v>
      </c>
      <c r="BL136" s="30">
        <f>'Equity Volume Data'!BO136*'Equity Price Data'!BR137</f>
        <v>622.75</v>
      </c>
      <c r="BM136" s="30">
        <f>'Equity Volume Data'!BP136*'Equity Price Data'!BS137</f>
        <v>10633.44</v>
      </c>
      <c r="BN136" s="30">
        <f>'Equity Volume Data'!BQ136*'Equity Price Data'!BT137</f>
        <v>21567.36</v>
      </c>
      <c r="BO136" s="30">
        <f>'Equity Volume Data'!BR136*'Equity Price Data'!BU137</f>
        <v>53374.07</v>
      </c>
    </row>
    <row r="137">
      <c r="A137" s="25">
        <f>'Equity Price Data'!A138</f>
        <v>45618.66667</v>
      </c>
      <c r="B137" s="29">
        <f t="shared" si="1"/>
        <v>1378667.08</v>
      </c>
      <c r="C137" s="30">
        <f>'Equity Volume Data'!F137*'Equity Price Data'!I138</f>
        <v>6657.95</v>
      </c>
      <c r="D137" s="30">
        <f>'Equity Volume Data'!G137*'Equity Price Data'!J138</f>
        <v>51251.2</v>
      </c>
      <c r="E137" s="30">
        <f>'Equity Volume Data'!H137*'Equity Price Data'!K138</f>
        <v>15104.1</v>
      </c>
      <c r="F137" s="30">
        <f>'Equity Volume Data'!I137*'Equity Price Data'!L138</f>
        <v>58846.72</v>
      </c>
      <c r="G137" s="30">
        <f>'Equity Volume Data'!J137*'Equity Price Data'!M138</f>
        <v>14515.04</v>
      </c>
      <c r="H137" s="30">
        <f>'Equity Volume Data'!K137*'Equity Price Data'!N138</f>
        <v>15066.32</v>
      </c>
      <c r="I137" s="30">
        <f>'Equity Volume Data'!L137*'Equity Price Data'!O138</f>
        <v>12970</v>
      </c>
      <c r="J137" s="30">
        <f>'Equity Volume Data'!M137*'Equity Price Data'!P138</f>
        <v>48610.14</v>
      </c>
      <c r="K137" s="30">
        <f>'Equity Volume Data'!N137*'Equity Price Data'!Q138</f>
        <v>10472</v>
      </c>
      <c r="L137" s="30">
        <f>'Equity Volume Data'!O137*'Equity Price Data'!R138</f>
        <v>19105.9</v>
      </c>
      <c r="M137" s="30">
        <f>'Equity Volume Data'!P137*'Equity Price Data'!S138</f>
        <v>0</v>
      </c>
      <c r="N137" s="30">
        <f>'Equity Volume Data'!Q137*'Equity Price Data'!T138</f>
        <v>6160</v>
      </c>
      <c r="O137" s="30">
        <f>'Equity Volume Data'!R137*'Equity Price Data'!U138</f>
        <v>59623.5</v>
      </c>
      <c r="P137" s="30">
        <f>'Equity Volume Data'!S137*'Equity Price Data'!V138</f>
        <v>25065.87</v>
      </c>
      <c r="Q137" s="30">
        <f>'Equity Volume Data'!T137*'Equity Price Data'!W138</f>
        <v>21810</v>
      </c>
      <c r="R137" s="30">
        <f>'Equity Volume Data'!U137*'Equity Price Data'!X138</f>
        <v>12988.8</v>
      </c>
      <c r="S137" s="30">
        <f>'Equity Volume Data'!V137*'Equity Price Data'!Y138</f>
        <v>28903.6</v>
      </c>
      <c r="T137" s="30">
        <f>'Equity Volume Data'!W137*'Equity Price Data'!Z138</f>
        <v>11912.5</v>
      </c>
      <c r="U137" s="30">
        <f>'Equity Volume Data'!X137*'Equity Price Data'!AA138</f>
        <v>16874.88</v>
      </c>
      <c r="V137" s="30">
        <f>'Equity Volume Data'!Y137*'Equity Price Data'!AB138</f>
        <v>15835.96</v>
      </c>
      <c r="W137" s="30">
        <f>'Equity Volume Data'!Z137*'Equity Price Data'!AC138</f>
        <v>13098.96</v>
      </c>
      <c r="X137" s="30">
        <f>'Equity Volume Data'!AA137*'Equity Price Data'!AD138</f>
        <v>0</v>
      </c>
      <c r="Y137" s="30">
        <f>'Equity Volume Data'!AB137*'Equity Price Data'!AE138</f>
        <v>5893.55</v>
      </c>
      <c r="Z137" s="30">
        <f>'Equity Volume Data'!AC137*'Equity Price Data'!AF138</f>
        <v>9486</v>
      </c>
      <c r="AA137" s="30">
        <f>'Equity Volume Data'!AD137*'Equity Price Data'!AG138</f>
        <v>20704.3</v>
      </c>
      <c r="AB137" s="30">
        <f>'Equity Volume Data'!AE137*'Equity Price Data'!AH138</f>
        <v>17998.2</v>
      </c>
      <c r="AC137" s="30">
        <f>'Equity Volume Data'!AF137*'Equity Price Data'!AI138</f>
        <v>17504.8</v>
      </c>
      <c r="AD137" s="30">
        <f>'Equity Volume Data'!AG137*'Equity Price Data'!AJ138</f>
        <v>12681.45</v>
      </c>
      <c r="AE137" s="30">
        <f>'Equity Volume Data'!AH137*'Equity Price Data'!AK138</f>
        <v>11706</v>
      </c>
      <c r="AF137" s="30">
        <f>'Equity Volume Data'!AI137*'Equity Price Data'!AL138</f>
        <v>18488.95</v>
      </c>
      <c r="AG137" s="30">
        <f>'Equity Volume Data'!AJ137*'Equity Price Data'!AM138</f>
        <v>36166.8</v>
      </c>
      <c r="AH137" s="30">
        <f>'Equity Volume Data'!AK137*'Equity Price Data'!AN138</f>
        <v>42000</v>
      </c>
      <c r="AI137" s="30">
        <f>'Equity Volume Data'!AL137*'Equity Price Data'!AO138</f>
        <v>21686</v>
      </c>
      <c r="AJ137" s="30">
        <f>'Equity Volume Data'!AM137*'Equity Price Data'!AP138</f>
        <v>20707.7</v>
      </c>
      <c r="AK137" s="30">
        <f>'Equity Volume Data'!AN137*'Equity Price Data'!AQ138</f>
        <v>25749.89</v>
      </c>
      <c r="AL137" s="30">
        <f>'Equity Volume Data'!AO137*'Equity Price Data'!AR138</f>
        <v>39768</v>
      </c>
      <c r="AM137" s="30">
        <f>'Equity Volume Data'!AP137*'Equity Price Data'!AS138</f>
        <v>37955.4</v>
      </c>
      <c r="AN137" s="30">
        <f>'Equity Volume Data'!AQ137*'Equity Price Data'!AT138</f>
        <v>11098.85</v>
      </c>
      <c r="AO137" s="30">
        <f>'Equity Volume Data'!AR137*'Equity Price Data'!AU138</f>
        <v>27729.38</v>
      </c>
      <c r="AP137" s="30">
        <f>'Equity Volume Data'!AS137*'Equity Price Data'!AV138</f>
        <v>21552.5</v>
      </c>
      <c r="AQ137" s="30">
        <f>'Equity Volume Data'!AT137*'Equity Price Data'!AW138</f>
        <v>19049.8</v>
      </c>
      <c r="AR137" s="30">
        <f>'Equity Volume Data'!AU137*'Equity Price Data'!AX138</f>
        <v>0</v>
      </c>
      <c r="AS137" s="30">
        <f>'Equity Volume Data'!AV137*'Equity Price Data'!AY138</f>
        <v>50040</v>
      </c>
      <c r="AT137" s="30">
        <f>'Equity Volume Data'!AW137*'Equity Price Data'!AZ138</f>
        <v>15200</v>
      </c>
      <c r="AU137" s="30">
        <f>'Equity Volume Data'!AX137*'Equity Price Data'!BA138</f>
        <v>0</v>
      </c>
      <c r="AV137" s="30">
        <f>'Equity Volume Data'!AY137*'Equity Price Data'!BB138</f>
        <v>20156.9</v>
      </c>
      <c r="AW137" s="30">
        <f>'Equity Volume Data'!AZ137*'Equity Price Data'!BC138</f>
        <v>4048</v>
      </c>
      <c r="AX137" s="30">
        <f>'Equity Volume Data'!BA137*'Equity Price Data'!BD138</f>
        <v>4650.4</v>
      </c>
      <c r="AY137" s="30">
        <f>'Equity Volume Data'!BB137*'Equity Price Data'!BE138</f>
        <v>25868.7</v>
      </c>
      <c r="AZ137" s="30">
        <f>'Equity Volume Data'!BC137*'Equity Price Data'!BF138</f>
        <v>13015.5</v>
      </c>
      <c r="BA137" s="30">
        <f>'Equity Volume Data'!BD137*'Equity Price Data'!BG138</f>
        <v>4873.5</v>
      </c>
      <c r="BB137" s="30">
        <f>'Equity Volume Data'!BE137*'Equity Price Data'!BH138</f>
        <v>9661.6</v>
      </c>
      <c r="BC137" s="30">
        <f>'Equity Volume Data'!BF137*'Equity Price Data'!BI138</f>
        <v>0</v>
      </c>
      <c r="BD137" s="30">
        <f>'Equity Volume Data'!BG137*'Equity Price Data'!BJ138</f>
        <v>50753.64</v>
      </c>
      <c r="BE137" s="30">
        <f>'Equity Volume Data'!BH137*'Equity Price Data'!BK138</f>
        <v>11804.98</v>
      </c>
      <c r="BF137" s="30">
        <f>'Equity Volume Data'!BI137*'Equity Price Data'!BL138</f>
        <v>6976</v>
      </c>
      <c r="BG137" s="30">
        <f>'Equity Volume Data'!BJ137*'Equity Price Data'!BM138</f>
        <v>21139.12</v>
      </c>
      <c r="BH137" s="30">
        <f>'Equity Volume Data'!BK137*'Equity Price Data'!BN138</f>
        <v>0</v>
      </c>
      <c r="BI137" s="30">
        <f>'Equity Volume Data'!BL137*'Equity Price Data'!BO138</f>
        <v>38782.4</v>
      </c>
      <c r="BJ137" s="30">
        <f>'Equity Volume Data'!BM137*'Equity Price Data'!BP138</f>
        <v>44315.25</v>
      </c>
      <c r="BK137" s="30">
        <f>'Equity Volume Data'!BN137*'Equity Price Data'!BQ138</f>
        <v>88063.74</v>
      </c>
      <c r="BL137" s="30">
        <f>'Equity Volume Data'!BO137*'Equity Price Data'!BR138</f>
        <v>628.39</v>
      </c>
      <c r="BM137" s="30">
        <f>'Equity Volume Data'!BP137*'Equity Price Data'!BS138</f>
        <v>10771.68</v>
      </c>
      <c r="BN137" s="30">
        <f>'Equity Volume Data'!BQ137*'Equity Price Data'!BT138</f>
        <v>21742.2</v>
      </c>
      <c r="BO137" s="30">
        <f>'Equity Volume Data'!BR137*'Equity Price Data'!BU138</f>
        <v>53374.07</v>
      </c>
    </row>
    <row r="138">
      <c r="A138" s="25">
        <f>'Equity Price Data'!A139</f>
        <v>45621.66667</v>
      </c>
      <c r="B138" s="29">
        <f t="shared" si="1"/>
        <v>1386593.8</v>
      </c>
      <c r="C138" s="30">
        <f>'Equity Volume Data'!F138*'Equity Price Data'!I139</f>
        <v>6743.49</v>
      </c>
      <c r="D138" s="30">
        <f>'Equity Volume Data'!G138*'Equity Price Data'!J139</f>
        <v>52377</v>
      </c>
      <c r="E138" s="30">
        <f>'Equity Volume Data'!H138*'Equity Price Data'!K139</f>
        <v>15041.4</v>
      </c>
      <c r="F138" s="30">
        <f>'Equity Volume Data'!I138*'Equity Price Data'!L139</f>
        <v>59614.72</v>
      </c>
      <c r="G138" s="30">
        <f>'Equity Volume Data'!J138*'Equity Price Data'!M139</f>
        <v>14487.65</v>
      </c>
      <c r="H138" s="30">
        <f>'Equity Volume Data'!K138*'Equity Price Data'!N139</f>
        <v>15269.36</v>
      </c>
      <c r="I138" s="30">
        <f>'Equity Volume Data'!L138*'Equity Price Data'!O139</f>
        <v>13350</v>
      </c>
      <c r="J138" s="30">
        <f>'Equity Volume Data'!M138*'Equity Price Data'!P139</f>
        <v>48697.86</v>
      </c>
      <c r="K138" s="30">
        <f>'Equity Volume Data'!N138*'Equity Price Data'!Q139</f>
        <v>10492</v>
      </c>
      <c r="L138" s="30">
        <f>'Equity Volume Data'!O138*'Equity Price Data'!R139</f>
        <v>19203.91</v>
      </c>
      <c r="M138" s="30">
        <f>'Equity Volume Data'!P138*'Equity Price Data'!S139</f>
        <v>0</v>
      </c>
      <c r="N138" s="30">
        <f>'Equity Volume Data'!Q138*'Equity Price Data'!T139</f>
        <v>6309.6</v>
      </c>
      <c r="O138" s="30">
        <f>'Equity Volume Data'!R138*'Equity Price Data'!U139</f>
        <v>60847.5</v>
      </c>
      <c r="P138" s="30">
        <f>'Equity Volume Data'!S138*'Equity Price Data'!V139</f>
        <v>24231.87</v>
      </c>
      <c r="Q138" s="30">
        <f>'Equity Volume Data'!T138*'Equity Price Data'!W139</f>
        <v>21981.6</v>
      </c>
      <c r="R138" s="30">
        <f>'Equity Volume Data'!U138*'Equity Price Data'!X139</f>
        <v>12828.8</v>
      </c>
      <c r="S138" s="30">
        <f>'Equity Volume Data'!V138*'Equity Price Data'!Y139</f>
        <v>29304.88</v>
      </c>
      <c r="T138" s="30">
        <f>'Equity Volume Data'!W138*'Equity Price Data'!Z139</f>
        <v>12115</v>
      </c>
      <c r="U138" s="30">
        <f>'Equity Volume Data'!X138*'Equity Price Data'!AA139</f>
        <v>16996.32</v>
      </c>
      <c r="V138" s="30">
        <f>'Equity Volume Data'!Y138*'Equity Price Data'!AB139</f>
        <v>16014.67</v>
      </c>
      <c r="W138" s="30">
        <f>'Equity Volume Data'!Z138*'Equity Price Data'!AC139</f>
        <v>13304.58</v>
      </c>
      <c r="X138" s="30">
        <f>'Equity Volume Data'!AA138*'Equity Price Data'!AD139</f>
        <v>0</v>
      </c>
      <c r="Y138" s="30">
        <f>'Equity Volume Data'!AB138*'Equity Price Data'!AE139</f>
        <v>6099.34</v>
      </c>
      <c r="Z138" s="30">
        <f>'Equity Volume Data'!AC138*'Equity Price Data'!AF139</f>
        <v>9748.5</v>
      </c>
      <c r="AA138" s="30">
        <f>'Equity Volume Data'!AD138*'Equity Price Data'!AG139</f>
        <v>20394.9</v>
      </c>
      <c r="AB138" s="30">
        <f>'Equity Volume Data'!AE138*'Equity Price Data'!AH139</f>
        <v>18309</v>
      </c>
      <c r="AC138" s="30">
        <f>'Equity Volume Data'!AF138*'Equity Price Data'!AI139</f>
        <v>17409.6</v>
      </c>
      <c r="AD138" s="30">
        <f>'Equity Volume Data'!AG138*'Equity Price Data'!AJ139</f>
        <v>12660.75</v>
      </c>
      <c r="AE138" s="30">
        <f>'Equity Volume Data'!AH138*'Equity Price Data'!AK139</f>
        <v>12040</v>
      </c>
      <c r="AF138" s="30">
        <f>'Equity Volume Data'!AI138*'Equity Price Data'!AL139</f>
        <v>18550.45</v>
      </c>
      <c r="AG138" s="30">
        <f>'Equity Volume Data'!AJ138*'Equity Price Data'!AM139</f>
        <v>36181.8</v>
      </c>
      <c r="AH138" s="30">
        <f>'Equity Volume Data'!AK138*'Equity Price Data'!AN139</f>
        <v>42867</v>
      </c>
      <c r="AI138" s="30">
        <f>'Equity Volume Data'!AL138*'Equity Price Data'!AO139</f>
        <v>21980</v>
      </c>
      <c r="AJ138" s="30">
        <f>'Equity Volume Data'!AM138*'Equity Price Data'!AP139</f>
        <v>20751.9</v>
      </c>
      <c r="AK138" s="30">
        <f>'Equity Volume Data'!AN138*'Equity Price Data'!AQ139</f>
        <v>25217.85</v>
      </c>
      <c r="AL138" s="30">
        <f>'Equity Volume Data'!AO138*'Equity Price Data'!AR139</f>
        <v>40046.4</v>
      </c>
      <c r="AM138" s="30">
        <f>'Equity Volume Data'!AP138*'Equity Price Data'!AS139</f>
        <v>36532.3</v>
      </c>
      <c r="AN138" s="30">
        <f>'Equity Volume Data'!AQ138*'Equity Price Data'!AT139</f>
        <v>11435.2</v>
      </c>
      <c r="AO138" s="30">
        <f>'Equity Volume Data'!AR138*'Equity Price Data'!AU139</f>
        <v>27293.84</v>
      </c>
      <c r="AP138" s="30">
        <f>'Equity Volume Data'!AS138*'Equity Price Data'!AV139</f>
        <v>21437.5</v>
      </c>
      <c r="AQ138" s="30">
        <f>'Equity Volume Data'!AT138*'Equity Price Data'!AW139</f>
        <v>19214.8</v>
      </c>
      <c r="AR138" s="30">
        <f>'Equity Volume Data'!AU138*'Equity Price Data'!AX139</f>
        <v>0</v>
      </c>
      <c r="AS138" s="30">
        <f>'Equity Volume Data'!AV138*'Equity Price Data'!AY139</f>
        <v>50254.8</v>
      </c>
      <c r="AT138" s="30">
        <f>'Equity Volume Data'!AW138*'Equity Price Data'!AZ139</f>
        <v>15328</v>
      </c>
      <c r="AU138" s="30">
        <f>'Equity Volume Data'!AX138*'Equity Price Data'!BA139</f>
        <v>0</v>
      </c>
      <c r="AV138" s="30">
        <f>'Equity Volume Data'!AY138*'Equity Price Data'!BB139</f>
        <v>19314.84</v>
      </c>
      <c r="AW138" s="30">
        <f>'Equity Volume Data'!AZ138*'Equity Price Data'!BC139</f>
        <v>4098.4</v>
      </c>
      <c r="AX138" s="30">
        <f>'Equity Volume Data'!BA138*'Equity Price Data'!BD139</f>
        <v>4677.6</v>
      </c>
      <c r="AY138" s="30">
        <f>'Equity Volume Data'!BB138*'Equity Price Data'!BE139</f>
        <v>25989.3</v>
      </c>
      <c r="AZ138" s="30">
        <f>'Equity Volume Data'!BC138*'Equity Price Data'!BF139</f>
        <v>13165.5</v>
      </c>
      <c r="BA138" s="30">
        <f>'Equity Volume Data'!BD138*'Equity Price Data'!BG139</f>
        <v>4972.3</v>
      </c>
      <c r="BB138" s="30">
        <f>'Equity Volume Data'!BE138*'Equity Price Data'!BH139</f>
        <v>9492</v>
      </c>
      <c r="BC138" s="30">
        <f>'Equity Volume Data'!BF138*'Equity Price Data'!BI139</f>
        <v>0</v>
      </c>
      <c r="BD138" s="30">
        <f>'Equity Volume Data'!BG138*'Equity Price Data'!BJ139</f>
        <v>51107.22</v>
      </c>
      <c r="BE138" s="30">
        <f>'Equity Volume Data'!BH138*'Equity Price Data'!BK139</f>
        <v>11826.6</v>
      </c>
      <c r="BF138" s="30">
        <f>'Equity Volume Data'!BI138*'Equity Price Data'!BL139</f>
        <v>7033.2</v>
      </c>
      <c r="BG138" s="30">
        <f>'Equity Volume Data'!BJ138*'Equity Price Data'!BM139</f>
        <v>21845.24</v>
      </c>
      <c r="BH138" s="30">
        <f>'Equity Volume Data'!BK138*'Equity Price Data'!BN139</f>
        <v>0</v>
      </c>
      <c r="BI138" s="30">
        <f>'Equity Volume Data'!BL138*'Equity Price Data'!BO139</f>
        <v>39891.2</v>
      </c>
      <c r="BJ138" s="30">
        <f>'Equity Volume Data'!BM138*'Equity Price Data'!BP139</f>
        <v>45437.25</v>
      </c>
      <c r="BK138" s="30">
        <f>'Equity Volume Data'!BN138*'Equity Price Data'!BQ139</f>
        <v>88135.82</v>
      </c>
      <c r="BL138" s="30">
        <f>'Equity Volume Data'!BO138*'Equity Price Data'!BR139</f>
        <v>627.92</v>
      </c>
      <c r="BM138" s="30">
        <f>'Equity Volume Data'!BP138*'Equity Price Data'!BS139</f>
        <v>10831.2</v>
      </c>
      <c r="BN138" s="30">
        <f>'Equity Volume Data'!BQ138*'Equity Price Data'!BT139</f>
        <v>21808</v>
      </c>
      <c r="BO138" s="30">
        <f>'Equity Volume Data'!BR138*'Equity Price Data'!BU139</f>
        <v>53374.07</v>
      </c>
    </row>
    <row r="139">
      <c r="A139" s="25">
        <f>'Equity Price Data'!A140</f>
        <v>45622.66667</v>
      </c>
      <c r="B139" s="29">
        <f t="shared" si="1"/>
        <v>1390628.63</v>
      </c>
      <c r="C139" s="30">
        <f>'Equity Volume Data'!F139*'Equity Price Data'!I140</f>
        <v>6828.9</v>
      </c>
      <c r="D139" s="30">
        <f>'Equity Volume Data'!G139*'Equity Price Data'!J140</f>
        <v>54043.6</v>
      </c>
      <c r="E139" s="30">
        <f>'Equity Volume Data'!H139*'Equity Price Data'!K140</f>
        <v>15134.9</v>
      </c>
      <c r="F139" s="30">
        <f>'Equity Volume Data'!I139*'Equity Price Data'!L140</f>
        <v>60175.36</v>
      </c>
      <c r="G139" s="30">
        <f>'Equity Volume Data'!J139*'Equity Price Data'!M140</f>
        <v>14375.6</v>
      </c>
      <c r="H139" s="30">
        <f>'Equity Volume Data'!K139*'Equity Price Data'!N140</f>
        <v>15278.76</v>
      </c>
      <c r="I139" s="30">
        <f>'Equity Volume Data'!L139*'Equity Price Data'!O140</f>
        <v>13140</v>
      </c>
      <c r="J139" s="30">
        <f>'Equity Volume Data'!M139*'Equity Price Data'!P140</f>
        <v>48813.12</v>
      </c>
      <c r="K139" s="30">
        <f>'Equity Volume Data'!N139*'Equity Price Data'!Q140</f>
        <v>10238</v>
      </c>
      <c r="L139" s="30">
        <f>'Equity Volume Data'!O139*'Equity Price Data'!R140</f>
        <v>19080.49</v>
      </c>
      <c r="M139" s="30">
        <f>'Equity Volume Data'!P139*'Equity Price Data'!S140</f>
        <v>0</v>
      </c>
      <c r="N139" s="30">
        <f>'Equity Volume Data'!Q139*'Equity Price Data'!T140</f>
        <v>6155.2</v>
      </c>
      <c r="O139" s="30">
        <f>'Equity Volume Data'!R139*'Equity Price Data'!U140</f>
        <v>61174.5</v>
      </c>
      <c r="P139" s="30">
        <f>'Equity Volume Data'!S139*'Equity Price Data'!V140</f>
        <v>24444.54</v>
      </c>
      <c r="Q139" s="30">
        <f>'Equity Volume Data'!T139*'Equity Price Data'!W140</f>
        <v>21781.2</v>
      </c>
      <c r="R139" s="30">
        <f>'Equity Volume Data'!U139*'Equity Price Data'!X140</f>
        <v>13002.4</v>
      </c>
      <c r="S139" s="30">
        <f>'Equity Volume Data'!V139*'Equity Price Data'!Y140</f>
        <v>29480</v>
      </c>
      <c r="T139" s="30">
        <f>'Equity Volume Data'!W139*'Equity Price Data'!Z140</f>
        <v>12025</v>
      </c>
      <c r="U139" s="30">
        <f>'Equity Volume Data'!X139*'Equity Price Data'!AA140</f>
        <v>17041.2</v>
      </c>
      <c r="V139" s="30">
        <f>'Equity Volume Data'!Y139*'Equity Price Data'!AB140</f>
        <v>16373.7</v>
      </c>
      <c r="W139" s="30">
        <f>'Equity Volume Data'!Z139*'Equity Price Data'!AC140</f>
        <v>13387.38</v>
      </c>
      <c r="X139" s="30">
        <f>'Equity Volume Data'!AA139*'Equity Price Data'!AD140</f>
        <v>0</v>
      </c>
      <c r="Y139" s="30">
        <f>'Equity Volume Data'!AB139*'Equity Price Data'!AE140</f>
        <v>6147.83</v>
      </c>
      <c r="Z139" s="30">
        <f>'Equity Volume Data'!AC139*'Equity Price Data'!AF140</f>
        <v>9763.5</v>
      </c>
      <c r="AA139" s="30">
        <f>'Equity Volume Data'!AD139*'Equity Price Data'!AG140</f>
        <v>20054.9</v>
      </c>
      <c r="AB139" s="30">
        <f>'Equity Volume Data'!AE139*'Equity Price Data'!AH140</f>
        <v>18178.8</v>
      </c>
      <c r="AC139" s="30">
        <f>'Equity Volume Data'!AF139*'Equity Price Data'!AI140</f>
        <v>17268</v>
      </c>
      <c r="AD139" s="30">
        <f>'Equity Volume Data'!AG139*'Equity Price Data'!AJ140</f>
        <v>12690.9</v>
      </c>
      <c r="AE139" s="30">
        <f>'Equity Volume Data'!AH139*'Equity Price Data'!AK140</f>
        <v>10958</v>
      </c>
      <c r="AF139" s="30">
        <f>'Equity Volume Data'!AI139*'Equity Price Data'!AL140</f>
        <v>18726.75</v>
      </c>
      <c r="AG139" s="30">
        <f>'Equity Volume Data'!AJ139*'Equity Price Data'!AM140</f>
        <v>36330</v>
      </c>
      <c r="AH139" s="30">
        <f>'Equity Volume Data'!AK139*'Equity Price Data'!AN140</f>
        <v>42952</v>
      </c>
      <c r="AI139" s="30">
        <f>'Equity Volume Data'!AL139*'Equity Price Data'!AO140</f>
        <v>21794.5</v>
      </c>
      <c r="AJ139" s="30">
        <f>'Equity Volume Data'!AM139*'Equity Price Data'!AP140</f>
        <v>20863.7</v>
      </c>
      <c r="AK139" s="30">
        <f>'Equity Volume Data'!AN139*'Equity Price Data'!AQ140</f>
        <v>25478.7</v>
      </c>
      <c r="AL139" s="30">
        <f>'Equity Volume Data'!AO139*'Equity Price Data'!AR140</f>
        <v>39995.2</v>
      </c>
      <c r="AM139" s="30">
        <f>'Equity Volume Data'!AP139*'Equity Price Data'!AS140</f>
        <v>36501.5</v>
      </c>
      <c r="AN139" s="30">
        <f>'Equity Volume Data'!AQ139*'Equity Price Data'!AT140</f>
        <v>11159.4</v>
      </c>
      <c r="AO139" s="30">
        <f>'Equity Volume Data'!AR139*'Equity Price Data'!AU140</f>
        <v>27199.9</v>
      </c>
      <c r="AP139" s="30">
        <f>'Equity Volume Data'!AS139*'Equity Price Data'!AV140</f>
        <v>21420</v>
      </c>
      <c r="AQ139" s="30">
        <f>'Equity Volume Data'!AT139*'Equity Price Data'!AW140</f>
        <v>19307.2</v>
      </c>
      <c r="AR139" s="30">
        <f>'Equity Volume Data'!AU139*'Equity Price Data'!AX140</f>
        <v>0</v>
      </c>
      <c r="AS139" s="30">
        <f>'Equity Volume Data'!AV139*'Equity Price Data'!AY140</f>
        <v>51358.8</v>
      </c>
      <c r="AT139" s="30">
        <f>'Equity Volume Data'!AW139*'Equity Price Data'!AZ140</f>
        <v>15498</v>
      </c>
      <c r="AU139" s="30">
        <f>'Equity Volume Data'!AX139*'Equity Price Data'!BA140</f>
        <v>0</v>
      </c>
      <c r="AV139" s="30">
        <f>'Equity Volume Data'!AY139*'Equity Price Data'!BB140</f>
        <v>19442.64</v>
      </c>
      <c r="AW139" s="30">
        <f>'Equity Volume Data'!AZ139*'Equity Price Data'!BC140</f>
        <v>4078.8</v>
      </c>
      <c r="AX139" s="30">
        <f>'Equity Volume Data'!BA139*'Equity Price Data'!BD140</f>
        <v>4638.4</v>
      </c>
      <c r="AY139" s="30">
        <f>'Equity Volume Data'!BB139*'Equity Price Data'!BE140</f>
        <v>26427.48</v>
      </c>
      <c r="AZ139" s="30">
        <f>'Equity Volume Data'!BC139*'Equity Price Data'!BF140</f>
        <v>13041</v>
      </c>
      <c r="BA139" s="30">
        <f>'Equity Volume Data'!BD139*'Equity Price Data'!BG140</f>
        <v>4896.3</v>
      </c>
      <c r="BB139" s="30">
        <f>'Equity Volume Data'!BE139*'Equity Price Data'!BH140</f>
        <v>9648.8</v>
      </c>
      <c r="BC139" s="30">
        <f>'Equity Volume Data'!BF139*'Equity Price Data'!BI140</f>
        <v>0</v>
      </c>
      <c r="BD139" s="30">
        <f>'Equity Volume Data'!BG139*'Equity Price Data'!BJ140</f>
        <v>52167.96</v>
      </c>
      <c r="BE139" s="30">
        <f>'Equity Volume Data'!BH139*'Equity Price Data'!BK140</f>
        <v>11798.54</v>
      </c>
      <c r="BF139" s="30">
        <f>'Equity Volume Data'!BI139*'Equity Price Data'!BL140</f>
        <v>6900.8</v>
      </c>
      <c r="BG139" s="30">
        <f>'Equity Volume Data'!BJ139*'Equity Price Data'!BM140</f>
        <v>22409.58</v>
      </c>
      <c r="BH139" s="30">
        <f>'Equity Volume Data'!BK139*'Equity Price Data'!BN140</f>
        <v>0</v>
      </c>
      <c r="BI139" s="30">
        <f>'Equity Volume Data'!BL139*'Equity Price Data'!BO140</f>
        <v>39300.8</v>
      </c>
      <c r="BJ139" s="30">
        <f>'Equity Volume Data'!BM139*'Equity Price Data'!BP140</f>
        <v>45509.25</v>
      </c>
      <c r="BK139" s="30">
        <f>'Equity Volume Data'!BN139*'Equity Price Data'!BQ140</f>
        <v>88135.82</v>
      </c>
      <c r="BL139" s="30">
        <f>'Equity Volume Data'!BO139*'Equity Price Data'!BR140</f>
        <v>614.76</v>
      </c>
      <c r="BM139" s="30">
        <f>'Equity Volume Data'!BP139*'Equity Price Data'!BS140</f>
        <v>10917.6</v>
      </c>
      <c r="BN139" s="30">
        <f>'Equity Volume Data'!BQ139*'Equity Price Data'!BT140</f>
        <v>21704.6</v>
      </c>
      <c r="BO139" s="30">
        <f>'Equity Volume Data'!BR139*'Equity Price Data'!BU140</f>
        <v>53374.07</v>
      </c>
    </row>
    <row r="140">
      <c r="A140" s="25">
        <f>'Equity Price Data'!A141</f>
        <v>45623.66667</v>
      </c>
      <c r="B140" s="29">
        <f t="shared" si="1"/>
        <v>1392616.38</v>
      </c>
      <c r="C140" s="30">
        <f>'Equity Volume Data'!F140*'Equity Price Data'!I141</f>
        <v>6677.84</v>
      </c>
      <c r="D140" s="30">
        <f>'Equity Volume Data'!G140*'Equity Price Data'!J141</f>
        <v>53492.4</v>
      </c>
      <c r="E140" s="30">
        <f>'Equity Volume Data'!H140*'Equity Price Data'!K141</f>
        <v>15214.1</v>
      </c>
      <c r="F140" s="30">
        <f>'Equity Volume Data'!I140*'Equity Price Data'!L141</f>
        <v>60142.08</v>
      </c>
      <c r="G140" s="30">
        <f>'Equity Volume Data'!J140*'Equity Price Data'!M141</f>
        <v>14219.56</v>
      </c>
      <c r="H140" s="30">
        <f>'Equity Volume Data'!K140*'Equity Price Data'!N141</f>
        <v>15367.12</v>
      </c>
      <c r="I140" s="30">
        <f>'Equity Volume Data'!L140*'Equity Price Data'!O141</f>
        <v>13230</v>
      </c>
      <c r="J140" s="30">
        <f>'Equity Volume Data'!M140*'Equity Price Data'!P141</f>
        <v>49274.16</v>
      </c>
      <c r="K140" s="30">
        <f>'Equity Volume Data'!N140*'Equity Price Data'!Q141</f>
        <v>10360</v>
      </c>
      <c r="L140" s="30">
        <f>'Equity Volume Data'!O140*'Equity Price Data'!R141</f>
        <v>19339.43</v>
      </c>
      <c r="M140" s="30">
        <f>'Equity Volume Data'!P140*'Equity Price Data'!S141</f>
        <v>0</v>
      </c>
      <c r="N140" s="30">
        <f>'Equity Volume Data'!Q140*'Equity Price Data'!T141</f>
        <v>6152</v>
      </c>
      <c r="O140" s="30">
        <f>'Equity Volume Data'!R140*'Equity Price Data'!U141</f>
        <v>60555</v>
      </c>
      <c r="P140" s="30">
        <f>'Equity Volume Data'!S140*'Equity Price Data'!V141</f>
        <v>24106.77</v>
      </c>
      <c r="Q140" s="30">
        <f>'Equity Volume Data'!T140*'Equity Price Data'!W141</f>
        <v>21786</v>
      </c>
      <c r="R140" s="30">
        <f>'Equity Volume Data'!U140*'Equity Price Data'!X141</f>
        <v>12968.8</v>
      </c>
      <c r="S140" s="30">
        <f>'Equity Volume Data'!V140*'Equity Price Data'!Y141</f>
        <v>29612</v>
      </c>
      <c r="T140" s="30">
        <f>'Equity Volume Data'!W140*'Equity Price Data'!Z141</f>
        <v>12040</v>
      </c>
      <c r="U140" s="30">
        <f>'Equity Volume Data'!X140*'Equity Price Data'!AA141</f>
        <v>17009.52</v>
      </c>
      <c r="V140" s="30">
        <f>'Equity Volume Data'!Y140*'Equity Price Data'!AB141</f>
        <v>16354.38</v>
      </c>
      <c r="W140" s="30">
        <f>'Equity Volume Data'!Z140*'Equity Price Data'!AC141</f>
        <v>13474.32</v>
      </c>
      <c r="X140" s="30">
        <f>'Equity Volume Data'!AA140*'Equity Price Data'!AD141</f>
        <v>0</v>
      </c>
      <c r="Y140" s="30">
        <f>'Equity Volume Data'!AB140*'Equity Price Data'!AE141</f>
        <v>6140.42</v>
      </c>
      <c r="Z140" s="30">
        <f>'Equity Volume Data'!AC140*'Equity Price Data'!AF141</f>
        <v>9646.5</v>
      </c>
      <c r="AA140" s="30">
        <f>'Equity Volume Data'!AD140*'Equity Price Data'!AG141</f>
        <v>20002.2</v>
      </c>
      <c r="AB140" s="30">
        <f>'Equity Volume Data'!AE140*'Equity Price Data'!AH141</f>
        <v>18203.4</v>
      </c>
      <c r="AC140" s="30">
        <f>'Equity Volume Data'!AF140*'Equity Price Data'!AI141</f>
        <v>17262.8</v>
      </c>
      <c r="AD140" s="30">
        <f>'Equity Volume Data'!AG140*'Equity Price Data'!AJ141</f>
        <v>12703.95</v>
      </c>
      <c r="AE140" s="30">
        <f>'Equity Volume Data'!AH140*'Equity Price Data'!AK141</f>
        <v>11100</v>
      </c>
      <c r="AF140" s="30">
        <f>'Equity Volume Data'!AI140*'Equity Price Data'!AL141</f>
        <v>18944.05</v>
      </c>
      <c r="AG140" s="30">
        <f>'Equity Volume Data'!AJ140*'Equity Price Data'!AM141</f>
        <v>36325.8</v>
      </c>
      <c r="AH140" s="30">
        <f>'Equity Volume Data'!AK140*'Equity Price Data'!AN141</f>
        <v>42719</v>
      </c>
      <c r="AI140" s="30">
        <f>'Equity Volume Data'!AL140*'Equity Price Data'!AO141</f>
        <v>21647.5</v>
      </c>
      <c r="AJ140" s="30">
        <f>'Equity Volume Data'!AM140*'Equity Price Data'!AP141</f>
        <v>20954.7</v>
      </c>
      <c r="AK140" s="30">
        <f>'Equity Volume Data'!AN140*'Equity Price Data'!AQ141</f>
        <v>25311.85</v>
      </c>
      <c r="AL140" s="30">
        <f>'Equity Volume Data'!AO140*'Equity Price Data'!AR141</f>
        <v>39966.4</v>
      </c>
      <c r="AM140" s="30">
        <f>'Equity Volume Data'!AP140*'Equity Price Data'!AS141</f>
        <v>36802.5</v>
      </c>
      <c r="AN140" s="30">
        <f>'Equity Volume Data'!AQ140*'Equity Price Data'!AT141</f>
        <v>11183.2</v>
      </c>
      <c r="AO140" s="30">
        <f>'Equity Volume Data'!AR140*'Equity Price Data'!AU141</f>
        <v>27234.06</v>
      </c>
      <c r="AP140" s="30">
        <f>'Equity Volume Data'!AS140*'Equity Price Data'!AV141</f>
        <v>21567.5</v>
      </c>
      <c r="AQ140" s="30">
        <f>'Equity Volume Data'!AT140*'Equity Price Data'!AW141</f>
        <v>19415</v>
      </c>
      <c r="AR140" s="30">
        <f>'Equity Volume Data'!AU140*'Equity Price Data'!AX141</f>
        <v>0</v>
      </c>
      <c r="AS140" s="30">
        <f>'Equity Volume Data'!AV140*'Equity Price Data'!AY141</f>
        <v>50758.8</v>
      </c>
      <c r="AT140" s="30">
        <f>'Equity Volume Data'!AW140*'Equity Price Data'!AZ141</f>
        <v>15704</v>
      </c>
      <c r="AU140" s="30">
        <f>'Equity Volume Data'!AX140*'Equity Price Data'!BA141</f>
        <v>0</v>
      </c>
      <c r="AV140" s="30">
        <f>'Equity Volume Data'!AY140*'Equity Price Data'!BB141</f>
        <v>19218.28</v>
      </c>
      <c r="AW140" s="30">
        <f>'Equity Volume Data'!AZ140*'Equity Price Data'!BC141</f>
        <v>4100.8</v>
      </c>
      <c r="AX140" s="30">
        <f>'Equity Volume Data'!BA140*'Equity Price Data'!BD141</f>
        <v>4632</v>
      </c>
      <c r="AY140" s="30">
        <f>'Equity Volume Data'!BB140*'Equity Price Data'!BE141</f>
        <v>26552.1</v>
      </c>
      <c r="AZ140" s="30">
        <f>'Equity Volume Data'!BC140*'Equity Price Data'!BF141</f>
        <v>12985.5</v>
      </c>
      <c r="BA140" s="30">
        <f>'Equity Volume Data'!BD140*'Equity Price Data'!BG141</f>
        <v>4907.7</v>
      </c>
      <c r="BB140" s="30">
        <f>'Equity Volume Data'!BE140*'Equity Price Data'!BH141</f>
        <v>9627.2</v>
      </c>
      <c r="BC140" s="30">
        <f>'Equity Volume Data'!BF140*'Equity Price Data'!BI141</f>
        <v>0</v>
      </c>
      <c r="BD140" s="30">
        <f>'Equity Volume Data'!BG140*'Equity Price Data'!BJ141</f>
        <v>52440.6</v>
      </c>
      <c r="BE140" s="30">
        <f>'Equity Volume Data'!BH140*'Equity Price Data'!BK141</f>
        <v>11998.18</v>
      </c>
      <c r="BF140" s="30">
        <f>'Equity Volume Data'!BI140*'Equity Price Data'!BL141</f>
        <v>6788.8</v>
      </c>
      <c r="BG140" s="30">
        <f>'Equity Volume Data'!BJ140*'Equity Price Data'!BM141</f>
        <v>24216.58</v>
      </c>
      <c r="BH140" s="30">
        <f>'Equity Volume Data'!BK140*'Equity Price Data'!BN141</f>
        <v>0</v>
      </c>
      <c r="BI140" s="30">
        <f>'Equity Volume Data'!BL140*'Equity Price Data'!BO141</f>
        <v>39236.8</v>
      </c>
      <c r="BJ140" s="30">
        <f>'Equity Volume Data'!BM140*'Equity Price Data'!BP141</f>
        <v>45628.5</v>
      </c>
      <c r="BK140" s="30">
        <f>'Equity Volume Data'!BN140*'Equity Price Data'!BQ141</f>
        <v>88243.94</v>
      </c>
      <c r="BL140" s="30">
        <f>'Equity Volume Data'!BO140*'Equity Price Data'!BR141</f>
        <v>621.34</v>
      </c>
      <c r="BM140" s="30">
        <f>'Equity Volume Data'!BP140*'Equity Price Data'!BS141</f>
        <v>10966.08</v>
      </c>
      <c r="BN140" s="30">
        <f>'Equity Volume Data'!BQ140*'Equity Price Data'!BT141</f>
        <v>22108.8</v>
      </c>
      <c r="BO140" s="30">
        <f>'Equity Volume Data'!BR140*'Equity Price Data'!BU141</f>
        <v>53374.07</v>
      </c>
    </row>
    <row r="141">
      <c r="A141" s="25">
        <f>'Equity Price Data'!A142</f>
        <v>45625.54514</v>
      </c>
      <c r="B141" s="29">
        <f t="shared" si="1"/>
        <v>1398054.26</v>
      </c>
      <c r="C141" s="30">
        <f>'Equity Volume Data'!F141*'Equity Price Data'!I142</f>
        <v>6707.09</v>
      </c>
      <c r="D141" s="30">
        <f>'Equity Volume Data'!G141*'Equity Price Data'!J142</f>
        <v>54051.4</v>
      </c>
      <c r="E141" s="30">
        <f>'Equity Volume Data'!H141*'Equity Price Data'!K142</f>
        <v>15063.4</v>
      </c>
      <c r="F141" s="30">
        <f>'Equity Volume Data'!I141*'Equity Price Data'!L142</f>
        <v>60756.48</v>
      </c>
      <c r="G141" s="30">
        <f>'Equity Volume Data'!J141*'Equity Price Data'!M142</f>
        <v>14500.93</v>
      </c>
      <c r="H141" s="30">
        <f>'Equity Volume Data'!K141*'Equity Price Data'!N142</f>
        <v>15391.56</v>
      </c>
      <c r="I141" s="30">
        <f>'Equity Volume Data'!L141*'Equity Price Data'!O142</f>
        <v>13480</v>
      </c>
      <c r="J141" s="30">
        <f>'Equity Volume Data'!M141*'Equity Price Data'!P142</f>
        <v>49268.04</v>
      </c>
      <c r="K141" s="30">
        <f>'Equity Volume Data'!N141*'Equity Price Data'!Q142</f>
        <v>10530</v>
      </c>
      <c r="L141" s="30">
        <f>'Equity Volume Data'!O141*'Equity Price Data'!R142</f>
        <v>19436.23</v>
      </c>
      <c r="M141" s="30">
        <f>'Equity Volume Data'!P141*'Equity Price Data'!S142</f>
        <v>0</v>
      </c>
      <c r="N141" s="30">
        <f>'Equity Volume Data'!Q141*'Equity Price Data'!T142</f>
        <v>6189.6</v>
      </c>
      <c r="O141" s="30">
        <f>'Equity Volume Data'!R141*'Equity Price Data'!U142</f>
        <v>60916.5</v>
      </c>
      <c r="P141" s="30">
        <f>'Equity Volume Data'!S141*'Equity Price Data'!V142</f>
        <v>24790.65</v>
      </c>
      <c r="Q141" s="30">
        <f>'Equity Volume Data'!T141*'Equity Price Data'!W142</f>
        <v>21840</v>
      </c>
      <c r="R141" s="30">
        <f>'Equity Volume Data'!U141*'Equity Price Data'!X142</f>
        <v>12954.4</v>
      </c>
      <c r="S141" s="30">
        <f>'Equity Volume Data'!V141*'Equity Price Data'!Y142</f>
        <v>29726.4</v>
      </c>
      <c r="T141" s="30">
        <f>'Equity Volume Data'!W141*'Equity Price Data'!Z142</f>
        <v>12035</v>
      </c>
      <c r="U141" s="30">
        <f>'Equity Volume Data'!X141*'Equity Price Data'!AA142</f>
        <v>16917.12</v>
      </c>
      <c r="V141" s="30">
        <f>'Equity Volume Data'!Y141*'Equity Price Data'!AB142</f>
        <v>16194.99</v>
      </c>
      <c r="W141" s="30">
        <f>'Equity Volume Data'!Z141*'Equity Price Data'!AC142</f>
        <v>13502.61</v>
      </c>
      <c r="X141" s="30">
        <f>'Equity Volume Data'!AA141*'Equity Price Data'!AD142</f>
        <v>0</v>
      </c>
      <c r="Y141" s="30">
        <f>'Equity Volume Data'!AB141*'Equity Price Data'!AE142</f>
        <v>6190.47</v>
      </c>
      <c r="Z141" s="30">
        <f>'Equity Volume Data'!AC141*'Equity Price Data'!AF142</f>
        <v>9493.5</v>
      </c>
      <c r="AA141" s="30">
        <f>'Equity Volume Data'!AD141*'Equity Price Data'!AG142</f>
        <v>20053.2</v>
      </c>
      <c r="AB141" s="30">
        <f>'Equity Volume Data'!AE141*'Equity Price Data'!AH142</f>
        <v>18160.2</v>
      </c>
      <c r="AC141" s="30">
        <f>'Equity Volume Data'!AF141*'Equity Price Data'!AI142</f>
        <v>17366.4</v>
      </c>
      <c r="AD141" s="30">
        <f>'Equity Volume Data'!AG141*'Equity Price Data'!AJ142</f>
        <v>12780.45</v>
      </c>
      <c r="AE141" s="30">
        <f>'Equity Volume Data'!AH141*'Equity Price Data'!AK142</f>
        <v>11118</v>
      </c>
      <c r="AF141" s="30">
        <f>'Equity Volume Data'!AI141*'Equity Price Data'!AL142</f>
        <v>18978.9</v>
      </c>
      <c r="AG141" s="30">
        <f>'Equity Volume Data'!AJ141*'Equity Price Data'!AM142</f>
        <v>36514.2</v>
      </c>
      <c r="AH141" s="30">
        <f>'Equity Volume Data'!AK141*'Equity Price Data'!AN142</f>
        <v>42913</v>
      </c>
      <c r="AI141" s="30">
        <f>'Equity Volume Data'!AL141*'Equity Price Data'!AO142</f>
        <v>21491.75</v>
      </c>
      <c r="AJ141" s="30">
        <f>'Equity Volume Data'!AM141*'Equity Price Data'!AP142</f>
        <v>20924.8</v>
      </c>
      <c r="AK141" s="30">
        <f>'Equity Volume Data'!AN141*'Equity Price Data'!AQ142</f>
        <v>25474</v>
      </c>
      <c r="AL141" s="30">
        <f>'Equity Volume Data'!AO141*'Equity Price Data'!AR142</f>
        <v>39955.2</v>
      </c>
      <c r="AM141" s="30">
        <f>'Equity Volume Data'!AP141*'Equity Price Data'!AS142</f>
        <v>37058.7</v>
      </c>
      <c r="AN141" s="30">
        <f>'Equity Volume Data'!AQ141*'Equity Price Data'!AT142</f>
        <v>11223.1</v>
      </c>
      <c r="AO141" s="30">
        <f>'Equity Volume Data'!AR141*'Equity Price Data'!AU142</f>
        <v>27439.02</v>
      </c>
      <c r="AP141" s="30">
        <f>'Equity Volume Data'!AS141*'Equity Price Data'!AV142</f>
        <v>21635</v>
      </c>
      <c r="AQ141" s="30">
        <f>'Equity Volume Data'!AT141*'Equity Price Data'!AW142</f>
        <v>19410.6</v>
      </c>
      <c r="AR141" s="30">
        <f>'Equity Volume Data'!AU141*'Equity Price Data'!AX142</f>
        <v>0</v>
      </c>
      <c r="AS141" s="30">
        <f>'Equity Volume Data'!AV141*'Equity Price Data'!AY142</f>
        <v>50815.2</v>
      </c>
      <c r="AT141" s="30">
        <f>'Equity Volume Data'!AW141*'Equity Price Data'!AZ142</f>
        <v>15734</v>
      </c>
      <c r="AU141" s="30">
        <f>'Equity Volume Data'!AX141*'Equity Price Data'!BA142</f>
        <v>0</v>
      </c>
      <c r="AV141" s="30">
        <f>'Equity Volume Data'!AY141*'Equity Price Data'!BB142</f>
        <v>19631.5</v>
      </c>
      <c r="AW141" s="30">
        <f>'Equity Volume Data'!AZ141*'Equity Price Data'!BC142</f>
        <v>4119.2</v>
      </c>
      <c r="AX141" s="30">
        <f>'Equity Volume Data'!BA141*'Equity Price Data'!BD142</f>
        <v>4666.4</v>
      </c>
      <c r="AY141" s="30">
        <f>'Equity Volume Data'!BB141*'Equity Price Data'!BE142</f>
        <v>26966.16</v>
      </c>
      <c r="AZ141" s="30">
        <f>'Equity Volume Data'!BC141*'Equity Price Data'!BF142</f>
        <v>13015.5</v>
      </c>
      <c r="BA141" s="30">
        <f>'Equity Volume Data'!BD141*'Equity Price Data'!BG142</f>
        <v>4979.9</v>
      </c>
      <c r="BB141" s="30">
        <f>'Equity Volume Data'!BE141*'Equity Price Data'!BH142</f>
        <v>9746.4</v>
      </c>
      <c r="BC141" s="30">
        <f>'Equity Volume Data'!BF141*'Equity Price Data'!BI142</f>
        <v>0</v>
      </c>
      <c r="BD141" s="30">
        <f>'Equity Volume Data'!BG141*'Equity Price Data'!BJ142</f>
        <v>52598.22</v>
      </c>
      <c r="BE141" s="30">
        <f>'Equity Volume Data'!BH141*'Equity Price Data'!BK142</f>
        <v>12181.49</v>
      </c>
      <c r="BF141" s="30">
        <f>'Equity Volume Data'!BI141*'Equity Price Data'!BL142</f>
        <v>6825.2</v>
      </c>
      <c r="BG141" s="30">
        <f>'Equity Volume Data'!BJ141*'Equity Price Data'!BM142</f>
        <v>24105.38</v>
      </c>
      <c r="BH141" s="30">
        <f>'Equity Volume Data'!BK141*'Equity Price Data'!BN142</f>
        <v>0</v>
      </c>
      <c r="BI141" s="30">
        <f>'Equity Volume Data'!BL141*'Equity Price Data'!BO142</f>
        <v>39145.6</v>
      </c>
      <c r="BJ141" s="30">
        <f>'Equity Volume Data'!BM141*'Equity Price Data'!BP142</f>
        <v>45765</v>
      </c>
      <c r="BK141" s="30">
        <f>'Equity Volume Data'!BN141*'Equity Price Data'!BQ142</f>
        <v>88298</v>
      </c>
      <c r="BL141" s="30">
        <f>'Equity Volume Data'!BO141*'Equity Price Data'!BR142</f>
        <v>615.23</v>
      </c>
      <c r="BM141" s="30">
        <f>'Equity Volume Data'!BP141*'Equity Price Data'!BS142</f>
        <v>10954.56</v>
      </c>
      <c r="BN141" s="30">
        <f>'Equity Volume Data'!BQ141*'Equity Price Data'!BT142</f>
        <v>22084.36</v>
      </c>
      <c r="BO141" s="30">
        <f>'Equity Volume Data'!BR141*'Equity Price Data'!BU142</f>
        <v>53374.07</v>
      </c>
    </row>
    <row r="142">
      <c r="A142" s="25">
        <f>'Equity Price Data'!A143</f>
        <v>45628.66667</v>
      </c>
      <c r="B142" s="29">
        <f t="shared" si="1"/>
        <v>1393992.65</v>
      </c>
      <c r="C142" s="30">
        <f>'Equity Volume Data'!F142*'Equity Price Data'!I143</f>
        <v>6710.6</v>
      </c>
      <c r="D142" s="30">
        <f>'Equity Volume Data'!G142*'Equity Price Data'!J143</f>
        <v>54784.6</v>
      </c>
      <c r="E142" s="30">
        <f>'Equity Volume Data'!H142*'Equity Price Data'!K143</f>
        <v>14916</v>
      </c>
      <c r="F142" s="30">
        <f>'Equity Volume Data'!I142*'Equity Price Data'!L143</f>
        <v>61335.04</v>
      </c>
      <c r="G142" s="30">
        <f>'Equity Volume Data'!J142*'Equity Price Data'!M143</f>
        <v>15211.41</v>
      </c>
      <c r="H142" s="30">
        <f>'Equity Volume Data'!K142*'Equity Price Data'!N143</f>
        <v>15248.68</v>
      </c>
      <c r="I142" s="30">
        <f>'Equity Volume Data'!L142*'Equity Price Data'!O143</f>
        <v>13360</v>
      </c>
      <c r="J142" s="30">
        <f>'Equity Volume Data'!M142*'Equity Price Data'!P143</f>
        <v>48687.66</v>
      </c>
      <c r="K142" s="30">
        <f>'Equity Volume Data'!N142*'Equity Price Data'!Q143</f>
        <v>10570</v>
      </c>
      <c r="L142" s="30">
        <f>'Equity Volume Data'!O142*'Equity Price Data'!R143</f>
        <v>19871.83</v>
      </c>
      <c r="M142" s="30">
        <f>'Equity Volume Data'!P142*'Equity Price Data'!S143</f>
        <v>0</v>
      </c>
      <c r="N142" s="30">
        <f>'Equity Volume Data'!Q142*'Equity Price Data'!T143</f>
        <v>6103.2</v>
      </c>
      <c r="O142" s="30">
        <f>'Equity Volume Data'!R142*'Equity Price Data'!U143</f>
        <v>60376.5</v>
      </c>
      <c r="P142" s="30">
        <f>'Equity Volume Data'!S142*'Equity Price Data'!V143</f>
        <v>24532.11</v>
      </c>
      <c r="Q142" s="30">
        <f>'Equity Volume Data'!T142*'Equity Price Data'!W143</f>
        <v>21861.6</v>
      </c>
      <c r="R142" s="30">
        <f>'Equity Volume Data'!U142*'Equity Price Data'!X143</f>
        <v>12976.8</v>
      </c>
      <c r="S142" s="30">
        <f>'Equity Volume Data'!V142*'Equity Price Data'!Y143</f>
        <v>29661.28</v>
      </c>
      <c r="T142" s="30">
        <f>'Equity Volume Data'!W142*'Equity Price Data'!Z143</f>
        <v>11770</v>
      </c>
      <c r="U142" s="30">
        <f>'Equity Volume Data'!X142*'Equity Price Data'!AA143</f>
        <v>16803.6</v>
      </c>
      <c r="V142" s="30">
        <f>'Equity Volume Data'!Y142*'Equity Price Data'!AB143</f>
        <v>15858.5</v>
      </c>
      <c r="W142" s="30">
        <f>'Equity Volume Data'!Z142*'Equity Price Data'!AC143</f>
        <v>13259.04</v>
      </c>
      <c r="X142" s="30">
        <f>'Equity Volume Data'!AA142*'Equity Price Data'!AD143</f>
        <v>0</v>
      </c>
      <c r="Y142" s="30">
        <f>'Equity Volume Data'!AB142*'Equity Price Data'!AE143</f>
        <v>6060.34</v>
      </c>
      <c r="Z142" s="30">
        <f>'Equity Volume Data'!AC142*'Equity Price Data'!AF143</f>
        <v>9475.5</v>
      </c>
      <c r="AA142" s="30">
        <f>'Equity Volume Data'!AD142*'Equity Price Data'!AG143</f>
        <v>20034.5</v>
      </c>
      <c r="AB142" s="30">
        <f>'Equity Volume Data'!AE142*'Equity Price Data'!AH143</f>
        <v>17801.4</v>
      </c>
      <c r="AC142" s="30">
        <f>'Equity Volume Data'!AF142*'Equity Price Data'!AI143</f>
        <v>17496</v>
      </c>
      <c r="AD142" s="30">
        <f>'Equity Volume Data'!AG142*'Equity Price Data'!AJ143</f>
        <v>12439.8</v>
      </c>
      <c r="AE142" s="30">
        <f>'Equity Volume Data'!AH142*'Equity Price Data'!AK143</f>
        <v>11008</v>
      </c>
      <c r="AF142" s="30">
        <f>'Equity Volume Data'!AI142*'Equity Price Data'!AL143</f>
        <v>19274.1</v>
      </c>
      <c r="AG142" s="30">
        <f>'Equity Volume Data'!AJ142*'Equity Price Data'!AM143</f>
        <v>36102.6</v>
      </c>
      <c r="AH142" s="30">
        <f>'Equity Volume Data'!AK142*'Equity Price Data'!AN143</f>
        <v>42696</v>
      </c>
      <c r="AI142" s="30">
        <f>'Equity Volume Data'!AL142*'Equity Price Data'!AO143</f>
        <v>21771.75</v>
      </c>
      <c r="AJ142" s="30">
        <f>'Equity Volume Data'!AM142*'Equity Price Data'!AP143</f>
        <v>20577.7</v>
      </c>
      <c r="AK142" s="30">
        <f>'Equity Volume Data'!AN142*'Equity Price Data'!AQ143</f>
        <v>25513.95</v>
      </c>
      <c r="AL142" s="30">
        <f>'Equity Volume Data'!AO142*'Equity Price Data'!AR143</f>
        <v>39400</v>
      </c>
      <c r="AM142" s="30">
        <f>'Equity Volume Data'!AP142*'Equity Price Data'!AS143</f>
        <v>36423.8</v>
      </c>
      <c r="AN142" s="30">
        <f>'Equity Volume Data'!AQ142*'Equity Price Data'!AT143</f>
        <v>11704</v>
      </c>
      <c r="AO142" s="30">
        <f>'Equity Volume Data'!AR142*'Equity Price Data'!AU143</f>
        <v>27601.28</v>
      </c>
      <c r="AP142" s="30">
        <f>'Equity Volume Data'!AS142*'Equity Price Data'!AV143</f>
        <v>21635</v>
      </c>
      <c r="AQ142" s="30">
        <f>'Equity Volume Data'!AT142*'Equity Price Data'!AW143</f>
        <v>19113.6</v>
      </c>
      <c r="AR142" s="30">
        <f>'Equity Volume Data'!AU142*'Equity Price Data'!AX143</f>
        <v>0</v>
      </c>
      <c r="AS142" s="30">
        <f>'Equity Volume Data'!AV142*'Equity Price Data'!AY143</f>
        <v>51717.6</v>
      </c>
      <c r="AT142" s="30">
        <f>'Equity Volume Data'!AW142*'Equity Price Data'!AZ143</f>
        <v>15414</v>
      </c>
      <c r="AU142" s="30">
        <f>'Equity Volume Data'!AX142*'Equity Price Data'!BA143</f>
        <v>0</v>
      </c>
      <c r="AV142" s="30">
        <f>'Equity Volume Data'!AY142*'Equity Price Data'!BB143</f>
        <v>19685.46</v>
      </c>
      <c r="AW142" s="30">
        <f>'Equity Volume Data'!AZ142*'Equity Price Data'!BC143</f>
        <v>4072</v>
      </c>
      <c r="AX142" s="30">
        <f>'Equity Volume Data'!BA142*'Equity Price Data'!BD143</f>
        <v>4682.4</v>
      </c>
      <c r="AY142" s="30">
        <f>'Equity Volume Data'!BB142*'Equity Price Data'!BE143</f>
        <v>26688.78</v>
      </c>
      <c r="AZ142" s="30">
        <f>'Equity Volume Data'!BC142*'Equity Price Data'!BF143</f>
        <v>12979.5</v>
      </c>
      <c r="BA142" s="30">
        <f>'Equity Volume Data'!BD142*'Equity Price Data'!BG143</f>
        <v>4905.8</v>
      </c>
      <c r="BB142" s="30">
        <f>'Equity Volume Data'!BE142*'Equity Price Data'!BH143</f>
        <v>9494.4</v>
      </c>
      <c r="BC142" s="30">
        <f>'Equity Volume Data'!BF142*'Equity Price Data'!BI143</f>
        <v>0</v>
      </c>
      <c r="BD142" s="30">
        <f>'Equity Volume Data'!BG142*'Equity Price Data'!BJ143</f>
        <v>52146.66</v>
      </c>
      <c r="BE142" s="30">
        <f>'Equity Volume Data'!BH142*'Equity Price Data'!BK143</f>
        <v>12188.85</v>
      </c>
      <c r="BF142" s="30">
        <f>'Equity Volume Data'!BI142*'Equity Price Data'!BL143</f>
        <v>7032.4</v>
      </c>
      <c r="BG142" s="30">
        <f>'Equity Volume Data'!BJ142*'Equity Price Data'!BM143</f>
        <v>23668.92</v>
      </c>
      <c r="BH142" s="30">
        <f>'Equity Volume Data'!BK142*'Equity Price Data'!BN143</f>
        <v>0</v>
      </c>
      <c r="BI142" s="30">
        <f>'Equity Volume Data'!BL142*'Equity Price Data'!BO143</f>
        <v>38524.8</v>
      </c>
      <c r="BJ142" s="30">
        <f>'Equity Volume Data'!BM142*'Equity Price Data'!BP143</f>
        <v>45639</v>
      </c>
      <c r="BK142" s="30">
        <f>'Equity Volume Data'!BN142*'Equity Price Data'!BQ143</f>
        <v>88298</v>
      </c>
      <c r="BL142" s="30">
        <f>'Equity Volume Data'!BO142*'Equity Price Data'!BR143</f>
        <v>620.4</v>
      </c>
      <c r="BM142" s="30">
        <f>'Equity Volume Data'!BP142*'Equity Price Data'!BS143</f>
        <v>10805.76</v>
      </c>
      <c r="BN142" s="30">
        <f>'Equity Volume Data'!BQ142*'Equity Price Data'!BT143</f>
        <v>22026.08</v>
      </c>
      <c r="BO142" s="30">
        <f>'Equity Volume Data'!BR142*'Equity Price Data'!BU143</f>
        <v>53374.07</v>
      </c>
    </row>
    <row r="143">
      <c r="A143" s="25">
        <f>'Equity Price Data'!A144</f>
        <v>45629.66667</v>
      </c>
      <c r="B143" s="29">
        <f t="shared" si="1"/>
        <v>1388717.25</v>
      </c>
      <c r="C143" s="30">
        <f>'Equity Volume Data'!F143*'Equity Price Data'!I144</f>
        <v>6711.38</v>
      </c>
      <c r="D143" s="30">
        <f>'Equity Volume Data'!G143*'Equity Price Data'!J144</f>
        <v>55494.4</v>
      </c>
      <c r="E143" s="30">
        <f>'Equity Volume Data'!H143*'Equity Price Data'!K144</f>
        <v>14751</v>
      </c>
      <c r="F143" s="30">
        <f>'Equity Volume Data'!I143*'Equity Price Data'!L144</f>
        <v>62118.4</v>
      </c>
      <c r="G143" s="30">
        <f>'Equity Volume Data'!J143*'Equity Price Data'!M144</f>
        <v>15202.28</v>
      </c>
      <c r="H143" s="30">
        <f>'Equity Volume Data'!K143*'Equity Price Data'!N144</f>
        <v>15199.8</v>
      </c>
      <c r="I143" s="30">
        <f>'Equity Volume Data'!L143*'Equity Price Data'!O144</f>
        <v>13450</v>
      </c>
      <c r="J143" s="30">
        <f>'Equity Volume Data'!M143*'Equity Price Data'!P144</f>
        <v>47959.38</v>
      </c>
      <c r="K143" s="30">
        <f>'Equity Volume Data'!N143*'Equity Price Data'!Q144</f>
        <v>10624</v>
      </c>
      <c r="L143" s="30">
        <f>'Equity Volume Data'!O143*'Equity Price Data'!R144</f>
        <v>19462.85</v>
      </c>
      <c r="M143" s="30">
        <f>'Equity Volume Data'!P143*'Equity Price Data'!S144</f>
        <v>0</v>
      </c>
      <c r="N143" s="30">
        <f>'Equity Volume Data'!Q143*'Equity Price Data'!T144</f>
        <v>6046.4</v>
      </c>
      <c r="O143" s="30">
        <f>'Equity Volume Data'!R143*'Equity Price Data'!U144</f>
        <v>59889</v>
      </c>
      <c r="P143" s="30">
        <f>'Equity Volume Data'!S143*'Equity Price Data'!V144</f>
        <v>24765.63</v>
      </c>
      <c r="Q143" s="30">
        <f>'Equity Volume Data'!T143*'Equity Price Data'!W144</f>
        <v>22450.8</v>
      </c>
      <c r="R143" s="30">
        <f>'Equity Volume Data'!U143*'Equity Price Data'!X144</f>
        <v>12953.6</v>
      </c>
      <c r="S143" s="30">
        <f>'Equity Volume Data'!V143*'Equity Price Data'!Y144</f>
        <v>29471.2</v>
      </c>
      <c r="T143" s="30">
        <f>'Equity Volume Data'!W143*'Equity Price Data'!Z144</f>
        <v>11700</v>
      </c>
      <c r="U143" s="30">
        <f>'Equity Volume Data'!X143*'Equity Price Data'!AA144</f>
        <v>16769.28</v>
      </c>
      <c r="V143" s="30">
        <f>'Equity Volume Data'!Y143*'Equity Price Data'!AB144</f>
        <v>15702.33</v>
      </c>
      <c r="W143" s="30">
        <f>'Equity Volume Data'!Z143*'Equity Price Data'!AC144</f>
        <v>13183.83</v>
      </c>
      <c r="X143" s="30">
        <f>'Equity Volume Data'!AA143*'Equity Price Data'!AD144</f>
        <v>0</v>
      </c>
      <c r="Y143" s="30">
        <f>'Equity Volume Data'!AB143*'Equity Price Data'!AE144</f>
        <v>6008.86</v>
      </c>
      <c r="Z143" s="30">
        <f>'Equity Volume Data'!AC143*'Equity Price Data'!AF144</f>
        <v>9441</v>
      </c>
      <c r="AA143" s="30">
        <f>'Equity Volume Data'!AD143*'Equity Price Data'!AG144</f>
        <v>20003.9</v>
      </c>
      <c r="AB143" s="30">
        <f>'Equity Volume Data'!AE143*'Equity Price Data'!AH144</f>
        <v>16971</v>
      </c>
      <c r="AC143" s="30">
        <f>'Equity Volume Data'!AF143*'Equity Price Data'!AI144</f>
        <v>17780.4</v>
      </c>
      <c r="AD143" s="30">
        <f>'Equity Volume Data'!AG143*'Equity Price Data'!AJ144</f>
        <v>12483.9</v>
      </c>
      <c r="AE143" s="30">
        <f>'Equity Volume Data'!AH143*'Equity Price Data'!AK144</f>
        <v>10732</v>
      </c>
      <c r="AF143" s="30">
        <f>'Equity Volume Data'!AI143*'Equity Price Data'!AL144</f>
        <v>18960.45</v>
      </c>
      <c r="AG143" s="30">
        <f>'Equity Volume Data'!AJ143*'Equity Price Data'!AM144</f>
        <v>36124.8</v>
      </c>
      <c r="AH143" s="30">
        <f>'Equity Volume Data'!AK143*'Equity Price Data'!AN144</f>
        <v>42935</v>
      </c>
      <c r="AI143" s="30">
        <f>'Equity Volume Data'!AL143*'Equity Price Data'!AO144</f>
        <v>21626.5</v>
      </c>
      <c r="AJ143" s="30">
        <f>'Equity Volume Data'!AM143*'Equity Price Data'!AP144</f>
        <v>20313.8</v>
      </c>
      <c r="AK143" s="30">
        <f>'Equity Volume Data'!AN143*'Equity Price Data'!AQ144</f>
        <v>25460.37</v>
      </c>
      <c r="AL143" s="30">
        <f>'Equity Volume Data'!AO143*'Equity Price Data'!AR144</f>
        <v>39171.2</v>
      </c>
      <c r="AM143" s="30">
        <f>'Equity Volume Data'!AP143*'Equity Price Data'!AS144</f>
        <v>36190</v>
      </c>
      <c r="AN143" s="30">
        <f>'Equity Volume Data'!AQ143*'Equity Price Data'!AT144</f>
        <v>11923.1</v>
      </c>
      <c r="AO143" s="30">
        <f>'Equity Volume Data'!AR143*'Equity Price Data'!AU144</f>
        <v>27387.78</v>
      </c>
      <c r="AP143" s="30">
        <f>'Equity Volume Data'!AS143*'Equity Price Data'!AV144</f>
        <v>21427.5</v>
      </c>
      <c r="AQ143" s="30">
        <f>'Equity Volume Data'!AT143*'Equity Price Data'!AW144</f>
        <v>18858.4</v>
      </c>
      <c r="AR143" s="30">
        <f>'Equity Volume Data'!AU143*'Equity Price Data'!AX144</f>
        <v>0</v>
      </c>
      <c r="AS143" s="30">
        <f>'Equity Volume Data'!AV143*'Equity Price Data'!AY144</f>
        <v>51744</v>
      </c>
      <c r="AT143" s="30">
        <f>'Equity Volume Data'!AW143*'Equity Price Data'!AZ144</f>
        <v>15258</v>
      </c>
      <c r="AU143" s="30">
        <f>'Equity Volume Data'!AX143*'Equity Price Data'!BA144</f>
        <v>0</v>
      </c>
      <c r="AV143" s="30">
        <f>'Equity Volume Data'!AY143*'Equity Price Data'!BB144</f>
        <v>19916.92</v>
      </c>
      <c r="AW143" s="30">
        <f>'Equity Volume Data'!AZ143*'Equity Price Data'!BC144</f>
        <v>4042.4</v>
      </c>
      <c r="AX143" s="30">
        <f>'Equity Volume Data'!BA143*'Equity Price Data'!BD144</f>
        <v>4763.2</v>
      </c>
      <c r="AY143" s="30">
        <f>'Equity Volume Data'!BB143*'Equity Price Data'!BE144</f>
        <v>28525.92</v>
      </c>
      <c r="AZ143" s="30">
        <f>'Equity Volume Data'!BC143*'Equity Price Data'!BF144</f>
        <v>12771</v>
      </c>
      <c r="BA143" s="30">
        <f>'Equity Volume Data'!BD143*'Equity Price Data'!BG144</f>
        <v>4856.4</v>
      </c>
      <c r="BB143" s="30">
        <f>'Equity Volume Data'!BE143*'Equity Price Data'!BH144</f>
        <v>9448</v>
      </c>
      <c r="BC143" s="30">
        <f>'Equity Volume Data'!BF143*'Equity Price Data'!BI144</f>
        <v>0</v>
      </c>
      <c r="BD143" s="30">
        <f>'Equity Volume Data'!BG143*'Equity Price Data'!BJ144</f>
        <v>52153.05</v>
      </c>
      <c r="BE143" s="30">
        <f>'Equity Volume Data'!BH143*'Equity Price Data'!BK144</f>
        <v>12291.66</v>
      </c>
      <c r="BF143" s="30">
        <f>'Equity Volume Data'!BI143*'Equity Price Data'!BL144</f>
        <v>7040</v>
      </c>
      <c r="BG143" s="30">
        <f>'Equity Volume Data'!BJ143*'Equity Price Data'!BM144</f>
        <v>19860.32</v>
      </c>
      <c r="BH143" s="30">
        <f>'Equity Volume Data'!BK143*'Equity Price Data'!BN144</f>
        <v>0</v>
      </c>
      <c r="BI143" s="30">
        <f>'Equity Volume Data'!BL143*'Equity Price Data'!BO144</f>
        <v>37918.4</v>
      </c>
      <c r="BJ143" s="30">
        <f>'Equity Volume Data'!BM143*'Equity Price Data'!BP144</f>
        <v>45392.25</v>
      </c>
      <c r="BK143" s="30">
        <f>'Equity Volume Data'!BN143*'Equity Price Data'!BQ144</f>
        <v>88352.06</v>
      </c>
      <c r="BL143" s="30">
        <f>'Equity Volume Data'!BO143*'Equity Price Data'!BR144</f>
        <v>611</v>
      </c>
      <c r="BM143" s="30">
        <f>'Equity Volume Data'!BP143*'Equity Price Data'!BS144</f>
        <v>10800.48</v>
      </c>
      <c r="BN143" s="30">
        <f>'Equity Volume Data'!BQ143*'Equity Price Data'!BT144</f>
        <v>21892.6</v>
      </c>
      <c r="BO143" s="30">
        <f>'Equity Volume Data'!BR143*'Equity Price Data'!BU144</f>
        <v>53374.07</v>
      </c>
    </row>
    <row r="144">
      <c r="A144" s="25">
        <f>'Equity Price Data'!A145</f>
        <v>45630.66667</v>
      </c>
      <c r="B144" s="29">
        <f t="shared" si="1"/>
        <v>1389340.09</v>
      </c>
      <c r="C144" s="30">
        <f>'Equity Volume Data'!F144*'Equity Price Data'!I145</f>
        <v>6974.37</v>
      </c>
      <c r="D144" s="30">
        <f>'Equity Volume Data'!G144*'Equity Price Data'!J145</f>
        <v>56721.6</v>
      </c>
      <c r="E144" s="30">
        <f>'Equity Volume Data'!H144*'Equity Price Data'!K145</f>
        <v>14411.1</v>
      </c>
      <c r="F144" s="30">
        <f>'Equity Volume Data'!I144*'Equity Price Data'!L145</f>
        <v>62210.56</v>
      </c>
      <c r="G144" s="30">
        <f>'Equity Volume Data'!J144*'Equity Price Data'!M145</f>
        <v>15036.28</v>
      </c>
      <c r="H144" s="30">
        <f>'Equity Volume Data'!K144*'Equity Price Data'!N145</f>
        <v>15075.72</v>
      </c>
      <c r="I144" s="30">
        <f>'Equity Volume Data'!L144*'Equity Price Data'!O145</f>
        <v>13380</v>
      </c>
      <c r="J144" s="30">
        <f>'Equity Volume Data'!M144*'Equity Price Data'!P145</f>
        <v>47768.64</v>
      </c>
      <c r="K144" s="30">
        <f>'Equity Volume Data'!N144*'Equity Price Data'!Q145</f>
        <v>10552</v>
      </c>
      <c r="L144" s="30">
        <f>'Equity Volume Data'!O144*'Equity Price Data'!R145</f>
        <v>19471.32</v>
      </c>
      <c r="M144" s="30">
        <f>'Equity Volume Data'!P144*'Equity Price Data'!S145</f>
        <v>0</v>
      </c>
      <c r="N144" s="30">
        <f>'Equity Volume Data'!Q144*'Equity Price Data'!T145</f>
        <v>6030.4</v>
      </c>
      <c r="O144" s="30">
        <f>'Equity Volume Data'!R144*'Equity Price Data'!U145</f>
        <v>59926.5</v>
      </c>
      <c r="P144" s="30">
        <f>'Equity Volume Data'!S144*'Equity Price Data'!V145</f>
        <v>24857.37</v>
      </c>
      <c r="Q144" s="30">
        <f>'Equity Volume Data'!T144*'Equity Price Data'!W145</f>
        <v>22826.4</v>
      </c>
      <c r="R144" s="30">
        <f>'Equity Volume Data'!U144*'Equity Price Data'!X145</f>
        <v>12665.6</v>
      </c>
      <c r="S144" s="30">
        <f>'Equity Volume Data'!V144*'Equity Price Data'!Y145</f>
        <v>29050.56</v>
      </c>
      <c r="T144" s="30">
        <f>'Equity Volume Data'!W144*'Equity Price Data'!Z145</f>
        <v>11650</v>
      </c>
      <c r="U144" s="30">
        <f>'Equity Volume Data'!X144*'Equity Price Data'!AA145</f>
        <v>16423.44</v>
      </c>
      <c r="V144" s="30">
        <f>'Equity Volume Data'!Y144*'Equity Price Data'!AB145</f>
        <v>15555.82</v>
      </c>
      <c r="W144" s="30">
        <f>'Equity Volume Data'!Z144*'Equity Price Data'!AC145</f>
        <v>13167.96</v>
      </c>
      <c r="X144" s="30">
        <f>'Equity Volume Data'!AA144*'Equity Price Data'!AD145</f>
        <v>0</v>
      </c>
      <c r="Y144" s="30">
        <f>'Equity Volume Data'!AB144*'Equity Price Data'!AE145</f>
        <v>6069.18</v>
      </c>
      <c r="Z144" s="30">
        <f>'Equity Volume Data'!AC144*'Equity Price Data'!AF145</f>
        <v>9498</v>
      </c>
      <c r="AA144" s="30">
        <f>'Equity Volume Data'!AD144*'Equity Price Data'!AG145</f>
        <v>19427.6</v>
      </c>
      <c r="AB144" s="30">
        <f>'Equity Volume Data'!AE144*'Equity Price Data'!AH145</f>
        <v>17005.8</v>
      </c>
      <c r="AC144" s="30">
        <f>'Equity Volume Data'!AF144*'Equity Price Data'!AI145</f>
        <v>17829.2</v>
      </c>
      <c r="AD144" s="30">
        <f>'Equity Volume Data'!AG144*'Equity Price Data'!AJ145</f>
        <v>12494.7</v>
      </c>
      <c r="AE144" s="30">
        <f>'Equity Volume Data'!AH144*'Equity Price Data'!AK145</f>
        <v>10672</v>
      </c>
      <c r="AF144" s="30">
        <f>'Equity Volume Data'!AI144*'Equity Price Data'!AL145</f>
        <v>18775.95</v>
      </c>
      <c r="AG144" s="30">
        <f>'Equity Volume Data'!AJ144*'Equity Price Data'!AM145</f>
        <v>35922.6</v>
      </c>
      <c r="AH144" s="30">
        <f>'Equity Volume Data'!AK144*'Equity Price Data'!AN145</f>
        <v>42792</v>
      </c>
      <c r="AI144" s="30">
        <f>'Equity Volume Data'!AL144*'Equity Price Data'!AO145</f>
        <v>21642.25</v>
      </c>
      <c r="AJ144" s="30">
        <f>'Equity Volume Data'!AM144*'Equity Price Data'!AP145</f>
        <v>20293</v>
      </c>
      <c r="AK144" s="30">
        <f>'Equity Volume Data'!AN144*'Equity Price Data'!AQ145</f>
        <v>25847.65</v>
      </c>
      <c r="AL144" s="30">
        <f>'Equity Volume Data'!AO144*'Equity Price Data'!AR145</f>
        <v>38944</v>
      </c>
      <c r="AM144" s="30">
        <f>'Equity Volume Data'!AP144*'Equity Price Data'!AS145</f>
        <v>36225</v>
      </c>
      <c r="AN144" s="30">
        <f>'Equity Volume Data'!AQ144*'Equity Price Data'!AT145</f>
        <v>11979.45</v>
      </c>
      <c r="AO144" s="30">
        <f>'Equity Volume Data'!AR144*'Equity Price Data'!AU145</f>
        <v>27575.66</v>
      </c>
      <c r="AP144" s="30">
        <f>'Equity Volume Data'!AS144*'Equity Price Data'!AV145</f>
        <v>21330</v>
      </c>
      <c r="AQ144" s="30">
        <f>'Equity Volume Data'!AT144*'Equity Price Data'!AW145</f>
        <v>18783.6</v>
      </c>
      <c r="AR144" s="30">
        <f>'Equity Volume Data'!AU144*'Equity Price Data'!AX145</f>
        <v>0</v>
      </c>
      <c r="AS144" s="30">
        <f>'Equity Volume Data'!AV144*'Equity Price Data'!AY145</f>
        <v>52490.4</v>
      </c>
      <c r="AT144" s="30">
        <f>'Equity Volume Data'!AW144*'Equity Price Data'!AZ145</f>
        <v>15148</v>
      </c>
      <c r="AU144" s="30">
        <f>'Equity Volume Data'!AX144*'Equity Price Data'!BA145</f>
        <v>0</v>
      </c>
      <c r="AV144" s="30">
        <f>'Equity Volume Data'!AY144*'Equity Price Data'!BB145</f>
        <v>20609.88</v>
      </c>
      <c r="AW144" s="30">
        <f>'Equity Volume Data'!AZ144*'Equity Price Data'!BC145</f>
        <v>4045.2</v>
      </c>
      <c r="AX144" s="30">
        <f>'Equity Volume Data'!BA144*'Equity Price Data'!BD145</f>
        <v>4720</v>
      </c>
      <c r="AY144" s="30">
        <f>'Equity Volume Data'!BB144*'Equity Price Data'!BE145</f>
        <v>28079.7</v>
      </c>
      <c r="AZ144" s="30">
        <f>'Equity Volume Data'!BC144*'Equity Price Data'!BF145</f>
        <v>13399.5</v>
      </c>
      <c r="BA144" s="30">
        <f>'Equity Volume Data'!BD144*'Equity Price Data'!BG145</f>
        <v>4793.7</v>
      </c>
      <c r="BB144" s="30">
        <f>'Equity Volume Data'!BE144*'Equity Price Data'!BH145</f>
        <v>9538.4</v>
      </c>
      <c r="BC144" s="30">
        <f>'Equity Volume Data'!BF144*'Equity Price Data'!BI145</f>
        <v>0</v>
      </c>
      <c r="BD144" s="30">
        <f>'Equity Volume Data'!BG144*'Equity Price Data'!BJ145</f>
        <v>51776.04</v>
      </c>
      <c r="BE144" s="30">
        <f>'Equity Volume Data'!BH144*'Equity Price Data'!BK145</f>
        <v>12164.01</v>
      </c>
      <c r="BF144" s="30">
        <f>'Equity Volume Data'!BI144*'Equity Price Data'!BL145</f>
        <v>6991.2</v>
      </c>
      <c r="BG144" s="30">
        <f>'Equity Volume Data'!BJ144*'Equity Price Data'!BM145</f>
        <v>20074.38</v>
      </c>
      <c r="BH144" s="30">
        <f>'Equity Volume Data'!BK144*'Equity Price Data'!BN145</f>
        <v>0</v>
      </c>
      <c r="BI144" s="30">
        <f>'Equity Volume Data'!BL144*'Equity Price Data'!BO145</f>
        <v>37600</v>
      </c>
      <c r="BJ144" s="30">
        <f>'Equity Volume Data'!BM144*'Equity Price Data'!BP145</f>
        <v>45809.25</v>
      </c>
      <c r="BK144" s="30">
        <f>'Equity Volume Data'!BN144*'Equity Price Data'!BQ145</f>
        <v>88442.16</v>
      </c>
      <c r="BL144" s="30">
        <f>'Equity Volume Data'!BO144*'Equity Price Data'!BR145</f>
        <v>612.88</v>
      </c>
      <c r="BM144" s="30">
        <f>'Equity Volume Data'!BP144*'Equity Price Data'!BS145</f>
        <v>10813.92</v>
      </c>
      <c r="BN144" s="30">
        <f>'Equity Volume Data'!BQ144*'Equity Price Data'!BT145</f>
        <v>21994.12</v>
      </c>
      <c r="BO144" s="30">
        <f>'Equity Volume Data'!BR144*'Equity Price Data'!BU145</f>
        <v>53374.07</v>
      </c>
    </row>
    <row r="145">
      <c r="A145" s="25">
        <f>'Equity Price Data'!A146</f>
        <v>45631.66667</v>
      </c>
      <c r="B145" s="29">
        <f t="shared" si="1"/>
        <v>1386224.35</v>
      </c>
      <c r="C145" s="30">
        <f>'Equity Volume Data'!F145*'Equity Price Data'!I146</f>
        <v>6996.86</v>
      </c>
      <c r="D145" s="30">
        <f>'Equity Volume Data'!G145*'Equity Price Data'!J146</f>
        <v>57343</v>
      </c>
      <c r="E145" s="30">
        <f>'Equity Volume Data'!H145*'Equity Price Data'!K146</f>
        <v>14531</v>
      </c>
      <c r="F145" s="30">
        <f>'Equity Volume Data'!I145*'Equity Price Data'!L146</f>
        <v>62218.24</v>
      </c>
      <c r="G145" s="30">
        <f>'Equity Volume Data'!J145*'Equity Price Data'!M146</f>
        <v>14278.49</v>
      </c>
      <c r="H145" s="30">
        <f>'Equity Volume Data'!K145*'Equity Price Data'!N146</f>
        <v>15320.12</v>
      </c>
      <c r="I145" s="30">
        <f>'Equity Volume Data'!L145*'Equity Price Data'!O146</f>
        <v>13600</v>
      </c>
      <c r="J145" s="30">
        <f>'Equity Volume Data'!M145*'Equity Price Data'!P146</f>
        <v>47998.14</v>
      </c>
      <c r="K145" s="30">
        <f>'Equity Volume Data'!N145*'Equity Price Data'!Q146</f>
        <v>10438</v>
      </c>
      <c r="L145" s="30">
        <f>'Equity Volume Data'!O145*'Equity Price Data'!R146</f>
        <v>19270.46</v>
      </c>
      <c r="M145" s="30">
        <f>'Equity Volume Data'!P145*'Equity Price Data'!S146</f>
        <v>0</v>
      </c>
      <c r="N145" s="30">
        <f>'Equity Volume Data'!Q145*'Equity Price Data'!T146</f>
        <v>5919.2</v>
      </c>
      <c r="O145" s="30">
        <f>'Equity Volume Data'!R145*'Equity Price Data'!U146</f>
        <v>59247</v>
      </c>
      <c r="P145" s="30">
        <f>'Equity Volume Data'!S145*'Equity Price Data'!V146</f>
        <v>25495.38</v>
      </c>
      <c r="Q145" s="30">
        <f>'Equity Volume Data'!T145*'Equity Price Data'!W146</f>
        <v>22566</v>
      </c>
      <c r="R145" s="30">
        <f>'Equity Volume Data'!U145*'Equity Price Data'!X146</f>
        <v>12746.4</v>
      </c>
      <c r="S145" s="30">
        <f>'Equity Volume Data'!V145*'Equity Price Data'!Y146</f>
        <v>28389.68</v>
      </c>
      <c r="T145" s="30">
        <f>'Equity Volume Data'!W145*'Equity Price Data'!Z146</f>
        <v>11692.5</v>
      </c>
      <c r="U145" s="30">
        <f>'Equity Volume Data'!X145*'Equity Price Data'!AA146</f>
        <v>16610.88</v>
      </c>
      <c r="V145" s="30">
        <f>'Equity Volume Data'!Y145*'Equity Price Data'!AB146</f>
        <v>15536.5</v>
      </c>
      <c r="W145" s="30">
        <f>'Equity Volume Data'!Z145*'Equity Price Data'!AC146</f>
        <v>13184.52</v>
      </c>
      <c r="X145" s="30">
        <f>'Equity Volume Data'!AA145*'Equity Price Data'!AD146</f>
        <v>0</v>
      </c>
      <c r="Y145" s="30">
        <f>'Equity Volume Data'!AB145*'Equity Price Data'!AE146</f>
        <v>6050.33</v>
      </c>
      <c r="Z145" s="30">
        <f>'Equity Volume Data'!AC145*'Equity Price Data'!AF146</f>
        <v>9543</v>
      </c>
      <c r="AA145" s="30">
        <f>'Equity Volume Data'!AD145*'Equity Price Data'!AG146</f>
        <v>19512.6</v>
      </c>
      <c r="AB145" s="30">
        <f>'Equity Volume Data'!AE145*'Equity Price Data'!AH146</f>
        <v>16765.2</v>
      </c>
      <c r="AC145" s="30">
        <f>'Equity Volume Data'!AF145*'Equity Price Data'!AI146</f>
        <v>17820.8</v>
      </c>
      <c r="AD145" s="30">
        <f>'Equity Volume Data'!AG145*'Equity Price Data'!AJ146</f>
        <v>12381.75</v>
      </c>
      <c r="AE145" s="30">
        <f>'Equity Volume Data'!AH145*'Equity Price Data'!AK146</f>
        <v>10678</v>
      </c>
      <c r="AF145" s="30">
        <f>'Equity Volume Data'!AI145*'Equity Price Data'!AL146</f>
        <v>19144.95</v>
      </c>
      <c r="AG145" s="30">
        <f>'Equity Volume Data'!AJ145*'Equity Price Data'!AM146</f>
        <v>35808</v>
      </c>
      <c r="AH145" s="30">
        <f>'Equity Volume Data'!AK145*'Equity Price Data'!AN146</f>
        <v>42654</v>
      </c>
      <c r="AI145" s="30">
        <f>'Equity Volume Data'!AL145*'Equity Price Data'!AO146</f>
        <v>21483</v>
      </c>
      <c r="AJ145" s="30">
        <f>'Equity Volume Data'!AM145*'Equity Price Data'!AP146</f>
        <v>20328.1</v>
      </c>
      <c r="AK145" s="30">
        <f>'Equity Volume Data'!AN145*'Equity Price Data'!AQ146</f>
        <v>25739.55</v>
      </c>
      <c r="AL145" s="30">
        <f>'Equity Volume Data'!AO145*'Equity Price Data'!AR146</f>
        <v>39276.8</v>
      </c>
      <c r="AM145" s="30">
        <f>'Equity Volume Data'!AP145*'Equity Price Data'!AS146</f>
        <v>36223.6</v>
      </c>
      <c r="AN145" s="30">
        <f>'Equity Volume Data'!AQ145*'Equity Price Data'!AT146</f>
        <v>12068.35</v>
      </c>
      <c r="AO145" s="30">
        <f>'Equity Volume Data'!AR145*'Equity Price Data'!AU146</f>
        <v>27797.7</v>
      </c>
      <c r="AP145" s="30">
        <f>'Equity Volume Data'!AS145*'Equity Price Data'!AV146</f>
        <v>21035</v>
      </c>
      <c r="AQ145" s="30">
        <f>'Equity Volume Data'!AT145*'Equity Price Data'!AW146</f>
        <v>18893.6</v>
      </c>
      <c r="AR145" s="30">
        <f>'Equity Volume Data'!AU145*'Equity Price Data'!AX146</f>
        <v>0</v>
      </c>
      <c r="AS145" s="30">
        <f>'Equity Volume Data'!AV145*'Equity Price Data'!AY146</f>
        <v>53114.4</v>
      </c>
      <c r="AT145" s="30">
        <f>'Equity Volume Data'!AW145*'Equity Price Data'!AZ146</f>
        <v>15240</v>
      </c>
      <c r="AU145" s="30">
        <f>'Equity Volume Data'!AX145*'Equity Price Data'!BA146</f>
        <v>0</v>
      </c>
      <c r="AV145" s="30">
        <f>'Equity Volume Data'!AY145*'Equity Price Data'!BB146</f>
        <v>20598.52</v>
      </c>
      <c r="AW145" s="30">
        <f>'Equity Volume Data'!AZ145*'Equity Price Data'!BC146</f>
        <v>3964.8</v>
      </c>
      <c r="AX145" s="30">
        <f>'Equity Volume Data'!BA145*'Equity Price Data'!BD146</f>
        <v>4749.6</v>
      </c>
      <c r="AY145" s="30">
        <f>'Equity Volume Data'!BB145*'Equity Price Data'!BE146</f>
        <v>28891.74</v>
      </c>
      <c r="AZ145" s="30">
        <f>'Equity Volume Data'!BC145*'Equity Price Data'!BF146</f>
        <v>13357.5</v>
      </c>
      <c r="BA145" s="30">
        <f>'Equity Volume Data'!BD145*'Equity Price Data'!BG146</f>
        <v>4883</v>
      </c>
      <c r="BB145" s="30">
        <f>'Equity Volume Data'!BE145*'Equity Price Data'!BH146</f>
        <v>9481.6</v>
      </c>
      <c r="BC145" s="30">
        <f>'Equity Volume Data'!BF145*'Equity Price Data'!BI146</f>
        <v>0</v>
      </c>
      <c r="BD145" s="30">
        <f>'Equity Volume Data'!BG145*'Equity Price Data'!BJ146</f>
        <v>51959.22</v>
      </c>
      <c r="BE145" s="30">
        <f>'Equity Volume Data'!BH145*'Equity Price Data'!BK146</f>
        <v>11979.78</v>
      </c>
      <c r="BF145" s="30">
        <f>'Equity Volume Data'!BI145*'Equity Price Data'!BL146</f>
        <v>6976</v>
      </c>
      <c r="BG145" s="30">
        <f>'Equity Volume Data'!BJ145*'Equity Price Data'!BM146</f>
        <v>18417.5</v>
      </c>
      <c r="BH145" s="30">
        <f>'Equity Volume Data'!BK145*'Equity Price Data'!BN146</f>
        <v>0</v>
      </c>
      <c r="BI145" s="30">
        <f>'Equity Volume Data'!BL145*'Equity Price Data'!BO146</f>
        <v>37540.8</v>
      </c>
      <c r="BJ145" s="30">
        <f>'Equity Volume Data'!BM145*'Equity Price Data'!BP146</f>
        <v>43422.75</v>
      </c>
      <c r="BK145" s="30">
        <f>'Equity Volume Data'!BN145*'Equity Price Data'!BQ146</f>
        <v>88424.14</v>
      </c>
      <c r="BL145" s="30">
        <f>'Equity Volume Data'!BO145*'Equity Price Data'!BR146</f>
        <v>605.83</v>
      </c>
      <c r="BM145" s="30">
        <f>'Equity Volume Data'!BP145*'Equity Price Data'!BS146</f>
        <v>10754.4</v>
      </c>
      <c r="BN145" s="30">
        <f>'Equity Volume Data'!BQ145*'Equity Price Data'!BT146</f>
        <v>21902</v>
      </c>
      <c r="BO145" s="30">
        <f>'Equity Volume Data'!BR145*'Equity Price Data'!BU146</f>
        <v>53374.07</v>
      </c>
    </row>
    <row r="146">
      <c r="A146" s="25">
        <f>'Equity Price Data'!A147</f>
        <v>45632.66667</v>
      </c>
      <c r="B146" s="29">
        <f t="shared" si="1"/>
        <v>1388422.52</v>
      </c>
      <c r="C146" s="30">
        <f>'Equity Volume Data'!F146*'Equity Price Data'!I147</f>
        <v>7188.48</v>
      </c>
      <c r="D146" s="30">
        <f>'Equity Volume Data'!G146*'Equity Price Data'!J147</f>
        <v>59027.8</v>
      </c>
      <c r="E146" s="30">
        <f>'Equity Volume Data'!H146*'Equity Price Data'!K147</f>
        <v>14560.7</v>
      </c>
      <c r="F146" s="30">
        <f>'Equity Volume Data'!I146*'Equity Price Data'!L147</f>
        <v>62167.04</v>
      </c>
      <c r="G146" s="30">
        <f>'Equity Volume Data'!J146*'Equity Price Data'!M147</f>
        <v>14360.66</v>
      </c>
      <c r="H146" s="30">
        <f>'Equity Volume Data'!K146*'Equity Price Data'!N147</f>
        <v>15135.88</v>
      </c>
      <c r="I146" s="30">
        <f>'Equity Volume Data'!L146*'Equity Price Data'!O147</f>
        <v>13540</v>
      </c>
      <c r="J146" s="30">
        <f>'Equity Volume Data'!M146*'Equity Price Data'!P147</f>
        <v>47991</v>
      </c>
      <c r="K146" s="30">
        <f>'Equity Volume Data'!N146*'Equity Price Data'!Q147</f>
        <v>10280</v>
      </c>
      <c r="L146" s="30">
        <f>'Equity Volume Data'!O146*'Equity Price Data'!R147</f>
        <v>19091.38</v>
      </c>
      <c r="M146" s="30">
        <f>'Equity Volume Data'!P146*'Equity Price Data'!S147</f>
        <v>0</v>
      </c>
      <c r="N146" s="30">
        <f>'Equity Volume Data'!Q146*'Equity Price Data'!T147</f>
        <v>5893.6</v>
      </c>
      <c r="O146" s="30">
        <f>'Equity Volume Data'!R146*'Equity Price Data'!U147</f>
        <v>59254.5</v>
      </c>
      <c r="P146" s="30">
        <f>'Equity Volume Data'!S146*'Equity Price Data'!V147</f>
        <v>25462.02</v>
      </c>
      <c r="Q146" s="30">
        <f>'Equity Volume Data'!T146*'Equity Price Data'!W147</f>
        <v>22418.4</v>
      </c>
      <c r="R146" s="30">
        <f>'Equity Volume Data'!U146*'Equity Price Data'!X147</f>
        <v>12419.2</v>
      </c>
      <c r="S146" s="30">
        <f>'Equity Volume Data'!V146*'Equity Price Data'!Y147</f>
        <v>27967.28</v>
      </c>
      <c r="T146" s="30">
        <f>'Equity Volume Data'!W146*'Equity Price Data'!Z147</f>
        <v>11757.5</v>
      </c>
      <c r="U146" s="30">
        <f>'Equity Volume Data'!X146*'Equity Price Data'!AA147</f>
        <v>16507.92</v>
      </c>
      <c r="V146" s="30">
        <f>'Equity Volume Data'!Y146*'Equity Price Data'!AB147</f>
        <v>15266.02</v>
      </c>
      <c r="W146" s="30">
        <f>'Equity Volume Data'!Z146*'Equity Price Data'!AC147</f>
        <v>13295.61</v>
      </c>
      <c r="X146" s="30">
        <f>'Equity Volume Data'!AA146*'Equity Price Data'!AD147</f>
        <v>0</v>
      </c>
      <c r="Y146" s="30">
        <f>'Equity Volume Data'!AB146*'Equity Price Data'!AE147</f>
        <v>5974.67</v>
      </c>
      <c r="Z146" s="30">
        <f>'Equity Volume Data'!AC146*'Equity Price Data'!AF147</f>
        <v>9543</v>
      </c>
      <c r="AA146" s="30">
        <f>'Equity Volume Data'!AD146*'Equity Price Data'!AG147</f>
        <v>19306.9</v>
      </c>
      <c r="AB146" s="30">
        <f>'Equity Volume Data'!AE146*'Equity Price Data'!AH147</f>
        <v>16840.8</v>
      </c>
      <c r="AC146" s="30">
        <f>'Equity Volume Data'!AF146*'Equity Price Data'!AI147</f>
        <v>18337.6</v>
      </c>
      <c r="AD146" s="30">
        <f>'Equity Volume Data'!AG146*'Equity Price Data'!AJ147</f>
        <v>12231</v>
      </c>
      <c r="AE146" s="30">
        <f>'Equity Volume Data'!AH146*'Equity Price Data'!AK147</f>
        <v>10682</v>
      </c>
      <c r="AF146" s="30">
        <f>'Equity Volume Data'!AI146*'Equity Price Data'!AL147</f>
        <v>18886.65</v>
      </c>
      <c r="AG146" s="30">
        <f>'Equity Volume Data'!AJ146*'Equity Price Data'!AM147</f>
        <v>35980.8</v>
      </c>
      <c r="AH146" s="30">
        <f>'Equity Volume Data'!AK146*'Equity Price Data'!AN147</f>
        <v>43137</v>
      </c>
      <c r="AI146" s="30">
        <f>'Equity Volume Data'!AL146*'Equity Price Data'!AO147</f>
        <v>21544.25</v>
      </c>
      <c r="AJ146" s="30">
        <f>'Equity Volume Data'!AM146*'Equity Price Data'!AP147</f>
        <v>20270.9</v>
      </c>
      <c r="AK146" s="30">
        <f>'Equity Volume Data'!AN146*'Equity Price Data'!AQ147</f>
        <v>25869.27</v>
      </c>
      <c r="AL146" s="30">
        <f>'Equity Volume Data'!AO146*'Equity Price Data'!AR147</f>
        <v>39577.6</v>
      </c>
      <c r="AM146" s="30">
        <f>'Equity Volume Data'!AP146*'Equity Price Data'!AS147</f>
        <v>35912.1</v>
      </c>
      <c r="AN146" s="30">
        <f>'Equity Volume Data'!AQ146*'Equity Price Data'!AT147</f>
        <v>13986</v>
      </c>
      <c r="AO146" s="30">
        <f>'Equity Volume Data'!AR146*'Equity Price Data'!AU147</f>
        <v>27669.6</v>
      </c>
      <c r="AP146" s="30">
        <f>'Equity Volume Data'!AS146*'Equity Price Data'!AV147</f>
        <v>21002.5</v>
      </c>
      <c r="AQ146" s="30">
        <f>'Equity Volume Data'!AT146*'Equity Price Data'!AW147</f>
        <v>18748.4</v>
      </c>
      <c r="AR146" s="30">
        <f>'Equity Volume Data'!AU146*'Equity Price Data'!AX147</f>
        <v>0</v>
      </c>
      <c r="AS146" s="30">
        <f>'Equity Volume Data'!AV146*'Equity Price Data'!AY147</f>
        <v>53228.4</v>
      </c>
      <c r="AT146" s="30">
        <f>'Equity Volume Data'!AW146*'Equity Price Data'!AZ147</f>
        <v>15048</v>
      </c>
      <c r="AU146" s="30">
        <f>'Equity Volume Data'!AX146*'Equity Price Data'!BA147</f>
        <v>0</v>
      </c>
      <c r="AV146" s="30">
        <f>'Equity Volume Data'!AY146*'Equity Price Data'!BB147</f>
        <v>20226.48</v>
      </c>
      <c r="AW146" s="30">
        <f>'Equity Volume Data'!AZ146*'Equity Price Data'!BC147</f>
        <v>3992</v>
      </c>
      <c r="AX146" s="30">
        <f>'Equity Volume Data'!BA146*'Equity Price Data'!BD147</f>
        <v>4611.2</v>
      </c>
      <c r="AY146" s="30">
        <f>'Equity Volume Data'!BB146*'Equity Price Data'!BE147</f>
        <v>30688.68</v>
      </c>
      <c r="AZ146" s="30">
        <f>'Equity Volume Data'!BC146*'Equity Price Data'!BF147</f>
        <v>13482</v>
      </c>
      <c r="BA146" s="30">
        <f>'Equity Volume Data'!BD146*'Equity Price Data'!BG147</f>
        <v>4888.7</v>
      </c>
      <c r="BB146" s="30">
        <f>'Equity Volume Data'!BE146*'Equity Price Data'!BH147</f>
        <v>9439.2</v>
      </c>
      <c r="BC146" s="30">
        <f>'Equity Volume Data'!BF146*'Equity Price Data'!BI147</f>
        <v>0</v>
      </c>
      <c r="BD146" s="30">
        <f>'Equity Volume Data'!BG146*'Equity Price Data'!BJ147</f>
        <v>51925.14</v>
      </c>
      <c r="BE146" s="30">
        <f>'Equity Volume Data'!BH146*'Equity Price Data'!BK147</f>
        <v>12175.28</v>
      </c>
      <c r="BF146" s="30">
        <f>'Equity Volume Data'!BI146*'Equity Price Data'!BL147</f>
        <v>7038</v>
      </c>
      <c r="BG146" s="30">
        <f>'Equity Volume Data'!BJ146*'Equity Price Data'!BM147</f>
        <v>18976.28</v>
      </c>
      <c r="BH146" s="30">
        <f>'Equity Volume Data'!BK146*'Equity Price Data'!BN147</f>
        <v>0</v>
      </c>
      <c r="BI146" s="30">
        <f>'Equity Volume Data'!BL146*'Equity Price Data'!BO147</f>
        <v>37371.2</v>
      </c>
      <c r="BJ146" s="30">
        <f>'Equity Volume Data'!BM146*'Equity Price Data'!BP147</f>
        <v>41221.5</v>
      </c>
      <c r="BK146" s="30">
        <f>'Equity Volume Data'!BN146*'Equity Price Data'!BQ147</f>
        <v>88442.16</v>
      </c>
      <c r="BL146" s="30">
        <f>'Equity Volume Data'!BO146*'Equity Price Data'!BR147</f>
        <v>597.84</v>
      </c>
      <c r="BM146" s="30">
        <f>'Equity Volume Data'!BP146*'Equity Price Data'!BS147</f>
        <v>10665.12</v>
      </c>
      <c r="BN146" s="30">
        <f>'Equity Volume Data'!BQ146*'Equity Price Data'!BT147</f>
        <v>21945.24</v>
      </c>
      <c r="BO146" s="30">
        <f>'Equity Volume Data'!BR146*'Equity Price Data'!BU147</f>
        <v>53374.07</v>
      </c>
    </row>
    <row r="147">
      <c r="A147" s="25">
        <f>'Equity Price Data'!A148</f>
        <v>45635.66667</v>
      </c>
      <c r="B147" s="29">
        <f t="shared" si="1"/>
        <v>1379177.79</v>
      </c>
      <c r="C147" s="30">
        <f>'Equity Volume Data'!F147*'Equity Price Data'!I148</f>
        <v>7123.09</v>
      </c>
      <c r="D147" s="30">
        <f>'Equity Volume Data'!G147*'Equity Price Data'!J148</f>
        <v>58783.4</v>
      </c>
      <c r="E147" s="30">
        <f>'Equity Volume Data'!H147*'Equity Price Data'!K148</f>
        <v>14379.2</v>
      </c>
      <c r="F147" s="30">
        <f>'Equity Volume Data'!I147*'Equity Price Data'!L148</f>
        <v>63168</v>
      </c>
      <c r="G147" s="30">
        <f>'Equity Volume Data'!J147*'Equity Price Data'!M148</f>
        <v>14264.38</v>
      </c>
      <c r="H147" s="30">
        <f>'Equity Volume Data'!K147*'Equity Price Data'!N148</f>
        <v>15154.68</v>
      </c>
      <c r="I147" s="30">
        <f>'Equity Volume Data'!L147*'Equity Price Data'!O148</f>
        <v>13530</v>
      </c>
      <c r="J147" s="30">
        <f>'Equity Volume Data'!M147*'Equity Price Data'!P148</f>
        <v>47314.74</v>
      </c>
      <c r="K147" s="30">
        <f>'Equity Volume Data'!N147*'Equity Price Data'!Q148</f>
        <v>10750</v>
      </c>
      <c r="L147" s="30">
        <f>'Equity Volume Data'!O147*'Equity Price Data'!R148</f>
        <v>18931.66</v>
      </c>
      <c r="M147" s="30">
        <f>'Equity Volume Data'!P147*'Equity Price Data'!S148</f>
        <v>0</v>
      </c>
      <c r="N147" s="30">
        <f>'Equity Volume Data'!Q147*'Equity Price Data'!T148</f>
        <v>5856</v>
      </c>
      <c r="O147" s="30">
        <f>'Equity Volume Data'!R147*'Equity Price Data'!U148</f>
        <v>59889</v>
      </c>
      <c r="P147" s="30">
        <f>'Equity Volume Data'!S147*'Equity Price Data'!V148</f>
        <v>23985.84</v>
      </c>
      <c r="Q147" s="30">
        <f>'Equity Volume Data'!T147*'Equity Price Data'!W148</f>
        <v>22546.8</v>
      </c>
      <c r="R147" s="30">
        <f>'Equity Volume Data'!U147*'Equity Price Data'!X148</f>
        <v>12566.4</v>
      </c>
      <c r="S147" s="30">
        <f>'Equity Volume Data'!V147*'Equity Price Data'!Y148</f>
        <v>28085.2</v>
      </c>
      <c r="T147" s="30">
        <f>'Equity Volume Data'!W147*'Equity Price Data'!Z148</f>
        <v>11492.5</v>
      </c>
      <c r="U147" s="30">
        <f>'Equity Volume Data'!X147*'Equity Price Data'!AA148</f>
        <v>16526.4</v>
      </c>
      <c r="V147" s="30">
        <f>'Equity Volume Data'!Y147*'Equity Price Data'!AB148</f>
        <v>15259.58</v>
      </c>
      <c r="W147" s="30">
        <f>'Equity Volume Data'!Z147*'Equity Price Data'!AC148</f>
        <v>12983.73</v>
      </c>
      <c r="X147" s="30">
        <f>'Equity Volume Data'!AA147*'Equity Price Data'!AD148</f>
        <v>0</v>
      </c>
      <c r="Y147" s="30">
        <f>'Equity Volume Data'!AB147*'Equity Price Data'!AE148</f>
        <v>5950.62</v>
      </c>
      <c r="Z147" s="30">
        <f>'Equity Volume Data'!AC147*'Equity Price Data'!AF148</f>
        <v>9771</v>
      </c>
      <c r="AA147" s="30">
        <f>'Equity Volume Data'!AD147*'Equity Price Data'!AG148</f>
        <v>19193</v>
      </c>
      <c r="AB147" s="30">
        <f>'Equity Volume Data'!AE147*'Equity Price Data'!AH148</f>
        <v>16771.8</v>
      </c>
      <c r="AC147" s="30">
        <f>'Equity Volume Data'!AF147*'Equity Price Data'!AI148</f>
        <v>17939.2</v>
      </c>
      <c r="AD147" s="30">
        <f>'Equity Volume Data'!AG147*'Equity Price Data'!AJ148</f>
        <v>12130.65</v>
      </c>
      <c r="AE147" s="30">
        <f>'Equity Volume Data'!AH147*'Equity Price Data'!AK148</f>
        <v>10542</v>
      </c>
      <c r="AF147" s="30">
        <f>'Equity Volume Data'!AI147*'Equity Price Data'!AL148</f>
        <v>18570.95</v>
      </c>
      <c r="AG147" s="30">
        <f>'Equity Volume Data'!AJ147*'Equity Price Data'!AM148</f>
        <v>35647.2</v>
      </c>
      <c r="AH147" s="30">
        <f>'Equity Volume Data'!AK147*'Equity Price Data'!AN148</f>
        <v>42918</v>
      </c>
      <c r="AI147" s="30">
        <f>'Equity Volume Data'!AL147*'Equity Price Data'!AO148</f>
        <v>21378</v>
      </c>
      <c r="AJ147" s="30">
        <f>'Equity Volume Data'!AM147*'Equity Price Data'!AP148</f>
        <v>20289.1</v>
      </c>
      <c r="AK147" s="30">
        <f>'Equity Volume Data'!AN147*'Equity Price Data'!AQ148</f>
        <v>25326.42</v>
      </c>
      <c r="AL147" s="30">
        <f>'Equity Volume Data'!AO147*'Equity Price Data'!AR148</f>
        <v>39009.6</v>
      </c>
      <c r="AM147" s="30">
        <f>'Equity Volume Data'!AP147*'Equity Price Data'!AS148</f>
        <v>35700.7</v>
      </c>
      <c r="AN147" s="30">
        <f>'Equity Volume Data'!AQ147*'Equity Price Data'!AT148</f>
        <v>14167.65</v>
      </c>
      <c r="AO147" s="30">
        <f>'Equity Volume Data'!AR147*'Equity Price Data'!AU148</f>
        <v>27268.22</v>
      </c>
      <c r="AP147" s="30">
        <f>'Equity Volume Data'!AS147*'Equity Price Data'!AV148</f>
        <v>20990</v>
      </c>
      <c r="AQ147" s="30">
        <f>'Equity Volume Data'!AT147*'Equity Price Data'!AW148</f>
        <v>18101.6</v>
      </c>
      <c r="AR147" s="30">
        <f>'Equity Volume Data'!AU147*'Equity Price Data'!AX148</f>
        <v>0</v>
      </c>
      <c r="AS147" s="30">
        <f>'Equity Volume Data'!AV147*'Equity Price Data'!AY148</f>
        <v>53522.4</v>
      </c>
      <c r="AT147" s="30">
        <f>'Equity Volume Data'!AW147*'Equity Price Data'!AZ148</f>
        <v>14940</v>
      </c>
      <c r="AU147" s="30">
        <f>'Equity Volume Data'!AX147*'Equity Price Data'!BA148</f>
        <v>0</v>
      </c>
      <c r="AV147" s="30">
        <f>'Equity Volume Data'!AY147*'Equity Price Data'!BB148</f>
        <v>19711.02</v>
      </c>
      <c r="AW147" s="30">
        <f>'Equity Volume Data'!AZ147*'Equity Price Data'!BC148</f>
        <v>4034.8</v>
      </c>
      <c r="AX147" s="30">
        <f>'Equity Volume Data'!BA147*'Equity Price Data'!BD148</f>
        <v>4401.6</v>
      </c>
      <c r="AY147" s="30">
        <f>'Equity Volume Data'!BB147*'Equity Price Data'!BE148</f>
        <v>29128.92</v>
      </c>
      <c r="AZ147" s="30">
        <f>'Equity Volume Data'!BC147*'Equity Price Data'!BF148</f>
        <v>13500</v>
      </c>
      <c r="BA147" s="30">
        <f>'Equity Volume Data'!BD147*'Equity Price Data'!BG148</f>
        <v>4959</v>
      </c>
      <c r="BB147" s="30">
        <f>'Equity Volume Data'!BE147*'Equity Price Data'!BH148</f>
        <v>9326.4</v>
      </c>
      <c r="BC147" s="30">
        <f>'Equity Volume Data'!BF147*'Equity Price Data'!BI148</f>
        <v>0</v>
      </c>
      <c r="BD147" s="30">
        <f>'Equity Volume Data'!BG147*'Equity Price Data'!BJ148</f>
        <v>48747.18</v>
      </c>
      <c r="BE147" s="30">
        <f>'Equity Volume Data'!BH147*'Equity Price Data'!BK148</f>
        <v>12356.29</v>
      </c>
      <c r="BF147" s="30">
        <f>'Equity Volume Data'!BI147*'Equity Price Data'!BL148</f>
        <v>7080.4</v>
      </c>
      <c r="BG147" s="30">
        <f>'Equity Volume Data'!BJ147*'Equity Price Data'!BM148</f>
        <v>19415.52</v>
      </c>
      <c r="BH147" s="30">
        <f>'Equity Volume Data'!BK147*'Equity Price Data'!BN148</f>
        <v>0</v>
      </c>
      <c r="BI147" s="30">
        <f>'Equity Volume Data'!BL147*'Equity Price Data'!BO148</f>
        <v>37366.4</v>
      </c>
      <c r="BJ147" s="30">
        <f>'Equity Volume Data'!BM147*'Equity Price Data'!BP148</f>
        <v>42046.5</v>
      </c>
      <c r="BK147" s="30">
        <f>'Equity Volume Data'!BN147*'Equity Price Data'!BQ148</f>
        <v>88424.14</v>
      </c>
      <c r="BL147" s="30">
        <f>'Equity Volume Data'!BO147*'Equity Price Data'!BR148</f>
        <v>601.6</v>
      </c>
      <c r="BM147" s="30">
        <f>'Equity Volume Data'!BP147*'Equity Price Data'!BS148</f>
        <v>10438.56</v>
      </c>
      <c r="BN147" s="30">
        <f>'Equity Volume Data'!BQ147*'Equity Price Data'!BT148</f>
        <v>21546.68</v>
      </c>
      <c r="BO147" s="30">
        <f>'Equity Volume Data'!BR147*'Equity Price Data'!BU148</f>
        <v>53374.07</v>
      </c>
    </row>
    <row r="148">
      <c r="A148" s="25">
        <f>'Equity Price Data'!A149</f>
        <v>45636.66667</v>
      </c>
      <c r="B148" s="29">
        <f t="shared" si="1"/>
        <v>1373671.15</v>
      </c>
      <c r="C148" s="30">
        <f>'Equity Volume Data'!F148*'Equity Price Data'!I149</f>
        <v>7111.65</v>
      </c>
      <c r="D148" s="30">
        <f>'Equity Volume Data'!G148*'Equity Price Data'!J149</f>
        <v>58510.4</v>
      </c>
      <c r="E148" s="30">
        <f>'Equity Volume Data'!H148*'Equity Price Data'!K149</f>
        <v>14407.8</v>
      </c>
      <c r="F148" s="30">
        <f>'Equity Volume Data'!I148*'Equity Price Data'!L149</f>
        <v>63429.12</v>
      </c>
      <c r="G148" s="30">
        <f>'Equity Volume Data'!J148*'Equity Price Data'!M149</f>
        <v>13958.11</v>
      </c>
      <c r="H148" s="30">
        <f>'Equity Volume Data'!K148*'Equity Price Data'!N149</f>
        <v>15156.56</v>
      </c>
      <c r="I148" s="30">
        <f>'Equity Volume Data'!L148*'Equity Price Data'!O149</f>
        <v>13300</v>
      </c>
      <c r="J148" s="30">
        <f>'Equity Volume Data'!M148*'Equity Price Data'!P149</f>
        <v>47173.98</v>
      </c>
      <c r="K148" s="30">
        <f>'Equity Volume Data'!N148*'Equity Price Data'!Q149</f>
        <v>10680</v>
      </c>
      <c r="L148" s="30">
        <f>'Equity Volume Data'!O148*'Equity Price Data'!R149</f>
        <v>18914.72</v>
      </c>
      <c r="M148" s="30">
        <f>'Equity Volume Data'!P148*'Equity Price Data'!S149</f>
        <v>0</v>
      </c>
      <c r="N148" s="30">
        <f>'Equity Volume Data'!Q148*'Equity Price Data'!T149</f>
        <v>5824.8</v>
      </c>
      <c r="O148" s="30">
        <f>'Equity Volume Data'!R148*'Equity Price Data'!U149</f>
        <v>58258.5</v>
      </c>
      <c r="P148" s="30">
        <f>'Equity Volume Data'!S148*'Equity Price Data'!V149</f>
        <v>23527.14</v>
      </c>
      <c r="Q148" s="30">
        <f>'Equity Volume Data'!T148*'Equity Price Data'!W149</f>
        <v>22422</v>
      </c>
      <c r="R148" s="30">
        <f>'Equity Volume Data'!U148*'Equity Price Data'!X149</f>
        <v>12560</v>
      </c>
      <c r="S148" s="30">
        <f>'Equity Volume Data'!V148*'Equity Price Data'!Y149</f>
        <v>27400.56</v>
      </c>
      <c r="T148" s="30">
        <f>'Equity Volume Data'!W148*'Equity Price Data'!Z149</f>
        <v>11600</v>
      </c>
      <c r="U148" s="30">
        <f>'Equity Volume Data'!X148*'Equity Price Data'!AA149</f>
        <v>16608.24</v>
      </c>
      <c r="V148" s="30">
        <f>'Equity Volume Data'!Y148*'Equity Price Data'!AB149</f>
        <v>15245.09</v>
      </c>
      <c r="W148" s="30">
        <f>'Equity Volume Data'!Z148*'Equity Price Data'!AC149</f>
        <v>12813.99</v>
      </c>
      <c r="X148" s="30">
        <f>'Equity Volume Data'!AA148*'Equity Price Data'!AD149</f>
        <v>0</v>
      </c>
      <c r="Y148" s="30">
        <f>'Equity Volume Data'!AB148*'Equity Price Data'!AE149</f>
        <v>5904.08</v>
      </c>
      <c r="Z148" s="30">
        <f>'Equity Volume Data'!AC148*'Equity Price Data'!AF149</f>
        <v>9484.5</v>
      </c>
      <c r="AA148" s="30">
        <f>'Equity Volume Data'!AD148*'Equity Price Data'!AG149</f>
        <v>19153.9</v>
      </c>
      <c r="AB148" s="30">
        <f>'Equity Volume Data'!AE148*'Equity Price Data'!AH149</f>
        <v>16759.2</v>
      </c>
      <c r="AC148" s="30">
        <f>'Equity Volume Data'!AF148*'Equity Price Data'!AI149</f>
        <v>17942.4</v>
      </c>
      <c r="AD148" s="30">
        <f>'Equity Volume Data'!AG148*'Equity Price Data'!AJ149</f>
        <v>12169.35</v>
      </c>
      <c r="AE148" s="30">
        <f>'Equity Volume Data'!AH148*'Equity Price Data'!AK149</f>
        <v>10548</v>
      </c>
      <c r="AF148" s="30">
        <f>'Equity Volume Data'!AI148*'Equity Price Data'!AL149</f>
        <v>18929.7</v>
      </c>
      <c r="AG148" s="30">
        <f>'Equity Volume Data'!AJ148*'Equity Price Data'!AM149</f>
        <v>35101.8</v>
      </c>
      <c r="AH148" s="30">
        <f>'Equity Volume Data'!AK148*'Equity Price Data'!AN149</f>
        <v>42259</v>
      </c>
      <c r="AI148" s="30">
        <f>'Equity Volume Data'!AL148*'Equity Price Data'!AO149</f>
        <v>21603.75</v>
      </c>
      <c r="AJ148" s="30">
        <f>'Equity Volume Data'!AM148*'Equity Price Data'!AP149</f>
        <v>20593.3</v>
      </c>
      <c r="AK148" s="30">
        <f>'Equity Volume Data'!AN148*'Equity Price Data'!AQ149</f>
        <v>25290.23</v>
      </c>
      <c r="AL148" s="30">
        <f>'Equity Volume Data'!AO148*'Equity Price Data'!AR149</f>
        <v>38857.6</v>
      </c>
      <c r="AM148" s="30">
        <f>'Equity Volume Data'!AP148*'Equity Price Data'!AS149</f>
        <v>35905.8</v>
      </c>
      <c r="AN148" s="30">
        <f>'Equity Volume Data'!AQ148*'Equity Price Data'!AT149</f>
        <v>13898.5</v>
      </c>
      <c r="AO148" s="30">
        <f>'Equity Volume Data'!AR148*'Equity Price Data'!AU149</f>
        <v>26849.76</v>
      </c>
      <c r="AP148" s="30">
        <f>'Equity Volume Data'!AS148*'Equity Price Data'!AV149</f>
        <v>20895</v>
      </c>
      <c r="AQ148" s="30">
        <f>'Equity Volume Data'!AT148*'Equity Price Data'!AW149</f>
        <v>17982.8</v>
      </c>
      <c r="AR148" s="30">
        <f>'Equity Volume Data'!AU148*'Equity Price Data'!AX149</f>
        <v>0</v>
      </c>
      <c r="AS148" s="30">
        <f>'Equity Volume Data'!AV148*'Equity Price Data'!AY149</f>
        <v>53199.6</v>
      </c>
      <c r="AT148" s="30">
        <f>'Equity Volume Data'!AW148*'Equity Price Data'!AZ149</f>
        <v>14828</v>
      </c>
      <c r="AU148" s="30">
        <f>'Equity Volume Data'!AX148*'Equity Price Data'!BA149</f>
        <v>0</v>
      </c>
      <c r="AV148" s="30">
        <f>'Equity Volume Data'!AY148*'Equity Price Data'!BB149</f>
        <v>19179.94</v>
      </c>
      <c r="AW148" s="30">
        <f>'Equity Volume Data'!AZ148*'Equity Price Data'!BC149</f>
        <v>4002.4</v>
      </c>
      <c r="AX148" s="30">
        <f>'Equity Volume Data'!BA148*'Equity Price Data'!BD149</f>
        <v>4414.4</v>
      </c>
      <c r="AY148" s="30">
        <f>'Equity Volume Data'!BB148*'Equity Price Data'!BE149</f>
        <v>28497.78</v>
      </c>
      <c r="AZ148" s="30">
        <f>'Equity Volume Data'!BC148*'Equity Price Data'!BF149</f>
        <v>13314</v>
      </c>
      <c r="BA148" s="30">
        <f>'Equity Volume Data'!BD148*'Equity Price Data'!BG149</f>
        <v>4858.3</v>
      </c>
      <c r="BB148" s="30">
        <f>'Equity Volume Data'!BE148*'Equity Price Data'!BH149</f>
        <v>9408.8</v>
      </c>
      <c r="BC148" s="30">
        <f>'Equity Volume Data'!BF148*'Equity Price Data'!BI149</f>
        <v>0</v>
      </c>
      <c r="BD148" s="30">
        <f>'Equity Volume Data'!BG148*'Equity Price Data'!BJ149</f>
        <v>49735.5</v>
      </c>
      <c r="BE148" s="30">
        <f>'Equity Volume Data'!BH148*'Equity Price Data'!BK149</f>
        <v>12324.55</v>
      </c>
      <c r="BF148" s="30">
        <f>'Equity Volume Data'!BI148*'Equity Price Data'!BL149</f>
        <v>7028.4</v>
      </c>
      <c r="BG148" s="30">
        <f>'Equity Volume Data'!BJ148*'Equity Price Data'!BM149</f>
        <v>19179.22</v>
      </c>
      <c r="BH148" s="30">
        <f>'Equity Volume Data'!BK148*'Equity Price Data'!BN149</f>
        <v>0</v>
      </c>
      <c r="BI148" s="30">
        <f>'Equity Volume Data'!BL148*'Equity Price Data'!BO149</f>
        <v>37934.4</v>
      </c>
      <c r="BJ148" s="30">
        <f>'Equity Volume Data'!BM148*'Equity Price Data'!BP149</f>
        <v>42389.25</v>
      </c>
      <c r="BK148" s="30">
        <f>'Equity Volume Data'!BN148*'Equity Price Data'!BQ149</f>
        <v>88442.16</v>
      </c>
      <c r="BL148" s="30">
        <f>'Equity Volume Data'!BO148*'Equity Price Data'!BR149</f>
        <v>587.97</v>
      </c>
      <c r="BM148" s="30">
        <f>'Equity Volume Data'!BP148*'Equity Price Data'!BS149</f>
        <v>10371.84</v>
      </c>
      <c r="BN148" s="30">
        <f>'Equity Volume Data'!BQ148*'Equity Price Data'!BT149</f>
        <v>21569.24</v>
      </c>
      <c r="BO148" s="30">
        <f>'Equity Volume Data'!BR148*'Equity Price Data'!BU149</f>
        <v>53374.07</v>
      </c>
    </row>
    <row r="149">
      <c r="A149" s="25">
        <f>'Equity Price Data'!A150</f>
        <v>45637.66667</v>
      </c>
      <c r="B149" s="29">
        <f t="shared" si="1"/>
        <v>1372462.99</v>
      </c>
      <c r="C149" s="30">
        <f>'Equity Volume Data'!F149*'Equity Price Data'!I150</f>
        <v>7149.09</v>
      </c>
      <c r="D149" s="30">
        <f>'Equity Volume Data'!G149*'Equity Price Data'!J150</f>
        <v>59867.6</v>
      </c>
      <c r="E149" s="30">
        <f>'Equity Volume Data'!H149*'Equity Price Data'!K150</f>
        <v>14337.4</v>
      </c>
      <c r="F149" s="30">
        <f>'Equity Volume Data'!I149*'Equity Price Data'!L150</f>
        <v>63101.44</v>
      </c>
      <c r="G149" s="30">
        <f>'Equity Volume Data'!J149*'Equity Price Data'!M150</f>
        <v>14203.79</v>
      </c>
      <c r="H149" s="30">
        <f>'Equity Volume Data'!K149*'Equity Price Data'!N150</f>
        <v>14977.96</v>
      </c>
      <c r="I149" s="30">
        <f>'Equity Volume Data'!L149*'Equity Price Data'!O150</f>
        <v>13650</v>
      </c>
      <c r="J149" s="30">
        <f>'Equity Volume Data'!M149*'Equity Price Data'!P150</f>
        <v>47061.78</v>
      </c>
      <c r="K149" s="30">
        <f>'Equity Volume Data'!N149*'Equity Price Data'!Q150</f>
        <v>10712</v>
      </c>
      <c r="L149" s="30">
        <f>'Equity Volume Data'!O149*'Equity Price Data'!R150</f>
        <v>19052.66</v>
      </c>
      <c r="M149" s="30">
        <f>'Equity Volume Data'!P149*'Equity Price Data'!S150</f>
        <v>0</v>
      </c>
      <c r="N149" s="30">
        <f>'Equity Volume Data'!Q149*'Equity Price Data'!T150</f>
        <v>5896</v>
      </c>
      <c r="O149" s="30">
        <f>'Equity Volume Data'!R149*'Equity Price Data'!U150</f>
        <v>58330.5</v>
      </c>
      <c r="P149" s="30">
        <f>'Equity Volume Data'!S149*'Equity Price Data'!V150</f>
        <v>24106.77</v>
      </c>
      <c r="Q149" s="30">
        <f>'Equity Volume Data'!T149*'Equity Price Data'!W150</f>
        <v>22572</v>
      </c>
      <c r="R149" s="30">
        <f>'Equity Volume Data'!U149*'Equity Price Data'!X150</f>
        <v>12496.8</v>
      </c>
      <c r="S149" s="30">
        <f>'Equity Volume Data'!V149*'Equity Price Data'!Y150</f>
        <v>25874.64</v>
      </c>
      <c r="T149" s="30">
        <f>'Equity Volume Data'!W149*'Equity Price Data'!Z150</f>
        <v>11557.5</v>
      </c>
      <c r="U149" s="30">
        <f>'Equity Volume Data'!X149*'Equity Price Data'!AA150</f>
        <v>16536.96</v>
      </c>
      <c r="V149" s="30">
        <f>'Equity Volume Data'!Y149*'Equity Price Data'!AB150</f>
        <v>14932.75</v>
      </c>
      <c r="W149" s="30">
        <f>'Equity Volume Data'!Z149*'Equity Price Data'!AC150</f>
        <v>12918.18</v>
      </c>
      <c r="X149" s="30">
        <f>'Equity Volume Data'!AA149*'Equity Price Data'!AD150</f>
        <v>0</v>
      </c>
      <c r="Y149" s="30">
        <f>'Equity Volume Data'!AB149*'Equity Price Data'!AE150</f>
        <v>5945.55</v>
      </c>
      <c r="Z149" s="30">
        <f>'Equity Volume Data'!AC149*'Equity Price Data'!AF150</f>
        <v>9475.5</v>
      </c>
      <c r="AA149" s="30">
        <f>'Equity Volume Data'!AD149*'Equity Price Data'!AG150</f>
        <v>19026.4</v>
      </c>
      <c r="AB149" s="30">
        <f>'Equity Volume Data'!AE149*'Equity Price Data'!AH150</f>
        <v>16869.6</v>
      </c>
      <c r="AC149" s="30">
        <f>'Equity Volume Data'!AF149*'Equity Price Data'!AI150</f>
        <v>17981.2</v>
      </c>
      <c r="AD149" s="30">
        <f>'Equity Volume Data'!AG149*'Equity Price Data'!AJ150</f>
        <v>11944.35</v>
      </c>
      <c r="AE149" s="30">
        <f>'Equity Volume Data'!AH149*'Equity Price Data'!AK150</f>
        <v>10408</v>
      </c>
      <c r="AF149" s="30">
        <f>'Equity Volume Data'!AI149*'Equity Price Data'!AL150</f>
        <v>18937.9</v>
      </c>
      <c r="AG149" s="30">
        <f>'Equity Volume Data'!AJ149*'Equity Price Data'!AM150</f>
        <v>35553.6</v>
      </c>
      <c r="AH149" s="30">
        <f>'Equity Volume Data'!AK149*'Equity Price Data'!AN150</f>
        <v>42138</v>
      </c>
      <c r="AI149" s="30">
        <f>'Equity Volume Data'!AL149*'Equity Price Data'!AO150</f>
        <v>21477.75</v>
      </c>
      <c r="AJ149" s="30">
        <f>'Equity Volume Data'!AM149*'Equity Price Data'!AP150</f>
        <v>20563.4</v>
      </c>
      <c r="AK149" s="30">
        <f>'Equity Volume Data'!AN149*'Equity Price Data'!AQ150</f>
        <v>25549.2</v>
      </c>
      <c r="AL149" s="30">
        <f>'Equity Volume Data'!AO149*'Equity Price Data'!AR150</f>
        <v>38964.8</v>
      </c>
      <c r="AM149" s="30">
        <f>'Equity Volume Data'!AP149*'Equity Price Data'!AS150</f>
        <v>35296.8</v>
      </c>
      <c r="AN149" s="30">
        <f>'Equity Volume Data'!AQ149*'Equity Price Data'!AT150</f>
        <v>13991.25</v>
      </c>
      <c r="AO149" s="30">
        <f>'Equity Volume Data'!AR149*'Equity Price Data'!AU150</f>
        <v>26901</v>
      </c>
      <c r="AP149" s="30">
        <f>'Equity Volume Data'!AS149*'Equity Price Data'!AV150</f>
        <v>20730</v>
      </c>
      <c r="AQ149" s="30">
        <f>'Equity Volume Data'!AT149*'Equity Price Data'!AW150</f>
        <v>17672.6</v>
      </c>
      <c r="AR149" s="30">
        <f>'Equity Volume Data'!AU149*'Equity Price Data'!AX150</f>
        <v>0</v>
      </c>
      <c r="AS149" s="30">
        <f>'Equity Volume Data'!AV149*'Equity Price Data'!AY150</f>
        <v>53878.8</v>
      </c>
      <c r="AT149" s="30">
        <f>'Equity Volume Data'!AW149*'Equity Price Data'!AZ150</f>
        <v>14796</v>
      </c>
      <c r="AU149" s="30">
        <f>'Equity Volume Data'!AX149*'Equity Price Data'!BA150</f>
        <v>0</v>
      </c>
      <c r="AV149" s="30">
        <f>'Equity Volume Data'!AY149*'Equity Price Data'!BB150</f>
        <v>19782.02</v>
      </c>
      <c r="AW149" s="30">
        <f>'Equity Volume Data'!AZ149*'Equity Price Data'!BC150</f>
        <v>3959.6</v>
      </c>
      <c r="AX149" s="30">
        <f>'Equity Volume Data'!BA149*'Equity Price Data'!BD150</f>
        <v>4656</v>
      </c>
      <c r="AY149" s="30">
        <f>'Equity Volume Data'!BB149*'Equity Price Data'!BE150</f>
        <v>29149.02</v>
      </c>
      <c r="AZ149" s="30">
        <f>'Equity Volume Data'!BC149*'Equity Price Data'!BF150</f>
        <v>13612.5</v>
      </c>
      <c r="BA149" s="30">
        <f>'Equity Volume Data'!BD149*'Equity Price Data'!BG150</f>
        <v>4793.7</v>
      </c>
      <c r="BB149" s="30">
        <f>'Equity Volume Data'!BE149*'Equity Price Data'!BH150</f>
        <v>9355.2</v>
      </c>
      <c r="BC149" s="30">
        <f>'Equity Volume Data'!BF149*'Equity Price Data'!BI150</f>
        <v>0</v>
      </c>
      <c r="BD149" s="30">
        <f>'Equity Volume Data'!BG149*'Equity Price Data'!BJ150</f>
        <v>49914.42</v>
      </c>
      <c r="BE149" s="30">
        <f>'Equity Volume Data'!BH149*'Equity Price Data'!BK150</f>
        <v>12290.28</v>
      </c>
      <c r="BF149" s="30">
        <f>'Equity Volume Data'!BI149*'Equity Price Data'!BL150</f>
        <v>7126</v>
      </c>
      <c r="BG149" s="30">
        <f>'Equity Volume Data'!BJ149*'Equity Price Data'!BM150</f>
        <v>18726.08</v>
      </c>
      <c r="BH149" s="30">
        <f>'Equity Volume Data'!BK149*'Equity Price Data'!BN150</f>
        <v>0</v>
      </c>
      <c r="BI149" s="30">
        <f>'Equity Volume Data'!BL149*'Equity Price Data'!BO150</f>
        <v>37404.8</v>
      </c>
      <c r="BJ149" s="30">
        <f>'Equity Volume Data'!BM149*'Equity Price Data'!BP150</f>
        <v>40014.75</v>
      </c>
      <c r="BK149" s="30">
        <f>'Equity Volume Data'!BN149*'Equity Price Data'!BQ150</f>
        <v>88424.14</v>
      </c>
      <c r="BL149" s="30">
        <f>'Equity Volume Data'!BO149*'Equity Price Data'!BR150</f>
        <v>599.25</v>
      </c>
      <c r="BM149" s="30">
        <f>'Equity Volume Data'!BP149*'Equity Price Data'!BS150</f>
        <v>10296.96</v>
      </c>
      <c r="BN149" s="30">
        <f>'Equity Volume Data'!BQ149*'Equity Price Data'!BT150</f>
        <v>21546.68</v>
      </c>
      <c r="BO149" s="30">
        <f>'Equity Volume Data'!BR149*'Equity Price Data'!BU150</f>
        <v>53374.07</v>
      </c>
    </row>
    <row r="150">
      <c r="A150" s="25">
        <f>'Equity Price Data'!A151</f>
        <v>45638.66667</v>
      </c>
      <c r="B150" s="29">
        <f t="shared" si="1"/>
        <v>1363090.83</v>
      </c>
      <c r="C150" s="30">
        <f>'Equity Volume Data'!F150*'Equity Price Data'!I151</f>
        <v>6170.19</v>
      </c>
      <c r="D150" s="30">
        <f>'Equity Volume Data'!G150*'Equity Price Data'!J151</f>
        <v>59532.2</v>
      </c>
      <c r="E150" s="30">
        <f>'Equity Volume Data'!H150*'Equity Price Data'!K151</f>
        <v>14360.5</v>
      </c>
      <c r="F150" s="30">
        <f>'Equity Volume Data'!I150*'Equity Price Data'!L151</f>
        <v>63477.76</v>
      </c>
      <c r="G150" s="30">
        <f>'Equity Volume Data'!J150*'Equity Price Data'!M151</f>
        <v>14033.64</v>
      </c>
      <c r="H150" s="30">
        <f>'Equity Volume Data'!K150*'Equity Price Data'!N151</f>
        <v>14959.16</v>
      </c>
      <c r="I150" s="30">
        <f>'Equity Volume Data'!L150*'Equity Price Data'!O151</f>
        <v>13560</v>
      </c>
      <c r="J150" s="30">
        <f>'Equity Volume Data'!M150*'Equity Price Data'!P151</f>
        <v>46780.26</v>
      </c>
      <c r="K150" s="30">
        <f>'Equity Volume Data'!N150*'Equity Price Data'!Q151</f>
        <v>10490</v>
      </c>
      <c r="L150" s="30">
        <f>'Equity Volume Data'!O150*'Equity Price Data'!R151</f>
        <v>18794.93</v>
      </c>
      <c r="M150" s="30">
        <f>'Equity Volume Data'!P150*'Equity Price Data'!S151</f>
        <v>0</v>
      </c>
      <c r="N150" s="30">
        <f>'Equity Volume Data'!Q150*'Equity Price Data'!T151</f>
        <v>5883.2</v>
      </c>
      <c r="O150" s="30">
        <f>'Equity Volume Data'!R150*'Equity Price Data'!U151</f>
        <v>57117</v>
      </c>
      <c r="P150" s="30">
        <f>'Equity Volume Data'!S150*'Equity Price Data'!V151</f>
        <v>23352</v>
      </c>
      <c r="Q150" s="30">
        <f>'Equity Volume Data'!T150*'Equity Price Data'!W151</f>
        <v>22740</v>
      </c>
      <c r="R150" s="30">
        <f>'Equity Volume Data'!U150*'Equity Price Data'!X151</f>
        <v>12376.8</v>
      </c>
      <c r="S150" s="30">
        <f>'Equity Volume Data'!V150*'Equity Price Data'!Y151</f>
        <v>24900.48</v>
      </c>
      <c r="T150" s="30">
        <f>'Equity Volume Data'!W150*'Equity Price Data'!Z151</f>
        <v>11385</v>
      </c>
      <c r="U150" s="30">
        <f>'Equity Volume Data'!X150*'Equity Price Data'!AA151</f>
        <v>16853.76</v>
      </c>
      <c r="V150" s="30">
        <f>'Equity Volume Data'!Y150*'Equity Price Data'!AB151</f>
        <v>14910.21</v>
      </c>
      <c r="W150" s="30">
        <f>'Equity Volume Data'!Z150*'Equity Price Data'!AC151</f>
        <v>12911.97</v>
      </c>
      <c r="X150" s="30">
        <f>'Equity Volume Data'!AA150*'Equity Price Data'!AD151</f>
        <v>0</v>
      </c>
      <c r="Y150" s="30">
        <f>'Equity Volume Data'!AB150*'Equity Price Data'!AE151</f>
        <v>6043.57</v>
      </c>
      <c r="Z150" s="30">
        <f>'Equity Volume Data'!AC150*'Equity Price Data'!AF151</f>
        <v>9585</v>
      </c>
      <c r="AA150" s="30">
        <f>'Equity Volume Data'!AD150*'Equity Price Data'!AG151</f>
        <v>19009.4</v>
      </c>
      <c r="AB150" s="30">
        <f>'Equity Volume Data'!AE150*'Equity Price Data'!AH151</f>
        <v>17021.4</v>
      </c>
      <c r="AC150" s="30">
        <f>'Equity Volume Data'!AF150*'Equity Price Data'!AI151</f>
        <v>18074.4</v>
      </c>
      <c r="AD150" s="30">
        <f>'Equity Volume Data'!AG150*'Equity Price Data'!AJ151</f>
        <v>11836.8</v>
      </c>
      <c r="AE150" s="30">
        <f>'Equity Volume Data'!AH150*'Equity Price Data'!AK151</f>
        <v>10460</v>
      </c>
      <c r="AF150" s="30">
        <f>'Equity Volume Data'!AI150*'Equity Price Data'!AL151</f>
        <v>18937.9</v>
      </c>
      <c r="AG150" s="30">
        <f>'Equity Volume Data'!AJ150*'Equity Price Data'!AM151</f>
        <v>35496.6</v>
      </c>
      <c r="AH150" s="30">
        <f>'Equity Volume Data'!AK150*'Equity Price Data'!AN151</f>
        <v>41442</v>
      </c>
      <c r="AI150" s="30">
        <f>'Equity Volume Data'!AL150*'Equity Price Data'!AO151</f>
        <v>21285.25</v>
      </c>
      <c r="AJ150" s="30">
        <f>'Equity Volume Data'!AM150*'Equity Price Data'!AP151</f>
        <v>20351.5</v>
      </c>
      <c r="AK150" s="30">
        <f>'Equity Volume Data'!AN150*'Equity Price Data'!AQ151</f>
        <v>25601.84</v>
      </c>
      <c r="AL150" s="30">
        <f>'Equity Volume Data'!AO150*'Equity Price Data'!AR151</f>
        <v>38644.8</v>
      </c>
      <c r="AM150" s="30">
        <f>'Equity Volume Data'!AP150*'Equity Price Data'!AS151</f>
        <v>34760.6</v>
      </c>
      <c r="AN150" s="30">
        <f>'Equity Volume Data'!AQ150*'Equity Price Data'!AT151</f>
        <v>13626.55</v>
      </c>
      <c r="AO150" s="30">
        <f>'Equity Volume Data'!AR150*'Equity Price Data'!AU151</f>
        <v>26320.28</v>
      </c>
      <c r="AP150" s="30">
        <f>'Equity Volume Data'!AS150*'Equity Price Data'!AV151</f>
        <v>20682.5</v>
      </c>
      <c r="AQ150" s="30">
        <f>'Equity Volume Data'!AT150*'Equity Price Data'!AW151</f>
        <v>18308.4</v>
      </c>
      <c r="AR150" s="30">
        <f>'Equity Volume Data'!AU150*'Equity Price Data'!AX151</f>
        <v>0</v>
      </c>
      <c r="AS150" s="30">
        <f>'Equity Volume Data'!AV150*'Equity Price Data'!AY151</f>
        <v>53947.2</v>
      </c>
      <c r="AT150" s="30">
        <f>'Equity Volume Data'!AW150*'Equity Price Data'!AZ151</f>
        <v>14644</v>
      </c>
      <c r="AU150" s="30">
        <f>'Equity Volume Data'!AX150*'Equity Price Data'!BA151</f>
        <v>0</v>
      </c>
      <c r="AV150" s="30">
        <f>'Equity Volume Data'!AY150*'Equity Price Data'!BB151</f>
        <v>19502.28</v>
      </c>
      <c r="AW150" s="30">
        <f>'Equity Volume Data'!AZ150*'Equity Price Data'!BC151</f>
        <v>3930.8</v>
      </c>
      <c r="AX150" s="30">
        <f>'Equity Volume Data'!BA150*'Equity Price Data'!BD151</f>
        <v>4608</v>
      </c>
      <c r="AY150" s="30">
        <f>'Equity Volume Data'!BB150*'Equity Price Data'!BE151</f>
        <v>29426.4</v>
      </c>
      <c r="AZ150" s="30">
        <f>'Equity Volume Data'!BC150*'Equity Price Data'!BF151</f>
        <v>13410</v>
      </c>
      <c r="BA150" s="30">
        <f>'Equity Volume Data'!BD150*'Equity Price Data'!BG151</f>
        <v>4820.3</v>
      </c>
      <c r="BB150" s="30">
        <f>'Equity Volume Data'!BE150*'Equity Price Data'!BH151</f>
        <v>9284</v>
      </c>
      <c r="BC150" s="30">
        <f>'Equity Volume Data'!BF150*'Equity Price Data'!BI151</f>
        <v>0</v>
      </c>
      <c r="BD150" s="30">
        <f>'Equity Volume Data'!BG150*'Equity Price Data'!BJ151</f>
        <v>49686.51</v>
      </c>
      <c r="BE150" s="30">
        <f>'Equity Volume Data'!BH150*'Equity Price Data'!BK151</f>
        <v>12075</v>
      </c>
      <c r="BF150" s="30">
        <f>'Equity Volume Data'!BI150*'Equity Price Data'!BL151</f>
        <v>7076</v>
      </c>
      <c r="BG150" s="30">
        <f>'Equity Volume Data'!BJ150*'Equity Price Data'!BM151</f>
        <v>18267.38</v>
      </c>
      <c r="BH150" s="30">
        <f>'Equity Volume Data'!BK150*'Equity Price Data'!BN151</f>
        <v>0</v>
      </c>
      <c r="BI150" s="30">
        <f>'Equity Volume Data'!BL150*'Equity Price Data'!BO151</f>
        <v>37393.6</v>
      </c>
      <c r="BJ150" s="30">
        <f>'Equity Volume Data'!BM150*'Equity Price Data'!BP151</f>
        <v>38682</v>
      </c>
      <c r="BK150" s="30">
        <f>'Equity Volume Data'!BN150*'Equity Price Data'!BQ151</f>
        <v>88388.1</v>
      </c>
      <c r="BL150" s="30">
        <f>'Equity Volume Data'!BO150*'Equity Price Data'!BR151</f>
        <v>602.54</v>
      </c>
      <c r="BM150" s="30">
        <f>'Equity Volume Data'!BP150*'Equity Price Data'!BS151</f>
        <v>10293.6</v>
      </c>
      <c r="BN150" s="30">
        <f>'Equity Volume Data'!BQ150*'Equity Price Data'!BT151</f>
        <v>21601.2</v>
      </c>
      <c r="BO150" s="30">
        <f>'Equity Volume Data'!BR150*'Equity Price Data'!BU151</f>
        <v>53374.07</v>
      </c>
    </row>
    <row r="151">
      <c r="A151" s="25">
        <f>'Equity Price Data'!A152</f>
        <v>45639.66667</v>
      </c>
      <c r="B151" s="29">
        <f t="shared" si="1"/>
        <v>1359138.55</v>
      </c>
      <c r="C151" s="30">
        <f>'Equity Volume Data'!F151*'Equity Price Data'!I152</f>
        <v>6053.97</v>
      </c>
      <c r="D151" s="30">
        <f>'Equity Volume Data'!G151*'Equity Price Data'!J152</f>
        <v>59139.6</v>
      </c>
      <c r="E151" s="30">
        <f>'Equity Volume Data'!H151*'Equity Price Data'!K152</f>
        <v>14254.9</v>
      </c>
      <c r="F151" s="30">
        <f>'Equity Volume Data'!I151*'Equity Price Data'!L152</f>
        <v>63521.28</v>
      </c>
      <c r="G151" s="30">
        <f>'Equity Volume Data'!J151*'Equity Price Data'!M152</f>
        <v>14056.05</v>
      </c>
      <c r="H151" s="30">
        <f>'Equity Volume Data'!K151*'Equity Price Data'!N152</f>
        <v>14820.04</v>
      </c>
      <c r="I151" s="30">
        <f>'Equity Volume Data'!L151*'Equity Price Data'!O152</f>
        <v>13550</v>
      </c>
      <c r="J151" s="30">
        <f>'Equity Volume Data'!M151*'Equity Price Data'!P152</f>
        <v>46705.8</v>
      </c>
      <c r="K151" s="30">
        <f>'Equity Volume Data'!N151*'Equity Price Data'!Q152</f>
        <v>10334</v>
      </c>
      <c r="L151" s="30">
        <f>'Equity Volume Data'!O151*'Equity Price Data'!R152</f>
        <v>18153.63</v>
      </c>
      <c r="M151" s="30">
        <f>'Equity Volume Data'!P151*'Equity Price Data'!S152</f>
        <v>0</v>
      </c>
      <c r="N151" s="30">
        <f>'Equity Volume Data'!Q151*'Equity Price Data'!T152</f>
        <v>5840.8</v>
      </c>
      <c r="O151" s="30">
        <f>'Equity Volume Data'!R151*'Equity Price Data'!U152</f>
        <v>57076.5</v>
      </c>
      <c r="P151" s="30">
        <f>'Equity Volume Data'!S151*'Equity Price Data'!V152</f>
        <v>22638.93</v>
      </c>
      <c r="Q151" s="30">
        <f>'Equity Volume Data'!T151*'Equity Price Data'!W152</f>
        <v>22532.4</v>
      </c>
      <c r="R151" s="30">
        <f>'Equity Volume Data'!U151*'Equity Price Data'!X152</f>
        <v>12309.6</v>
      </c>
      <c r="S151" s="30">
        <f>'Equity Volume Data'!V151*'Equity Price Data'!Y152</f>
        <v>24803.68</v>
      </c>
      <c r="T151" s="30">
        <f>'Equity Volume Data'!W151*'Equity Price Data'!Z152</f>
        <v>11425</v>
      </c>
      <c r="U151" s="30">
        <f>'Equity Volume Data'!X151*'Equity Price Data'!AA152</f>
        <v>16663.68</v>
      </c>
      <c r="V151" s="30">
        <f>'Equity Volume Data'!Y151*'Equity Price Data'!AB152</f>
        <v>14923.09</v>
      </c>
      <c r="W151" s="30">
        <f>'Equity Volume Data'!Z151*'Equity Price Data'!AC152</f>
        <v>12767.76</v>
      </c>
      <c r="X151" s="30">
        <f>'Equity Volume Data'!AA151*'Equity Price Data'!AD152</f>
        <v>0</v>
      </c>
      <c r="Y151" s="30">
        <f>'Equity Volume Data'!AB151*'Equity Price Data'!AE152</f>
        <v>5891.21</v>
      </c>
      <c r="Z151" s="30">
        <f>'Equity Volume Data'!AC151*'Equity Price Data'!AF152</f>
        <v>9576</v>
      </c>
      <c r="AA151" s="30">
        <f>'Equity Volume Data'!AD151*'Equity Price Data'!AG152</f>
        <v>18842.8</v>
      </c>
      <c r="AB151" s="30">
        <f>'Equity Volume Data'!AE151*'Equity Price Data'!AH152</f>
        <v>17005.2</v>
      </c>
      <c r="AC151" s="30">
        <f>'Equity Volume Data'!AF151*'Equity Price Data'!AI152</f>
        <v>18167.2</v>
      </c>
      <c r="AD151" s="30">
        <f>'Equity Volume Data'!AG151*'Equity Price Data'!AJ152</f>
        <v>11839.95</v>
      </c>
      <c r="AE151" s="30">
        <f>'Equity Volume Data'!AH151*'Equity Price Data'!AK152</f>
        <v>10506</v>
      </c>
      <c r="AF151" s="30">
        <f>'Equity Volume Data'!AI151*'Equity Price Data'!AL152</f>
        <v>18831.3</v>
      </c>
      <c r="AG151" s="30">
        <f>'Equity Volume Data'!AJ151*'Equity Price Data'!AM152</f>
        <v>35128.8</v>
      </c>
      <c r="AH151" s="30">
        <f>'Equity Volume Data'!AK151*'Equity Price Data'!AN152</f>
        <v>41698</v>
      </c>
      <c r="AI151" s="30">
        <f>'Equity Volume Data'!AL151*'Equity Price Data'!AO152</f>
        <v>21115.5</v>
      </c>
      <c r="AJ151" s="30">
        <f>'Equity Volume Data'!AM151*'Equity Price Data'!AP152</f>
        <v>20225.4</v>
      </c>
      <c r="AK151" s="30">
        <f>'Equity Volume Data'!AN151*'Equity Price Data'!AQ152</f>
        <v>25360.26</v>
      </c>
      <c r="AL151" s="30">
        <f>'Equity Volume Data'!AO151*'Equity Price Data'!AR152</f>
        <v>38390.4</v>
      </c>
      <c r="AM151" s="30">
        <f>'Equity Volume Data'!AP151*'Equity Price Data'!AS152</f>
        <v>34625.5</v>
      </c>
      <c r="AN151" s="30">
        <f>'Equity Volume Data'!AQ151*'Equity Price Data'!AT152</f>
        <v>13707.05</v>
      </c>
      <c r="AO151" s="30">
        <f>'Equity Volume Data'!AR151*'Equity Price Data'!AU152</f>
        <v>26414.22</v>
      </c>
      <c r="AP151" s="30">
        <f>'Equity Volume Data'!AS151*'Equity Price Data'!AV152</f>
        <v>20620</v>
      </c>
      <c r="AQ151" s="30">
        <f>'Equity Volume Data'!AT151*'Equity Price Data'!AW152</f>
        <v>18257.8</v>
      </c>
      <c r="AR151" s="30">
        <f>'Equity Volume Data'!AU151*'Equity Price Data'!AX152</f>
        <v>0</v>
      </c>
      <c r="AS151" s="30">
        <f>'Equity Volume Data'!AV151*'Equity Price Data'!AY152</f>
        <v>53672.4</v>
      </c>
      <c r="AT151" s="30">
        <f>'Equity Volume Data'!AW151*'Equity Price Data'!AZ152</f>
        <v>14724</v>
      </c>
      <c r="AU151" s="30">
        <f>'Equity Volume Data'!AX151*'Equity Price Data'!BA152</f>
        <v>0</v>
      </c>
      <c r="AV151" s="30">
        <f>'Equity Volume Data'!AY151*'Equity Price Data'!BB152</f>
        <v>19063.5</v>
      </c>
      <c r="AW151" s="30">
        <f>'Equity Volume Data'!AZ151*'Equity Price Data'!BC152</f>
        <v>3911.6</v>
      </c>
      <c r="AX151" s="30">
        <f>'Equity Volume Data'!BA151*'Equity Price Data'!BD152</f>
        <v>4584</v>
      </c>
      <c r="AY151" s="30">
        <f>'Equity Volume Data'!BB151*'Equity Price Data'!BE152</f>
        <v>30580.14</v>
      </c>
      <c r="AZ151" s="30">
        <f>'Equity Volume Data'!BC151*'Equity Price Data'!BF152</f>
        <v>13653</v>
      </c>
      <c r="BA151" s="30">
        <f>'Equity Volume Data'!BD151*'Equity Price Data'!BG152</f>
        <v>4860.2</v>
      </c>
      <c r="BB151" s="30">
        <f>'Equity Volume Data'!BE151*'Equity Price Data'!BH152</f>
        <v>9420</v>
      </c>
      <c r="BC151" s="30">
        <f>'Equity Volume Data'!BF151*'Equity Price Data'!BI152</f>
        <v>0</v>
      </c>
      <c r="BD151" s="30">
        <f>'Equity Volume Data'!BG151*'Equity Price Data'!BJ152</f>
        <v>49403.22</v>
      </c>
      <c r="BE151" s="30">
        <f>'Equity Volume Data'!BH151*'Equity Price Data'!BK152</f>
        <v>12118.47</v>
      </c>
      <c r="BF151" s="30">
        <f>'Equity Volume Data'!BI151*'Equity Price Data'!BL152</f>
        <v>7034.4</v>
      </c>
      <c r="BG151" s="30">
        <f>'Equity Volume Data'!BJ151*'Equity Price Data'!BM152</f>
        <v>17864.28</v>
      </c>
      <c r="BH151" s="30">
        <f>'Equity Volume Data'!BK151*'Equity Price Data'!BN152</f>
        <v>0</v>
      </c>
      <c r="BI151" s="30">
        <f>'Equity Volume Data'!BL151*'Equity Price Data'!BO152</f>
        <v>37596.8</v>
      </c>
      <c r="BJ151" s="30">
        <f>'Equity Volume Data'!BM151*'Equity Price Data'!BP152</f>
        <v>39036</v>
      </c>
      <c r="BK151" s="30">
        <f>'Equity Volume Data'!BN151*'Equity Price Data'!BQ152</f>
        <v>88334.04</v>
      </c>
      <c r="BL151" s="30">
        <f>'Equity Volume Data'!BO151*'Equity Price Data'!BR152</f>
        <v>593.61</v>
      </c>
      <c r="BM151" s="30">
        <f>'Equity Volume Data'!BP151*'Equity Price Data'!BS152</f>
        <v>10233.6</v>
      </c>
      <c r="BN151" s="30">
        <f>'Equity Volume Data'!BQ151*'Equity Price Data'!BT152</f>
        <v>21307.92</v>
      </c>
      <c r="BO151" s="30">
        <f>'Equity Volume Data'!BR151*'Equity Price Data'!BU152</f>
        <v>53374.07</v>
      </c>
    </row>
    <row r="152">
      <c r="A152" s="25">
        <f>'Equity Price Data'!A153</f>
        <v>45642.66667</v>
      </c>
      <c r="B152" s="29">
        <f t="shared" si="1"/>
        <v>1354407.76</v>
      </c>
      <c r="C152" s="30">
        <f>'Equity Volume Data'!F152*'Equity Price Data'!I153</f>
        <v>5999.89</v>
      </c>
      <c r="D152" s="30">
        <f>'Equity Volume Data'!G152*'Equity Price Data'!J153</f>
        <v>60561.8</v>
      </c>
      <c r="E152" s="30">
        <f>'Equity Volume Data'!H152*'Equity Price Data'!K153</f>
        <v>14180.1</v>
      </c>
      <c r="F152" s="30">
        <f>'Equity Volume Data'!I152*'Equity Price Data'!L153</f>
        <v>64266.24</v>
      </c>
      <c r="G152" s="30">
        <f>'Equity Volume Data'!J152*'Equity Price Data'!M153</f>
        <v>14061.03</v>
      </c>
      <c r="H152" s="30">
        <f>'Equity Volume Data'!K152*'Equity Price Data'!N153</f>
        <v>14867.04</v>
      </c>
      <c r="I152" s="30">
        <f>'Equity Volume Data'!L152*'Equity Price Data'!O153</f>
        <v>13670</v>
      </c>
      <c r="J152" s="30">
        <f>'Equity Volume Data'!M152*'Equity Price Data'!P153</f>
        <v>46430.4</v>
      </c>
      <c r="K152" s="30">
        <f>'Equity Volume Data'!N152*'Equity Price Data'!Q153</f>
        <v>10222</v>
      </c>
      <c r="L152" s="30">
        <f>'Equity Volume Data'!O152*'Equity Price Data'!R153</f>
        <v>18209.29</v>
      </c>
      <c r="M152" s="30">
        <f>'Equity Volume Data'!P152*'Equity Price Data'!S153</f>
        <v>0</v>
      </c>
      <c r="N152" s="30">
        <f>'Equity Volume Data'!Q152*'Equity Price Data'!T153</f>
        <v>5727.2</v>
      </c>
      <c r="O152" s="30">
        <f>'Equity Volume Data'!R152*'Equity Price Data'!U153</f>
        <v>56838</v>
      </c>
      <c r="P152" s="30">
        <f>'Equity Volume Data'!S152*'Equity Price Data'!V153</f>
        <v>22597.23</v>
      </c>
      <c r="Q152" s="30">
        <f>'Equity Volume Data'!T152*'Equity Price Data'!W153</f>
        <v>22825.2</v>
      </c>
      <c r="R152" s="30">
        <f>'Equity Volume Data'!U152*'Equity Price Data'!X153</f>
        <v>11948.8</v>
      </c>
      <c r="S152" s="30">
        <f>'Equity Volume Data'!V152*'Equity Price Data'!Y153</f>
        <v>24046.88</v>
      </c>
      <c r="T152" s="30">
        <f>'Equity Volume Data'!W152*'Equity Price Data'!Z153</f>
        <v>11420</v>
      </c>
      <c r="U152" s="30">
        <f>'Equity Volume Data'!X152*'Equity Price Data'!AA153</f>
        <v>16513.2</v>
      </c>
      <c r="V152" s="30">
        <f>'Equity Volume Data'!Y152*'Equity Price Data'!AB153</f>
        <v>14692.86</v>
      </c>
      <c r="W152" s="30">
        <f>'Equity Volume Data'!Z152*'Equity Price Data'!AC153</f>
        <v>12797.43</v>
      </c>
      <c r="X152" s="30">
        <f>'Equity Volume Data'!AA152*'Equity Price Data'!AD153</f>
        <v>0</v>
      </c>
      <c r="Y152" s="30">
        <f>'Equity Volume Data'!AB152*'Equity Price Data'!AE153</f>
        <v>5820.36</v>
      </c>
      <c r="Z152" s="30">
        <f>'Equity Volume Data'!AC152*'Equity Price Data'!AF153</f>
        <v>9546</v>
      </c>
      <c r="AA152" s="30">
        <f>'Equity Volume Data'!AD152*'Equity Price Data'!AG153</f>
        <v>18439.9</v>
      </c>
      <c r="AB152" s="30">
        <f>'Equity Volume Data'!AE152*'Equity Price Data'!AH153</f>
        <v>17006.4</v>
      </c>
      <c r="AC152" s="30">
        <f>'Equity Volume Data'!AF152*'Equity Price Data'!AI153</f>
        <v>17478.4</v>
      </c>
      <c r="AD152" s="30">
        <f>'Equity Volume Data'!AG152*'Equity Price Data'!AJ153</f>
        <v>11973.15</v>
      </c>
      <c r="AE152" s="30">
        <f>'Equity Volume Data'!AH152*'Equity Price Data'!AK153</f>
        <v>10448</v>
      </c>
      <c r="AF152" s="30">
        <f>'Equity Volume Data'!AI152*'Equity Price Data'!AL153</f>
        <v>18870.25</v>
      </c>
      <c r="AG152" s="30">
        <f>'Equity Volume Data'!AJ152*'Equity Price Data'!AM153</f>
        <v>35179.8</v>
      </c>
      <c r="AH152" s="30">
        <f>'Equity Volume Data'!AK152*'Equity Price Data'!AN153</f>
        <v>41071</v>
      </c>
      <c r="AI152" s="30">
        <f>'Equity Volume Data'!AL152*'Equity Price Data'!AO153</f>
        <v>21341.25</v>
      </c>
      <c r="AJ152" s="30">
        <f>'Equity Volume Data'!AM152*'Equity Price Data'!AP153</f>
        <v>20095.4</v>
      </c>
      <c r="AK152" s="30">
        <f>'Equity Volume Data'!AN152*'Equity Price Data'!AQ153</f>
        <v>25473.53</v>
      </c>
      <c r="AL152" s="30">
        <f>'Equity Volume Data'!AO152*'Equity Price Data'!AR153</f>
        <v>38332.8</v>
      </c>
      <c r="AM152" s="30">
        <f>'Equity Volume Data'!AP152*'Equity Price Data'!AS153</f>
        <v>34415.5</v>
      </c>
      <c r="AN152" s="30">
        <f>'Equity Volume Data'!AQ152*'Equity Price Data'!AT153</f>
        <v>13640.9</v>
      </c>
      <c r="AO152" s="30">
        <f>'Equity Volume Data'!AR152*'Equity Price Data'!AU153</f>
        <v>26508.16</v>
      </c>
      <c r="AP152" s="30">
        <f>'Equity Volume Data'!AS152*'Equity Price Data'!AV153</f>
        <v>20337.5</v>
      </c>
      <c r="AQ152" s="30">
        <f>'Equity Volume Data'!AT152*'Equity Price Data'!AW153</f>
        <v>18202.8</v>
      </c>
      <c r="AR152" s="30">
        <f>'Equity Volume Data'!AU152*'Equity Price Data'!AX153</f>
        <v>0</v>
      </c>
      <c r="AS152" s="30">
        <f>'Equity Volume Data'!AV152*'Equity Price Data'!AY153</f>
        <v>54190.8</v>
      </c>
      <c r="AT152" s="30">
        <f>'Equity Volume Data'!AW152*'Equity Price Data'!AZ153</f>
        <v>14558</v>
      </c>
      <c r="AU152" s="30">
        <f>'Equity Volume Data'!AX152*'Equity Price Data'!BA153</f>
        <v>0</v>
      </c>
      <c r="AV152" s="30">
        <f>'Equity Volume Data'!AY152*'Equity Price Data'!BB153</f>
        <v>18744</v>
      </c>
      <c r="AW152" s="30">
        <f>'Equity Volume Data'!AZ152*'Equity Price Data'!BC153</f>
        <v>3847.6</v>
      </c>
      <c r="AX152" s="30">
        <f>'Equity Volume Data'!BA152*'Equity Price Data'!BD153</f>
        <v>4630.4</v>
      </c>
      <c r="AY152" s="30">
        <f>'Equity Volume Data'!BB152*'Equity Price Data'!BE153</f>
        <v>30451.5</v>
      </c>
      <c r="AZ152" s="30">
        <f>'Equity Volume Data'!BC152*'Equity Price Data'!BF153</f>
        <v>13695</v>
      </c>
      <c r="BA152" s="30">
        <f>'Equity Volume Data'!BD152*'Equity Price Data'!BG153</f>
        <v>4797.5</v>
      </c>
      <c r="BB152" s="30">
        <f>'Equity Volume Data'!BE152*'Equity Price Data'!BH153</f>
        <v>9448.8</v>
      </c>
      <c r="BC152" s="30">
        <f>'Equity Volume Data'!BF152*'Equity Price Data'!BI153</f>
        <v>0</v>
      </c>
      <c r="BD152" s="30">
        <f>'Equity Volume Data'!BG152*'Equity Price Data'!BJ153</f>
        <v>48877.11</v>
      </c>
      <c r="BE152" s="30">
        <f>'Equity Volume Data'!BH152*'Equity Price Data'!BK153</f>
        <v>12195.98</v>
      </c>
      <c r="BF152" s="30">
        <f>'Equity Volume Data'!BI152*'Equity Price Data'!BL153</f>
        <v>6970</v>
      </c>
      <c r="BG152" s="30">
        <f>'Equity Volume Data'!BJ152*'Equity Price Data'!BM153</f>
        <v>17853.16</v>
      </c>
      <c r="BH152" s="30">
        <f>'Equity Volume Data'!BK152*'Equity Price Data'!BN153</f>
        <v>0</v>
      </c>
      <c r="BI152" s="30">
        <f>'Equity Volume Data'!BL152*'Equity Price Data'!BO153</f>
        <v>37262.4</v>
      </c>
      <c r="BJ152" s="30">
        <f>'Equity Volume Data'!BM152*'Equity Price Data'!BP153</f>
        <v>37387.5</v>
      </c>
      <c r="BK152" s="30">
        <f>'Equity Volume Data'!BN152*'Equity Price Data'!BQ153</f>
        <v>88243.94</v>
      </c>
      <c r="BL152" s="30">
        <f>'Equity Volume Data'!BO152*'Equity Price Data'!BR153</f>
        <v>588.91</v>
      </c>
      <c r="BM152" s="30">
        <f>'Equity Volume Data'!BP152*'Equity Price Data'!BS153</f>
        <v>10158.72</v>
      </c>
      <c r="BN152" s="30">
        <f>'Equity Volume Data'!BQ152*'Equity Price Data'!BT153</f>
        <v>21076.68</v>
      </c>
      <c r="BO152" s="30">
        <f>'Equity Volume Data'!BR152*'Equity Price Data'!BU153</f>
        <v>53374.07</v>
      </c>
    </row>
    <row r="153">
      <c r="A153" s="25">
        <f>'Equity Price Data'!A154</f>
        <v>45643.66667</v>
      </c>
      <c r="B153" s="29">
        <f t="shared" si="1"/>
        <v>1345871.71</v>
      </c>
      <c r="C153" s="30">
        <f>'Equity Volume Data'!F153*'Equity Price Data'!I154</f>
        <v>5917.99</v>
      </c>
      <c r="D153" s="30">
        <f>'Equity Volume Data'!G153*'Equity Price Data'!J154</f>
        <v>60099</v>
      </c>
      <c r="E153" s="30">
        <f>'Equity Volume Data'!H153*'Equity Price Data'!K154</f>
        <v>14209.8</v>
      </c>
      <c r="F153" s="30">
        <f>'Equity Volume Data'!I153*'Equity Price Data'!L154</f>
        <v>64890.88</v>
      </c>
      <c r="G153" s="30">
        <f>'Equity Volume Data'!J153*'Equity Price Data'!M154</f>
        <v>14138.22</v>
      </c>
      <c r="H153" s="30">
        <f>'Equity Volume Data'!K153*'Equity Price Data'!N154</f>
        <v>14748.6</v>
      </c>
      <c r="I153" s="30">
        <f>'Equity Volume Data'!L153*'Equity Price Data'!O154</f>
        <v>13330</v>
      </c>
      <c r="J153" s="30">
        <f>'Equity Volume Data'!M153*'Equity Price Data'!P154</f>
        <v>46477.32</v>
      </c>
      <c r="K153" s="30">
        <f>'Equity Volume Data'!N153*'Equity Price Data'!Q154</f>
        <v>10200</v>
      </c>
      <c r="L153" s="30">
        <f>'Equity Volume Data'!O153*'Equity Price Data'!R154</f>
        <v>18227.44</v>
      </c>
      <c r="M153" s="30">
        <f>'Equity Volume Data'!P153*'Equity Price Data'!S154</f>
        <v>0</v>
      </c>
      <c r="N153" s="30">
        <f>'Equity Volume Data'!Q153*'Equity Price Data'!T154</f>
        <v>5622.4</v>
      </c>
      <c r="O153" s="30">
        <f>'Equity Volume Data'!R153*'Equity Price Data'!U154</f>
        <v>56370</v>
      </c>
      <c r="P153" s="30">
        <f>'Equity Volume Data'!S153*'Equity Price Data'!V154</f>
        <v>22276.14</v>
      </c>
      <c r="Q153" s="30">
        <f>'Equity Volume Data'!T153*'Equity Price Data'!W154</f>
        <v>22525.2</v>
      </c>
      <c r="R153" s="30">
        <f>'Equity Volume Data'!U153*'Equity Price Data'!X154</f>
        <v>11848.8</v>
      </c>
      <c r="S153" s="30">
        <f>'Equity Volume Data'!V153*'Equity Price Data'!Y154</f>
        <v>23371.92</v>
      </c>
      <c r="T153" s="30">
        <f>'Equity Volume Data'!W153*'Equity Price Data'!Z154</f>
        <v>11185</v>
      </c>
      <c r="U153" s="30">
        <f>'Equity Volume Data'!X153*'Equity Price Data'!AA154</f>
        <v>16737.6</v>
      </c>
      <c r="V153" s="30">
        <f>'Equity Volume Data'!Y153*'Equity Price Data'!AB154</f>
        <v>14625.24</v>
      </c>
      <c r="W153" s="30">
        <f>'Equity Volume Data'!Z153*'Equity Price Data'!AC154</f>
        <v>12765</v>
      </c>
      <c r="X153" s="30">
        <f>'Equity Volume Data'!AA153*'Equity Price Data'!AD154</f>
        <v>0</v>
      </c>
      <c r="Y153" s="30">
        <f>'Equity Volume Data'!AB153*'Equity Price Data'!AE154</f>
        <v>5807.62</v>
      </c>
      <c r="Z153" s="30">
        <f>'Equity Volume Data'!AC153*'Equity Price Data'!AF154</f>
        <v>9634.5</v>
      </c>
      <c r="AA153" s="30">
        <f>'Equity Volume Data'!AD153*'Equity Price Data'!AG154</f>
        <v>18361.7</v>
      </c>
      <c r="AB153" s="30">
        <f>'Equity Volume Data'!AE153*'Equity Price Data'!AH154</f>
        <v>16645.8</v>
      </c>
      <c r="AC153" s="30">
        <f>'Equity Volume Data'!AF153*'Equity Price Data'!AI154</f>
        <v>17294.4</v>
      </c>
      <c r="AD153" s="30">
        <f>'Equity Volume Data'!AG153*'Equity Price Data'!AJ154</f>
        <v>11934.9</v>
      </c>
      <c r="AE153" s="30">
        <f>'Equity Volume Data'!AH153*'Equity Price Data'!AK154</f>
        <v>10230</v>
      </c>
      <c r="AF153" s="30">
        <f>'Equity Volume Data'!AI153*'Equity Price Data'!AL154</f>
        <v>19024</v>
      </c>
      <c r="AG153" s="30">
        <f>'Equity Volume Data'!AJ153*'Equity Price Data'!AM154</f>
        <v>34480.8</v>
      </c>
      <c r="AH153" s="30">
        <f>'Equity Volume Data'!AK153*'Equity Price Data'!AN154</f>
        <v>40847</v>
      </c>
      <c r="AI153" s="30">
        <f>'Equity Volume Data'!AL153*'Equity Price Data'!AO154</f>
        <v>21087.5</v>
      </c>
      <c r="AJ153" s="30">
        <f>'Equity Volume Data'!AM153*'Equity Price Data'!AP154</f>
        <v>19862.7</v>
      </c>
      <c r="AK153" s="30">
        <f>'Equity Volume Data'!AN153*'Equity Price Data'!AQ154</f>
        <v>25622.52</v>
      </c>
      <c r="AL153" s="30">
        <f>'Equity Volume Data'!AO153*'Equity Price Data'!AR154</f>
        <v>38137.6</v>
      </c>
      <c r="AM153" s="30">
        <f>'Equity Volume Data'!AP153*'Equity Price Data'!AS154</f>
        <v>34342.7</v>
      </c>
      <c r="AN153" s="30">
        <f>'Equity Volume Data'!AQ153*'Equity Price Data'!AT154</f>
        <v>13670.65</v>
      </c>
      <c r="AO153" s="30">
        <f>'Equity Volume Data'!AR153*'Equity Price Data'!AU154</f>
        <v>26243.42</v>
      </c>
      <c r="AP153" s="30">
        <f>'Equity Volume Data'!AS153*'Equity Price Data'!AV154</f>
        <v>20342.5</v>
      </c>
      <c r="AQ153" s="30">
        <f>'Equity Volume Data'!AT153*'Equity Price Data'!AW154</f>
        <v>17875</v>
      </c>
      <c r="AR153" s="30">
        <f>'Equity Volume Data'!AU153*'Equity Price Data'!AX154</f>
        <v>0</v>
      </c>
      <c r="AS153" s="30">
        <f>'Equity Volume Data'!AV153*'Equity Price Data'!AY154</f>
        <v>54535.2</v>
      </c>
      <c r="AT153" s="30">
        <f>'Equity Volume Data'!AW153*'Equity Price Data'!AZ154</f>
        <v>14454</v>
      </c>
      <c r="AU153" s="30">
        <f>'Equity Volume Data'!AX153*'Equity Price Data'!BA154</f>
        <v>0</v>
      </c>
      <c r="AV153" s="30">
        <f>'Equity Volume Data'!AY153*'Equity Price Data'!BB154</f>
        <v>18515.38</v>
      </c>
      <c r="AW153" s="30">
        <f>'Equity Volume Data'!AZ153*'Equity Price Data'!BC154</f>
        <v>3853.6</v>
      </c>
      <c r="AX153" s="30">
        <f>'Equity Volume Data'!BA153*'Equity Price Data'!BD154</f>
        <v>4531.2</v>
      </c>
      <c r="AY153" s="30">
        <f>'Equity Volume Data'!BB153*'Equity Price Data'!BE154</f>
        <v>29904.78</v>
      </c>
      <c r="AZ153" s="30">
        <f>'Equity Volume Data'!BC153*'Equity Price Data'!BF154</f>
        <v>13629</v>
      </c>
      <c r="BA153" s="30">
        <f>'Equity Volume Data'!BD153*'Equity Price Data'!BG154</f>
        <v>5021.7</v>
      </c>
      <c r="BB153" s="30">
        <f>'Equity Volume Data'!BE153*'Equity Price Data'!BH154</f>
        <v>9393.6</v>
      </c>
      <c r="BC153" s="30">
        <f>'Equity Volume Data'!BF153*'Equity Price Data'!BI154</f>
        <v>0</v>
      </c>
      <c r="BD153" s="30">
        <f>'Equity Volume Data'!BG153*'Equity Price Data'!BJ154</f>
        <v>47011.23</v>
      </c>
      <c r="BE153" s="30">
        <f>'Equity Volume Data'!BH153*'Equity Price Data'!BK154</f>
        <v>12163.32</v>
      </c>
      <c r="BF153" s="30">
        <f>'Equity Volume Data'!BI153*'Equity Price Data'!BL154</f>
        <v>6931.2</v>
      </c>
      <c r="BG153" s="30">
        <f>'Equity Volume Data'!BJ153*'Equity Price Data'!BM154</f>
        <v>18267.38</v>
      </c>
      <c r="BH153" s="30">
        <f>'Equity Volume Data'!BK153*'Equity Price Data'!BN154</f>
        <v>0</v>
      </c>
      <c r="BI153" s="30">
        <f>'Equity Volume Data'!BL153*'Equity Price Data'!BO154</f>
        <v>36780.8</v>
      </c>
      <c r="BJ153" s="30">
        <f>'Equity Volume Data'!BM153*'Equity Price Data'!BP154</f>
        <v>36414</v>
      </c>
      <c r="BK153" s="30">
        <f>'Equity Volume Data'!BN153*'Equity Price Data'!BQ154</f>
        <v>88207.9</v>
      </c>
      <c r="BL153" s="30">
        <f>'Equity Volume Data'!BO153*'Equity Price Data'!BR154</f>
        <v>591.73</v>
      </c>
      <c r="BM153" s="30">
        <f>'Equity Volume Data'!BP153*'Equity Price Data'!BS154</f>
        <v>10032</v>
      </c>
      <c r="BN153" s="30">
        <f>'Equity Volume Data'!BQ153*'Equity Price Data'!BT154</f>
        <v>21247.76</v>
      </c>
      <c r="BO153" s="30">
        <f>'Equity Volume Data'!BR153*'Equity Price Data'!BU154</f>
        <v>53374.07</v>
      </c>
    </row>
    <row r="154">
      <c r="A154" s="25">
        <f>'Equity Price Data'!A155</f>
        <v>45644.66667</v>
      </c>
      <c r="B154" s="29">
        <f t="shared" si="1"/>
        <v>1316292.76</v>
      </c>
      <c r="C154" s="30">
        <f>'Equity Volume Data'!F154*'Equity Price Data'!I155</f>
        <v>5737.03</v>
      </c>
      <c r="D154" s="30">
        <f>'Equity Volume Data'!G154*'Equity Price Data'!J155</f>
        <v>57335.2</v>
      </c>
      <c r="E154" s="30">
        <f>'Equity Volume Data'!H154*'Equity Price Data'!K155</f>
        <v>13687.3</v>
      </c>
      <c r="F154" s="30">
        <f>'Equity Volume Data'!I154*'Equity Price Data'!L155</f>
        <v>63500.8</v>
      </c>
      <c r="G154" s="30">
        <f>'Equity Volume Data'!J154*'Equity Price Data'!M155</f>
        <v>13732.35</v>
      </c>
      <c r="H154" s="30">
        <f>'Equity Volume Data'!K154*'Equity Price Data'!N155</f>
        <v>14254.16</v>
      </c>
      <c r="I154" s="30">
        <f>'Equity Volume Data'!L154*'Equity Price Data'!O155</f>
        <v>12980</v>
      </c>
      <c r="J154" s="30">
        <f>'Equity Volume Data'!M154*'Equity Price Data'!P155</f>
        <v>45552.18</v>
      </c>
      <c r="K154" s="30">
        <f>'Equity Volume Data'!N154*'Equity Price Data'!Q155</f>
        <v>9880</v>
      </c>
      <c r="L154" s="30">
        <f>'Equity Volume Data'!O154*'Equity Price Data'!R155</f>
        <v>17761.59</v>
      </c>
      <c r="M154" s="30">
        <f>'Equity Volume Data'!P154*'Equity Price Data'!S155</f>
        <v>0</v>
      </c>
      <c r="N154" s="30">
        <f>'Equity Volume Data'!Q154*'Equity Price Data'!T155</f>
        <v>5362.4</v>
      </c>
      <c r="O154" s="30">
        <f>'Equity Volume Data'!R154*'Equity Price Data'!U155</f>
        <v>54583.5</v>
      </c>
      <c r="P154" s="30">
        <f>'Equity Volume Data'!S154*'Equity Price Data'!V155</f>
        <v>21654.81</v>
      </c>
      <c r="Q154" s="30">
        <f>'Equity Volume Data'!T154*'Equity Price Data'!W155</f>
        <v>21730.8</v>
      </c>
      <c r="R154" s="30">
        <f>'Equity Volume Data'!U154*'Equity Price Data'!X155</f>
        <v>11526.4</v>
      </c>
      <c r="S154" s="30">
        <f>'Equity Volume Data'!V154*'Equity Price Data'!Y155</f>
        <v>24852.08</v>
      </c>
      <c r="T154" s="30">
        <f>'Equity Volume Data'!W154*'Equity Price Data'!Z155</f>
        <v>10665</v>
      </c>
      <c r="U154" s="30">
        <f>'Equity Volume Data'!X154*'Equity Price Data'!AA155</f>
        <v>16592.4</v>
      </c>
      <c r="V154" s="30">
        <f>'Equity Volume Data'!Y154*'Equity Price Data'!AB155</f>
        <v>14308.07</v>
      </c>
      <c r="W154" s="30">
        <f>'Equity Volume Data'!Z154*'Equity Price Data'!AC155</f>
        <v>12210.24</v>
      </c>
      <c r="X154" s="30">
        <f>'Equity Volume Data'!AA154*'Equity Price Data'!AD155</f>
        <v>0</v>
      </c>
      <c r="Y154" s="30">
        <f>'Equity Volume Data'!AB154*'Equity Price Data'!AE155</f>
        <v>5599.23</v>
      </c>
      <c r="Z154" s="30">
        <f>'Equity Volume Data'!AC154*'Equity Price Data'!AF155</f>
        <v>9616.5</v>
      </c>
      <c r="AA154" s="30">
        <f>'Equity Volume Data'!AD154*'Equity Price Data'!AG155</f>
        <v>18091.4</v>
      </c>
      <c r="AB154" s="30">
        <f>'Equity Volume Data'!AE154*'Equity Price Data'!AH155</f>
        <v>16389.6</v>
      </c>
      <c r="AC154" s="30">
        <f>'Equity Volume Data'!AF154*'Equity Price Data'!AI155</f>
        <v>16913.2</v>
      </c>
      <c r="AD154" s="30">
        <f>'Equity Volume Data'!AG154*'Equity Price Data'!AJ155</f>
        <v>11802.15</v>
      </c>
      <c r="AE154" s="30">
        <f>'Equity Volume Data'!AH154*'Equity Price Data'!AK155</f>
        <v>9998</v>
      </c>
      <c r="AF154" s="30">
        <f>'Equity Volume Data'!AI154*'Equity Price Data'!AL155</f>
        <v>18591.45</v>
      </c>
      <c r="AG154" s="30">
        <f>'Equity Volume Data'!AJ154*'Equity Price Data'!AM155</f>
        <v>33015</v>
      </c>
      <c r="AH154" s="30">
        <f>'Equity Volume Data'!AK154*'Equity Price Data'!AN155</f>
        <v>39382</v>
      </c>
      <c r="AI154" s="30">
        <f>'Equity Volume Data'!AL154*'Equity Price Data'!AO155</f>
        <v>20842.5</v>
      </c>
      <c r="AJ154" s="30">
        <f>'Equity Volume Data'!AM154*'Equity Price Data'!AP155</f>
        <v>19448</v>
      </c>
      <c r="AK154" s="30">
        <f>'Equity Volume Data'!AN154*'Equity Price Data'!AQ155</f>
        <v>24744.09</v>
      </c>
      <c r="AL154" s="30">
        <f>'Equity Volume Data'!AO154*'Equity Price Data'!AR155</f>
        <v>36859.2</v>
      </c>
      <c r="AM154" s="30">
        <f>'Equity Volume Data'!AP154*'Equity Price Data'!AS155</f>
        <v>33805.8</v>
      </c>
      <c r="AN154" s="30">
        <f>'Equity Volume Data'!AQ154*'Equity Price Data'!AT155</f>
        <v>13022.45</v>
      </c>
      <c r="AO154" s="30">
        <f>'Equity Volume Data'!AR154*'Equity Price Data'!AU155</f>
        <v>25363.8</v>
      </c>
      <c r="AP154" s="30">
        <f>'Equity Volume Data'!AS154*'Equity Price Data'!AV155</f>
        <v>20007.5</v>
      </c>
      <c r="AQ154" s="30">
        <f>'Equity Volume Data'!AT154*'Equity Price Data'!AW155</f>
        <v>17333.8</v>
      </c>
      <c r="AR154" s="30">
        <f>'Equity Volume Data'!AU154*'Equity Price Data'!AX155</f>
        <v>0</v>
      </c>
      <c r="AS154" s="30">
        <f>'Equity Volume Data'!AV154*'Equity Price Data'!AY155</f>
        <v>52486.8</v>
      </c>
      <c r="AT154" s="30">
        <f>'Equity Volume Data'!AW154*'Equity Price Data'!AZ155</f>
        <v>14104</v>
      </c>
      <c r="AU154" s="30">
        <f>'Equity Volume Data'!AX154*'Equity Price Data'!BA155</f>
        <v>0</v>
      </c>
      <c r="AV154" s="30">
        <f>'Equity Volume Data'!AY154*'Equity Price Data'!BB155</f>
        <v>18305.22</v>
      </c>
      <c r="AW154" s="30">
        <f>'Equity Volume Data'!AZ154*'Equity Price Data'!BC155</f>
        <v>3754</v>
      </c>
      <c r="AX154" s="30">
        <f>'Equity Volume Data'!BA154*'Equity Price Data'!BD155</f>
        <v>4380.8</v>
      </c>
      <c r="AY154" s="30">
        <f>'Equity Volume Data'!BB154*'Equity Price Data'!BE155</f>
        <v>28747.02</v>
      </c>
      <c r="AZ154" s="30">
        <f>'Equity Volume Data'!BC154*'Equity Price Data'!BF155</f>
        <v>12817.5</v>
      </c>
      <c r="BA154" s="30">
        <f>'Equity Volume Data'!BD154*'Equity Price Data'!BG155</f>
        <v>4919.1</v>
      </c>
      <c r="BB154" s="30">
        <f>'Equity Volume Data'!BE154*'Equity Price Data'!BH155</f>
        <v>9156</v>
      </c>
      <c r="BC154" s="30">
        <f>'Equity Volume Data'!BF154*'Equity Price Data'!BI155</f>
        <v>0</v>
      </c>
      <c r="BD154" s="30">
        <f>'Equity Volume Data'!BG154*'Equity Price Data'!BJ155</f>
        <v>47006.97</v>
      </c>
      <c r="BE154" s="30">
        <f>'Equity Volume Data'!BH154*'Equity Price Data'!BK155</f>
        <v>11872.14</v>
      </c>
      <c r="BF154" s="30">
        <f>'Equity Volume Data'!BI154*'Equity Price Data'!BL155</f>
        <v>6944.8</v>
      </c>
      <c r="BG154" s="30">
        <f>'Equity Volume Data'!BJ154*'Equity Price Data'!BM155</f>
        <v>16924.64</v>
      </c>
      <c r="BH154" s="30">
        <f>'Equity Volume Data'!BK154*'Equity Price Data'!BN155</f>
        <v>0</v>
      </c>
      <c r="BI154" s="30">
        <f>'Equity Volume Data'!BL154*'Equity Price Data'!BO155</f>
        <v>35926.4</v>
      </c>
      <c r="BJ154" s="30">
        <f>'Equity Volume Data'!BM154*'Equity Price Data'!BP155</f>
        <v>37479</v>
      </c>
      <c r="BK154" s="30">
        <f>'Equity Volume Data'!BN154*'Equity Price Data'!BQ155</f>
        <v>87991.66</v>
      </c>
      <c r="BL154" s="30">
        <f>'Equity Volume Data'!BO154*'Equity Price Data'!BR155</f>
        <v>576.22</v>
      </c>
      <c r="BM154" s="30">
        <f>'Equity Volume Data'!BP154*'Equity Price Data'!BS155</f>
        <v>9860.64</v>
      </c>
      <c r="BN154" s="30">
        <f>'Equity Volume Data'!BQ154*'Equity Price Data'!BT155</f>
        <v>20933.8</v>
      </c>
      <c r="BO154" s="30">
        <f>'Equity Volume Data'!BR154*'Equity Price Data'!BU155</f>
        <v>53374.07</v>
      </c>
    </row>
    <row r="155">
      <c r="A155" s="25">
        <f>'Equity Price Data'!A156</f>
        <v>45645.66667</v>
      </c>
      <c r="B155" s="29">
        <f t="shared" si="1"/>
        <v>1316712.22</v>
      </c>
      <c r="C155" s="30">
        <f>'Equity Volume Data'!F155*'Equity Price Data'!I156</f>
        <v>5686.07</v>
      </c>
      <c r="D155" s="30">
        <f>'Equity Volume Data'!G155*'Equity Price Data'!J156</f>
        <v>58055.4</v>
      </c>
      <c r="E155" s="30">
        <f>'Equity Volume Data'!H155*'Equity Price Data'!K156</f>
        <v>13621.3</v>
      </c>
      <c r="F155" s="30">
        <f>'Equity Volume Data'!I155*'Equity Price Data'!L156</f>
        <v>63946.24</v>
      </c>
      <c r="G155" s="30">
        <f>'Equity Volume Data'!J155*'Equity Price Data'!M156</f>
        <v>13399.52</v>
      </c>
      <c r="H155" s="30">
        <f>'Equity Volume Data'!K155*'Equity Price Data'!N156</f>
        <v>14365.08</v>
      </c>
      <c r="I155" s="30">
        <f>'Equity Volume Data'!L155*'Equity Price Data'!O156</f>
        <v>12920</v>
      </c>
      <c r="J155" s="30">
        <f>'Equity Volume Data'!M155*'Equity Price Data'!P156</f>
        <v>45832.68</v>
      </c>
      <c r="K155" s="30">
        <f>'Equity Volume Data'!N155*'Equity Price Data'!Q156</f>
        <v>9788</v>
      </c>
      <c r="L155" s="30">
        <f>'Equity Volume Data'!O155*'Equity Price Data'!R156</f>
        <v>17834.19</v>
      </c>
      <c r="M155" s="30">
        <f>'Equity Volume Data'!P155*'Equity Price Data'!S156</f>
        <v>0</v>
      </c>
      <c r="N155" s="30">
        <f>'Equity Volume Data'!Q155*'Equity Price Data'!T156</f>
        <v>5335.2</v>
      </c>
      <c r="O155" s="30">
        <f>'Equity Volume Data'!R155*'Equity Price Data'!U156</f>
        <v>54055.5</v>
      </c>
      <c r="P155" s="30">
        <f>'Equity Volume Data'!S155*'Equity Price Data'!V156</f>
        <v>22063.47</v>
      </c>
      <c r="Q155" s="30">
        <f>'Equity Volume Data'!T155*'Equity Price Data'!W156</f>
        <v>22441.2</v>
      </c>
      <c r="R155" s="30">
        <f>'Equity Volume Data'!U155*'Equity Price Data'!X156</f>
        <v>11292</v>
      </c>
      <c r="S155" s="30">
        <f>'Equity Volume Data'!V155*'Equity Price Data'!Y156</f>
        <v>24182.4</v>
      </c>
      <c r="T155" s="30">
        <f>'Equity Volume Data'!W155*'Equity Price Data'!Z156</f>
        <v>10612.5</v>
      </c>
      <c r="U155" s="30">
        <f>'Equity Volume Data'!X155*'Equity Price Data'!AA156</f>
        <v>16486.8</v>
      </c>
      <c r="V155" s="30">
        <f>'Equity Volume Data'!Y155*'Equity Price Data'!AB156</f>
        <v>14340.27</v>
      </c>
      <c r="W155" s="30">
        <f>'Equity Volume Data'!Z155*'Equity Price Data'!AC156</f>
        <v>12199.89</v>
      </c>
      <c r="X155" s="30">
        <f>'Equity Volume Data'!AA155*'Equity Price Data'!AD156</f>
        <v>0</v>
      </c>
      <c r="Y155" s="30">
        <f>'Equity Volume Data'!AB155*'Equity Price Data'!AE156</f>
        <v>5559.32</v>
      </c>
      <c r="Z155" s="30">
        <f>'Equity Volume Data'!AC155*'Equity Price Data'!AF156</f>
        <v>9592.5</v>
      </c>
      <c r="AA155" s="30">
        <f>'Equity Volume Data'!AD155*'Equity Price Data'!AG156</f>
        <v>17936.7</v>
      </c>
      <c r="AB155" s="30">
        <f>'Equity Volume Data'!AE155*'Equity Price Data'!AH156</f>
        <v>16552.8</v>
      </c>
      <c r="AC155" s="30">
        <f>'Equity Volume Data'!AF155*'Equity Price Data'!AI156</f>
        <v>17012</v>
      </c>
      <c r="AD155" s="30">
        <f>'Equity Volume Data'!AG155*'Equity Price Data'!AJ156</f>
        <v>11712.6</v>
      </c>
      <c r="AE155" s="30">
        <f>'Equity Volume Data'!AH155*'Equity Price Data'!AK156</f>
        <v>10068</v>
      </c>
      <c r="AF155" s="30">
        <f>'Equity Volume Data'!AI155*'Equity Price Data'!AL156</f>
        <v>18673.45</v>
      </c>
      <c r="AG155" s="30">
        <f>'Equity Volume Data'!AJ155*'Equity Price Data'!AM156</f>
        <v>33239.4</v>
      </c>
      <c r="AH155" s="30">
        <f>'Equity Volume Data'!AK155*'Equity Price Data'!AN156</f>
        <v>38502</v>
      </c>
      <c r="AI155" s="30">
        <f>'Equity Volume Data'!AL155*'Equity Price Data'!AO156</f>
        <v>21029.75</v>
      </c>
      <c r="AJ155" s="30">
        <f>'Equity Volume Data'!AM155*'Equity Price Data'!AP156</f>
        <v>19277.7</v>
      </c>
      <c r="AK155" s="30">
        <f>'Equity Volume Data'!AN155*'Equity Price Data'!AQ156</f>
        <v>24623.77</v>
      </c>
      <c r="AL155" s="30">
        <f>'Equity Volume Data'!AO155*'Equity Price Data'!AR156</f>
        <v>37273.6</v>
      </c>
      <c r="AM155" s="30">
        <f>'Equity Volume Data'!AP155*'Equity Price Data'!AS156</f>
        <v>33576.2</v>
      </c>
      <c r="AN155" s="30">
        <f>'Equity Volume Data'!AQ155*'Equity Price Data'!AT156</f>
        <v>13073.9</v>
      </c>
      <c r="AO155" s="30">
        <f>'Equity Volume Data'!AR155*'Equity Price Data'!AU156</f>
        <v>25688.32</v>
      </c>
      <c r="AP155" s="30">
        <f>'Equity Volume Data'!AS155*'Equity Price Data'!AV156</f>
        <v>19997.5</v>
      </c>
      <c r="AQ155" s="30">
        <f>'Equity Volume Data'!AT155*'Equity Price Data'!AW156</f>
        <v>17624.2</v>
      </c>
      <c r="AR155" s="30">
        <f>'Equity Volume Data'!AU155*'Equity Price Data'!AX156</f>
        <v>0</v>
      </c>
      <c r="AS155" s="30">
        <f>'Equity Volume Data'!AV155*'Equity Price Data'!AY156</f>
        <v>52443.6</v>
      </c>
      <c r="AT155" s="30">
        <f>'Equity Volume Data'!AW155*'Equity Price Data'!AZ156</f>
        <v>13954</v>
      </c>
      <c r="AU155" s="30">
        <f>'Equity Volume Data'!AX155*'Equity Price Data'!BA156</f>
        <v>0</v>
      </c>
      <c r="AV155" s="30">
        <f>'Equity Volume Data'!AY155*'Equity Price Data'!BB156</f>
        <v>18556.56</v>
      </c>
      <c r="AW155" s="30">
        <f>'Equity Volume Data'!AZ155*'Equity Price Data'!BC156</f>
        <v>3714.8</v>
      </c>
      <c r="AX155" s="30">
        <f>'Equity Volume Data'!BA155*'Equity Price Data'!BD156</f>
        <v>4411.2</v>
      </c>
      <c r="AY155" s="30">
        <f>'Equity Volume Data'!BB155*'Equity Price Data'!BE156</f>
        <v>29832.42</v>
      </c>
      <c r="AZ155" s="30">
        <f>'Equity Volume Data'!BC155*'Equity Price Data'!BF156</f>
        <v>13017</v>
      </c>
      <c r="BA155" s="30">
        <f>'Equity Volume Data'!BD155*'Equity Price Data'!BG156</f>
        <v>4896.3</v>
      </c>
      <c r="BB155" s="30">
        <f>'Equity Volume Data'!BE155*'Equity Price Data'!BH156</f>
        <v>9236.8</v>
      </c>
      <c r="BC155" s="30">
        <f>'Equity Volume Data'!BF155*'Equity Price Data'!BI156</f>
        <v>0</v>
      </c>
      <c r="BD155" s="30">
        <f>'Equity Volume Data'!BG155*'Equity Price Data'!BJ156</f>
        <v>46434</v>
      </c>
      <c r="BE155" s="30">
        <f>'Equity Volume Data'!BH155*'Equity Price Data'!BK156</f>
        <v>11883.87</v>
      </c>
      <c r="BF155" s="30">
        <f>'Equity Volume Data'!BI155*'Equity Price Data'!BL156</f>
        <v>6968.4</v>
      </c>
      <c r="BG155" s="30">
        <f>'Equity Volume Data'!BJ155*'Equity Price Data'!BM156</f>
        <v>16827.34</v>
      </c>
      <c r="BH155" s="30">
        <f>'Equity Volume Data'!BK155*'Equity Price Data'!BN156</f>
        <v>0</v>
      </c>
      <c r="BI155" s="30">
        <f>'Equity Volume Data'!BL155*'Equity Price Data'!BO156</f>
        <v>35704</v>
      </c>
      <c r="BJ155" s="30">
        <f>'Equity Volume Data'!BM155*'Equity Price Data'!BP156</f>
        <v>36693.75</v>
      </c>
      <c r="BK155" s="30">
        <f>'Equity Volume Data'!BN155*'Equity Price Data'!BQ156</f>
        <v>87919.58</v>
      </c>
      <c r="BL155" s="30">
        <f>'Equity Volume Data'!BO155*'Equity Price Data'!BR156</f>
        <v>570.11</v>
      </c>
      <c r="BM155" s="30">
        <f>'Equity Volume Data'!BP155*'Equity Price Data'!BS156</f>
        <v>9865.44</v>
      </c>
      <c r="BN155" s="30">
        <f>'Equity Volume Data'!BQ155*'Equity Price Data'!BT156</f>
        <v>20937.56</v>
      </c>
      <c r="BO155" s="30">
        <f>'Equity Volume Data'!BR155*'Equity Price Data'!BU156</f>
        <v>53374.07</v>
      </c>
    </row>
    <row r="156">
      <c r="A156" s="25">
        <f>'Equity Price Data'!A157</f>
        <v>45646.66667</v>
      </c>
      <c r="B156" s="29">
        <f t="shared" si="1"/>
        <v>1333432.72</v>
      </c>
      <c r="C156" s="30">
        <f>'Equity Volume Data'!F156*'Equity Price Data'!I157</f>
        <v>5813.21</v>
      </c>
      <c r="D156" s="30">
        <f>'Equity Volume Data'!G156*'Equity Price Data'!J157</f>
        <v>58479.2</v>
      </c>
      <c r="E156" s="30">
        <f>'Equity Volume Data'!H156*'Equity Price Data'!K157</f>
        <v>13851.2</v>
      </c>
      <c r="F156" s="30">
        <f>'Equity Volume Data'!I156*'Equity Price Data'!L157</f>
        <v>65149.44</v>
      </c>
      <c r="G156" s="30">
        <f>'Equity Volume Data'!J156*'Equity Price Data'!M157</f>
        <v>13577.97</v>
      </c>
      <c r="H156" s="30">
        <f>'Equity Volume Data'!K156*'Equity Price Data'!N157</f>
        <v>14592.56</v>
      </c>
      <c r="I156" s="30">
        <f>'Equity Volume Data'!L156*'Equity Price Data'!O157</f>
        <v>13080</v>
      </c>
      <c r="J156" s="30">
        <f>'Equity Volume Data'!M156*'Equity Price Data'!P157</f>
        <v>46226.4</v>
      </c>
      <c r="K156" s="30">
        <f>'Equity Volume Data'!N156*'Equity Price Data'!Q157</f>
        <v>9840</v>
      </c>
      <c r="L156" s="30">
        <f>'Equity Volume Data'!O156*'Equity Price Data'!R157</f>
        <v>17722.87</v>
      </c>
      <c r="M156" s="30">
        <f>'Equity Volume Data'!P156*'Equity Price Data'!S157</f>
        <v>0</v>
      </c>
      <c r="N156" s="30">
        <f>'Equity Volume Data'!Q156*'Equity Price Data'!T157</f>
        <v>5479.2</v>
      </c>
      <c r="O156" s="30">
        <f>'Equity Volume Data'!R156*'Equity Price Data'!U157</f>
        <v>54906</v>
      </c>
      <c r="P156" s="30">
        <f>'Equity Volume Data'!S156*'Equity Price Data'!V157</f>
        <v>21867.48</v>
      </c>
      <c r="Q156" s="30">
        <f>'Equity Volume Data'!T156*'Equity Price Data'!W157</f>
        <v>22566</v>
      </c>
      <c r="R156" s="30">
        <f>'Equity Volume Data'!U156*'Equity Price Data'!X157</f>
        <v>11428</v>
      </c>
      <c r="S156" s="30">
        <f>'Equity Volume Data'!V156*'Equity Price Data'!Y157</f>
        <v>24368.96</v>
      </c>
      <c r="T156" s="30">
        <f>'Equity Volume Data'!W156*'Equity Price Data'!Z157</f>
        <v>10862.5</v>
      </c>
      <c r="U156" s="30">
        <f>'Equity Volume Data'!X156*'Equity Price Data'!AA157</f>
        <v>16513.2</v>
      </c>
      <c r="V156" s="30">
        <f>'Equity Volume Data'!Y156*'Equity Price Data'!AB157</f>
        <v>14494.83</v>
      </c>
      <c r="W156" s="30">
        <f>'Equity Volume Data'!Z156*'Equity Price Data'!AC157</f>
        <v>12321.33</v>
      </c>
      <c r="X156" s="30">
        <f>'Equity Volume Data'!AA156*'Equity Price Data'!AD157</f>
        <v>0</v>
      </c>
      <c r="Y156" s="30">
        <f>'Equity Volume Data'!AB156*'Equity Price Data'!AE157</f>
        <v>5540.34</v>
      </c>
      <c r="Z156" s="30">
        <f>'Equity Volume Data'!AC156*'Equity Price Data'!AF157</f>
        <v>9751.5</v>
      </c>
      <c r="AA156" s="30">
        <f>'Equity Volume Data'!AD156*'Equity Price Data'!AG157</f>
        <v>17997.9</v>
      </c>
      <c r="AB156" s="30">
        <f>'Equity Volume Data'!AE156*'Equity Price Data'!AH157</f>
        <v>16543.8</v>
      </c>
      <c r="AC156" s="30">
        <f>'Equity Volume Data'!AF156*'Equity Price Data'!AI157</f>
        <v>17077.2</v>
      </c>
      <c r="AD156" s="30">
        <f>'Equity Volume Data'!AG156*'Equity Price Data'!AJ157</f>
        <v>11863.8</v>
      </c>
      <c r="AE156" s="30">
        <f>'Equity Volume Data'!AH156*'Equity Price Data'!AK157</f>
        <v>10362</v>
      </c>
      <c r="AF156" s="30">
        <f>'Equity Volume Data'!AI156*'Equity Price Data'!AL157</f>
        <v>18976.85</v>
      </c>
      <c r="AG156" s="30">
        <f>'Equity Volume Data'!AJ156*'Equity Price Data'!AM157</f>
        <v>33966</v>
      </c>
      <c r="AH156" s="30">
        <f>'Equity Volume Data'!AK156*'Equity Price Data'!AN157</f>
        <v>39260</v>
      </c>
      <c r="AI156" s="30">
        <f>'Equity Volume Data'!AL156*'Equity Price Data'!AO157</f>
        <v>21341.25</v>
      </c>
      <c r="AJ156" s="30">
        <f>'Equity Volume Data'!AM156*'Equity Price Data'!AP157</f>
        <v>19540.3</v>
      </c>
      <c r="AK156" s="30">
        <f>'Equity Volume Data'!AN156*'Equity Price Data'!AQ157</f>
        <v>24648.21</v>
      </c>
      <c r="AL156" s="30">
        <f>'Equity Volume Data'!AO156*'Equity Price Data'!AR157</f>
        <v>38016</v>
      </c>
      <c r="AM156" s="30">
        <f>'Equity Volume Data'!AP156*'Equity Price Data'!AS157</f>
        <v>34231.4</v>
      </c>
      <c r="AN156" s="30">
        <f>'Equity Volume Data'!AQ156*'Equity Price Data'!AT157</f>
        <v>13279.7</v>
      </c>
      <c r="AO156" s="30">
        <f>'Equity Volume Data'!AR156*'Equity Price Data'!AU157</f>
        <v>25901.82</v>
      </c>
      <c r="AP156" s="30">
        <f>'Equity Volume Data'!AS156*'Equity Price Data'!AV157</f>
        <v>20257.5</v>
      </c>
      <c r="AQ156" s="30">
        <f>'Equity Volume Data'!AT156*'Equity Price Data'!AW157</f>
        <v>17899.2</v>
      </c>
      <c r="AR156" s="30">
        <f>'Equity Volume Data'!AU156*'Equity Price Data'!AX157</f>
        <v>0</v>
      </c>
      <c r="AS156" s="30">
        <f>'Equity Volume Data'!AV156*'Equity Price Data'!AY157</f>
        <v>52392</v>
      </c>
      <c r="AT156" s="30">
        <f>'Equity Volume Data'!AW156*'Equity Price Data'!AZ157</f>
        <v>14334</v>
      </c>
      <c r="AU156" s="30">
        <f>'Equity Volume Data'!AX156*'Equity Price Data'!BA157</f>
        <v>0</v>
      </c>
      <c r="AV156" s="30">
        <f>'Equity Volume Data'!AY156*'Equity Price Data'!BB157</f>
        <v>19127.4</v>
      </c>
      <c r="AW156" s="30">
        <f>'Equity Volume Data'!AZ156*'Equity Price Data'!BC157</f>
        <v>3742.4</v>
      </c>
      <c r="AX156" s="30">
        <f>'Equity Volume Data'!BA156*'Equity Price Data'!BD157</f>
        <v>4571.2</v>
      </c>
      <c r="AY156" s="30">
        <f>'Equity Volume Data'!BB156*'Equity Price Data'!BE157</f>
        <v>32381.1</v>
      </c>
      <c r="AZ156" s="30">
        <f>'Equity Volume Data'!BC156*'Equity Price Data'!BF157</f>
        <v>13069.5</v>
      </c>
      <c r="BA156" s="30">
        <f>'Equity Volume Data'!BD156*'Equity Price Data'!BG157</f>
        <v>5008.4</v>
      </c>
      <c r="BB156" s="30">
        <f>'Equity Volume Data'!BE156*'Equity Price Data'!BH157</f>
        <v>9318.4</v>
      </c>
      <c r="BC156" s="30">
        <f>'Equity Volume Data'!BF156*'Equity Price Data'!BI157</f>
        <v>0</v>
      </c>
      <c r="BD156" s="30">
        <f>'Equity Volume Data'!BG156*'Equity Price Data'!BJ157</f>
        <v>46926.03</v>
      </c>
      <c r="BE156" s="30">
        <f>'Equity Volume Data'!BH156*'Equity Price Data'!BK157</f>
        <v>12053.15</v>
      </c>
      <c r="BF156" s="30">
        <f>'Equity Volume Data'!BI156*'Equity Price Data'!BL157</f>
        <v>7126.8</v>
      </c>
      <c r="BG156" s="30">
        <f>'Equity Volume Data'!BJ156*'Equity Price Data'!BM157</f>
        <v>17152.6</v>
      </c>
      <c r="BH156" s="30">
        <f>'Equity Volume Data'!BK156*'Equity Price Data'!BN157</f>
        <v>0</v>
      </c>
      <c r="BI156" s="30">
        <f>'Equity Volume Data'!BL156*'Equity Price Data'!BO157</f>
        <v>36211.2</v>
      </c>
      <c r="BJ156" s="30">
        <f>'Equity Volume Data'!BM156*'Equity Price Data'!BP157</f>
        <v>37509.75</v>
      </c>
      <c r="BK156" s="30">
        <f>'Equity Volume Data'!BN156*'Equity Price Data'!BQ157</f>
        <v>88009.68</v>
      </c>
      <c r="BL156" s="30">
        <f>'Equity Volume Data'!BO156*'Equity Price Data'!BR157</f>
        <v>588.44</v>
      </c>
      <c r="BM156" s="30">
        <f>'Equity Volume Data'!BP156*'Equity Price Data'!BS157</f>
        <v>9879.84</v>
      </c>
      <c r="BN156" s="30">
        <f>'Equity Volume Data'!BQ156*'Equity Price Data'!BT157</f>
        <v>21061.64</v>
      </c>
      <c r="BO156" s="30">
        <f>'Equity Volume Data'!BR156*'Equity Price Data'!BU157</f>
        <v>53374.07</v>
      </c>
    </row>
    <row r="157">
      <c r="A157" s="25">
        <f>'Equity Price Data'!A158</f>
        <v>45649.66667</v>
      </c>
      <c r="B157" s="29">
        <f t="shared" si="1"/>
        <v>1337669.76</v>
      </c>
      <c r="C157" s="30">
        <f>'Equity Volume Data'!F157*'Equity Price Data'!I158</f>
        <v>5807.62</v>
      </c>
      <c r="D157" s="30">
        <f>'Equity Volume Data'!G157*'Equity Price Data'!J158</f>
        <v>58515.6</v>
      </c>
      <c r="E157" s="30">
        <f>'Equity Volume Data'!H157*'Equity Price Data'!K158</f>
        <v>13857.8</v>
      </c>
      <c r="F157" s="30">
        <f>'Equity Volume Data'!I157*'Equity Price Data'!L158</f>
        <v>65349.12</v>
      </c>
      <c r="G157" s="30">
        <f>'Equity Volume Data'!J157*'Equity Price Data'!M158</f>
        <v>13899.18</v>
      </c>
      <c r="H157" s="30">
        <f>'Equity Volume Data'!K157*'Equity Price Data'!N158</f>
        <v>14583.16</v>
      </c>
      <c r="I157" s="30">
        <f>'Equity Volume Data'!L157*'Equity Price Data'!O158</f>
        <v>13190</v>
      </c>
      <c r="J157" s="30">
        <f>'Equity Volume Data'!M157*'Equity Price Data'!P158</f>
        <v>46343.7</v>
      </c>
      <c r="K157" s="30">
        <f>'Equity Volume Data'!N157*'Equity Price Data'!Q158</f>
        <v>9882</v>
      </c>
      <c r="L157" s="30">
        <f>'Equity Volume Data'!O157*'Equity Price Data'!R158</f>
        <v>18074.98</v>
      </c>
      <c r="M157" s="30">
        <f>'Equity Volume Data'!P157*'Equity Price Data'!S158</f>
        <v>0</v>
      </c>
      <c r="N157" s="30">
        <f>'Equity Volume Data'!Q157*'Equity Price Data'!T158</f>
        <v>5503.2</v>
      </c>
      <c r="O157" s="30">
        <f>'Equity Volume Data'!R157*'Equity Price Data'!U158</f>
        <v>54808.5</v>
      </c>
      <c r="P157" s="30">
        <f>'Equity Volume Data'!S157*'Equity Price Data'!V158</f>
        <v>22159.38</v>
      </c>
      <c r="Q157" s="30">
        <f>'Equity Volume Data'!T157*'Equity Price Data'!W158</f>
        <v>22635.6</v>
      </c>
      <c r="R157" s="30">
        <f>'Equity Volume Data'!U157*'Equity Price Data'!X158</f>
        <v>11437.6</v>
      </c>
      <c r="S157" s="30">
        <f>'Equity Volume Data'!V157*'Equity Price Data'!Y158</f>
        <v>24783.44</v>
      </c>
      <c r="T157" s="30">
        <f>'Equity Volume Data'!W157*'Equity Price Data'!Z158</f>
        <v>10892.5</v>
      </c>
      <c r="U157" s="30">
        <f>'Equity Volume Data'!X157*'Equity Price Data'!AA158</f>
        <v>16468.32</v>
      </c>
      <c r="V157" s="30">
        <f>'Equity Volume Data'!Y157*'Equity Price Data'!AB158</f>
        <v>14436.87</v>
      </c>
      <c r="W157" s="30">
        <f>'Equity Volume Data'!Z157*'Equity Price Data'!AC158</f>
        <v>12314.43</v>
      </c>
      <c r="X157" s="30">
        <f>'Equity Volume Data'!AA157*'Equity Price Data'!AD158</f>
        <v>0</v>
      </c>
      <c r="Y157" s="30">
        <f>'Equity Volume Data'!AB157*'Equity Price Data'!AE158</f>
        <v>5545.02</v>
      </c>
      <c r="Z157" s="30">
        <f>'Equity Volume Data'!AC157*'Equity Price Data'!AF158</f>
        <v>9544.5</v>
      </c>
      <c r="AA157" s="30">
        <f>'Equity Volume Data'!AD157*'Equity Price Data'!AG158</f>
        <v>18071</v>
      </c>
      <c r="AB157" s="30">
        <f>'Equity Volume Data'!AE157*'Equity Price Data'!AH158</f>
        <v>16140.6</v>
      </c>
      <c r="AC157" s="30">
        <f>'Equity Volume Data'!AF157*'Equity Price Data'!AI158</f>
        <v>17206</v>
      </c>
      <c r="AD157" s="30">
        <f>'Equity Volume Data'!AG157*'Equity Price Data'!AJ158</f>
        <v>11933.55</v>
      </c>
      <c r="AE157" s="30">
        <f>'Equity Volume Data'!AH157*'Equity Price Data'!AK158</f>
        <v>10512</v>
      </c>
      <c r="AF157" s="30">
        <f>'Equity Volume Data'!AI157*'Equity Price Data'!AL158</f>
        <v>19147</v>
      </c>
      <c r="AG157" s="30">
        <f>'Equity Volume Data'!AJ157*'Equity Price Data'!AM158</f>
        <v>34246.8</v>
      </c>
      <c r="AH157" s="30">
        <f>'Equity Volume Data'!AK157*'Equity Price Data'!AN158</f>
        <v>39245</v>
      </c>
      <c r="AI157" s="30">
        <f>'Equity Volume Data'!AL157*'Equity Price Data'!AO158</f>
        <v>21096.25</v>
      </c>
      <c r="AJ157" s="30">
        <f>'Equity Volume Data'!AM157*'Equity Price Data'!AP158</f>
        <v>19520.8</v>
      </c>
      <c r="AK157" s="30">
        <f>'Equity Volume Data'!AN157*'Equity Price Data'!AQ158</f>
        <v>24779.34</v>
      </c>
      <c r="AL157" s="30">
        <f>'Equity Volume Data'!AO157*'Equity Price Data'!AR158</f>
        <v>38142.4</v>
      </c>
      <c r="AM157" s="30">
        <f>'Equity Volume Data'!AP157*'Equity Price Data'!AS158</f>
        <v>34054.3</v>
      </c>
      <c r="AN157" s="30">
        <f>'Equity Volume Data'!AQ157*'Equity Price Data'!AT158</f>
        <v>13422.15</v>
      </c>
      <c r="AO157" s="30">
        <f>'Equity Volume Data'!AR157*'Equity Price Data'!AU158</f>
        <v>26158.02</v>
      </c>
      <c r="AP157" s="30">
        <f>'Equity Volume Data'!AS157*'Equity Price Data'!AV158</f>
        <v>20350</v>
      </c>
      <c r="AQ157" s="30">
        <f>'Equity Volume Data'!AT157*'Equity Price Data'!AW158</f>
        <v>17976.2</v>
      </c>
      <c r="AR157" s="30">
        <f>'Equity Volume Data'!AU157*'Equity Price Data'!AX158</f>
        <v>0</v>
      </c>
      <c r="AS157" s="30">
        <f>'Equity Volume Data'!AV157*'Equity Price Data'!AY158</f>
        <v>52230</v>
      </c>
      <c r="AT157" s="30">
        <f>'Equity Volume Data'!AW157*'Equity Price Data'!AZ158</f>
        <v>14498</v>
      </c>
      <c r="AU157" s="30">
        <f>'Equity Volume Data'!AX157*'Equity Price Data'!BA158</f>
        <v>0</v>
      </c>
      <c r="AV157" s="30">
        <f>'Equity Volume Data'!AY157*'Equity Price Data'!BB158</f>
        <v>19833.14</v>
      </c>
      <c r="AW157" s="30">
        <f>'Equity Volume Data'!AZ157*'Equity Price Data'!BC158</f>
        <v>3740.4</v>
      </c>
      <c r="AX157" s="30">
        <f>'Equity Volume Data'!BA157*'Equity Price Data'!BD158</f>
        <v>4532</v>
      </c>
      <c r="AY157" s="30">
        <f>'Equity Volume Data'!BB157*'Equity Price Data'!BE158</f>
        <v>32437.38</v>
      </c>
      <c r="AZ157" s="30">
        <f>'Equity Volume Data'!BC157*'Equity Price Data'!BF158</f>
        <v>13035</v>
      </c>
      <c r="BA157" s="30">
        <f>'Equity Volume Data'!BD157*'Equity Price Data'!BG158</f>
        <v>5074.9</v>
      </c>
      <c r="BB157" s="30">
        <f>'Equity Volume Data'!BE157*'Equity Price Data'!BH158</f>
        <v>9330.4</v>
      </c>
      <c r="BC157" s="30">
        <f>'Equity Volume Data'!BF157*'Equity Price Data'!BI158</f>
        <v>0</v>
      </c>
      <c r="BD157" s="30">
        <f>'Equity Volume Data'!BG157*'Equity Price Data'!BJ158</f>
        <v>47213.58</v>
      </c>
      <c r="BE157" s="30">
        <f>'Equity Volume Data'!BH157*'Equity Price Data'!BK158</f>
        <v>12081.67</v>
      </c>
      <c r="BF157" s="30">
        <f>'Equity Volume Data'!BI157*'Equity Price Data'!BL158</f>
        <v>7218</v>
      </c>
      <c r="BG157" s="30">
        <f>'Equity Volume Data'!BJ157*'Equity Price Data'!BM158</f>
        <v>17416.7</v>
      </c>
      <c r="BH157" s="30">
        <f>'Equity Volume Data'!BK157*'Equity Price Data'!BN158</f>
        <v>0</v>
      </c>
      <c r="BI157" s="30">
        <f>'Equity Volume Data'!BL157*'Equity Price Data'!BO158</f>
        <v>36340.8</v>
      </c>
      <c r="BJ157" s="30">
        <f>'Equity Volume Data'!BM157*'Equity Price Data'!BP158</f>
        <v>37975.5</v>
      </c>
      <c r="BK157" s="30">
        <f>'Equity Volume Data'!BN157*'Equity Price Data'!BQ158</f>
        <v>87991.66</v>
      </c>
      <c r="BL157" s="30">
        <f>'Equity Volume Data'!BO157*'Equity Price Data'!BR158</f>
        <v>587.03</v>
      </c>
      <c r="BM157" s="30">
        <f>'Equity Volume Data'!BP157*'Equity Price Data'!BS158</f>
        <v>9782.4</v>
      </c>
      <c r="BN157" s="30">
        <f>'Equity Volume Data'!BQ157*'Equity Price Data'!BT158</f>
        <v>20943.2</v>
      </c>
      <c r="BO157" s="30">
        <f>'Equity Volume Data'!BR157*'Equity Price Data'!BU158</f>
        <v>53374.07</v>
      </c>
    </row>
    <row r="158">
      <c r="A158" s="25">
        <f>'Equity Price Data'!A159</f>
        <v>45650.54514</v>
      </c>
      <c r="B158" s="29">
        <f t="shared" si="1"/>
        <v>1346588.57</v>
      </c>
      <c r="C158" s="30">
        <f>'Equity Volume Data'!F158*'Equity Price Data'!I159</f>
        <v>5823.22</v>
      </c>
      <c r="D158" s="30">
        <f>'Equity Volume Data'!G158*'Equity Price Data'!J159</f>
        <v>59553</v>
      </c>
      <c r="E158" s="30">
        <f>'Equity Volume Data'!H158*'Equity Price Data'!K159</f>
        <v>13830.3</v>
      </c>
      <c r="F158" s="30">
        <f>'Equity Volume Data'!I158*'Equity Price Data'!L159</f>
        <v>66099.2</v>
      </c>
      <c r="G158" s="30">
        <f>'Equity Volume Data'!J158*'Equity Price Data'!M159</f>
        <v>13974.71</v>
      </c>
      <c r="H158" s="30">
        <f>'Equity Volume Data'!K158*'Equity Price Data'!N159</f>
        <v>14673.4</v>
      </c>
      <c r="I158" s="30">
        <f>'Equity Volume Data'!L158*'Equity Price Data'!O159</f>
        <v>13450</v>
      </c>
      <c r="J158" s="30">
        <f>'Equity Volume Data'!M158*'Equity Price Data'!P159</f>
        <v>46783.32</v>
      </c>
      <c r="K158" s="30">
        <f>'Equity Volume Data'!N158*'Equity Price Data'!Q159</f>
        <v>9884</v>
      </c>
      <c r="L158" s="30">
        <f>'Equity Volume Data'!O158*'Equity Price Data'!R159</f>
        <v>18031.42</v>
      </c>
      <c r="M158" s="30">
        <f>'Equity Volume Data'!P158*'Equity Price Data'!S159</f>
        <v>0</v>
      </c>
      <c r="N158" s="30">
        <f>'Equity Volume Data'!Q158*'Equity Price Data'!T159</f>
        <v>5556</v>
      </c>
      <c r="O158" s="30">
        <f>'Equity Volume Data'!R158*'Equity Price Data'!U159</f>
        <v>55135.5</v>
      </c>
      <c r="P158" s="30">
        <f>'Equity Volume Data'!S158*'Equity Price Data'!V159</f>
        <v>21942.54</v>
      </c>
      <c r="Q158" s="30">
        <f>'Equity Volume Data'!T158*'Equity Price Data'!W159</f>
        <v>22758</v>
      </c>
      <c r="R158" s="30">
        <f>'Equity Volume Data'!U158*'Equity Price Data'!X159</f>
        <v>11507.2</v>
      </c>
      <c r="S158" s="30">
        <f>'Equity Volume Data'!V158*'Equity Price Data'!Y159</f>
        <v>24645.28</v>
      </c>
      <c r="T158" s="30">
        <f>'Equity Volume Data'!W158*'Equity Price Data'!Z159</f>
        <v>11000</v>
      </c>
      <c r="U158" s="30">
        <f>'Equity Volume Data'!X158*'Equity Price Data'!AA159</f>
        <v>16589.76</v>
      </c>
      <c r="V158" s="30">
        <f>'Equity Volume Data'!Y158*'Equity Price Data'!AB159</f>
        <v>14422.38</v>
      </c>
      <c r="W158" s="30">
        <f>'Equity Volume Data'!Z158*'Equity Price Data'!AC159</f>
        <v>12447.6</v>
      </c>
      <c r="X158" s="30">
        <f>'Equity Volume Data'!AA158*'Equity Price Data'!AD159</f>
        <v>0</v>
      </c>
      <c r="Y158" s="30">
        <f>'Equity Volume Data'!AB158*'Equity Price Data'!AE159</f>
        <v>5603</v>
      </c>
      <c r="Z158" s="30">
        <f>'Equity Volume Data'!AC158*'Equity Price Data'!AF159</f>
        <v>9567</v>
      </c>
      <c r="AA158" s="30">
        <f>'Equity Volume Data'!AD158*'Equity Price Data'!AG159</f>
        <v>18088</v>
      </c>
      <c r="AB158" s="30">
        <f>'Equity Volume Data'!AE158*'Equity Price Data'!AH159</f>
        <v>16310.4</v>
      </c>
      <c r="AC158" s="30">
        <f>'Equity Volume Data'!AF158*'Equity Price Data'!AI159</f>
        <v>17359.2</v>
      </c>
      <c r="AD158" s="30">
        <f>'Equity Volume Data'!AG158*'Equity Price Data'!AJ159</f>
        <v>11965.5</v>
      </c>
      <c r="AE158" s="30">
        <f>'Equity Volume Data'!AH158*'Equity Price Data'!AK159</f>
        <v>10702</v>
      </c>
      <c r="AF158" s="30">
        <f>'Equity Volume Data'!AI158*'Equity Price Data'!AL159</f>
        <v>19259.75</v>
      </c>
      <c r="AG158" s="30">
        <f>'Equity Volume Data'!AJ158*'Equity Price Data'!AM159</f>
        <v>34967.4</v>
      </c>
      <c r="AH158" s="30">
        <f>'Equity Volume Data'!AK158*'Equity Price Data'!AN159</f>
        <v>39614</v>
      </c>
      <c r="AI158" s="30">
        <f>'Equity Volume Data'!AL158*'Equity Price Data'!AO159</f>
        <v>21392</v>
      </c>
      <c r="AJ158" s="30">
        <f>'Equity Volume Data'!AM158*'Equity Price Data'!AP159</f>
        <v>19559.8</v>
      </c>
      <c r="AK158" s="30">
        <f>'Equity Volume Data'!AN158*'Equity Price Data'!AQ159</f>
        <v>25239.94</v>
      </c>
      <c r="AL158" s="30">
        <f>'Equity Volume Data'!AO158*'Equity Price Data'!AR159</f>
        <v>38769.6</v>
      </c>
      <c r="AM158" s="30">
        <f>'Equity Volume Data'!AP158*'Equity Price Data'!AS159</f>
        <v>34169.1</v>
      </c>
      <c r="AN158" s="30">
        <f>'Equity Volume Data'!AQ158*'Equity Price Data'!AT159</f>
        <v>13499.15</v>
      </c>
      <c r="AO158" s="30">
        <f>'Equity Volume Data'!AR158*'Equity Price Data'!AU159</f>
        <v>26192.18</v>
      </c>
      <c r="AP158" s="30">
        <f>'Equity Volume Data'!AS158*'Equity Price Data'!AV159</f>
        <v>20385</v>
      </c>
      <c r="AQ158" s="30">
        <f>'Equity Volume Data'!AT158*'Equity Price Data'!AW159</f>
        <v>18095</v>
      </c>
      <c r="AR158" s="30">
        <f>'Equity Volume Data'!AU158*'Equity Price Data'!AX159</f>
        <v>0</v>
      </c>
      <c r="AS158" s="30">
        <f>'Equity Volume Data'!AV158*'Equity Price Data'!AY159</f>
        <v>52719.6</v>
      </c>
      <c r="AT158" s="30">
        <f>'Equity Volume Data'!AW158*'Equity Price Data'!AZ159</f>
        <v>14582</v>
      </c>
      <c r="AU158" s="30">
        <f>'Equity Volume Data'!AX158*'Equity Price Data'!BA159</f>
        <v>0</v>
      </c>
      <c r="AV158" s="30">
        <f>'Equity Volume Data'!AY158*'Equity Price Data'!BB159</f>
        <v>19911.24</v>
      </c>
      <c r="AW158" s="30">
        <f>'Equity Volume Data'!AZ158*'Equity Price Data'!BC159</f>
        <v>3760</v>
      </c>
      <c r="AX158" s="30">
        <f>'Equity Volume Data'!BA158*'Equity Price Data'!BD159</f>
        <v>4516</v>
      </c>
      <c r="AY158" s="30">
        <f>'Equity Volume Data'!BB158*'Equity Price Data'!BE159</f>
        <v>33116.76</v>
      </c>
      <c r="AZ158" s="30">
        <f>'Equity Volume Data'!BC158*'Equity Price Data'!BF159</f>
        <v>13237.5</v>
      </c>
      <c r="BA158" s="30">
        <f>'Equity Volume Data'!BD158*'Equity Price Data'!BG159</f>
        <v>5080.6</v>
      </c>
      <c r="BB158" s="30">
        <f>'Equity Volume Data'!BE158*'Equity Price Data'!BH159</f>
        <v>9346.4</v>
      </c>
      <c r="BC158" s="30">
        <f>'Equity Volume Data'!BF158*'Equity Price Data'!BI159</f>
        <v>0</v>
      </c>
      <c r="BD158" s="30">
        <f>'Equity Volume Data'!BG158*'Equity Price Data'!BJ159</f>
        <v>47501.13</v>
      </c>
      <c r="BE158" s="30">
        <f>'Equity Volume Data'!BH158*'Equity Price Data'!BK159</f>
        <v>12166.54</v>
      </c>
      <c r="BF158" s="30">
        <f>'Equity Volume Data'!BI158*'Equity Price Data'!BL159</f>
        <v>7257.2</v>
      </c>
      <c r="BG158" s="30">
        <f>'Equity Volume Data'!BJ158*'Equity Price Data'!BM159</f>
        <v>17764.2</v>
      </c>
      <c r="BH158" s="30">
        <f>'Equity Volume Data'!BK158*'Equity Price Data'!BN159</f>
        <v>0</v>
      </c>
      <c r="BI158" s="30">
        <f>'Equity Volume Data'!BL158*'Equity Price Data'!BO159</f>
        <v>36760</v>
      </c>
      <c r="BJ158" s="30">
        <f>'Equity Volume Data'!BM158*'Equity Price Data'!BP159</f>
        <v>37957.5</v>
      </c>
      <c r="BK158" s="30">
        <f>'Equity Volume Data'!BN158*'Equity Price Data'!BQ159</f>
        <v>87090.66</v>
      </c>
      <c r="BL158" s="30">
        <f>'Equity Volume Data'!BO158*'Equity Price Data'!BR159</f>
        <v>582.8</v>
      </c>
      <c r="BM158" s="30">
        <f>'Equity Volume Data'!BP158*'Equity Price Data'!BS159</f>
        <v>9858.24</v>
      </c>
      <c r="BN158" s="30">
        <f>'Equity Volume Data'!BQ158*'Equity Price Data'!BT159</f>
        <v>21161.28</v>
      </c>
      <c r="BO158" s="30">
        <f>'Equity Volume Data'!BR158*'Equity Price Data'!BU159</f>
        <v>53374.07</v>
      </c>
    </row>
    <row r="159">
      <c r="A159" s="25">
        <f>'Equity Price Data'!A160</f>
        <v>45652.66667</v>
      </c>
      <c r="B159" s="29">
        <f t="shared" si="1"/>
        <v>1348306.79</v>
      </c>
      <c r="C159" s="30">
        <f>'Equity Volume Data'!F159*'Equity Price Data'!I160</f>
        <v>5852.08</v>
      </c>
      <c r="D159" s="30">
        <f>'Equity Volume Data'!G159*'Equity Price Data'!J160</f>
        <v>59033</v>
      </c>
      <c r="E159" s="30">
        <f>'Equity Volume Data'!H159*'Equity Price Data'!K160</f>
        <v>13877.6</v>
      </c>
      <c r="F159" s="30">
        <f>'Equity Volume Data'!I159*'Equity Price Data'!L160</f>
        <v>66309.12</v>
      </c>
      <c r="G159" s="30">
        <f>'Equity Volume Data'!J159*'Equity Price Data'!M160</f>
        <v>13906.65</v>
      </c>
      <c r="H159" s="30">
        <f>'Equity Volume Data'!K159*'Equity Price Data'!N160</f>
        <v>14729.8</v>
      </c>
      <c r="I159" s="30">
        <f>'Equity Volume Data'!L159*'Equity Price Data'!O160</f>
        <v>13430</v>
      </c>
      <c r="J159" s="30">
        <f>'Equity Volume Data'!M159*'Equity Price Data'!P160</f>
        <v>46826.16</v>
      </c>
      <c r="K159" s="30">
        <f>'Equity Volume Data'!N159*'Equity Price Data'!Q160</f>
        <v>9870</v>
      </c>
      <c r="L159" s="30">
        <f>'Equity Volume Data'!O159*'Equity Price Data'!R160</f>
        <v>18137.9</v>
      </c>
      <c r="M159" s="30">
        <f>'Equity Volume Data'!P159*'Equity Price Data'!S160</f>
        <v>0</v>
      </c>
      <c r="N159" s="30">
        <f>'Equity Volume Data'!Q159*'Equity Price Data'!T160</f>
        <v>5571.2</v>
      </c>
      <c r="O159" s="30">
        <f>'Equity Volume Data'!R159*'Equity Price Data'!U160</f>
        <v>55068</v>
      </c>
      <c r="P159" s="30">
        <f>'Equity Volume Data'!S159*'Equity Price Data'!V160</f>
        <v>21917.52</v>
      </c>
      <c r="Q159" s="30">
        <f>'Equity Volume Data'!T159*'Equity Price Data'!W160</f>
        <v>22904.4</v>
      </c>
      <c r="R159" s="30">
        <f>'Equity Volume Data'!U159*'Equity Price Data'!X160</f>
        <v>11518.4</v>
      </c>
      <c r="S159" s="30">
        <f>'Equity Volume Data'!V159*'Equity Price Data'!Y160</f>
        <v>24779.04</v>
      </c>
      <c r="T159" s="30">
        <f>'Equity Volume Data'!W159*'Equity Price Data'!Z160</f>
        <v>10975</v>
      </c>
      <c r="U159" s="30">
        <f>'Equity Volume Data'!X159*'Equity Price Data'!AA160</f>
        <v>16518.48</v>
      </c>
      <c r="V159" s="30">
        <f>'Equity Volume Data'!Y159*'Equity Price Data'!AB160</f>
        <v>14423.99</v>
      </c>
      <c r="W159" s="30">
        <f>'Equity Volume Data'!Z159*'Equity Price Data'!AC160</f>
        <v>12385.5</v>
      </c>
      <c r="X159" s="30">
        <f>'Equity Volume Data'!AA159*'Equity Price Data'!AD160</f>
        <v>0</v>
      </c>
      <c r="Y159" s="30">
        <f>'Equity Volume Data'!AB159*'Equity Price Data'!AE160</f>
        <v>5624.06</v>
      </c>
      <c r="Z159" s="30">
        <f>'Equity Volume Data'!AC159*'Equity Price Data'!AF160</f>
        <v>9571.5</v>
      </c>
      <c r="AA159" s="30">
        <f>'Equity Volume Data'!AD159*'Equity Price Data'!AG160</f>
        <v>18103.3</v>
      </c>
      <c r="AB159" s="30">
        <f>'Equity Volume Data'!AE159*'Equity Price Data'!AH160</f>
        <v>16719.6</v>
      </c>
      <c r="AC159" s="30">
        <f>'Equity Volume Data'!AF159*'Equity Price Data'!AI160</f>
        <v>17269.6</v>
      </c>
      <c r="AD159" s="30">
        <f>'Equity Volume Data'!AG159*'Equity Price Data'!AJ160</f>
        <v>12005.1</v>
      </c>
      <c r="AE159" s="30">
        <f>'Equity Volume Data'!AH159*'Equity Price Data'!AK160</f>
        <v>10836</v>
      </c>
      <c r="AF159" s="30">
        <f>'Equity Volume Data'!AI159*'Equity Price Data'!AL160</f>
        <v>19354.05</v>
      </c>
      <c r="AG159" s="30">
        <f>'Equity Volume Data'!AJ159*'Equity Price Data'!AM160</f>
        <v>34873.8</v>
      </c>
      <c r="AH159" s="30">
        <f>'Equity Volume Data'!AK159*'Equity Price Data'!AN160</f>
        <v>39514</v>
      </c>
      <c r="AI159" s="30">
        <f>'Equity Volume Data'!AL159*'Equity Price Data'!AO160</f>
        <v>21621.25</v>
      </c>
      <c r="AJ159" s="30">
        <f>'Equity Volume Data'!AM159*'Equity Price Data'!AP160</f>
        <v>19632.6</v>
      </c>
      <c r="AK159" s="30">
        <f>'Equity Volume Data'!AN159*'Equity Price Data'!AQ160</f>
        <v>25325.01</v>
      </c>
      <c r="AL159" s="30">
        <f>'Equity Volume Data'!AO159*'Equity Price Data'!AR160</f>
        <v>38902.4</v>
      </c>
      <c r="AM159" s="30">
        <f>'Equity Volume Data'!AP159*'Equity Price Data'!AS160</f>
        <v>34298.6</v>
      </c>
      <c r="AN159" s="30">
        <f>'Equity Volume Data'!AQ159*'Equity Price Data'!AT160</f>
        <v>13503.7</v>
      </c>
      <c r="AO159" s="30">
        <f>'Equity Volume Data'!AR159*'Equity Price Data'!AU160</f>
        <v>26337.36</v>
      </c>
      <c r="AP159" s="30">
        <f>'Equity Volume Data'!AS159*'Equity Price Data'!AV160</f>
        <v>20400</v>
      </c>
      <c r="AQ159" s="30">
        <f>'Equity Volume Data'!AT159*'Equity Price Data'!AW160</f>
        <v>18205</v>
      </c>
      <c r="AR159" s="30">
        <f>'Equity Volume Data'!AU159*'Equity Price Data'!AX160</f>
        <v>0</v>
      </c>
      <c r="AS159" s="30">
        <f>'Equity Volume Data'!AV159*'Equity Price Data'!AY160</f>
        <v>52573.2</v>
      </c>
      <c r="AT159" s="30">
        <f>'Equity Volume Data'!AW159*'Equity Price Data'!AZ160</f>
        <v>14474</v>
      </c>
      <c r="AU159" s="30">
        <f>'Equity Volume Data'!AX159*'Equity Price Data'!BA160</f>
        <v>0</v>
      </c>
      <c r="AV159" s="30">
        <f>'Equity Volume Data'!AY159*'Equity Price Data'!BB160</f>
        <v>19870.06</v>
      </c>
      <c r="AW159" s="30">
        <f>'Equity Volume Data'!AZ159*'Equity Price Data'!BC160</f>
        <v>3766</v>
      </c>
      <c r="AX159" s="30">
        <f>'Equity Volume Data'!BA159*'Equity Price Data'!BD160</f>
        <v>4511.2</v>
      </c>
      <c r="AY159" s="30">
        <f>'Equity Volume Data'!BB159*'Equity Price Data'!BE160</f>
        <v>33020.28</v>
      </c>
      <c r="AZ159" s="30">
        <f>'Equity Volume Data'!BC159*'Equity Price Data'!BF160</f>
        <v>13221</v>
      </c>
      <c r="BA159" s="30">
        <f>'Equity Volume Data'!BD159*'Equity Price Data'!BG160</f>
        <v>5046.4</v>
      </c>
      <c r="BB159" s="30">
        <f>'Equity Volume Data'!BE159*'Equity Price Data'!BH160</f>
        <v>9363.2</v>
      </c>
      <c r="BC159" s="30">
        <f>'Equity Volume Data'!BF159*'Equity Price Data'!BI160</f>
        <v>0</v>
      </c>
      <c r="BD159" s="30">
        <f>'Equity Volume Data'!BG159*'Equity Price Data'!BJ160</f>
        <v>47643.84</v>
      </c>
      <c r="BE159" s="30">
        <f>'Equity Volume Data'!BH159*'Equity Price Data'!BK160</f>
        <v>12125.14</v>
      </c>
      <c r="BF159" s="30">
        <f>'Equity Volume Data'!BI159*'Equity Price Data'!BL160</f>
        <v>7894.4</v>
      </c>
      <c r="BG159" s="30">
        <f>'Equity Volume Data'!BJ159*'Equity Price Data'!BM160</f>
        <v>17402.8</v>
      </c>
      <c r="BH159" s="30">
        <f>'Equity Volume Data'!BK159*'Equity Price Data'!BN160</f>
        <v>0</v>
      </c>
      <c r="BI159" s="30">
        <f>'Equity Volume Data'!BL159*'Equity Price Data'!BO160</f>
        <v>36836.8</v>
      </c>
      <c r="BJ159" s="30">
        <f>'Equity Volume Data'!BM159*'Equity Price Data'!BP160</f>
        <v>38336.25</v>
      </c>
      <c r="BK159" s="30">
        <f>'Equity Volume Data'!BN159*'Equity Price Data'!BQ160</f>
        <v>87126.7</v>
      </c>
      <c r="BL159" s="30">
        <f>'Equity Volume Data'!BO159*'Equity Price Data'!BR160</f>
        <v>590.32</v>
      </c>
      <c r="BM159" s="30">
        <f>'Equity Volume Data'!BP159*'Equity Price Data'!BS160</f>
        <v>9840.96</v>
      </c>
      <c r="BN159" s="30">
        <f>'Equity Volume Data'!BQ159*'Equity Price Data'!BT160</f>
        <v>21159.4</v>
      </c>
      <c r="BO159" s="30">
        <f>'Equity Volume Data'!BR159*'Equity Price Data'!BU160</f>
        <v>53374.07</v>
      </c>
    </row>
    <row r="160">
      <c r="A160" s="25">
        <f>'Equity Price Data'!A161</f>
        <v>45653.66667</v>
      </c>
      <c r="B160" s="29">
        <f t="shared" si="1"/>
        <v>1339040.55</v>
      </c>
      <c r="C160" s="30">
        <f>'Equity Volume Data'!F160*'Equity Price Data'!I161</f>
        <v>5804.24</v>
      </c>
      <c r="D160" s="30">
        <f>'Equity Volume Data'!G160*'Equity Price Data'!J161</f>
        <v>58175</v>
      </c>
      <c r="E160" s="30">
        <f>'Equity Volume Data'!H160*'Equity Price Data'!K161</f>
        <v>13781.9</v>
      </c>
      <c r="F160" s="30">
        <f>'Equity Volume Data'!I160*'Equity Price Data'!L161</f>
        <v>65431.04</v>
      </c>
      <c r="G160" s="30">
        <f>'Equity Volume Data'!J160*'Equity Price Data'!M161</f>
        <v>13846.89</v>
      </c>
      <c r="H160" s="30">
        <f>'Equity Volume Data'!K160*'Equity Price Data'!N161</f>
        <v>14583.16</v>
      </c>
      <c r="I160" s="30">
        <f>'Equity Volume Data'!L160*'Equity Price Data'!O161</f>
        <v>13280</v>
      </c>
      <c r="J160" s="30">
        <f>'Equity Volume Data'!M160*'Equity Price Data'!P161</f>
        <v>46564.02</v>
      </c>
      <c r="K160" s="30">
        <f>'Equity Volume Data'!N160*'Equity Price Data'!Q161</f>
        <v>9842</v>
      </c>
      <c r="L160" s="30">
        <f>'Equity Volume Data'!O160*'Equity Price Data'!R161</f>
        <v>18308.51</v>
      </c>
      <c r="M160" s="30">
        <f>'Equity Volume Data'!P160*'Equity Price Data'!S161</f>
        <v>0</v>
      </c>
      <c r="N160" s="30">
        <f>'Equity Volume Data'!Q160*'Equity Price Data'!T161</f>
        <v>5512</v>
      </c>
      <c r="O160" s="30">
        <f>'Equity Volume Data'!R160*'Equity Price Data'!U161</f>
        <v>54729</v>
      </c>
      <c r="P160" s="30">
        <f>'Equity Volume Data'!S160*'Equity Price Data'!V161</f>
        <v>21888.33</v>
      </c>
      <c r="Q160" s="30">
        <f>'Equity Volume Data'!T160*'Equity Price Data'!W161</f>
        <v>22548</v>
      </c>
      <c r="R160" s="30">
        <f>'Equity Volume Data'!U160*'Equity Price Data'!X161</f>
        <v>11520</v>
      </c>
      <c r="S160" s="30">
        <f>'Equity Volume Data'!V160*'Equity Price Data'!Y161</f>
        <v>24526.48</v>
      </c>
      <c r="T160" s="30">
        <f>'Equity Volume Data'!W160*'Equity Price Data'!Z161</f>
        <v>10905</v>
      </c>
      <c r="U160" s="30">
        <f>'Equity Volume Data'!X160*'Equity Price Data'!AA161</f>
        <v>16486.8</v>
      </c>
      <c r="V160" s="30">
        <f>'Equity Volume Data'!Y160*'Equity Price Data'!AB161</f>
        <v>14419.16</v>
      </c>
      <c r="W160" s="30">
        <f>'Equity Volume Data'!Z160*'Equity Price Data'!AC161</f>
        <v>12291.66</v>
      </c>
      <c r="X160" s="30">
        <f>'Equity Volume Data'!AA160*'Equity Price Data'!AD161</f>
        <v>0</v>
      </c>
      <c r="Y160" s="30">
        <f>'Equity Volume Data'!AB160*'Equity Price Data'!AE161</f>
        <v>5585.06</v>
      </c>
      <c r="Z160" s="30">
        <f>'Equity Volume Data'!AC160*'Equity Price Data'!AF161</f>
        <v>9421.5</v>
      </c>
      <c r="AA160" s="30">
        <f>'Equity Volume Data'!AD160*'Equity Price Data'!AG161</f>
        <v>18101.6</v>
      </c>
      <c r="AB160" s="30">
        <f>'Equity Volume Data'!AE160*'Equity Price Data'!AH161</f>
        <v>16821.6</v>
      </c>
      <c r="AC160" s="30">
        <f>'Equity Volume Data'!AF160*'Equity Price Data'!AI161</f>
        <v>17286</v>
      </c>
      <c r="AD160" s="30">
        <f>'Equity Volume Data'!AG160*'Equity Price Data'!AJ161</f>
        <v>11976.3</v>
      </c>
      <c r="AE160" s="30">
        <f>'Equity Volume Data'!AH160*'Equity Price Data'!AK161</f>
        <v>10856</v>
      </c>
      <c r="AF160" s="30">
        <f>'Equity Volume Data'!AI160*'Equity Price Data'!AL161</f>
        <v>19292.55</v>
      </c>
      <c r="AG160" s="30">
        <f>'Equity Volume Data'!AJ160*'Equity Price Data'!AM161</f>
        <v>34570.8</v>
      </c>
      <c r="AH160" s="30">
        <f>'Equity Volume Data'!AK160*'Equity Price Data'!AN161</f>
        <v>39286</v>
      </c>
      <c r="AI160" s="30">
        <f>'Equity Volume Data'!AL160*'Equity Price Data'!AO161</f>
        <v>21516.25</v>
      </c>
      <c r="AJ160" s="30">
        <f>'Equity Volume Data'!AM160*'Equity Price Data'!AP161</f>
        <v>19541.6</v>
      </c>
      <c r="AK160" s="30">
        <f>'Equity Volume Data'!AN160*'Equity Price Data'!AQ161</f>
        <v>25139.36</v>
      </c>
      <c r="AL160" s="30">
        <f>'Equity Volume Data'!AO160*'Equity Price Data'!AR161</f>
        <v>38587.2</v>
      </c>
      <c r="AM160" s="30">
        <f>'Equity Volume Data'!AP160*'Equity Price Data'!AS161</f>
        <v>34227.9</v>
      </c>
      <c r="AN160" s="30">
        <f>'Equity Volume Data'!AQ160*'Equity Price Data'!AT161</f>
        <v>13533.45</v>
      </c>
      <c r="AO160" s="30">
        <f>'Equity Volume Data'!AR160*'Equity Price Data'!AU161</f>
        <v>26209.26</v>
      </c>
      <c r="AP160" s="30">
        <f>'Equity Volume Data'!AS160*'Equity Price Data'!AV161</f>
        <v>20185</v>
      </c>
      <c r="AQ160" s="30">
        <f>'Equity Volume Data'!AT160*'Equity Price Data'!AW161</f>
        <v>18095</v>
      </c>
      <c r="AR160" s="30">
        <f>'Equity Volume Data'!AU160*'Equity Price Data'!AX161</f>
        <v>0</v>
      </c>
      <c r="AS160" s="30">
        <f>'Equity Volume Data'!AV160*'Equity Price Data'!AY161</f>
        <v>51663.6</v>
      </c>
      <c r="AT160" s="30">
        <f>'Equity Volume Data'!AW160*'Equity Price Data'!AZ161</f>
        <v>14422</v>
      </c>
      <c r="AU160" s="30">
        <f>'Equity Volume Data'!AX160*'Equity Price Data'!BA161</f>
        <v>0</v>
      </c>
      <c r="AV160" s="30">
        <f>'Equity Volume Data'!AY160*'Equity Price Data'!BB161</f>
        <v>19455.42</v>
      </c>
      <c r="AW160" s="30">
        <f>'Equity Volume Data'!AZ160*'Equity Price Data'!BC161</f>
        <v>3740.8</v>
      </c>
      <c r="AX160" s="30">
        <f>'Equity Volume Data'!BA160*'Equity Price Data'!BD161</f>
        <v>4450.4</v>
      </c>
      <c r="AY160" s="30">
        <f>'Equity Volume Data'!BB160*'Equity Price Data'!BE161</f>
        <v>31790.16</v>
      </c>
      <c r="AZ160" s="30">
        <f>'Equity Volume Data'!BC160*'Equity Price Data'!BF161</f>
        <v>13029</v>
      </c>
      <c r="BA160" s="30">
        <f>'Equity Volume Data'!BD160*'Equity Price Data'!BG161</f>
        <v>5057.8</v>
      </c>
      <c r="BB160" s="30">
        <f>'Equity Volume Data'!BE160*'Equity Price Data'!BH161</f>
        <v>9336.8</v>
      </c>
      <c r="BC160" s="30">
        <f>'Equity Volume Data'!BF160*'Equity Price Data'!BI161</f>
        <v>0</v>
      </c>
      <c r="BD160" s="30">
        <f>'Equity Volume Data'!BG160*'Equity Price Data'!BJ161</f>
        <v>47503.26</v>
      </c>
      <c r="BE160" s="30">
        <f>'Equity Volume Data'!BH160*'Equity Price Data'!BK161</f>
        <v>12099.61</v>
      </c>
      <c r="BF160" s="30">
        <f>'Equity Volume Data'!BI160*'Equity Price Data'!BL161</f>
        <v>7980.8</v>
      </c>
      <c r="BG160" s="30">
        <f>'Equity Volume Data'!BJ160*'Equity Price Data'!BM161</f>
        <v>16963.56</v>
      </c>
      <c r="BH160" s="30">
        <f>'Equity Volume Data'!BK160*'Equity Price Data'!BN161</f>
        <v>0</v>
      </c>
      <c r="BI160" s="30">
        <f>'Equity Volume Data'!BL160*'Equity Price Data'!BO161</f>
        <v>36788.8</v>
      </c>
      <c r="BJ160" s="30">
        <f>'Equity Volume Data'!BM160*'Equity Price Data'!BP161</f>
        <v>38249.25</v>
      </c>
      <c r="BK160" s="30">
        <f>'Equity Volume Data'!BN160*'Equity Price Data'!BQ161</f>
        <v>87108.68</v>
      </c>
      <c r="BL160" s="30">
        <f>'Equity Volume Data'!BO160*'Equity Price Data'!BR161</f>
        <v>586.56</v>
      </c>
      <c r="BM160" s="30">
        <f>'Equity Volume Data'!BP160*'Equity Price Data'!BS161</f>
        <v>9792.96</v>
      </c>
      <c r="BN160" s="30">
        <f>'Equity Volume Data'!BQ160*'Equity Price Data'!BT161</f>
        <v>20971.4</v>
      </c>
      <c r="BO160" s="30">
        <f>'Equity Volume Data'!BR160*'Equity Price Data'!BU161</f>
        <v>53374.07</v>
      </c>
    </row>
    <row r="161">
      <c r="A161" s="25">
        <f>'Equity Price Data'!A162</f>
        <v>45656.66667</v>
      </c>
      <c r="B161" s="29">
        <f t="shared" si="1"/>
        <v>1327697.22</v>
      </c>
      <c r="C161" s="30">
        <f>'Equity Volume Data'!F161*'Equity Price Data'!I162</f>
        <v>5795.4</v>
      </c>
      <c r="D161" s="30">
        <f>'Equity Volume Data'!G161*'Equity Price Data'!J162</f>
        <v>57538</v>
      </c>
      <c r="E161" s="30">
        <f>'Equity Volume Data'!H161*'Equity Price Data'!K162</f>
        <v>13666.4</v>
      </c>
      <c r="F161" s="30">
        <f>'Equity Volume Data'!I161*'Equity Price Data'!L162</f>
        <v>64563.2</v>
      </c>
      <c r="G161" s="30">
        <f>'Equity Volume Data'!J161*'Equity Price Data'!M162</f>
        <v>13582.12</v>
      </c>
      <c r="H161" s="30">
        <f>'Equity Volume Data'!K161*'Equity Price Data'!N162</f>
        <v>14496.68</v>
      </c>
      <c r="I161" s="30">
        <f>'Equity Volume Data'!L161*'Equity Price Data'!O162</f>
        <v>13290</v>
      </c>
      <c r="J161" s="30">
        <f>'Equity Volume Data'!M161*'Equity Price Data'!P162</f>
        <v>46120.32</v>
      </c>
      <c r="K161" s="30">
        <f>'Equity Volume Data'!N161*'Equity Price Data'!Q162</f>
        <v>9756</v>
      </c>
      <c r="L161" s="30">
        <f>'Equity Volume Data'!O161*'Equity Price Data'!R162</f>
        <v>18172.99</v>
      </c>
      <c r="M161" s="30">
        <f>'Equity Volume Data'!P161*'Equity Price Data'!S162</f>
        <v>0</v>
      </c>
      <c r="N161" s="30">
        <f>'Equity Volume Data'!Q161*'Equity Price Data'!T162</f>
        <v>5458.4</v>
      </c>
      <c r="O161" s="30">
        <f>'Equity Volume Data'!R161*'Equity Price Data'!U162</f>
        <v>54451.5</v>
      </c>
      <c r="P161" s="30">
        <f>'Equity Volume Data'!S161*'Equity Price Data'!V162</f>
        <v>21404.61</v>
      </c>
      <c r="Q161" s="30">
        <f>'Equity Volume Data'!T161*'Equity Price Data'!W162</f>
        <v>22471.2</v>
      </c>
      <c r="R161" s="30">
        <f>'Equity Volume Data'!U161*'Equity Price Data'!X162</f>
        <v>11445.6</v>
      </c>
      <c r="S161" s="30">
        <f>'Equity Volume Data'!V161*'Equity Price Data'!Y162</f>
        <v>24212.32</v>
      </c>
      <c r="T161" s="30">
        <f>'Equity Volume Data'!W161*'Equity Price Data'!Z162</f>
        <v>10890</v>
      </c>
      <c r="U161" s="30">
        <f>'Equity Volume Data'!X161*'Equity Price Data'!AA162</f>
        <v>16375.92</v>
      </c>
      <c r="V161" s="30">
        <f>'Equity Volume Data'!Y161*'Equity Price Data'!AB162</f>
        <v>14354.76</v>
      </c>
      <c r="W161" s="30">
        <f>'Equity Volume Data'!Z161*'Equity Price Data'!AC162</f>
        <v>12159.18</v>
      </c>
      <c r="X161" s="30">
        <f>'Equity Volume Data'!AA161*'Equity Price Data'!AD162</f>
        <v>0</v>
      </c>
      <c r="Y161" s="30">
        <f>'Equity Volume Data'!AB161*'Equity Price Data'!AE162</f>
        <v>5469.36</v>
      </c>
      <c r="Z161" s="30">
        <f>'Equity Volume Data'!AC161*'Equity Price Data'!AF162</f>
        <v>9309</v>
      </c>
      <c r="AA161" s="30">
        <f>'Equity Volume Data'!AD161*'Equity Price Data'!AG162</f>
        <v>17979.2</v>
      </c>
      <c r="AB161" s="30">
        <f>'Equity Volume Data'!AE161*'Equity Price Data'!AH162</f>
        <v>16833</v>
      </c>
      <c r="AC161" s="30">
        <f>'Equity Volume Data'!AF161*'Equity Price Data'!AI162</f>
        <v>17070.8</v>
      </c>
      <c r="AD161" s="30">
        <f>'Equity Volume Data'!AG161*'Equity Price Data'!AJ162</f>
        <v>11852.1</v>
      </c>
      <c r="AE161" s="30">
        <f>'Equity Volume Data'!AH161*'Equity Price Data'!AK162</f>
        <v>10732</v>
      </c>
      <c r="AF161" s="30">
        <f>'Equity Volume Data'!AI161*'Equity Price Data'!AL162</f>
        <v>18862.05</v>
      </c>
      <c r="AG161" s="30">
        <f>'Equity Volume Data'!AJ161*'Equity Price Data'!AM162</f>
        <v>34413</v>
      </c>
      <c r="AH161" s="30">
        <f>'Equity Volume Data'!AK161*'Equity Price Data'!AN162</f>
        <v>38943</v>
      </c>
      <c r="AI161" s="30">
        <f>'Equity Volume Data'!AL161*'Equity Price Data'!AO162</f>
        <v>21747.25</v>
      </c>
      <c r="AJ161" s="30">
        <f>'Equity Volume Data'!AM161*'Equity Price Data'!AP162</f>
        <v>19418.1</v>
      </c>
      <c r="AK161" s="30">
        <f>'Equity Volume Data'!AN161*'Equity Price Data'!AQ162</f>
        <v>24767.12</v>
      </c>
      <c r="AL161" s="30">
        <f>'Equity Volume Data'!AO161*'Equity Price Data'!AR162</f>
        <v>38291.2</v>
      </c>
      <c r="AM161" s="30">
        <f>'Equity Volume Data'!AP161*'Equity Price Data'!AS162</f>
        <v>33835.9</v>
      </c>
      <c r="AN161" s="30">
        <f>'Equity Volume Data'!AQ161*'Equity Price Data'!AT162</f>
        <v>13441.75</v>
      </c>
      <c r="AO161" s="30">
        <f>'Equity Volume Data'!AR161*'Equity Price Data'!AU162</f>
        <v>26158.02</v>
      </c>
      <c r="AP161" s="30">
        <f>'Equity Volume Data'!AS161*'Equity Price Data'!AV162</f>
        <v>19902.5</v>
      </c>
      <c r="AQ161" s="30">
        <f>'Equity Volume Data'!AT161*'Equity Price Data'!AW162</f>
        <v>17932.2</v>
      </c>
      <c r="AR161" s="30">
        <f>'Equity Volume Data'!AU161*'Equity Price Data'!AX162</f>
        <v>0</v>
      </c>
      <c r="AS161" s="30">
        <f>'Equity Volume Data'!AV161*'Equity Price Data'!AY162</f>
        <v>50979.6</v>
      </c>
      <c r="AT161" s="30">
        <f>'Equity Volume Data'!AW161*'Equity Price Data'!AZ162</f>
        <v>14352</v>
      </c>
      <c r="AU161" s="30">
        <f>'Equity Volume Data'!AX161*'Equity Price Data'!BA162</f>
        <v>0</v>
      </c>
      <c r="AV161" s="30">
        <f>'Equity Volume Data'!AY161*'Equity Price Data'!BB162</f>
        <v>19523.58</v>
      </c>
      <c r="AW161" s="30">
        <f>'Equity Volume Data'!AZ161*'Equity Price Data'!BC162</f>
        <v>3702.8</v>
      </c>
      <c r="AX161" s="30">
        <f>'Equity Volume Data'!BA161*'Equity Price Data'!BD162</f>
        <v>4415.2</v>
      </c>
      <c r="AY161" s="30">
        <f>'Equity Volume Data'!BB161*'Equity Price Data'!BE162</f>
        <v>31026.36</v>
      </c>
      <c r="AZ161" s="30">
        <f>'Equity Volume Data'!BC161*'Equity Price Data'!BF162</f>
        <v>12814.5</v>
      </c>
      <c r="BA161" s="30">
        <f>'Equity Volume Data'!BD161*'Equity Price Data'!BG162</f>
        <v>5019.8</v>
      </c>
      <c r="BB161" s="30">
        <f>'Equity Volume Data'!BE161*'Equity Price Data'!BH162</f>
        <v>9217.6</v>
      </c>
      <c r="BC161" s="30">
        <f>'Equity Volume Data'!BF161*'Equity Price Data'!BI162</f>
        <v>0</v>
      </c>
      <c r="BD161" s="30">
        <f>'Equity Volume Data'!BG161*'Equity Price Data'!BJ162</f>
        <v>47000.58</v>
      </c>
      <c r="BE161" s="30">
        <f>'Equity Volume Data'!BH161*'Equity Price Data'!BK162</f>
        <v>11933.32</v>
      </c>
      <c r="BF161" s="30">
        <f>'Equity Volume Data'!BI161*'Equity Price Data'!BL162</f>
        <v>7826.4</v>
      </c>
      <c r="BG161" s="30">
        <f>'Equity Volume Data'!BJ161*'Equity Price Data'!BM162</f>
        <v>16479.84</v>
      </c>
      <c r="BH161" s="30">
        <f>'Equity Volume Data'!BK161*'Equity Price Data'!BN162</f>
        <v>0</v>
      </c>
      <c r="BI161" s="30">
        <f>'Equity Volume Data'!BL161*'Equity Price Data'!BO162</f>
        <v>36446.4</v>
      </c>
      <c r="BJ161" s="30">
        <f>'Equity Volume Data'!BM161*'Equity Price Data'!BP162</f>
        <v>38085</v>
      </c>
      <c r="BK161" s="30">
        <f>'Equity Volume Data'!BN161*'Equity Price Data'!BQ162</f>
        <v>87216.8</v>
      </c>
      <c r="BL161" s="30">
        <f>'Equity Volume Data'!BO161*'Equity Price Data'!BR162</f>
        <v>581.86</v>
      </c>
      <c r="BM161" s="30">
        <f>'Equity Volume Data'!BP161*'Equity Price Data'!BS162</f>
        <v>9708.96</v>
      </c>
      <c r="BN161" s="30">
        <f>'Equity Volume Data'!BQ161*'Equity Price Data'!BT162</f>
        <v>20830.4</v>
      </c>
      <c r="BO161" s="30">
        <f>'Equity Volume Data'!BR161*'Equity Price Data'!BU162</f>
        <v>53374.07</v>
      </c>
    </row>
    <row r="162">
      <c r="A162" s="25">
        <f>'Equity Price Data'!A163</f>
        <v>45657.66667</v>
      </c>
      <c r="B162" s="29">
        <f t="shared" si="1"/>
        <v>1327093.05</v>
      </c>
      <c r="C162" s="30">
        <f>'Equity Volume Data'!F162*'Equity Price Data'!I163</f>
        <v>5780.84</v>
      </c>
      <c r="D162" s="30">
        <f>'Equity Volume Data'!G162*'Equity Price Data'!J163</f>
        <v>57041.4</v>
      </c>
      <c r="E162" s="30">
        <f>'Equity Volume Data'!H162*'Equity Price Data'!K163</f>
        <v>13693.9</v>
      </c>
      <c r="F162" s="30">
        <f>'Equity Volume Data'!I162*'Equity Price Data'!L163</f>
        <v>64107.52</v>
      </c>
      <c r="G162" s="30">
        <f>'Equity Volume Data'!J162*'Equity Price Data'!M163</f>
        <v>13498.29</v>
      </c>
      <c r="H162" s="30">
        <f>'Equity Volume Data'!K162*'Equity Price Data'!N163</f>
        <v>14444.04</v>
      </c>
      <c r="I162" s="30">
        <f>'Equity Volume Data'!L162*'Equity Price Data'!O163</f>
        <v>13290</v>
      </c>
      <c r="J162" s="30">
        <f>'Equity Volume Data'!M162*'Equity Price Data'!P163</f>
        <v>46234.56</v>
      </c>
      <c r="K162" s="30">
        <f>'Equity Volume Data'!N162*'Equity Price Data'!Q163</f>
        <v>9766</v>
      </c>
      <c r="L162" s="30">
        <f>'Equity Volume Data'!O162*'Equity Price Data'!R163</f>
        <v>18503.32</v>
      </c>
      <c r="M162" s="30">
        <f>'Equity Volume Data'!P162*'Equity Price Data'!S163</f>
        <v>0</v>
      </c>
      <c r="N162" s="30">
        <f>'Equity Volume Data'!Q162*'Equity Price Data'!T163</f>
        <v>5460.8</v>
      </c>
      <c r="O162" s="30">
        <f>'Equity Volume Data'!R162*'Equity Price Data'!U163</f>
        <v>54414</v>
      </c>
      <c r="P162" s="30">
        <f>'Equity Volume Data'!S162*'Equity Price Data'!V163</f>
        <v>21429.63</v>
      </c>
      <c r="Q162" s="30">
        <f>'Equity Volume Data'!T162*'Equity Price Data'!W163</f>
        <v>22404</v>
      </c>
      <c r="R162" s="30">
        <f>'Equity Volume Data'!U162*'Equity Price Data'!X163</f>
        <v>11587.2</v>
      </c>
      <c r="S162" s="30">
        <f>'Equity Volume Data'!V162*'Equity Price Data'!Y163</f>
        <v>24300.32</v>
      </c>
      <c r="T162" s="30">
        <f>'Equity Volume Data'!W162*'Equity Price Data'!Z163</f>
        <v>10940</v>
      </c>
      <c r="U162" s="30">
        <f>'Equity Volume Data'!X162*'Equity Price Data'!AA163</f>
        <v>16436.64</v>
      </c>
      <c r="V162" s="30">
        <f>'Equity Volume Data'!Y162*'Equity Price Data'!AB163</f>
        <v>14366.03</v>
      </c>
      <c r="W162" s="30">
        <f>'Equity Volume Data'!Z162*'Equity Price Data'!AC163</f>
        <v>12235.77</v>
      </c>
      <c r="X162" s="30">
        <f>'Equity Volume Data'!AA162*'Equity Price Data'!AD163</f>
        <v>0</v>
      </c>
      <c r="Y162" s="30">
        <f>'Equity Volume Data'!AB162*'Equity Price Data'!AE163</f>
        <v>5456.88</v>
      </c>
      <c r="Z162" s="30">
        <f>'Equity Volume Data'!AC162*'Equity Price Data'!AF163</f>
        <v>9292.5</v>
      </c>
      <c r="AA162" s="30">
        <f>'Equity Volume Data'!AD162*'Equity Price Data'!AG163</f>
        <v>18286.9</v>
      </c>
      <c r="AB162" s="30">
        <f>'Equity Volume Data'!AE162*'Equity Price Data'!AH163</f>
        <v>16879.8</v>
      </c>
      <c r="AC162" s="30">
        <f>'Equity Volume Data'!AF162*'Equity Price Data'!AI163</f>
        <v>16993.6</v>
      </c>
      <c r="AD162" s="30">
        <f>'Equity Volume Data'!AG162*'Equity Price Data'!AJ163</f>
        <v>11857.05</v>
      </c>
      <c r="AE162" s="30">
        <f>'Equity Volume Data'!AH162*'Equity Price Data'!AK163</f>
        <v>10654</v>
      </c>
      <c r="AF162" s="30">
        <f>'Equity Volume Data'!AI162*'Equity Price Data'!AL163</f>
        <v>18935.85</v>
      </c>
      <c r="AG162" s="30">
        <f>'Equity Volume Data'!AJ162*'Equity Price Data'!AM163</f>
        <v>34357.2</v>
      </c>
      <c r="AH162" s="30">
        <f>'Equity Volume Data'!AK162*'Equity Price Data'!AN163</f>
        <v>38899</v>
      </c>
      <c r="AI162" s="30">
        <f>'Equity Volume Data'!AL162*'Equity Price Data'!AO163</f>
        <v>21745.5</v>
      </c>
      <c r="AJ162" s="30">
        <f>'Equity Volume Data'!AM162*'Equity Price Data'!AP163</f>
        <v>19371.3</v>
      </c>
      <c r="AK162" s="30">
        <f>'Equity Volume Data'!AN162*'Equity Price Data'!AQ163</f>
        <v>24532.12</v>
      </c>
      <c r="AL162" s="30">
        <f>'Equity Volume Data'!AO162*'Equity Price Data'!AR163</f>
        <v>38353.6</v>
      </c>
      <c r="AM162" s="30">
        <f>'Equity Volume Data'!AP162*'Equity Price Data'!AS163</f>
        <v>34015.8</v>
      </c>
      <c r="AN162" s="30">
        <f>'Equity Volume Data'!AQ162*'Equity Price Data'!AT163</f>
        <v>13384.35</v>
      </c>
      <c r="AO162" s="30">
        <f>'Equity Volume Data'!AR162*'Equity Price Data'!AU163</f>
        <v>26226.34</v>
      </c>
      <c r="AP162" s="30">
        <f>'Equity Volume Data'!AS162*'Equity Price Data'!AV163</f>
        <v>19970</v>
      </c>
      <c r="AQ162" s="30">
        <f>'Equity Volume Data'!AT162*'Equity Price Data'!AW163</f>
        <v>18013.6</v>
      </c>
      <c r="AR162" s="30">
        <f>'Equity Volume Data'!AU162*'Equity Price Data'!AX163</f>
        <v>0</v>
      </c>
      <c r="AS162" s="30">
        <f>'Equity Volume Data'!AV162*'Equity Price Data'!AY163</f>
        <v>50580</v>
      </c>
      <c r="AT162" s="30">
        <f>'Equity Volume Data'!AW162*'Equity Price Data'!AZ163</f>
        <v>14338</v>
      </c>
      <c r="AU162" s="30">
        <f>'Equity Volume Data'!AX162*'Equity Price Data'!BA163</f>
        <v>0</v>
      </c>
      <c r="AV162" s="30">
        <f>'Equity Volume Data'!AY162*'Equity Price Data'!BB163</f>
        <v>19069.18</v>
      </c>
      <c r="AW162" s="30">
        <f>'Equity Volume Data'!AZ162*'Equity Price Data'!BC163</f>
        <v>3704.4</v>
      </c>
      <c r="AX162" s="30">
        <f>'Equity Volume Data'!BA162*'Equity Price Data'!BD163</f>
        <v>4381.6</v>
      </c>
      <c r="AY162" s="30">
        <f>'Equity Volume Data'!BB162*'Equity Price Data'!BE163</f>
        <v>30403.26</v>
      </c>
      <c r="AZ162" s="30">
        <f>'Equity Volume Data'!BC162*'Equity Price Data'!BF163</f>
        <v>12802.5</v>
      </c>
      <c r="BA162" s="30">
        <f>'Equity Volume Data'!BD162*'Equity Price Data'!BG163</f>
        <v>5040.7</v>
      </c>
      <c r="BB162" s="30">
        <f>'Equity Volume Data'!BE162*'Equity Price Data'!BH163</f>
        <v>9257.6</v>
      </c>
      <c r="BC162" s="30">
        <f>'Equity Volume Data'!BF162*'Equity Price Data'!BI163</f>
        <v>0</v>
      </c>
      <c r="BD162" s="30">
        <f>'Equity Volume Data'!BG162*'Equity Price Data'!BJ163</f>
        <v>47015.49</v>
      </c>
      <c r="BE162" s="30">
        <f>'Equity Volume Data'!BH162*'Equity Price Data'!BK163</f>
        <v>11965.29</v>
      </c>
      <c r="BF162" s="30">
        <f>'Equity Volume Data'!BI162*'Equity Price Data'!BL163</f>
        <v>7784.4</v>
      </c>
      <c r="BG162" s="30">
        <f>'Equity Volume Data'!BJ162*'Equity Price Data'!BM163</f>
        <v>17333.3</v>
      </c>
      <c r="BH162" s="30">
        <f>'Equity Volume Data'!BK162*'Equity Price Data'!BN163</f>
        <v>0</v>
      </c>
      <c r="BI162" s="30">
        <f>'Equity Volume Data'!BL162*'Equity Price Data'!BO163</f>
        <v>36486.4</v>
      </c>
      <c r="BJ162" s="30">
        <f>'Equity Volume Data'!BM162*'Equity Price Data'!BP163</f>
        <v>37939.5</v>
      </c>
      <c r="BK162" s="30">
        <f>'Equity Volume Data'!BN162*'Equity Price Data'!BQ163</f>
        <v>87252.84</v>
      </c>
      <c r="BL162" s="30">
        <f>'Equity Volume Data'!BO162*'Equity Price Data'!BR163</f>
        <v>585.15</v>
      </c>
      <c r="BM162" s="30">
        <f>'Equity Volume Data'!BP162*'Equity Price Data'!BS163</f>
        <v>9685.92</v>
      </c>
      <c r="BN162" s="30">
        <f>'Equity Volume Data'!BQ162*'Equity Price Data'!BT163</f>
        <v>20933.8</v>
      </c>
      <c r="BO162" s="30">
        <f>'Equity Volume Data'!BR162*'Equity Price Data'!BU163</f>
        <v>53374.07</v>
      </c>
    </row>
    <row r="163">
      <c r="A163" s="25">
        <f>'Equity Price Data'!A164</f>
        <v>45659.66667</v>
      </c>
      <c r="B163" s="29">
        <f t="shared" si="1"/>
        <v>1323811.39</v>
      </c>
      <c r="C163" s="30">
        <f>'Equity Volume Data'!F163*'Equity Price Data'!I164</f>
        <v>5733</v>
      </c>
      <c r="D163" s="30">
        <f>'Equity Volume Data'!G163*'Equity Price Data'!J164</f>
        <v>57257.2</v>
      </c>
      <c r="E163" s="30">
        <f>'Equity Volume Data'!H163*'Equity Price Data'!K164</f>
        <v>13624.6</v>
      </c>
      <c r="F163" s="30">
        <f>'Equity Volume Data'!I163*'Equity Price Data'!L164</f>
        <v>62425.6</v>
      </c>
      <c r="G163" s="30">
        <f>'Equity Volume Data'!J163*'Equity Price Data'!M164</f>
        <v>13601.21</v>
      </c>
      <c r="H163" s="30">
        <f>'Equity Volume Data'!K163*'Equity Price Data'!N164</f>
        <v>14553.08</v>
      </c>
      <c r="I163" s="30">
        <f>'Equity Volume Data'!L163*'Equity Price Data'!O164</f>
        <v>13130</v>
      </c>
      <c r="J163" s="30">
        <f>'Equity Volume Data'!M163*'Equity Price Data'!P164</f>
        <v>46012.2</v>
      </c>
      <c r="K163" s="30">
        <f>'Equity Volume Data'!N163*'Equity Price Data'!Q164</f>
        <v>9842</v>
      </c>
      <c r="L163" s="30">
        <f>'Equity Volume Data'!O163*'Equity Price Data'!R164</f>
        <v>18150</v>
      </c>
      <c r="M163" s="30">
        <f>'Equity Volume Data'!P163*'Equity Price Data'!S164</f>
        <v>0</v>
      </c>
      <c r="N163" s="30">
        <f>'Equity Volume Data'!Q163*'Equity Price Data'!T164</f>
        <v>5466.4</v>
      </c>
      <c r="O163" s="30">
        <f>'Equity Volume Data'!R163*'Equity Price Data'!U164</f>
        <v>53965.5</v>
      </c>
      <c r="P163" s="30">
        <f>'Equity Volume Data'!S163*'Equity Price Data'!V164</f>
        <v>21750.72</v>
      </c>
      <c r="Q163" s="30">
        <f>'Equity Volume Data'!T163*'Equity Price Data'!W164</f>
        <v>22149.6</v>
      </c>
      <c r="R163" s="30">
        <f>'Equity Volume Data'!U163*'Equity Price Data'!X164</f>
        <v>11736.8</v>
      </c>
      <c r="S163" s="30">
        <f>'Equity Volume Data'!V163*'Equity Price Data'!Y164</f>
        <v>24155.12</v>
      </c>
      <c r="T163" s="30">
        <f>'Equity Volume Data'!W163*'Equity Price Data'!Z164</f>
        <v>10900</v>
      </c>
      <c r="U163" s="30">
        <f>'Equity Volume Data'!X163*'Equity Price Data'!AA164</f>
        <v>16325.76</v>
      </c>
      <c r="V163" s="30">
        <f>'Equity Volume Data'!Y163*'Equity Price Data'!AB164</f>
        <v>14333.83</v>
      </c>
      <c r="W163" s="30">
        <f>'Equity Volume Data'!Z163*'Equity Price Data'!AC164</f>
        <v>12213</v>
      </c>
      <c r="X163" s="30">
        <f>'Equity Volume Data'!AA163*'Equity Price Data'!AD164</f>
        <v>0</v>
      </c>
      <c r="Y163" s="30">
        <f>'Equity Volume Data'!AB163*'Equity Price Data'!AE164</f>
        <v>5654.09</v>
      </c>
      <c r="Z163" s="30">
        <f>'Equity Volume Data'!AC163*'Equity Price Data'!AF164</f>
        <v>9340.5</v>
      </c>
      <c r="AA163" s="30">
        <f>'Equity Volume Data'!AD163*'Equity Price Data'!AG164</f>
        <v>18242.7</v>
      </c>
      <c r="AB163" s="30">
        <f>'Equity Volume Data'!AE163*'Equity Price Data'!AH164</f>
        <v>16456.8</v>
      </c>
      <c r="AC163" s="30">
        <f>'Equity Volume Data'!AF163*'Equity Price Data'!AI164</f>
        <v>16656.8</v>
      </c>
      <c r="AD163" s="30">
        <f>'Equity Volume Data'!AG163*'Equity Price Data'!AJ164</f>
        <v>11745.45</v>
      </c>
      <c r="AE163" s="30">
        <f>'Equity Volume Data'!AH163*'Equity Price Data'!AK164</f>
        <v>10274</v>
      </c>
      <c r="AF163" s="30">
        <f>'Equity Volume Data'!AI163*'Equity Price Data'!AL164</f>
        <v>18835.4</v>
      </c>
      <c r="AG163" s="30">
        <f>'Equity Volume Data'!AJ163*'Equity Price Data'!AM164</f>
        <v>34498.2</v>
      </c>
      <c r="AH163" s="30">
        <f>'Equity Volume Data'!AK163*'Equity Price Data'!AN164</f>
        <v>38846</v>
      </c>
      <c r="AI163" s="30">
        <f>'Equity Volume Data'!AL163*'Equity Price Data'!AO164</f>
        <v>21579.25</v>
      </c>
      <c r="AJ163" s="30">
        <f>'Equity Volume Data'!AM163*'Equity Price Data'!AP164</f>
        <v>19414.2</v>
      </c>
      <c r="AK163" s="30">
        <f>'Equity Volume Data'!AN163*'Equity Price Data'!AQ164</f>
        <v>24629.41</v>
      </c>
      <c r="AL163" s="30">
        <f>'Equity Volume Data'!AO163*'Equity Price Data'!AR164</f>
        <v>38400</v>
      </c>
      <c r="AM163" s="30">
        <f>'Equity Volume Data'!AP163*'Equity Price Data'!AS164</f>
        <v>33757.5</v>
      </c>
      <c r="AN163" s="30">
        <f>'Equity Volume Data'!AQ163*'Equity Price Data'!AT164</f>
        <v>13030.85</v>
      </c>
      <c r="AO163" s="30">
        <f>'Equity Volume Data'!AR163*'Equity Price Data'!AU164</f>
        <v>26064.08</v>
      </c>
      <c r="AP163" s="30">
        <f>'Equity Volume Data'!AS163*'Equity Price Data'!AV164</f>
        <v>20055</v>
      </c>
      <c r="AQ163" s="30">
        <f>'Equity Volume Data'!AT163*'Equity Price Data'!AW164</f>
        <v>17991.6</v>
      </c>
      <c r="AR163" s="30">
        <f>'Equity Volume Data'!AU163*'Equity Price Data'!AX164</f>
        <v>0</v>
      </c>
      <c r="AS163" s="30">
        <f>'Equity Volume Data'!AV163*'Equity Price Data'!AY164</f>
        <v>50229.6</v>
      </c>
      <c r="AT163" s="30">
        <f>'Equity Volume Data'!AW163*'Equity Price Data'!AZ164</f>
        <v>14322</v>
      </c>
      <c r="AU163" s="30">
        <f>'Equity Volume Data'!AX163*'Equity Price Data'!BA164</f>
        <v>0</v>
      </c>
      <c r="AV163" s="30">
        <f>'Equity Volume Data'!AY163*'Equity Price Data'!BB164</f>
        <v>19640.02</v>
      </c>
      <c r="AW163" s="30">
        <f>'Equity Volume Data'!AZ163*'Equity Price Data'!BC164</f>
        <v>3689.6</v>
      </c>
      <c r="AX163" s="30">
        <f>'Equity Volume Data'!BA163*'Equity Price Data'!BD164</f>
        <v>4429.6</v>
      </c>
      <c r="AY163" s="30">
        <f>'Equity Volume Data'!BB163*'Equity Price Data'!BE164</f>
        <v>30226.38</v>
      </c>
      <c r="AZ163" s="30">
        <f>'Equity Volume Data'!BC163*'Equity Price Data'!BF164</f>
        <v>12927</v>
      </c>
      <c r="BA163" s="30">
        <f>'Equity Volume Data'!BD163*'Equity Price Data'!BG164</f>
        <v>5055.9</v>
      </c>
      <c r="BB163" s="30">
        <f>'Equity Volume Data'!BE163*'Equity Price Data'!BH164</f>
        <v>9280.8</v>
      </c>
      <c r="BC163" s="30">
        <f>'Equity Volume Data'!BF163*'Equity Price Data'!BI164</f>
        <v>0</v>
      </c>
      <c r="BD163" s="30">
        <f>'Equity Volume Data'!BG163*'Equity Price Data'!BJ164</f>
        <v>46759.89</v>
      </c>
      <c r="BE163" s="30">
        <f>'Equity Volume Data'!BH163*'Equity Price Data'!BK164</f>
        <v>12019.11</v>
      </c>
      <c r="BF163" s="30">
        <f>'Equity Volume Data'!BI163*'Equity Price Data'!BL164</f>
        <v>7724.8</v>
      </c>
      <c r="BG163" s="30">
        <f>'Equity Volume Data'!BJ163*'Equity Price Data'!BM164</f>
        <v>18487</v>
      </c>
      <c r="BH163" s="30">
        <f>'Equity Volume Data'!BK163*'Equity Price Data'!BN164</f>
        <v>0</v>
      </c>
      <c r="BI163" s="30">
        <f>'Equity Volume Data'!BL163*'Equity Price Data'!BO164</f>
        <v>36659.2</v>
      </c>
      <c r="BJ163" s="30">
        <f>'Equity Volume Data'!BM163*'Equity Price Data'!BP164</f>
        <v>37838.25</v>
      </c>
      <c r="BK163" s="30">
        <f>'Equity Volume Data'!BN163*'Equity Price Data'!BQ164</f>
        <v>87306.9</v>
      </c>
      <c r="BL163" s="30">
        <f>'Equity Volume Data'!BO163*'Equity Price Data'!BR164</f>
        <v>583.74</v>
      </c>
      <c r="BM163" s="30">
        <f>'Equity Volume Data'!BP163*'Equity Price Data'!BS164</f>
        <v>9625.92</v>
      </c>
      <c r="BN163" s="30">
        <f>'Equity Volume Data'!BQ163*'Equity Price Data'!BT164</f>
        <v>20834.16</v>
      </c>
      <c r="BO163" s="30">
        <f>'Equity Volume Data'!BR163*'Equity Price Data'!BU164</f>
        <v>53374.07</v>
      </c>
    </row>
    <row r="164">
      <c r="A164" s="25">
        <f>'Equity Price Data'!A165</f>
        <v>45660.66667</v>
      </c>
      <c r="B164" s="29">
        <f t="shared" si="1"/>
        <v>1335767.71</v>
      </c>
      <c r="C164" s="30">
        <f>'Equity Volume Data'!F164*'Equity Price Data'!I165</f>
        <v>5597.41</v>
      </c>
      <c r="D164" s="30">
        <f>'Equity Volume Data'!G164*'Equity Price Data'!J165</f>
        <v>58289.4</v>
      </c>
      <c r="E164" s="30">
        <f>'Equity Volume Data'!H164*'Equity Price Data'!K165</f>
        <v>13614.7</v>
      </c>
      <c r="F164" s="30">
        <f>'Equity Volume Data'!I164*'Equity Price Data'!L165</f>
        <v>62300.16</v>
      </c>
      <c r="G164" s="30">
        <f>'Equity Volume Data'!J164*'Equity Price Data'!M165</f>
        <v>14114.98</v>
      </c>
      <c r="H164" s="30">
        <f>'Equity Volume Data'!K164*'Equity Price Data'!N165</f>
        <v>14462.84</v>
      </c>
      <c r="I164" s="30">
        <f>'Equity Volume Data'!L164*'Equity Price Data'!O165</f>
        <v>13300</v>
      </c>
      <c r="J164" s="30">
        <f>'Equity Volume Data'!M164*'Equity Price Data'!P165</f>
        <v>46263.12</v>
      </c>
      <c r="K164" s="30">
        <f>'Equity Volume Data'!N164*'Equity Price Data'!Q165</f>
        <v>9762</v>
      </c>
      <c r="L164" s="30">
        <f>'Equity Volume Data'!O164*'Equity Price Data'!R165</f>
        <v>18417.41</v>
      </c>
      <c r="M164" s="30">
        <f>'Equity Volume Data'!P164*'Equity Price Data'!S165</f>
        <v>0</v>
      </c>
      <c r="N164" s="30">
        <f>'Equity Volume Data'!Q164*'Equity Price Data'!T165</f>
        <v>5540.8</v>
      </c>
      <c r="O164" s="30">
        <f>'Equity Volume Data'!R164*'Equity Price Data'!U165</f>
        <v>54568.5</v>
      </c>
      <c r="P164" s="30">
        <f>'Equity Volume Data'!S164*'Equity Price Data'!V165</f>
        <v>22151.04</v>
      </c>
      <c r="Q164" s="30">
        <f>'Equity Volume Data'!T164*'Equity Price Data'!W165</f>
        <v>21768</v>
      </c>
      <c r="R164" s="30">
        <f>'Equity Volume Data'!U164*'Equity Price Data'!X165</f>
        <v>11828</v>
      </c>
      <c r="S164" s="30">
        <f>'Equity Volume Data'!V164*'Equity Price Data'!Y165</f>
        <v>24701.6</v>
      </c>
      <c r="T164" s="30">
        <f>'Equity Volume Data'!W164*'Equity Price Data'!Z165</f>
        <v>11140</v>
      </c>
      <c r="U164" s="30">
        <f>'Equity Volume Data'!X164*'Equity Price Data'!AA165</f>
        <v>16302</v>
      </c>
      <c r="V164" s="30">
        <f>'Equity Volume Data'!Y164*'Equity Price Data'!AB165</f>
        <v>14367.64</v>
      </c>
      <c r="W164" s="30">
        <f>'Equity Volume Data'!Z164*'Equity Price Data'!AC165</f>
        <v>12540.06</v>
      </c>
      <c r="X164" s="30">
        <f>'Equity Volume Data'!AA164*'Equity Price Data'!AD165</f>
        <v>0</v>
      </c>
      <c r="Y164" s="30">
        <f>'Equity Volume Data'!AB164*'Equity Price Data'!AE165</f>
        <v>5695.04</v>
      </c>
      <c r="Z164" s="30">
        <f>'Equity Volume Data'!AC164*'Equity Price Data'!AF165</f>
        <v>9241.5</v>
      </c>
      <c r="AA164" s="30">
        <f>'Equity Volume Data'!AD164*'Equity Price Data'!AG165</f>
        <v>18336.2</v>
      </c>
      <c r="AB164" s="30">
        <f>'Equity Volume Data'!AE164*'Equity Price Data'!AH165</f>
        <v>16464.6</v>
      </c>
      <c r="AC164" s="30">
        <f>'Equity Volume Data'!AF164*'Equity Price Data'!AI165</f>
        <v>16696.8</v>
      </c>
      <c r="AD164" s="30">
        <f>'Equity Volume Data'!AG164*'Equity Price Data'!AJ165</f>
        <v>11851.65</v>
      </c>
      <c r="AE164" s="30">
        <f>'Equity Volume Data'!AH164*'Equity Price Data'!AK165</f>
        <v>10354</v>
      </c>
      <c r="AF164" s="30">
        <f>'Equity Volume Data'!AI164*'Equity Price Data'!AL165</f>
        <v>18739.05</v>
      </c>
      <c r="AG164" s="30">
        <f>'Equity Volume Data'!AJ164*'Equity Price Data'!AM165</f>
        <v>34807.8</v>
      </c>
      <c r="AH164" s="30">
        <f>'Equity Volume Data'!AK164*'Equity Price Data'!AN165</f>
        <v>38918</v>
      </c>
      <c r="AI164" s="30">
        <f>'Equity Volume Data'!AL164*'Equity Price Data'!AO165</f>
        <v>21815.5</v>
      </c>
      <c r="AJ164" s="30">
        <f>'Equity Volume Data'!AM164*'Equity Price Data'!AP165</f>
        <v>19479.2</v>
      </c>
      <c r="AK164" s="30">
        <f>'Equity Volume Data'!AN164*'Equity Price Data'!AQ165</f>
        <v>25158.63</v>
      </c>
      <c r="AL164" s="30">
        <f>'Equity Volume Data'!AO164*'Equity Price Data'!AR165</f>
        <v>38924.8</v>
      </c>
      <c r="AM164" s="30">
        <f>'Equity Volume Data'!AP164*'Equity Price Data'!AS165</f>
        <v>33727.4</v>
      </c>
      <c r="AN164" s="30">
        <f>'Equity Volume Data'!AQ164*'Equity Price Data'!AT165</f>
        <v>13236.3</v>
      </c>
      <c r="AO164" s="30">
        <f>'Equity Volume Data'!AR164*'Equity Price Data'!AU165</f>
        <v>26192.18</v>
      </c>
      <c r="AP164" s="30">
        <f>'Equity Volume Data'!AS164*'Equity Price Data'!AV165</f>
        <v>20237.5</v>
      </c>
      <c r="AQ164" s="30">
        <f>'Equity Volume Data'!AT164*'Equity Price Data'!AW165</f>
        <v>18086.2</v>
      </c>
      <c r="AR164" s="30">
        <f>'Equity Volume Data'!AU164*'Equity Price Data'!AX165</f>
        <v>0</v>
      </c>
      <c r="AS164" s="30">
        <f>'Equity Volume Data'!AV164*'Equity Price Data'!AY165</f>
        <v>50802</v>
      </c>
      <c r="AT164" s="30">
        <f>'Equity Volume Data'!AW164*'Equity Price Data'!AZ165</f>
        <v>14398</v>
      </c>
      <c r="AU164" s="30">
        <f>'Equity Volume Data'!AX164*'Equity Price Data'!BA165</f>
        <v>0</v>
      </c>
      <c r="AV164" s="30">
        <f>'Equity Volume Data'!AY164*'Equity Price Data'!BB165</f>
        <v>20514.74</v>
      </c>
      <c r="AW164" s="30">
        <f>'Equity Volume Data'!AZ164*'Equity Price Data'!BC165</f>
        <v>3715.6</v>
      </c>
      <c r="AX164" s="30">
        <f>'Equity Volume Data'!BA164*'Equity Price Data'!BD165</f>
        <v>4529.6</v>
      </c>
      <c r="AY164" s="30">
        <f>'Equity Volume Data'!BB164*'Equity Price Data'!BE165</f>
        <v>32115.78</v>
      </c>
      <c r="AZ164" s="30">
        <f>'Equity Volume Data'!BC164*'Equity Price Data'!BF165</f>
        <v>13140</v>
      </c>
      <c r="BA164" s="30">
        <f>'Equity Volume Data'!BD164*'Equity Price Data'!BG165</f>
        <v>5052.1</v>
      </c>
      <c r="BB164" s="30">
        <f>'Equity Volume Data'!BE164*'Equity Price Data'!BH165</f>
        <v>9269.6</v>
      </c>
      <c r="BC164" s="30">
        <f>'Equity Volume Data'!BF164*'Equity Price Data'!BI165</f>
        <v>0</v>
      </c>
      <c r="BD164" s="30">
        <f>'Equity Volume Data'!BG164*'Equity Price Data'!BJ165</f>
        <v>46670.43</v>
      </c>
      <c r="BE164" s="30">
        <f>'Equity Volume Data'!BH164*'Equity Price Data'!BK165</f>
        <v>12236.46</v>
      </c>
      <c r="BF164" s="30">
        <f>'Equity Volume Data'!BI164*'Equity Price Data'!BL165</f>
        <v>7810</v>
      </c>
      <c r="BG164" s="30">
        <f>'Equity Volume Data'!BJ164*'Equity Price Data'!BM165</f>
        <v>19207.02</v>
      </c>
      <c r="BH164" s="30">
        <f>'Equity Volume Data'!BK164*'Equity Price Data'!BN165</f>
        <v>0</v>
      </c>
      <c r="BI164" s="30">
        <f>'Equity Volume Data'!BL164*'Equity Price Data'!BO165</f>
        <v>37040</v>
      </c>
      <c r="BJ164" s="30">
        <f>'Equity Volume Data'!BM164*'Equity Price Data'!BP165</f>
        <v>38475</v>
      </c>
      <c r="BK164" s="30">
        <f>'Equity Volume Data'!BN164*'Equity Price Data'!BQ165</f>
        <v>87270.86</v>
      </c>
      <c r="BL164" s="30">
        <f>'Equity Volume Data'!BO164*'Equity Price Data'!BR165</f>
        <v>577.16</v>
      </c>
      <c r="BM164" s="30">
        <f>'Equity Volume Data'!BP164*'Equity Price Data'!BS165</f>
        <v>9679.2</v>
      </c>
      <c r="BN164" s="30">
        <f>'Equity Volume Data'!BQ164*'Equity Price Data'!BT165</f>
        <v>20898.08</v>
      </c>
      <c r="BO164" s="30">
        <f>'Equity Volume Data'!BR164*'Equity Price Data'!BU165</f>
        <v>53374.07</v>
      </c>
    </row>
    <row r="165">
      <c r="A165" s="25">
        <f>'Equity Price Data'!A166</f>
        <v>45663.66667</v>
      </c>
      <c r="B165" s="29">
        <f t="shared" si="1"/>
        <v>1336233.22</v>
      </c>
      <c r="C165" s="30">
        <f>'Equity Volume Data'!F165*'Equity Price Data'!I166</f>
        <v>5605.34</v>
      </c>
      <c r="D165" s="30">
        <f>'Equity Volume Data'!G165*'Equity Price Data'!J166</f>
        <v>59178.6</v>
      </c>
      <c r="E165" s="30">
        <f>'Equity Volume Data'!H165*'Equity Price Data'!K166</f>
        <v>13416.7</v>
      </c>
      <c r="F165" s="30">
        <f>'Equity Volume Data'!I165*'Equity Price Data'!L166</f>
        <v>62720</v>
      </c>
      <c r="G165" s="30">
        <f>'Equity Volume Data'!J165*'Equity Price Data'!M166</f>
        <v>14730.84</v>
      </c>
      <c r="H165" s="30">
        <f>'Equity Volume Data'!K165*'Equity Price Data'!N166</f>
        <v>14648.96</v>
      </c>
      <c r="I165" s="30">
        <f>'Equity Volume Data'!L165*'Equity Price Data'!O166</f>
        <v>13610</v>
      </c>
      <c r="J165" s="30">
        <f>'Equity Volume Data'!M165*'Equity Price Data'!P166</f>
        <v>46043.82</v>
      </c>
      <c r="K165" s="30">
        <f>'Equity Volume Data'!N165*'Equity Price Data'!Q166</f>
        <v>9698</v>
      </c>
      <c r="L165" s="30">
        <f>'Equity Volume Data'!O165*'Equity Price Data'!R166</f>
        <v>18545.67</v>
      </c>
      <c r="M165" s="30">
        <f>'Equity Volume Data'!P165*'Equity Price Data'!S166</f>
        <v>0</v>
      </c>
      <c r="N165" s="30">
        <f>'Equity Volume Data'!Q165*'Equity Price Data'!T166</f>
        <v>5496.8</v>
      </c>
      <c r="O165" s="30">
        <f>'Equity Volume Data'!R165*'Equity Price Data'!U166</f>
        <v>54630</v>
      </c>
      <c r="P165" s="30">
        <f>'Equity Volume Data'!S165*'Equity Price Data'!V166</f>
        <v>22855.77</v>
      </c>
      <c r="Q165" s="30">
        <f>'Equity Volume Data'!T165*'Equity Price Data'!W166</f>
        <v>21585.6</v>
      </c>
      <c r="R165" s="30">
        <f>'Equity Volume Data'!U165*'Equity Price Data'!X166</f>
        <v>11780.8</v>
      </c>
      <c r="S165" s="30">
        <f>'Equity Volume Data'!V165*'Equity Price Data'!Y166</f>
        <v>24610.08</v>
      </c>
      <c r="T165" s="30">
        <f>'Equity Volume Data'!W165*'Equity Price Data'!Z166</f>
        <v>11200</v>
      </c>
      <c r="U165" s="30">
        <f>'Equity Volume Data'!X165*'Equity Price Data'!AA166</f>
        <v>16053.84</v>
      </c>
      <c r="V165" s="30">
        <f>'Equity Volume Data'!Y165*'Equity Price Data'!AB166</f>
        <v>14227.57</v>
      </c>
      <c r="W165" s="30">
        <f>'Equity Volume Data'!Z165*'Equity Price Data'!AC166</f>
        <v>12392.4</v>
      </c>
      <c r="X165" s="30">
        <f>'Equity Volume Data'!AA165*'Equity Price Data'!AD166</f>
        <v>0</v>
      </c>
      <c r="Y165" s="30">
        <f>'Equity Volume Data'!AB165*'Equity Price Data'!AE166</f>
        <v>5518.5</v>
      </c>
      <c r="Z165" s="30">
        <f>'Equity Volume Data'!AC165*'Equity Price Data'!AF166</f>
        <v>9441</v>
      </c>
      <c r="AA165" s="30">
        <f>'Equity Volume Data'!AD165*'Equity Price Data'!AG166</f>
        <v>18315.8</v>
      </c>
      <c r="AB165" s="30">
        <f>'Equity Volume Data'!AE165*'Equity Price Data'!AH166</f>
        <v>16438.2</v>
      </c>
      <c r="AC165" s="30">
        <f>'Equity Volume Data'!AF165*'Equity Price Data'!AI166</f>
        <v>17070.8</v>
      </c>
      <c r="AD165" s="30">
        <f>'Equity Volume Data'!AG165*'Equity Price Data'!AJ166</f>
        <v>11609.55</v>
      </c>
      <c r="AE165" s="30">
        <f>'Equity Volume Data'!AH165*'Equity Price Data'!AK166</f>
        <v>10706</v>
      </c>
      <c r="AF165" s="30">
        <f>'Equity Volume Data'!AI165*'Equity Price Data'!AL166</f>
        <v>18702.15</v>
      </c>
      <c r="AG165" s="30">
        <f>'Equity Volume Data'!AJ165*'Equity Price Data'!AM166</f>
        <v>35003.4</v>
      </c>
      <c r="AH165" s="30">
        <f>'Equity Volume Data'!AK165*'Equity Price Data'!AN166</f>
        <v>38937</v>
      </c>
      <c r="AI165" s="30">
        <f>'Equity Volume Data'!AL165*'Equity Price Data'!AO166</f>
        <v>21190.75</v>
      </c>
      <c r="AJ165" s="30">
        <f>'Equity Volume Data'!AM165*'Equity Price Data'!AP166</f>
        <v>19055.4</v>
      </c>
      <c r="AK165" s="30">
        <f>'Equity Volume Data'!AN165*'Equity Price Data'!AQ166</f>
        <v>25491.39</v>
      </c>
      <c r="AL165" s="30">
        <f>'Equity Volume Data'!AO165*'Equity Price Data'!AR166</f>
        <v>38536</v>
      </c>
      <c r="AM165" s="30">
        <f>'Equity Volume Data'!AP165*'Equity Price Data'!AS166</f>
        <v>32620</v>
      </c>
      <c r="AN165" s="30">
        <f>'Equity Volume Data'!AQ165*'Equity Price Data'!AT166</f>
        <v>13835.85</v>
      </c>
      <c r="AO165" s="30">
        <f>'Equity Volume Data'!AR165*'Equity Price Data'!AU166</f>
        <v>26311.74</v>
      </c>
      <c r="AP165" s="30">
        <f>'Equity Volume Data'!AS165*'Equity Price Data'!AV166</f>
        <v>19960</v>
      </c>
      <c r="AQ165" s="30">
        <f>'Equity Volume Data'!AT165*'Equity Price Data'!AW166</f>
        <v>18037.8</v>
      </c>
      <c r="AR165" s="30">
        <f>'Equity Volume Data'!AU165*'Equity Price Data'!AX166</f>
        <v>0</v>
      </c>
      <c r="AS165" s="30">
        <f>'Equity Volume Data'!AV165*'Equity Price Data'!AY166</f>
        <v>51342</v>
      </c>
      <c r="AT165" s="30">
        <f>'Equity Volume Data'!AW165*'Equity Price Data'!AZ166</f>
        <v>14248</v>
      </c>
      <c r="AU165" s="30">
        <f>'Equity Volume Data'!AX165*'Equity Price Data'!BA166</f>
        <v>0</v>
      </c>
      <c r="AV165" s="30">
        <f>'Equity Volume Data'!AY165*'Equity Price Data'!BB166</f>
        <v>21219.06</v>
      </c>
      <c r="AW165" s="30">
        <f>'Equity Volume Data'!AZ165*'Equity Price Data'!BC166</f>
        <v>3691.6</v>
      </c>
      <c r="AX165" s="30">
        <f>'Equity Volume Data'!BA165*'Equity Price Data'!BD166</f>
        <v>4369.6</v>
      </c>
      <c r="AY165" s="30">
        <f>'Equity Volume Data'!BB165*'Equity Price Data'!BE166</f>
        <v>30519.84</v>
      </c>
      <c r="AZ165" s="30">
        <f>'Equity Volume Data'!BC165*'Equity Price Data'!BF166</f>
        <v>13429.5</v>
      </c>
      <c r="BA165" s="30">
        <f>'Equity Volume Data'!BD165*'Equity Price Data'!BG166</f>
        <v>5109.1</v>
      </c>
      <c r="BB165" s="30">
        <f>'Equity Volume Data'!BE165*'Equity Price Data'!BH166</f>
        <v>9128</v>
      </c>
      <c r="BC165" s="30">
        <f>'Equity Volume Data'!BF165*'Equity Price Data'!BI166</f>
        <v>0</v>
      </c>
      <c r="BD165" s="30">
        <f>'Equity Volume Data'!BG165*'Equity Price Data'!BJ166</f>
        <v>45236.94</v>
      </c>
      <c r="BE165" s="30">
        <f>'Equity Volume Data'!BH165*'Equity Price Data'!BK166</f>
        <v>12355.37</v>
      </c>
      <c r="BF165" s="30">
        <f>'Equity Volume Data'!BI165*'Equity Price Data'!BL166</f>
        <v>7615.6</v>
      </c>
      <c r="BG165" s="30">
        <f>'Equity Volume Data'!BJ165*'Equity Price Data'!BM166</f>
        <v>21025.14</v>
      </c>
      <c r="BH165" s="30">
        <f>'Equity Volume Data'!BK165*'Equity Price Data'!BN166</f>
        <v>0</v>
      </c>
      <c r="BI165" s="30">
        <f>'Equity Volume Data'!BL165*'Equity Price Data'!BO166</f>
        <v>36801.6</v>
      </c>
      <c r="BJ165" s="30">
        <f>'Equity Volume Data'!BM165*'Equity Price Data'!BP166</f>
        <v>38525.25</v>
      </c>
      <c r="BK165" s="30">
        <f>'Equity Volume Data'!BN165*'Equity Price Data'!BQ166</f>
        <v>87306.9</v>
      </c>
      <c r="BL165" s="30">
        <f>'Equity Volume Data'!BO165*'Equity Price Data'!BR166</f>
        <v>561.65</v>
      </c>
      <c r="BM165" s="30">
        <f>'Equity Volume Data'!BP165*'Equity Price Data'!BS166</f>
        <v>9684.48</v>
      </c>
      <c r="BN165" s="30">
        <f>'Equity Volume Data'!BQ165*'Equity Price Data'!BT166</f>
        <v>20877.4</v>
      </c>
      <c r="BO165" s="30">
        <f>'Equity Volume Data'!BR165*'Equity Price Data'!BU166</f>
        <v>53374.07</v>
      </c>
    </row>
    <row r="166">
      <c r="A166" s="25">
        <f>'Equity Price Data'!A167</f>
        <v>45664.66667</v>
      </c>
      <c r="B166" s="29">
        <f t="shared" si="1"/>
        <v>1328177.26</v>
      </c>
      <c r="C166" s="30">
        <f>'Equity Volume Data'!F166*'Equity Price Data'!I167</f>
        <v>5494.19</v>
      </c>
      <c r="D166" s="30">
        <f>'Equity Volume Data'!G166*'Equity Price Data'!J167</f>
        <v>57748.6</v>
      </c>
      <c r="E166" s="30">
        <f>'Equity Volume Data'!H166*'Equity Price Data'!K167</f>
        <v>13379.3</v>
      </c>
      <c r="F166" s="30">
        <f>'Equity Volume Data'!I166*'Equity Price Data'!L167</f>
        <v>62005.76</v>
      </c>
      <c r="G166" s="30">
        <f>'Equity Volume Data'!J166*'Equity Price Data'!M167</f>
        <v>14759.06</v>
      </c>
      <c r="H166" s="30">
        <f>'Equity Volume Data'!K166*'Equity Price Data'!N167</f>
        <v>14656.48</v>
      </c>
      <c r="I166" s="30">
        <f>'Equity Volume Data'!L166*'Equity Price Data'!O167</f>
        <v>13250</v>
      </c>
      <c r="J166" s="30">
        <f>'Equity Volume Data'!M166*'Equity Price Data'!P167</f>
        <v>46197.84</v>
      </c>
      <c r="K166" s="30">
        <f>'Equity Volume Data'!N166*'Equity Price Data'!Q167</f>
        <v>9636</v>
      </c>
      <c r="L166" s="30">
        <f>'Equity Volume Data'!O166*'Equity Price Data'!R167</f>
        <v>18531.15</v>
      </c>
      <c r="M166" s="30">
        <f>'Equity Volume Data'!P166*'Equity Price Data'!S167</f>
        <v>0</v>
      </c>
      <c r="N166" s="30">
        <f>'Equity Volume Data'!Q166*'Equity Price Data'!T167</f>
        <v>5456.8</v>
      </c>
      <c r="O166" s="30">
        <f>'Equity Volume Data'!R166*'Equity Price Data'!U167</f>
        <v>54450</v>
      </c>
      <c r="P166" s="30">
        <f>'Equity Volume Data'!S166*'Equity Price Data'!V167</f>
        <v>21508.86</v>
      </c>
      <c r="Q166" s="30">
        <f>'Equity Volume Data'!T166*'Equity Price Data'!W167</f>
        <v>21777.6</v>
      </c>
      <c r="R166" s="30">
        <f>'Equity Volume Data'!U166*'Equity Price Data'!X167</f>
        <v>11967.2</v>
      </c>
      <c r="S166" s="30">
        <f>'Equity Volume Data'!V166*'Equity Price Data'!Y167</f>
        <v>24633.84</v>
      </c>
      <c r="T166" s="30">
        <f>'Equity Volume Data'!W166*'Equity Price Data'!Z167</f>
        <v>11175</v>
      </c>
      <c r="U166" s="30">
        <f>'Equity Volume Data'!X166*'Equity Price Data'!AA167</f>
        <v>16061.76</v>
      </c>
      <c r="V166" s="30">
        <f>'Equity Volume Data'!Y166*'Equity Price Data'!AB167</f>
        <v>14168</v>
      </c>
      <c r="W166" s="30">
        <f>'Equity Volume Data'!Z166*'Equity Price Data'!AC167</f>
        <v>12411.72</v>
      </c>
      <c r="X166" s="30">
        <f>'Equity Volume Data'!AA166*'Equity Price Data'!AD167</f>
        <v>0</v>
      </c>
      <c r="Y166" s="30">
        <f>'Equity Volume Data'!AB166*'Equity Price Data'!AE167</f>
        <v>5341.7</v>
      </c>
      <c r="Z166" s="30">
        <f>'Equity Volume Data'!AC166*'Equity Price Data'!AF167</f>
        <v>9475.5</v>
      </c>
      <c r="AA166" s="30">
        <f>'Equity Volume Data'!AD166*'Equity Price Data'!AG167</f>
        <v>18487.5</v>
      </c>
      <c r="AB166" s="30">
        <f>'Equity Volume Data'!AE166*'Equity Price Data'!AH167</f>
        <v>16500</v>
      </c>
      <c r="AC166" s="30">
        <f>'Equity Volume Data'!AF166*'Equity Price Data'!AI167</f>
        <v>17118.8</v>
      </c>
      <c r="AD166" s="30">
        <f>'Equity Volume Data'!AG166*'Equity Price Data'!AJ167</f>
        <v>11684.25</v>
      </c>
      <c r="AE166" s="30">
        <f>'Equity Volume Data'!AH166*'Equity Price Data'!AK167</f>
        <v>10396</v>
      </c>
      <c r="AF166" s="30">
        <f>'Equity Volume Data'!AI166*'Equity Price Data'!AL167</f>
        <v>18579.15</v>
      </c>
      <c r="AG166" s="30">
        <f>'Equity Volume Data'!AJ166*'Equity Price Data'!AM167</f>
        <v>34807.2</v>
      </c>
      <c r="AH166" s="30">
        <f>'Equity Volume Data'!AK166*'Equity Price Data'!AN167</f>
        <v>38423</v>
      </c>
      <c r="AI166" s="30">
        <f>'Equity Volume Data'!AL166*'Equity Price Data'!AO167</f>
        <v>21456.75</v>
      </c>
      <c r="AJ166" s="30">
        <f>'Equity Volume Data'!AM166*'Equity Price Data'!AP167</f>
        <v>19037.2</v>
      </c>
      <c r="AK166" s="30">
        <f>'Equity Volume Data'!AN166*'Equity Price Data'!AQ167</f>
        <v>24998.36</v>
      </c>
      <c r="AL166" s="30">
        <f>'Equity Volume Data'!AO166*'Equity Price Data'!AR167</f>
        <v>38907.2</v>
      </c>
      <c r="AM166" s="30">
        <f>'Equity Volume Data'!AP166*'Equity Price Data'!AS167</f>
        <v>32477.2</v>
      </c>
      <c r="AN166" s="30">
        <f>'Equity Volume Data'!AQ166*'Equity Price Data'!AT167</f>
        <v>13771.1</v>
      </c>
      <c r="AO166" s="30">
        <f>'Equity Volume Data'!AR166*'Equity Price Data'!AU167</f>
        <v>26183.64</v>
      </c>
      <c r="AP166" s="30">
        <f>'Equity Volume Data'!AS166*'Equity Price Data'!AV167</f>
        <v>19967.5</v>
      </c>
      <c r="AQ166" s="30">
        <f>'Equity Volume Data'!AT166*'Equity Price Data'!AW167</f>
        <v>18070.8</v>
      </c>
      <c r="AR166" s="30">
        <f>'Equity Volume Data'!AU166*'Equity Price Data'!AX167</f>
        <v>0</v>
      </c>
      <c r="AS166" s="30">
        <f>'Equity Volume Data'!AV166*'Equity Price Data'!AY167</f>
        <v>50684.4</v>
      </c>
      <c r="AT166" s="30">
        <f>'Equity Volume Data'!AW166*'Equity Price Data'!AZ167</f>
        <v>14086</v>
      </c>
      <c r="AU166" s="30">
        <f>'Equity Volume Data'!AX166*'Equity Price Data'!BA167</f>
        <v>0</v>
      </c>
      <c r="AV166" s="30">
        <f>'Equity Volume Data'!AY166*'Equity Price Data'!BB167</f>
        <v>19899.88</v>
      </c>
      <c r="AW166" s="30">
        <f>'Equity Volume Data'!AZ166*'Equity Price Data'!BC167</f>
        <v>3684.8</v>
      </c>
      <c r="AX166" s="30">
        <f>'Equity Volume Data'!BA166*'Equity Price Data'!BD167</f>
        <v>4422.4</v>
      </c>
      <c r="AY166" s="30">
        <f>'Equity Volume Data'!BB166*'Equity Price Data'!BE167</f>
        <v>28135.98</v>
      </c>
      <c r="AZ166" s="30">
        <f>'Equity Volume Data'!BC166*'Equity Price Data'!BF167</f>
        <v>13195.5</v>
      </c>
      <c r="BA166" s="30">
        <f>'Equity Volume Data'!BD166*'Equity Price Data'!BG167</f>
        <v>5154.7</v>
      </c>
      <c r="BB166" s="30">
        <f>'Equity Volume Data'!BE166*'Equity Price Data'!BH167</f>
        <v>9184</v>
      </c>
      <c r="BC166" s="30">
        <f>'Equity Volume Data'!BF166*'Equity Price Data'!BI167</f>
        <v>0</v>
      </c>
      <c r="BD166" s="30">
        <f>'Equity Volume Data'!BG166*'Equity Price Data'!BJ167</f>
        <v>45228.42</v>
      </c>
      <c r="BE166" s="30">
        <f>'Equity Volume Data'!BH166*'Equity Price Data'!BK167</f>
        <v>12549.95</v>
      </c>
      <c r="BF166" s="30">
        <f>'Equity Volume Data'!BI166*'Equity Price Data'!BL167</f>
        <v>7724.8</v>
      </c>
      <c r="BG166" s="30">
        <f>'Equity Volume Data'!BJ166*'Equity Price Data'!BM167</f>
        <v>21870.26</v>
      </c>
      <c r="BH166" s="30">
        <f>'Equity Volume Data'!BK166*'Equity Price Data'!BN167</f>
        <v>0</v>
      </c>
      <c r="BI166" s="30">
        <f>'Equity Volume Data'!BL166*'Equity Price Data'!BO167</f>
        <v>36886.4</v>
      </c>
      <c r="BJ166" s="30">
        <f>'Equity Volume Data'!BM166*'Equity Price Data'!BP167</f>
        <v>38568.75</v>
      </c>
      <c r="BK166" s="30">
        <f>'Equity Volume Data'!BN166*'Equity Price Data'!BQ167</f>
        <v>87306.9</v>
      </c>
      <c r="BL166" s="30">
        <f>'Equity Volume Data'!BO166*'Equity Price Data'!BR167</f>
        <v>564</v>
      </c>
      <c r="BM166" s="30">
        <f>'Equity Volume Data'!BP166*'Equity Price Data'!BS167</f>
        <v>9762.72</v>
      </c>
      <c r="BN166" s="30">
        <f>'Equity Volume Data'!BQ166*'Equity Price Data'!BT167</f>
        <v>20941.32</v>
      </c>
      <c r="BO166" s="30">
        <f>'Equity Volume Data'!BR166*'Equity Price Data'!BU167</f>
        <v>53374.07</v>
      </c>
    </row>
    <row r="167">
      <c r="A167" s="25">
        <f>'Equity Price Data'!A168</f>
        <v>45665.66667</v>
      </c>
      <c r="B167" s="29">
        <f t="shared" si="1"/>
        <v>1330833.66</v>
      </c>
      <c r="C167" s="30">
        <f>'Equity Volume Data'!F167*'Equity Price Data'!I168</f>
        <v>5454.54</v>
      </c>
      <c r="D167" s="30">
        <f>'Equity Volume Data'!G167*'Equity Price Data'!J168</f>
        <v>57753.8</v>
      </c>
      <c r="E167" s="30">
        <f>'Equity Volume Data'!H167*'Equity Price Data'!K168</f>
        <v>13487.1</v>
      </c>
      <c r="F167" s="30">
        <f>'Equity Volume Data'!I167*'Equity Price Data'!L168</f>
        <v>62131.2</v>
      </c>
      <c r="G167" s="30">
        <f>'Equity Volume Data'!J167*'Equity Price Data'!M168</f>
        <v>14690.17</v>
      </c>
      <c r="H167" s="30">
        <f>'Equity Volume Data'!K167*'Equity Price Data'!N168</f>
        <v>14654.6</v>
      </c>
      <c r="I167" s="30">
        <f>'Equity Volume Data'!L167*'Equity Price Data'!O168</f>
        <v>13190</v>
      </c>
      <c r="J167" s="30">
        <f>'Equity Volume Data'!M167*'Equity Price Data'!P168</f>
        <v>46087.68</v>
      </c>
      <c r="K167" s="30">
        <f>'Equity Volume Data'!N167*'Equity Price Data'!Q168</f>
        <v>9744</v>
      </c>
      <c r="L167" s="30">
        <f>'Equity Volume Data'!O167*'Equity Price Data'!R168</f>
        <v>18240.75</v>
      </c>
      <c r="M167" s="30">
        <f>'Equity Volume Data'!P167*'Equity Price Data'!S168</f>
        <v>0</v>
      </c>
      <c r="N167" s="30">
        <f>'Equity Volume Data'!Q167*'Equity Price Data'!T168</f>
        <v>5476</v>
      </c>
      <c r="O167" s="30">
        <f>'Equity Volume Data'!R167*'Equity Price Data'!U168</f>
        <v>54160.5</v>
      </c>
      <c r="P167" s="30">
        <f>'Equity Volume Data'!S167*'Equity Price Data'!V168</f>
        <v>21425.46</v>
      </c>
      <c r="Q167" s="30">
        <f>'Equity Volume Data'!T167*'Equity Price Data'!W168</f>
        <v>21982.8</v>
      </c>
      <c r="R167" s="30">
        <f>'Equity Volume Data'!U167*'Equity Price Data'!X168</f>
        <v>12024</v>
      </c>
      <c r="S167" s="30">
        <f>'Equity Volume Data'!V167*'Equity Price Data'!Y168</f>
        <v>24580.16</v>
      </c>
      <c r="T167" s="30">
        <f>'Equity Volume Data'!W167*'Equity Price Data'!Z168</f>
        <v>11195</v>
      </c>
      <c r="U167" s="30">
        <f>'Equity Volume Data'!X167*'Equity Price Data'!AA168</f>
        <v>16291.44</v>
      </c>
      <c r="V167" s="30">
        <f>'Equity Volume Data'!Y167*'Equity Price Data'!AB168</f>
        <v>14330.61</v>
      </c>
      <c r="W167" s="30">
        <f>'Equity Volume Data'!Z167*'Equity Price Data'!AC168</f>
        <v>12480.03</v>
      </c>
      <c r="X167" s="30">
        <f>'Equity Volume Data'!AA167*'Equity Price Data'!AD168</f>
        <v>0</v>
      </c>
      <c r="Y167" s="30">
        <f>'Equity Volume Data'!AB167*'Equity Price Data'!AE168</f>
        <v>5364.97</v>
      </c>
      <c r="Z167" s="30">
        <f>'Equity Volume Data'!AC167*'Equity Price Data'!AF168</f>
        <v>10410</v>
      </c>
      <c r="AA167" s="30">
        <f>'Equity Volume Data'!AD167*'Equity Price Data'!AG168</f>
        <v>18178.1</v>
      </c>
      <c r="AB167" s="30">
        <f>'Equity Volume Data'!AE167*'Equity Price Data'!AH168</f>
        <v>16494</v>
      </c>
      <c r="AC167" s="30">
        <f>'Equity Volume Data'!AF167*'Equity Price Data'!AI168</f>
        <v>17354.8</v>
      </c>
      <c r="AD167" s="30">
        <f>'Equity Volume Data'!AG167*'Equity Price Data'!AJ168</f>
        <v>11766.15</v>
      </c>
      <c r="AE167" s="30">
        <f>'Equity Volume Data'!AH167*'Equity Price Data'!AK168</f>
        <v>10200</v>
      </c>
      <c r="AF167" s="30">
        <f>'Equity Volume Data'!AI167*'Equity Price Data'!AL168</f>
        <v>18273.7</v>
      </c>
      <c r="AG167" s="30">
        <f>'Equity Volume Data'!AJ167*'Equity Price Data'!AM168</f>
        <v>34801.2</v>
      </c>
      <c r="AH167" s="30">
        <f>'Equity Volume Data'!AK167*'Equity Price Data'!AN168</f>
        <v>38720</v>
      </c>
      <c r="AI167" s="30">
        <f>'Equity Volume Data'!AL167*'Equity Price Data'!AO168</f>
        <v>21994</v>
      </c>
      <c r="AJ167" s="30">
        <f>'Equity Volume Data'!AM167*'Equity Price Data'!AP168</f>
        <v>19054.1</v>
      </c>
      <c r="AK167" s="30">
        <f>'Equity Volume Data'!AN167*'Equity Price Data'!AQ168</f>
        <v>25568.94</v>
      </c>
      <c r="AL167" s="30">
        <f>'Equity Volume Data'!AO167*'Equity Price Data'!AR168</f>
        <v>38900.8</v>
      </c>
      <c r="AM167" s="30">
        <f>'Equity Volume Data'!AP167*'Equity Price Data'!AS168</f>
        <v>32819.5</v>
      </c>
      <c r="AN167" s="30">
        <f>'Equity Volume Data'!AQ167*'Equity Price Data'!AT168</f>
        <v>13752.2</v>
      </c>
      <c r="AO167" s="30">
        <f>'Equity Volume Data'!AR167*'Equity Price Data'!AU168</f>
        <v>26200.72</v>
      </c>
      <c r="AP167" s="30">
        <f>'Equity Volume Data'!AS167*'Equity Price Data'!AV168</f>
        <v>20670</v>
      </c>
      <c r="AQ167" s="30">
        <f>'Equity Volume Data'!AT167*'Equity Price Data'!AW168</f>
        <v>18220.4</v>
      </c>
      <c r="AR167" s="30">
        <f>'Equity Volume Data'!AU167*'Equity Price Data'!AX168</f>
        <v>0</v>
      </c>
      <c r="AS167" s="30">
        <f>'Equity Volume Data'!AV167*'Equity Price Data'!AY168</f>
        <v>50947.2</v>
      </c>
      <c r="AT167" s="30">
        <f>'Equity Volume Data'!AW167*'Equity Price Data'!AZ168</f>
        <v>14132</v>
      </c>
      <c r="AU167" s="30">
        <f>'Equity Volume Data'!AX167*'Equity Price Data'!BA168</f>
        <v>0</v>
      </c>
      <c r="AV167" s="30">
        <f>'Equity Volume Data'!AY167*'Equity Price Data'!BB168</f>
        <v>19895.62</v>
      </c>
      <c r="AW167" s="30">
        <f>'Equity Volume Data'!AZ167*'Equity Price Data'!BC168</f>
        <v>3671.6</v>
      </c>
      <c r="AX167" s="30">
        <f>'Equity Volume Data'!BA167*'Equity Price Data'!BD168</f>
        <v>4443.2</v>
      </c>
      <c r="AY167" s="30">
        <f>'Equity Volume Data'!BB167*'Equity Price Data'!BE168</f>
        <v>27428.46</v>
      </c>
      <c r="AZ167" s="30">
        <f>'Equity Volume Data'!BC167*'Equity Price Data'!BF168</f>
        <v>13191</v>
      </c>
      <c r="BA167" s="30">
        <f>'Equity Volume Data'!BD167*'Equity Price Data'!BG168</f>
        <v>5103.4</v>
      </c>
      <c r="BB167" s="30">
        <f>'Equity Volume Data'!BE167*'Equity Price Data'!BH168</f>
        <v>9273.6</v>
      </c>
      <c r="BC167" s="30">
        <f>'Equity Volume Data'!BF167*'Equity Price Data'!BI168</f>
        <v>0</v>
      </c>
      <c r="BD167" s="30">
        <f>'Equity Volume Data'!BG167*'Equity Price Data'!BJ168</f>
        <v>45905.76</v>
      </c>
      <c r="BE167" s="30">
        <f>'Equity Volume Data'!BH167*'Equity Price Data'!BK168</f>
        <v>12533.39</v>
      </c>
      <c r="BF167" s="30">
        <f>'Equity Volume Data'!BI167*'Equity Price Data'!BL168</f>
        <v>7702</v>
      </c>
      <c r="BG167" s="30">
        <f>'Equity Volume Data'!BJ167*'Equity Price Data'!BM168</f>
        <v>20168.9</v>
      </c>
      <c r="BH167" s="30">
        <f>'Equity Volume Data'!BK167*'Equity Price Data'!BN168</f>
        <v>0</v>
      </c>
      <c r="BI167" s="30">
        <f>'Equity Volume Data'!BL167*'Equity Price Data'!BO168</f>
        <v>37091.2</v>
      </c>
      <c r="BJ167" s="30">
        <f>'Equity Volume Data'!BM167*'Equity Price Data'!BP168</f>
        <v>39339</v>
      </c>
      <c r="BK167" s="30">
        <f>'Equity Volume Data'!BN167*'Equity Price Data'!BQ168</f>
        <v>87397</v>
      </c>
      <c r="BL167" s="30">
        <f>'Equity Volume Data'!BO167*'Equity Price Data'!BR168</f>
        <v>562.12</v>
      </c>
      <c r="BM167" s="30">
        <f>'Equity Volume Data'!BP167*'Equity Price Data'!BS168</f>
        <v>9915.84</v>
      </c>
      <c r="BN167" s="30">
        <f>'Equity Volume Data'!BQ167*'Equity Price Data'!BT168</f>
        <v>20634.88</v>
      </c>
      <c r="BO167" s="30">
        <f>'Equity Volume Data'!BR167*'Equity Price Data'!BU168</f>
        <v>53374.07</v>
      </c>
    </row>
    <row r="168">
      <c r="A168" s="25">
        <f>'Equity Price Data'!A169</f>
        <v>45667.66667</v>
      </c>
      <c r="B168" s="29">
        <f t="shared" si="1"/>
        <v>1309706.35</v>
      </c>
      <c r="C168" s="30">
        <f>'Equity Volume Data'!F168*'Equity Price Data'!I169</f>
        <v>5276.96</v>
      </c>
      <c r="D168" s="30">
        <f>'Equity Volume Data'!G168*'Equity Price Data'!J169</f>
        <v>56924.4</v>
      </c>
      <c r="E168" s="30">
        <f>'Equity Volume Data'!H168*'Equity Price Data'!K169</f>
        <v>13323.2</v>
      </c>
      <c r="F168" s="30">
        <f>'Equity Volume Data'!I168*'Equity Price Data'!L169</f>
        <v>60633.6</v>
      </c>
      <c r="G168" s="30">
        <f>'Equity Volume Data'!J168*'Equity Price Data'!M169</f>
        <v>14246.95</v>
      </c>
      <c r="H168" s="30">
        <f>'Equity Volume Data'!K168*'Equity Price Data'!N169</f>
        <v>14178.96</v>
      </c>
      <c r="I168" s="30">
        <f>'Equity Volume Data'!L168*'Equity Price Data'!O169</f>
        <v>12690</v>
      </c>
      <c r="J168" s="30">
        <f>'Equity Volume Data'!M168*'Equity Price Data'!P169</f>
        <v>45151.32</v>
      </c>
      <c r="K168" s="30">
        <f>'Equity Volume Data'!N168*'Equity Price Data'!Q169</f>
        <v>9708</v>
      </c>
      <c r="L168" s="30">
        <f>'Equity Volume Data'!O168*'Equity Price Data'!R169</f>
        <v>18007.22</v>
      </c>
      <c r="M168" s="30">
        <f>'Equity Volume Data'!P168*'Equity Price Data'!S169</f>
        <v>0</v>
      </c>
      <c r="N168" s="30">
        <f>'Equity Volume Data'!Q168*'Equity Price Data'!T169</f>
        <v>5320.8</v>
      </c>
      <c r="O168" s="30">
        <f>'Equity Volume Data'!R168*'Equity Price Data'!U169</f>
        <v>52650</v>
      </c>
      <c r="P168" s="30">
        <f>'Equity Volume Data'!S168*'Equity Price Data'!V169</f>
        <v>20533.08</v>
      </c>
      <c r="Q168" s="30">
        <f>'Equity Volume Data'!T168*'Equity Price Data'!W169</f>
        <v>21840</v>
      </c>
      <c r="R168" s="30">
        <f>'Equity Volume Data'!U168*'Equity Price Data'!X169</f>
        <v>12251.2</v>
      </c>
      <c r="S168" s="30">
        <f>'Equity Volume Data'!V168*'Equity Price Data'!Y169</f>
        <v>24551.12</v>
      </c>
      <c r="T168" s="30">
        <f>'Equity Volume Data'!W168*'Equity Price Data'!Z169</f>
        <v>10825</v>
      </c>
      <c r="U168" s="30">
        <f>'Equity Volume Data'!X168*'Equity Price Data'!AA169</f>
        <v>16122.48</v>
      </c>
      <c r="V168" s="30">
        <f>'Equity Volume Data'!Y168*'Equity Price Data'!AB169</f>
        <v>14192.15</v>
      </c>
      <c r="W168" s="30">
        <f>'Equity Volume Data'!Z168*'Equity Price Data'!AC169</f>
        <v>11960.46</v>
      </c>
      <c r="X168" s="30">
        <f>'Equity Volume Data'!AA168*'Equity Price Data'!AD169</f>
        <v>0</v>
      </c>
      <c r="Y168" s="30">
        <f>'Equity Volume Data'!AB168*'Equity Price Data'!AE169</f>
        <v>5230.29</v>
      </c>
      <c r="Z168" s="30">
        <f>'Equity Volume Data'!AC168*'Equity Price Data'!AF169</f>
        <v>9885</v>
      </c>
      <c r="AA168" s="30">
        <f>'Equity Volume Data'!AD168*'Equity Price Data'!AG169</f>
        <v>18111.8</v>
      </c>
      <c r="AB168" s="30">
        <f>'Equity Volume Data'!AE168*'Equity Price Data'!AH169</f>
        <v>16243.8</v>
      </c>
      <c r="AC168" s="30">
        <f>'Equity Volume Data'!AF168*'Equity Price Data'!AI169</f>
        <v>17171.6</v>
      </c>
      <c r="AD168" s="30">
        <f>'Equity Volume Data'!AG168*'Equity Price Data'!AJ169</f>
        <v>11672.1</v>
      </c>
      <c r="AE168" s="30">
        <f>'Equity Volume Data'!AH168*'Equity Price Data'!AK169</f>
        <v>9970</v>
      </c>
      <c r="AF168" s="30">
        <f>'Equity Volume Data'!AI168*'Equity Price Data'!AL169</f>
        <v>18425.4</v>
      </c>
      <c r="AG168" s="30">
        <f>'Equity Volume Data'!AJ168*'Equity Price Data'!AM169</f>
        <v>33600</v>
      </c>
      <c r="AH168" s="30">
        <f>'Equity Volume Data'!AK168*'Equity Price Data'!AN169</f>
        <v>38989</v>
      </c>
      <c r="AI168" s="30">
        <f>'Equity Volume Data'!AL168*'Equity Price Data'!AO169</f>
        <v>21805</v>
      </c>
      <c r="AJ168" s="30">
        <f>'Equity Volume Data'!AM168*'Equity Price Data'!AP169</f>
        <v>18564</v>
      </c>
      <c r="AK168" s="30">
        <f>'Equity Volume Data'!AN168*'Equity Price Data'!AQ169</f>
        <v>25731.09</v>
      </c>
      <c r="AL168" s="30">
        <f>'Equity Volume Data'!AO168*'Equity Price Data'!AR169</f>
        <v>38379.2</v>
      </c>
      <c r="AM168" s="30">
        <f>'Equity Volume Data'!AP168*'Equity Price Data'!AS169</f>
        <v>32763.5</v>
      </c>
      <c r="AN168" s="30">
        <f>'Equity Volume Data'!AQ168*'Equity Price Data'!AT169</f>
        <v>13841.45</v>
      </c>
      <c r="AO168" s="30">
        <f>'Equity Volume Data'!AR168*'Equity Price Data'!AU169</f>
        <v>25440.66</v>
      </c>
      <c r="AP168" s="30">
        <f>'Equity Volume Data'!AS168*'Equity Price Data'!AV169</f>
        <v>20165</v>
      </c>
      <c r="AQ168" s="30">
        <f>'Equity Volume Data'!AT168*'Equity Price Data'!AW169</f>
        <v>17655</v>
      </c>
      <c r="AR168" s="30">
        <f>'Equity Volume Data'!AU168*'Equity Price Data'!AX169</f>
        <v>0</v>
      </c>
      <c r="AS168" s="30">
        <f>'Equity Volume Data'!AV168*'Equity Price Data'!AY169</f>
        <v>50274</v>
      </c>
      <c r="AT168" s="30">
        <f>'Equity Volume Data'!AW168*'Equity Price Data'!AZ169</f>
        <v>13476</v>
      </c>
      <c r="AU168" s="30">
        <f>'Equity Volume Data'!AX168*'Equity Price Data'!BA169</f>
        <v>0</v>
      </c>
      <c r="AV168" s="30">
        <f>'Equity Volume Data'!AY168*'Equity Price Data'!BB169</f>
        <v>19299.22</v>
      </c>
      <c r="AW168" s="30">
        <f>'Equity Volume Data'!AZ168*'Equity Price Data'!BC169</f>
        <v>3630.8</v>
      </c>
      <c r="AX168" s="30">
        <f>'Equity Volume Data'!BA168*'Equity Price Data'!BD169</f>
        <v>4530.4</v>
      </c>
      <c r="AY168" s="30">
        <f>'Equity Volume Data'!BB168*'Equity Price Data'!BE169</f>
        <v>27038.52</v>
      </c>
      <c r="AZ168" s="30">
        <f>'Equity Volume Data'!BC168*'Equity Price Data'!BF169</f>
        <v>12504</v>
      </c>
      <c r="BA168" s="30">
        <f>'Equity Volume Data'!BD168*'Equity Price Data'!BG169</f>
        <v>5076.8</v>
      </c>
      <c r="BB168" s="30">
        <f>'Equity Volume Data'!BE168*'Equity Price Data'!BH169</f>
        <v>9208.8</v>
      </c>
      <c r="BC168" s="30">
        <f>'Equity Volume Data'!BF168*'Equity Price Data'!BI169</f>
        <v>0</v>
      </c>
      <c r="BD168" s="30">
        <f>'Equity Volume Data'!BG168*'Equity Price Data'!BJ169</f>
        <v>45006.9</v>
      </c>
      <c r="BE168" s="30">
        <f>'Equity Volume Data'!BH168*'Equity Price Data'!BK169</f>
        <v>12473.13</v>
      </c>
      <c r="BF168" s="30">
        <f>'Equity Volume Data'!BI168*'Equity Price Data'!BL169</f>
        <v>7338.8</v>
      </c>
      <c r="BG168" s="30">
        <f>'Equity Volume Data'!BJ168*'Equity Price Data'!BM169</f>
        <v>19129.18</v>
      </c>
      <c r="BH168" s="30">
        <f>'Equity Volume Data'!BK168*'Equity Price Data'!BN169</f>
        <v>0</v>
      </c>
      <c r="BI168" s="30">
        <f>'Equity Volume Data'!BL168*'Equity Price Data'!BO169</f>
        <v>36033.6</v>
      </c>
      <c r="BJ168" s="30">
        <f>'Equity Volume Data'!BM168*'Equity Price Data'!BP169</f>
        <v>39051.75</v>
      </c>
      <c r="BK168" s="30">
        <f>'Equity Volume Data'!BN168*'Equity Price Data'!BQ169</f>
        <v>87306.9</v>
      </c>
      <c r="BL168" s="30">
        <f>'Equity Volume Data'!BO168*'Equity Price Data'!BR169</f>
        <v>548.49</v>
      </c>
      <c r="BM168" s="30">
        <f>'Equity Volume Data'!BP168*'Equity Price Data'!BS169</f>
        <v>9948</v>
      </c>
      <c r="BN168" s="30">
        <f>'Equity Volume Data'!BQ168*'Equity Price Data'!BT169</f>
        <v>20426.2</v>
      </c>
      <c r="BO168" s="30">
        <f>'Equity Volume Data'!BR168*'Equity Price Data'!BU169</f>
        <v>53374.07</v>
      </c>
    </row>
    <row r="169">
      <c r="A169" s="25">
        <f>'Equity Price Data'!A170</f>
        <v>45670.66667</v>
      </c>
      <c r="B169" s="29">
        <f t="shared" si="1"/>
        <v>1314583.16</v>
      </c>
      <c r="C169" s="30">
        <f>'Equity Volume Data'!F169*'Equity Price Data'!I170</f>
        <v>5310.5</v>
      </c>
      <c r="D169" s="30">
        <f>'Equity Volume Data'!G169*'Equity Price Data'!J170</f>
        <v>56799.6</v>
      </c>
      <c r="E169" s="30">
        <f>'Equity Volume Data'!H169*'Equity Price Data'!K170</f>
        <v>13311.1</v>
      </c>
      <c r="F169" s="30">
        <f>'Equity Volume Data'!I169*'Equity Price Data'!L170</f>
        <v>60006.4</v>
      </c>
      <c r="G169" s="30">
        <f>'Equity Volume Data'!J169*'Equity Price Data'!M170</f>
        <v>14181.38</v>
      </c>
      <c r="H169" s="30">
        <f>'Equity Volume Data'!K169*'Equity Price Data'!N170</f>
        <v>14308.68</v>
      </c>
      <c r="I169" s="30">
        <f>'Equity Volume Data'!L169*'Equity Price Data'!O170</f>
        <v>12830</v>
      </c>
      <c r="J169" s="30">
        <f>'Equity Volume Data'!M169*'Equity Price Data'!P170</f>
        <v>45278.82</v>
      </c>
      <c r="K169" s="30">
        <f>'Equity Volume Data'!N169*'Equity Price Data'!Q170</f>
        <v>9860</v>
      </c>
      <c r="L169" s="30">
        <f>'Equity Volume Data'!O169*'Equity Price Data'!R170</f>
        <v>18171.78</v>
      </c>
      <c r="M169" s="30">
        <f>'Equity Volume Data'!P169*'Equity Price Data'!S170</f>
        <v>0</v>
      </c>
      <c r="N169" s="30">
        <f>'Equity Volume Data'!Q169*'Equity Price Data'!T170</f>
        <v>5368.8</v>
      </c>
      <c r="O169" s="30">
        <f>'Equity Volume Data'!R169*'Equity Price Data'!U170</f>
        <v>54375</v>
      </c>
      <c r="P169" s="30">
        <f>'Equity Volume Data'!S169*'Equity Price Data'!V170</f>
        <v>20349.6</v>
      </c>
      <c r="Q169" s="30">
        <f>'Equity Volume Data'!T169*'Equity Price Data'!W170</f>
        <v>21922.8</v>
      </c>
      <c r="R169" s="30">
        <f>'Equity Volume Data'!U169*'Equity Price Data'!X170</f>
        <v>12428</v>
      </c>
      <c r="S169" s="30">
        <f>'Equity Volume Data'!V169*'Equity Price Data'!Y170</f>
        <v>24855.6</v>
      </c>
      <c r="T169" s="30">
        <f>'Equity Volume Data'!W169*'Equity Price Data'!Z170</f>
        <v>11040</v>
      </c>
      <c r="U169" s="30">
        <f>'Equity Volume Data'!X169*'Equity Price Data'!AA170</f>
        <v>16275.6</v>
      </c>
      <c r="V169" s="30">
        <f>'Equity Volume Data'!Y169*'Equity Price Data'!AB170</f>
        <v>14243.67</v>
      </c>
      <c r="W169" s="30">
        <f>'Equity Volume Data'!Z169*'Equity Price Data'!AC170</f>
        <v>11862.48</v>
      </c>
      <c r="X169" s="30">
        <f>'Equity Volume Data'!AA169*'Equity Price Data'!AD170</f>
        <v>0</v>
      </c>
      <c r="Y169" s="30">
        <f>'Equity Volume Data'!AB169*'Equity Price Data'!AE170</f>
        <v>5331.82</v>
      </c>
      <c r="Z169" s="30">
        <f>'Equity Volume Data'!AC169*'Equity Price Data'!AF170</f>
        <v>9858</v>
      </c>
      <c r="AA169" s="30">
        <f>'Equity Volume Data'!AD169*'Equity Price Data'!AG170</f>
        <v>18579.3</v>
      </c>
      <c r="AB169" s="30">
        <f>'Equity Volume Data'!AE169*'Equity Price Data'!AH170</f>
        <v>16475.4</v>
      </c>
      <c r="AC169" s="30">
        <f>'Equity Volume Data'!AF169*'Equity Price Data'!AI170</f>
        <v>16734.8</v>
      </c>
      <c r="AD169" s="30">
        <f>'Equity Volume Data'!AG169*'Equity Price Data'!AJ170</f>
        <v>11865.15</v>
      </c>
      <c r="AE169" s="30">
        <f>'Equity Volume Data'!AH169*'Equity Price Data'!AK170</f>
        <v>9986</v>
      </c>
      <c r="AF169" s="30">
        <f>'Equity Volume Data'!AI169*'Equity Price Data'!AL170</f>
        <v>18437.7</v>
      </c>
      <c r="AG169" s="30">
        <f>'Equity Volume Data'!AJ169*'Equity Price Data'!AM170</f>
        <v>33777</v>
      </c>
      <c r="AH169" s="30">
        <f>'Equity Volume Data'!AK169*'Equity Price Data'!AN170</f>
        <v>38918</v>
      </c>
      <c r="AI169" s="30">
        <f>'Equity Volume Data'!AL169*'Equity Price Data'!AO170</f>
        <v>21717.5</v>
      </c>
      <c r="AJ169" s="30">
        <f>'Equity Volume Data'!AM169*'Equity Price Data'!AP170</f>
        <v>18705.7</v>
      </c>
      <c r="AK169" s="30">
        <f>'Equity Volume Data'!AN169*'Equity Price Data'!AQ170</f>
        <v>25368.25</v>
      </c>
      <c r="AL169" s="30">
        <f>'Equity Volume Data'!AO169*'Equity Price Data'!AR170</f>
        <v>39073.6</v>
      </c>
      <c r="AM169" s="30">
        <f>'Equity Volume Data'!AP169*'Equity Price Data'!AS170</f>
        <v>33821.2</v>
      </c>
      <c r="AN169" s="30">
        <f>'Equity Volume Data'!AQ169*'Equity Price Data'!AT170</f>
        <v>13960.1</v>
      </c>
      <c r="AO169" s="30">
        <f>'Equity Volume Data'!AR169*'Equity Price Data'!AU170</f>
        <v>25227.16</v>
      </c>
      <c r="AP169" s="30">
        <f>'Equity Volume Data'!AS169*'Equity Price Data'!AV170</f>
        <v>20447.5</v>
      </c>
      <c r="AQ169" s="30">
        <f>'Equity Volume Data'!AT169*'Equity Price Data'!AW170</f>
        <v>18020.2</v>
      </c>
      <c r="AR169" s="30">
        <f>'Equity Volume Data'!AU169*'Equity Price Data'!AX170</f>
        <v>0</v>
      </c>
      <c r="AS169" s="30">
        <f>'Equity Volume Data'!AV169*'Equity Price Data'!AY170</f>
        <v>50062.8</v>
      </c>
      <c r="AT169" s="30">
        <f>'Equity Volume Data'!AW169*'Equity Price Data'!AZ170</f>
        <v>13392</v>
      </c>
      <c r="AU169" s="30">
        <f>'Equity Volume Data'!AX169*'Equity Price Data'!BA170</f>
        <v>0</v>
      </c>
      <c r="AV169" s="30">
        <f>'Equity Volume Data'!AY169*'Equity Price Data'!BB170</f>
        <v>18918.66</v>
      </c>
      <c r="AW169" s="30">
        <f>'Equity Volume Data'!AZ169*'Equity Price Data'!BC170</f>
        <v>3646.4</v>
      </c>
      <c r="AX169" s="30">
        <f>'Equity Volume Data'!BA169*'Equity Price Data'!BD170</f>
        <v>4430.4</v>
      </c>
      <c r="AY169" s="30">
        <f>'Equity Volume Data'!BB169*'Equity Price Data'!BE170</f>
        <v>26121.96</v>
      </c>
      <c r="AZ169" s="30">
        <f>'Equity Volume Data'!BC169*'Equity Price Data'!BF170</f>
        <v>12598.5</v>
      </c>
      <c r="BA169" s="30">
        <f>'Equity Volume Data'!BD169*'Equity Price Data'!BG170</f>
        <v>5092</v>
      </c>
      <c r="BB169" s="30">
        <f>'Equity Volume Data'!BE169*'Equity Price Data'!BH170</f>
        <v>9419.2</v>
      </c>
      <c r="BC169" s="30">
        <f>'Equity Volume Data'!BF169*'Equity Price Data'!BI170</f>
        <v>0</v>
      </c>
      <c r="BD169" s="30">
        <f>'Equity Volume Data'!BG169*'Equity Price Data'!BJ170</f>
        <v>45466.98</v>
      </c>
      <c r="BE169" s="30">
        <f>'Equity Volume Data'!BH169*'Equity Price Data'!BK170</f>
        <v>12776.96</v>
      </c>
      <c r="BF169" s="30">
        <f>'Equity Volume Data'!BI169*'Equity Price Data'!BL170</f>
        <v>7330</v>
      </c>
      <c r="BG169" s="30">
        <f>'Equity Volume Data'!BJ169*'Equity Price Data'!BM170</f>
        <v>17805.9</v>
      </c>
      <c r="BH169" s="30">
        <f>'Equity Volume Data'!BK169*'Equity Price Data'!BN170</f>
        <v>0</v>
      </c>
      <c r="BI169" s="30">
        <f>'Equity Volume Data'!BL169*'Equity Price Data'!BO170</f>
        <v>36281.6</v>
      </c>
      <c r="BJ169" s="30">
        <f>'Equity Volume Data'!BM169*'Equity Price Data'!BP170</f>
        <v>40585.5</v>
      </c>
      <c r="BK169" s="30">
        <f>'Equity Volume Data'!BN169*'Equity Price Data'!BQ170</f>
        <v>87360.96</v>
      </c>
      <c r="BL169" s="30">
        <f>'Equity Volume Data'!BO169*'Equity Price Data'!BR170</f>
        <v>554.6</v>
      </c>
      <c r="BM169" s="30">
        <f>'Equity Volume Data'!BP169*'Equity Price Data'!BS170</f>
        <v>9961.44</v>
      </c>
      <c r="BN169" s="30">
        <f>'Equity Volume Data'!BQ169*'Equity Price Data'!BT170</f>
        <v>20319.04</v>
      </c>
      <c r="BO169" s="30">
        <f>'Equity Volume Data'!BR169*'Equity Price Data'!BU170</f>
        <v>53374.07</v>
      </c>
    </row>
    <row r="170">
      <c r="A170" s="25">
        <f>'Equity Price Data'!A171</f>
        <v>45671.66667</v>
      </c>
      <c r="B170" s="29">
        <f t="shared" si="1"/>
        <v>1322580.6</v>
      </c>
      <c r="C170" s="30">
        <f>'Equity Volume Data'!F170*'Equity Price Data'!I171</f>
        <v>5365.23</v>
      </c>
      <c r="D170" s="30">
        <f>'Equity Volume Data'!G170*'Equity Price Data'!J171</f>
        <v>56617.6</v>
      </c>
      <c r="E170" s="30">
        <f>'Equity Volume Data'!H170*'Equity Price Data'!K171</f>
        <v>13477.2</v>
      </c>
      <c r="F170" s="30">
        <f>'Equity Volume Data'!I170*'Equity Price Data'!L171</f>
        <v>59719.68</v>
      </c>
      <c r="G170" s="30">
        <f>'Equity Volume Data'!J170*'Equity Price Data'!M171</f>
        <v>14412.95</v>
      </c>
      <c r="H170" s="30">
        <f>'Equity Volume Data'!K170*'Equity Price Data'!N171</f>
        <v>14276.72</v>
      </c>
      <c r="I170" s="30">
        <f>'Equity Volume Data'!L170*'Equity Price Data'!O171</f>
        <v>13030</v>
      </c>
      <c r="J170" s="30">
        <f>'Equity Volume Data'!M170*'Equity Price Data'!P171</f>
        <v>45903.06</v>
      </c>
      <c r="K170" s="30">
        <f>'Equity Volume Data'!N170*'Equity Price Data'!Q171</f>
        <v>9924</v>
      </c>
      <c r="L170" s="30">
        <f>'Equity Volume Data'!O170*'Equity Price Data'!R171</f>
        <v>17310.26</v>
      </c>
      <c r="M170" s="30">
        <f>'Equity Volume Data'!P170*'Equity Price Data'!S171</f>
        <v>0</v>
      </c>
      <c r="N170" s="30">
        <f>'Equity Volume Data'!Q170*'Equity Price Data'!T171</f>
        <v>5472</v>
      </c>
      <c r="O170" s="30">
        <f>'Equity Volume Data'!R170*'Equity Price Data'!U171</f>
        <v>55735.5</v>
      </c>
      <c r="P170" s="30">
        <f>'Equity Volume Data'!S170*'Equity Price Data'!V171</f>
        <v>20458.02</v>
      </c>
      <c r="Q170" s="30">
        <f>'Equity Volume Data'!T170*'Equity Price Data'!W171</f>
        <v>21990</v>
      </c>
      <c r="R170" s="30">
        <f>'Equity Volume Data'!U170*'Equity Price Data'!X171</f>
        <v>12552</v>
      </c>
      <c r="S170" s="30">
        <f>'Equity Volume Data'!V170*'Equity Price Data'!Y171</f>
        <v>25082.64</v>
      </c>
      <c r="T170" s="30">
        <f>'Equity Volume Data'!W170*'Equity Price Data'!Z171</f>
        <v>11425</v>
      </c>
      <c r="U170" s="30">
        <f>'Equity Volume Data'!X170*'Equity Price Data'!AA171</f>
        <v>16378.56</v>
      </c>
      <c r="V170" s="30">
        <f>'Equity Volume Data'!Y170*'Equity Price Data'!AB171</f>
        <v>14388.57</v>
      </c>
      <c r="W170" s="30">
        <f>'Equity Volume Data'!Z170*'Equity Price Data'!AC171</f>
        <v>11998.41</v>
      </c>
      <c r="X170" s="30">
        <f>'Equity Volume Data'!AA170*'Equity Price Data'!AD171</f>
        <v>0</v>
      </c>
      <c r="Y170" s="30">
        <f>'Equity Volume Data'!AB170*'Equity Price Data'!AE171</f>
        <v>5409.04</v>
      </c>
      <c r="Z170" s="30">
        <f>'Equity Volume Data'!AC170*'Equity Price Data'!AF171</f>
        <v>9661.5</v>
      </c>
      <c r="AA170" s="30">
        <f>'Equity Volume Data'!AD170*'Equity Price Data'!AG171</f>
        <v>18652.4</v>
      </c>
      <c r="AB170" s="30">
        <f>'Equity Volume Data'!AE170*'Equity Price Data'!AH171</f>
        <v>16657.2</v>
      </c>
      <c r="AC170" s="30">
        <f>'Equity Volume Data'!AF170*'Equity Price Data'!AI171</f>
        <v>16878.8</v>
      </c>
      <c r="AD170" s="30">
        <f>'Equity Volume Data'!AG170*'Equity Price Data'!AJ171</f>
        <v>11930.4</v>
      </c>
      <c r="AE170" s="30">
        <f>'Equity Volume Data'!AH170*'Equity Price Data'!AK171</f>
        <v>10188</v>
      </c>
      <c r="AF170" s="30">
        <f>'Equity Volume Data'!AI170*'Equity Price Data'!AL171</f>
        <v>18655</v>
      </c>
      <c r="AG170" s="30">
        <f>'Equity Volume Data'!AJ170*'Equity Price Data'!AM171</f>
        <v>34291.8</v>
      </c>
      <c r="AH170" s="30">
        <f>'Equity Volume Data'!AK170*'Equity Price Data'!AN171</f>
        <v>39278</v>
      </c>
      <c r="AI170" s="30">
        <f>'Equity Volume Data'!AL170*'Equity Price Data'!AO171</f>
        <v>22190</v>
      </c>
      <c r="AJ170" s="30">
        <f>'Equity Volume Data'!AM170*'Equity Price Data'!AP171</f>
        <v>18882.5</v>
      </c>
      <c r="AK170" s="30">
        <f>'Equity Volume Data'!AN170*'Equity Price Data'!AQ171</f>
        <v>25327.36</v>
      </c>
      <c r="AL170" s="30">
        <f>'Equity Volume Data'!AO170*'Equity Price Data'!AR171</f>
        <v>39595.2</v>
      </c>
      <c r="AM170" s="30">
        <f>'Equity Volume Data'!AP170*'Equity Price Data'!AS171</f>
        <v>33912.2</v>
      </c>
      <c r="AN170" s="30">
        <f>'Equity Volume Data'!AQ170*'Equity Price Data'!AT171</f>
        <v>13605.9</v>
      </c>
      <c r="AO170" s="30">
        <f>'Equity Volume Data'!AR170*'Equity Price Data'!AU171</f>
        <v>25483.36</v>
      </c>
      <c r="AP170" s="30">
        <f>'Equity Volume Data'!AS170*'Equity Price Data'!AV171</f>
        <v>21312.5</v>
      </c>
      <c r="AQ170" s="30">
        <f>'Equity Volume Data'!AT170*'Equity Price Data'!AW171</f>
        <v>18442.6</v>
      </c>
      <c r="AR170" s="30">
        <f>'Equity Volume Data'!AU170*'Equity Price Data'!AX171</f>
        <v>0</v>
      </c>
      <c r="AS170" s="30">
        <f>'Equity Volume Data'!AV170*'Equity Price Data'!AY171</f>
        <v>49880.4</v>
      </c>
      <c r="AT170" s="30">
        <f>'Equity Volume Data'!AW170*'Equity Price Data'!AZ171</f>
        <v>13596</v>
      </c>
      <c r="AU170" s="30">
        <f>'Equity Volume Data'!AX170*'Equity Price Data'!BA171</f>
        <v>0</v>
      </c>
      <c r="AV170" s="30">
        <f>'Equity Volume Data'!AY170*'Equity Price Data'!BB171</f>
        <v>18709.92</v>
      </c>
      <c r="AW170" s="30">
        <f>'Equity Volume Data'!AZ170*'Equity Price Data'!BC171</f>
        <v>3671.2</v>
      </c>
      <c r="AX170" s="30">
        <f>'Equity Volume Data'!BA170*'Equity Price Data'!BD171</f>
        <v>4360</v>
      </c>
      <c r="AY170" s="30">
        <f>'Equity Volume Data'!BB170*'Equity Price Data'!BE171</f>
        <v>26495.82</v>
      </c>
      <c r="AZ170" s="30">
        <f>'Equity Volume Data'!BC170*'Equity Price Data'!BF171</f>
        <v>13077</v>
      </c>
      <c r="BA170" s="30">
        <f>'Equity Volume Data'!BD170*'Equity Price Data'!BG171</f>
        <v>5017.9</v>
      </c>
      <c r="BB170" s="30">
        <f>'Equity Volume Data'!BE170*'Equity Price Data'!BH171</f>
        <v>9557.6</v>
      </c>
      <c r="BC170" s="30">
        <f>'Equity Volume Data'!BF170*'Equity Price Data'!BI171</f>
        <v>0</v>
      </c>
      <c r="BD170" s="30">
        <f>'Equity Volume Data'!BG170*'Equity Price Data'!BJ171</f>
        <v>45620.34</v>
      </c>
      <c r="BE170" s="30">
        <f>'Equity Volume Data'!BH170*'Equity Price Data'!BK171</f>
        <v>12810.77</v>
      </c>
      <c r="BF170" s="30">
        <f>'Equity Volume Data'!BI170*'Equity Price Data'!BL171</f>
        <v>7416.4</v>
      </c>
      <c r="BG170" s="30">
        <f>'Equity Volume Data'!BJ170*'Equity Price Data'!BM171</f>
        <v>17386.12</v>
      </c>
      <c r="BH170" s="30">
        <f>'Equity Volume Data'!BK170*'Equity Price Data'!BN171</f>
        <v>0</v>
      </c>
      <c r="BI170" s="30">
        <f>'Equity Volume Data'!BL170*'Equity Price Data'!BO171</f>
        <v>36700.8</v>
      </c>
      <c r="BJ170" s="30">
        <f>'Equity Volume Data'!BM170*'Equity Price Data'!BP171</f>
        <v>40780.5</v>
      </c>
      <c r="BK170" s="30">
        <f>'Equity Volume Data'!BN170*'Equity Price Data'!BQ171</f>
        <v>87433.04</v>
      </c>
      <c r="BL170" s="30">
        <f>'Equity Volume Data'!BO170*'Equity Price Data'!BR171</f>
        <v>550.84</v>
      </c>
      <c r="BM170" s="30">
        <f>'Equity Volume Data'!BP170*'Equity Price Data'!BS171</f>
        <v>9944.16</v>
      </c>
      <c r="BN170" s="30">
        <f>'Equity Volume Data'!BQ170*'Equity Price Data'!BT171</f>
        <v>20326.56</v>
      </c>
      <c r="BO170" s="30">
        <f>'Equity Volume Data'!BR170*'Equity Price Data'!BU171</f>
        <v>53374.07</v>
      </c>
    </row>
    <row r="171">
      <c r="A171" s="25">
        <f>'Equity Price Data'!A172</f>
        <v>45672.66667</v>
      </c>
      <c r="B171" s="29">
        <f t="shared" si="1"/>
        <v>1341454.36</v>
      </c>
      <c r="C171" s="30">
        <f>'Equity Volume Data'!F171*'Equity Price Data'!I172</f>
        <v>5424.64</v>
      </c>
      <c r="D171" s="30">
        <f>'Equity Volume Data'!G171*'Equity Price Data'!J172</f>
        <v>58071</v>
      </c>
      <c r="E171" s="30">
        <f>'Equity Volume Data'!H171*'Equity Price Data'!K172</f>
        <v>13588.3</v>
      </c>
      <c r="F171" s="30">
        <f>'Equity Volume Data'!I171*'Equity Price Data'!L172</f>
        <v>60894.72</v>
      </c>
      <c r="G171" s="30">
        <f>'Equity Volume Data'!J171*'Equity Price Data'!M172</f>
        <v>14805.54</v>
      </c>
      <c r="H171" s="30">
        <f>'Equity Volume Data'!K171*'Equity Price Data'!N172</f>
        <v>15423.52</v>
      </c>
      <c r="I171" s="30">
        <f>'Equity Volume Data'!L171*'Equity Price Data'!O172</f>
        <v>14040</v>
      </c>
      <c r="J171" s="30">
        <f>'Equity Volume Data'!M171*'Equity Price Data'!P172</f>
        <v>46768.02</v>
      </c>
      <c r="K171" s="30">
        <f>'Equity Volume Data'!N171*'Equity Price Data'!Q172</f>
        <v>9962</v>
      </c>
      <c r="L171" s="30">
        <f>'Equity Volume Data'!O171*'Equity Price Data'!R172</f>
        <v>17061</v>
      </c>
      <c r="M171" s="30">
        <f>'Equity Volume Data'!P171*'Equity Price Data'!S172</f>
        <v>0</v>
      </c>
      <c r="N171" s="30">
        <f>'Equity Volume Data'!Q171*'Equity Price Data'!T172</f>
        <v>5504</v>
      </c>
      <c r="O171" s="30">
        <f>'Equity Volume Data'!R171*'Equity Price Data'!U172</f>
        <v>56233.5</v>
      </c>
      <c r="P171" s="30">
        <f>'Equity Volume Data'!S171*'Equity Price Data'!V172</f>
        <v>20712.39</v>
      </c>
      <c r="Q171" s="30">
        <f>'Equity Volume Data'!T171*'Equity Price Data'!W172</f>
        <v>22008</v>
      </c>
      <c r="R171" s="30">
        <f>'Equity Volume Data'!U171*'Equity Price Data'!X172</f>
        <v>12666.4</v>
      </c>
      <c r="S171" s="30">
        <f>'Equity Volume Data'!V171*'Equity Price Data'!Y172</f>
        <v>25043.04</v>
      </c>
      <c r="T171" s="30">
        <f>'Equity Volume Data'!W171*'Equity Price Data'!Z172</f>
        <v>11770</v>
      </c>
      <c r="U171" s="30">
        <f>'Equity Volume Data'!X171*'Equity Price Data'!AA172</f>
        <v>16307.28</v>
      </c>
      <c r="V171" s="30">
        <f>'Equity Volume Data'!Y171*'Equity Price Data'!AB172</f>
        <v>14527.03</v>
      </c>
      <c r="W171" s="30">
        <f>'Equity Volume Data'!Z171*'Equity Price Data'!AC172</f>
        <v>12068.79</v>
      </c>
      <c r="X171" s="30">
        <f>'Equity Volume Data'!AA171*'Equity Price Data'!AD172</f>
        <v>0</v>
      </c>
      <c r="Y171" s="30">
        <f>'Equity Volume Data'!AB171*'Equity Price Data'!AE172</f>
        <v>5381.09</v>
      </c>
      <c r="Z171" s="30">
        <f>'Equity Volume Data'!AC171*'Equity Price Data'!AF172</f>
        <v>9766.5</v>
      </c>
      <c r="AA171" s="30">
        <f>'Equity Volume Data'!AD171*'Equity Price Data'!AG172</f>
        <v>18956.7</v>
      </c>
      <c r="AB171" s="30">
        <f>'Equity Volume Data'!AE171*'Equity Price Data'!AH172</f>
        <v>16595.4</v>
      </c>
      <c r="AC171" s="30">
        <f>'Equity Volume Data'!AF171*'Equity Price Data'!AI172</f>
        <v>17267.2</v>
      </c>
      <c r="AD171" s="30">
        <f>'Equity Volume Data'!AG171*'Equity Price Data'!AJ172</f>
        <v>11974.05</v>
      </c>
      <c r="AE171" s="30">
        <f>'Equity Volume Data'!AH171*'Equity Price Data'!AK172</f>
        <v>10340</v>
      </c>
      <c r="AF171" s="30">
        <f>'Equity Volume Data'!AI171*'Equity Price Data'!AL172</f>
        <v>18937.9</v>
      </c>
      <c r="AG171" s="30">
        <f>'Equity Volume Data'!AJ171*'Equity Price Data'!AM172</f>
        <v>36355.2</v>
      </c>
      <c r="AH171" s="30">
        <f>'Equity Volume Data'!AK171*'Equity Price Data'!AN172</f>
        <v>40609</v>
      </c>
      <c r="AI171" s="30">
        <f>'Equity Volume Data'!AL171*'Equity Price Data'!AO172</f>
        <v>22293.25</v>
      </c>
      <c r="AJ171" s="30">
        <f>'Equity Volume Data'!AM171*'Equity Price Data'!AP172</f>
        <v>19271.2</v>
      </c>
      <c r="AK171" s="30">
        <f>'Equity Volume Data'!AN171*'Equity Price Data'!AQ172</f>
        <v>27265.17</v>
      </c>
      <c r="AL171" s="30">
        <f>'Equity Volume Data'!AO171*'Equity Price Data'!AR172</f>
        <v>40376</v>
      </c>
      <c r="AM171" s="30">
        <f>'Equity Volume Data'!AP171*'Equity Price Data'!AS172</f>
        <v>33877.9</v>
      </c>
      <c r="AN171" s="30">
        <f>'Equity Volume Data'!AQ171*'Equity Price Data'!AT172</f>
        <v>13183.1</v>
      </c>
      <c r="AO171" s="30">
        <f>'Equity Volume Data'!AR171*'Equity Price Data'!AU172</f>
        <v>26217.8</v>
      </c>
      <c r="AP171" s="30">
        <f>'Equity Volume Data'!AS171*'Equity Price Data'!AV172</f>
        <v>21350</v>
      </c>
      <c r="AQ171" s="30">
        <f>'Equity Volume Data'!AT171*'Equity Price Data'!AW172</f>
        <v>18684.6</v>
      </c>
      <c r="AR171" s="30">
        <f>'Equity Volume Data'!AU171*'Equity Price Data'!AX172</f>
        <v>0</v>
      </c>
      <c r="AS171" s="30">
        <f>'Equity Volume Data'!AV171*'Equity Price Data'!AY172</f>
        <v>51157.2</v>
      </c>
      <c r="AT171" s="30">
        <f>'Equity Volume Data'!AW171*'Equity Price Data'!AZ172</f>
        <v>13858</v>
      </c>
      <c r="AU171" s="30">
        <f>'Equity Volume Data'!AX171*'Equity Price Data'!BA172</f>
        <v>0</v>
      </c>
      <c r="AV171" s="30">
        <f>'Equity Volume Data'!AY171*'Equity Price Data'!BB172</f>
        <v>19346.08</v>
      </c>
      <c r="AW171" s="30">
        <f>'Equity Volume Data'!AZ171*'Equity Price Data'!BC172</f>
        <v>3690</v>
      </c>
      <c r="AX171" s="30">
        <f>'Equity Volume Data'!BA171*'Equity Price Data'!BD172</f>
        <v>4377.6</v>
      </c>
      <c r="AY171" s="30">
        <f>'Equity Volume Data'!BB171*'Equity Price Data'!BE172</f>
        <v>27392.28</v>
      </c>
      <c r="AZ171" s="30">
        <f>'Equity Volume Data'!BC171*'Equity Price Data'!BF172</f>
        <v>13446</v>
      </c>
      <c r="BA171" s="30">
        <f>'Equity Volume Data'!BD171*'Equity Price Data'!BG172</f>
        <v>4981.8</v>
      </c>
      <c r="BB171" s="30">
        <f>'Equity Volume Data'!BE171*'Equity Price Data'!BH172</f>
        <v>9527.2</v>
      </c>
      <c r="BC171" s="30">
        <f>'Equity Volume Data'!BF171*'Equity Price Data'!BI172</f>
        <v>0</v>
      </c>
      <c r="BD171" s="30">
        <f>'Equity Volume Data'!BG171*'Equity Price Data'!BJ172</f>
        <v>45624.6</v>
      </c>
      <c r="BE171" s="30">
        <f>'Equity Volume Data'!BH171*'Equity Price Data'!BK172</f>
        <v>12683.81</v>
      </c>
      <c r="BF171" s="30">
        <f>'Equity Volume Data'!BI171*'Equity Price Data'!BL172</f>
        <v>7393.6</v>
      </c>
      <c r="BG171" s="30">
        <f>'Equity Volume Data'!BJ171*'Equity Price Data'!BM172</f>
        <v>16802.32</v>
      </c>
      <c r="BH171" s="30">
        <f>'Equity Volume Data'!BK171*'Equity Price Data'!BN172</f>
        <v>0</v>
      </c>
      <c r="BI171" s="30">
        <f>'Equity Volume Data'!BL171*'Equity Price Data'!BO172</f>
        <v>36937.6</v>
      </c>
      <c r="BJ171" s="30">
        <f>'Equity Volume Data'!BM171*'Equity Price Data'!BP172</f>
        <v>40756.5</v>
      </c>
      <c r="BK171" s="30">
        <f>'Equity Volume Data'!BN171*'Equity Price Data'!BQ172</f>
        <v>87667.3</v>
      </c>
      <c r="BL171" s="30">
        <f>'Equity Volume Data'!BO171*'Equity Price Data'!BR172</f>
        <v>535.33</v>
      </c>
      <c r="BM171" s="30">
        <f>'Equity Volume Data'!BP171*'Equity Price Data'!BS172</f>
        <v>9984</v>
      </c>
      <c r="BN171" s="30">
        <f>'Equity Volume Data'!BQ171*'Equity Price Data'!BT172</f>
        <v>20337.84</v>
      </c>
      <c r="BO171" s="30">
        <f>'Equity Volume Data'!BR171*'Equity Price Data'!BU172</f>
        <v>53374.07</v>
      </c>
    </row>
    <row r="172">
      <c r="A172" s="25">
        <f>'Equity Price Data'!A173</f>
        <v>45673.66667</v>
      </c>
      <c r="B172" s="29">
        <f t="shared" si="1"/>
        <v>1342332.82</v>
      </c>
      <c r="C172" s="30">
        <f>'Equity Volume Data'!F172*'Equity Price Data'!I173</f>
        <v>5550.09</v>
      </c>
      <c r="D172" s="30">
        <f>'Equity Volume Data'!G172*'Equity Price Data'!J173</f>
        <v>57371.6</v>
      </c>
      <c r="E172" s="30">
        <f>'Equity Volume Data'!H172*'Equity Price Data'!K173</f>
        <v>13899.6</v>
      </c>
      <c r="F172" s="30">
        <f>'Equity Volume Data'!I172*'Equity Price Data'!L173</f>
        <v>58434.56</v>
      </c>
      <c r="G172" s="30">
        <f>'Equity Volume Data'!J172*'Equity Price Data'!M173</f>
        <v>15477.84</v>
      </c>
      <c r="H172" s="30">
        <f>'Equity Volume Data'!K172*'Equity Price Data'!N173</f>
        <v>15463</v>
      </c>
      <c r="I172" s="30">
        <f>'Equity Volume Data'!L172*'Equity Price Data'!O173</f>
        <v>13990</v>
      </c>
      <c r="J172" s="30">
        <f>'Equity Volume Data'!M172*'Equity Price Data'!P173</f>
        <v>47206.62</v>
      </c>
      <c r="K172" s="30">
        <f>'Equity Volume Data'!N172*'Equity Price Data'!Q173</f>
        <v>9912</v>
      </c>
      <c r="L172" s="30">
        <f>'Equity Volume Data'!O172*'Equity Price Data'!R173</f>
        <v>17088.83</v>
      </c>
      <c r="M172" s="30">
        <f>'Equity Volume Data'!P172*'Equity Price Data'!S173</f>
        <v>0</v>
      </c>
      <c r="N172" s="30">
        <f>'Equity Volume Data'!Q172*'Equity Price Data'!T173</f>
        <v>5579.2</v>
      </c>
      <c r="O172" s="30">
        <f>'Equity Volume Data'!R172*'Equity Price Data'!U173</f>
        <v>57082.5</v>
      </c>
      <c r="P172" s="30">
        <f>'Equity Volume Data'!S172*'Equity Price Data'!V173</f>
        <v>20645.67</v>
      </c>
      <c r="Q172" s="30">
        <f>'Equity Volume Data'!T172*'Equity Price Data'!W173</f>
        <v>22412.4</v>
      </c>
      <c r="R172" s="30">
        <f>'Equity Volume Data'!U172*'Equity Price Data'!X173</f>
        <v>12750.4</v>
      </c>
      <c r="S172" s="30">
        <f>'Equity Volume Data'!V172*'Equity Price Data'!Y173</f>
        <v>24725.36</v>
      </c>
      <c r="T172" s="30">
        <f>'Equity Volume Data'!W172*'Equity Price Data'!Z173</f>
        <v>11700</v>
      </c>
      <c r="U172" s="30">
        <f>'Equity Volume Data'!X172*'Equity Price Data'!AA173</f>
        <v>16434</v>
      </c>
      <c r="V172" s="30">
        <f>'Equity Volume Data'!Y172*'Equity Price Data'!AB173</f>
        <v>14847.42</v>
      </c>
      <c r="W172" s="30">
        <f>'Equity Volume Data'!Z172*'Equity Price Data'!AC173</f>
        <v>12426.9</v>
      </c>
      <c r="X172" s="30">
        <f>'Equity Volume Data'!AA172*'Equity Price Data'!AD173</f>
        <v>0</v>
      </c>
      <c r="Y172" s="30">
        <f>'Equity Volume Data'!AB172*'Equity Price Data'!AE173</f>
        <v>5445.83</v>
      </c>
      <c r="Z172" s="30">
        <f>'Equity Volume Data'!AC172*'Equity Price Data'!AF173</f>
        <v>9759</v>
      </c>
      <c r="AA172" s="30">
        <f>'Equity Volume Data'!AD172*'Equity Price Data'!AG173</f>
        <v>18924.4</v>
      </c>
      <c r="AB172" s="30">
        <f>'Equity Volume Data'!AE172*'Equity Price Data'!AH173</f>
        <v>16642.2</v>
      </c>
      <c r="AC172" s="30">
        <f>'Equity Volume Data'!AF172*'Equity Price Data'!AI173</f>
        <v>17317.6</v>
      </c>
      <c r="AD172" s="30">
        <f>'Equity Volume Data'!AG172*'Equity Price Data'!AJ173</f>
        <v>12097.35</v>
      </c>
      <c r="AE172" s="30">
        <f>'Equity Volume Data'!AH172*'Equity Price Data'!AK173</f>
        <v>10368</v>
      </c>
      <c r="AF172" s="30">
        <f>'Equity Volume Data'!AI172*'Equity Price Data'!AL173</f>
        <v>18788.25</v>
      </c>
      <c r="AG172" s="30">
        <f>'Equity Volume Data'!AJ172*'Equity Price Data'!AM173</f>
        <v>36779.4</v>
      </c>
      <c r="AH172" s="30">
        <f>'Equity Volume Data'!AK172*'Equity Price Data'!AN173</f>
        <v>40933</v>
      </c>
      <c r="AI172" s="30">
        <f>'Equity Volume Data'!AL172*'Equity Price Data'!AO173</f>
        <v>22321.25</v>
      </c>
      <c r="AJ172" s="30">
        <f>'Equity Volume Data'!AM172*'Equity Price Data'!AP173</f>
        <v>19529.9</v>
      </c>
      <c r="AK172" s="30">
        <f>'Equity Volume Data'!AN172*'Equity Price Data'!AQ173</f>
        <v>27451.76</v>
      </c>
      <c r="AL172" s="30">
        <f>'Equity Volume Data'!AO172*'Equity Price Data'!AR173</f>
        <v>40683.2</v>
      </c>
      <c r="AM172" s="30">
        <f>'Equity Volume Data'!AP172*'Equity Price Data'!AS173</f>
        <v>34080.2</v>
      </c>
      <c r="AN172" s="30">
        <f>'Equity Volume Data'!AQ172*'Equity Price Data'!AT173</f>
        <v>12984.65</v>
      </c>
      <c r="AO172" s="30">
        <f>'Equity Volume Data'!AR172*'Equity Price Data'!AU173</f>
        <v>26328.82</v>
      </c>
      <c r="AP172" s="30">
        <f>'Equity Volume Data'!AS172*'Equity Price Data'!AV173</f>
        <v>21790</v>
      </c>
      <c r="AQ172" s="30">
        <f>'Equity Volume Data'!AT172*'Equity Price Data'!AW173</f>
        <v>18895.8</v>
      </c>
      <c r="AR172" s="30">
        <f>'Equity Volume Data'!AU172*'Equity Price Data'!AX173</f>
        <v>0</v>
      </c>
      <c r="AS172" s="30">
        <f>'Equity Volume Data'!AV172*'Equity Price Data'!AY173</f>
        <v>50949.6</v>
      </c>
      <c r="AT172" s="30">
        <f>'Equity Volume Data'!AW172*'Equity Price Data'!AZ173</f>
        <v>14274</v>
      </c>
      <c r="AU172" s="30">
        <f>'Equity Volume Data'!AX172*'Equity Price Data'!BA173</f>
        <v>0</v>
      </c>
      <c r="AV172" s="30">
        <f>'Equity Volume Data'!AY172*'Equity Price Data'!BB173</f>
        <v>18966.94</v>
      </c>
      <c r="AW172" s="30">
        <f>'Equity Volume Data'!AZ172*'Equity Price Data'!BC173</f>
        <v>3728</v>
      </c>
      <c r="AX172" s="30">
        <f>'Equity Volume Data'!BA172*'Equity Price Data'!BD173</f>
        <v>4506.4</v>
      </c>
      <c r="AY172" s="30">
        <f>'Equity Volume Data'!BB172*'Equity Price Data'!BE173</f>
        <v>27834.48</v>
      </c>
      <c r="AZ172" s="30">
        <f>'Equity Volume Data'!BC172*'Equity Price Data'!BF173</f>
        <v>13338</v>
      </c>
      <c r="BA172" s="30">
        <f>'Equity Volume Data'!BD172*'Equity Price Data'!BG173</f>
        <v>5033.1</v>
      </c>
      <c r="BB172" s="30">
        <f>'Equity Volume Data'!BE172*'Equity Price Data'!BH173</f>
        <v>9636.8</v>
      </c>
      <c r="BC172" s="30">
        <f>'Equity Volume Data'!BF172*'Equity Price Data'!BI173</f>
        <v>0</v>
      </c>
      <c r="BD172" s="30">
        <f>'Equity Volume Data'!BG172*'Equity Price Data'!BJ173</f>
        <v>45954.75</v>
      </c>
      <c r="BE172" s="30">
        <f>'Equity Volume Data'!BH172*'Equity Price Data'!BK173</f>
        <v>12919.33</v>
      </c>
      <c r="BF172" s="30">
        <f>'Equity Volume Data'!BI172*'Equity Price Data'!BL173</f>
        <v>7259.2</v>
      </c>
      <c r="BG172" s="30">
        <f>'Equity Volume Data'!BJ172*'Equity Price Data'!BM173</f>
        <v>16129.56</v>
      </c>
      <c r="BH172" s="30">
        <f>'Equity Volume Data'!BK172*'Equity Price Data'!BN173</f>
        <v>0</v>
      </c>
      <c r="BI172" s="30">
        <f>'Equity Volume Data'!BL172*'Equity Price Data'!BO173</f>
        <v>37582.4</v>
      </c>
      <c r="BJ172" s="30">
        <f>'Equity Volume Data'!BM172*'Equity Price Data'!BP173</f>
        <v>38294.25</v>
      </c>
      <c r="BK172" s="30">
        <f>'Equity Volume Data'!BN172*'Equity Price Data'!BQ173</f>
        <v>87757.4</v>
      </c>
      <c r="BL172" s="30">
        <f>'Equity Volume Data'!BO172*'Equity Price Data'!BR173</f>
        <v>532.98</v>
      </c>
      <c r="BM172" s="30">
        <f>'Equity Volume Data'!BP172*'Equity Price Data'!BS173</f>
        <v>10128.48</v>
      </c>
      <c r="BN172" s="30">
        <f>'Equity Volume Data'!BQ172*'Equity Price Data'!BT173</f>
        <v>20014.48</v>
      </c>
      <c r="BO172" s="30">
        <f>'Equity Volume Data'!BR172*'Equity Price Data'!BU173</f>
        <v>53374.07</v>
      </c>
    </row>
    <row r="173">
      <c r="A173" s="25">
        <f>'Equity Price Data'!A174</f>
        <v>45674.66667</v>
      </c>
      <c r="B173" s="29">
        <f t="shared" si="1"/>
        <v>1353893.16</v>
      </c>
      <c r="C173" s="30">
        <f>'Equity Volume Data'!F173*'Equity Price Data'!I174</f>
        <v>5589.87</v>
      </c>
      <c r="D173" s="30">
        <f>'Equity Volume Data'!G173*'Equity Price Data'!J174</f>
        <v>58744.4</v>
      </c>
      <c r="E173" s="30">
        <f>'Equity Volume Data'!H173*'Equity Price Data'!K174</f>
        <v>13926</v>
      </c>
      <c r="F173" s="30">
        <f>'Equity Volume Data'!I173*'Equity Price Data'!L174</f>
        <v>58874.88</v>
      </c>
      <c r="G173" s="30">
        <f>'Equity Volume Data'!J173*'Equity Price Data'!M174</f>
        <v>15940.15</v>
      </c>
      <c r="H173" s="30">
        <f>'Equity Volume Data'!K173*'Equity Price Data'!N174</f>
        <v>15658.52</v>
      </c>
      <c r="I173" s="30">
        <f>'Equity Volume Data'!L173*'Equity Price Data'!O174</f>
        <v>14260</v>
      </c>
      <c r="J173" s="30">
        <f>'Equity Volume Data'!M173*'Equity Price Data'!P174</f>
        <v>47730.9</v>
      </c>
      <c r="K173" s="30">
        <f>'Equity Volume Data'!N173*'Equity Price Data'!Q174</f>
        <v>10018</v>
      </c>
      <c r="L173" s="30">
        <f>'Equity Volume Data'!O173*'Equity Price Data'!R174</f>
        <v>17006.55</v>
      </c>
      <c r="M173" s="30">
        <f>'Equity Volume Data'!P173*'Equity Price Data'!S174</f>
        <v>0</v>
      </c>
      <c r="N173" s="30">
        <f>'Equity Volume Data'!Q173*'Equity Price Data'!T174</f>
        <v>5572.8</v>
      </c>
      <c r="O173" s="30">
        <f>'Equity Volume Data'!R173*'Equity Price Data'!U174</f>
        <v>57903</v>
      </c>
      <c r="P173" s="30">
        <f>'Equity Volume Data'!S173*'Equity Price Data'!V174</f>
        <v>21529.71</v>
      </c>
      <c r="Q173" s="30">
        <f>'Equity Volume Data'!T173*'Equity Price Data'!W174</f>
        <v>22544.4</v>
      </c>
      <c r="R173" s="30">
        <f>'Equity Volume Data'!U173*'Equity Price Data'!X174</f>
        <v>12917.6</v>
      </c>
      <c r="S173" s="30">
        <f>'Equity Volume Data'!V173*'Equity Price Data'!Y174</f>
        <v>24991.12</v>
      </c>
      <c r="T173" s="30">
        <f>'Equity Volume Data'!W173*'Equity Price Data'!Z174</f>
        <v>11885</v>
      </c>
      <c r="U173" s="30">
        <f>'Equity Volume Data'!X173*'Equity Price Data'!AA174</f>
        <v>16555.44</v>
      </c>
      <c r="V173" s="30">
        <f>'Equity Volume Data'!Y173*'Equity Price Data'!AB174</f>
        <v>15077.65</v>
      </c>
      <c r="W173" s="30">
        <f>'Equity Volume Data'!Z173*'Equity Price Data'!AC174</f>
        <v>12311.67</v>
      </c>
      <c r="X173" s="30">
        <f>'Equity Volume Data'!AA173*'Equity Price Data'!AD174</f>
        <v>0</v>
      </c>
      <c r="Y173" s="30">
        <f>'Equity Volume Data'!AB173*'Equity Price Data'!AE174</f>
        <v>5555.55</v>
      </c>
      <c r="Z173" s="30">
        <f>'Equity Volume Data'!AC173*'Equity Price Data'!AF174</f>
        <v>9928.5</v>
      </c>
      <c r="AA173" s="30">
        <f>'Equity Volume Data'!AD173*'Equity Price Data'!AG174</f>
        <v>19094.4</v>
      </c>
      <c r="AB173" s="30">
        <f>'Equity Volume Data'!AE173*'Equity Price Data'!AH174</f>
        <v>16506</v>
      </c>
      <c r="AC173" s="30">
        <f>'Equity Volume Data'!AF173*'Equity Price Data'!AI174</f>
        <v>17434.8</v>
      </c>
      <c r="AD173" s="30">
        <f>'Equity Volume Data'!AG173*'Equity Price Data'!AJ174</f>
        <v>12000.15</v>
      </c>
      <c r="AE173" s="30">
        <f>'Equity Volume Data'!AH173*'Equity Price Data'!AK174</f>
        <v>10194</v>
      </c>
      <c r="AF173" s="30">
        <f>'Equity Volume Data'!AI173*'Equity Price Data'!AL174</f>
        <v>18827.2</v>
      </c>
      <c r="AG173" s="30">
        <f>'Equity Volume Data'!AJ173*'Equity Price Data'!AM174</f>
        <v>37556.4</v>
      </c>
      <c r="AH173" s="30">
        <f>'Equity Volume Data'!AK173*'Equity Price Data'!AN174</f>
        <v>40938</v>
      </c>
      <c r="AI173" s="30">
        <f>'Equity Volume Data'!AL173*'Equity Price Data'!AO174</f>
        <v>22230.25</v>
      </c>
      <c r="AJ173" s="30">
        <f>'Equity Volume Data'!AM173*'Equity Price Data'!AP174</f>
        <v>19384.3</v>
      </c>
      <c r="AK173" s="30">
        <f>'Equity Volume Data'!AN173*'Equity Price Data'!AQ174</f>
        <v>27854.08</v>
      </c>
      <c r="AL173" s="30">
        <f>'Equity Volume Data'!AO173*'Equity Price Data'!AR174</f>
        <v>41465.6</v>
      </c>
      <c r="AM173" s="30">
        <f>'Equity Volume Data'!AP173*'Equity Price Data'!AS174</f>
        <v>34322.4</v>
      </c>
      <c r="AN173" s="30">
        <f>'Equity Volume Data'!AQ173*'Equity Price Data'!AT174</f>
        <v>13079.5</v>
      </c>
      <c r="AO173" s="30">
        <f>'Equity Volume Data'!AR173*'Equity Price Data'!AU174</f>
        <v>26140.94</v>
      </c>
      <c r="AP173" s="30">
        <f>'Equity Volume Data'!AS173*'Equity Price Data'!AV174</f>
        <v>22020</v>
      </c>
      <c r="AQ173" s="30">
        <f>'Equity Volume Data'!AT173*'Equity Price Data'!AW174</f>
        <v>19091.6</v>
      </c>
      <c r="AR173" s="30">
        <f>'Equity Volume Data'!AU173*'Equity Price Data'!AX174</f>
        <v>0</v>
      </c>
      <c r="AS173" s="30">
        <f>'Equity Volume Data'!AV173*'Equity Price Data'!AY174</f>
        <v>51483.6</v>
      </c>
      <c r="AT173" s="30">
        <f>'Equity Volume Data'!AW173*'Equity Price Data'!AZ174</f>
        <v>14152</v>
      </c>
      <c r="AU173" s="30">
        <f>'Equity Volume Data'!AX173*'Equity Price Data'!BA174</f>
        <v>0</v>
      </c>
      <c r="AV173" s="30">
        <f>'Equity Volume Data'!AY173*'Equity Price Data'!BB174</f>
        <v>19554.82</v>
      </c>
      <c r="AW173" s="30">
        <f>'Equity Volume Data'!AZ173*'Equity Price Data'!BC174</f>
        <v>3790.8</v>
      </c>
      <c r="AX173" s="30">
        <f>'Equity Volume Data'!BA173*'Equity Price Data'!BD174</f>
        <v>4638.4</v>
      </c>
      <c r="AY173" s="30">
        <f>'Equity Volume Data'!BB173*'Equity Price Data'!BE174</f>
        <v>28851.54</v>
      </c>
      <c r="AZ173" s="30">
        <f>'Equity Volume Data'!BC173*'Equity Price Data'!BF174</f>
        <v>13771.5</v>
      </c>
      <c r="BA173" s="30">
        <f>'Equity Volume Data'!BD173*'Equity Price Data'!BG174</f>
        <v>4997</v>
      </c>
      <c r="BB173" s="30">
        <f>'Equity Volume Data'!BE173*'Equity Price Data'!BH174</f>
        <v>9688.8</v>
      </c>
      <c r="BC173" s="30">
        <f>'Equity Volume Data'!BF173*'Equity Price Data'!BI174</f>
        <v>0</v>
      </c>
      <c r="BD173" s="30">
        <f>'Equity Volume Data'!BG173*'Equity Price Data'!BJ174</f>
        <v>46640.61</v>
      </c>
      <c r="BE173" s="30">
        <f>'Equity Volume Data'!BH173*'Equity Price Data'!BK174</f>
        <v>12871.95</v>
      </c>
      <c r="BF173" s="30">
        <f>'Equity Volume Data'!BI173*'Equity Price Data'!BL174</f>
        <v>7231.2</v>
      </c>
      <c r="BG173" s="30">
        <f>'Equity Volume Data'!BJ173*'Equity Price Data'!BM174</f>
        <v>15901.6</v>
      </c>
      <c r="BH173" s="30">
        <f>'Equity Volume Data'!BK173*'Equity Price Data'!BN174</f>
        <v>0</v>
      </c>
      <c r="BI173" s="30">
        <f>'Equity Volume Data'!BL173*'Equity Price Data'!BO174</f>
        <v>37481.6</v>
      </c>
      <c r="BJ173" s="30">
        <f>'Equity Volume Data'!BM173*'Equity Price Data'!BP174</f>
        <v>38232</v>
      </c>
      <c r="BK173" s="30">
        <f>'Equity Volume Data'!BN173*'Equity Price Data'!BQ174</f>
        <v>87757.4</v>
      </c>
      <c r="BL173" s="30">
        <f>'Equity Volume Data'!BO173*'Equity Price Data'!BR174</f>
        <v>531.1</v>
      </c>
      <c r="BM173" s="30">
        <f>'Equity Volume Data'!BP173*'Equity Price Data'!BS174</f>
        <v>10162.08</v>
      </c>
      <c r="BN173" s="30">
        <f>'Equity Volume Data'!BQ173*'Equity Price Data'!BT174</f>
        <v>20119.76</v>
      </c>
      <c r="BO173" s="30">
        <f>'Equity Volume Data'!BR173*'Equity Price Data'!BU174</f>
        <v>53374.07</v>
      </c>
    </row>
    <row r="174">
      <c r="A174" s="25">
        <f>'Equity Price Data'!A175</f>
        <v>45678.66667</v>
      </c>
      <c r="B174" s="29">
        <f t="shared" si="1"/>
        <v>1367606.71</v>
      </c>
      <c r="C174" s="30">
        <f>'Equity Volume Data'!F174*'Equity Price Data'!I175</f>
        <v>5672.68</v>
      </c>
      <c r="D174" s="30">
        <f>'Equity Volume Data'!G174*'Equity Price Data'!J175</f>
        <v>59984.6</v>
      </c>
      <c r="E174" s="30">
        <f>'Equity Volume Data'!H174*'Equity Price Data'!K175</f>
        <v>13896.3</v>
      </c>
      <c r="F174" s="30">
        <f>'Equity Volume Data'!I174*'Equity Price Data'!L175</f>
        <v>56995.84</v>
      </c>
      <c r="G174" s="30">
        <f>'Equity Volume Data'!J174*'Equity Price Data'!M175</f>
        <v>16008.21</v>
      </c>
      <c r="H174" s="30">
        <f>'Equity Volume Data'!K174*'Equity Price Data'!N175</f>
        <v>15966.84</v>
      </c>
      <c r="I174" s="30">
        <f>'Equity Volume Data'!L174*'Equity Price Data'!O175</f>
        <v>14900</v>
      </c>
      <c r="J174" s="30">
        <f>'Equity Volume Data'!M174*'Equity Price Data'!P175</f>
        <v>47794.14</v>
      </c>
      <c r="K174" s="30">
        <f>'Equity Volume Data'!N174*'Equity Price Data'!Q175</f>
        <v>10024</v>
      </c>
      <c r="L174" s="30">
        <f>'Equity Volume Data'!O174*'Equity Price Data'!R175</f>
        <v>17058.58</v>
      </c>
      <c r="M174" s="30">
        <f>'Equity Volume Data'!P174*'Equity Price Data'!S175</f>
        <v>0</v>
      </c>
      <c r="N174" s="30">
        <f>'Equity Volume Data'!Q174*'Equity Price Data'!T175</f>
        <v>5644</v>
      </c>
      <c r="O174" s="30">
        <f>'Equity Volume Data'!R174*'Equity Price Data'!U175</f>
        <v>59754</v>
      </c>
      <c r="P174" s="30">
        <f>'Equity Volume Data'!S174*'Equity Price Data'!V175</f>
        <v>22334.52</v>
      </c>
      <c r="Q174" s="30">
        <f>'Equity Volume Data'!T174*'Equity Price Data'!W175</f>
        <v>23155.2</v>
      </c>
      <c r="R174" s="30">
        <f>'Equity Volume Data'!U174*'Equity Price Data'!X175</f>
        <v>12659.2</v>
      </c>
      <c r="S174" s="30">
        <f>'Equity Volume Data'!V174*'Equity Price Data'!Y175</f>
        <v>25395.92</v>
      </c>
      <c r="T174" s="30">
        <f>'Equity Volume Data'!W174*'Equity Price Data'!Z175</f>
        <v>12077.5</v>
      </c>
      <c r="U174" s="30">
        <f>'Equity Volume Data'!X174*'Equity Price Data'!AA175</f>
        <v>16478.88</v>
      </c>
      <c r="V174" s="30">
        <f>'Equity Volume Data'!Y174*'Equity Price Data'!AB175</f>
        <v>15006.81</v>
      </c>
      <c r="W174" s="30">
        <f>'Equity Volume Data'!Z174*'Equity Price Data'!AC175</f>
        <v>12665.64</v>
      </c>
      <c r="X174" s="30">
        <f>'Equity Volume Data'!AA174*'Equity Price Data'!AD175</f>
        <v>0</v>
      </c>
      <c r="Y174" s="30">
        <f>'Equity Volume Data'!AB174*'Equity Price Data'!AE175</f>
        <v>5730.4</v>
      </c>
      <c r="Z174" s="30">
        <f>'Equity Volume Data'!AC174*'Equity Price Data'!AF175</f>
        <v>9694.5</v>
      </c>
      <c r="AA174" s="30">
        <f>'Equity Volume Data'!AD174*'Equity Price Data'!AG175</f>
        <v>18949.9</v>
      </c>
      <c r="AB174" s="30">
        <f>'Equity Volume Data'!AE174*'Equity Price Data'!AH175</f>
        <v>16534.2</v>
      </c>
      <c r="AC174" s="30">
        <f>'Equity Volume Data'!AF174*'Equity Price Data'!AI175</f>
        <v>17609.2</v>
      </c>
      <c r="AD174" s="30">
        <f>'Equity Volume Data'!AG174*'Equity Price Data'!AJ175</f>
        <v>12223.35</v>
      </c>
      <c r="AE174" s="30">
        <f>'Equity Volume Data'!AH174*'Equity Price Data'!AK175</f>
        <v>10778</v>
      </c>
      <c r="AF174" s="30">
        <f>'Equity Volume Data'!AI174*'Equity Price Data'!AL175</f>
        <v>19056.8</v>
      </c>
      <c r="AG174" s="30">
        <f>'Equity Volume Data'!AJ174*'Equity Price Data'!AM175</f>
        <v>38084.4</v>
      </c>
      <c r="AH174" s="30">
        <f>'Equity Volume Data'!AK174*'Equity Price Data'!AN175</f>
        <v>41843</v>
      </c>
      <c r="AI174" s="30">
        <f>'Equity Volume Data'!AL174*'Equity Price Data'!AO175</f>
        <v>22531.25</v>
      </c>
      <c r="AJ174" s="30">
        <f>'Equity Volume Data'!AM174*'Equity Price Data'!AP175</f>
        <v>19723.6</v>
      </c>
      <c r="AK174" s="30">
        <f>'Equity Volume Data'!AN174*'Equity Price Data'!AQ175</f>
        <v>28393.64</v>
      </c>
      <c r="AL174" s="30">
        <f>'Equity Volume Data'!AO174*'Equity Price Data'!AR175</f>
        <v>42084.8</v>
      </c>
      <c r="AM174" s="30">
        <f>'Equity Volume Data'!AP174*'Equity Price Data'!AS175</f>
        <v>35440.3</v>
      </c>
      <c r="AN174" s="30">
        <f>'Equity Volume Data'!AQ174*'Equity Price Data'!AT175</f>
        <v>13048.35</v>
      </c>
      <c r="AO174" s="30">
        <f>'Equity Volume Data'!AR174*'Equity Price Data'!AU175</f>
        <v>26337.36</v>
      </c>
      <c r="AP174" s="30">
        <f>'Equity Volume Data'!AS174*'Equity Price Data'!AV175</f>
        <v>22095</v>
      </c>
      <c r="AQ174" s="30">
        <f>'Equity Volume Data'!AT174*'Equity Price Data'!AW175</f>
        <v>19113.6</v>
      </c>
      <c r="AR174" s="30">
        <f>'Equity Volume Data'!AU174*'Equity Price Data'!AX175</f>
        <v>0</v>
      </c>
      <c r="AS174" s="30">
        <f>'Equity Volume Data'!AV174*'Equity Price Data'!AY175</f>
        <v>51420</v>
      </c>
      <c r="AT174" s="30">
        <f>'Equity Volume Data'!AW174*'Equity Price Data'!AZ175</f>
        <v>14170</v>
      </c>
      <c r="AU174" s="30">
        <f>'Equity Volume Data'!AX174*'Equity Price Data'!BA175</f>
        <v>0</v>
      </c>
      <c r="AV174" s="30">
        <f>'Equity Volume Data'!AY174*'Equity Price Data'!BB175</f>
        <v>19997.86</v>
      </c>
      <c r="AW174" s="30">
        <f>'Equity Volume Data'!AZ174*'Equity Price Data'!BC175</f>
        <v>3820</v>
      </c>
      <c r="AX174" s="30">
        <f>'Equity Volume Data'!BA174*'Equity Price Data'!BD175</f>
        <v>4796</v>
      </c>
      <c r="AY174" s="30">
        <f>'Equity Volume Data'!BB174*'Equity Price Data'!BE175</f>
        <v>29374.14</v>
      </c>
      <c r="AZ174" s="30">
        <f>'Equity Volume Data'!BC174*'Equity Price Data'!BF175</f>
        <v>13465.5</v>
      </c>
      <c r="BA174" s="30">
        <f>'Equity Volume Data'!BD174*'Equity Price Data'!BG175</f>
        <v>5061.6</v>
      </c>
      <c r="BB174" s="30">
        <f>'Equity Volume Data'!BE174*'Equity Price Data'!BH175</f>
        <v>10060</v>
      </c>
      <c r="BC174" s="30">
        <f>'Equity Volume Data'!BF174*'Equity Price Data'!BI175</f>
        <v>0</v>
      </c>
      <c r="BD174" s="30">
        <f>'Equity Volume Data'!BG174*'Equity Price Data'!BJ175</f>
        <v>46751.37</v>
      </c>
      <c r="BE174" s="30">
        <f>'Equity Volume Data'!BH174*'Equity Price Data'!BK175</f>
        <v>13180.38</v>
      </c>
      <c r="BF174" s="30">
        <f>'Equity Volume Data'!BI174*'Equity Price Data'!BL175</f>
        <v>7477.2</v>
      </c>
      <c r="BG174" s="30">
        <f>'Equity Volume Data'!BJ174*'Equity Price Data'!BM175</f>
        <v>15770.94</v>
      </c>
      <c r="BH174" s="30">
        <f>'Equity Volume Data'!BK174*'Equity Price Data'!BN175</f>
        <v>0</v>
      </c>
      <c r="BI174" s="30">
        <f>'Equity Volume Data'!BL174*'Equity Price Data'!BO175</f>
        <v>37876.8</v>
      </c>
      <c r="BJ174" s="30">
        <f>'Equity Volume Data'!BM174*'Equity Price Data'!BP175</f>
        <v>39374.25</v>
      </c>
      <c r="BK174" s="30">
        <f>'Equity Volume Data'!BN174*'Equity Price Data'!BQ175</f>
        <v>87703.34</v>
      </c>
      <c r="BL174" s="30">
        <f>'Equity Volume Data'!BO174*'Equity Price Data'!BR175</f>
        <v>532.51</v>
      </c>
      <c r="BM174" s="30">
        <f>'Equity Volume Data'!BP174*'Equity Price Data'!BS175</f>
        <v>10220.64</v>
      </c>
      <c r="BN174" s="30">
        <f>'Equity Volume Data'!BQ174*'Equity Price Data'!BT175</f>
        <v>20435.6</v>
      </c>
      <c r="BO174" s="30">
        <f>'Equity Volume Data'!BR174*'Equity Price Data'!BU175</f>
        <v>53374.07</v>
      </c>
    </row>
    <row r="175">
      <c r="A175" s="25">
        <f>'Equity Price Data'!A176</f>
        <v>45679.66667</v>
      </c>
      <c r="B175" s="29">
        <f t="shared" si="1"/>
        <v>1368922.37</v>
      </c>
      <c r="C175" s="30">
        <f>'Equity Volume Data'!F175*'Equity Price Data'!I176</f>
        <v>5685.16</v>
      </c>
      <c r="D175" s="30">
        <f>'Equity Volume Data'!G175*'Equity Price Data'!J176</f>
        <v>61102.6</v>
      </c>
      <c r="E175" s="30">
        <f>'Equity Volume Data'!H175*'Equity Price Data'!K176</f>
        <v>13384.8</v>
      </c>
      <c r="F175" s="30">
        <f>'Equity Volume Data'!I175*'Equity Price Data'!L176</f>
        <v>57300.48</v>
      </c>
      <c r="G175" s="30">
        <f>'Equity Volume Data'!J175*'Equity Price Data'!M176</f>
        <v>16227.33</v>
      </c>
      <c r="H175" s="30">
        <f>'Equity Volume Data'!K175*'Equity Price Data'!N176</f>
        <v>15854.04</v>
      </c>
      <c r="I175" s="30">
        <f>'Equity Volume Data'!L175*'Equity Price Data'!O176</f>
        <v>14480</v>
      </c>
      <c r="J175" s="30">
        <f>'Equity Volume Data'!M175*'Equity Price Data'!P176</f>
        <v>46972.02</v>
      </c>
      <c r="K175" s="30">
        <f>'Equity Volume Data'!N175*'Equity Price Data'!Q176</f>
        <v>9814</v>
      </c>
      <c r="L175" s="30">
        <f>'Equity Volume Data'!O175*'Equity Price Data'!R176</f>
        <v>17272.75</v>
      </c>
      <c r="M175" s="30">
        <f>'Equity Volume Data'!P175*'Equity Price Data'!S176</f>
        <v>0</v>
      </c>
      <c r="N175" s="30">
        <f>'Equity Volume Data'!Q175*'Equity Price Data'!T176</f>
        <v>5602.4</v>
      </c>
      <c r="O175" s="30">
        <f>'Equity Volume Data'!R175*'Equity Price Data'!U176</f>
        <v>59641.5</v>
      </c>
      <c r="P175" s="30">
        <f>'Equity Volume Data'!S175*'Equity Price Data'!V176</f>
        <v>23485.44</v>
      </c>
      <c r="Q175" s="30">
        <f>'Equity Volume Data'!T175*'Equity Price Data'!W176</f>
        <v>23313.6</v>
      </c>
      <c r="R175" s="30">
        <f>'Equity Volume Data'!U175*'Equity Price Data'!X176</f>
        <v>12512.8</v>
      </c>
      <c r="S175" s="30">
        <f>'Equity Volume Data'!V175*'Equity Price Data'!Y176</f>
        <v>25435.52</v>
      </c>
      <c r="T175" s="30">
        <f>'Equity Volume Data'!W175*'Equity Price Data'!Z176</f>
        <v>11757.5</v>
      </c>
      <c r="U175" s="30">
        <f>'Equity Volume Data'!X175*'Equity Price Data'!AA176</f>
        <v>16309.92</v>
      </c>
      <c r="V175" s="30">
        <f>'Equity Volume Data'!Y175*'Equity Price Data'!AB176</f>
        <v>14613.97</v>
      </c>
      <c r="W175" s="30">
        <f>'Equity Volume Data'!Z175*'Equity Price Data'!AC176</f>
        <v>12588.36</v>
      </c>
      <c r="X175" s="30">
        <f>'Equity Volume Data'!AA175*'Equity Price Data'!AD176</f>
        <v>0</v>
      </c>
      <c r="Y175" s="30">
        <f>'Equity Volume Data'!AB175*'Equity Price Data'!AE176</f>
        <v>5747.56</v>
      </c>
      <c r="Z175" s="30">
        <f>'Equity Volume Data'!AC175*'Equity Price Data'!AF176</f>
        <v>9582</v>
      </c>
      <c r="AA175" s="30">
        <f>'Equity Volume Data'!AD175*'Equity Price Data'!AG176</f>
        <v>18620.1</v>
      </c>
      <c r="AB175" s="30">
        <f>'Equity Volume Data'!AE175*'Equity Price Data'!AH176</f>
        <v>16225.8</v>
      </c>
      <c r="AC175" s="30">
        <f>'Equity Volume Data'!AF175*'Equity Price Data'!AI176</f>
        <v>17300</v>
      </c>
      <c r="AD175" s="30">
        <f>'Equity Volume Data'!AG175*'Equity Price Data'!AJ176</f>
        <v>12097.8</v>
      </c>
      <c r="AE175" s="30">
        <f>'Equity Volume Data'!AH175*'Equity Price Data'!AK176</f>
        <v>10552</v>
      </c>
      <c r="AF175" s="30">
        <f>'Equity Volume Data'!AI175*'Equity Price Data'!AL176</f>
        <v>19073.2</v>
      </c>
      <c r="AG175" s="30">
        <f>'Equity Volume Data'!AJ175*'Equity Price Data'!AM176</f>
        <v>37963.8</v>
      </c>
      <c r="AH175" s="30">
        <f>'Equity Volume Data'!AK175*'Equity Price Data'!AN176</f>
        <v>41010</v>
      </c>
      <c r="AI175" s="30">
        <f>'Equity Volume Data'!AL175*'Equity Price Data'!AO176</f>
        <v>22289.75</v>
      </c>
      <c r="AJ175" s="30">
        <f>'Equity Volume Data'!AM175*'Equity Price Data'!AP176</f>
        <v>20042.1</v>
      </c>
      <c r="AK175" s="30">
        <f>'Equity Volume Data'!AN175*'Equity Price Data'!AQ176</f>
        <v>28691.15</v>
      </c>
      <c r="AL175" s="30">
        <f>'Equity Volume Data'!AO175*'Equity Price Data'!AR176</f>
        <v>42054.4</v>
      </c>
      <c r="AM175" s="30">
        <f>'Equity Volume Data'!AP175*'Equity Price Data'!AS176</f>
        <v>34953.8</v>
      </c>
      <c r="AN175" s="30">
        <f>'Equity Volume Data'!AQ175*'Equity Price Data'!AT176</f>
        <v>13398.7</v>
      </c>
      <c r="AO175" s="30">
        <f>'Equity Volume Data'!AR175*'Equity Price Data'!AU176</f>
        <v>25987.22</v>
      </c>
      <c r="AP175" s="30">
        <f>'Equity Volume Data'!AS175*'Equity Price Data'!AV176</f>
        <v>21960</v>
      </c>
      <c r="AQ175" s="30">
        <f>'Equity Volume Data'!AT175*'Equity Price Data'!AW176</f>
        <v>18867.2</v>
      </c>
      <c r="AR175" s="30">
        <f>'Equity Volume Data'!AU175*'Equity Price Data'!AX176</f>
        <v>0</v>
      </c>
      <c r="AS175" s="30">
        <f>'Equity Volume Data'!AV175*'Equity Price Data'!AY176</f>
        <v>53544</v>
      </c>
      <c r="AT175" s="30">
        <f>'Equity Volume Data'!AW175*'Equity Price Data'!AZ176</f>
        <v>13698</v>
      </c>
      <c r="AU175" s="30">
        <f>'Equity Volume Data'!AX175*'Equity Price Data'!BA176</f>
        <v>0</v>
      </c>
      <c r="AV175" s="30">
        <f>'Equity Volume Data'!AY175*'Equity Price Data'!BB176</f>
        <v>20883.94</v>
      </c>
      <c r="AW175" s="30">
        <f>'Equity Volume Data'!AZ175*'Equity Price Data'!BC176</f>
        <v>3815.6</v>
      </c>
      <c r="AX175" s="30">
        <f>'Equity Volume Data'!BA175*'Equity Price Data'!BD176</f>
        <v>4684.8</v>
      </c>
      <c r="AY175" s="30">
        <f>'Equity Volume Data'!BB175*'Equity Price Data'!BE176</f>
        <v>30901.74</v>
      </c>
      <c r="AZ175" s="30">
        <f>'Equity Volume Data'!BC175*'Equity Price Data'!BF176</f>
        <v>13477.5</v>
      </c>
      <c r="BA175" s="30">
        <f>'Equity Volume Data'!BD175*'Equity Price Data'!BG176</f>
        <v>4941.9</v>
      </c>
      <c r="BB175" s="30">
        <f>'Equity Volume Data'!BE175*'Equity Price Data'!BH176</f>
        <v>9950.4</v>
      </c>
      <c r="BC175" s="30">
        <f>'Equity Volume Data'!BF175*'Equity Price Data'!BI176</f>
        <v>0</v>
      </c>
      <c r="BD175" s="30">
        <f>'Equity Volume Data'!BG175*'Equity Price Data'!BJ176</f>
        <v>46472.34</v>
      </c>
      <c r="BE175" s="30">
        <f>'Equity Volume Data'!BH175*'Equity Price Data'!BK176</f>
        <v>13215.57</v>
      </c>
      <c r="BF175" s="30">
        <f>'Equity Volume Data'!BI175*'Equity Price Data'!BL176</f>
        <v>7460.8</v>
      </c>
      <c r="BG175" s="30">
        <f>'Equity Volume Data'!BJ175*'Equity Price Data'!BM176</f>
        <v>17227.66</v>
      </c>
      <c r="BH175" s="30">
        <f>'Equity Volume Data'!BK175*'Equity Price Data'!BN176</f>
        <v>0</v>
      </c>
      <c r="BI175" s="30">
        <f>'Equity Volume Data'!BL175*'Equity Price Data'!BO176</f>
        <v>37728</v>
      </c>
      <c r="BJ175" s="30">
        <f>'Equity Volume Data'!BM175*'Equity Price Data'!BP176</f>
        <v>38979</v>
      </c>
      <c r="BK175" s="30">
        <f>'Equity Volume Data'!BN175*'Equity Price Data'!BQ176</f>
        <v>87667.3</v>
      </c>
      <c r="BL175" s="30">
        <f>'Equity Volume Data'!BO175*'Equity Price Data'!BR176</f>
        <v>523.58</v>
      </c>
      <c r="BM175" s="30">
        <f>'Equity Volume Data'!BP175*'Equity Price Data'!BS176</f>
        <v>10149.12</v>
      </c>
      <c r="BN175" s="30">
        <f>'Equity Volume Data'!BQ175*'Equity Price Data'!BT176</f>
        <v>20456.28</v>
      </c>
      <c r="BO175" s="30">
        <f>'Equity Volume Data'!BR175*'Equity Price Data'!BU176</f>
        <v>53374.07</v>
      </c>
    </row>
    <row r="176">
      <c r="A176" s="25">
        <f>'Equity Price Data'!A177</f>
        <v>45680.66667</v>
      </c>
      <c r="B176" s="29">
        <f t="shared" si="1"/>
        <v>1378458.63</v>
      </c>
      <c r="C176" s="30">
        <f>'Equity Volume Data'!F176*'Equity Price Data'!I177</f>
        <v>5684.64</v>
      </c>
      <c r="D176" s="30">
        <f>'Equity Volume Data'!G176*'Equity Price Data'!J177</f>
        <v>61209.2</v>
      </c>
      <c r="E176" s="30">
        <f>'Equity Volume Data'!H176*'Equity Price Data'!K177</f>
        <v>13399.1</v>
      </c>
      <c r="F176" s="30">
        <f>'Equity Volume Data'!I176*'Equity Price Data'!L177</f>
        <v>57256.96</v>
      </c>
      <c r="G176" s="30">
        <f>'Equity Volume Data'!J176*'Equity Price Data'!M177</f>
        <v>15828.1</v>
      </c>
      <c r="H176" s="30">
        <f>'Equity Volume Data'!K176*'Equity Price Data'!N177</f>
        <v>15929.24</v>
      </c>
      <c r="I176" s="30">
        <f>'Equity Volume Data'!L176*'Equity Price Data'!O177</f>
        <v>14760</v>
      </c>
      <c r="J176" s="30">
        <f>'Equity Volume Data'!M176*'Equity Price Data'!P177</f>
        <v>46902.66</v>
      </c>
      <c r="K176" s="30">
        <f>'Equity Volume Data'!N176*'Equity Price Data'!Q177</f>
        <v>9894</v>
      </c>
      <c r="L176" s="30">
        <f>'Equity Volume Data'!O176*'Equity Price Data'!R177</f>
        <v>17384.07</v>
      </c>
      <c r="M176" s="30">
        <f>'Equity Volume Data'!P176*'Equity Price Data'!S177</f>
        <v>0</v>
      </c>
      <c r="N176" s="30">
        <f>'Equity Volume Data'!Q176*'Equity Price Data'!T177</f>
        <v>5590.4</v>
      </c>
      <c r="O176" s="30">
        <f>'Equity Volume Data'!R176*'Equity Price Data'!U177</f>
        <v>60960</v>
      </c>
      <c r="P176" s="30">
        <f>'Equity Volume Data'!S176*'Equity Price Data'!V177</f>
        <v>23710.62</v>
      </c>
      <c r="Q176" s="30">
        <f>'Equity Volume Data'!T176*'Equity Price Data'!W177</f>
        <v>23565.6</v>
      </c>
      <c r="R176" s="30">
        <f>'Equity Volume Data'!U176*'Equity Price Data'!X177</f>
        <v>12480.8</v>
      </c>
      <c r="S176" s="30">
        <f>'Equity Volume Data'!V176*'Equity Price Data'!Y177</f>
        <v>25959.12</v>
      </c>
      <c r="T176" s="30">
        <f>'Equity Volume Data'!W176*'Equity Price Data'!Z177</f>
        <v>11835</v>
      </c>
      <c r="U176" s="30">
        <f>'Equity Volume Data'!X176*'Equity Price Data'!AA177</f>
        <v>16243.92</v>
      </c>
      <c r="V176" s="30">
        <f>'Equity Volume Data'!Y176*'Equity Price Data'!AB177</f>
        <v>14612.36</v>
      </c>
      <c r="W176" s="30">
        <f>'Equity Volume Data'!Z176*'Equity Price Data'!AC177</f>
        <v>12662.19</v>
      </c>
      <c r="X176" s="30">
        <f>'Equity Volume Data'!AA176*'Equity Price Data'!AD177</f>
        <v>0</v>
      </c>
      <c r="Y176" s="30">
        <f>'Equity Volume Data'!AB176*'Equity Price Data'!AE177</f>
        <v>5820.88</v>
      </c>
      <c r="Z176" s="30">
        <f>'Equity Volume Data'!AC176*'Equity Price Data'!AF177</f>
        <v>9712.5</v>
      </c>
      <c r="AA176" s="30">
        <f>'Equity Volume Data'!AD176*'Equity Price Data'!AG177</f>
        <v>18725.5</v>
      </c>
      <c r="AB176" s="30">
        <f>'Equity Volume Data'!AE176*'Equity Price Data'!AH177</f>
        <v>16201.8</v>
      </c>
      <c r="AC176" s="30">
        <f>'Equity Volume Data'!AF176*'Equity Price Data'!AI177</f>
        <v>17199.2</v>
      </c>
      <c r="AD176" s="30">
        <f>'Equity Volume Data'!AG176*'Equity Price Data'!AJ177</f>
        <v>12085.2</v>
      </c>
      <c r="AE176" s="30">
        <f>'Equity Volume Data'!AH176*'Equity Price Data'!AK177</f>
        <v>10844</v>
      </c>
      <c r="AF176" s="30">
        <f>'Equity Volume Data'!AI176*'Equity Price Data'!AL177</f>
        <v>19048.6</v>
      </c>
      <c r="AG176" s="30">
        <f>'Equity Volume Data'!AJ176*'Equity Price Data'!AM177</f>
        <v>38370</v>
      </c>
      <c r="AH176" s="30">
        <f>'Equity Volume Data'!AK176*'Equity Price Data'!AN177</f>
        <v>41439</v>
      </c>
      <c r="AI176" s="30">
        <f>'Equity Volume Data'!AL176*'Equity Price Data'!AO177</f>
        <v>22037.75</v>
      </c>
      <c r="AJ176" s="30">
        <f>'Equity Volume Data'!AM176*'Equity Price Data'!AP177</f>
        <v>20498.4</v>
      </c>
      <c r="AK176" s="30">
        <f>'Equity Volume Data'!AN176*'Equity Price Data'!AQ177</f>
        <v>28607.02</v>
      </c>
      <c r="AL176" s="30">
        <f>'Equity Volume Data'!AO176*'Equity Price Data'!AR177</f>
        <v>42552</v>
      </c>
      <c r="AM176" s="30">
        <f>'Equity Volume Data'!AP176*'Equity Price Data'!AS177</f>
        <v>34809.6</v>
      </c>
      <c r="AN176" s="30">
        <f>'Equity Volume Data'!AQ176*'Equity Price Data'!AT177</f>
        <v>13574.75</v>
      </c>
      <c r="AO176" s="30">
        <f>'Equity Volume Data'!AR176*'Equity Price Data'!AU177</f>
        <v>26192.18</v>
      </c>
      <c r="AP176" s="30">
        <f>'Equity Volume Data'!AS176*'Equity Price Data'!AV177</f>
        <v>22312.5</v>
      </c>
      <c r="AQ176" s="30">
        <f>'Equity Volume Data'!AT176*'Equity Price Data'!AW177</f>
        <v>19087.2</v>
      </c>
      <c r="AR176" s="30">
        <f>'Equity Volume Data'!AU176*'Equity Price Data'!AX177</f>
        <v>0</v>
      </c>
      <c r="AS176" s="30">
        <f>'Equity Volume Data'!AV176*'Equity Price Data'!AY177</f>
        <v>53605.2</v>
      </c>
      <c r="AT176" s="30">
        <f>'Equity Volume Data'!AW176*'Equity Price Data'!AZ177</f>
        <v>13846</v>
      </c>
      <c r="AU176" s="30">
        <f>'Equity Volume Data'!AX176*'Equity Price Data'!BA177</f>
        <v>0</v>
      </c>
      <c r="AV176" s="30">
        <f>'Equity Volume Data'!AY176*'Equity Price Data'!BB177</f>
        <v>20905.24</v>
      </c>
      <c r="AW176" s="30">
        <f>'Equity Volume Data'!AZ176*'Equity Price Data'!BC177</f>
        <v>3848</v>
      </c>
      <c r="AX176" s="30">
        <f>'Equity Volume Data'!BA176*'Equity Price Data'!BD177</f>
        <v>4836</v>
      </c>
      <c r="AY176" s="30">
        <f>'Equity Volume Data'!BB176*'Equity Price Data'!BE177</f>
        <v>31749.96</v>
      </c>
      <c r="AZ176" s="30">
        <f>'Equity Volume Data'!BC176*'Equity Price Data'!BF177</f>
        <v>13459.5</v>
      </c>
      <c r="BA176" s="30">
        <f>'Equity Volume Data'!BD176*'Equity Price Data'!BG177</f>
        <v>5023.6</v>
      </c>
      <c r="BB176" s="30">
        <f>'Equity Volume Data'!BE176*'Equity Price Data'!BH177</f>
        <v>10103.2</v>
      </c>
      <c r="BC176" s="30">
        <f>'Equity Volume Data'!BF176*'Equity Price Data'!BI177</f>
        <v>0</v>
      </c>
      <c r="BD176" s="30">
        <f>'Equity Volume Data'!BG176*'Equity Price Data'!BJ177</f>
        <v>46016.52</v>
      </c>
      <c r="BE176" s="30">
        <f>'Equity Volume Data'!BH176*'Equity Price Data'!BK177</f>
        <v>13221.55</v>
      </c>
      <c r="BF176" s="30">
        <f>'Equity Volume Data'!BI176*'Equity Price Data'!BL177</f>
        <v>7450.8</v>
      </c>
      <c r="BG176" s="30">
        <f>'Equity Volume Data'!BJ176*'Equity Price Data'!BM177</f>
        <v>17388.9</v>
      </c>
      <c r="BH176" s="30">
        <f>'Equity Volume Data'!BK176*'Equity Price Data'!BN177</f>
        <v>0</v>
      </c>
      <c r="BI176" s="30">
        <f>'Equity Volume Data'!BL176*'Equity Price Data'!BO177</f>
        <v>39688</v>
      </c>
      <c r="BJ176" s="30">
        <f>'Equity Volume Data'!BM176*'Equity Price Data'!BP177</f>
        <v>39732.75</v>
      </c>
      <c r="BK176" s="30">
        <f>'Equity Volume Data'!BN176*'Equity Price Data'!BQ177</f>
        <v>87739.38</v>
      </c>
      <c r="BL176" s="30">
        <f>'Equity Volume Data'!BO176*'Equity Price Data'!BR177</f>
        <v>523.58</v>
      </c>
      <c r="BM176" s="30">
        <f>'Equity Volume Data'!BP176*'Equity Price Data'!BS177</f>
        <v>10084.8</v>
      </c>
      <c r="BN176" s="30">
        <f>'Equity Volume Data'!BQ176*'Equity Price Data'!BT177</f>
        <v>20875.52</v>
      </c>
      <c r="BO176" s="30">
        <f>'Equity Volume Data'!BR176*'Equity Price Data'!BU177</f>
        <v>53374.07</v>
      </c>
    </row>
    <row r="177">
      <c r="A177" s="25">
        <f>'Equity Price Data'!A178</f>
        <v>45681.66667</v>
      </c>
      <c r="B177" s="29">
        <f t="shared" si="1"/>
        <v>1376457.24</v>
      </c>
      <c r="C177" s="30">
        <f>'Equity Volume Data'!F177*'Equity Price Data'!I178</f>
        <v>5659.94</v>
      </c>
      <c r="D177" s="30">
        <f>'Equity Volume Data'!G177*'Equity Price Data'!J178</f>
        <v>61061</v>
      </c>
      <c r="E177" s="30">
        <f>'Equity Volume Data'!H177*'Equity Price Data'!K178</f>
        <v>13379.3</v>
      </c>
      <c r="F177" s="30">
        <f>'Equity Volume Data'!I177*'Equity Price Data'!L178</f>
        <v>57031.68</v>
      </c>
      <c r="G177" s="30">
        <f>'Equity Volume Data'!J177*'Equity Price Data'!M178</f>
        <v>15500.25</v>
      </c>
      <c r="H177" s="30">
        <f>'Equity Volume Data'!K177*'Equity Price Data'!N178</f>
        <v>16128.52</v>
      </c>
      <c r="I177" s="30">
        <f>'Equity Volume Data'!L177*'Equity Price Data'!O178</f>
        <v>14620</v>
      </c>
      <c r="J177" s="30">
        <f>'Equity Volume Data'!M177*'Equity Price Data'!P178</f>
        <v>47245.38</v>
      </c>
      <c r="K177" s="30">
        <f>'Equity Volume Data'!N177*'Equity Price Data'!Q178</f>
        <v>9974</v>
      </c>
      <c r="L177" s="30">
        <f>'Equity Volume Data'!O177*'Equity Price Data'!R178</f>
        <v>17690.2</v>
      </c>
      <c r="M177" s="30">
        <f>'Equity Volume Data'!P177*'Equity Price Data'!S178</f>
        <v>0</v>
      </c>
      <c r="N177" s="30">
        <f>'Equity Volume Data'!Q177*'Equity Price Data'!T178</f>
        <v>5609.6</v>
      </c>
      <c r="O177" s="30">
        <f>'Equity Volume Data'!R177*'Equity Price Data'!U178</f>
        <v>61144.5</v>
      </c>
      <c r="P177" s="30">
        <f>'Equity Volume Data'!S177*'Equity Price Data'!V178</f>
        <v>23352</v>
      </c>
      <c r="Q177" s="30">
        <f>'Equity Volume Data'!T177*'Equity Price Data'!W178</f>
        <v>23337.6</v>
      </c>
      <c r="R177" s="30">
        <f>'Equity Volume Data'!U177*'Equity Price Data'!X178</f>
        <v>12452</v>
      </c>
      <c r="S177" s="30">
        <f>'Equity Volume Data'!V177*'Equity Price Data'!Y178</f>
        <v>25840.32</v>
      </c>
      <c r="T177" s="30">
        <f>'Equity Volume Data'!W177*'Equity Price Data'!Z178</f>
        <v>11865</v>
      </c>
      <c r="U177" s="30">
        <f>'Equity Volume Data'!X177*'Equity Price Data'!AA178</f>
        <v>16346.88</v>
      </c>
      <c r="V177" s="30">
        <f>'Equity Volume Data'!Y177*'Equity Price Data'!AB178</f>
        <v>14586.6</v>
      </c>
      <c r="W177" s="30">
        <f>'Equity Volume Data'!Z177*'Equity Price Data'!AC178</f>
        <v>12454.5</v>
      </c>
      <c r="X177" s="30">
        <f>'Equity Volume Data'!AA177*'Equity Price Data'!AD178</f>
        <v>0</v>
      </c>
      <c r="Y177" s="30">
        <f>'Equity Volume Data'!AB177*'Equity Price Data'!AE178</f>
        <v>5644.99</v>
      </c>
      <c r="Z177" s="30">
        <f>'Equity Volume Data'!AC177*'Equity Price Data'!AF178</f>
        <v>9721.5</v>
      </c>
      <c r="AA177" s="30">
        <f>'Equity Volume Data'!AD177*'Equity Price Data'!AG178</f>
        <v>18472.2</v>
      </c>
      <c r="AB177" s="30">
        <f>'Equity Volume Data'!AE177*'Equity Price Data'!AH178</f>
        <v>16397.4</v>
      </c>
      <c r="AC177" s="30">
        <f>'Equity Volume Data'!AF177*'Equity Price Data'!AI178</f>
        <v>17294.8</v>
      </c>
      <c r="AD177" s="30">
        <f>'Equity Volume Data'!AG177*'Equity Price Data'!AJ178</f>
        <v>11989.35</v>
      </c>
      <c r="AE177" s="30">
        <f>'Equity Volume Data'!AH177*'Equity Price Data'!AK178</f>
        <v>10782</v>
      </c>
      <c r="AF177" s="30">
        <f>'Equity Volume Data'!AI177*'Equity Price Data'!AL178</f>
        <v>19079.35</v>
      </c>
      <c r="AG177" s="30">
        <f>'Equity Volume Data'!AJ177*'Equity Price Data'!AM178</f>
        <v>38214</v>
      </c>
      <c r="AH177" s="30">
        <f>'Equity Volume Data'!AK177*'Equity Price Data'!AN178</f>
        <v>41450</v>
      </c>
      <c r="AI177" s="30">
        <f>'Equity Volume Data'!AL177*'Equity Price Data'!AO178</f>
        <v>21887.25</v>
      </c>
      <c r="AJ177" s="30">
        <f>'Equity Volume Data'!AM177*'Equity Price Data'!AP178</f>
        <v>20471.1</v>
      </c>
      <c r="AK177" s="30">
        <f>'Equity Volume Data'!AN177*'Equity Price Data'!AQ178</f>
        <v>27450.35</v>
      </c>
      <c r="AL177" s="30">
        <f>'Equity Volume Data'!AO177*'Equity Price Data'!AR178</f>
        <v>42374.4</v>
      </c>
      <c r="AM177" s="30">
        <f>'Equity Volume Data'!AP177*'Equity Price Data'!AS178</f>
        <v>34787.2</v>
      </c>
      <c r="AN177" s="30">
        <f>'Equity Volume Data'!AQ177*'Equity Price Data'!AT178</f>
        <v>14001.05</v>
      </c>
      <c r="AO177" s="30">
        <f>'Equity Volume Data'!AR177*'Equity Price Data'!AU178</f>
        <v>26098.24</v>
      </c>
      <c r="AP177" s="30">
        <f>'Equity Volume Data'!AS177*'Equity Price Data'!AV178</f>
        <v>22547.5</v>
      </c>
      <c r="AQ177" s="30">
        <f>'Equity Volume Data'!AT177*'Equity Price Data'!AW178</f>
        <v>18926.6</v>
      </c>
      <c r="AR177" s="30">
        <f>'Equity Volume Data'!AU177*'Equity Price Data'!AX178</f>
        <v>0</v>
      </c>
      <c r="AS177" s="30">
        <f>'Equity Volume Data'!AV177*'Equity Price Data'!AY178</f>
        <v>53287.2</v>
      </c>
      <c r="AT177" s="30">
        <f>'Equity Volume Data'!AW177*'Equity Price Data'!AZ178</f>
        <v>14566</v>
      </c>
      <c r="AU177" s="30">
        <f>'Equity Volume Data'!AX177*'Equity Price Data'!BA178</f>
        <v>0</v>
      </c>
      <c r="AV177" s="30">
        <f>'Equity Volume Data'!AY177*'Equity Price Data'!BB178</f>
        <v>20252.04</v>
      </c>
      <c r="AW177" s="30">
        <f>'Equity Volume Data'!AZ177*'Equity Price Data'!BC178</f>
        <v>3866.8</v>
      </c>
      <c r="AX177" s="30">
        <f>'Equity Volume Data'!BA177*'Equity Price Data'!BD178</f>
        <v>4812</v>
      </c>
      <c r="AY177" s="30">
        <f>'Equity Volume Data'!BB177*'Equity Price Data'!BE178</f>
        <v>31749.96</v>
      </c>
      <c r="AZ177" s="30">
        <f>'Equity Volume Data'!BC177*'Equity Price Data'!BF178</f>
        <v>13366.5</v>
      </c>
      <c r="BA177" s="30">
        <f>'Equity Volume Data'!BD177*'Equity Price Data'!BG178</f>
        <v>4957.1</v>
      </c>
      <c r="BB177" s="30">
        <f>'Equity Volume Data'!BE177*'Equity Price Data'!BH178</f>
        <v>10024.8</v>
      </c>
      <c r="BC177" s="30">
        <f>'Equity Volume Data'!BF177*'Equity Price Data'!BI178</f>
        <v>0</v>
      </c>
      <c r="BD177" s="30">
        <f>'Equity Volume Data'!BG177*'Equity Price Data'!BJ178</f>
        <v>46555.41</v>
      </c>
      <c r="BE177" s="30">
        <f>'Equity Volume Data'!BH177*'Equity Price Data'!BK178</f>
        <v>13220.86</v>
      </c>
      <c r="BF177" s="30">
        <f>'Equity Volume Data'!BI177*'Equity Price Data'!BL178</f>
        <v>7464.4</v>
      </c>
      <c r="BG177" s="30">
        <f>'Equity Volume Data'!BJ177*'Equity Price Data'!BM178</f>
        <v>16907.96</v>
      </c>
      <c r="BH177" s="30">
        <f>'Equity Volume Data'!BK177*'Equity Price Data'!BN178</f>
        <v>0</v>
      </c>
      <c r="BI177" s="30">
        <f>'Equity Volume Data'!BL177*'Equity Price Data'!BO178</f>
        <v>39804.8</v>
      </c>
      <c r="BJ177" s="30">
        <f>'Equity Volume Data'!BM177*'Equity Price Data'!BP178</f>
        <v>39938.25</v>
      </c>
      <c r="BK177" s="30">
        <f>'Equity Volume Data'!BN177*'Equity Price Data'!BQ178</f>
        <v>87775.42</v>
      </c>
      <c r="BL177" s="30">
        <f>'Equity Volume Data'!BO177*'Equity Price Data'!BR178</f>
        <v>526.4</v>
      </c>
      <c r="BM177" s="30">
        <f>'Equity Volume Data'!BP177*'Equity Price Data'!BS178</f>
        <v>10052.64</v>
      </c>
      <c r="BN177" s="30">
        <f>'Equity Volume Data'!BQ177*'Equity Price Data'!BT178</f>
        <v>21086.08</v>
      </c>
      <c r="BO177" s="30">
        <f>'Equity Volume Data'!BR177*'Equity Price Data'!BU178</f>
        <v>53374.07</v>
      </c>
    </row>
    <row r="178">
      <c r="A178" s="25">
        <f>'Equity Price Data'!A179</f>
        <v>45684.66667</v>
      </c>
      <c r="B178" s="29">
        <f t="shared" si="1"/>
        <v>1377707.25</v>
      </c>
      <c r="C178" s="30">
        <f>'Equity Volume Data'!F178*'Equity Price Data'!I179</f>
        <v>5701.8</v>
      </c>
      <c r="D178" s="30">
        <f>'Equity Volume Data'!G178*'Equity Price Data'!J179</f>
        <v>61209.2</v>
      </c>
      <c r="E178" s="30">
        <f>'Equity Volume Data'!H178*'Equity Price Data'!K179</f>
        <v>14294.5</v>
      </c>
      <c r="F178" s="30">
        <f>'Equity Volume Data'!I178*'Equity Price Data'!L179</f>
        <v>58844.16</v>
      </c>
      <c r="G178" s="30">
        <f>'Equity Volume Data'!J178*'Equity Price Data'!M179</f>
        <v>14489.31</v>
      </c>
      <c r="H178" s="30">
        <f>'Equity Volume Data'!K178*'Equity Price Data'!N179</f>
        <v>16149.2</v>
      </c>
      <c r="I178" s="30">
        <f>'Equity Volume Data'!L178*'Equity Price Data'!O179</f>
        <v>14460</v>
      </c>
      <c r="J178" s="30">
        <f>'Equity Volume Data'!M178*'Equity Price Data'!P179</f>
        <v>48419.4</v>
      </c>
      <c r="K178" s="30">
        <f>'Equity Volume Data'!N178*'Equity Price Data'!Q179</f>
        <v>9980</v>
      </c>
      <c r="L178" s="30">
        <f>'Equity Volume Data'!O178*'Equity Price Data'!R179</f>
        <v>17999.96</v>
      </c>
      <c r="M178" s="30">
        <f>'Equity Volume Data'!P178*'Equity Price Data'!S179</f>
        <v>0</v>
      </c>
      <c r="N178" s="30">
        <f>'Equity Volume Data'!Q178*'Equity Price Data'!T179</f>
        <v>5394.4</v>
      </c>
      <c r="O178" s="30">
        <f>'Equity Volume Data'!R178*'Equity Price Data'!U179</f>
        <v>59247</v>
      </c>
      <c r="P178" s="30">
        <f>'Equity Volume Data'!S178*'Equity Price Data'!V179</f>
        <v>19811.67</v>
      </c>
      <c r="Q178" s="30">
        <f>'Equity Volume Data'!T178*'Equity Price Data'!W179</f>
        <v>23784</v>
      </c>
      <c r="R178" s="30">
        <f>'Equity Volume Data'!U178*'Equity Price Data'!X179</f>
        <v>12578.4</v>
      </c>
      <c r="S178" s="30">
        <f>'Equity Volume Data'!V178*'Equity Price Data'!Y179</f>
        <v>26903.36</v>
      </c>
      <c r="T178" s="30">
        <f>'Equity Volume Data'!W178*'Equity Price Data'!Z179</f>
        <v>11887.5</v>
      </c>
      <c r="U178" s="30">
        <f>'Equity Volume Data'!X178*'Equity Price Data'!AA179</f>
        <v>16861.68</v>
      </c>
      <c r="V178" s="30">
        <f>'Equity Volume Data'!Y178*'Equity Price Data'!AB179</f>
        <v>15277.29</v>
      </c>
      <c r="W178" s="30">
        <f>'Equity Volume Data'!Z178*'Equity Price Data'!AC179</f>
        <v>11367.06</v>
      </c>
      <c r="X178" s="30">
        <f>'Equity Volume Data'!AA178*'Equity Price Data'!AD179</f>
        <v>0</v>
      </c>
      <c r="Y178" s="30">
        <f>'Equity Volume Data'!AB178*'Equity Price Data'!AE179</f>
        <v>5604.95</v>
      </c>
      <c r="Z178" s="30">
        <f>'Equity Volume Data'!AC178*'Equity Price Data'!AF179</f>
        <v>10026</v>
      </c>
      <c r="AA178" s="30">
        <f>'Equity Volume Data'!AD178*'Equity Price Data'!AG179</f>
        <v>18728.9</v>
      </c>
      <c r="AB178" s="30">
        <f>'Equity Volume Data'!AE178*'Equity Price Data'!AH179</f>
        <v>16891.8</v>
      </c>
      <c r="AC178" s="30">
        <f>'Equity Volume Data'!AF178*'Equity Price Data'!AI179</f>
        <v>17292.8</v>
      </c>
      <c r="AD178" s="30">
        <f>'Equity Volume Data'!AG178*'Equity Price Data'!AJ179</f>
        <v>12142.8</v>
      </c>
      <c r="AE178" s="30">
        <f>'Equity Volume Data'!AH178*'Equity Price Data'!AK179</f>
        <v>10984</v>
      </c>
      <c r="AF178" s="30">
        <f>'Equity Volume Data'!AI178*'Equity Price Data'!AL179</f>
        <v>19546.75</v>
      </c>
      <c r="AG178" s="30">
        <f>'Equity Volume Data'!AJ178*'Equity Price Data'!AM179</f>
        <v>37996.8</v>
      </c>
      <c r="AH178" s="30">
        <f>'Equity Volume Data'!AK178*'Equity Price Data'!AN179</f>
        <v>42487</v>
      </c>
      <c r="AI178" s="30">
        <f>'Equity Volume Data'!AL178*'Equity Price Data'!AO179</f>
        <v>22169</v>
      </c>
      <c r="AJ178" s="30">
        <f>'Equity Volume Data'!AM178*'Equity Price Data'!AP179</f>
        <v>20907.9</v>
      </c>
      <c r="AK178" s="30">
        <f>'Equity Volume Data'!AN178*'Equity Price Data'!AQ179</f>
        <v>26953.56</v>
      </c>
      <c r="AL178" s="30">
        <f>'Equity Volume Data'!AO178*'Equity Price Data'!AR179</f>
        <v>42536</v>
      </c>
      <c r="AM178" s="30">
        <f>'Equity Volume Data'!AP178*'Equity Price Data'!AS179</f>
        <v>35258.3</v>
      </c>
      <c r="AN178" s="30">
        <f>'Equity Volume Data'!AQ178*'Equity Price Data'!AT179</f>
        <v>14101.5</v>
      </c>
      <c r="AO178" s="30">
        <f>'Equity Volume Data'!AR178*'Equity Price Data'!AU179</f>
        <v>25918.9</v>
      </c>
      <c r="AP178" s="30">
        <f>'Equity Volume Data'!AS178*'Equity Price Data'!AV179</f>
        <v>23115</v>
      </c>
      <c r="AQ178" s="30">
        <f>'Equity Volume Data'!AT178*'Equity Price Data'!AW179</f>
        <v>19131.2</v>
      </c>
      <c r="AR178" s="30">
        <f>'Equity Volume Data'!AU178*'Equity Price Data'!AX179</f>
        <v>0</v>
      </c>
      <c r="AS178" s="30">
        <f>'Equity Volume Data'!AV178*'Equity Price Data'!AY179</f>
        <v>52147.2</v>
      </c>
      <c r="AT178" s="30">
        <f>'Equity Volume Data'!AW178*'Equity Price Data'!AZ179</f>
        <v>14766</v>
      </c>
      <c r="AU178" s="30">
        <f>'Equity Volume Data'!AX178*'Equity Price Data'!BA179</f>
        <v>0</v>
      </c>
      <c r="AV178" s="30">
        <f>'Equity Volume Data'!AY178*'Equity Price Data'!BB179</f>
        <v>16815.64</v>
      </c>
      <c r="AW178" s="30">
        <f>'Equity Volume Data'!AZ178*'Equity Price Data'!BC179</f>
        <v>3909.6</v>
      </c>
      <c r="AX178" s="30">
        <f>'Equity Volume Data'!BA178*'Equity Price Data'!BD179</f>
        <v>4792</v>
      </c>
      <c r="AY178" s="30">
        <f>'Equity Volume Data'!BB178*'Equity Price Data'!BE179</f>
        <v>30326.88</v>
      </c>
      <c r="AZ178" s="30">
        <f>'Equity Volume Data'!BC178*'Equity Price Data'!BF179</f>
        <v>13536</v>
      </c>
      <c r="BA178" s="30">
        <f>'Equity Volume Data'!BD178*'Equity Price Data'!BG179</f>
        <v>5103.4</v>
      </c>
      <c r="BB178" s="30">
        <f>'Equity Volume Data'!BE178*'Equity Price Data'!BH179</f>
        <v>10004</v>
      </c>
      <c r="BC178" s="30">
        <f>'Equity Volume Data'!BF178*'Equity Price Data'!BI179</f>
        <v>0</v>
      </c>
      <c r="BD178" s="30">
        <f>'Equity Volume Data'!BG178*'Equity Price Data'!BJ179</f>
        <v>47164.59</v>
      </c>
      <c r="BE178" s="30">
        <f>'Equity Volume Data'!BH178*'Equity Price Data'!BK179</f>
        <v>13423.72</v>
      </c>
      <c r="BF178" s="30">
        <f>'Equity Volume Data'!BI178*'Equity Price Data'!BL179</f>
        <v>7460</v>
      </c>
      <c r="BG178" s="30">
        <f>'Equity Volume Data'!BJ178*'Equity Price Data'!BM179</f>
        <v>16977.46</v>
      </c>
      <c r="BH178" s="30">
        <f>'Equity Volume Data'!BK178*'Equity Price Data'!BN179</f>
        <v>0</v>
      </c>
      <c r="BI178" s="30">
        <f>'Equity Volume Data'!BL178*'Equity Price Data'!BO179</f>
        <v>40707.2</v>
      </c>
      <c r="BJ178" s="30">
        <f>'Equity Volume Data'!BM178*'Equity Price Data'!BP179</f>
        <v>40764</v>
      </c>
      <c r="BK178" s="30">
        <f>'Equity Volume Data'!BN178*'Equity Price Data'!BQ179</f>
        <v>87883.54</v>
      </c>
      <c r="BL178" s="30">
        <f>'Equity Volume Data'!BO178*'Equity Price Data'!BR179</f>
        <v>536.74</v>
      </c>
      <c r="BM178" s="30">
        <f>'Equity Volume Data'!BP178*'Equity Price Data'!BS179</f>
        <v>10254.24</v>
      </c>
      <c r="BN178" s="30">
        <f>'Equity Volume Data'!BQ178*'Equity Price Data'!BT179</f>
        <v>21307.92</v>
      </c>
      <c r="BO178" s="30">
        <f>'Equity Volume Data'!BR178*'Equity Price Data'!BU179</f>
        <v>53374.07</v>
      </c>
    </row>
    <row r="179">
      <c r="A179" s="25">
        <f>'Equity Price Data'!A180</f>
        <v>45685.66667</v>
      </c>
      <c r="B179" s="29">
        <f t="shared" si="1"/>
        <v>1377500.92</v>
      </c>
      <c r="C179" s="30">
        <f>'Equity Volume Data'!F179*'Equity Price Data'!I180</f>
        <v>5756.92</v>
      </c>
      <c r="D179" s="30">
        <f>'Equity Volume Data'!G179*'Equity Price Data'!J180</f>
        <v>61919</v>
      </c>
      <c r="E179" s="30">
        <f>'Equity Volume Data'!H179*'Equity Price Data'!K180</f>
        <v>13896.3</v>
      </c>
      <c r="F179" s="30">
        <f>'Equity Volume Data'!I179*'Equity Price Data'!L180</f>
        <v>60994.56</v>
      </c>
      <c r="G179" s="30">
        <f>'Equity Volume Data'!J179*'Equity Price Data'!M180</f>
        <v>14346.55</v>
      </c>
      <c r="H179" s="30">
        <f>'Equity Volume Data'!K179*'Equity Price Data'!N180</f>
        <v>16231.92</v>
      </c>
      <c r="I179" s="30">
        <f>'Equity Volume Data'!L179*'Equity Price Data'!O180</f>
        <v>14590</v>
      </c>
      <c r="J179" s="30">
        <f>'Equity Volume Data'!M179*'Equity Price Data'!P180</f>
        <v>47936.94</v>
      </c>
      <c r="K179" s="30">
        <f>'Equity Volume Data'!N179*'Equity Price Data'!Q180</f>
        <v>9742</v>
      </c>
      <c r="L179" s="30">
        <f>'Equity Volume Data'!O179*'Equity Price Data'!R180</f>
        <v>17604.29</v>
      </c>
      <c r="M179" s="30">
        <f>'Equity Volume Data'!P179*'Equity Price Data'!S180</f>
        <v>0</v>
      </c>
      <c r="N179" s="30">
        <f>'Equity Volume Data'!Q179*'Equity Price Data'!T180</f>
        <v>5384</v>
      </c>
      <c r="O179" s="30">
        <f>'Equity Volume Data'!R179*'Equity Price Data'!U180</f>
        <v>58543.5</v>
      </c>
      <c r="P179" s="30">
        <f>'Equity Volume Data'!S179*'Equity Price Data'!V180</f>
        <v>20266.2</v>
      </c>
      <c r="Q179" s="30">
        <f>'Equity Volume Data'!T179*'Equity Price Data'!W180</f>
        <v>24352.8</v>
      </c>
      <c r="R179" s="30">
        <f>'Equity Volume Data'!U179*'Equity Price Data'!X180</f>
        <v>12496.8</v>
      </c>
      <c r="S179" s="30">
        <f>'Equity Volume Data'!V179*'Equity Price Data'!Y180</f>
        <v>26648.16</v>
      </c>
      <c r="T179" s="30">
        <f>'Equity Volume Data'!W179*'Equity Price Data'!Z180</f>
        <v>11837.5</v>
      </c>
      <c r="U179" s="30">
        <f>'Equity Volume Data'!X179*'Equity Price Data'!AA180</f>
        <v>16463.04</v>
      </c>
      <c r="V179" s="30">
        <f>'Equity Volume Data'!Y179*'Equity Price Data'!AB180</f>
        <v>15035.79</v>
      </c>
      <c r="W179" s="30">
        <f>'Equity Volume Data'!Z179*'Equity Price Data'!AC180</f>
        <v>11187.66</v>
      </c>
      <c r="X179" s="30">
        <f>'Equity Volume Data'!AA179*'Equity Price Data'!AD180</f>
        <v>0</v>
      </c>
      <c r="Y179" s="30">
        <f>'Equity Volume Data'!AB179*'Equity Price Data'!AE180</f>
        <v>5587.53</v>
      </c>
      <c r="Z179" s="30">
        <f>'Equity Volume Data'!AC179*'Equity Price Data'!AF180</f>
        <v>10078.5</v>
      </c>
      <c r="AA179" s="30">
        <f>'Equity Volume Data'!AD179*'Equity Price Data'!AG180</f>
        <v>18366.8</v>
      </c>
      <c r="AB179" s="30">
        <f>'Equity Volume Data'!AE179*'Equity Price Data'!AH180</f>
        <v>16719</v>
      </c>
      <c r="AC179" s="30">
        <f>'Equity Volume Data'!AF179*'Equity Price Data'!AI180</f>
        <v>17243.6</v>
      </c>
      <c r="AD179" s="30">
        <f>'Equity Volume Data'!AG179*'Equity Price Data'!AJ180</f>
        <v>11815.65</v>
      </c>
      <c r="AE179" s="30">
        <f>'Equity Volume Data'!AH179*'Equity Price Data'!AK180</f>
        <v>10008</v>
      </c>
      <c r="AF179" s="30">
        <f>'Equity Volume Data'!AI179*'Equity Price Data'!AL180</f>
        <v>19239.25</v>
      </c>
      <c r="AG179" s="30">
        <f>'Equity Volume Data'!AJ179*'Equity Price Data'!AM180</f>
        <v>38268</v>
      </c>
      <c r="AH179" s="30">
        <f>'Equity Volume Data'!AK179*'Equity Price Data'!AN180</f>
        <v>41883</v>
      </c>
      <c r="AI179" s="30">
        <f>'Equity Volume Data'!AL179*'Equity Price Data'!AO180</f>
        <v>22599.5</v>
      </c>
      <c r="AJ179" s="30">
        <f>'Equity Volume Data'!AM179*'Equity Price Data'!AP180</f>
        <v>20649.2</v>
      </c>
      <c r="AK179" s="30">
        <f>'Equity Volume Data'!AN179*'Equity Price Data'!AQ180</f>
        <v>26984.58</v>
      </c>
      <c r="AL179" s="30">
        <f>'Equity Volume Data'!AO179*'Equity Price Data'!AR180</f>
        <v>42742.4</v>
      </c>
      <c r="AM179" s="30">
        <f>'Equity Volume Data'!AP179*'Equity Price Data'!AS180</f>
        <v>32021.5</v>
      </c>
      <c r="AN179" s="30">
        <f>'Equity Volume Data'!AQ179*'Equity Price Data'!AT180</f>
        <v>14329.7</v>
      </c>
      <c r="AO179" s="30">
        <f>'Equity Volume Data'!AR179*'Equity Price Data'!AU180</f>
        <v>25807.88</v>
      </c>
      <c r="AP179" s="30">
        <f>'Equity Volume Data'!AS179*'Equity Price Data'!AV180</f>
        <v>22995</v>
      </c>
      <c r="AQ179" s="30">
        <f>'Equity Volume Data'!AT179*'Equity Price Data'!AW180</f>
        <v>18849.6</v>
      </c>
      <c r="AR179" s="30">
        <f>'Equity Volume Data'!AU179*'Equity Price Data'!AX180</f>
        <v>0</v>
      </c>
      <c r="AS179" s="30">
        <f>'Equity Volume Data'!AV179*'Equity Price Data'!AY180</f>
        <v>53664</v>
      </c>
      <c r="AT179" s="30">
        <f>'Equity Volume Data'!AW179*'Equity Price Data'!AZ180</f>
        <v>14108</v>
      </c>
      <c r="AU179" s="30">
        <f>'Equity Volume Data'!AX179*'Equity Price Data'!BA180</f>
        <v>0</v>
      </c>
      <c r="AV179" s="30">
        <f>'Equity Volume Data'!AY179*'Equity Price Data'!BB180</f>
        <v>18316.58</v>
      </c>
      <c r="AW179" s="30">
        <f>'Equity Volume Data'!AZ179*'Equity Price Data'!BC180</f>
        <v>3834.8</v>
      </c>
      <c r="AX179" s="30">
        <f>'Equity Volume Data'!BA179*'Equity Price Data'!BD180</f>
        <v>4972.8</v>
      </c>
      <c r="AY179" s="30">
        <f>'Equity Volume Data'!BB179*'Equity Price Data'!BE180</f>
        <v>32252.46</v>
      </c>
      <c r="AZ179" s="30">
        <f>'Equity Volume Data'!BC179*'Equity Price Data'!BF180</f>
        <v>13228.5</v>
      </c>
      <c r="BA179" s="30">
        <f>'Equity Volume Data'!BD179*'Equity Price Data'!BG180</f>
        <v>5082.5</v>
      </c>
      <c r="BB179" s="30">
        <f>'Equity Volume Data'!BE179*'Equity Price Data'!BH180</f>
        <v>10268</v>
      </c>
      <c r="BC179" s="30">
        <f>'Equity Volume Data'!BF179*'Equity Price Data'!BI180</f>
        <v>0</v>
      </c>
      <c r="BD179" s="30">
        <f>'Equity Volume Data'!BG179*'Equity Price Data'!BJ180</f>
        <v>47102.82</v>
      </c>
      <c r="BE179" s="30">
        <f>'Equity Volume Data'!BH179*'Equity Price Data'!BK180</f>
        <v>13438.67</v>
      </c>
      <c r="BF179" s="30">
        <f>'Equity Volume Data'!BI179*'Equity Price Data'!BL180</f>
        <v>7411.6</v>
      </c>
      <c r="BG179" s="30">
        <f>'Equity Volume Data'!BJ179*'Equity Price Data'!BM180</f>
        <v>18634.34</v>
      </c>
      <c r="BH179" s="30">
        <f>'Equity Volume Data'!BK179*'Equity Price Data'!BN180</f>
        <v>0</v>
      </c>
      <c r="BI179" s="30">
        <f>'Equity Volume Data'!BL179*'Equity Price Data'!BO180</f>
        <v>39865.6</v>
      </c>
      <c r="BJ179" s="30">
        <f>'Equity Volume Data'!BM179*'Equity Price Data'!BP180</f>
        <v>40686</v>
      </c>
      <c r="BK179" s="30">
        <f>'Equity Volume Data'!BN179*'Equity Price Data'!BQ180</f>
        <v>87973.64</v>
      </c>
      <c r="BL179" s="30">
        <f>'Equity Volume Data'!BO179*'Equity Price Data'!BR180</f>
        <v>526.4</v>
      </c>
      <c r="BM179" s="30">
        <f>'Equity Volume Data'!BP179*'Equity Price Data'!BS180</f>
        <v>10255.2</v>
      </c>
      <c r="BN179" s="30">
        <f>'Equity Volume Data'!BQ179*'Equity Price Data'!BT180</f>
        <v>21082.32</v>
      </c>
      <c r="BO179" s="30">
        <f>'Equity Volume Data'!BR179*'Equity Price Data'!BU180</f>
        <v>53374.07</v>
      </c>
    </row>
    <row r="180">
      <c r="A180" s="25">
        <f>'Equity Price Data'!A181</f>
        <v>45686.66667</v>
      </c>
      <c r="B180" s="29">
        <f t="shared" si="1"/>
        <v>1376917.15</v>
      </c>
      <c r="C180" s="30">
        <f>'Equity Volume Data'!F180*'Equity Price Data'!I181</f>
        <v>5741.84</v>
      </c>
      <c r="D180" s="30">
        <f>'Equity Volume Data'!G180*'Equity Price Data'!J181</f>
        <v>61638.2</v>
      </c>
      <c r="E180" s="30">
        <f>'Equity Volume Data'!H180*'Equity Price Data'!K181</f>
        <v>13667.5</v>
      </c>
      <c r="F180" s="30">
        <f>'Equity Volume Data'!I180*'Equity Price Data'!L181</f>
        <v>61276.16</v>
      </c>
      <c r="G180" s="30">
        <f>'Equity Volume Data'!J180*'Equity Price Data'!M181</f>
        <v>14548.24</v>
      </c>
      <c r="H180" s="30">
        <f>'Equity Volume Data'!K180*'Equity Price Data'!N181</f>
        <v>16175.52</v>
      </c>
      <c r="I180" s="30">
        <f>'Equity Volume Data'!L180*'Equity Price Data'!O181</f>
        <v>14670</v>
      </c>
      <c r="J180" s="30">
        <f>'Equity Volume Data'!M180*'Equity Price Data'!P181</f>
        <v>47864.52</v>
      </c>
      <c r="K180" s="30">
        <f>'Equity Volume Data'!N180*'Equity Price Data'!Q181</f>
        <v>9758</v>
      </c>
      <c r="L180" s="30">
        <f>'Equity Volume Data'!O180*'Equity Price Data'!R181</f>
        <v>17473.61</v>
      </c>
      <c r="M180" s="30">
        <f>'Equity Volume Data'!P180*'Equity Price Data'!S181</f>
        <v>0</v>
      </c>
      <c r="N180" s="30">
        <f>'Equity Volume Data'!Q180*'Equity Price Data'!T181</f>
        <v>5184</v>
      </c>
      <c r="O180" s="30">
        <f>'Equity Volume Data'!R180*'Equity Price Data'!U181</f>
        <v>58984.5</v>
      </c>
      <c r="P180" s="30">
        <f>'Equity Volume Data'!S180*'Equity Price Data'!V181</f>
        <v>20879.19</v>
      </c>
      <c r="Q180" s="30">
        <f>'Equity Volume Data'!T180*'Equity Price Data'!W181</f>
        <v>24468</v>
      </c>
      <c r="R180" s="30">
        <f>'Equity Volume Data'!U180*'Equity Price Data'!X181</f>
        <v>12455.2</v>
      </c>
      <c r="S180" s="30">
        <f>'Equity Volume Data'!V180*'Equity Price Data'!Y181</f>
        <v>26691.28</v>
      </c>
      <c r="T180" s="30">
        <f>'Equity Volume Data'!W180*'Equity Price Data'!Z181</f>
        <v>11905</v>
      </c>
      <c r="U180" s="30">
        <f>'Equity Volume Data'!X180*'Equity Price Data'!AA181</f>
        <v>16587.12</v>
      </c>
      <c r="V180" s="30">
        <f>'Equity Volume Data'!Y180*'Equity Price Data'!AB181</f>
        <v>14903.77</v>
      </c>
      <c r="W180" s="30">
        <f>'Equity Volume Data'!Z180*'Equity Price Data'!AC181</f>
        <v>11159.37</v>
      </c>
      <c r="X180" s="30">
        <f>'Equity Volume Data'!AA180*'Equity Price Data'!AD181</f>
        <v>0</v>
      </c>
      <c r="Y180" s="30">
        <f>'Equity Volume Data'!AB180*'Equity Price Data'!AE181</f>
        <v>5561.14</v>
      </c>
      <c r="Z180" s="30">
        <f>'Equity Volume Data'!AC180*'Equity Price Data'!AF181</f>
        <v>9900</v>
      </c>
      <c r="AA180" s="30">
        <f>'Equity Volume Data'!AD180*'Equity Price Data'!AG181</f>
        <v>18473.9</v>
      </c>
      <c r="AB180" s="30">
        <f>'Equity Volume Data'!AE180*'Equity Price Data'!AH181</f>
        <v>16503.6</v>
      </c>
      <c r="AC180" s="30">
        <f>'Equity Volume Data'!AF180*'Equity Price Data'!AI181</f>
        <v>17159.6</v>
      </c>
      <c r="AD180" s="30">
        <f>'Equity Volume Data'!AG180*'Equity Price Data'!AJ181</f>
        <v>11315.25</v>
      </c>
      <c r="AE180" s="30">
        <f>'Equity Volume Data'!AH180*'Equity Price Data'!AK181</f>
        <v>9956</v>
      </c>
      <c r="AF180" s="30">
        <f>'Equity Volume Data'!AI180*'Equity Price Data'!AL181</f>
        <v>19595.95</v>
      </c>
      <c r="AG180" s="30">
        <f>'Equity Volume Data'!AJ180*'Equity Price Data'!AM181</f>
        <v>38242.8</v>
      </c>
      <c r="AH180" s="30">
        <f>'Equity Volume Data'!AK180*'Equity Price Data'!AN181</f>
        <v>41342</v>
      </c>
      <c r="AI180" s="30">
        <f>'Equity Volume Data'!AL180*'Equity Price Data'!AO181</f>
        <v>22382.5</v>
      </c>
      <c r="AJ180" s="30">
        <f>'Equity Volume Data'!AM180*'Equity Price Data'!AP181</f>
        <v>20438.6</v>
      </c>
      <c r="AK180" s="30">
        <f>'Equity Volume Data'!AN180*'Equity Price Data'!AQ181</f>
        <v>26917.37</v>
      </c>
      <c r="AL180" s="30">
        <f>'Equity Volume Data'!AO180*'Equity Price Data'!AR181</f>
        <v>42652.8</v>
      </c>
      <c r="AM180" s="30">
        <f>'Equity Volume Data'!AP180*'Equity Price Data'!AS181</f>
        <v>31805.2</v>
      </c>
      <c r="AN180" s="30">
        <f>'Equity Volume Data'!AQ180*'Equity Price Data'!AT181</f>
        <v>14390.6</v>
      </c>
      <c r="AO180" s="30">
        <f>'Equity Volume Data'!AR180*'Equity Price Data'!AU181</f>
        <v>25953.06</v>
      </c>
      <c r="AP180" s="30">
        <f>'Equity Volume Data'!AS180*'Equity Price Data'!AV181</f>
        <v>22852.5</v>
      </c>
      <c r="AQ180" s="30">
        <f>'Equity Volume Data'!AT180*'Equity Price Data'!AW181</f>
        <v>19060.8</v>
      </c>
      <c r="AR180" s="30">
        <f>'Equity Volume Data'!AU180*'Equity Price Data'!AX181</f>
        <v>0</v>
      </c>
      <c r="AS180" s="30">
        <f>'Equity Volume Data'!AV180*'Equity Price Data'!AY181</f>
        <v>53079.6</v>
      </c>
      <c r="AT180" s="30">
        <f>'Equity Volume Data'!AW180*'Equity Price Data'!AZ181</f>
        <v>14178</v>
      </c>
      <c r="AU180" s="30">
        <f>'Equity Volume Data'!AX180*'Equity Price Data'!BA181</f>
        <v>0</v>
      </c>
      <c r="AV180" s="30">
        <f>'Equity Volume Data'!AY180*'Equity Price Data'!BB181</f>
        <v>17565.4</v>
      </c>
      <c r="AW180" s="30">
        <f>'Equity Volume Data'!AZ180*'Equity Price Data'!BC181</f>
        <v>3786</v>
      </c>
      <c r="AX180" s="30">
        <f>'Equity Volume Data'!BA180*'Equity Price Data'!BD181</f>
        <v>5043.2</v>
      </c>
      <c r="AY180" s="30">
        <f>'Equity Volume Data'!BB180*'Equity Price Data'!BE181</f>
        <v>32063.52</v>
      </c>
      <c r="AZ180" s="30">
        <f>'Equity Volume Data'!BC180*'Equity Price Data'!BF181</f>
        <v>13314</v>
      </c>
      <c r="BA180" s="30">
        <f>'Equity Volume Data'!BD180*'Equity Price Data'!BG181</f>
        <v>5057.8</v>
      </c>
      <c r="BB180" s="30">
        <f>'Equity Volume Data'!BE180*'Equity Price Data'!BH181</f>
        <v>10010.4</v>
      </c>
      <c r="BC180" s="30">
        <f>'Equity Volume Data'!BF180*'Equity Price Data'!BI181</f>
        <v>0</v>
      </c>
      <c r="BD180" s="30">
        <f>'Equity Volume Data'!BG180*'Equity Price Data'!BJ181</f>
        <v>50086.95</v>
      </c>
      <c r="BE180" s="30">
        <f>'Equity Volume Data'!BH180*'Equity Price Data'!BK181</f>
        <v>13069.29</v>
      </c>
      <c r="BF180" s="30">
        <f>'Equity Volume Data'!BI180*'Equity Price Data'!BL181</f>
        <v>7479.2</v>
      </c>
      <c r="BG180" s="30">
        <f>'Equity Volume Data'!BJ180*'Equity Price Data'!BM181</f>
        <v>18217.34</v>
      </c>
      <c r="BH180" s="30">
        <f>'Equity Volume Data'!BK180*'Equity Price Data'!BN181</f>
        <v>0</v>
      </c>
      <c r="BI180" s="30">
        <f>'Equity Volume Data'!BL180*'Equity Price Data'!BO181</f>
        <v>39928</v>
      </c>
      <c r="BJ180" s="30">
        <f>'Equity Volume Data'!BM180*'Equity Price Data'!BP181</f>
        <v>40357.5</v>
      </c>
      <c r="BK180" s="30">
        <f>'Equity Volume Data'!BN180*'Equity Price Data'!BQ181</f>
        <v>87901.56</v>
      </c>
      <c r="BL180" s="30">
        <f>'Equity Volume Data'!BO180*'Equity Price Data'!BR181</f>
        <v>532.51</v>
      </c>
      <c r="BM180" s="30">
        <f>'Equity Volume Data'!BP180*'Equity Price Data'!BS181</f>
        <v>10058.4</v>
      </c>
      <c r="BN180" s="30">
        <f>'Equity Volume Data'!BQ180*'Equity Price Data'!BT181</f>
        <v>21279.72</v>
      </c>
      <c r="BO180" s="30">
        <f>'Equity Volume Data'!BR180*'Equity Price Data'!BU181</f>
        <v>53374.07</v>
      </c>
    </row>
    <row r="181">
      <c r="A181" s="25">
        <f>'Equity Price Data'!A182</f>
        <v>45687.66667</v>
      </c>
      <c r="B181" s="29">
        <f t="shared" si="1"/>
        <v>1351811.81</v>
      </c>
      <c r="C181" s="30">
        <f>'Equity Volume Data'!F181*'Equity Price Data'!I182</f>
        <v>5798</v>
      </c>
      <c r="D181" s="30">
        <f>'Equity Volume Data'!G181*'Equity Price Data'!J182</f>
        <v>61006.4</v>
      </c>
      <c r="E181" s="30">
        <f>'Equity Volume Data'!H181*'Equity Price Data'!K182</f>
        <v>13602.6</v>
      </c>
      <c r="F181" s="30">
        <f>'Equity Volume Data'!I181*'Equity Price Data'!L182</f>
        <v>60823.04</v>
      </c>
      <c r="G181" s="30">
        <f>'Equity Volume Data'!J181*'Equity Price Data'!M182</f>
        <v>15082.76</v>
      </c>
      <c r="H181" s="30">
        <f>'Equity Volume Data'!K181*'Equity Price Data'!N182</f>
        <v>16262</v>
      </c>
      <c r="I181" s="30">
        <f>'Equity Volume Data'!L181*'Equity Price Data'!O182</f>
        <v>14800</v>
      </c>
      <c r="J181" s="30">
        <f>'Equity Volume Data'!M181*'Equity Price Data'!P182</f>
        <v>48179.7</v>
      </c>
      <c r="K181" s="30">
        <f>'Equity Volume Data'!N181*'Equity Price Data'!Q182</f>
        <v>9950</v>
      </c>
      <c r="L181" s="30">
        <f>'Equity Volume Data'!O181*'Equity Price Data'!R182</f>
        <v>17693.83</v>
      </c>
      <c r="M181" s="30">
        <f>'Equity Volume Data'!P181*'Equity Price Data'!S182</f>
        <v>0</v>
      </c>
      <c r="N181" s="30">
        <f>'Equity Volume Data'!Q181*'Equity Price Data'!T182</f>
        <v>5277.6</v>
      </c>
      <c r="O181" s="30">
        <f>'Equity Volume Data'!R181*'Equity Price Data'!U182</f>
        <v>56247</v>
      </c>
      <c r="P181" s="30">
        <f>'Equity Volume Data'!S181*'Equity Price Data'!V182</f>
        <v>20975.1</v>
      </c>
      <c r="Q181" s="30">
        <f>'Equity Volume Data'!T181*'Equity Price Data'!W182</f>
        <v>26278.8</v>
      </c>
      <c r="R181" s="30">
        <f>'Equity Volume Data'!U181*'Equity Price Data'!X182</f>
        <v>12505.6</v>
      </c>
      <c r="S181" s="30">
        <f>'Equity Volume Data'!V181*'Equity Price Data'!Y182</f>
        <v>24902.24</v>
      </c>
      <c r="T181" s="30">
        <f>'Equity Volume Data'!W181*'Equity Price Data'!Z182</f>
        <v>12090</v>
      </c>
      <c r="U181" s="30">
        <f>'Equity Volume Data'!X181*'Equity Price Data'!AA182</f>
        <v>16909.2</v>
      </c>
      <c r="V181" s="30">
        <f>'Equity Volume Data'!Y181*'Equity Price Data'!AB182</f>
        <v>15111.46</v>
      </c>
      <c r="W181" s="30">
        <f>'Equity Volume Data'!Z181*'Equity Price Data'!AC182</f>
        <v>11331.87</v>
      </c>
      <c r="X181" s="30">
        <f>'Equity Volume Data'!AA181*'Equity Price Data'!AD182</f>
        <v>0</v>
      </c>
      <c r="Y181" s="30">
        <f>'Equity Volume Data'!AB181*'Equity Price Data'!AE182</f>
        <v>5860.4</v>
      </c>
      <c r="Z181" s="30">
        <f>'Equity Volume Data'!AC181*'Equity Price Data'!AF182</f>
        <v>10128</v>
      </c>
      <c r="AA181" s="30">
        <f>'Equity Volume Data'!AD181*'Equity Price Data'!AG182</f>
        <v>18626.9</v>
      </c>
      <c r="AB181" s="30">
        <f>'Equity Volume Data'!AE181*'Equity Price Data'!AH182</f>
        <v>16154.4</v>
      </c>
      <c r="AC181" s="30">
        <f>'Equity Volume Data'!AF181*'Equity Price Data'!AI182</f>
        <v>17278</v>
      </c>
      <c r="AD181" s="30">
        <f>'Equity Volume Data'!AG181*'Equity Price Data'!AJ182</f>
        <v>11561.85</v>
      </c>
      <c r="AE181" s="30">
        <f>'Equity Volume Data'!AH181*'Equity Price Data'!AK182</f>
        <v>9900</v>
      </c>
      <c r="AF181" s="30">
        <f>'Equity Volume Data'!AI181*'Equity Price Data'!AL182</f>
        <v>19874.75</v>
      </c>
      <c r="AG181" s="30">
        <f>'Equity Volume Data'!AJ181*'Equity Price Data'!AM182</f>
        <v>38742</v>
      </c>
      <c r="AH181" s="30">
        <f>'Equity Volume Data'!AK181*'Equity Price Data'!AN182</f>
        <v>41450</v>
      </c>
      <c r="AI181" s="30">
        <f>'Equity Volume Data'!AL181*'Equity Price Data'!AO182</f>
        <v>23234.75</v>
      </c>
      <c r="AJ181" s="30">
        <f>'Equity Volume Data'!AM181*'Equity Price Data'!AP182</f>
        <v>20727.2</v>
      </c>
      <c r="AK181" s="30">
        <f>'Equity Volume Data'!AN181*'Equity Price Data'!AQ182</f>
        <v>27268.46</v>
      </c>
      <c r="AL181" s="30">
        <f>'Equity Volume Data'!AO181*'Equity Price Data'!AR182</f>
        <v>42916.8</v>
      </c>
      <c r="AM181" s="30">
        <f>'Equity Volume Data'!AP181*'Equity Price Data'!AS182</f>
        <v>32175.5</v>
      </c>
      <c r="AN181" s="30">
        <f>'Equity Volume Data'!AQ181*'Equity Price Data'!AT182</f>
        <v>14740.6</v>
      </c>
      <c r="AO181" s="30">
        <f>'Equity Volume Data'!AR181*'Equity Price Data'!AU182</f>
        <v>26072.62</v>
      </c>
      <c r="AP181" s="30">
        <f>'Equity Volume Data'!AS181*'Equity Price Data'!AV182</f>
        <v>22997.5</v>
      </c>
      <c r="AQ181" s="30">
        <f>'Equity Volume Data'!AT181*'Equity Price Data'!AW182</f>
        <v>19140</v>
      </c>
      <c r="AR181" s="30">
        <f>'Equity Volume Data'!AU181*'Equity Price Data'!AX182</f>
        <v>0</v>
      </c>
      <c r="AS181" s="30">
        <f>'Equity Volume Data'!AV181*'Equity Price Data'!AY182</f>
        <v>49798.8</v>
      </c>
      <c r="AT181" s="30">
        <f>'Equity Volume Data'!AW181*'Equity Price Data'!AZ182</f>
        <v>14260</v>
      </c>
      <c r="AU181" s="30">
        <f>'Equity Volume Data'!AX181*'Equity Price Data'!BA182</f>
        <v>0</v>
      </c>
      <c r="AV181" s="30">
        <f>'Equity Volume Data'!AY181*'Equity Price Data'!BB182</f>
        <v>17700.3</v>
      </c>
      <c r="AW181" s="30">
        <f>'Equity Volume Data'!AZ181*'Equity Price Data'!BC182</f>
        <v>3814.4</v>
      </c>
      <c r="AX181" s="30">
        <f>'Equity Volume Data'!BA181*'Equity Price Data'!BD182</f>
        <v>5089.6</v>
      </c>
      <c r="AY181" s="30">
        <f>'Equity Volume Data'!BB181*'Equity Price Data'!BE182</f>
        <v>32650.44</v>
      </c>
      <c r="AZ181" s="30">
        <f>'Equity Volume Data'!BC181*'Equity Price Data'!BF182</f>
        <v>13435.5</v>
      </c>
      <c r="BA181" s="30">
        <f>'Equity Volume Data'!BD181*'Equity Price Data'!BG182</f>
        <v>5112.9</v>
      </c>
      <c r="BB181" s="30">
        <f>'Equity Volume Data'!BE181*'Equity Price Data'!BH182</f>
        <v>10318.4</v>
      </c>
      <c r="BC181" s="30">
        <f>'Equity Volume Data'!BF181*'Equity Price Data'!BI182</f>
        <v>0</v>
      </c>
      <c r="BD181" s="30">
        <f>'Equity Volume Data'!BG181*'Equity Price Data'!BJ182</f>
        <v>49920.81</v>
      </c>
      <c r="BE181" s="30">
        <f>'Equity Volume Data'!BH181*'Equity Price Data'!BK182</f>
        <v>13955.02</v>
      </c>
      <c r="BF181" s="30">
        <f>'Equity Volume Data'!BI181*'Equity Price Data'!BL182</f>
        <v>7638.8</v>
      </c>
      <c r="BG181" s="30">
        <f>'Equity Volume Data'!BJ181*'Equity Price Data'!BM182</f>
        <v>18612.1</v>
      </c>
      <c r="BH181" s="30">
        <f>'Equity Volume Data'!BK181*'Equity Price Data'!BN182</f>
        <v>0</v>
      </c>
      <c r="BI181" s="30">
        <f>'Equity Volume Data'!BL181*'Equity Price Data'!BO182</f>
        <v>39987.2</v>
      </c>
      <c r="BJ181" s="30">
        <f>'Equity Volume Data'!BM181*'Equity Price Data'!BP182</f>
        <v>40917.75</v>
      </c>
      <c r="BK181" s="30">
        <f>'Equity Volume Data'!BN181*'Equity Price Data'!BQ182</f>
        <v>87973.64</v>
      </c>
      <c r="BL181" s="30">
        <f>'Equity Volume Data'!BO181*'Equity Price Data'!BR182</f>
        <v>536.74</v>
      </c>
      <c r="BM181" s="30">
        <f>'Equity Volume Data'!BP181*'Equity Price Data'!BS182</f>
        <v>10676.64</v>
      </c>
      <c r="BN181" s="30">
        <f>'Equity Volume Data'!BQ181*'Equity Price Data'!BT182</f>
        <v>21324.84</v>
      </c>
      <c r="BO181" s="30">
        <f>'Equity Volume Data'!BR181*'Equity Price Data'!BU182</f>
        <v>24411</v>
      </c>
    </row>
    <row r="182">
      <c r="A182" s="25">
        <f>'Equity Price Data'!A183</f>
        <v>45688.66667</v>
      </c>
      <c r="B182" s="29">
        <f t="shared" si="1"/>
        <v>1334595.74</v>
      </c>
      <c r="C182" s="30">
        <f>'Equity Volume Data'!F182*'Equity Price Data'!I183</f>
        <v>5686.85</v>
      </c>
      <c r="D182" s="30">
        <f>'Equity Volume Data'!G182*'Equity Price Data'!J183</f>
        <v>61796.8</v>
      </c>
      <c r="E182" s="30">
        <f>'Equity Volume Data'!H182*'Equity Price Data'!K183</f>
        <v>13710.4</v>
      </c>
      <c r="F182" s="30">
        <f>'Equity Volume Data'!I182*'Equity Price Data'!L183</f>
        <v>60416</v>
      </c>
      <c r="G182" s="30">
        <f>'Equity Volume Data'!J182*'Equity Price Data'!M183</f>
        <v>14969.05</v>
      </c>
      <c r="H182" s="30">
        <f>'Equity Volume Data'!K182*'Equity Price Data'!N183</f>
        <v>16154.84</v>
      </c>
      <c r="I182" s="30">
        <f>'Equity Volume Data'!L182*'Equity Price Data'!O183</f>
        <v>14680</v>
      </c>
      <c r="J182" s="30">
        <f>'Equity Volume Data'!M182*'Equity Price Data'!P183</f>
        <v>47804.34</v>
      </c>
      <c r="K182" s="30">
        <f>'Equity Volume Data'!N182*'Equity Price Data'!Q183</f>
        <v>9830</v>
      </c>
      <c r="L182" s="30">
        <f>'Equity Volume Data'!O182*'Equity Price Data'!R183</f>
        <v>17415.53</v>
      </c>
      <c r="M182" s="30">
        <f>'Equity Volume Data'!P182*'Equity Price Data'!S183</f>
        <v>0</v>
      </c>
      <c r="N182" s="30">
        <f>'Equity Volume Data'!Q182*'Equity Price Data'!T183</f>
        <v>5230.4</v>
      </c>
      <c r="O182" s="30">
        <f>'Equity Volume Data'!R182*'Equity Price Data'!U183</f>
        <v>55716</v>
      </c>
      <c r="P182" s="30">
        <f>'Equity Volume Data'!S182*'Equity Price Data'!V183</f>
        <v>20616.48</v>
      </c>
      <c r="Q182" s="30">
        <f>'Equity Volume Data'!T182*'Equity Price Data'!W183</f>
        <v>26162.4</v>
      </c>
      <c r="R182" s="30">
        <f>'Equity Volume Data'!U182*'Equity Price Data'!X183</f>
        <v>11935.2</v>
      </c>
      <c r="S182" s="30">
        <f>'Equity Volume Data'!V182*'Equity Price Data'!Y183</f>
        <v>25890.48</v>
      </c>
      <c r="T182" s="30">
        <f>'Equity Volume Data'!W182*'Equity Price Data'!Z183</f>
        <v>11892.5</v>
      </c>
      <c r="U182" s="30">
        <f>'Equity Volume Data'!X182*'Equity Price Data'!AA183</f>
        <v>16758.72</v>
      </c>
      <c r="V182" s="30">
        <f>'Equity Volume Data'!Y182*'Equity Price Data'!AB183</f>
        <v>15092.14</v>
      </c>
      <c r="W182" s="30">
        <f>'Equity Volume Data'!Z182*'Equity Price Data'!AC183</f>
        <v>11306.34</v>
      </c>
      <c r="X182" s="30">
        <f>'Equity Volume Data'!AA182*'Equity Price Data'!AD183</f>
        <v>0</v>
      </c>
      <c r="Y182" s="30">
        <f>'Equity Volume Data'!AB182*'Equity Price Data'!AE183</f>
        <v>5838.56</v>
      </c>
      <c r="Z182" s="30">
        <f>'Equity Volume Data'!AC182*'Equity Price Data'!AF183</f>
        <v>10122</v>
      </c>
      <c r="AA182" s="30">
        <f>'Equity Volume Data'!AD182*'Equity Price Data'!AG183</f>
        <v>18161.1</v>
      </c>
      <c r="AB182" s="30">
        <f>'Equity Volume Data'!AE182*'Equity Price Data'!AH183</f>
        <v>15892.2</v>
      </c>
      <c r="AC182" s="30">
        <f>'Equity Volume Data'!AF182*'Equity Price Data'!AI183</f>
        <v>17140.8</v>
      </c>
      <c r="AD182" s="30">
        <f>'Equity Volume Data'!AG182*'Equity Price Data'!AJ183</f>
        <v>11564.1</v>
      </c>
      <c r="AE182" s="30">
        <f>'Equity Volume Data'!AH182*'Equity Price Data'!AK183</f>
        <v>0</v>
      </c>
      <c r="AF182" s="30">
        <f>'Equity Volume Data'!AI182*'Equity Price Data'!AL183</f>
        <v>19926</v>
      </c>
      <c r="AG182" s="30">
        <f>'Equity Volume Data'!AJ182*'Equity Price Data'!AM183</f>
        <v>38424</v>
      </c>
      <c r="AH182" s="30">
        <f>'Equity Volume Data'!AK182*'Equity Price Data'!AN183</f>
        <v>41198</v>
      </c>
      <c r="AI182" s="30">
        <f>'Equity Volume Data'!AL182*'Equity Price Data'!AO183</f>
        <v>22186.5</v>
      </c>
      <c r="AJ182" s="30">
        <f>'Equity Volume Data'!AM182*'Equity Price Data'!AP183</f>
        <v>20777.9</v>
      </c>
      <c r="AK182" s="30">
        <f>'Equity Volume Data'!AN182*'Equity Price Data'!AQ183</f>
        <v>26878.36</v>
      </c>
      <c r="AL182" s="30">
        <f>'Equity Volume Data'!AO182*'Equity Price Data'!AR183</f>
        <v>42768</v>
      </c>
      <c r="AM182" s="30">
        <f>'Equity Volume Data'!AP182*'Equity Price Data'!AS183</f>
        <v>32406.5</v>
      </c>
      <c r="AN182" s="30">
        <f>'Equity Volume Data'!AQ182*'Equity Price Data'!AT183</f>
        <v>14497</v>
      </c>
      <c r="AO182" s="30">
        <f>'Equity Volume Data'!AR182*'Equity Price Data'!AU183</f>
        <v>25543.14</v>
      </c>
      <c r="AP182" s="30">
        <f>'Equity Volume Data'!AS182*'Equity Price Data'!AV183</f>
        <v>22705</v>
      </c>
      <c r="AQ182" s="30">
        <f>'Equity Volume Data'!AT182*'Equity Price Data'!AW183</f>
        <v>19032.2</v>
      </c>
      <c r="AR182" s="30">
        <f>'Equity Volume Data'!AU182*'Equity Price Data'!AX183</f>
        <v>0</v>
      </c>
      <c r="AS182" s="30">
        <f>'Equity Volume Data'!AV182*'Equity Price Data'!AY183</f>
        <v>49807.2</v>
      </c>
      <c r="AT182" s="30">
        <f>'Equity Volume Data'!AW182*'Equity Price Data'!AZ183</f>
        <v>14312</v>
      </c>
      <c r="AU182" s="30">
        <f>'Equity Volume Data'!AX182*'Equity Price Data'!BA183</f>
        <v>0</v>
      </c>
      <c r="AV182" s="30">
        <f>'Equity Volume Data'!AY182*'Equity Price Data'!BB183</f>
        <v>17049.94</v>
      </c>
      <c r="AW182" s="30">
        <f>'Equity Volume Data'!AZ182*'Equity Price Data'!BC183</f>
        <v>3816.8</v>
      </c>
      <c r="AX182" s="30">
        <f>'Equity Volume Data'!BA182*'Equity Price Data'!BD183</f>
        <v>4790.4</v>
      </c>
      <c r="AY182" s="30">
        <f>'Equity Volume Data'!BB182*'Equity Price Data'!BE183</f>
        <v>33160.98</v>
      </c>
      <c r="AZ182" s="30">
        <f>'Equity Volume Data'!BC182*'Equity Price Data'!BF183</f>
        <v>13287</v>
      </c>
      <c r="BA182" s="30">
        <f>'Equity Volume Data'!BD182*'Equity Price Data'!BG183</f>
        <v>5038.8</v>
      </c>
      <c r="BB182" s="30">
        <f>'Equity Volume Data'!BE182*'Equity Price Data'!BH183</f>
        <v>10316</v>
      </c>
      <c r="BC182" s="30">
        <f>'Equity Volume Data'!BF182*'Equity Price Data'!BI183</f>
        <v>0</v>
      </c>
      <c r="BD182" s="30">
        <f>'Equity Volume Data'!BG182*'Equity Price Data'!BJ183</f>
        <v>49622.61</v>
      </c>
      <c r="BE182" s="30">
        <f>'Equity Volume Data'!BH182*'Equity Price Data'!BK183</f>
        <v>13748.25</v>
      </c>
      <c r="BF182" s="30">
        <f>'Equity Volume Data'!BI182*'Equity Price Data'!BL183</f>
        <v>7557.2</v>
      </c>
      <c r="BG182" s="30">
        <f>'Equity Volume Data'!BJ182*'Equity Price Data'!BM183</f>
        <v>18778.9</v>
      </c>
      <c r="BH182" s="30">
        <f>'Equity Volume Data'!BK182*'Equity Price Data'!BN183</f>
        <v>0</v>
      </c>
      <c r="BI182" s="30">
        <f>'Equity Volume Data'!BL182*'Equity Price Data'!BO183</f>
        <v>39646.4</v>
      </c>
      <c r="BJ182" s="30">
        <f>'Equity Volume Data'!BM182*'Equity Price Data'!BP183</f>
        <v>40686.75</v>
      </c>
      <c r="BK182" s="30">
        <f>'Equity Volume Data'!BN182*'Equity Price Data'!BQ183</f>
        <v>88081.76</v>
      </c>
      <c r="BL182" s="30">
        <f>'Equity Volume Data'!BO182*'Equity Price Data'!BR183</f>
        <v>530.16</v>
      </c>
      <c r="BM182" s="30">
        <f>'Equity Volume Data'!BP182*'Equity Price Data'!BS183</f>
        <v>10572.48</v>
      </c>
      <c r="BN182" s="30">
        <f>'Equity Volume Data'!BQ182*'Equity Price Data'!BT183</f>
        <v>21255.28</v>
      </c>
      <c r="BO182" s="30">
        <f>'Equity Volume Data'!BR182*'Equity Price Data'!BU183</f>
        <v>24411</v>
      </c>
    </row>
    <row r="183">
      <c r="A183" s="25">
        <f>'Equity Price Data'!A184</f>
        <v>45691.66667</v>
      </c>
      <c r="B183" s="29">
        <f t="shared" si="1"/>
        <v>1325950.82</v>
      </c>
      <c r="C183" s="30">
        <f>'Equity Volume Data'!F183*'Equity Price Data'!I184</f>
        <v>5701.8</v>
      </c>
      <c r="D183" s="30">
        <f>'Equity Volume Data'!G183*'Equity Price Data'!J184</f>
        <v>61729.2</v>
      </c>
      <c r="E183" s="30">
        <f>'Equity Volume Data'!H183*'Equity Price Data'!K184</f>
        <v>13833.6</v>
      </c>
      <c r="F183" s="30">
        <f>'Equity Volume Data'!I183*'Equity Price Data'!L184</f>
        <v>58370.56</v>
      </c>
      <c r="G183" s="30">
        <f>'Equity Volume Data'!J183*'Equity Price Data'!M184</f>
        <v>14840.4</v>
      </c>
      <c r="H183" s="30">
        <f>'Equity Volume Data'!K183*'Equity Price Data'!N184</f>
        <v>16015.72</v>
      </c>
      <c r="I183" s="30">
        <f>'Equity Volume Data'!L183*'Equity Price Data'!O184</f>
        <v>14390</v>
      </c>
      <c r="J183" s="30">
        <f>'Equity Volume Data'!M183*'Equity Price Data'!P184</f>
        <v>47390.22</v>
      </c>
      <c r="K183" s="30">
        <f>'Equity Volume Data'!N183*'Equity Price Data'!Q184</f>
        <v>9758</v>
      </c>
      <c r="L183" s="30">
        <f>'Equity Volume Data'!O183*'Equity Price Data'!R184</f>
        <v>17223.14</v>
      </c>
      <c r="M183" s="30">
        <f>'Equity Volume Data'!P183*'Equity Price Data'!S184</f>
        <v>0</v>
      </c>
      <c r="N183" s="30">
        <f>'Equity Volume Data'!Q183*'Equity Price Data'!T184</f>
        <v>5052</v>
      </c>
      <c r="O183" s="30">
        <f>'Equity Volume Data'!R183*'Equity Price Data'!U184</f>
        <v>54232.5</v>
      </c>
      <c r="P183" s="30">
        <f>'Equity Volume Data'!S183*'Equity Price Data'!V184</f>
        <v>19786.65</v>
      </c>
      <c r="Q183" s="30">
        <f>'Equity Volume Data'!T183*'Equity Price Data'!W184</f>
        <v>25664.4</v>
      </c>
      <c r="R183" s="30">
        <f>'Equity Volume Data'!U183*'Equity Price Data'!X184</f>
        <v>11947.2</v>
      </c>
      <c r="S183" s="30">
        <f>'Equity Volume Data'!V183*'Equity Price Data'!Y184</f>
        <v>25736.48</v>
      </c>
      <c r="T183" s="30">
        <f>'Equity Volume Data'!W183*'Equity Price Data'!Z184</f>
        <v>11592.5</v>
      </c>
      <c r="U183" s="30">
        <f>'Equity Volume Data'!X183*'Equity Price Data'!AA184</f>
        <v>16724.4</v>
      </c>
      <c r="V183" s="30">
        <f>'Equity Volume Data'!Y183*'Equity Price Data'!AB184</f>
        <v>15394.82</v>
      </c>
      <c r="W183" s="30">
        <f>'Equity Volume Data'!Z183*'Equity Price Data'!AC184</f>
        <v>11138.67</v>
      </c>
      <c r="X183" s="30">
        <f>'Equity Volume Data'!AA183*'Equity Price Data'!AD184</f>
        <v>0</v>
      </c>
      <c r="Y183" s="30">
        <f>'Equity Volume Data'!AB183*'Equity Price Data'!AE184</f>
        <v>5926.05</v>
      </c>
      <c r="Z183" s="30">
        <f>'Equity Volume Data'!AC183*'Equity Price Data'!AF184</f>
        <v>10077</v>
      </c>
      <c r="AA183" s="30">
        <f>'Equity Volume Data'!AD183*'Equity Price Data'!AG184</f>
        <v>18205.3</v>
      </c>
      <c r="AB183" s="30">
        <f>'Equity Volume Data'!AE183*'Equity Price Data'!AH184</f>
        <v>14840.4</v>
      </c>
      <c r="AC183" s="30">
        <f>'Equity Volume Data'!AF183*'Equity Price Data'!AI184</f>
        <v>17157.6</v>
      </c>
      <c r="AD183" s="30">
        <f>'Equity Volume Data'!AG183*'Equity Price Data'!AJ184</f>
        <v>11546.55</v>
      </c>
      <c r="AE183" s="30">
        <f>'Equity Volume Data'!AH183*'Equity Price Data'!AK184</f>
        <v>0</v>
      </c>
      <c r="AF183" s="30">
        <f>'Equity Volume Data'!AI183*'Equity Price Data'!AL184</f>
        <v>20167.9</v>
      </c>
      <c r="AG183" s="30">
        <f>'Equity Volume Data'!AJ183*'Equity Price Data'!AM184</f>
        <v>37942.2</v>
      </c>
      <c r="AH183" s="30">
        <f>'Equity Volume Data'!AK183*'Equity Price Data'!AN184</f>
        <v>40876</v>
      </c>
      <c r="AI183" s="30">
        <f>'Equity Volume Data'!AL183*'Equity Price Data'!AO184</f>
        <v>22160.25</v>
      </c>
      <c r="AJ183" s="30">
        <f>'Equity Volume Data'!AM183*'Equity Price Data'!AP184</f>
        <v>20850.7</v>
      </c>
      <c r="AK183" s="30">
        <f>'Equity Volume Data'!AN183*'Equity Price Data'!AQ184</f>
        <v>27191.85</v>
      </c>
      <c r="AL183" s="30">
        <f>'Equity Volume Data'!AO183*'Equity Price Data'!AR184</f>
        <v>42689.6</v>
      </c>
      <c r="AM183" s="30">
        <f>'Equity Volume Data'!AP183*'Equity Price Data'!AS184</f>
        <v>31879.4</v>
      </c>
      <c r="AN183" s="30">
        <f>'Equity Volume Data'!AQ183*'Equity Price Data'!AT184</f>
        <v>14360.15</v>
      </c>
      <c r="AO183" s="30">
        <f>'Equity Volume Data'!AR183*'Equity Price Data'!AU184</f>
        <v>25022.2</v>
      </c>
      <c r="AP183" s="30">
        <f>'Equity Volume Data'!AS183*'Equity Price Data'!AV184</f>
        <v>22632.5</v>
      </c>
      <c r="AQ183" s="30">
        <f>'Equity Volume Data'!AT183*'Equity Price Data'!AW184</f>
        <v>18807.8</v>
      </c>
      <c r="AR183" s="30">
        <f>'Equity Volume Data'!AU183*'Equity Price Data'!AX184</f>
        <v>0</v>
      </c>
      <c r="AS183" s="30">
        <f>'Equity Volume Data'!AV183*'Equity Price Data'!AY184</f>
        <v>49310.4</v>
      </c>
      <c r="AT183" s="30">
        <f>'Equity Volume Data'!AW183*'Equity Price Data'!AZ184</f>
        <v>14210</v>
      </c>
      <c r="AU183" s="30">
        <f>'Equity Volume Data'!AX183*'Equity Price Data'!BA184</f>
        <v>0</v>
      </c>
      <c r="AV183" s="30">
        <f>'Equity Volume Data'!AY183*'Equity Price Data'!BB184</f>
        <v>16565.72</v>
      </c>
      <c r="AW183" s="30">
        <f>'Equity Volume Data'!AZ183*'Equity Price Data'!BC184</f>
        <v>3782</v>
      </c>
      <c r="AX183" s="30">
        <f>'Equity Volume Data'!BA183*'Equity Price Data'!BD184</f>
        <v>4681.6</v>
      </c>
      <c r="AY183" s="30">
        <f>'Equity Volume Data'!BB183*'Equity Price Data'!BE184</f>
        <v>33663.48</v>
      </c>
      <c r="AZ183" s="30">
        <f>'Equity Volume Data'!BC183*'Equity Price Data'!BF184</f>
        <v>13426.5</v>
      </c>
      <c r="BA183" s="30">
        <f>'Equity Volume Data'!BD183*'Equity Price Data'!BG184</f>
        <v>4978</v>
      </c>
      <c r="BB183" s="30">
        <f>'Equity Volume Data'!BE183*'Equity Price Data'!BH184</f>
        <v>10393.6</v>
      </c>
      <c r="BC183" s="30">
        <f>'Equity Volume Data'!BF183*'Equity Price Data'!BI184</f>
        <v>0</v>
      </c>
      <c r="BD183" s="30">
        <f>'Equity Volume Data'!BG183*'Equity Price Data'!BJ184</f>
        <v>50715.3</v>
      </c>
      <c r="BE183" s="30">
        <f>'Equity Volume Data'!BH183*'Equity Price Data'!BK184</f>
        <v>13656.25</v>
      </c>
      <c r="BF183" s="30">
        <f>'Equity Volume Data'!BI183*'Equity Price Data'!BL184</f>
        <v>7346</v>
      </c>
      <c r="BG183" s="30">
        <f>'Equity Volume Data'!BJ183*'Equity Price Data'!BM184</f>
        <v>19115.28</v>
      </c>
      <c r="BH183" s="30">
        <f>'Equity Volume Data'!BK183*'Equity Price Data'!BN184</f>
        <v>0</v>
      </c>
      <c r="BI183" s="30">
        <f>'Equity Volume Data'!BL183*'Equity Price Data'!BO184</f>
        <v>38883.2</v>
      </c>
      <c r="BJ183" s="30">
        <f>'Equity Volume Data'!BM183*'Equity Price Data'!BP184</f>
        <v>41113.5</v>
      </c>
      <c r="BK183" s="30">
        <f>'Equity Volume Data'!BN183*'Equity Price Data'!BQ184</f>
        <v>88153.84</v>
      </c>
      <c r="BL183" s="30">
        <f>'Equity Volume Data'!BO183*'Equity Price Data'!BR184</f>
        <v>518.88</v>
      </c>
      <c r="BM183" s="30">
        <f>'Equity Volume Data'!BP183*'Equity Price Data'!BS184</f>
        <v>10738.56</v>
      </c>
      <c r="BN183" s="30">
        <f>'Equity Volume Data'!BQ183*'Equity Price Data'!BT184</f>
        <v>21432</v>
      </c>
      <c r="BO183" s="30">
        <f>'Equity Volume Data'!BR183*'Equity Price Data'!BU184</f>
        <v>24411</v>
      </c>
    </row>
    <row r="184">
      <c r="A184" s="25">
        <f>'Equity Price Data'!A185</f>
        <v>45692.66667</v>
      </c>
      <c r="B184" s="29">
        <f t="shared" si="1"/>
        <v>1339343.63</v>
      </c>
      <c r="C184" s="30">
        <f>'Equity Volume Data'!F184*'Equity Price Data'!I185</f>
        <v>5722.99</v>
      </c>
      <c r="D184" s="30">
        <f>'Equity Volume Data'!G184*'Equity Price Data'!J185</f>
        <v>62935.6</v>
      </c>
      <c r="E184" s="30">
        <f>'Equity Volume Data'!H184*'Equity Price Data'!K185</f>
        <v>13623.5</v>
      </c>
      <c r="F184" s="30">
        <f>'Equity Volume Data'!I184*'Equity Price Data'!L185</f>
        <v>59596.8</v>
      </c>
      <c r="G184" s="30">
        <f>'Equity Volume Data'!J184*'Equity Price Data'!M185</f>
        <v>14820.48</v>
      </c>
      <c r="H184" s="30">
        <f>'Equity Volume Data'!K184*'Equity Price Data'!N185</f>
        <v>15953.68</v>
      </c>
      <c r="I184" s="30">
        <f>'Equity Volume Data'!L184*'Equity Price Data'!O185</f>
        <v>14650</v>
      </c>
      <c r="J184" s="30">
        <f>'Equity Volume Data'!M184*'Equity Price Data'!P185</f>
        <v>47683.98</v>
      </c>
      <c r="K184" s="30">
        <f>'Equity Volume Data'!N184*'Equity Price Data'!Q185</f>
        <v>9966</v>
      </c>
      <c r="L184" s="30">
        <f>'Equity Volume Data'!O184*'Equity Price Data'!R185</f>
        <v>17241.29</v>
      </c>
      <c r="M184" s="30">
        <f>'Equity Volume Data'!P184*'Equity Price Data'!S185</f>
        <v>0</v>
      </c>
      <c r="N184" s="30">
        <f>'Equity Volume Data'!Q184*'Equity Price Data'!T185</f>
        <v>5110.4</v>
      </c>
      <c r="O184" s="30">
        <f>'Equity Volume Data'!R184*'Equity Price Data'!U185</f>
        <v>54292.5</v>
      </c>
      <c r="P184" s="30">
        <f>'Equity Volume Data'!S184*'Equity Price Data'!V185</f>
        <v>20983.44</v>
      </c>
      <c r="Q184" s="30">
        <f>'Equity Volume Data'!T184*'Equity Price Data'!W185</f>
        <v>25471.2</v>
      </c>
      <c r="R184" s="30">
        <f>'Equity Volume Data'!U184*'Equity Price Data'!X185</f>
        <v>12257.6</v>
      </c>
      <c r="S184" s="30">
        <f>'Equity Volume Data'!V184*'Equity Price Data'!Y185</f>
        <v>25648.48</v>
      </c>
      <c r="T184" s="30">
        <f>'Equity Volume Data'!W184*'Equity Price Data'!Z185</f>
        <v>11760</v>
      </c>
      <c r="U184" s="30">
        <f>'Equity Volume Data'!X184*'Equity Price Data'!AA185</f>
        <v>16544.88</v>
      </c>
      <c r="V184" s="30">
        <f>'Equity Volume Data'!Y184*'Equity Price Data'!AB185</f>
        <v>15280.51</v>
      </c>
      <c r="W184" s="30">
        <f>'Equity Volume Data'!Z184*'Equity Price Data'!AC185</f>
        <v>11270.46</v>
      </c>
      <c r="X184" s="30">
        <f>'Equity Volume Data'!AA184*'Equity Price Data'!AD185</f>
        <v>0</v>
      </c>
      <c r="Y184" s="30">
        <f>'Equity Volume Data'!AB184*'Equity Price Data'!AE185</f>
        <v>6057.09</v>
      </c>
      <c r="Z184" s="30">
        <f>'Equity Volume Data'!AC184*'Equity Price Data'!AF185</f>
        <v>10042.5</v>
      </c>
      <c r="AA184" s="30">
        <f>'Equity Volume Data'!AD184*'Equity Price Data'!AG185</f>
        <v>18693.2</v>
      </c>
      <c r="AB184" s="30">
        <f>'Equity Volume Data'!AE184*'Equity Price Data'!AH185</f>
        <v>15057</v>
      </c>
      <c r="AC184" s="30">
        <f>'Equity Volume Data'!AF184*'Equity Price Data'!AI185</f>
        <v>18372</v>
      </c>
      <c r="AD184" s="30">
        <f>'Equity Volume Data'!AG184*'Equity Price Data'!AJ185</f>
        <v>11584.35</v>
      </c>
      <c r="AE184" s="30">
        <f>'Equity Volume Data'!AH184*'Equity Price Data'!AK185</f>
        <v>0</v>
      </c>
      <c r="AF184" s="30">
        <f>'Equity Volume Data'!AI184*'Equity Price Data'!AL185</f>
        <v>20087.95</v>
      </c>
      <c r="AG184" s="30">
        <f>'Equity Volume Data'!AJ184*'Equity Price Data'!AM185</f>
        <v>38050.8</v>
      </c>
      <c r="AH184" s="30">
        <f>'Equity Volume Data'!AK184*'Equity Price Data'!AN185</f>
        <v>41149</v>
      </c>
      <c r="AI184" s="30">
        <f>'Equity Volume Data'!AL184*'Equity Price Data'!AO185</f>
        <v>21833</v>
      </c>
      <c r="AJ184" s="30">
        <f>'Equity Volume Data'!AM184*'Equity Price Data'!AP185</f>
        <v>20711.6</v>
      </c>
      <c r="AK184" s="30">
        <f>'Equity Volume Data'!AN184*'Equity Price Data'!AQ185</f>
        <v>27243.55</v>
      </c>
      <c r="AL184" s="30">
        <f>'Equity Volume Data'!AO184*'Equity Price Data'!AR185</f>
        <v>42870.4</v>
      </c>
      <c r="AM184" s="30">
        <f>'Equity Volume Data'!AP184*'Equity Price Data'!AS185</f>
        <v>31757.6</v>
      </c>
      <c r="AN184" s="30">
        <f>'Equity Volume Data'!AQ184*'Equity Price Data'!AT185</f>
        <v>14556.5</v>
      </c>
      <c r="AO184" s="30">
        <f>'Equity Volume Data'!AR184*'Equity Price Data'!AU185</f>
        <v>25355.26</v>
      </c>
      <c r="AP184" s="30">
        <f>'Equity Volume Data'!AS184*'Equity Price Data'!AV185</f>
        <v>22742.5</v>
      </c>
      <c r="AQ184" s="30">
        <f>'Equity Volume Data'!AT184*'Equity Price Data'!AW185</f>
        <v>18618.6</v>
      </c>
      <c r="AR184" s="30">
        <f>'Equity Volume Data'!AU184*'Equity Price Data'!AX185</f>
        <v>0</v>
      </c>
      <c r="AS184" s="30">
        <f>'Equity Volume Data'!AV184*'Equity Price Data'!AY185</f>
        <v>49484.4</v>
      </c>
      <c r="AT184" s="30">
        <f>'Equity Volume Data'!AW184*'Equity Price Data'!AZ185</f>
        <v>13980</v>
      </c>
      <c r="AU184" s="30">
        <f>'Equity Volume Data'!AX184*'Equity Price Data'!BA185</f>
        <v>0</v>
      </c>
      <c r="AV184" s="30">
        <f>'Equity Volume Data'!AY184*'Equity Price Data'!BB185</f>
        <v>16848.3</v>
      </c>
      <c r="AW184" s="30">
        <f>'Equity Volume Data'!AZ184*'Equity Price Data'!BC185</f>
        <v>3777.2</v>
      </c>
      <c r="AX184" s="30">
        <f>'Equity Volume Data'!BA184*'Equity Price Data'!BD185</f>
        <v>4667.2</v>
      </c>
      <c r="AY184" s="30">
        <f>'Equity Volume Data'!BB184*'Equity Price Data'!BE185</f>
        <v>41739.66</v>
      </c>
      <c r="AZ184" s="30">
        <f>'Equity Volume Data'!BC184*'Equity Price Data'!BF185</f>
        <v>11658</v>
      </c>
      <c r="BA184" s="30">
        <f>'Equity Volume Data'!BD184*'Equity Price Data'!BG185</f>
        <v>4915.3</v>
      </c>
      <c r="BB184" s="30">
        <f>'Equity Volume Data'!BE184*'Equity Price Data'!BH185</f>
        <v>10269.6</v>
      </c>
      <c r="BC184" s="30">
        <f>'Equity Volume Data'!BF184*'Equity Price Data'!BI185</f>
        <v>0</v>
      </c>
      <c r="BD184" s="30">
        <f>'Equity Volume Data'!BG184*'Equity Price Data'!BJ185</f>
        <v>50534.25</v>
      </c>
      <c r="BE184" s="30">
        <f>'Equity Volume Data'!BH184*'Equity Price Data'!BK185</f>
        <v>13353.11</v>
      </c>
      <c r="BF184" s="30">
        <f>'Equity Volume Data'!BI184*'Equity Price Data'!BL185</f>
        <v>7502.4</v>
      </c>
      <c r="BG184" s="30">
        <f>'Equity Volume Data'!BJ184*'Equity Price Data'!BM185</f>
        <v>20054.92</v>
      </c>
      <c r="BH184" s="30">
        <f>'Equity Volume Data'!BK184*'Equity Price Data'!BN185</f>
        <v>0</v>
      </c>
      <c r="BI184" s="30">
        <f>'Equity Volume Data'!BL184*'Equity Price Data'!BO185</f>
        <v>38960</v>
      </c>
      <c r="BJ184" s="30">
        <f>'Equity Volume Data'!BM184*'Equity Price Data'!BP185</f>
        <v>40908.75</v>
      </c>
      <c r="BK184" s="30">
        <f>'Equity Volume Data'!BN184*'Equity Price Data'!BQ185</f>
        <v>88207.9</v>
      </c>
      <c r="BL184" s="30">
        <f>'Equity Volume Data'!BO184*'Equity Price Data'!BR185</f>
        <v>511.83</v>
      </c>
      <c r="BM184" s="30">
        <f>'Equity Volume Data'!BP184*'Equity Price Data'!BS185</f>
        <v>10662.72</v>
      </c>
      <c r="BN184" s="30">
        <f>'Equity Volume Data'!BQ184*'Equity Price Data'!BT185</f>
        <v>21300.4</v>
      </c>
      <c r="BO184" s="30">
        <f>'Equity Volume Data'!BR184*'Equity Price Data'!BU185</f>
        <v>24411</v>
      </c>
    </row>
    <row r="185">
      <c r="A185" s="25">
        <f>'Equity Price Data'!A186</f>
        <v>45693.66667</v>
      </c>
      <c r="B185" s="29">
        <f t="shared" si="1"/>
        <v>1345083.62</v>
      </c>
      <c r="C185" s="30">
        <f>'Equity Volume Data'!F185*'Equity Price Data'!I186</f>
        <v>5689.19</v>
      </c>
      <c r="D185" s="30">
        <f>'Equity Volume Data'!G185*'Equity Price Data'!J186</f>
        <v>61404.2</v>
      </c>
      <c r="E185" s="30">
        <f>'Equity Volume Data'!H185*'Equity Price Data'!K186</f>
        <v>13597.1</v>
      </c>
      <c r="F185" s="30">
        <f>'Equity Volume Data'!I185*'Equity Price Data'!L186</f>
        <v>59512.32</v>
      </c>
      <c r="G185" s="30">
        <f>'Equity Volume Data'!J185*'Equity Price Data'!M186</f>
        <v>14995.61</v>
      </c>
      <c r="H185" s="30">
        <f>'Equity Volume Data'!K185*'Equity Price Data'!N186</f>
        <v>16119.12</v>
      </c>
      <c r="I185" s="30">
        <f>'Equity Volume Data'!L185*'Equity Price Data'!O186</f>
        <v>14860</v>
      </c>
      <c r="J185" s="30">
        <f>'Equity Volume Data'!M185*'Equity Price Data'!P186</f>
        <v>48320.46</v>
      </c>
      <c r="K185" s="30">
        <f>'Equity Volume Data'!N185*'Equity Price Data'!Q186</f>
        <v>10010</v>
      </c>
      <c r="L185" s="30">
        <f>'Equity Volume Data'!O185*'Equity Price Data'!R186</f>
        <v>17609.13</v>
      </c>
      <c r="M185" s="30">
        <f>'Equity Volume Data'!P185*'Equity Price Data'!S186</f>
        <v>0</v>
      </c>
      <c r="N185" s="30">
        <f>'Equity Volume Data'!Q185*'Equity Price Data'!T186</f>
        <v>5164.8</v>
      </c>
      <c r="O185" s="30">
        <f>'Equity Volume Data'!R185*'Equity Price Data'!U186</f>
        <v>53827.5</v>
      </c>
      <c r="P185" s="30">
        <f>'Equity Volume Data'!S185*'Equity Price Data'!V186</f>
        <v>20995.95</v>
      </c>
      <c r="Q185" s="30">
        <f>'Equity Volume Data'!T185*'Equity Price Data'!W186</f>
        <v>26038.8</v>
      </c>
      <c r="R185" s="30">
        <f>'Equity Volume Data'!U185*'Equity Price Data'!X186</f>
        <v>12239.2</v>
      </c>
      <c r="S185" s="30">
        <f>'Equity Volume Data'!V185*'Equity Price Data'!Y186</f>
        <v>25811.28</v>
      </c>
      <c r="T185" s="30">
        <f>'Equity Volume Data'!W185*'Equity Price Data'!Z186</f>
        <v>11912.5</v>
      </c>
      <c r="U185" s="30">
        <f>'Equity Volume Data'!X185*'Equity Price Data'!AA186</f>
        <v>16663.68</v>
      </c>
      <c r="V185" s="30">
        <f>'Equity Volume Data'!Y185*'Equity Price Data'!AB186</f>
        <v>15486.59</v>
      </c>
      <c r="W185" s="30">
        <f>'Equity Volume Data'!Z185*'Equity Price Data'!AC186</f>
        <v>11536.11</v>
      </c>
      <c r="X185" s="30">
        <f>'Equity Volume Data'!AA185*'Equity Price Data'!AD186</f>
        <v>0</v>
      </c>
      <c r="Y185" s="30">
        <f>'Equity Volume Data'!AB185*'Equity Price Data'!AE186</f>
        <v>5911.75</v>
      </c>
      <c r="Z185" s="30">
        <f>'Equity Volume Data'!AC185*'Equity Price Data'!AF186</f>
        <v>10108.5</v>
      </c>
      <c r="AA185" s="30">
        <f>'Equity Volume Data'!AD185*'Equity Price Data'!AG186</f>
        <v>18679.6</v>
      </c>
      <c r="AB185" s="30">
        <f>'Equity Volume Data'!AE185*'Equity Price Data'!AH186</f>
        <v>15144.6</v>
      </c>
      <c r="AC185" s="30">
        <f>'Equity Volume Data'!AF185*'Equity Price Data'!AI186</f>
        <v>18567.6</v>
      </c>
      <c r="AD185" s="30">
        <f>'Equity Volume Data'!AG185*'Equity Price Data'!AJ186</f>
        <v>11636.1</v>
      </c>
      <c r="AE185" s="30">
        <f>'Equity Volume Data'!AH185*'Equity Price Data'!AK186</f>
        <v>0</v>
      </c>
      <c r="AF185" s="30">
        <f>'Equity Volume Data'!AI185*'Equity Price Data'!AL186</f>
        <v>20428.25</v>
      </c>
      <c r="AG185" s="30">
        <f>'Equity Volume Data'!AJ185*'Equity Price Data'!AM186</f>
        <v>38727</v>
      </c>
      <c r="AH185" s="30">
        <f>'Equity Volume Data'!AK185*'Equity Price Data'!AN186</f>
        <v>41382</v>
      </c>
      <c r="AI185" s="30">
        <f>'Equity Volume Data'!AL185*'Equity Price Data'!AO186</f>
        <v>22079.75</v>
      </c>
      <c r="AJ185" s="30">
        <f>'Equity Volume Data'!AM185*'Equity Price Data'!AP186</f>
        <v>20891</v>
      </c>
      <c r="AK185" s="30">
        <f>'Equity Volume Data'!AN185*'Equity Price Data'!AQ186</f>
        <v>27772.3</v>
      </c>
      <c r="AL185" s="30">
        <f>'Equity Volume Data'!AO185*'Equity Price Data'!AR186</f>
        <v>43268.8</v>
      </c>
      <c r="AM185" s="30">
        <f>'Equity Volume Data'!AP185*'Equity Price Data'!AS186</f>
        <v>31490.9</v>
      </c>
      <c r="AN185" s="30">
        <f>'Equity Volume Data'!AQ185*'Equity Price Data'!AT186</f>
        <v>14448</v>
      </c>
      <c r="AO185" s="30">
        <f>'Equity Volume Data'!AR185*'Equity Price Data'!AU186</f>
        <v>25508.98</v>
      </c>
      <c r="AP185" s="30">
        <f>'Equity Volume Data'!AS185*'Equity Price Data'!AV186</f>
        <v>22922.5</v>
      </c>
      <c r="AQ185" s="30">
        <f>'Equity Volume Data'!AT185*'Equity Price Data'!AW186</f>
        <v>18700</v>
      </c>
      <c r="AR185" s="30">
        <f>'Equity Volume Data'!AU185*'Equity Price Data'!AX186</f>
        <v>0</v>
      </c>
      <c r="AS185" s="30">
        <f>'Equity Volume Data'!AV185*'Equity Price Data'!AY186</f>
        <v>49594.8</v>
      </c>
      <c r="AT185" s="30">
        <f>'Equity Volume Data'!AW185*'Equity Price Data'!AZ186</f>
        <v>13840</v>
      </c>
      <c r="AU185" s="30">
        <f>'Equity Volume Data'!AX185*'Equity Price Data'!BA186</f>
        <v>0</v>
      </c>
      <c r="AV185" s="30">
        <f>'Equity Volume Data'!AY185*'Equity Price Data'!BB186</f>
        <v>17725.86</v>
      </c>
      <c r="AW185" s="30">
        <f>'Equity Volume Data'!AZ185*'Equity Price Data'!BC186</f>
        <v>3782</v>
      </c>
      <c r="AX185" s="30">
        <f>'Equity Volume Data'!BA185*'Equity Price Data'!BD186</f>
        <v>4723.2</v>
      </c>
      <c r="AY185" s="30">
        <f>'Equity Volume Data'!BB185*'Equity Price Data'!BE186</f>
        <v>40746.72</v>
      </c>
      <c r="AZ185" s="30">
        <f>'Equity Volume Data'!BC185*'Equity Price Data'!BF186</f>
        <v>11880</v>
      </c>
      <c r="BA185" s="30">
        <f>'Equity Volume Data'!BD185*'Equity Price Data'!BG186</f>
        <v>5023.6</v>
      </c>
      <c r="BB185" s="30">
        <f>'Equity Volume Data'!BE185*'Equity Price Data'!BH186</f>
        <v>10332.8</v>
      </c>
      <c r="BC185" s="30">
        <f>'Equity Volume Data'!BF185*'Equity Price Data'!BI186</f>
        <v>0</v>
      </c>
      <c r="BD185" s="30">
        <f>'Equity Volume Data'!BG185*'Equity Price Data'!BJ186</f>
        <v>51637.59</v>
      </c>
      <c r="BE185" s="30">
        <f>'Equity Volume Data'!BH185*'Equity Price Data'!BK186</f>
        <v>13394.74</v>
      </c>
      <c r="BF185" s="30">
        <f>'Equity Volume Data'!BI185*'Equity Price Data'!BL186</f>
        <v>7814</v>
      </c>
      <c r="BG185" s="30">
        <f>'Equity Volume Data'!BJ185*'Equity Price Data'!BM186</f>
        <v>20730.46</v>
      </c>
      <c r="BH185" s="30">
        <f>'Equity Volume Data'!BK185*'Equity Price Data'!BN186</f>
        <v>0</v>
      </c>
      <c r="BI185" s="30">
        <f>'Equity Volume Data'!BL185*'Equity Price Data'!BO186</f>
        <v>39116.8</v>
      </c>
      <c r="BJ185" s="30">
        <f>'Equity Volume Data'!BM185*'Equity Price Data'!BP186</f>
        <v>40485.75</v>
      </c>
      <c r="BK185" s="30">
        <f>'Equity Volume Data'!BN185*'Equity Price Data'!BQ186</f>
        <v>88298</v>
      </c>
      <c r="BL185" s="30">
        <f>'Equity Volume Data'!BO185*'Equity Price Data'!BR186</f>
        <v>514.65</v>
      </c>
      <c r="BM185" s="30">
        <f>'Equity Volume Data'!BP185*'Equity Price Data'!BS186</f>
        <v>10788.96</v>
      </c>
      <c r="BN185" s="30">
        <f>'Equity Volume Data'!BQ185*'Equity Price Data'!BT186</f>
        <v>20781.52</v>
      </c>
      <c r="BO185" s="30">
        <f>'Equity Volume Data'!BR185*'Equity Price Data'!BU186</f>
        <v>24411</v>
      </c>
    </row>
    <row r="186">
      <c r="A186" s="25">
        <f>'Equity Price Data'!A187</f>
        <v>45694.66667</v>
      </c>
      <c r="B186" s="29">
        <f t="shared" si="1"/>
        <v>1352488.87</v>
      </c>
      <c r="C186" s="30">
        <f>'Equity Volume Data'!F186*'Equity Price Data'!I187</f>
        <v>5660.2</v>
      </c>
      <c r="D186" s="30">
        <f>'Equity Volume Data'!G186*'Equity Price Data'!J187</f>
        <v>62095.8</v>
      </c>
      <c r="E186" s="30">
        <f>'Equity Volume Data'!H186*'Equity Price Data'!K187</f>
        <v>13637.8</v>
      </c>
      <c r="F186" s="30">
        <f>'Equity Volume Data'!I186*'Equity Price Data'!L187</f>
        <v>59704.32</v>
      </c>
      <c r="G186" s="30">
        <f>'Equity Volume Data'!J186*'Equity Price Data'!M187</f>
        <v>15172.4</v>
      </c>
      <c r="H186" s="30">
        <f>'Equity Volume Data'!K186*'Equity Price Data'!N187</f>
        <v>16243.2</v>
      </c>
      <c r="I186" s="30">
        <f>'Equity Volume Data'!L186*'Equity Price Data'!O187</f>
        <v>15270</v>
      </c>
      <c r="J186" s="30">
        <f>'Equity Volume Data'!M186*'Equity Price Data'!P187</f>
        <v>48676.44</v>
      </c>
      <c r="K186" s="30">
        <f>'Equity Volume Data'!N186*'Equity Price Data'!Q187</f>
        <v>10138</v>
      </c>
      <c r="L186" s="30">
        <f>'Equity Volume Data'!O186*'Equity Price Data'!R187</f>
        <v>17226.77</v>
      </c>
      <c r="M186" s="30">
        <f>'Equity Volume Data'!P186*'Equity Price Data'!S187</f>
        <v>0</v>
      </c>
      <c r="N186" s="30">
        <f>'Equity Volume Data'!Q186*'Equity Price Data'!T187</f>
        <v>5216.8</v>
      </c>
      <c r="O186" s="30">
        <f>'Equity Volume Data'!R186*'Equity Price Data'!U187</f>
        <v>54817.5</v>
      </c>
      <c r="P186" s="30">
        <f>'Equity Volume Data'!S186*'Equity Price Data'!V187</f>
        <v>20307.9</v>
      </c>
      <c r="Q186" s="30">
        <f>'Equity Volume Data'!T186*'Equity Price Data'!W187</f>
        <v>25492.8</v>
      </c>
      <c r="R186" s="30">
        <f>'Equity Volume Data'!U186*'Equity Price Data'!X187</f>
        <v>12152</v>
      </c>
      <c r="S186" s="30">
        <f>'Equity Volume Data'!V186*'Equity Price Data'!Y187</f>
        <v>25276.24</v>
      </c>
      <c r="T186" s="30">
        <f>'Equity Volume Data'!W186*'Equity Price Data'!Z187</f>
        <v>12080</v>
      </c>
      <c r="U186" s="30">
        <f>'Equity Volume Data'!X186*'Equity Price Data'!AA187</f>
        <v>16727.04</v>
      </c>
      <c r="V186" s="30">
        <f>'Equity Volume Data'!Y186*'Equity Price Data'!AB187</f>
        <v>15362.62</v>
      </c>
      <c r="W186" s="30">
        <f>'Equity Volume Data'!Z186*'Equity Price Data'!AC187</f>
        <v>11599.59</v>
      </c>
      <c r="X186" s="30">
        <f>'Equity Volume Data'!AA186*'Equity Price Data'!AD187</f>
        <v>0</v>
      </c>
      <c r="Y186" s="30">
        <f>'Equity Volume Data'!AB186*'Equity Price Data'!AE187</f>
        <v>6117.28</v>
      </c>
      <c r="Z186" s="30">
        <f>'Equity Volume Data'!AC186*'Equity Price Data'!AF187</f>
        <v>10125</v>
      </c>
      <c r="AA186" s="30">
        <f>'Equity Volume Data'!AD186*'Equity Price Data'!AG187</f>
        <v>18433.1</v>
      </c>
      <c r="AB186" s="30">
        <f>'Equity Volume Data'!AE186*'Equity Price Data'!AH187</f>
        <v>15526.2</v>
      </c>
      <c r="AC186" s="30">
        <f>'Equity Volume Data'!AF186*'Equity Price Data'!AI187</f>
        <v>18462.4</v>
      </c>
      <c r="AD186" s="30">
        <f>'Equity Volume Data'!AG186*'Equity Price Data'!AJ187</f>
        <v>11498.85</v>
      </c>
      <c r="AE186" s="30">
        <f>'Equity Volume Data'!AH186*'Equity Price Data'!AK187</f>
        <v>0</v>
      </c>
      <c r="AF186" s="30">
        <f>'Equity Volume Data'!AI186*'Equity Price Data'!AL187</f>
        <v>20098.2</v>
      </c>
      <c r="AG186" s="30">
        <f>'Equity Volume Data'!AJ186*'Equity Price Data'!AM187</f>
        <v>39493.2</v>
      </c>
      <c r="AH186" s="30">
        <f>'Equity Volume Data'!AK186*'Equity Price Data'!AN187</f>
        <v>41416</v>
      </c>
      <c r="AI186" s="30">
        <f>'Equity Volume Data'!AL186*'Equity Price Data'!AO187</f>
        <v>22149.75</v>
      </c>
      <c r="AJ186" s="30">
        <f>'Equity Volume Data'!AM186*'Equity Price Data'!AP187</f>
        <v>21798.4</v>
      </c>
      <c r="AK186" s="30">
        <f>'Equity Volume Data'!AN186*'Equity Price Data'!AQ187</f>
        <v>27659.5</v>
      </c>
      <c r="AL186" s="30">
        <f>'Equity Volume Data'!AO186*'Equity Price Data'!AR187</f>
        <v>44304</v>
      </c>
      <c r="AM186" s="30">
        <f>'Equity Volume Data'!AP186*'Equity Price Data'!AS187</f>
        <v>31396.4</v>
      </c>
      <c r="AN186" s="30">
        <f>'Equity Volume Data'!AQ186*'Equity Price Data'!AT187</f>
        <v>14414.05</v>
      </c>
      <c r="AO186" s="30">
        <f>'Equity Volume Data'!AR186*'Equity Price Data'!AU187</f>
        <v>25628.54</v>
      </c>
      <c r="AP186" s="30">
        <f>'Equity Volume Data'!AS186*'Equity Price Data'!AV187</f>
        <v>22705</v>
      </c>
      <c r="AQ186" s="30">
        <f>'Equity Volume Data'!AT186*'Equity Price Data'!AW187</f>
        <v>18407.4</v>
      </c>
      <c r="AR186" s="30">
        <f>'Equity Volume Data'!AU186*'Equity Price Data'!AX187</f>
        <v>0</v>
      </c>
      <c r="AS186" s="30">
        <f>'Equity Volume Data'!AV186*'Equity Price Data'!AY187</f>
        <v>49898.4</v>
      </c>
      <c r="AT186" s="30">
        <f>'Equity Volume Data'!AW186*'Equity Price Data'!AZ187</f>
        <v>13854</v>
      </c>
      <c r="AU186" s="30">
        <f>'Equity Volume Data'!AX186*'Equity Price Data'!BA187</f>
        <v>0</v>
      </c>
      <c r="AV186" s="30">
        <f>'Equity Volume Data'!AY186*'Equity Price Data'!BB187</f>
        <v>18272.56</v>
      </c>
      <c r="AW186" s="30">
        <f>'Equity Volume Data'!AZ186*'Equity Price Data'!BC187</f>
        <v>3842</v>
      </c>
      <c r="AX186" s="30">
        <f>'Equity Volume Data'!BA186*'Equity Price Data'!BD187</f>
        <v>4777.6</v>
      </c>
      <c r="AY186" s="30">
        <f>'Equity Volume Data'!BB186*'Equity Price Data'!BE187</f>
        <v>44734.56</v>
      </c>
      <c r="AZ186" s="30">
        <f>'Equity Volume Data'!BC186*'Equity Price Data'!BF187</f>
        <v>11785.5</v>
      </c>
      <c r="BA186" s="30">
        <f>'Equity Volume Data'!BD186*'Equity Price Data'!BG187</f>
        <v>4907.7</v>
      </c>
      <c r="BB186" s="30">
        <f>'Equity Volume Data'!BE186*'Equity Price Data'!BH187</f>
        <v>10302.4</v>
      </c>
      <c r="BC186" s="30">
        <f>'Equity Volume Data'!BF186*'Equity Price Data'!BI187</f>
        <v>0</v>
      </c>
      <c r="BD186" s="30">
        <f>'Equity Volume Data'!BG186*'Equity Price Data'!BJ187</f>
        <v>52647.21</v>
      </c>
      <c r="BE186" s="30">
        <f>'Equity Volume Data'!BH186*'Equity Price Data'!BK187</f>
        <v>13172.33</v>
      </c>
      <c r="BF186" s="30">
        <f>'Equity Volume Data'!BI186*'Equity Price Data'!BL187</f>
        <v>7620</v>
      </c>
      <c r="BG186" s="30">
        <f>'Equity Volume Data'!BJ186*'Equity Price Data'!BM187</f>
        <v>20433</v>
      </c>
      <c r="BH186" s="30">
        <f>'Equity Volume Data'!BK186*'Equity Price Data'!BN187</f>
        <v>0</v>
      </c>
      <c r="BI186" s="30">
        <f>'Equity Volume Data'!BL186*'Equity Price Data'!BO187</f>
        <v>38961.6</v>
      </c>
      <c r="BJ186" s="30">
        <f>'Equity Volume Data'!BM186*'Equity Price Data'!BP187</f>
        <v>39753</v>
      </c>
      <c r="BK186" s="30">
        <f>'Equity Volume Data'!BN186*'Equity Price Data'!BQ187</f>
        <v>88243.94</v>
      </c>
      <c r="BL186" s="30">
        <f>'Equity Volume Data'!BO186*'Equity Price Data'!BR187</f>
        <v>512.3</v>
      </c>
      <c r="BM186" s="30">
        <f>'Equity Volume Data'!BP186*'Equity Price Data'!BS187</f>
        <v>10796.16</v>
      </c>
      <c r="BN186" s="30">
        <f>'Equity Volume Data'!BQ186*'Equity Price Data'!BT187</f>
        <v>21072.92</v>
      </c>
      <c r="BO186" s="30">
        <f>'Equity Volume Data'!BR186*'Equity Price Data'!BU187</f>
        <v>24411</v>
      </c>
    </row>
    <row r="187">
      <c r="A187" s="25">
        <f>'Equity Price Data'!A188</f>
        <v>45695.66667</v>
      </c>
      <c r="B187" s="29">
        <f t="shared" si="1"/>
        <v>1340949.02</v>
      </c>
      <c r="C187" s="30">
        <f>'Equity Volume Data'!F187*'Equity Price Data'!I188</f>
        <v>5629.91</v>
      </c>
      <c r="D187" s="30">
        <f>'Equity Volume Data'!G187*'Equity Price Data'!J188</f>
        <v>59579</v>
      </c>
      <c r="E187" s="30">
        <f>'Equity Volume Data'!H187*'Equity Price Data'!K188</f>
        <v>13473.9</v>
      </c>
      <c r="F187" s="30">
        <f>'Equity Volume Data'!I187*'Equity Price Data'!L188</f>
        <v>58273.28</v>
      </c>
      <c r="G187" s="30">
        <f>'Equity Volume Data'!J187*'Equity Price Data'!M188</f>
        <v>14940</v>
      </c>
      <c r="H187" s="30">
        <f>'Equity Volume Data'!K187*'Equity Price Data'!N188</f>
        <v>16196.2</v>
      </c>
      <c r="I187" s="30">
        <f>'Equity Volume Data'!L187*'Equity Price Data'!O188</f>
        <v>15070</v>
      </c>
      <c r="J187" s="30">
        <f>'Equity Volume Data'!M187*'Equity Price Data'!P188</f>
        <v>48219.48</v>
      </c>
      <c r="K187" s="30">
        <f>'Equity Volume Data'!N187*'Equity Price Data'!Q188</f>
        <v>10070</v>
      </c>
      <c r="L187" s="30">
        <f>'Equity Volume Data'!O187*'Equity Price Data'!R188</f>
        <v>17103.35</v>
      </c>
      <c r="M187" s="30">
        <f>'Equity Volume Data'!P187*'Equity Price Data'!S188</f>
        <v>0</v>
      </c>
      <c r="N187" s="30">
        <f>'Equity Volume Data'!Q187*'Equity Price Data'!T188</f>
        <v>5133.6</v>
      </c>
      <c r="O187" s="30">
        <f>'Equity Volume Data'!R187*'Equity Price Data'!U188</f>
        <v>54582</v>
      </c>
      <c r="P187" s="30">
        <f>'Equity Volume Data'!S187*'Equity Price Data'!V188</f>
        <v>20820.81</v>
      </c>
      <c r="Q187" s="30">
        <f>'Equity Volume Data'!T187*'Equity Price Data'!W188</f>
        <v>25468.8</v>
      </c>
      <c r="R187" s="30">
        <f>'Equity Volume Data'!U187*'Equity Price Data'!X188</f>
        <v>12209.6</v>
      </c>
      <c r="S187" s="30">
        <f>'Equity Volume Data'!V187*'Equity Price Data'!Y188</f>
        <v>25230.48</v>
      </c>
      <c r="T187" s="30">
        <f>'Equity Volume Data'!W187*'Equity Price Data'!Z188</f>
        <v>11982.5</v>
      </c>
      <c r="U187" s="30">
        <f>'Equity Volume Data'!X187*'Equity Price Data'!AA188</f>
        <v>16853.76</v>
      </c>
      <c r="V187" s="30">
        <f>'Equity Volume Data'!Y187*'Equity Price Data'!AB188</f>
        <v>15468.88</v>
      </c>
      <c r="W187" s="30">
        <f>'Equity Volume Data'!Z187*'Equity Price Data'!AC188</f>
        <v>11596.83</v>
      </c>
      <c r="X187" s="30">
        <f>'Equity Volume Data'!AA187*'Equity Price Data'!AD188</f>
        <v>0</v>
      </c>
      <c r="Y187" s="30">
        <f>'Equity Volume Data'!AB187*'Equity Price Data'!AE188</f>
        <v>6067.62</v>
      </c>
      <c r="Z187" s="30">
        <f>'Equity Volume Data'!AC187*'Equity Price Data'!AF188</f>
        <v>10174.5</v>
      </c>
      <c r="AA187" s="30">
        <f>'Equity Volume Data'!AD187*'Equity Price Data'!AG188</f>
        <v>18511.3</v>
      </c>
      <c r="AB187" s="30">
        <f>'Equity Volume Data'!AE187*'Equity Price Data'!AH188</f>
        <v>15364.8</v>
      </c>
      <c r="AC187" s="30">
        <f>'Equity Volume Data'!AF187*'Equity Price Data'!AI188</f>
        <v>17857.6</v>
      </c>
      <c r="AD187" s="30">
        <f>'Equity Volume Data'!AG187*'Equity Price Data'!AJ188</f>
        <v>11467.35</v>
      </c>
      <c r="AE187" s="30">
        <f>'Equity Volume Data'!AH187*'Equity Price Data'!AK188</f>
        <v>0</v>
      </c>
      <c r="AF187" s="30">
        <f>'Equity Volume Data'!AI187*'Equity Price Data'!AL188</f>
        <v>19688.2</v>
      </c>
      <c r="AG187" s="30">
        <f>'Equity Volume Data'!AJ187*'Equity Price Data'!AM188</f>
        <v>39354</v>
      </c>
      <c r="AH187" s="30">
        <f>'Equity Volume Data'!AK187*'Equity Price Data'!AN188</f>
        <v>40737</v>
      </c>
      <c r="AI187" s="30">
        <f>'Equity Volume Data'!AL187*'Equity Price Data'!AO188</f>
        <v>21927.5</v>
      </c>
      <c r="AJ187" s="30">
        <f>'Equity Volume Data'!AM187*'Equity Price Data'!AP188</f>
        <v>21687.9</v>
      </c>
      <c r="AK187" s="30">
        <f>'Equity Volume Data'!AN187*'Equity Price Data'!AQ188</f>
        <v>27400.06</v>
      </c>
      <c r="AL187" s="30">
        <f>'Equity Volume Data'!AO187*'Equity Price Data'!AR188</f>
        <v>44128</v>
      </c>
      <c r="AM187" s="30">
        <f>'Equity Volume Data'!AP187*'Equity Price Data'!AS188</f>
        <v>31107.3</v>
      </c>
      <c r="AN187" s="30">
        <f>'Equity Volume Data'!AQ187*'Equity Price Data'!AT188</f>
        <v>13933.5</v>
      </c>
      <c r="AO187" s="30">
        <f>'Equity Volume Data'!AR187*'Equity Price Data'!AU188</f>
        <v>25739.56</v>
      </c>
      <c r="AP187" s="30">
        <f>'Equity Volume Data'!AS187*'Equity Price Data'!AV188</f>
        <v>22502.5</v>
      </c>
      <c r="AQ187" s="30">
        <f>'Equity Volume Data'!AT187*'Equity Price Data'!AW188</f>
        <v>18462.4</v>
      </c>
      <c r="AR187" s="30">
        <f>'Equity Volume Data'!AU187*'Equity Price Data'!AX188</f>
        <v>0</v>
      </c>
      <c r="AS187" s="30">
        <f>'Equity Volume Data'!AV187*'Equity Price Data'!AY188</f>
        <v>49170</v>
      </c>
      <c r="AT187" s="30">
        <f>'Equity Volume Data'!AW187*'Equity Price Data'!AZ188</f>
        <v>13654</v>
      </c>
      <c r="AU187" s="30">
        <f>'Equity Volume Data'!AX187*'Equity Price Data'!BA188</f>
        <v>0</v>
      </c>
      <c r="AV187" s="30">
        <f>'Equity Volume Data'!AY187*'Equity Price Data'!BB188</f>
        <v>18437.28</v>
      </c>
      <c r="AW187" s="30">
        <f>'Equity Volume Data'!AZ187*'Equity Price Data'!BC188</f>
        <v>3793.2</v>
      </c>
      <c r="AX187" s="30">
        <f>'Equity Volume Data'!BA187*'Equity Price Data'!BD188</f>
        <v>4512.8</v>
      </c>
      <c r="AY187" s="30">
        <f>'Equity Volume Data'!BB187*'Equity Price Data'!BE188</f>
        <v>44561.7</v>
      </c>
      <c r="AZ187" s="30">
        <f>'Equity Volume Data'!BC187*'Equity Price Data'!BF188</f>
        <v>11596.5</v>
      </c>
      <c r="BA187" s="30">
        <f>'Equity Volume Data'!BD187*'Equity Price Data'!BG188</f>
        <v>4890.6</v>
      </c>
      <c r="BB187" s="30">
        <f>'Equity Volume Data'!BE187*'Equity Price Data'!BH188</f>
        <v>10236</v>
      </c>
      <c r="BC187" s="30">
        <f>'Equity Volume Data'!BF187*'Equity Price Data'!BI188</f>
        <v>0</v>
      </c>
      <c r="BD187" s="30">
        <f>'Equity Volume Data'!BG187*'Equity Price Data'!BJ188</f>
        <v>52449.12</v>
      </c>
      <c r="BE187" s="30">
        <f>'Equity Volume Data'!BH187*'Equity Price Data'!BK188</f>
        <v>13143.81</v>
      </c>
      <c r="BF187" s="30">
        <f>'Equity Volume Data'!BI187*'Equity Price Data'!BL188</f>
        <v>7359.2</v>
      </c>
      <c r="BG187" s="30">
        <f>'Equity Volume Data'!BJ187*'Equity Price Data'!BM188</f>
        <v>20182.8</v>
      </c>
      <c r="BH187" s="30">
        <f>'Equity Volume Data'!BK187*'Equity Price Data'!BN188</f>
        <v>0</v>
      </c>
      <c r="BI187" s="30">
        <f>'Equity Volume Data'!BL187*'Equity Price Data'!BO188</f>
        <v>38732.8</v>
      </c>
      <c r="BJ187" s="30">
        <f>'Equity Volume Data'!BM187*'Equity Price Data'!BP188</f>
        <v>39527.25</v>
      </c>
      <c r="BK187" s="30">
        <f>'Equity Volume Data'!BN187*'Equity Price Data'!BQ188</f>
        <v>88135.82</v>
      </c>
      <c r="BL187" s="30">
        <f>'Equity Volume Data'!BO187*'Equity Price Data'!BR188</f>
        <v>504.31</v>
      </c>
      <c r="BM187" s="30">
        <f>'Equity Volume Data'!BP187*'Equity Price Data'!BS188</f>
        <v>10795.68</v>
      </c>
      <c r="BN187" s="30">
        <f>'Equity Volume Data'!BQ187*'Equity Price Data'!BT188</f>
        <v>20841.68</v>
      </c>
      <c r="BO187" s="30">
        <f>'Equity Volume Data'!BR187*'Equity Price Data'!BU188</f>
        <v>24411</v>
      </c>
    </row>
    <row r="188">
      <c r="A188" s="25">
        <f>'Equity Price Data'!A189</f>
        <v>45698.66667</v>
      </c>
      <c r="B188" s="29">
        <f t="shared" si="1"/>
        <v>1350416.44</v>
      </c>
      <c r="C188" s="30">
        <f>'Equity Volume Data'!F188*'Equity Price Data'!I189</f>
        <v>5864.3</v>
      </c>
      <c r="D188" s="30">
        <f>'Equity Volume Data'!G188*'Equity Price Data'!J189</f>
        <v>60616.4</v>
      </c>
      <c r="E188" s="30">
        <f>'Equity Volume Data'!H188*'Equity Price Data'!K189</f>
        <v>13542.1</v>
      </c>
      <c r="F188" s="30">
        <f>'Equity Volume Data'!I188*'Equity Price Data'!L189</f>
        <v>58278.4</v>
      </c>
      <c r="G188" s="30">
        <f>'Equity Volume Data'!J188*'Equity Price Data'!M189</f>
        <v>15243.78</v>
      </c>
      <c r="H188" s="30">
        <f>'Equity Volume Data'!K188*'Equity Price Data'!N189</f>
        <v>15985.64</v>
      </c>
      <c r="I188" s="30">
        <f>'Equity Volume Data'!L188*'Equity Price Data'!O189</f>
        <v>14980</v>
      </c>
      <c r="J188" s="30">
        <f>'Equity Volume Data'!M188*'Equity Price Data'!P189</f>
        <v>47957.34</v>
      </c>
      <c r="K188" s="30">
        <f>'Equity Volume Data'!N188*'Equity Price Data'!Q189</f>
        <v>10164</v>
      </c>
      <c r="L188" s="30">
        <f>'Equity Volume Data'!O188*'Equity Price Data'!R189</f>
        <v>17247.34</v>
      </c>
      <c r="M188" s="30">
        <f>'Equity Volume Data'!P188*'Equity Price Data'!S189</f>
        <v>0</v>
      </c>
      <c r="N188" s="30">
        <f>'Equity Volume Data'!Q188*'Equity Price Data'!T189</f>
        <v>5298.4</v>
      </c>
      <c r="O188" s="30">
        <f>'Equity Volume Data'!R188*'Equity Price Data'!U189</f>
        <v>54483</v>
      </c>
      <c r="P188" s="30">
        <f>'Equity Volume Data'!S188*'Equity Price Data'!V189</f>
        <v>21000.12</v>
      </c>
      <c r="Q188" s="30">
        <f>'Equity Volume Data'!T188*'Equity Price Data'!W189</f>
        <v>25800</v>
      </c>
      <c r="R188" s="30">
        <f>'Equity Volume Data'!U188*'Equity Price Data'!X189</f>
        <v>12461.6</v>
      </c>
      <c r="S188" s="30">
        <f>'Equity Volume Data'!V188*'Equity Price Data'!Y189</f>
        <v>25768.16</v>
      </c>
      <c r="T188" s="30">
        <f>'Equity Volume Data'!W188*'Equity Price Data'!Z189</f>
        <v>11840</v>
      </c>
      <c r="U188" s="30">
        <f>'Equity Volume Data'!X188*'Equity Price Data'!AA189</f>
        <v>17041.2</v>
      </c>
      <c r="V188" s="30">
        <f>'Equity Volume Data'!Y188*'Equity Price Data'!AB189</f>
        <v>15568.7</v>
      </c>
      <c r="W188" s="30">
        <f>'Equity Volume Data'!Z188*'Equity Price Data'!AC189</f>
        <v>11480.91</v>
      </c>
      <c r="X188" s="30">
        <f>'Equity Volume Data'!AA188*'Equity Price Data'!AD189</f>
        <v>0</v>
      </c>
      <c r="Y188" s="30">
        <f>'Equity Volume Data'!AB188*'Equity Price Data'!AE189</f>
        <v>6174.22</v>
      </c>
      <c r="Z188" s="30">
        <f>'Equity Volume Data'!AC188*'Equity Price Data'!AF189</f>
        <v>10239</v>
      </c>
      <c r="AA188" s="30">
        <f>'Equity Volume Data'!AD188*'Equity Price Data'!AG189</f>
        <v>18864.9</v>
      </c>
      <c r="AB188" s="30">
        <f>'Equity Volume Data'!AE188*'Equity Price Data'!AH189</f>
        <v>15493.8</v>
      </c>
      <c r="AC188" s="30">
        <f>'Equity Volume Data'!AF188*'Equity Price Data'!AI189</f>
        <v>18432</v>
      </c>
      <c r="AD188" s="30">
        <f>'Equity Volume Data'!AG188*'Equity Price Data'!AJ189</f>
        <v>11535.3</v>
      </c>
      <c r="AE188" s="30">
        <f>'Equity Volume Data'!AH188*'Equity Price Data'!AK189</f>
        <v>0</v>
      </c>
      <c r="AF188" s="30">
        <f>'Equity Volume Data'!AI188*'Equity Price Data'!AL189</f>
        <v>19573.4</v>
      </c>
      <c r="AG188" s="30">
        <f>'Equity Volume Data'!AJ188*'Equity Price Data'!AM189</f>
        <v>39031.8</v>
      </c>
      <c r="AH188" s="30">
        <f>'Equity Volume Data'!AK188*'Equity Price Data'!AN189</f>
        <v>41399</v>
      </c>
      <c r="AI188" s="30">
        <f>'Equity Volume Data'!AL188*'Equity Price Data'!AO189</f>
        <v>21857.5</v>
      </c>
      <c r="AJ188" s="30">
        <f>'Equity Volume Data'!AM188*'Equity Price Data'!AP189</f>
        <v>21725.6</v>
      </c>
      <c r="AK188" s="30">
        <f>'Equity Volume Data'!AN188*'Equity Price Data'!AQ189</f>
        <v>27997.9</v>
      </c>
      <c r="AL188" s="30">
        <f>'Equity Volume Data'!AO188*'Equity Price Data'!AR189</f>
        <v>43366.4</v>
      </c>
      <c r="AM188" s="30">
        <f>'Equity Volume Data'!AP188*'Equity Price Data'!AS189</f>
        <v>31375.4</v>
      </c>
      <c r="AN188" s="30">
        <f>'Equity Volume Data'!AQ188*'Equity Price Data'!AT189</f>
        <v>13989.85</v>
      </c>
      <c r="AO188" s="30">
        <f>'Equity Volume Data'!AR188*'Equity Price Data'!AU189</f>
        <v>25508.98</v>
      </c>
      <c r="AP188" s="30">
        <f>'Equity Volume Data'!AS188*'Equity Price Data'!AV189</f>
        <v>22710</v>
      </c>
      <c r="AQ188" s="30">
        <f>'Equity Volume Data'!AT188*'Equity Price Data'!AW189</f>
        <v>18277.6</v>
      </c>
      <c r="AR188" s="30">
        <f>'Equity Volume Data'!AU188*'Equity Price Data'!AX189</f>
        <v>0</v>
      </c>
      <c r="AS188" s="30">
        <f>'Equity Volume Data'!AV188*'Equity Price Data'!AY189</f>
        <v>49466.4</v>
      </c>
      <c r="AT188" s="30">
        <f>'Equity Volume Data'!AW188*'Equity Price Data'!AZ189</f>
        <v>13940</v>
      </c>
      <c r="AU188" s="30">
        <f>'Equity Volume Data'!AX188*'Equity Price Data'!BA189</f>
        <v>0</v>
      </c>
      <c r="AV188" s="30">
        <f>'Equity Volume Data'!AY188*'Equity Price Data'!BB189</f>
        <v>18966.94</v>
      </c>
      <c r="AW188" s="30">
        <f>'Equity Volume Data'!AZ188*'Equity Price Data'!BC189</f>
        <v>3842.4</v>
      </c>
      <c r="AX188" s="30">
        <f>'Equity Volume Data'!BA188*'Equity Price Data'!BD189</f>
        <v>4456.8</v>
      </c>
      <c r="AY188" s="30">
        <f>'Equity Volume Data'!BB188*'Equity Price Data'!BE189</f>
        <v>46893.3</v>
      </c>
      <c r="AZ188" s="30">
        <f>'Equity Volume Data'!BC188*'Equity Price Data'!BF189</f>
        <v>11736</v>
      </c>
      <c r="BA188" s="30">
        <f>'Equity Volume Data'!BD188*'Equity Price Data'!BG189</f>
        <v>4915.3</v>
      </c>
      <c r="BB188" s="30">
        <f>'Equity Volume Data'!BE188*'Equity Price Data'!BH189</f>
        <v>10260</v>
      </c>
      <c r="BC188" s="30">
        <f>'Equity Volume Data'!BF188*'Equity Price Data'!BI189</f>
        <v>0</v>
      </c>
      <c r="BD188" s="30">
        <f>'Equity Volume Data'!BG188*'Equity Price Data'!BJ189</f>
        <v>54491.79</v>
      </c>
      <c r="BE188" s="30">
        <f>'Equity Volume Data'!BH188*'Equity Price Data'!BK189</f>
        <v>12715.78</v>
      </c>
      <c r="BF188" s="30">
        <f>'Equity Volume Data'!BI188*'Equity Price Data'!BL189</f>
        <v>7402.4</v>
      </c>
      <c r="BG188" s="30">
        <f>'Equity Volume Data'!BJ188*'Equity Price Data'!BM189</f>
        <v>19526.72</v>
      </c>
      <c r="BH188" s="30">
        <f>'Equity Volume Data'!BK188*'Equity Price Data'!BN189</f>
        <v>0</v>
      </c>
      <c r="BI188" s="30">
        <f>'Equity Volume Data'!BL188*'Equity Price Data'!BO189</f>
        <v>39092.8</v>
      </c>
      <c r="BJ188" s="30">
        <f>'Equity Volume Data'!BM188*'Equity Price Data'!BP189</f>
        <v>40002.75</v>
      </c>
      <c r="BK188" s="30">
        <f>'Equity Volume Data'!BN188*'Equity Price Data'!BQ189</f>
        <v>88225.92</v>
      </c>
      <c r="BL188" s="30">
        <f>'Equity Volume Data'!BO188*'Equity Price Data'!BR189</f>
        <v>499.14</v>
      </c>
      <c r="BM188" s="30">
        <f>'Equity Volume Data'!BP188*'Equity Price Data'!BS189</f>
        <v>10852.32</v>
      </c>
      <c r="BN188" s="30">
        <f>'Equity Volume Data'!BQ188*'Equity Price Data'!BT189</f>
        <v>20544.64</v>
      </c>
      <c r="BO188" s="30">
        <f>'Equity Volume Data'!BR188*'Equity Price Data'!BU189</f>
        <v>24411</v>
      </c>
    </row>
    <row r="189">
      <c r="A189" s="25">
        <f>'Equity Price Data'!A190</f>
        <v>45699.66667</v>
      </c>
      <c r="B189" s="29">
        <f t="shared" si="1"/>
        <v>1353350.13</v>
      </c>
      <c r="C189" s="30">
        <f>'Equity Volume Data'!F189*'Equity Price Data'!I190</f>
        <v>5964.66</v>
      </c>
      <c r="D189" s="30">
        <f>'Equity Volume Data'!G189*'Equity Price Data'!J190</f>
        <v>60517.6</v>
      </c>
      <c r="E189" s="30">
        <f>'Equity Volume Data'!H189*'Equity Price Data'!K190</f>
        <v>13758.8</v>
      </c>
      <c r="F189" s="30">
        <f>'Equity Volume Data'!I189*'Equity Price Data'!L190</f>
        <v>59550.72</v>
      </c>
      <c r="G189" s="30">
        <f>'Equity Volume Data'!J189*'Equity Price Data'!M190</f>
        <v>15205.6</v>
      </c>
      <c r="H189" s="30">
        <f>'Equity Volume Data'!K189*'Equity Price Data'!N190</f>
        <v>16074</v>
      </c>
      <c r="I189" s="30">
        <f>'Equity Volume Data'!L189*'Equity Price Data'!O190</f>
        <v>15230</v>
      </c>
      <c r="J189" s="30">
        <f>'Equity Volume Data'!M189*'Equity Price Data'!P190</f>
        <v>48206.22</v>
      </c>
      <c r="K189" s="30">
        <f>'Equity Volume Data'!N189*'Equity Price Data'!Q190</f>
        <v>10040</v>
      </c>
      <c r="L189" s="30">
        <f>'Equity Volume Data'!O189*'Equity Price Data'!R190</f>
        <v>16866.19</v>
      </c>
      <c r="M189" s="30">
        <f>'Equity Volume Data'!P189*'Equity Price Data'!S190</f>
        <v>0</v>
      </c>
      <c r="N189" s="30">
        <f>'Equity Volume Data'!Q189*'Equity Price Data'!T190</f>
        <v>5212.8</v>
      </c>
      <c r="O189" s="30">
        <f>'Equity Volume Data'!R189*'Equity Price Data'!U190</f>
        <v>54334.5</v>
      </c>
      <c r="P189" s="30">
        <f>'Equity Volume Data'!S189*'Equity Price Data'!V190</f>
        <v>20787.45</v>
      </c>
      <c r="Q189" s="30">
        <f>'Equity Volume Data'!T189*'Equity Price Data'!W190</f>
        <v>26222.4</v>
      </c>
      <c r="R189" s="30">
        <f>'Equity Volume Data'!U189*'Equity Price Data'!X190</f>
        <v>12595.2</v>
      </c>
      <c r="S189" s="30">
        <f>'Equity Volume Data'!V189*'Equity Price Data'!Y190</f>
        <v>25981.12</v>
      </c>
      <c r="T189" s="30">
        <f>'Equity Volume Data'!W189*'Equity Price Data'!Z190</f>
        <v>11792.5</v>
      </c>
      <c r="U189" s="30">
        <f>'Equity Volume Data'!X189*'Equity Price Data'!AA190</f>
        <v>17846.4</v>
      </c>
      <c r="V189" s="30">
        <f>'Equity Volume Data'!Y189*'Equity Price Data'!AB190</f>
        <v>15505.91</v>
      </c>
      <c r="W189" s="30">
        <f>'Equity Volume Data'!Z189*'Equity Price Data'!AC190</f>
        <v>11430.54</v>
      </c>
      <c r="X189" s="30">
        <f>'Equity Volume Data'!AA189*'Equity Price Data'!AD190</f>
        <v>0</v>
      </c>
      <c r="Y189" s="30">
        <f>'Equity Volume Data'!AB189*'Equity Price Data'!AE190</f>
        <v>6162.78</v>
      </c>
      <c r="Z189" s="30">
        <f>'Equity Volume Data'!AC189*'Equity Price Data'!AF190</f>
        <v>10269</v>
      </c>
      <c r="AA189" s="30">
        <f>'Equity Volume Data'!AD189*'Equity Price Data'!AG190</f>
        <v>18983.9</v>
      </c>
      <c r="AB189" s="30">
        <f>'Equity Volume Data'!AE189*'Equity Price Data'!AH190</f>
        <v>15675.6</v>
      </c>
      <c r="AC189" s="30">
        <f>'Equity Volume Data'!AF189*'Equity Price Data'!AI190</f>
        <v>18998.4</v>
      </c>
      <c r="AD189" s="30">
        <f>'Equity Volume Data'!AG189*'Equity Price Data'!AJ190</f>
        <v>11564.55</v>
      </c>
      <c r="AE189" s="30">
        <f>'Equity Volume Data'!AH189*'Equity Price Data'!AK190</f>
        <v>0</v>
      </c>
      <c r="AF189" s="30">
        <f>'Equity Volume Data'!AI189*'Equity Price Data'!AL190</f>
        <v>19708.7</v>
      </c>
      <c r="AG189" s="30">
        <f>'Equity Volume Data'!AJ189*'Equity Price Data'!AM190</f>
        <v>38834.4</v>
      </c>
      <c r="AH189" s="30">
        <f>'Equity Volume Data'!AK189*'Equity Price Data'!AN190</f>
        <v>41636</v>
      </c>
      <c r="AI189" s="30">
        <f>'Equity Volume Data'!AL189*'Equity Price Data'!AO190</f>
        <v>22524.25</v>
      </c>
      <c r="AJ189" s="30">
        <f>'Equity Volume Data'!AM189*'Equity Price Data'!AP190</f>
        <v>21702.2</v>
      </c>
      <c r="AK189" s="30">
        <f>'Equity Volume Data'!AN189*'Equity Price Data'!AQ190</f>
        <v>27807.55</v>
      </c>
      <c r="AL189" s="30">
        <f>'Equity Volume Data'!AO189*'Equity Price Data'!AR190</f>
        <v>43998.4</v>
      </c>
      <c r="AM189" s="30">
        <f>'Equity Volume Data'!AP189*'Equity Price Data'!AS190</f>
        <v>31455.2</v>
      </c>
      <c r="AN189" s="30">
        <f>'Equity Volume Data'!AQ189*'Equity Price Data'!AT190</f>
        <v>13917.05</v>
      </c>
      <c r="AO189" s="30">
        <f>'Equity Volume Data'!AR189*'Equity Price Data'!AU190</f>
        <v>25286.94</v>
      </c>
      <c r="AP189" s="30">
        <f>'Equity Volume Data'!AS189*'Equity Price Data'!AV190</f>
        <v>22800</v>
      </c>
      <c r="AQ189" s="30">
        <f>'Equity Volume Data'!AT189*'Equity Price Data'!AW190</f>
        <v>18297.4</v>
      </c>
      <c r="AR189" s="30">
        <f>'Equity Volume Data'!AU189*'Equity Price Data'!AX190</f>
        <v>0</v>
      </c>
      <c r="AS189" s="30">
        <f>'Equity Volume Data'!AV189*'Equity Price Data'!AY190</f>
        <v>49372.8</v>
      </c>
      <c r="AT189" s="30">
        <f>'Equity Volume Data'!AW189*'Equity Price Data'!AZ190</f>
        <v>14066</v>
      </c>
      <c r="AU189" s="30">
        <f>'Equity Volume Data'!AX189*'Equity Price Data'!BA190</f>
        <v>0</v>
      </c>
      <c r="AV189" s="30">
        <f>'Equity Volume Data'!AY189*'Equity Price Data'!BB190</f>
        <v>18857.6</v>
      </c>
      <c r="AW189" s="30">
        <f>'Equity Volume Data'!AZ189*'Equity Price Data'!BC190</f>
        <v>3867.2</v>
      </c>
      <c r="AX189" s="30">
        <f>'Equity Volume Data'!BA189*'Equity Price Data'!BD190</f>
        <v>4317.6</v>
      </c>
      <c r="AY189" s="30">
        <f>'Equity Volume Data'!BB189*'Equity Price Data'!BE190</f>
        <v>45273.24</v>
      </c>
      <c r="AZ189" s="30">
        <f>'Equity Volume Data'!BC189*'Equity Price Data'!BF190</f>
        <v>11431.5</v>
      </c>
      <c r="BA189" s="30">
        <f>'Equity Volume Data'!BD189*'Equity Price Data'!BG190</f>
        <v>4850.7</v>
      </c>
      <c r="BB189" s="30">
        <f>'Equity Volume Data'!BE189*'Equity Price Data'!BH190</f>
        <v>10328.8</v>
      </c>
      <c r="BC189" s="30">
        <f>'Equity Volume Data'!BF189*'Equity Price Data'!BI190</f>
        <v>0</v>
      </c>
      <c r="BD189" s="30">
        <f>'Equity Volume Data'!BG189*'Equity Price Data'!BJ190</f>
        <v>55103.1</v>
      </c>
      <c r="BE189" s="30">
        <f>'Equity Volume Data'!BH189*'Equity Price Data'!BK190</f>
        <v>12540.29</v>
      </c>
      <c r="BF189" s="30">
        <f>'Equity Volume Data'!BI189*'Equity Price Data'!BL190</f>
        <v>7429.6</v>
      </c>
      <c r="BG189" s="30">
        <f>'Equity Volume Data'!BJ189*'Equity Price Data'!BM190</f>
        <v>18934.58</v>
      </c>
      <c r="BH189" s="30">
        <f>'Equity Volume Data'!BK189*'Equity Price Data'!BN190</f>
        <v>0</v>
      </c>
      <c r="BI189" s="30">
        <f>'Equity Volume Data'!BL189*'Equity Price Data'!BO190</f>
        <v>39636.8</v>
      </c>
      <c r="BJ189" s="30">
        <f>'Equity Volume Data'!BM189*'Equity Price Data'!BP190</f>
        <v>40044</v>
      </c>
      <c r="BK189" s="30">
        <f>'Equity Volume Data'!BN189*'Equity Price Data'!BQ190</f>
        <v>88261.96</v>
      </c>
      <c r="BL189" s="30">
        <f>'Equity Volume Data'!BO189*'Equity Price Data'!BR190</f>
        <v>498.67</v>
      </c>
      <c r="BM189" s="30">
        <f>'Equity Volume Data'!BP189*'Equity Price Data'!BS190</f>
        <v>10884</v>
      </c>
      <c r="BN189" s="30">
        <f>'Equity Volume Data'!BQ189*'Equity Price Data'!BT190</f>
        <v>20495.76</v>
      </c>
      <c r="BO189" s="30">
        <f>'Equity Volume Data'!BR189*'Equity Price Data'!BU190</f>
        <v>24411</v>
      </c>
    </row>
    <row r="190">
      <c r="A190" s="25">
        <f>'Equity Price Data'!A191</f>
        <v>45700.66667</v>
      </c>
      <c r="B190" s="29">
        <f t="shared" si="1"/>
        <v>1349130.4</v>
      </c>
      <c r="C190" s="30">
        <f>'Equity Volume Data'!F190*'Equity Price Data'!I191</f>
        <v>6015.88</v>
      </c>
      <c r="D190" s="30">
        <f>'Equity Volume Data'!G190*'Equity Price Data'!J191</f>
        <v>59521.8</v>
      </c>
      <c r="E190" s="30">
        <f>'Equity Volume Data'!H190*'Equity Price Data'!K191</f>
        <v>13752.2</v>
      </c>
      <c r="F190" s="30">
        <f>'Equity Volume Data'!I190*'Equity Price Data'!L191</f>
        <v>60638.72</v>
      </c>
      <c r="G190" s="30">
        <f>'Equity Volume Data'!J190*'Equity Price Data'!M191</f>
        <v>15013.87</v>
      </c>
      <c r="H190" s="30">
        <f>'Equity Volume Data'!K190*'Equity Price Data'!N191</f>
        <v>16040.16</v>
      </c>
      <c r="I190" s="30">
        <f>'Equity Volume Data'!L190*'Equity Price Data'!O191</f>
        <v>15390</v>
      </c>
      <c r="J190" s="30">
        <f>'Equity Volume Data'!M190*'Equity Price Data'!P191</f>
        <v>48116.46</v>
      </c>
      <c r="K190" s="30">
        <f>'Equity Volume Data'!N190*'Equity Price Data'!Q191</f>
        <v>10132</v>
      </c>
      <c r="L190" s="30">
        <f>'Equity Volume Data'!O190*'Equity Price Data'!R191</f>
        <v>16145.03</v>
      </c>
      <c r="M190" s="30">
        <f>'Equity Volume Data'!P190*'Equity Price Data'!S191</f>
        <v>0</v>
      </c>
      <c r="N190" s="30">
        <f>'Equity Volume Data'!Q190*'Equity Price Data'!T191</f>
        <v>5088</v>
      </c>
      <c r="O190" s="30">
        <f>'Equity Volume Data'!R190*'Equity Price Data'!U191</f>
        <v>52806</v>
      </c>
      <c r="P190" s="30">
        <f>'Equity Volume Data'!S190*'Equity Price Data'!V191</f>
        <v>20695.71</v>
      </c>
      <c r="Q190" s="30">
        <f>'Equity Volume Data'!T190*'Equity Price Data'!W191</f>
        <v>26023.2</v>
      </c>
      <c r="R190" s="30">
        <f>'Equity Volume Data'!U190*'Equity Price Data'!X191</f>
        <v>12392</v>
      </c>
      <c r="S190" s="30">
        <f>'Equity Volume Data'!V190*'Equity Price Data'!Y191</f>
        <v>25756.72</v>
      </c>
      <c r="T190" s="30">
        <f>'Equity Volume Data'!W190*'Equity Price Data'!Z191</f>
        <v>11540</v>
      </c>
      <c r="U190" s="30">
        <f>'Equity Volume Data'!X190*'Equity Price Data'!AA191</f>
        <v>18139.44</v>
      </c>
      <c r="V190" s="30">
        <f>'Equity Volume Data'!Y190*'Equity Price Data'!AB191</f>
        <v>15225.77</v>
      </c>
      <c r="W190" s="30">
        <f>'Equity Volume Data'!Z190*'Equity Price Data'!AC191</f>
        <v>11262.18</v>
      </c>
      <c r="X190" s="30">
        <f>'Equity Volume Data'!AA190*'Equity Price Data'!AD191</f>
        <v>0</v>
      </c>
      <c r="Y190" s="30">
        <f>'Equity Volume Data'!AB190*'Equity Price Data'!AE191</f>
        <v>6129.11</v>
      </c>
      <c r="Z190" s="30">
        <f>'Equity Volume Data'!AC190*'Equity Price Data'!AF191</f>
        <v>10191</v>
      </c>
      <c r="AA190" s="30">
        <f>'Equity Volume Data'!AD190*'Equity Price Data'!AG191</f>
        <v>18249.5</v>
      </c>
      <c r="AB190" s="30">
        <f>'Equity Volume Data'!AE190*'Equity Price Data'!AH191</f>
        <v>15759</v>
      </c>
      <c r="AC190" s="30">
        <f>'Equity Volume Data'!AF190*'Equity Price Data'!AI191</f>
        <v>19302</v>
      </c>
      <c r="AD190" s="30">
        <f>'Equity Volume Data'!AG190*'Equity Price Data'!AJ191</f>
        <v>11309.85</v>
      </c>
      <c r="AE190" s="30">
        <f>'Equity Volume Data'!AH190*'Equity Price Data'!AK191</f>
        <v>0</v>
      </c>
      <c r="AF190" s="30">
        <f>'Equity Volume Data'!AI190*'Equity Price Data'!AL191</f>
        <v>21178.55</v>
      </c>
      <c r="AG190" s="30">
        <f>'Equity Volume Data'!AJ190*'Equity Price Data'!AM191</f>
        <v>38940</v>
      </c>
      <c r="AH190" s="30">
        <f>'Equity Volume Data'!AK190*'Equity Price Data'!AN191</f>
        <v>40714</v>
      </c>
      <c r="AI190" s="30">
        <f>'Equity Volume Data'!AL190*'Equity Price Data'!AO191</f>
        <v>22613.5</v>
      </c>
      <c r="AJ190" s="30">
        <f>'Equity Volume Data'!AM190*'Equity Price Data'!AP191</f>
        <v>21652.8</v>
      </c>
      <c r="AK190" s="30">
        <f>'Equity Volume Data'!AN190*'Equity Price Data'!AQ191</f>
        <v>27711.67</v>
      </c>
      <c r="AL190" s="30">
        <f>'Equity Volume Data'!AO190*'Equity Price Data'!AR191</f>
        <v>44072</v>
      </c>
      <c r="AM190" s="30">
        <f>'Equity Volume Data'!AP190*'Equity Price Data'!AS191</f>
        <v>30937.9</v>
      </c>
      <c r="AN190" s="30">
        <f>'Equity Volume Data'!AQ190*'Equity Price Data'!AT191</f>
        <v>13830.6</v>
      </c>
      <c r="AO190" s="30">
        <f>'Equity Volume Data'!AR190*'Equity Price Data'!AU191</f>
        <v>25278.4</v>
      </c>
      <c r="AP190" s="30">
        <f>'Equity Volume Data'!AS190*'Equity Price Data'!AV191</f>
        <v>22837.5</v>
      </c>
      <c r="AQ190" s="30">
        <f>'Equity Volume Data'!AT190*'Equity Price Data'!AW191</f>
        <v>18200.6</v>
      </c>
      <c r="AR190" s="30">
        <f>'Equity Volume Data'!AU190*'Equity Price Data'!AX191</f>
        <v>0</v>
      </c>
      <c r="AS190" s="30">
        <f>'Equity Volume Data'!AV190*'Equity Price Data'!AY191</f>
        <v>49084.8</v>
      </c>
      <c r="AT190" s="30">
        <f>'Equity Volume Data'!AW190*'Equity Price Data'!AZ191</f>
        <v>13856</v>
      </c>
      <c r="AU190" s="30">
        <f>'Equity Volume Data'!AX190*'Equity Price Data'!BA191</f>
        <v>0</v>
      </c>
      <c r="AV190" s="30">
        <f>'Equity Volume Data'!AY190*'Equity Price Data'!BB191</f>
        <v>18621.88</v>
      </c>
      <c r="AW190" s="30">
        <f>'Equity Volume Data'!AZ190*'Equity Price Data'!BC191</f>
        <v>3869.6</v>
      </c>
      <c r="AX190" s="30">
        <f>'Equity Volume Data'!BA190*'Equity Price Data'!BD191</f>
        <v>4323.2</v>
      </c>
      <c r="AY190" s="30">
        <f>'Equity Volume Data'!BB190*'Equity Price Data'!BE191</f>
        <v>47190.78</v>
      </c>
      <c r="AZ190" s="30">
        <f>'Equity Volume Data'!BC190*'Equity Price Data'!BF191</f>
        <v>11440.5</v>
      </c>
      <c r="BA190" s="30">
        <f>'Equity Volume Data'!BD190*'Equity Price Data'!BG191</f>
        <v>4839.3</v>
      </c>
      <c r="BB190" s="30">
        <f>'Equity Volume Data'!BE190*'Equity Price Data'!BH191</f>
        <v>10142.4</v>
      </c>
      <c r="BC190" s="30">
        <f>'Equity Volume Data'!BF190*'Equity Price Data'!BI191</f>
        <v>0</v>
      </c>
      <c r="BD190" s="30">
        <f>'Equity Volume Data'!BG190*'Equity Price Data'!BJ191</f>
        <v>54374.64</v>
      </c>
      <c r="BE190" s="30">
        <f>'Equity Volume Data'!BH190*'Equity Price Data'!BK191</f>
        <v>12374</v>
      </c>
      <c r="BF190" s="30">
        <f>'Equity Volume Data'!BI190*'Equity Price Data'!BL191</f>
        <v>7307.6</v>
      </c>
      <c r="BG190" s="30">
        <f>'Equity Volume Data'!BJ190*'Equity Price Data'!BM191</f>
        <v>19326.56</v>
      </c>
      <c r="BH190" s="30">
        <f>'Equity Volume Data'!BK190*'Equity Price Data'!BN191</f>
        <v>0</v>
      </c>
      <c r="BI190" s="30">
        <f>'Equity Volume Data'!BL190*'Equity Price Data'!BO191</f>
        <v>39761.6</v>
      </c>
      <c r="BJ190" s="30">
        <f>'Equity Volume Data'!BM190*'Equity Price Data'!BP191</f>
        <v>39555</v>
      </c>
      <c r="BK190" s="30">
        <f>'Equity Volume Data'!BN190*'Equity Price Data'!BQ191</f>
        <v>88099.78</v>
      </c>
      <c r="BL190" s="30">
        <f>'Equity Volume Data'!BO190*'Equity Price Data'!BR191</f>
        <v>498.2</v>
      </c>
      <c r="BM190" s="30">
        <f>'Equity Volume Data'!BP190*'Equity Price Data'!BS191</f>
        <v>10915.2</v>
      </c>
      <c r="BN190" s="30">
        <f>'Equity Volume Data'!BQ190*'Equity Price Data'!BT191</f>
        <v>20535.24</v>
      </c>
      <c r="BO190" s="30">
        <f>'Equity Volume Data'!BR190*'Equity Price Data'!BU191</f>
        <v>24411</v>
      </c>
    </row>
    <row r="191">
      <c r="A191" s="25">
        <f>'Equity Price Data'!A192</f>
        <v>45701.66667</v>
      </c>
      <c r="B191" s="29">
        <f t="shared" si="1"/>
        <v>1370322.71</v>
      </c>
      <c r="C191" s="30">
        <f>'Equity Volume Data'!F191*'Equity Price Data'!I192</f>
        <v>5969.86</v>
      </c>
      <c r="D191" s="30">
        <f>'Equity Volume Data'!G191*'Equity Price Data'!J192</f>
        <v>59896.2</v>
      </c>
      <c r="E191" s="30">
        <f>'Equity Volume Data'!H191*'Equity Price Data'!K192</f>
        <v>13955.7</v>
      </c>
      <c r="F191" s="30">
        <f>'Equity Volume Data'!I191*'Equity Price Data'!L192</f>
        <v>61831.68</v>
      </c>
      <c r="G191" s="30">
        <f>'Equity Volume Data'!J191*'Equity Price Data'!M192</f>
        <v>15294.41</v>
      </c>
      <c r="H191" s="30">
        <f>'Equity Volume Data'!K191*'Equity Price Data'!N192</f>
        <v>16333.44</v>
      </c>
      <c r="I191" s="30">
        <f>'Equity Volume Data'!L191*'Equity Price Data'!O192</f>
        <v>14540</v>
      </c>
      <c r="J191" s="30">
        <f>'Equity Volume Data'!M191*'Equity Price Data'!P192</f>
        <v>49009.98</v>
      </c>
      <c r="K191" s="30">
        <f>'Equity Volume Data'!N191*'Equity Price Data'!Q192</f>
        <v>10366</v>
      </c>
      <c r="L191" s="30">
        <f>'Equity Volume Data'!O191*'Equity Price Data'!R192</f>
        <v>16752.45</v>
      </c>
      <c r="M191" s="30">
        <f>'Equity Volume Data'!P191*'Equity Price Data'!S192</f>
        <v>0</v>
      </c>
      <c r="N191" s="30">
        <f>'Equity Volume Data'!Q191*'Equity Price Data'!T192</f>
        <v>5093.6</v>
      </c>
      <c r="O191" s="30">
        <f>'Equity Volume Data'!R191*'Equity Price Data'!U192</f>
        <v>53055</v>
      </c>
      <c r="P191" s="30">
        <f>'Equity Volume Data'!S191*'Equity Price Data'!V192</f>
        <v>20466.36</v>
      </c>
      <c r="Q191" s="30">
        <f>'Equity Volume Data'!T191*'Equity Price Data'!W192</f>
        <v>26534.4</v>
      </c>
      <c r="R191" s="30">
        <f>'Equity Volume Data'!U191*'Equity Price Data'!X192</f>
        <v>12470.4</v>
      </c>
      <c r="S191" s="30">
        <f>'Equity Volume Data'!V191*'Equity Price Data'!Y192</f>
        <v>26384.16</v>
      </c>
      <c r="T191" s="30">
        <f>'Equity Volume Data'!W191*'Equity Price Data'!Z192</f>
        <v>11512.5</v>
      </c>
      <c r="U191" s="30">
        <f>'Equity Volume Data'!X191*'Equity Price Data'!AA192</f>
        <v>18348</v>
      </c>
      <c r="V191" s="30">
        <f>'Equity Volume Data'!Y191*'Equity Price Data'!AB192</f>
        <v>15401.26</v>
      </c>
      <c r="W191" s="30">
        <f>'Equity Volume Data'!Z191*'Equity Price Data'!AC192</f>
        <v>11371.89</v>
      </c>
      <c r="X191" s="30">
        <f>'Equity Volume Data'!AA191*'Equity Price Data'!AD192</f>
        <v>0</v>
      </c>
      <c r="Y191" s="30">
        <f>'Equity Volume Data'!AB191*'Equity Price Data'!AE192</f>
        <v>6238.44</v>
      </c>
      <c r="Z191" s="30">
        <f>'Equity Volume Data'!AC191*'Equity Price Data'!AF192</f>
        <v>10389</v>
      </c>
      <c r="AA191" s="30">
        <f>'Equity Volume Data'!AD191*'Equity Price Data'!AG192</f>
        <v>18382.1</v>
      </c>
      <c r="AB191" s="30">
        <f>'Equity Volume Data'!AE191*'Equity Price Data'!AH192</f>
        <v>15787.2</v>
      </c>
      <c r="AC191" s="30">
        <f>'Equity Volume Data'!AF191*'Equity Price Data'!AI192</f>
        <v>19618</v>
      </c>
      <c r="AD191" s="30">
        <f>'Equity Volume Data'!AG191*'Equity Price Data'!AJ192</f>
        <v>11077.2</v>
      </c>
      <c r="AE191" s="30">
        <f>'Equity Volume Data'!AH191*'Equity Price Data'!AK192</f>
        <v>0</v>
      </c>
      <c r="AF191" s="30">
        <f>'Equity Volume Data'!AI191*'Equity Price Data'!AL192</f>
        <v>21721.8</v>
      </c>
      <c r="AG191" s="30">
        <f>'Equity Volume Data'!AJ191*'Equity Price Data'!AM192</f>
        <v>38937</v>
      </c>
      <c r="AH191" s="30">
        <f>'Equity Volume Data'!AK191*'Equity Price Data'!AN192</f>
        <v>41243</v>
      </c>
      <c r="AI191" s="30">
        <f>'Equity Volume Data'!AL191*'Equity Price Data'!AO192</f>
        <v>22813</v>
      </c>
      <c r="AJ191" s="30">
        <f>'Equity Volume Data'!AM191*'Equity Price Data'!AP192</f>
        <v>21914.1</v>
      </c>
      <c r="AK191" s="30">
        <f>'Equity Volume Data'!AN191*'Equity Price Data'!AQ192</f>
        <v>27795.33</v>
      </c>
      <c r="AL191" s="30">
        <f>'Equity Volume Data'!AO191*'Equity Price Data'!AR192</f>
        <v>44211.2</v>
      </c>
      <c r="AM191" s="30">
        <f>'Equity Volume Data'!AP191*'Equity Price Data'!AS192</f>
        <v>30430.4</v>
      </c>
      <c r="AN191" s="30">
        <f>'Equity Volume Data'!AQ191*'Equity Price Data'!AT192</f>
        <v>13679.75</v>
      </c>
      <c r="AO191" s="30">
        <f>'Equity Volume Data'!AR191*'Equity Price Data'!AU192</f>
        <v>25312.56</v>
      </c>
      <c r="AP191" s="30">
        <f>'Equity Volume Data'!AS191*'Equity Price Data'!AV192</f>
        <v>23050</v>
      </c>
      <c r="AQ191" s="30">
        <f>'Equity Volume Data'!AT191*'Equity Price Data'!AW192</f>
        <v>18114.8</v>
      </c>
      <c r="AR191" s="30">
        <f>'Equity Volume Data'!AU191*'Equity Price Data'!AX192</f>
        <v>10312.74</v>
      </c>
      <c r="AS191" s="30">
        <f>'Equity Volume Data'!AV191*'Equity Price Data'!AY192</f>
        <v>49264.8</v>
      </c>
      <c r="AT191" s="30">
        <f>'Equity Volume Data'!AW191*'Equity Price Data'!AZ192</f>
        <v>13720</v>
      </c>
      <c r="AU191" s="30">
        <f>'Equity Volume Data'!AX191*'Equity Price Data'!BA192</f>
        <v>0</v>
      </c>
      <c r="AV191" s="30">
        <f>'Equity Volume Data'!AY191*'Equity Price Data'!BB192</f>
        <v>19211.18</v>
      </c>
      <c r="AW191" s="30">
        <f>'Equity Volume Data'!AZ191*'Equity Price Data'!BC192</f>
        <v>3920.8</v>
      </c>
      <c r="AX191" s="30">
        <f>'Equity Volume Data'!BA191*'Equity Price Data'!BD192</f>
        <v>4189.6</v>
      </c>
      <c r="AY191" s="30">
        <f>'Equity Volume Data'!BB191*'Equity Price Data'!BE192</f>
        <v>47399.82</v>
      </c>
      <c r="AZ191" s="30">
        <f>'Equity Volume Data'!BC191*'Equity Price Data'!BF192</f>
        <v>11488.5</v>
      </c>
      <c r="BA191" s="30">
        <f>'Equity Volume Data'!BD191*'Equity Price Data'!BG192</f>
        <v>4871.6</v>
      </c>
      <c r="BB191" s="30">
        <f>'Equity Volume Data'!BE191*'Equity Price Data'!BH192</f>
        <v>10067.2</v>
      </c>
      <c r="BC191" s="30">
        <f>'Equity Volume Data'!BF191*'Equity Price Data'!BI192</f>
        <v>0</v>
      </c>
      <c r="BD191" s="30">
        <f>'Equity Volume Data'!BG191*'Equity Price Data'!BJ192</f>
        <v>56462.04</v>
      </c>
      <c r="BE191" s="30">
        <f>'Equity Volume Data'!BH191*'Equity Price Data'!BK192</f>
        <v>12250.72</v>
      </c>
      <c r="BF191" s="30">
        <f>'Equity Volume Data'!BI191*'Equity Price Data'!BL192</f>
        <v>7360.4</v>
      </c>
      <c r="BG191" s="30">
        <f>'Equity Volume Data'!BJ191*'Equity Price Data'!BM192</f>
        <v>19799.16</v>
      </c>
      <c r="BH191" s="30">
        <f>'Equity Volume Data'!BK191*'Equity Price Data'!BN192</f>
        <v>0</v>
      </c>
      <c r="BI191" s="30">
        <f>'Equity Volume Data'!BL191*'Equity Price Data'!BO192</f>
        <v>40155.2</v>
      </c>
      <c r="BJ191" s="30">
        <f>'Equity Volume Data'!BM191*'Equity Price Data'!BP192</f>
        <v>39838.5</v>
      </c>
      <c r="BK191" s="30">
        <f>'Equity Volume Data'!BN191*'Equity Price Data'!BQ192</f>
        <v>88261.96</v>
      </c>
      <c r="BL191" s="30">
        <f>'Equity Volume Data'!BO191*'Equity Price Data'!BR192</f>
        <v>507.6</v>
      </c>
      <c r="BM191" s="30">
        <f>'Equity Volume Data'!BP191*'Equity Price Data'!BS192</f>
        <v>10924.8</v>
      </c>
      <c r="BN191" s="30">
        <f>'Equity Volume Data'!BQ191*'Equity Price Data'!BT192</f>
        <v>20602.92</v>
      </c>
      <c r="BO191" s="30">
        <f>'Equity Volume Data'!BR191*'Equity Price Data'!BU192</f>
        <v>24411</v>
      </c>
    </row>
    <row r="192">
      <c r="A192" s="25">
        <f>'Equity Price Data'!A193</f>
        <v>45702.66667</v>
      </c>
      <c r="B192" s="29">
        <f t="shared" si="1"/>
        <v>1367838.53</v>
      </c>
      <c r="C192" s="30">
        <f>'Equity Volume Data'!F192*'Equity Price Data'!I193</f>
        <v>5982.08</v>
      </c>
      <c r="D192" s="30">
        <f>'Equity Volume Data'!G192*'Equity Price Data'!J193</f>
        <v>59456.8</v>
      </c>
      <c r="E192" s="30">
        <f>'Equity Volume Data'!H192*'Equity Price Data'!K193</f>
        <v>13822.6</v>
      </c>
      <c r="F192" s="30">
        <f>'Equity Volume Data'!I192*'Equity Price Data'!L193</f>
        <v>62617.6</v>
      </c>
      <c r="G192" s="30">
        <f>'Equity Volume Data'!J192*'Equity Price Data'!M193</f>
        <v>14043.6</v>
      </c>
      <c r="H192" s="30">
        <f>'Equity Volume Data'!K192*'Equity Price Data'!N193</f>
        <v>16513.92</v>
      </c>
      <c r="I192" s="30">
        <f>'Equity Volume Data'!L192*'Equity Price Data'!O193</f>
        <v>14880</v>
      </c>
      <c r="J192" s="30">
        <f>'Equity Volume Data'!M192*'Equity Price Data'!P193</f>
        <v>48918.18</v>
      </c>
      <c r="K192" s="30">
        <f>'Equity Volume Data'!N192*'Equity Price Data'!Q193</f>
        <v>10310</v>
      </c>
      <c r="L192" s="30">
        <f>'Equity Volume Data'!O192*'Equity Price Data'!R193</f>
        <v>16616.93</v>
      </c>
      <c r="M192" s="30">
        <f>'Equity Volume Data'!P192*'Equity Price Data'!S193</f>
        <v>0</v>
      </c>
      <c r="N192" s="30">
        <f>'Equity Volume Data'!Q192*'Equity Price Data'!T193</f>
        <v>5210.4</v>
      </c>
      <c r="O192" s="30">
        <f>'Equity Volume Data'!R192*'Equity Price Data'!U193</f>
        <v>52998</v>
      </c>
      <c r="P192" s="30">
        <f>'Equity Volume Data'!S192*'Equity Price Data'!V193</f>
        <v>19678.23</v>
      </c>
      <c r="Q192" s="30">
        <f>'Equity Volume Data'!T192*'Equity Price Data'!W193</f>
        <v>26650.8</v>
      </c>
      <c r="R192" s="30">
        <f>'Equity Volume Data'!U192*'Equity Price Data'!X193</f>
        <v>12427.2</v>
      </c>
      <c r="S192" s="30">
        <f>'Equity Volume Data'!V192*'Equity Price Data'!Y193</f>
        <v>25724.16</v>
      </c>
      <c r="T192" s="30">
        <f>'Equity Volume Data'!W192*'Equity Price Data'!Z193</f>
        <v>11587.5</v>
      </c>
      <c r="U192" s="30">
        <f>'Equity Volume Data'!X192*'Equity Price Data'!AA193</f>
        <v>18181.68</v>
      </c>
      <c r="V192" s="30">
        <f>'Equity Volume Data'!Y192*'Equity Price Data'!AB193</f>
        <v>15282.12</v>
      </c>
      <c r="W192" s="30">
        <f>'Equity Volume Data'!Z192*'Equity Price Data'!AC193</f>
        <v>11335.32</v>
      </c>
      <c r="X192" s="30">
        <f>'Equity Volume Data'!AA192*'Equity Price Data'!AD193</f>
        <v>0</v>
      </c>
      <c r="Y192" s="30">
        <f>'Equity Volume Data'!AB192*'Equity Price Data'!AE193</f>
        <v>6196.58</v>
      </c>
      <c r="Z192" s="30">
        <f>'Equity Volume Data'!AC192*'Equity Price Data'!AF193</f>
        <v>10485</v>
      </c>
      <c r="AA192" s="30">
        <f>'Equity Volume Data'!AD192*'Equity Price Data'!AG193</f>
        <v>18400.8</v>
      </c>
      <c r="AB192" s="30">
        <f>'Equity Volume Data'!AE192*'Equity Price Data'!AH193</f>
        <v>16066.2</v>
      </c>
      <c r="AC192" s="30">
        <f>'Equity Volume Data'!AF192*'Equity Price Data'!AI193</f>
        <v>20153.6</v>
      </c>
      <c r="AD192" s="30">
        <f>'Equity Volume Data'!AG192*'Equity Price Data'!AJ193</f>
        <v>10887.3</v>
      </c>
      <c r="AE192" s="30">
        <f>'Equity Volume Data'!AH192*'Equity Price Data'!AK193</f>
        <v>0</v>
      </c>
      <c r="AF192" s="30">
        <f>'Equity Volume Data'!AI192*'Equity Price Data'!AL193</f>
        <v>21336.4</v>
      </c>
      <c r="AG192" s="30">
        <f>'Equity Volume Data'!AJ192*'Equity Price Data'!AM193</f>
        <v>39633</v>
      </c>
      <c r="AH192" s="30">
        <f>'Equity Volume Data'!AK192*'Equity Price Data'!AN193</f>
        <v>40950</v>
      </c>
      <c r="AI192" s="30">
        <f>'Equity Volume Data'!AL192*'Equity Price Data'!AO193</f>
        <v>22494.5</v>
      </c>
      <c r="AJ192" s="30">
        <f>'Equity Volume Data'!AM192*'Equity Price Data'!AP193</f>
        <v>21672.3</v>
      </c>
      <c r="AK192" s="30">
        <f>'Equity Volume Data'!AN192*'Equity Price Data'!AQ193</f>
        <v>27990.85</v>
      </c>
      <c r="AL192" s="30">
        <f>'Equity Volume Data'!AO192*'Equity Price Data'!AR193</f>
        <v>44254.4</v>
      </c>
      <c r="AM192" s="30">
        <f>'Equity Volume Data'!AP192*'Equity Price Data'!AS193</f>
        <v>29623.3</v>
      </c>
      <c r="AN192" s="30">
        <f>'Equity Volume Data'!AQ192*'Equity Price Data'!AT193</f>
        <v>12833.8</v>
      </c>
      <c r="AO192" s="30">
        <f>'Equity Volume Data'!AR192*'Equity Price Data'!AU193</f>
        <v>25355.26</v>
      </c>
      <c r="AP192" s="30">
        <f>'Equity Volume Data'!AS192*'Equity Price Data'!AV193</f>
        <v>23202.5</v>
      </c>
      <c r="AQ192" s="30">
        <f>'Equity Volume Data'!AT192*'Equity Price Data'!AW193</f>
        <v>17974</v>
      </c>
      <c r="AR192" s="30">
        <f>'Equity Volume Data'!AU192*'Equity Price Data'!AX193</f>
        <v>10033.56</v>
      </c>
      <c r="AS192" s="30">
        <f>'Equity Volume Data'!AV192*'Equity Price Data'!AY193</f>
        <v>49011.6</v>
      </c>
      <c r="AT192" s="30">
        <f>'Equity Volume Data'!AW192*'Equity Price Data'!AZ193</f>
        <v>13612</v>
      </c>
      <c r="AU192" s="30">
        <f>'Equity Volume Data'!AX192*'Equity Price Data'!BA193</f>
        <v>0</v>
      </c>
      <c r="AV192" s="30">
        <f>'Equity Volume Data'!AY192*'Equity Price Data'!BB193</f>
        <v>19716.7</v>
      </c>
      <c r="AW192" s="30">
        <f>'Equity Volume Data'!AZ192*'Equity Price Data'!BC193</f>
        <v>3869.6</v>
      </c>
      <c r="AX192" s="30">
        <f>'Equity Volume Data'!BA192*'Equity Price Data'!BD193</f>
        <v>4162.4</v>
      </c>
      <c r="AY192" s="30">
        <f>'Equity Volume Data'!BB192*'Equity Price Data'!BE193</f>
        <v>47902.32</v>
      </c>
      <c r="AZ192" s="30">
        <f>'Equity Volume Data'!BC192*'Equity Price Data'!BF193</f>
        <v>11695.5</v>
      </c>
      <c r="BA192" s="30">
        <f>'Equity Volume Data'!BD192*'Equity Price Data'!BG193</f>
        <v>4850.7</v>
      </c>
      <c r="BB192" s="30">
        <f>'Equity Volume Data'!BE192*'Equity Price Data'!BH193</f>
        <v>9792.8</v>
      </c>
      <c r="BC192" s="30">
        <f>'Equity Volume Data'!BF192*'Equity Price Data'!BI193</f>
        <v>0</v>
      </c>
      <c r="BD192" s="30">
        <f>'Equity Volume Data'!BG192*'Equity Price Data'!BJ193</f>
        <v>57684.66</v>
      </c>
      <c r="BE192" s="30">
        <f>'Equity Volume Data'!BH192*'Equity Price Data'!BK193</f>
        <v>12232.55</v>
      </c>
      <c r="BF192" s="30">
        <f>'Equity Volume Data'!BI192*'Equity Price Data'!BL193</f>
        <v>7369.6</v>
      </c>
      <c r="BG192" s="30">
        <f>'Equity Volume Data'!BJ192*'Equity Price Data'!BM193</f>
        <v>20066.04</v>
      </c>
      <c r="BH192" s="30">
        <f>'Equity Volume Data'!BK192*'Equity Price Data'!BN193</f>
        <v>0</v>
      </c>
      <c r="BI192" s="30">
        <f>'Equity Volume Data'!BL192*'Equity Price Data'!BO193</f>
        <v>39875.2</v>
      </c>
      <c r="BJ192" s="30">
        <f>'Equity Volume Data'!BM192*'Equity Price Data'!BP193</f>
        <v>39263.25</v>
      </c>
      <c r="BK192" s="30">
        <f>'Equity Volume Data'!BN192*'Equity Price Data'!BQ193</f>
        <v>88352.06</v>
      </c>
      <c r="BL192" s="30">
        <f>'Equity Volume Data'!BO192*'Equity Price Data'!BR193</f>
        <v>507.6</v>
      </c>
      <c r="BM192" s="30">
        <f>'Equity Volume Data'!BP192*'Equity Price Data'!BS193</f>
        <v>10931.04</v>
      </c>
      <c r="BN192" s="30">
        <f>'Equity Volume Data'!BQ192*'Equity Price Data'!BT193</f>
        <v>20751.44</v>
      </c>
      <c r="BO192" s="30">
        <f>'Equity Volume Data'!BR192*'Equity Price Data'!BU193</f>
        <v>24411</v>
      </c>
    </row>
    <row r="193">
      <c r="A193" s="25">
        <f>'Equity Price Data'!A194</f>
        <v>45706.66667</v>
      </c>
      <c r="B193" s="29">
        <f t="shared" si="1"/>
        <v>1371126.32</v>
      </c>
      <c r="C193" s="30">
        <f>'Equity Volume Data'!F193*'Equity Price Data'!I194</f>
        <v>6033.43</v>
      </c>
      <c r="D193" s="30">
        <f>'Equity Volume Data'!G193*'Equity Price Data'!J194</f>
        <v>58929</v>
      </c>
      <c r="E193" s="30">
        <f>'Equity Volume Data'!H193*'Equity Price Data'!K194</f>
        <v>13988.7</v>
      </c>
      <c r="F193" s="30">
        <f>'Equity Volume Data'!I193*'Equity Price Data'!L194</f>
        <v>62584.32</v>
      </c>
      <c r="G193" s="30">
        <f>'Equity Volume Data'!J193*'Equity Price Data'!M194</f>
        <v>14276</v>
      </c>
      <c r="H193" s="30">
        <f>'Equity Volume Data'!K193*'Equity Price Data'!N194</f>
        <v>16713.2</v>
      </c>
      <c r="I193" s="30">
        <f>'Equity Volume Data'!L193*'Equity Price Data'!O194</f>
        <v>15650</v>
      </c>
      <c r="J193" s="30">
        <f>'Equity Volume Data'!M193*'Equity Price Data'!P194</f>
        <v>49247.64</v>
      </c>
      <c r="K193" s="30">
        <f>'Equity Volume Data'!N193*'Equity Price Data'!Q194</f>
        <v>10388</v>
      </c>
      <c r="L193" s="30">
        <f>'Equity Volume Data'!O193*'Equity Price Data'!R194</f>
        <v>16524.97</v>
      </c>
      <c r="M193" s="30">
        <f>'Equity Volume Data'!P193*'Equity Price Data'!S194</f>
        <v>0</v>
      </c>
      <c r="N193" s="30">
        <f>'Equity Volume Data'!Q193*'Equity Price Data'!T194</f>
        <v>5327.2</v>
      </c>
      <c r="O193" s="30">
        <f>'Equity Volume Data'!R193*'Equity Price Data'!U194</f>
        <v>53100</v>
      </c>
      <c r="P193" s="30">
        <f>'Equity Volume Data'!S193*'Equity Price Data'!V194</f>
        <v>19982.64</v>
      </c>
      <c r="Q193" s="30">
        <f>'Equity Volume Data'!T193*'Equity Price Data'!W194</f>
        <v>26455.2</v>
      </c>
      <c r="R193" s="30">
        <f>'Equity Volume Data'!U193*'Equity Price Data'!X194</f>
        <v>12492.8</v>
      </c>
      <c r="S193" s="30">
        <f>'Equity Volume Data'!V193*'Equity Price Data'!Y194</f>
        <v>25938</v>
      </c>
      <c r="T193" s="30">
        <f>'Equity Volume Data'!W193*'Equity Price Data'!Z194</f>
        <v>11700</v>
      </c>
      <c r="U193" s="30">
        <f>'Equity Volume Data'!X193*'Equity Price Data'!AA194</f>
        <v>18229.2</v>
      </c>
      <c r="V193" s="30">
        <f>'Equity Volume Data'!Y193*'Equity Price Data'!AB194</f>
        <v>15417.36</v>
      </c>
      <c r="W193" s="30">
        <f>'Equity Volume Data'!Z193*'Equity Price Data'!AC194</f>
        <v>11429.85</v>
      </c>
      <c r="X193" s="30">
        <f>'Equity Volume Data'!AA193*'Equity Price Data'!AD194</f>
        <v>0</v>
      </c>
      <c r="Y193" s="30">
        <f>'Equity Volume Data'!AB193*'Equity Price Data'!AE194</f>
        <v>6207.89</v>
      </c>
      <c r="Z193" s="30">
        <f>'Equity Volume Data'!AC193*'Equity Price Data'!AF194</f>
        <v>10468.5</v>
      </c>
      <c r="AA193" s="30">
        <f>'Equity Volume Data'!AD193*'Equity Price Data'!AG194</f>
        <v>18723.8</v>
      </c>
      <c r="AB193" s="30">
        <f>'Equity Volume Data'!AE193*'Equity Price Data'!AH194</f>
        <v>16047</v>
      </c>
      <c r="AC193" s="30">
        <f>'Equity Volume Data'!AF193*'Equity Price Data'!AI194</f>
        <v>20187.6</v>
      </c>
      <c r="AD193" s="30">
        <f>'Equity Volume Data'!AG193*'Equity Price Data'!AJ194</f>
        <v>10917</v>
      </c>
      <c r="AE193" s="30">
        <f>'Equity Volume Data'!AH193*'Equity Price Data'!AK194</f>
        <v>0</v>
      </c>
      <c r="AF193" s="30">
        <f>'Equity Volume Data'!AI193*'Equity Price Data'!AL194</f>
        <v>21576.25</v>
      </c>
      <c r="AG193" s="30">
        <f>'Equity Volume Data'!AJ193*'Equity Price Data'!AM194</f>
        <v>40331.4</v>
      </c>
      <c r="AH193" s="30">
        <f>'Equity Volume Data'!AK193*'Equity Price Data'!AN194</f>
        <v>40331</v>
      </c>
      <c r="AI193" s="30">
        <f>'Equity Volume Data'!AL193*'Equity Price Data'!AO194</f>
        <v>22711.5</v>
      </c>
      <c r="AJ193" s="30">
        <f>'Equity Volume Data'!AM193*'Equity Price Data'!AP194</f>
        <v>21645</v>
      </c>
      <c r="AK193" s="30">
        <f>'Equity Volume Data'!AN193*'Equity Price Data'!AQ194</f>
        <v>28241.83</v>
      </c>
      <c r="AL193" s="30">
        <f>'Equity Volume Data'!AO193*'Equity Price Data'!AR194</f>
        <v>44792</v>
      </c>
      <c r="AM193" s="30">
        <f>'Equity Volume Data'!AP193*'Equity Price Data'!AS194</f>
        <v>29997.8</v>
      </c>
      <c r="AN193" s="30">
        <f>'Equity Volume Data'!AQ193*'Equity Price Data'!AT194</f>
        <v>13035.4</v>
      </c>
      <c r="AO193" s="30">
        <f>'Equity Volume Data'!AR193*'Equity Price Data'!AU194</f>
        <v>25628.54</v>
      </c>
      <c r="AP193" s="30">
        <f>'Equity Volume Data'!AS193*'Equity Price Data'!AV194</f>
        <v>21517.5</v>
      </c>
      <c r="AQ193" s="30">
        <f>'Equity Volume Data'!AT193*'Equity Price Data'!AW194</f>
        <v>18134.6</v>
      </c>
      <c r="AR193" s="30">
        <f>'Equity Volume Data'!AU193*'Equity Price Data'!AX194</f>
        <v>9919.35</v>
      </c>
      <c r="AS193" s="30">
        <f>'Equity Volume Data'!AV193*'Equity Price Data'!AY194</f>
        <v>49156.8</v>
      </c>
      <c r="AT193" s="30">
        <f>'Equity Volume Data'!AW193*'Equity Price Data'!AZ194</f>
        <v>13700</v>
      </c>
      <c r="AU193" s="30">
        <f>'Equity Volume Data'!AX193*'Equity Price Data'!BA194</f>
        <v>0</v>
      </c>
      <c r="AV193" s="30">
        <f>'Equity Volume Data'!AY193*'Equity Price Data'!BB194</f>
        <v>19794.8</v>
      </c>
      <c r="AW193" s="30">
        <f>'Equity Volume Data'!AZ193*'Equity Price Data'!BC194</f>
        <v>3904.4</v>
      </c>
      <c r="AX193" s="30">
        <f>'Equity Volume Data'!BA193*'Equity Price Data'!BD194</f>
        <v>4268.8</v>
      </c>
      <c r="AY193" s="30">
        <f>'Equity Volume Data'!BB193*'Equity Price Data'!BE194</f>
        <v>50097.24</v>
      </c>
      <c r="AZ193" s="30">
        <f>'Equity Volume Data'!BC193*'Equity Price Data'!BF194</f>
        <v>11793</v>
      </c>
      <c r="BA193" s="30">
        <f>'Equity Volume Data'!BD193*'Equity Price Data'!BG194</f>
        <v>4856.4</v>
      </c>
      <c r="BB193" s="30">
        <f>'Equity Volume Data'!BE193*'Equity Price Data'!BH194</f>
        <v>9900.8</v>
      </c>
      <c r="BC193" s="30">
        <f>'Equity Volume Data'!BF193*'Equity Price Data'!BI194</f>
        <v>0</v>
      </c>
      <c r="BD193" s="30">
        <f>'Equity Volume Data'!BG193*'Equity Price Data'!BJ194</f>
        <v>56063.73</v>
      </c>
      <c r="BE193" s="30">
        <f>'Equity Volume Data'!BH193*'Equity Price Data'!BK194</f>
        <v>12031.07</v>
      </c>
      <c r="BF193" s="30">
        <f>'Equity Volume Data'!BI193*'Equity Price Data'!BL194</f>
        <v>7362.8</v>
      </c>
      <c r="BG193" s="30">
        <f>'Equity Volume Data'!BJ193*'Equity Price Data'!BM194</f>
        <v>20855.56</v>
      </c>
      <c r="BH193" s="30">
        <f>'Equity Volume Data'!BK193*'Equity Price Data'!BN194</f>
        <v>0</v>
      </c>
      <c r="BI193" s="30">
        <f>'Equity Volume Data'!BL193*'Equity Price Data'!BO194</f>
        <v>40187.2</v>
      </c>
      <c r="BJ193" s="30">
        <f>'Equity Volume Data'!BM193*'Equity Price Data'!BP194</f>
        <v>37554.75</v>
      </c>
      <c r="BK193" s="30">
        <f>'Equity Volume Data'!BN193*'Equity Price Data'!BQ194</f>
        <v>88298</v>
      </c>
      <c r="BL193" s="30">
        <f>'Equity Volume Data'!BO193*'Equity Price Data'!BR194</f>
        <v>510.42</v>
      </c>
      <c r="BM193" s="30">
        <f>'Equity Volume Data'!BP193*'Equity Price Data'!BS194</f>
        <v>10960.8</v>
      </c>
      <c r="BN193" s="30">
        <f>'Equity Volume Data'!BQ193*'Equity Price Data'!BT194</f>
        <v>20597.28</v>
      </c>
      <c r="BO193" s="30">
        <f>'Equity Volume Data'!BR193*'Equity Price Data'!BU194</f>
        <v>24411</v>
      </c>
    </row>
    <row r="194">
      <c r="A194" s="25">
        <f>'Equity Price Data'!A195</f>
        <v>45707.66667</v>
      </c>
      <c r="B194" s="29">
        <f t="shared" si="1"/>
        <v>1368917.02</v>
      </c>
      <c r="C194" s="30">
        <f>'Equity Volume Data'!F194*'Equity Price Data'!I195</f>
        <v>5940.87</v>
      </c>
      <c r="D194" s="30">
        <f>'Equity Volume Data'!G194*'Equity Price Data'!J195</f>
        <v>58923.8</v>
      </c>
      <c r="E194" s="30">
        <f>'Equity Volume Data'!H194*'Equity Price Data'!K195</f>
        <v>14064.6</v>
      </c>
      <c r="F194" s="30">
        <f>'Equity Volume Data'!I194*'Equity Price Data'!L195</f>
        <v>62686.72</v>
      </c>
      <c r="G194" s="30">
        <f>'Equity Volume Data'!J194*'Equity Price Data'!M195</f>
        <v>14446.98</v>
      </c>
      <c r="H194" s="30">
        <f>'Equity Volume Data'!K194*'Equity Price Data'!N195</f>
        <v>16602.28</v>
      </c>
      <c r="I194" s="30">
        <f>'Equity Volume Data'!L194*'Equity Price Data'!O195</f>
        <v>15370</v>
      </c>
      <c r="J194" s="30">
        <f>'Equity Volume Data'!M194*'Equity Price Data'!P195</f>
        <v>49344.54</v>
      </c>
      <c r="K194" s="30">
        <f>'Equity Volume Data'!N194*'Equity Price Data'!Q195</f>
        <v>10216</v>
      </c>
      <c r="L194" s="30">
        <f>'Equity Volume Data'!O194*'Equity Price Data'!R195</f>
        <v>16538.28</v>
      </c>
      <c r="M194" s="30">
        <f>'Equity Volume Data'!P194*'Equity Price Data'!S195</f>
        <v>0</v>
      </c>
      <c r="N194" s="30">
        <f>'Equity Volume Data'!Q194*'Equity Price Data'!T195</f>
        <v>5278.4</v>
      </c>
      <c r="O194" s="30">
        <f>'Equity Volume Data'!R194*'Equity Price Data'!U195</f>
        <v>52950</v>
      </c>
      <c r="P194" s="30">
        <f>'Equity Volume Data'!S194*'Equity Price Data'!V195</f>
        <v>19411.35</v>
      </c>
      <c r="Q194" s="30">
        <f>'Equity Volume Data'!T194*'Equity Price Data'!W195</f>
        <v>26769.6</v>
      </c>
      <c r="R194" s="30">
        <f>'Equity Volume Data'!U194*'Equity Price Data'!X195</f>
        <v>12578.4</v>
      </c>
      <c r="S194" s="30">
        <f>'Equity Volume Data'!V194*'Equity Price Data'!Y195</f>
        <v>26156.24</v>
      </c>
      <c r="T194" s="30">
        <f>'Equity Volume Data'!W194*'Equity Price Data'!Z195</f>
        <v>11847.5</v>
      </c>
      <c r="U194" s="30">
        <f>'Equity Volume Data'!X194*'Equity Price Data'!AA195</f>
        <v>18498.48</v>
      </c>
      <c r="V194" s="30">
        <f>'Equity Volume Data'!Y194*'Equity Price Data'!AB195</f>
        <v>15336.86</v>
      </c>
      <c r="W194" s="30">
        <f>'Equity Volume Data'!Z194*'Equity Price Data'!AC195</f>
        <v>11703.09</v>
      </c>
      <c r="X194" s="30">
        <f>'Equity Volume Data'!AA194*'Equity Price Data'!AD195</f>
        <v>0</v>
      </c>
      <c r="Y194" s="30">
        <f>'Equity Volume Data'!AB194*'Equity Price Data'!AE195</f>
        <v>6179.55</v>
      </c>
      <c r="Z194" s="30">
        <f>'Equity Volume Data'!AC194*'Equity Price Data'!AF195</f>
        <v>10398</v>
      </c>
      <c r="AA194" s="30">
        <f>'Equity Volume Data'!AD194*'Equity Price Data'!AG195</f>
        <v>18751</v>
      </c>
      <c r="AB194" s="30">
        <f>'Equity Volume Data'!AE194*'Equity Price Data'!AH195</f>
        <v>16012.2</v>
      </c>
      <c r="AC194" s="30">
        <f>'Equity Volume Data'!AF194*'Equity Price Data'!AI195</f>
        <v>20033.6</v>
      </c>
      <c r="AD194" s="30">
        <f>'Equity Volume Data'!AG194*'Equity Price Data'!AJ195</f>
        <v>10988.1</v>
      </c>
      <c r="AE194" s="30">
        <f>'Equity Volume Data'!AH194*'Equity Price Data'!AK195</f>
        <v>0</v>
      </c>
      <c r="AF194" s="30">
        <f>'Equity Volume Data'!AI194*'Equity Price Data'!AL195</f>
        <v>22068.25</v>
      </c>
      <c r="AG194" s="30">
        <f>'Equity Volume Data'!AJ194*'Equity Price Data'!AM195</f>
        <v>40089</v>
      </c>
      <c r="AH194" s="30">
        <f>'Equity Volume Data'!AK194*'Equity Price Data'!AN195</f>
        <v>39543</v>
      </c>
      <c r="AI194" s="30">
        <f>'Equity Volume Data'!AL194*'Equity Price Data'!AO195</f>
        <v>22963.5</v>
      </c>
      <c r="AJ194" s="30">
        <f>'Equity Volume Data'!AM194*'Equity Price Data'!AP195</f>
        <v>21704.8</v>
      </c>
      <c r="AK194" s="30">
        <f>'Equity Volume Data'!AN194*'Equity Price Data'!AQ195</f>
        <v>28598.56</v>
      </c>
      <c r="AL194" s="30">
        <f>'Equity Volume Data'!AO194*'Equity Price Data'!AR195</f>
        <v>44680</v>
      </c>
      <c r="AM194" s="30">
        <f>'Equity Volume Data'!AP194*'Equity Price Data'!AS195</f>
        <v>30306.5</v>
      </c>
      <c r="AN194" s="30">
        <f>'Equity Volume Data'!AQ194*'Equity Price Data'!AT195</f>
        <v>12852.7</v>
      </c>
      <c r="AO194" s="30">
        <f>'Equity Volume Data'!AR194*'Equity Price Data'!AU195</f>
        <v>25432.12</v>
      </c>
      <c r="AP194" s="30">
        <f>'Equity Volume Data'!AS194*'Equity Price Data'!AV195</f>
        <v>21750</v>
      </c>
      <c r="AQ194" s="30">
        <f>'Equity Volume Data'!AT194*'Equity Price Data'!AW195</f>
        <v>18275.4</v>
      </c>
      <c r="AR194" s="30">
        <f>'Equity Volume Data'!AU194*'Equity Price Data'!AX195</f>
        <v>9724.77</v>
      </c>
      <c r="AS194" s="30">
        <f>'Equity Volume Data'!AV194*'Equity Price Data'!AY195</f>
        <v>49772.4</v>
      </c>
      <c r="AT194" s="30">
        <f>'Equity Volume Data'!AW194*'Equity Price Data'!AZ195</f>
        <v>13812</v>
      </c>
      <c r="AU194" s="30">
        <f>'Equity Volume Data'!AX194*'Equity Price Data'!BA195</f>
        <v>0</v>
      </c>
      <c r="AV194" s="30">
        <f>'Equity Volume Data'!AY194*'Equity Price Data'!BB195</f>
        <v>19770.66</v>
      </c>
      <c r="AW194" s="30">
        <f>'Equity Volume Data'!AZ194*'Equity Price Data'!BC195</f>
        <v>3932</v>
      </c>
      <c r="AX194" s="30">
        <f>'Equity Volume Data'!BA194*'Equity Price Data'!BD195</f>
        <v>4165.6</v>
      </c>
      <c r="AY194" s="30">
        <f>'Equity Volume Data'!BB194*'Equity Price Data'!BE195</f>
        <v>45048.12</v>
      </c>
      <c r="AZ194" s="30">
        <f>'Equity Volume Data'!BC194*'Equity Price Data'!BF195</f>
        <v>11754</v>
      </c>
      <c r="BA194" s="30">
        <f>'Equity Volume Data'!BD194*'Equity Price Data'!BG195</f>
        <v>4919.1</v>
      </c>
      <c r="BB194" s="30">
        <f>'Equity Volume Data'!BE194*'Equity Price Data'!BH195</f>
        <v>10032.8</v>
      </c>
      <c r="BC194" s="30">
        <f>'Equity Volume Data'!BF194*'Equity Price Data'!BI195</f>
        <v>0</v>
      </c>
      <c r="BD194" s="30">
        <f>'Equity Volume Data'!BG194*'Equity Price Data'!BJ195</f>
        <v>56093.55</v>
      </c>
      <c r="BE194" s="30">
        <f>'Equity Volume Data'!BH194*'Equity Price Data'!BK195</f>
        <v>12209.78</v>
      </c>
      <c r="BF194" s="30">
        <f>'Equity Volume Data'!BI194*'Equity Price Data'!BL195</f>
        <v>7204</v>
      </c>
      <c r="BG194" s="30">
        <f>'Equity Volume Data'!BJ194*'Equity Price Data'!BM195</f>
        <v>22078.76</v>
      </c>
      <c r="BH194" s="30">
        <f>'Equity Volume Data'!BK194*'Equity Price Data'!BN195</f>
        <v>0</v>
      </c>
      <c r="BI194" s="30">
        <f>'Equity Volume Data'!BL194*'Equity Price Data'!BO195</f>
        <v>39529.6</v>
      </c>
      <c r="BJ194" s="30">
        <f>'Equity Volume Data'!BM194*'Equity Price Data'!BP195</f>
        <v>38328</v>
      </c>
      <c r="BK194" s="30">
        <f>'Equity Volume Data'!BN194*'Equity Price Data'!BQ195</f>
        <v>88424.14</v>
      </c>
      <c r="BL194" s="30">
        <f>'Equity Volume Data'!BO194*'Equity Price Data'!BR195</f>
        <v>513.71</v>
      </c>
      <c r="BM194" s="30">
        <f>'Equity Volume Data'!BP194*'Equity Price Data'!BS195</f>
        <v>10968.96</v>
      </c>
      <c r="BN194" s="30">
        <f>'Equity Volume Data'!BQ194*'Equity Price Data'!BT195</f>
        <v>20933.8</v>
      </c>
      <c r="BO194" s="30">
        <f>'Equity Volume Data'!BR194*'Equity Price Data'!BU195</f>
        <v>24411</v>
      </c>
    </row>
    <row r="195">
      <c r="A195" s="25">
        <f>'Equity Price Data'!A196</f>
        <v>45708.66667</v>
      </c>
      <c r="B195" s="29">
        <f t="shared" si="1"/>
        <v>1363508.85</v>
      </c>
      <c r="C195" s="30">
        <f>'Equity Volume Data'!F195*'Equity Price Data'!I196</f>
        <v>5910.97</v>
      </c>
      <c r="D195" s="30">
        <f>'Equity Volume Data'!G195*'Equity Price Data'!J196</f>
        <v>57948.8</v>
      </c>
      <c r="E195" s="30">
        <f>'Equity Volume Data'!H195*'Equity Price Data'!K196</f>
        <v>14153.7</v>
      </c>
      <c r="F195" s="30">
        <f>'Equity Volume Data'!I195*'Equity Price Data'!L196</f>
        <v>62932.48</v>
      </c>
      <c r="G195" s="30">
        <f>'Equity Volume Data'!J195*'Equity Price Data'!M196</f>
        <v>14608.83</v>
      </c>
      <c r="H195" s="30">
        <f>'Equity Volume Data'!K195*'Equity Price Data'!N196</f>
        <v>16386.08</v>
      </c>
      <c r="I195" s="30">
        <f>'Equity Volume Data'!L195*'Equity Price Data'!O196</f>
        <v>15170</v>
      </c>
      <c r="J195" s="30">
        <f>'Equity Volume Data'!M195*'Equity Price Data'!P196</f>
        <v>49143.6</v>
      </c>
      <c r="K195" s="30">
        <f>'Equity Volume Data'!N195*'Equity Price Data'!Q196</f>
        <v>10422</v>
      </c>
      <c r="L195" s="30">
        <f>'Equity Volume Data'!O195*'Equity Price Data'!R196</f>
        <v>16586.68</v>
      </c>
      <c r="M195" s="30">
        <f>'Equity Volume Data'!P195*'Equity Price Data'!S196</f>
        <v>0</v>
      </c>
      <c r="N195" s="30">
        <f>'Equity Volume Data'!Q195*'Equity Price Data'!T196</f>
        <v>5368.8</v>
      </c>
      <c r="O195" s="30">
        <f>'Equity Volume Data'!R195*'Equity Price Data'!U196</f>
        <v>52372.5</v>
      </c>
      <c r="P195" s="30">
        <f>'Equity Volume Data'!S195*'Equity Price Data'!V196</f>
        <v>19407.18</v>
      </c>
      <c r="Q195" s="30">
        <f>'Equity Volume Data'!T195*'Equity Price Data'!W196</f>
        <v>26286</v>
      </c>
      <c r="R195" s="30">
        <f>'Equity Volume Data'!U195*'Equity Price Data'!X196</f>
        <v>12703.2</v>
      </c>
      <c r="S195" s="30">
        <f>'Equity Volume Data'!V195*'Equity Price Data'!Y196</f>
        <v>26371.84</v>
      </c>
      <c r="T195" s="30">
        <f>'Equity Volume Data'!W195*'Equity Price Data'!Z196</f>
        <v>11545</v>
      </c>
      <c r="U195" s="30">
        <f>'Equity Volume Data'!X195*'Equity Price Data'!AA196</f>
        <v>18490.56</v>
      </c>
      <c r="V195" s="30">
        <f>'Equity Volume Data'!Y195*'Equity Price Data'!AB196</f>
        <v>15417.36</v>
      </c>
      <c r="W195" s="30">
        <f>'Equity Volume Data'!Z195*'Equity Price Data'!AC196</f>
        <v>11868</v>
      </c>
      <c r="X195" s="30">
        <f>'Equity Volume Data'!AA195*'Equity Price Data'!AD196</f>
        <v>0</v>
      </c>
      <c r="Y195" s="30">
        <f>'Equity Volume Data'!AB195*'Equity Price Data'!AE196</f>
        <v>6132.88</v>
      </c>
      <c r="Z195" s="30">
        <f>'Equity Volume Data'!AC195*'Equity Price Data'!AF196</f>
        <v>10419</v>
      </c>
      <c r="AA195" s="30">
        <f>'Equity Volume Data'!AD195*'Equity Price Data'!AG196</f>
        <v>19040</v>
      </c>
      <c r="AB195" s="30">
        <f>'Equity Volume Data'!AE195*'Equity Price Data'!AH196</f>
        <v>16107.6</v>
      </c>
      <c r="AC195" s="30">
        <f>'Equity Volume Data'!AF195*'Equity Price Data'!AI196</f>
        <v>20326</v>
      </c>
      <c r="AD195" s="30">
        <f>'Equity Volume Data'!AG195*'Equity Price Data'!AJ196</f>
        <v>11079</v>
      </c>
      <c r="AE195" s="30">
        <f>'Equity Volume Data'!AH195*'Equity Price Data'!AK196</f>
        <v>0</v>
      </c>
      <c r="AF195" s="30">
        <f>'Equity Volume Data'!AI195*'Equity Price Data'!AL196</f>
        <v>22556.15</v>
      </c>
      <c r="AG195" s="30">
        <f>'Equity Volume Data'!AJ195*'Equity Price Data'!AM196</f>
        <v>38535.6</v>
      </c>
      <c r="AH195" s="30">
        <f>'Equity Volume Data'!AK195*'Equity Price Data'!AN196</f>
        <v>39464</v>
      </c>
      <c r="AI195" s="30">
        <f>'Equity Volume Data'!AL195*'Equity Price Data'!AO196</f>
        <v>22554</v>
      </c>
      <c r="AJ195" s="30">
        <f>'Equity Volume Data'!AM195*'Equity Price Data'!AP196</f>
        <v>21682.7</v>
      </c>
      <c r="AK195" s="30">
        <f>'Equity Volume Data'!AN195*'Equity Price Data'!AQ196</f>
        <v>28508.79</v>
      </c>
      <c r="AL195" s="30">
        <f>'Equity Volume Data'!AO195*'Equity Price Data'!AR196</f>
        <v>42688</v>
      </c>
      <c r="AM195" s="30">
        <f>'Equity Volume Data'!AP195*'Equity Price Data'!AS196</f>
        <v>30540.3</v>
      </c>
      <c r="AN195" s="30">
        <f>'Equity Volume Data'!AQ195*'Equity Price Data'!AT196</f>
        <v>12803.7</v>
      </c>
      <c r="AO195" s="30">
        <f>'Equity Volume Data'!AR195*'Equity Price Data'!AU196</f>
        <v>27174.28</v>
      </c>
      <c r="AP195" s="30">
        <f>'Equity Volume Data'!AS195*'Equity Price Data'!AV196</f>
        <v>21985</v>
      </c>
      <c r="AQ195" s="30">
        <f>'Equity Volume Data'!AT195*'Equity Price Data'!AW196</f>
        <v>18202.8</v>
      </c>
      <c r="AR195" s="30">
        <f>'Equity Volume Data'!AU195*'Equity Price Data'!AX196</f>
        <v>9805.14</v>
      </c>
      <c r="AS195" s="30">
        <f>'Equity Volume Data'!AV195*'Equity Price Data'!AY196</f>
        <v>49935.6</v>
      </c>
      <c r="AT195" s="30">
        <f>'Equity Volume Data'!AW195*'Equity Price Data'!AZ196</f>
        <v>14028</v>
      </c>
      <c r="AU195" s="30">
        <f>'Equity Volume Data'!AX195*'Equity Price Data'!BA196</f>
        <v>0</v>
      </c>
      <c r="AV195" s="30">
        <f>'Equity Volume Data'!AY195*'Equity Price Data'!BB196</f>
        <v>19895.62</v>
      </c>
      <c r="AW195" s="30">
        <f>'Equity Volume Data'!AZ195*'Equity Price Data'!BC196</f>
        <v>3961.2</v>
      </c>
      <c r="AX195" s="30">
        <f>'Equity Volume Data'!BA195*'Equity Price Data'!BD196</f>
        <v>4096.8</v>
      </c>
      <c r="AY195" s="30">
        <f>'Equity Volume Data'!BB195*'Equity Price Data'!BE196</f>
        <v>42720.54</v>
      </c>
      <c r="AZ195" s="30">
        <f>'Equity Volume Data'!BC195*'Equity Price Data'!BF196</f>
        <v>11644.5</v>
      </c>
      <c r="BA195" s="30">
        <f>'Equity Volume Data'!BD195*'Equity Price Data'!BG196</f>
        <v>4921</v>
      </c>
      <c r="BB195" s="30">
        <f>'Equity Volume Data'!BE195*'Equity Price Data'!BH196</f>
        <v>10008.8</v>
      </c>
      <c r="BC195" s="30">
        <f>'Equity Volume Data'!BF195*'Equity Price Data'!BI196</f>
        <v>0</v>
      </c>
      <c r="BD195" s="30">
        <f>'Equity Volume Data'!BG195*'Equity Price Data'!BJ196</f>
        <v>56530.2</v>
      </c>
      <c r="BE195" s="30">
        <f>'Equity Volume Data'!BH195*'Equity Price Data'!BK196</f>
        <v>12370.09</v>
      </c>
      <c r="BF195" s="30">
        <f>'Equity Volume Data'!BI195*'Equity Price Data'!BL196</f>
        <v>7227.2</v>
      </c>
      <c r="BG195" s="30">
        <f>'Equity Volume Data'!BJ195*'Equity Price Data'!BM196</f>
        <v>20975.1</v>
      </c>
      <c r="BH195" s="30">
        <f>'Equity Volume Data'!BK195*'Equity Price Data'!BN196</f>
        <v>0</v>
      </c>
      <c r="BI195" s="30">
        <f>'Equity Volume Data'!BL195*'Equity Price Data'!BO196</f>
        <v>39624</v>
      </c>
      <c r="BJ195" s="30">
        <f>'Equity Volume Data'!BM195*'Equity Price Data'!BP196</f>
        <v>37681.5</v>
      </c>
      <c r="BK195" s="30">
        <f>'Equity Volume Data'!BN195*'Equity Price Data'!BQ196</f>
        <v>88478.2</v>
      </c>
      <c r="BL195" s="30">
        <f>'Equity Volume Data'!BO195*'Equity Price Data'!BR196</f>
        <v>519.82</v>
      </c>
      <c r="BM195" s="30">
        <f>'Equity Volume Data'!BP195*'Equity Price Data'!BS196</f>
        <v>10997.76</v>
      </c>
      <c r="BN195" s="30">
        <f>'Equity Volume Data'!BQ195*'Equity Price Data'!BT196</f>
        <v>20783.4</v>
      </c>
      <c r="BO195" s="30">
        <f>'Equity Volume Data'!BR195*'Equity Price Data'!BU196</f>
        <v>24411</v>
      </c>
    </row>
    <row r="196">
      <c r="A196" s="25">
        <f>'Equity Price Data'!A197</f>
        <v>45709.66667</v>
      </c>
      <c r="B196" s="29">
        <f t="shared" si="1"/>
        <v>1343847.09</v>
      </c>
      <c r="C196" s="30">
        <f>'Equity Volume Data'!F196*'Equity Price Data'!I197</f>
        <v>5776.16</v>
      </c>
      <c r="D196" s="30">
        <f>'Equity Volume Data'!G196*'Equity Price Data'!J197</f>
        <v>56310.8</v>
      </c>
      <c r="E196" s="30">
        <f>'Equity Volume Data'!H196*'Equity Price Data'!K197</f>
        <v>14594.8</v>
      </c>
      <c r="F196" s="30">
        <f>'Equity Volume Data'!I196*'Equity Price Data'!L197</f>
        <v>62860.8</v>
      </c>
      <c r="G196" s="30">
        <f>'Equity Volume Data'!J196*'Equity Price Data'!M197</f>
        <v>14274.34</v>
      </c>
      <c r="H196" s="30">
        <f>'Equity Volume Data'!K196*'Equity Price Data'!N197</f>
        <v>16403</v>
      </c>
      <c r="I196" s="30">
        <f>'Equity Volume Data'!L196*'Equity Price Data'!O197</f>
        <v>15180</v>
      </c>
      <c r="J196" s="30">
        <f>'Equity Volume Data'!M196*'Equity Price Data'!P197</f>
        <v>48831.48</v>
      </c>
      <c r="K196" s="30">
        <f>'Equity Volume Data'!N196*'Equity Price Data'!Q197</f>
        <v>10288</v>
      </c>
      <c r="L196" s="30">
        <f>'Equity Volume Data'!O196*'Equity Price Data'!R197</f>
        <v>17017.44</v>
      </c>
      <c r="M196" s="30">
        <f>'Equity Volume Data'!P196*'Equity Price Data'!S197</f>
        <v>0</v>
      </c>
      <c r="N196" s="30">
        <f>'Equity Volume Data'!Q196*'Equity Price Data'!T197</f>
        <v>5290.4</v>
      </c>
      <c r="O196" s="30">
        <f>'Equity Volume Data'!R196*'Equity Price Data'!U197</f>
        <v>51006</v>
      </c>
      <c r="P196" s="30">
        <f>'Equity Volume Data'!S196*'Equity Price Data'!V197</f>
        <v>18131.16</v>
      </c>
      <c r="Q196" s="30">
        <f>'Equity Volume Data'!T196*'Equity Price Data'!W197</f>
        <v>26016</v>
      </c>
      <c r="R196" s="30">
        <f>'Equity Volume Data'!U196*'Equity Price Data'!X197</f>
        <v>12553.6</v>
      </c>
      <c r="S196" s="30">
        <f>'Equity Volume Data'!V196*'Equity Price Data'!Y197</f>
        <v>26383.28</v>
      </c>
      <c r="T196" s="30">
        <f>'Equity Volume Data'!W196*'Equity Price Data'!Z197</f>
        <v>11220</v>
      </c>
      <c r="U196" s="30">
        <f>'Equity Volume Data'!X196*'Equity Price Data'!AA197</f>
        <v>18836.4</v>
      </c>
      <c r="V196" s="30">
        <f>'Equity Volume Data'!Y196*'Equity Price Data'!AB197</f>
        <v>15819.86</v>
      </c>
      <c r="W196" s="30">
        <f>'Equity Volume Data'!Z196*'Equity Price Data'!AC197</f>
        <v>11409.84</v>
      </c>
      <c r="X196" s="30">
        <f>'Equity Volume Data'!AA196*'Equity Price Data'!AD197</f>
        <v>0</v>
      </c>
      <c r="Y196" s="30">
        <f>'Equity Volume Data'!AB196*'Equity Price Data'!AE197</f>
        <v>6010.81</v>
      </c>
      <c r="Z196" s="30">
        <f>'Equity Volume Data'!AC196*'Equity Price Data'!AF197</f>
        <v>10408.5</v>
      </c>
      <c r="AA196" s="30">
        <f>'Equity Volume Data'!AD196*'Equity Price Data'!AG197</f>
        <v>18817.3</v>
      </c>
      <c r="AB196" s="30">
        <f>'Equity Volume Data'!AE196*'Equity Price Data'!AH197</f>
        <v>15251.4</v>
      </c>
      <c r="AC196" s="30">
        <f>'Equity Volume Data'!AF196*'Equity Price Data'!AI197</f>
        <v>20137.2</v>
      </c>
      <c r="AD196" s="30">
        <f>'Equity Volume Data'!AG196*'Equity Price Data'!AJ197</f>
        <v>10937.7</v>
      </c>
      <c r="AE196" s="30">
        <f>'Equity Volume Data'!AH196*'Equity Price Data'!AK197</f>
        <v>0</v>
      </c>
      <c r="AF196" s="30">
        <f>'Equity Volume Data'!AI196*'Equity Price Data'!AL197</f>
        <v>22539.75</v>
      </c>
      <c r="AG196" s="30">
        <f>'Equity Volume Data'!AJ196*'Equity Price Data'!AM197</f>
        <v>37536</v>
      </c>
      <c r="AH196" s="30">
        <f>'Equity Volume Data'!AK196*'Equity Price Data'!AN197</f>
        <v>38530</v>
      </c>
      <c r="AI196" s="30">
        <f>'Equity Volume Data'!AL196*'Equity Price Data'!AO197</f>
        <v>21654.5</v>
      </c>
      <c r="AJ196" s="30">
        <f>'Equity Volume Data'!AM196*'Equity Price Data'!AP197</f>
        <v>21823.1</v>
      </c>
      <c r="AK196" s="30">
        <f>'Equity Volume Data'!AN196*'Equity Price Data'!AQ197</f>
        <v>27814.13</v>
      </c>
      <c r="AL196" s="30">
        <f>'Equity Volume Data'!AO196*'Equity Price Data'!AR197</f>
        <v>42278.4</v>
      </c>
      <c r="AM196" s="30">
        <f>'Equity Volume Data'!AP196*'Equity Price Data'!AS197</f>
        <v>30850.4</v>
      </c>
      <c r="AN196" s="30">
        <f>'Equity Volume Data'!AQ196*'Equity Price Data'!AT197</f>
        <v>12563.95</v>
      </c>
      <c r="AO196" s="30">
        <f>'Equity Volume Data'!AR196*'Equity Price Data'!AU197</f>
        <v>25927.44</v>
      </c>
      <c r="AP196" s="30">
        <f>'Equity Volume Data'!AS196*'Equity Price Data'!AV197</f>
        <v>22485</v>
      </c>
      <c r="AQ196" s="30">
        <f>'Equity Volume Data'!AT196*'Equity Price Data'!AW197</f>
        <v>17822.2</v>
      </c>
      <c r="AR196" s="30">
        <f>'Equity Volume Data'!AU196*'Equity Price Data'!AX197</f>
        <v>10278.9</v>
      </c>
      <c r="AS196" s="30">
        <f>'Equity Volume Data'!AV196*'Equity Price Data'!AY197</f>
        <v>48985.2</v>
      </c>
      <c r="AT196" s="30">
        <f>'Equity Volume Data'!AW196*'Equity Price Data'!AZ197</f>
        <v>14316</v>
      </c>
      <c r="AU196" s="30">
        <f>'Equity Volume Data'!AX196*'Equity Price Data'!BA197</f>
        <v>0</v>
      </c>
      <c r="AV196" s="30">
        <f>'Equity Volume Data'!AY196*'Equity Price Data'!BB197</f>
        <v>19089.06</v>
      </c>
      <c r="AW196" s="30">
        <f>'Equity Volume Data'!AZ196*'Equity Price Data'!BC197</f>
        <v>3934.8</v>
      </c>
      <c r="AX196" s="30">
        <f>'Equity Volume Data'!BA196*'Equity Price Data'!BD197</f>
        <v>3875.2</v>
      </c>
      <c r="AY196" s="30">
        <f>'Equity Volume Data'!BB196*'Equity Price Data'!BE197</f>
        <v>40742.7</v>
      </c>
      <c r="AZ196" s="30">
        <f>'Equity Volume Data'!BC196*'Equity Price Data'!BF197</f>
        <v>11242.5</v>
      </c>
      <c r="BA196" s="30">
        <f>'Equity Volume Data'!BD196*'Equity Price Data'!BG197</f>
        <v>4997</v>
      </c>
      <c r="BB196" s="30">
        <f>'Equity Volume Data'!BE196*'Equity Price Data'!BH197</f>
        <v>9863.2</v>
      </c>
      <c r="BC196" s="30">
        <f>'Equity Volume Data'!BF196*'Equity Price Data'!BI197</f>
        <v>0</v>
      </c>
      <c r="BD196" s="30">
        <f>'Equity Volume Data'!BG196*'Equity Price Data'!BJ197</f>
        <v>56481.21</v>
      </c>
      <c r="BE196" s="30">
        <f>'Equity Volume Data'!BH196*'Equity Price Data'!BK197</f>
        <v>12248.65</v>
      </c>
      <c r="BF196" s="30">
        <f>'Equity Volume Data'!BI196*'Equity Price Data'!BL197</f>
        <v>7084.4</v>
      </c>
      <c r="BG196" s="30">
        <f>'Equity Volume Data'!BJ196*'Equity Price Data'!BM197</f>
        <v>20002.1</v>
      </c>
      <c r="BH196" s="30">
        <f>'Equity Volume Data'!BK196*'Equity Price Data'!BN197</f>
        <v>0</v>
      </c>
      <c r="BI196" s="30">
        <f>'Equity Volume Data'!BL196*'Equity Price Data'!BO197</f>
        <v>39288</v>
      </c>
      <c r="BJ196" s="30">
        <f>'Equity Volume Data'!BM196*'Equity Price Data'!BP197</f>
        <v>34981.5</v>
      </c>
      <c r="BK196" s="30">
        <f>'Equity Volume Data'!BN196*'Equity Price Data'!BQ197</f>
        <v>88532.26</v>
      </c>
      <c r="BL196" s="30">
        <f>'Equity Volume Data'!BO196*'Equity Price Data'!BR197</f>
        <v>528.75</v>
      </c>
      <c r="BM196" s="30">
        <f>'Equity Volume Data'!BP196*'Equity Price Data'!BS197</f>
        <v>10945.44</v>
      </c>
      <c r="BN196" s="30">
        <f>'Equity Volume Data'!BQ196*'Equity Price Data'!BT197</f>
        <v>20428.08</v>
      </c>
      <c r="BO196" s="30">
        <f>'Equity Volume Data'!BR196*'Equity Price Data'!BU197</f>
        <v>24411</v>
      </c>
    </row>
    <row r="197">
      <c r="A197" s="25">
        <f>'Equity Price Data'!A198</f>
        <v>45712.66667</v>
      </c>
      <c r="B197" s="29">
        <f t="shared" si="1"/>
        <v>1341127.6</v>
      </c>
      <c r="C197" s="30">
        <f>'Equity Volume Data'!F197*'Equity Price Data'!I198</f>
        <v>5777.46</v>
      </c>
      <c r="D197" s="30">
        <f>'Equity Volume Data'!G197*'Equity Price Data'!J198</f>
        <v>55304.6</v>
      </c>
      <c r="E197" s="30">
        <f>'Equity Volume Data'!H197*'Equity Price Data'!K198</f>
        <v>14694.9</v>
      </c>
      <c r="F197" s="30">
        <f>'Equity Volume Data'!I197*'Equity Price Data'!L198</f>
        <v>63257.6</v>
      </c>
      <c r="G197" s="30">
        <f>'Equity Volume Data'!J197*'Equity Price Data'!M198</f>
        <v>13991.31</v>
      </c>
      <c r="H197" s="30">
        <f>'Equity Volume Data'!K197*'Equity Price Data'!N198</f>
        <v>16545.88</v>
      </c>
      <c r="I197" s="30">
        <f>'Equity Volume Data'!L197*'Equity Price Data'!O198</f>
        <v>15110</v>
      </c>
      <c r="J197" s="30">
        <f>'Equity Volume Data'!M197*'Equity Price Data'!P198</f>
        <v>50838.84</v>
      </c>
      <c r="K197" s="30">
        <f>'Equity Volume Data'!N197*'Equity Price Data'!Q198</f>
        <v>10218</v>
      </c>
      <c r="L197" s="30">
        <f>'Equity Volume Data'!O197*'Equity Price Data'!R198</f>
        <v>17093.67</v>
      </c>
      <c r="M197" s="30">
        <f>'Equity Volume Data'!P197*'Equity Price Data'!S198</f>
        <v>0</v>
      </c>
      <c r="N197" s="30">
        <f>'Equity Volume Data'!Q197*'Equity Price Data'!T198</f>
        <v>5324</v>
      </c>
      <c r="O197" s="30">
        <f>'Equity Volume Data'!R197*'Equity Price Data'!U198</f>
        <v>50838</v>
      </c>
      <c r="P197" s="30">
        <f>'Equity Volume Data'!S197*'Equity Price Data'!V198</f>
        <v>18047.76</v>
      </c>
      <c r="Q197" s="30">
        <f>'Equity Volume Data'!T197*'Equity Price Data'!W198</f>
        <v>25825.2</v>
      </c>
      <c r="R197" s="30">
        <f>'Equity Volume Data'!U197*'Equity Price Data'!X198</f>
        <v>12631.2</v>
      </c>
      <c r="S197" s="30">
        <f>'Equity Volume Data'!V197*'Equity Price Data'!Y198</f>
        <v>26489.76</v>
      </c>
      <c r="T197" s="30">
        <f>'Equity Volume Data'!W197*'Equity Price Data'!Z198</f>
        <v>11092.5</v>
      </c>
      <c r="U197" s="30">
        <f>'Equity Volume Data'!X197*'Equity Price Data'!AA198</f>
        <v>18635.76</v>
      </c>
      <c r="V197" s="30">
        <f>'Equity Volume Data'!Y197*'Equity Price Data'!AB198</f>
        <v>16048.48</v>
      </c>
      <c r="W197" s="30">
        <f>'Equity Volume Data'!Z197*'Equity Price Data'!AC198</f>
        <v>11018.61</v>
      </c>
      <c r="X197" s="30">
        <f>'Equity Volume Data'!AA197*'Equity Price Data'!AD198</f>
        <v>0</v>
      </c>
      <c r="Y197" s="30">
        <f>'Equity Volume Data'!AB197*'Equity Price Data'!AE198</f>
        <v>5923.32</v>
      </c>
      <c r="Z197" s="30">
        <f>'Equity Volume Data'!AC197*'Equity Price Data'!AF198</f>
        <v>10498.5</v>
      </c>
      <c r="AA197" s="30">
        <f>'Equity Volume Data'!AD197*'Equity Price Data'!AG198</f>
        <v>18915.9</v>
      </c>
      <c r="AB197" s="30">
        <f>'Equity Volume Data'!AE197*'Equity Price Data'!AH198</f>
        <v>15212.4</v>
      </c>
      <c r="AC197" s="30">
        <f>'Equity Volume Data'!AF197*'Equity Price Data'!AI198</f>
        <v>19968.8</v>
      </c>
      <c r="AD197" s="30">
        <f>'Equity Volume Data'!AG197*'Equity Price Data'!AJ198</f>
        <v>11082.15</v>
      </c>
      <c r="AE197" s="30">
        <f>'Equity Volume Data'!AH197*'Equity Price Data'!AK198</f>
        <v>0</v>
      </c>
      <c r="AF197" s="30">
        <f>'Equity Volume Data'!AI197*'Equity Price Data'!AL198</f>
        <v>22761.15</v>
      </c>
      <c r="AG197" s="30">
        <f>'Equity Volume Data'!AJ197*'Equity Price Data'!AM198</f>
        <v>37568.4</v>
      </c>
      <c r="AH197" s="30">
        <f>'Equity Volume Data'!AK197*'Equity Price Data'!AN198</f>
        <v>38242</v>
      </c>
      <c r="AI197" s="30">
        <f>'Equity Volume Data'!AL197*'Equity Price Data'!AO198</f>
        <v>21927.5</v>
      </c>
      <c r="AJ197" s="30">
        <f>'Equity Volume Data'!AM197*'Equity Price Data'!AP198</f>
        <v>21894.6</v>
      </c>
      <c r="AK197" s="30">
        <f>'Equity Volume Data'!AN197*'Equity Price Data'!AQ198</f>
        <v>27777.47</v>
      </c>
      <c r="AL197" s="30">
        <f>'Equity Volume Data'!AO197*'Equity Price Data'!AR198</f>
        <v>41814.4</v>
      </c>
      <c r="AM197" s="30">
        <f>'Equity Volume Data'!AP197*'Equity Price Data'!AS198</f>
        <v>30818.9</v>
      </c>
      <c r="AN197" s="30">
        <f>'Equity Volume Data'!AQ197*'Equity Price Data'!AT198</f>
        <v>12887.7</v>
      </c>
      <c r="AO197" s="30">
        <f>'Equity Volume Data'!AR197*'Equity Price Data'!AU198</f>
        <v>25731.02</v>
      </c>
      <c r="AP197" s="30">
        <f>'Equity Volume Data'!AS197*'Equity Price Data'!AV198</f>
        <v>22542.5</v>
      </c>
      <c r="AQ197" s="30">
        <f>'Equity Volume Data'!AT197*'Equity Price Data'!AW198</f>
        <v>17866.2</v>
      </c>
      <c r="AR197" s="30">
        <f>'Equity Volume Data'!AU197*'Equity Price Data'!AX198</f>
        <v>10266.21</v>
      </c>
      <c r="AS197" s="30">
        <f>'Equity Volume Data'!AV197*'Equity Price Data'!AY198</f>
        <v>48480</v>
      </c>
      <c r="AT197" s="30">
        <f>'Equity Volume Data'!AW197*'Equity Price Data'!AZ198</f>
        <v>14160</v>
      </c>
      <c r="AU197" s="30">
        <f>'Equity Volume Data'!AX197*'Equity Price Data'!BA198</f>
        <v>0</v>
      </c>
      <c r="AV197" s="30">
        <f>'Equity Volume Data'!AY197*'Equity Price Data'!BB198</f>
        <v>18499.76</v>
      </c>
      <c r="AW197" s="30">
        <f>'Equity Volume Data'!AZ197*'Equity Price Data'!BC198</f>
        <v>3947.2</v>
      </c>
      <c r="AX197" s="30">
        <f>'Equity Volume Data'!BA197*'Equity Price Data'!BD198</f>
        <v>3900</v>
      </c>
      <c r="AY197" s="30">
        <f>'Equity Volume Data'!BB197*'Equity Price Data'!BE198</f>
        <v>36453.36</v>
      </c>
      <c r="AZ197" s="30">
        <f>'Equity Volume Data'!BC197*'Equity Price Data'!BF198</f>
        <v>11287.5</v>
      </c>
      <c r="BA197" s="30">
        <f>'Equity Volume Data'!BD197*'Equity Price Data'!BG198</f>
        <v>5063.5</v>
      </c>
      <c r="BB197" s="30">
        <f>'Equity Volume Data'!BE197*'Equity Price Data'!BH198</f>
        <v>10034.4</v>
      </c>
      <c r="BC197" s="30">
        <f>'Equity Volume Data'!BF197*'Equity Price Data'!BI198</f>
        <v>0</v>
      </c>
      <c r="BD197" s="30">
        <f>'Equity Volume Data'!BG197*'Equity Price Data'!BJ198</f>
        <v>57111.69</v>
      </c>
      <c r="BE197" s="30">
        <f>'Equity Volume Data'!BH197*'Equity Price Data'!BK198</f>
        <v>12317.65</v>
      </c>
      <c r="BF197" s="30">
        <f>'Equity Volume Data'!BI197*'Equity Price Data'!BL198</f>
        <v>7064.8</v>
      </c>
      <c r="BG197" s="30">
        <f>'Equity Volume Data'!BJ197*'Equity Price Data'!BM198</f>
        <v>21439.36</v>
      </c>
      <c r="BH197" s="30">
        <f>'Equity Volume Data'!BK197*'Equity Price Data'!BN198</f>
        <v>0</v>
      </c>
      <c r="BI197" s="30">
        <f>'Equity Volume Data'!BL197*'Equity Price Data'!BO198</f>
        <v>38772.8</v>
      </c>
      <c r="BJ197" s="30">
        <f>'Equity Volume Data'!BM197*'Equity Price Data'!BP198</f>
        <v>34614</v>
      </c>
      <c r="BK197" s="30">
        <f>'Equity Volume Data'!BN197*'Equity Price Data'!BQ198</f>
        <v>88622.36</v>
      </c>
      <c r="BL197" s="30">
        <f>'Equity Volume Data'!BO197*'Equity Price Data'!BR198</f>
        <v>535.33</v>
      </c>
      <c r="BM197" s="30">
        <f>'Equity Volume Data'!BP197*'Equity Price Data'!BS198</f>
        <v>11024.64</v>
      </c>
      <c r="BN197" s="30">
        <f>'Equity Volume Data'!BQ197*'Equity Price Data'!BT198</f>
        <v>20905.6</v>
      </c>
      <c r="BO197" s="30">
        <f>'Equity Volume Data'!BR197*'Equity Price Data'!BU198</f>
        <v>24411</v>
      </c>
    </row>
    <row r="198">
      <c r="A198" s="25">
        <f>'Equity Price Data'!A199</f>
        <v>45713.66667</v>
      </c>
      <c r="B198" s="29">
        <f t="shared" si="1"/>
        <v>1343829.19</v>
      </c>
      <c r="C198" s="30">
        <f>'Equity Volume Data'!F198*'Equity Price Data'!I199</f>
        <v>5764.33</v>
      </c>
      <c r="D198" s="30">
        <f>'Equity Volume Data'!G198*'Equity Price Data'!J199</f>
        <v>55328</v>
      </c>
      <c r="E198" s="30">
        <f>'Equity Volume Data'!H198*'Equity Price Data'!K199</f>
        <v>15097.5</v>
      </c>
      <c r="F198" s="30">
        <f>'Equity Volume Data'!I198*'Equity Price Data'!L199</f>
        <v>63242.24</v>
      </c>
      <c r="G198" s="30">
        <f>'Equity Volume Data'!J198*'Equity Price Data'!M199</f>
        <v>13739.82</v>
      </c>
      <c r="H198" s="30">
        <f>'Equity Volume Data'!K198*'Equity Price Data'!N199</f>
        <v>16309</v>
      </c>
      <c r="I198" s="30">
        <f>'Equity Volume Data'!L198*'Equity Price Data'!O199</f>
        <v>15450</v>
      </c>
      <c r="J198" s="30">
        <f>'Equity Volume Data'!M198*'Equity Price Data'!P199</f>
        <v>50981.64</v>
      </c>
      <c r="K198" s="30">
        <f>'Equity Volume Data'!N198*'Equity Price Data'!Q199</f>
        <v>10140</v>
      </c>
      <c r="L198" s="30">
        <f>'Equity Volume Data'!O198*'Equity Price Data'!R199</f>
        <v>17358.66</v>
      </c>
      <c r="M198" s="30">
        <f>'Equity Volume Data'!P198*'Equity Price Data'!S199</f>
        <v>0</v>
      </c>
      <c r="N198" s="30">
        <f>'Equity Volume Data'!Q198*'Equity Price Data'!T199</f>
        <v>5376</v>
      </c>
      <c r="O198" s="30">
        <f>'Equity Volume Data'!R198*'Equity Price Data'!U199</f>
        <v>51354</v>
      </c>
      <c r="P198" s="30">
        <f>'Equity Volume Data'!S198*'Equity Price Data'!V199</f>
        <v>18177.03</v>
      </c>
      <c r="Q198" s="30">
        <f>'Equity Volume Data'!T198*'Equity Price Data'!W199</f>
        <v>26235.6</v>
      </c>
      <c r="R198" s="30">
        <f>'Equity Volume Data'!U198*'Equity Price Data'!X199</f>
        <v>12513.6</v>
      </c>
      <c r="S198" s="30">
        <f>'Equity Volume Data'!V198*'Equity Price Data'!Y199</f>
        <v>27623.2</v>
      </c>
      <c r="T198" s="30">
        <f>'Equity Volume Data'!W198*'Equity Price Data'!Z199</f>
        <v>11102.5</v>
      </c>
      <c r="U198" s="30">
        <f>'Equity Volume Data'!X198*'Equity Price Data'!AA199</f>
        <v>18873.36</v>
      </c>
      <c r="V198" s="30">
        <f>'Equity Volume Data'!Y198*'Equity Price Data'!AB199</f>
        <v>16256.17</v>
      </c>
      <c r="W198" s="30">
        <f>'Equity Volume Data'!Z198*'Equity Price Data'!AC199</f>
        <v>10913.04</v>
      </c>
      <c r="X198" s="30">
        <f>'Equity Volume Data'!AA198*'Equity Price Data'!AD199</f>
        <v>0</v>
      </c>
      <c r="Y198" s="30">
        <f>'Equity Volume Data'!AB198*'Equity Price Data'!AE199</f>
        <v>6111.82</v>
      </c>
      <c r="Z198" s="30">
        <f>'Equity Volume Data'!AC198*'Equity Price Data'!AF199</f>
        <v>10639.5</v>
      </c>
      <c r="AA198" s="30">
        <f>'Equity Volume Data'!AD198*'Equity Price Data'!AG199</f>
        <v>18654.1</v>
      </c>
      <c r="AB198" s="30">
        <f>'Equity Volume Data'!AE198*'Equity Price Data'!AH199</f>
        <v>15388.8</v>
      </c>
      <c r="AC198" s="30">
        <f>'Equity Volume Data'!AF198*'Equity Price Data'!AI199</f>
        <v>20180</v>
      </c>
      <c r="AD198" s="30">
        <f>'Equity Volume Data'!AG198*'Equity Price Data'!AJ199</f>
        <v>11245.95</v>
      </c>
      <c r="AE198" s="30">
        <f>'Equity Volume Data'!AH198*'Equity Price Data'!AK199</f>
        <v>0</v>
      </c>
      <c r="AF198" s="30">
        <f>'Equity Volume Data'!AI198*'Equity Price Data'!AL199</f>
        <v>22863.65</v>
      </c>
      <c r="AG198" s="30">
        <f>'Equity Volume Data'!AJ198*'Equity Price Data'!AM199</f>
        <v>36894.6</v>
      </c>
      <c r="AH198" s="30">
        <f>'Equity Volume Data'!AK198*'Equity Price Data'!AN199</f>
        <v>39329</v>
      </c>
      <c r="AI198" s="30">
        <f>'Equity Volume Data'!AL198*'Equity Price Data'!AO199</f>
        <v>21932.75</v>
      </c>
      <c r="AJ198" s="30">
        <f>'Equity Volume Data'!AM198*'Equity Price Data'!AP199</f>
        <v>22257.3</v>
      </c>
      <c r="AK198" s="30">
        <f>'Equity Volume Data'!AN198*'Equity Price Data'!AQ199</f>
        <v>26965.78</v>
      </c>
      <c r="AL198" s="30">
        <f>'Equity Volume Data'!AO198*'Equity Price Data'!AR199</f>
        <v>41184</v>
      </c>
      <c r="AM198" s="30">
        <f>'Equity Volume Data'!AP198*'Equity Price Data'!AS199</f>
        <v>31392.2</v>
      </c>
      <c r="AN198" s="30">
        <f>'Equity Volume Data'!AQ198*'Equity Price Data'!AT199</f>
        <v>12835.2</v>
      </c>
      <c r="AO198" s="30">
        <f>'Equity Volume Data'!AR198*'Equity Price Data'!AU199</f>
        <v>26234.88</v>
      </c>
      <c r="AP198" s="30">
        <f>'Equity Volume Data'!AS198*'Equity Price Data'!AV199</f>
        <v>22620</v>
      </c>
      <c r="AQ198" s="30">
        <f>'Equity Volume Data'!AT198*'Equity Price Data'!AW199</f>
        <v>18084</v>
      </c>
      <c r="AR198" s="30">
        <f>'Equity Volume Data'!AU198*'Equity Price Data'!AX199</f>
        <v>9965.88</v>
      </c>
      <c r="AS198" s="30">
        <f>'Equity Volume Data'!AV198*'Equity Price Data'!AY199</f>
        <v>47748</v>
      </c>
      <c r="AT198" s="30">
        <f>'Equity Volume Data'!AW198*'Equity Price Data'!AZ199</f>
        <v>14256</v>
      </c>
      <c r="AU198" s="30">
        <f>'Equity Volume Data'!AX198*'Equity Price Data'!BA199</f>
        <v>0</v>
      </c>
      <c r="AV198" s="30">
        <f>'Equity Volume Data'!AY198*'Equity Price Data'!BB199</f>
        <v>17981.46</v>
      </c>
      <c r="AW198" s="30">
        <f>'Equity Volume Data'!AZ198*'Equity Price Data'!BC199</f>
        <v>4002</v>
      </c>
      <c r="AX198" s="30">
        <f>'Equity Volume Data'!BA198*'Equity Price Data'!BD199</f>
        <v>3872</v>
      </c>
      <c r="AY198" s="30">
        <f>'Equity Volume Data'!BB198*'Equity Price Data'!BE199</f>
        <v>35311.68</v>
      </c>
      <c r="AZ198" s="30">
        <f>'Equity Volume Data'!BC198*'Equity Price Data'!BF199</f>
        <v>11110.5</v>
      </c>
      <c r="BA198" s="30">
        <f>'Equity Volume Data'!BD198*'Equity Price Data'!BG199</f>
        <v>5080.6</v>
      </c>
      <c r="BB198" s="30">
        <f>'Equity Volume Data'!BE198*'Equity Price Data'!BH199</f>
        <v>10187.2</v>
      </c>
      <c r="BC198" s="30">
        <f>'Equity Volume Data'!BF198*'Equity Price Data'!BI199</f>
        <v>0</v>
      </c>
      <c r="BD198" s="30">
        <f>'Equity Volume Data'!BG198*'Equity Price Data'!BJ199</f>
        <v>57625.02</v>
      </c>
      <c r="BE198" s="30">
        <f>'Equity Volume Data'!BH198*'Equity Price Data'!BK199</f>
        <v>12409.65</v>
      </c>
      <c r="BF198" s="30">
        <f>'Equity Volume Data'!BI198*'Equity Price Data'!BL199</f>
        <v>7178.4</v>
      </c>
      <c r="BG198" s="30">
        <f>'Equity Volume Data'!BJ198*'Equity Price Data'!BM199</f>
        <v>20294</v>
      </c>
      <c r="BH198" s="30">
        <f>'Equity Volume Data'!BK198*'Equity Price Data'!BN199</f>
        <v>0</v>
      </c>
      <c r="BI198" s="30">
        <f>'Equity Volume Data'!BL198*'Equity Price Data'!BO199</f>
        <v>39342.4</v>
      </c>
      <c r="BJ198" s="30">
        <f>'Equity Volume Data'!BM198*'Equity Price Data'!BP199</f>
        <v>35278.5</v>
      </c>
      <c r="BK198" s="30">
        <f>'Equity Volume Data'!BN198*'Equity Price Data'!BQ199</f>
        <v>88730.48</v>
      </c>
      <c r="BL198" s="30">
        <f>'Equity Volume Data'!BO198*'Equity Price Data'!BR199</f>
        <v>539.56</v>
      </c>
      <c r="BM198" s="30">
        <f>'Equity Volume Data'!BP198*'Equity Price Data'!BS199</f>
        <v>11076</v>
      </c>
      <c r="BN198" s="30">
        <f>'Equity Volume Data'!BQ198*'Equity Price Data'!BT199</f>
        <v>20779.64</v>
      </c>
      <c r="BO198" s="30">
        <f>'Equity Volume Data'!BR198*'Equity Price Data'!BU199</f>
        <v>24411</v>
      </c>
    </row>
    <row r="199">
      <c r="A199" s="25">
        <f>'Equity Price Data'!A200</f>
        <v>45714.66667</v>
      </c>
      <c r="B199" s="29">
        <f t="shared" si="1"/>
        <v>1343563.24</v>
      </c>
      <c r="C199" s="30">
        <f>'Equity Volume Data'!F199*'Equity Price Data'!I200</f>
        <v>5739.5</v>
      </c>
      <c r="D199" s="30">
        <f>'Equity Volume Data'!G199*'Equity Price Data'!J200</f>
        <v>55731</v>
      </c>
      <c r="E199" s="30">
        <f>'Equity Volume Data'!H199*'Equity Price Data'!K200</f>
        <v>14856.6</v>
      </c>
      <c r="F199" s="30">
        <f>'Equity Volume Data'!I199*'Equity Price Data'!L200</f>
        <v>61532.16</v>
      </c>
      <c r="G199" s="30">
        <f>'Equity Volume Data'!J199*'Equity Price Data'!M200</f>
        <v>13986.33</v>
      </c>
      <c r="H199" s="30">
        <f>'Equity Volume Data'!K199*'Equity Price Data'!N200</f>
        <v>16231.92</v>
      </c>
      <c r="I199" s="30">
        <f>'Equity Volume Data'!L199*'Equity Price Data'!O200</f>
        <v>15780</v>
      </c>
      <c r="J199" s="30">
        <f>'Equity Volume Data'!M199*'Equity Price Data'!P200</f>
        <v>50398.2</v>
      </c>
      <c r="K199" s="30">
        <f>'Equity Volume Data'!N199*'Equity Price Data'!Q200</f>
        <v>10044</v>
      </c>
      <c r="L199" s="30">
        <f>'Equity Volume Data'!O199*'Equity Price Data'!R200</f>
        <v>16999.29</v>
      </c>
      <c r="M199" s="30">
        <f>'Equity Volume Data'!P199*'Equity Price Data'!S200</f>
        <v>0</v>
      </c>
      <c r="N199" s="30">
        <f>'Equity Volume Data'!Q199*'Equity Price Data'!T200</f>
        <v>5288</v>
      </c>
      <c r="O199" s="30">
        <f>'Equity Volume Data'!R199*'Equity Price Data'!U200</f>
        <v>51387</v>
      </c>
      <c r="P199" s="30">
        <f>'Equity Volume Data'!S199*'Equity Price Data'!V200</f>
        <v>18648.24</v>
      </c>
      <c r="Q199" s="30">
        <f>'Equity Volume Data'!T199*'Equity Price Data'!W200</f>
        <v>26510.4</v>
      </c>
      <c r="R199" s="30">
        <f>'Equity Volume Data'!U199*'Equity Price Data'!X200</f>
        <v>12411.2</v>
      </c>
      <c r="S199" s="30">
        <f>'Equity Volume Data'!V199*'Equity Price Data'!Y200</f>
        <v>26869.92</v>
      </c>
      <c r="T199" s="30">
        <f>'Equity Volume Data'!W199*'Equity Price Data'!Z200</f>
        <v>11247.5</v>
      </c>
      <c r="U199" s="30">
        <f>'Equity Volume Data'!X199*'Equity Price Data'!AA200</f>
        <v>18691.2</v>
      </c>
      <c r="V199" s="30">
        <f>'Equity Volume Data'!Y199*'Equity Price Data'!AB200</f>
        <v>16093.56</v>
      </c>
      <c r="W199" s="30">
        <f>'Equity Volume Data'!Z199*'Equity Price Data'!AC200</f>
        <v>10997.22</v>
      </c>
      <c r="X199" s="30">
        <f>'Equity Volume Data'!AA199*'Equity Price Data'!AD200</f>
        <v>0</v>
      </c>
      <c r="Y199" s="30">
        <f>'Equity Volume Data'!AB199*'Equity Price Data'!AE200</f>
        <v>6228.43</v>
      </c>
      <c r="Z199" s="30">
        <f>'Equity Volume Data'!AC199*'Equity Price Data'!AF200</f>
        <v>10371</v>
      </c>
      <c r="AA199" s="30">
        <f>'Equity Volume Data'!AD199*'Equity Price Data'!AG200</f>
        <v>18608.2</v>
      </c>
      <c r="AB199" s="30">
        <f>'Equity Volume Data'!AE199*'Equity Price Data'!AH200</f>
        <v>15367.2</v>
      </c>
      <c r="AC199" s="30">
        <f>'Equity Volume Data'!AF199*'Equity Price Data'!AI200</f>
        <v>19200</v>
      </c>
      <c r="AD199" s="30">
        <f>'Equity Volume Data'!AG199*'Equity Price Data'!AJ200</f>
        <v>11215.8</v>
      </c>
      <c r="AE199" s="30">
        <f>'Equity Volume Data'!AH199*'Equity Price Data'!AK200</f>
        <v>0</v>
      </c>
      <c r="AF199" s="30">
        <f>'Equity Volume Data'!AI199*'Equity Price Data'!AL200</f>
        <v>22644.3</v>
      </c>
      <c r="AG199" s="30">
        <f>'Equity Volume Data'!AJ199*'Equity Price Data'!AM200</f>
        <v>37066.2</v>
      </c>
      <c r="AH199" s="30">
        <f>'Equity Volume Data'!AK199*'Equity Price Data'!AN200</f>
        <v>39048</v>
      </c>
      <c r="AI199" s="30">
        <f>'Equity Volume Data'!AL199*'Equity Price Data'!AO200</f>
        <v>25931.5</v>
      </c>
      <c r="AJ199" s="30">
        <f>'Equity Volume Data'!AM199*'Equity Price Data'!AP200</f>
        <v>22252.1</v>
      </c>
      <c r="AK199" s="30">
        <f>'Equity Volume Data'!AN199*'Equity Price Data'!AQ200</f>
        <v>27303.71</v>
      </c>
      <c r="AL199" s="30">
        <f>'Equity Volume Data'!AO199*'Equity Price Data'!AR200</f>
        <v>41406.4</v>
      </c>
      <c r="AM199" s="30">
        <f>'Equity Volume Data'!AP199*'Equity Price Data'!AS200</f>
        <v>30905</v>
      </c>
      <c r="AN199" s="30">
        <f>'Equity Volume Data'!AQ199*'Equity Price Data'!AT200</f>
        <v>12811.05</v>
      </c>
      <c r="AO199" s="30">
        <f>'Equity Volume Data'!AR199*'Equity Price Data'!AU200</f>
        <v>26303.2</v>
      </c>
      <c r="AP199" s="30">
        <f>'Equity Volume Data'!AS199*'Equity Price Data'!AV200</f>
        <v>22645</v>
      </c>
      <c r="AQ199" s="30">
        <f>'Equity Volume Data'!AT199*'Equity Price Data'!AW200</f>
        <v>18158.8</v>
      </c>
      <c r="AR199" s="30">
        <f>'Equity Volume Data'!AU199*'Equity Price Data'!AX200</f>
        <v>10054.71</v>
      </c>
      <c r="AS199" s="30">
        <f>'Equity Volume Data'!AV199*'Equity Price Data'!AY200</f>
        <v>47967.6</v>
      </c>
      <c r="AT199" s="30">
        <f>'Equity Volume Data'!AW199*'Equity Price Data'!AZ200</f>
        <v>14202</v>
      </c>
      <c r="AU199" s="30">
        <f>'Equity Volume Data'!AX199*'Equity Price Data'!BA200</f>
        <v>0</v>
      </c>
      <c r="AV199" s="30">
        <f>'Equity Volume Data'!AY199*'Equity Price Data'!BB200</f>
        <v>18641.76</v>
      </c>
      <c r="AW199" s="30">
        <f>'Equity Volume Data'!AZ199*'Equity Price Data'!BC200</f>
        <v>3949.2</v>
      </c>
      <c r="AX199" s="30">
        <f>'Equity Volume Data'!BA199*'Equity Price Data'!BD200</f>
        <v>3991.2</v>
      </c>
      <c r="AY199" s="30">
        <f>'Equity Volume Data'!BB199*'Equity Price Data'!BE200</f>
        <v>35902.62</v>
      </c>
      <c r="AZ199" s="30">
        <f>'Equity Volume Data'!BC199*'Equity Price Data'!BF200</f>
        <v>10807.5</v>
      </c>
      <c r="BA199" s="30">
        <f>'Equity Volume Data'!BD199*'Equity Price Data'!BG200</f>
        <v>5019.8</v>
      </c>
      <c r="BB199" s="30">
        <f>'Equity Volume Data'!BE199*'Equity Price Data'!BH200</f>
        <v>10184.8</v>
      </c>
      <c r="BC199" s="30">
        <f>'Equity Volume Data'!BF199*'Equity Price Data'!BI200</f>
        <v>0</v>
      </c>
      <c r="BD199" s="30">
        <f>'Equity Volume Data'!BG199*'Equity Price Data'!BJ200</f>
        <v>56142.54</v>
      </c>
      <c r="BE199" s="30">
        <f>'Equity Volume Data'!BH199*'Equity Price Data'!BK200</f>
        <v>12265.67</v>
      </c>
      <c r="BF199" s="30">
        <f>'Equity Volume Data'!BI199*'Equity Price Data'!BL200</f>
        <v>7248.4</v>
      </c>
      <c r="BG199" s="30">
        <f>'Equity Volume Data'!BJ199*'Equity Price Data'!BM200</f>
        <v>20505.28</v>
      </c>
      <c r="BH199" s="30">
        <f>'Equity Volume Data'!BK199*'Equity Price Data'!BN200</f>
        <v>0</v>
      </c>
      <c r="BI199" s="30">
        <f>'Equity Volume Data'!BL199*'Equity Price Data'!BO200</f>
        <v>39276.8</v>
      </c>
      <c r="BJ199" s="30">
        <f>'Equity Volume Data'!BM199*'Equity Price Data'!BP200</f>
        <v>34769.25</v>
      </c>
      <c r="BK199" s="30">
        <f>'Equity Volume Data'!BN199*'Equity Price Data'!BQ200</f>
        <v>88784.54</v>
      </c>
      <c r="BL199" s="30">
        <f>'Equity Volume Data'!BO199*'Equity Price Data'!BR200</f>
        <v>528.28</v>
      </c>
      <c r="BM199" s="30">
        <f>'Equity Volume Data'!BP199*'Equity Price Data'!BS200</f>
        <v>10977.12</v>
      </c>
      <c r="BN199" s="30">
        <f>'Equity Volume Data'!BQ199*'Equity Price Data'!BT200</f>
        <v>21024.04</v>
      </c>
      <c r="BO199" s="30">
        <f>'Equity Volume Data'!BR199*'Equity Price Data'!BU200</f>
        <v>24411</v>
      </c>
    </row>
    <row r="200">
      <c r="A200" s="25">
        <f>'Equity Price Data'!A201</f>
        <v>45715.66667</v>
      </c>
      <c r="B200" s="29">
        <f t="shared" si="1"/>
        <v>1332228.39</v>
      </c>
      <c r="C200" s="30">
        <f>'Equity Volume Data'!F200*'Equity Price Data'!I201</f>
        <v>5683.47</v>
      </c>
      <c r="D200" s="30">
        <f>'Equity Volume Data'!G200*'Equity Price Data'!J201</f>
        <v>54272.4</v>
      </c>
      <c r="E200" s="30">
        <f>'Equity Volume Data'!H200*'Equity Price Data'!K201</f>
        <v>14742.2</v>
      </c>
      <c r="F200" s="30">
        <f>'Equity Volume Data'!I200*'Equity Price Data'!L201</f>
        <v>60748.8</v>
      </c>
      <c r="G200" s="30">
        <f>'Equity Volume Data'!J200*'Equity Price Data'!M201</f>
        <v>13001.12</v>
      </c>
      <c r="H200" s="30">
        <f>'Equity Volume Data'!K200*'Equity Price Data'!N201</f>
        <v>16335.32</v>
      </c>
      <c r="I200" s="30">
        <f>'Equity Volume Data'!L200*'Equity Price Data'!O201</f>
        <v>15690</v>
      </c>
      <c r="J200" s="30">
        <f>'Equity Volume Data'!M200*'Equity Price Data'!P201</f>
        <v>51245.82</v>
      </c>
      <c r="K200" s="30">
        <f>'Equity Volume Data'!N200*'Equity Price Data'!Q201</f>
        <v>9872</v>
      </c>
      <c r="L200" s="30">
        <f>'Equity Volume Data'!O200*'Equity Price Data'!R201</f>
        <v>16925.48</v>
      </c>
      <c r="M200" s="30">
        <f>'Equity Volume Data'!P200*'Equity Price Data'!S201</f>
        <v>0</v>
      </c>
      <c r="N200" s="30">
        <f>'Equity Volume Data'!Q200*'Equity Price Data'!T201</f>
        <v>5126.4</v>
      </c>
      <c r="O200" s="30">
        <f>'Equity Volume Data'!R200*'Equity Price Data'!U201</f>
        <v>51000</v>
      </c>
      <c r="P200" s="30">
        <f>'Equity Volume Data'!S200*'Equity Price Data'!V201</f>
        <v>18131.16</v>
      </c>
      <c r="Q200" s="30">
        <f>'Equity Volume Data'!T200*'Equity Price Data'!W201</f>
        <v>26002.8</v>
      </c>
      <c r="R200" s="30">
        <f>'Equity Volume Data'!U200*'Equity Price Data'!X201</f>
        <v>12533.6</v>
      </c>
      <c r="S200" s="30">
        <f>'Equity Volume Data'!V200*'Equity Price Data'!Y201</f>
        <v>26656.96</v>
      </c>
      <c r="T200" s="30">
        <f>'Equity Volume Data'!W200*'Equity Price Data'!Z201</f>
        <v>11292.5</v>
      </c>
      <c r="U200" s="30">
        <f>'Equity Volume Data'!X200*'Equity Price Data'!AA201</f>
        <v>18709.68</v>
      </c>
      <c r="V200" s="30">
        <f>'Equity Volume Data'!Y200*'Equity Price Data'!AB201</f>
        <v>16087.12</v>
      </c>
      <c r="W200" s="30">
        <f>'Equity Volume Data'!Z200*'Equity Price Data'!AC201</f>
        <v>10851.63</v>
      </c>
      <c r="X200" s="30">
        <f>'Equity Volume Data'!AA200*'Equity Price Data'!AD201</f>
        <v>0</v>
      </c>
      <c r="Y200" s="30">
        <f>'Equity Volume Data'!AB200*'Equity Price Data'!AE201</f>
        <v>6269.64</v>
      </c>
      <c r="Z200" s="30">
        <f>'Equity Volume Data'!AC200*'Equity Price Data'!AF201</f>
        <v>9522</v>
      </c>
      <c r="AA200" s="30">
        <f>'Equity Volume Data'!AD200*'Equity Price Data'!AG201</f>
        <v>18725.5</v>
      </c>
      <c r="AB200" s="30">
        <f>'Equity Volume Data'!AE200*'Equity Price Data'!AH201</f>
        <v>15512.4</v>
      </c>
      <c r="AC200" s="30">
        <f>'Equity Volume Data'!AF200*'Equity Price Data'!AI201</f>
        <v>18420</v>
      </c>
      <c r="AD200" s="30">
        <f>'Equity Volume Data'!AG200*'Equity Price Data'!AJ201</f>
        <v>11322.9</v>
      </c>
      <c r="AE200" s="30">
        <f>'Equity Volume Data'!AH200*'Equity Price Data'!AK201</f>
        <v>0</v>
      </c>
      <c r="AF200" s="30">
        <f>'Equity Volume Data'!AI200*'Equity Price Data'!AL201</f>
        <v>22957.95</v>
      </c>
      <c r="AG200" s="30">
        <f>'Equity Volume Data'!AJ200*'Equity Price Data'!AM201</f>
        <v>36480</v>
      </c>
      <c r="AH200" s="30">
        <f>'Equity Volume Data'!AK200*'Equity Price Data'!AN201</f>
        <v>39027</v>
      </c>
      <c r="AI200" s="30">
        <f>'Equity Volume Data'!AL200*'Equity Price Data'!AO201</f>
        <v>26176.5</v>
      </c>
      <c r="AJ200" s="30">
        <f>'Equity Volume Data'!AM200*'Equity Price Data'!AP201</f>
        <v>22209.2</v>
      </c>
      <c r="AK200" s="30">
        <f>'Equity Volume Data'!AN200*'Equity Price Data'!AQ201</f>
        <v>26497.19</v>
      </c>
      <c r="AL200" s="30">
        <f>'Equity Volume Data'!AO200*'Equity Price Data'!AR201</f>
        <v>41448</v>
      </c>
      <c r="AM200" s="30">
        <f>'Equity Volume Data'!AP200*'Equity Price Data'!AS201</f>
        <v>31252.2</v>
      </c>
      <c r="AN200" s="30">
        <f>'Equity Volume Data'!AQ200*'Equity Price Data'!AT201</f>
        <v>12675.6</v>
      </c>
      <c r="AO200" s="30">
        <f>'Equity Volume Data'!AR200*'Equity Price Data'!AU201</f>
        <v>26277.58</v>
      </c>
      <c r="AP200" s="30">
        <f>'Equity Volume Data'!AS200*'Equity Price Data'!AV201</f>
        <v>22685</v>
      </c>
      <c r="AQ200" s="30">
        <f>'Equity Volume Data'!AT200*'Equity Price Data'!AW201</f>
        <v>18491</v>
      </c>
      <c r="AR200" s="30">
        <f>'Equity Volume Data'!AU200*'Equity Price Data'!AX201</f>
        <v>9923.58</v>
      </c>
      <c r="AS200" s="30">
        <f>'Equity Volume Data'!AV200*'Equity Price Data'!AY201</f>
        <v>47103.6</v>
      </c>
      <c r="AT200" s="30">
        <f>'Equity Volume Data'!AW200*'Equity Price Data'!AZ201</f>
        <v>13876</v>
      </c>
      <c r="AU200" s="30">
        <f>'Equity Volume Data'!AX200*'Equity Price Data'!BA201</f>
        <v>0</v>
      </c>
      <c r="AV200" s="30">
        <f>'Equity Volume Data'!AY200*'Equity Price Data'!BB201</f>
        <v>17061.3</v>
      </c>
      <c r="AW200" s="30">
        <f>'Equity Volume Data'!AZ200*'Equity Price Data'!BC201</f>
        <v>3923.6</v>
      </c>
      <c r="AX200" s="30">
        <f>'Equity Volume Data'!BA200*'Equity Price Data'!BD201</f>
        <v>3735.2</v>
      </c>
      <c r="AY200" s="30">
        <f>'Equity Volume Data'!BB200*'Equity Price Data'!BE201</f>
        <v>34077.54</v>
      </c>
      <c r="AZ200" s="30">
        <f>'Equity Volume Data'!BC200*'Equity Price Data'!BF201</f>
        <v>10609.5</v>
      </c>
      <c r="BA200" s="30">
        <f>'Equity Volume Data'!BD200*'Equity Price Data'!BG201</f>
        <v>4959</v>
      </c>
      <c r="BB200" s="30">
        <f>'Equity Volume Data'!BE200*'Equity Price Data'!BH201</f>
        <v>10441.6</v>
      </c>
      <c r="BC200" s="30">
        <f>'Equity Volume Data'!BF200*'Equity Price Data'!BI201</f>
        <v>0</v>
      </c>
      <c r="BD200" s="30">
        <f>'Equity Volume Data'!BG200*'Equity Price Data'!BJ201</f>
        <v>56268.21</v>
      </c>
      <c r="BE200" s="30">
        <f>'Equity Volume Data'!BH200*'Equity Price Data'!BK201</f>
        <v>12034.29</v>
      </c>
      <c r="BF200" s="30">
        <f>'Equity Volume Data'!BI200*'Equity Price Data'!BL201</f>
        <v>7291.2</v>
      </c>
      <c r="BG200" s="30">
        <f>'Equity Volume Data'!BJ200*'Equity Price Data'!BM201</f>
        <v>20049.36</v>
      </c>
      <c r="BH200" s="30">
        <f>'Equity Volume Data'!BK200*'Equity Price Data'!BN201</f>
        <v>0</v>
      </c>
      <c r="BI200" s="30">
        <f>'Equity Volume Data'!BL200*'Equity Price Data'!BO201</f>
        <v>39211.2</v>
      </c>
      <c r="BJ200" s="30">
        <f>'Equity Volume Data'!BM200*'Equity Price Data'!BP201</f>
        <v>35142</v>
      </c>
      <c r="BK200" s="30">
        <f>'Equity Volume Data'!BN200*'Equity Price Data'!BQ201</f>
        <v>88856.62</v>
      </c>
      <c r="BL200" s="30">
        <f>'Equity Volume Data'!BO200*'Equity Price Data'!BR201</f>
        <v>447.91</v>
      </c>
      <c r="BM200" s="30">
        <f>'Equity Volume Data'!BP200*'Equity Price Data'!BS201</f>
        <v>11021.28</v>
      </c>
      <c r="BN200" s="30">
        <f>'Equity Volume Data'!BQ200*'Equity Price Data'!BT201</f>
        <v>20926.28</v>
      </c>
      <c r="BO200" s="30">
        <f>'Equity Volume Data'!BR200*'Equity Price Data'!BU201</f>
        <v>24411</v>
      </c>
    </row>
    <row r="201">
      <c r="A201" s="25">
        <f>'Equity Price Data'!A202</f>
        <v>45716.66667</v>
      </c>
      <c r="B201" s="29">
        <f t="shared" si="1"/>
        <v>1351496.6</v>
      </c>
      <c r="C201" s="30">
        <f>'Equity Volume Data'!F201*'Equity Price Data'!I202</f>
        <v>5701.28</v>
      </c>
      <c r="D201" s="30">
        <f>'Equity Volume Data'!G201*'Equity Price Data'!J202</f>
        <v>55192.8</v>
      </c>
      <c r="E201" s="30">
        <f>'Equity Volume Data'!H201*'Equity Price Data'!K202</f>
        <v>14956.7</v>
      </c>
      <c r="F201" s="30">
        <f>'Equity Volume Data'!I201*'Equity Price Data'!L202</f>
        <v>61911.04</v>
      </c>
      <c r="G201" s="30">
        <f>'Equity Volume Data'!J201*'Equity Price Data'!M202</f>
        <v>13119.81</v>
      </c>
      <c r="H201" s="30">
        <f>'Equity Volume Data'!K201*'Equity Price Data'!N202</f>
        <v>16722.6</v>
      </c>
      <c r="I201" s="30">
        <f>'Equity Volume Data'!L201*'Equity Price Data'!O202</f>
        <v>15840</v>
      </c>
      <c r="J201" s="30">
        <f>'Equity Volume Data'!M201*'Equity Price Data'!P202</f>
        <v>52410.66</v>
      </c>
      <c r="K201" s="30">
        <f>'Equity Volume Data'!N201*'Equity Price Data'!Q202</f>
        <v>9696</v>
      </c>
      <c r="L201" s="30">
        <f>'Equity Volume Data'!O201*'Equity Price Data'!R202</f>
        <v>17000.5</v>
      </c>
      <c r="M201" s="30">
        <f>'Equity Volume Data'!P201*'Equity Price Data'!S202</f>
        <v>0</v>
      </c>
      <c r="N201" s="30">
        <f>'Equity Volume Data'!Q201*'Equity Price Data'!T202</f>
        <v>5184</v>
      </c>
      <c r="O201" s="30">
        <f>'Equity Volume Data'!R201*'Equity Price Data'!U202</f>
        <v>51592.5</v>
      </c>
      <c r="P201" s="30">
        <f>'Equity Volume Data'!S201*'Equity Price Data'!V202</f>
        <v>18364.68</v>
      </c>
      <c r="Q201" s="30">
        <f>'Equity Volume Data'!T201*'Equity Price Data'!W202</f>
        <v>26431.2</v>
      </c>
      <c r="R201" s="30">
        <f>'Equity Volume Data'!U201*'Equity Price Data'!X202</f>
        <v>12689.6</v>
      </c>
      <c r="S201" s="30">
        <f>'Equity Volume Data'!V201*'Equity Price Data'!Y202</f>
        <v>27178.8</v>
      </c>
      <c r="T201" s="30">
        <f>'Equity Volume Data'!W201*'Equity Price Data'!Z202</f>
        <v>11442.5</v>
      </c>
      <c r="U201" s="30">
        <f>'Equity Volume Data'!X201*'Equity Price Data'!AA202</f>
        <v>18799.44</v>
      </c>
      <c r="V201" s="30">
        <f>'Equity Volume Data'!Y201*'Equity Price Data'!AB202</f>
        <v>16344.72</v>
      </c>
      <c r="W201" s="30">
        <f>'Equity Volume Data'!Z201*'Equity Price Data'!AC202</f>
        <v>10786.08</v>
      </c>
      <c r="X201" s="30">
        <f>'Equity Volume Data'!AA201*'Equity Price Data'!AD202</f>
        <v>0</v>
      </c>
      <c r="Y201" s="30">
        <f>'Equity Volume Data'!AB201*'Equity Price Data'!AE202</f>
        <v>6366.23</v>
      </c>
      <c r="Z201" s="30">
        <f>'Equity Volume Data'!AC201*'Equity Price Data'!AF202</f>
        <v>9711</v>
      </c>
      <c r="AA201" s="30">
        <f>'Equity Volume Data'!AD201*'Equity Price Data'!AG202</f>
        <v>18926.1</v>
      </c>
      <c r="AB201" s="30">
        <f>'Equity Volume Data'!AE201*'Equity Price Data'!AH202</f>
        <v>15774</v>
      </c>
      <c r="AC201" s="30">
        <f>'Equity Volume Data'!AF201*'Equity Price Data'!AI202</f>
        <v>18582.8</v>
      </c>
      <c r="AD201" s="30">
        <f>'Equity Volume Data'!AG201*'Equity Price Data'!AJ202</f>
        <v>11367</v>
      </c>
      <c r="AE201" s="30">
        <f>'Equity Volume Data'!AH201*'Equity Price Data'!AK202</f>
        <v>0</v>
      </c>
      <c r="AF201" s="30">
        <f>'Equity Volume Data'!AI201*'Equity Price Data'!AL202</f>
        <v>23433.55</v>
      </c>
      <c r="AG201" s="30">
        <f>'Equity Volume Data'!AJ201*'Equity Price Data'!AM202</f>
        <v>37337.4</v>
      </c>
      <c r="AH201" s="30">
        <f>'Equity Volume Data'!AK201*'Equity Price Data'!AN202</f>
        <v>39660</v>
      </c>
      <c r="AI201" s="30">
        <f>'Equity Volume Data'!AL201*'Equity Price Data'!AO202</f>
        <v>26680.5</v>
      </c>
      <c r="AJ201" s="30">
        <f>'Equity Volume Data'!AM201*'Equity Price Data'!AP202</f>
        <v>22519.9</v>
      </c>
      <c r="AK201" s="30">
        <f>'Equity Volume Data'!AN201*'Equity Price Data'!AQ202</f>
        <v>26938.05</v>
      </c>
      <c r="AL201" s="30">
        <f>'Equity Volume Data'!AO201*'Equity Price Data'!AR202</f>
        <v>42344</v>
      </c>
      <c r="AM201" s="30">
        <f>'Equity Volume Data'!AP201*'Equity Price Data'!AS202</f>
        <v>31525.9</v>
      </c>
      <c r="AN201" s="30">
        <f>'Equity Volume Data'!AQ201*'Equity Price Data'!AT202</f>
        <v>12796.35</v>
      </c>
      <c r="AO201" s="30">
        <f>'Equity Volume Data'!AR201*'Equity Price Data'!AU202</f>
        <v>26610.64</v>
      </c>
      <c r="AP201" s="30">
        <f>'Equity Volume Data'!AS201*'Equity Price Data'!AV202</f>
        <v>23005</v>
      </c>
      <c r="AQ201" s="30">
        <f>'Equity Volume Data'!AT201*'Equity Price Data'!AW202</f>
        <v>18959.6</v>
      </c>
      <c r="AR201" s="30">
        <f>'Equity Volume Data'!AU201*'Equity Price Data'!AX202</f>
        <v>10156.23</v>
      </c>
      <c r="AS201" s="30">
        <f>'Equity Volume Data'!AV201*'Equity Price Data'!AY202</f>
        <v>47638.8</v>
      </c>
      <c r="AT201" s="30">
        <f>'Equity Volume Data'!AW201*'Equity Price Data'!AZ202</f>
        <v>14034</v>
      </c>
      <c r="AU201" s="30">
        <f>'Equity Volume Data'!AX201*'Equity Price Data'!BA202</f>
        <v>0</v>
      </c>
      <c r="AV201" s="30">
        <f>'Equity Volume Data'!AY201*'Equity Price Data'!BB202</f>
        <v>17738.64</v>
      </c>
      <c r="AW201" s="30">
        <f>'Equity Volume Data'!AZ201*'Equity Price Data'!BC202</f>
        <v>3991.2</v>
      </c>
      <c r="AX201" s="30">
        <f>'Equity Volume Data'!BA201*'Equity Price Data'!BD202</f>
        <v>3878.4</v>
      </c>
      <c r="AY201" s="30">
        <f>'Equity Volume Data'!BB201*'Equity Price Data'!BE202</f>
        <v>34137.84</v>
      </c>
      <c r="AZ201" s="30">
        <f>'Equity Volume Data'!BC201*'Equity Price Data'!BF202</f>
        <v>10657.5</v>
      </c>
      <c r="BA201" s="30">
        <f>'Equity Volume Data'!BD201*'Equity Price Data'!BG202</f>
        <v>5021.7</v>
      </c>
      <c r="BB201" s="30">
        <f>'Equity Volume Data'!BE201*'Equity Price Data'!BH202</f>
        <v>10639.2</v>
      </c>
      <c r="BC201" s="30">
        <f>'Equity Volume Data'!BF201*'Equity Price Data'!BI202</f>
        <v>0</v>
      </c>
      <c r="BD201" s="30">
        <f>'Equity Volume Data'!BG201*'Equity Price Data'!BJ202</f>
        <v>57443.97</v>
      </c>
      <c r="BE201" s="30">
        <f>'Equity Volume Data'!BH201*'Equity Price Data'!BK202</f>
        <v>12166.08</v>
      </c>
      <c r="BF201" s="30">
        <f>'Equity Volume Data'!BI201*'Equity Price Data'!BL202</f>
        <v>7259.2</v>
      </c>
      <c r="BG201" s="30">
        <f>'Equity Volume Data'!BJ201*'Equity Price Data'!BM202</f>
        <v>21216.96</v>
      </c>
      <c r="BH201" s="30">
        <f>'Equity Volume Data'!BK201*'Equity Price Data'!BN202</f>
        <v>0</v>
      </c>
      <c r="BI201" s="30">
        <f>'Equity Volume Data'!BL201*'Equity Price Data'!BO202</f>
        <v>39470.4</v>
      </c>
      <c r="BJ201" s="30">
        <f>'Equity Volume Data'!BM201*'Equity Price Data'!BP202</f>
        <v>35622</v>
      </c>
      <c r="BK201" s="30">
        <f>'Equity Volume Data'!BN201*'Equity Price Data'!BQ202</f>
        <v>89108.9</v>
      </c>
      <c r="BL201" s="30">
        <f>'Equity Volume Data'!BO201*'Equity Price Data'!BR202</f>
        <v>433.81</v>
      </c>
      <c r="BM201" s="30">
        <f>'Equity Volume Data'!BP201*'Equity Price Data'!BS202</f>
        <v>11173.44</v>
      </c>
      <c r="BN201" s="30">
        <f>'Equity Volume Data'!BQ201*'Equity Price Data'!BT202</f>
        <v>21394.4</v>
      </c>
      <c r="BO201" s="30">
        <f>'Equity Volume Data'!BR201*'Equity Price Data'!BU202</f>
        <v>24411</v>
      </c>
    </row>
    <row r="202">
      <c r="A202" s="25">
        <f>'Equity Price Data'!A203</f>
        <v>45719.66667</v>
      </c>
      <c r="B202" s="29">
        <f t="shared" si="1"/>
        <v>1335407.18</v>
      </c>
      <c r="C202" s="30">
        <f>'Equity Volume Data'!F202*'Equity Price Data'!I203</f>
        <v>5729.36</v>
      </c>
      <c r="D202" s="30">
        <f>'Equity Volume Data'!G202*'Equity Price Data'!J203</f>
        <v>53305.2</v>
      </c>
      <c r="E202" s="30">
        <f>'Equity Volume Data'!H202*'Equity Price Data'!K203</f>
        <v>15352.7</v>
      </c>
      <c r="F202" s="30">
        <f>'Equity Volume Data'!I202*'Equity Price Data'!L203</f>
        <v>60935.68</v>
      </c>
      <c r="G202" s="30">
        <f>'Equity Volume Data'!J202*'Equity Price Data'!M203</f>
        <v>12626.79</v>
      </c>
      <c r="H202" s="30">
        <f>'Equity Volume Data'!K202*'Equity Price Data'!N203</f>
        <v>16609.8</v>
      </c>
      <c r="I202" s="30">
        <f>'Equity Volume Data'!L202*'Equity Price Data'!O203</f>
        <v>15830</v>
      </c>
      <c r="J202" s="30">
        <f>'Equity Volume Data'!M202*'Equity Price Data'!P203</f>
        <v>52028.16</v>
      </c>
      <c r="K202" s="30">
        <f>'Equity Volume Data'!N202*'Equity Price Data'!Q203</f>
        <v>9768</v>
      </c>
      <c r="L202" s="30">
        <f>'Equity Volume Data'!O202*'Equity Price Data'!R203</f>
        <v>17146.91</v>
      </c>
      <c r="M202" s="30">
        <f>'Equity Volume Data'!P202*'Equity Price Data'!S203</f>
        <v>0</v>
      </c>
      <c r="N202" s="30">
        <f>'Equity Volume Data'!Q202*'Equity Price Data'!T203</f>
        <v>5060.8</v>
      </c>
      <c r="O202" s="30">
        <f>'Equity Volume Data'!R202*'Equity Price Data'!U203</f>
        <v>49806</v>
      </c>
      <c r="P202" s="30">
        <f>'Equity Volume Data'!S202*'Equity Price Data'!V203</f>
        <v>17142.87</v>
      </c>
      <c r="Q202" s="30">
        <f>'Equity Volume Data'!T202*'Equity Price Data'!W203</f>
        <v>26530.8</v>
      </c>
      <c r="R202" s="30">
        <f>'Equity Volume Data'!U202*'Equity Price Data'!X203</f>
        <v>12247.2</v>
      </c>
      <c r="S202" s="30">
        <f>'Equity Volume Data'!V202*'Equity Price Data'!Y203</f>
        <v>27412.88</v>
      </c>
      <c r="T202" s="30">
        <f>'Equity Volume Data'!W202*'Equity Price Data'!Z203</f>
        <v>11262.5</v>
      </c>
      <c r="U202" s="30">
        <f>'Equity Volume Data'!X202*'Equity Price Data'!AA203</f>
        <v>19092.48</v>
      </c>
      <c r="V202" s="30">
        <f>'Equity Volume Data'!Y202*'Equity Price Data'!AB203</f>
        <v>16747.22</v>
      </c>
      <c r="W202" s="30">
        <f>'Equity Volume Data'!Z202*'Equity Price Data'!AC203</f>
        <v>10716.39</v>
      </c>
      <c r="X202" s="30">
        <f>'Equity Volume Data'!AA202*'Equity Price Data'!AD203</f>
        <v>0</v>
      </c>
      <c r="Y202" s="30">
        <f>'Equity Volume Data'!AB202*'Equity Price Data'!AE203</f>
        <v>6289.66</v>
      </c>
      <c r="Z202" s="30">
        <f>'Equity Volume Data'!AC202*'Equity Price Data'!AF203</f>
        <v>9783</v>
      </c>
      <c r="AA202" s="30">
        <f>'Equity Volume Data'!AD202*'Equity Price Data'!AG203</f>
        <v>18319.2</v>
      </c>
      <c r="AB202" s="30">
        <f>'Equity Volume Data'!AE202*'Equity Price Data'!AH203</f>
        <v>15526.2</v>
      </c>
      <c r="AC202" s="30">
        <f>'Equity Volume Data'!AF202*'Equity Price Data'!AI203</f>
        <v>18568</v>
      </c>
      <c r="AD202" s="30">
        <f>'Equity Volume Data'!AG202*'Equity Price Data'!AJ203</f>
        <v>11431.8</v>
      </c>
      <c r="AE202" s="30">
        <f>'Equity Volume Data'!AH202*'Equity Price Data'!AK203</f>
        <v>0</v>
      </c>
      <c r="AF202" s="30">
        <f>'Equity Volume Data'!AI202*'Equity Price Data'!AL203</f>
        <v>23777.95</v>
      </c>
      <c r="AG202" s="30">
        <f>'Equity Volume Data'!AJ202*'Equity Price Data'!AM203</f>
        <v>36315.6</v>
      </c>
      <c r="AH202" s="30">
        <f>'Equity Volume Data'!AK202*'Equity Price Data'!AN203</f>
        <v>38969</v>
      </c>
      <c r="AI202" s="30">
        <f>'Equity Volume Data'!AL202*'Equity Price Data'!AO203</f>
        <v>25973.5</v>
      </c>
      <c r="AJ202" s="30">
        <f>'Equity Volume Data'!AM202*'Equity Price Data'!AP203</f>
        <v>22516</v>
      </c>
      <c r="AK202" s="30">
        <f>'Equity Volume Data'!AN202*'Equity Price Data'!AQ203</f>
        <v>26648.06</v>
      </c>
      <c r="AL202" s="30">
        <f>'Equity Volume Data'!AO202*'Equity Price Data'!AR203</f>
        <v>41699.2</v>
      </c>
      <c r="AM202" s="30">
        <f>'Equity Volume Data'!AP202*'Equity Price Data'!AS203</f>
        <v>31635.8</v>
      </c>
      <c r="AN202" s="30">
        <f>'Equity Volume Data'!AQ202*'Equity Price Data'!AT203</f>
        <v>12173.35</v>
      </c>
      <c r="AO202" s="30">
        <f>'Equity Volume Data'!AR202*'Equity Price Data'!AU203</f>
        <v>26149.48</v>
      </c>
      <c r="AP202" s="30">
        <f>'Equity Volume Data'!AS202*'Equity Price Data'!AV203</f>
        <v>23575</v>
      </c>
      <c r="AQ202" s="30">
        <f>'Equity Volume Data'!AT202*'Equity Price Data'!AW203</f>
        <v>18854</v>
      </c>
      <c r="AR202" s="30">
        <f>'Equity Volume Data'!AU202*'Equity Price Data'!AX203</f>
        <v>9530.19</v>
      </c>
      <c r="AS202" s="30">
        <f>'Equity Volume Data'!AV202*'Equity Price Data'!AY203</f>
        <v>46618.8</v>
      </c>
      <c r="AT202" s="30">
        <f>'Equity Volume Data'!AW202*'Equity Price Data'!AZ203</f>
        <v>14324</v>
      </c>
      <c r="AU202" s="30">
        <f>'Equity Volume Data'!AX202*'Equity Price Data'!BA203</f>
        <v>0</v>
      </c>
      <c r="AV202" s="30">
        <f>'Equity Volume Data'!AY202*'Equity Price Data'!BB203</f>
        <v>16196.52</v>
      </c>
      <c r="AW202" s="30">
        <f>'Equity Volume Data'!AZ202*'Equity Price Data'!BC203</f>
        <v>4029.2</v>
      </c>
      <c r="AX202" s="30">
        <f>'Equity Volume Data'!BA202*'Equity Price Data'!BD203</f>
        <v>3828</v>
      </c>
      <c r="AY202" s="30">
        <f>'Equity Volume Data'!BB202*'Equity Price Data'!BE203</f>
        <v>33534.84</v>
      </c>
      <c r="AZ202" s="30">
        <f>'Equity Volume Data'!BC202*'Equity Price Data'!BF203</f>
        <v>10462.5</v>
      </c>
      <c r="BA202" s="30">
        <f>'Equity Volume Data'!BD202*'Equity Price Data'!BG203</f>
        <v>4987.5</v>
      </c>
      <c r="BB202" s="30">
        <f>'Equity Volume Data'!BE202*'Equity Price Data'!BH203</f>
        <v>10706.4</v>
      </c>
      <c r="BC202" s="30">
        <f>'Equity Volume Data'!BF202*'Equity Price Data'!BI203</f>
        <v>0</v>
      </c>
      <c r="BD202" s="30">
        <f>'Equity Volume Data'!BG202*'Equity Price Data'!BJ203</f>
        <v>58112.79</v>
      </c>
      <c r="BE202" s="30">
        <f>'Equity Volume Data'!BH202*'Equity Price Data'!BK203</f>
        <v>12043.72</v>
      </c>
      <c r="BF202" s="30">
        <f>'Equity Volume Data'!BI202*'Equity Price Data'!BL203</f>
        <v>7351.6</v>
      </c>
      <c r="BG202" s="30">
        <f>'Equity Volume Data'!BJ202*'Equity Price Data'!BM203</f>
        <v>19273.74</v>
      </c>
      <c r="BH202" s="30">
        <f>'Equity Volume Data'!BK202*'Equity Price Data'!BN203</f>
        <v>0</v>
      </c>
      <c r="BI202" s="30">
        <f>'Equity Volume Data'!BL202*'Equity Price Data'!BO203</f>
        <v>39329.6</v>
      </c>
      <c r="BJ202" s="30">
        <f>'Equity Volume Data'!BM202*'Equity Price Data'!BP203</f>
        <v>35028.75</v>
      </c>
      <c r="BK202" s="30">
        <f>'Equity Volume Data'!BN202*'Equity Price Data'!BQ203</f>
        <v>89217.02</v>
      </c>
      <c r="BL202" s="30">
        <f>'Equity Volume Data'!BO202*'Equity Price Data'!BR203</f>
        <v>438.51</v>
      </c>
      <c r="BM202" s="30">
        <f>'Equity Volume Data'!BP202*'Equity Price Data'!BS203</f>
        <v>11221.44</v>
      </c>
      <c r="BN202" s="30">
        <f>'Equity Volume Data'!BQ202*'Equity Price Data'!BT203</f>
        <v>21204.52</v>
      </c>
      <c r="BO202" s="30">
        <f>'Equity Volume Data'!BR202*'Equity Price Data'!BU203</f>
        <v>24411</v>
      </c>
    </row>
    <row r="203">
      <c r="A203" s="25">
        <f>'Equity Price Data'!A204</f>
        <v>45720.66667</v>
      </c>
      <c r="B203" s="29">
        <f t="shared" si="1"/>
        <v>1318610.78</v>
      </c>
      <c r="C203" s="30">
        <f>'Equity Volume Data'!F203*'Equity Price Data'!I204</f>
        <v>5798.39</v>
      </c>
      <c r="D203" s="30">
        <f>'Equity Volume Data'!G203*'Equity Price Data'!J204</f>
        <v>52988</v>
      </c>
      <c r="E203" s="30">
        <f>'Equity Volume Data'!H203*'Equity Price Data'!K204</f>
        <v>15312</v>
      </c>
      <c r="F203" s="30">
        <f>'Equity Volume Data'!I203*'Equity Price Data'!L204</f>
        <v>60398.08</v>
      </c>
      <c r="G203" s="30">
        <f>'Equity Volume Data'!J203*'Equity Price Data'!M204</f>
        <v>12688.21</v>
      </c>
      <c r="H203" s="30">
        <f>'Equity Volume Data'!K203*'Equity Price Data'!N204</f>
        <v>16081.52</v>
      </c>
      <c r="I203" s="30">
        <f>'Equity Volume Data'!L203*'Equity Price Data'!O204</f>
        <v>15710</v>
      </c>
      <c r="J203" s="30">
        <f>'Equity Volume Data'!M203*'Equity Price Data'!P204</f>
        <v>50577.72</v>
      </c>
      <c r="K203" s="30">
        <f>'Equity Volume Data'!N203*'Equity Price Data'!Q204</f>
        <v>9844</v>
      </c>
      <c r="L203" s="30">
        <f>'Equity Volume Data'!O203*'Equity Price Data'!R204</f>
        <v>17260.65</v>
      </c>
      <c r="M203" s="30">
        <f>'Equity Volume Data'!P203*'Equity Price Data'!S204</f>
        <v>0</v>
      </c>
      <c r="N203" s="30">
        <f>'Equity Volume Data'!Q203*'Equity Price Data'!T204</f>
        <v>4965.6</v>
      </c>
      <c r="O203" s="30">
        <f>'Equity Volume Data'!R203*'Equity Price Data'!U204</f>
        <v>49012.5</v>
      </c>
      <c r="P203" s="30">
        <f>'Equity Volume Data'!S203*'Equity Price Data'!V204</f>
        <v>17468.13</v>
      </c>
      <c r="Q203" s="30">
        <f>'Equity Volume Data'!T203*'Equity Price Data'!W204</f>
        <v>26546.4</v>
      </c>
      <c r="R203" s="30">
        <f>'Equity Volume Data'!U203*'Equity Price Data'!X204</f>
        <v>12160</v>
      </c>
      <c r="S203" s="30">
        <f>'Equity Volume Data'!V203*'Equity Price Data'!Y204</f>
        <v>27179.68</v>
      </c>
      <c r="T203" s="30">
        <f>'Equity Volume Data'!W203*'Equity Price Data'!Z204</f>
        <v>10897.5</v>
      </c>
      <c r="U203" s="30">
        <f>'Equity Volume Data'!X203*'Equity Price Data'!AA204</f>
        <v>18530.16</v>
      </c>
      <c r="V203" s="30">
        <f>'Equity Volume Data'!Y203*'Equity Price Data'!AB204</f>
        <v>16446.15</v>
      </c>
      <c r="W203" s="30">
        <f>'Equity Volume Data'!Z203*'Equity Price Data'!AC204</f>
        <v>10741.23</v>
      </c>
      <c r="X203" s="30">
        <f>'Equity Volume Data'!AA203*'Equity Price Data'!AD204</f>
        <v>0</v>
      </c>
      <c r="Y203" s="30">
        <f>'Equity Volume Data'!AB203*'Equity Price Data'!AE204</f>
        <v>6263.01</v>
      </c>
      <c r="Z203" s="30">
        <f>'Equity Volume Data'!AC203*'Equity Price Data'!AF204</f>
        <v>10000.5</v>
      </c>
      <c r="AA203" s="30">
        <f>'Equity Volume Data'!AD203*'Equity Price Data'!AG204</f>
        <v>18281.8</v>
      </c>
      <c r="AB203" s="30">
        <f>'Equity Volume Data'!AE203*'Equity Price Data'!AH204</f>
        <v>14864.4</v>
      </c>
      <c r="AC203" s="30">
        <f>'Equity Volume Data'!AF203*'Equity Price Data'!AI204</f>
        <v>18383.6</v>
      </c>
      <c r="AD203" s="30">
        <f>'Equity Volume Data'!AG203*'Equity Price Data'!AJ204</f>
        <v>11286</v>
      </c>
      <c r="AE203" s="30">
        <f>'Equity Volume Data'!AH203*'Equity Price Data'!AK204</f>
        <v>0</v>
      </c>
      <c r="AF203" s="30">
        <f>'Equity Volume Data'!AI203*'Equity Price Data'!AL204</f>
        <v>23521.7</v>
      </c>
      <c r="AG203" s="30">
        <f>'Equity Volume Data'!AJ203*'Equity Price Data'!AM204</f>
        <v>34868.4</v>
      </c>
      <c r="AH203" s="30">
        <f>'Equity Volume Data'!AK203*'Equity Price Data'!AN204</f>
        <v>38168</v>
      </c>
      <c r="AI203" s="30">
        <f>'Equity Volume Data'!AL203*'Equity Price Data'!AO204</f>
        <v>25835.25</v>
      </c>
      <c r="AJ203" s="30">
        <f>'Equity Volume Data'!AM203*'Equity Price Data'!AP204</f>
        <v>22080.5</v>
      </c>
      <c r="AK203" s="30">
        <f>'Equity Volume Data'!AN203*'Equity Price Data'!AQ204</f>
        <v>26224.12</v>
      </c>
      <c r="AL203" s="30">
        <f>'Equity Volume Data'!AO203*'Equity Price Data'!AR204</f>
        <v>40040</v>
      </c>
      <c r="AM203" s="30">
        <f>'Equity Volume Data'!AP203*'Equity Price Data'!AS204</f>
        <v>31417.4</v>
      </c>
      <c r="AN203" s="30">
        <f>'Equity Volume Data'!AQ203*'Equity Price Data'!AT204</f>
        <v>12085.15</v>
      </c>
      <c r="AO203" s="30">
        <f>'Equity Volume Data'!AR203*'Equity Price Data'!AU204</f>
        <v>24928.26</v>
      </c>
      <c r="AP203" s="30">
        <f>'Equity Volume Data'!AS203*'Equity Price Data'!AV204</f>
        <v>23257.5</v>
      </c>
      <c r="AQ203" s="30">
        <f>'Equity Volume Data'!AT203*'Equity Price Data'!AW204</f>
        <v>17943.2</v>
      </c>
      <c r="AR203" s="30">
        <f>'Equity Volume Data'!AU203*'Equity Price Data'!AX204</f>
        <v>9496.35</v>
      </c>
      <c r="AS203" s="30">
        <f>'Equity Volume Data'!AV203*'Equity Price Data'!AY204</f>
        <v>46633.2</v>
      </c>
      <c r="AT203" s="30">
        <f>'Equity Volume Data'!AW203*'Equity Price Data'!AZ204</f>
        <v>14170</v>
      </c>
      <c r="AU203" s="30">
        <f>'Equity Volume Data'!AX203*'Equity Price Data'!BA204</f>
        <v>0</v>
      </c>
      <c r="AV203" s="30">
        <f>'Equity Volume Data'!AY203*'Equity Price Data'!BB204</f>
        <v>16470.58</v>
      </c>
      <c r="AW203" s="30">
        <f>'Equity Volume Data'!AZ203*'Equity Price Data'!BC204</f>
        <v>3984.4</v>
      </c>
      <c r="AX203" s="30">
        <f>'Equity Volume Data'!BA203*'Equity Price Data'!BD204</f>
        <v>4050.4</v>
      </c>
      <c r="AY203" s="30">
        <f>'Equity Volume Data'!BB203*'Equity Price Data'!BE204</f>
        <v>33928.8</v>
      </c>
      <c r="AZ203" s="30">
        <f>'Equity Volume Data'!BC203*'Equity Price Data'!BF204</f>
        <v>10122</v>
      </c>
      <c r="BA203" s="30">
        <f>'Equity Volume Data'!BD203*'Equity Price Data'!BG204</f>
        <v>4892.5</v>
      </c>
      <c r="BB203" s="30">
        <f>'Equity Volume Data'!BE203*'Equity Price Data'!BH204</f>
        <v>10296</v>
      </c>
      <c r="BC203" s="30">
        <f>'Equity Volume Data'!BF203*'Equity Price Data'!BI204</f>
        <v>0</v>
      </c>
      <c r="BD203" s="30">
        <f>'Equity Volume Data'!BG203*'Equity Price Data'!BJ204</f>
        <v>56370.45</v>
      </c>
      <c r="BE203" s="30">
        <f>'Equity Volume Data'!BH203*'Equity Price Data'!BK204</f>
        <v>11881.11</v>
      </c>
      <c r="BF203" s="30">
        <f>'Equity Volume Data'!BI203*'Equity Price Data'!BL204</f>
        <v>7226.4</v>
      </c>
      <c r="BG203" s="30">
        <f>'Equity Volume Data'!BJ203*'Equity Price Data'!BM204</f>
        <v>19212.58</v>
      </c>
      <c r="BH203" s="30">
        <f>'Equity Volume Data'!BK203*'Equity Price Data'!BN204</f>
        <v>0</v>
      </c>
      <c r="BI203" s="30">
        <f>'Equity Volume Data'!BL203*'Equity Price Data'!BO204</f>
        <v>38643.2</v>
      </c>
      <c r="BJ203" s="30">
        <f>'Equity Volume Data'!BM203*'Equity Price Data'!BP204</f>
        <v>35595.75</v>
      </c>
      <c r="BK203" s="30">
        <f>'Equity Volume Data'!BN203*'Equity Price Data'!BQ204</f>
        <v>89199</v>
      </c>
      <c r="BL203" s="30">
        <f>'Equity Volume Data'!BO203*'Equity Price Data'!BR204</f>
        <v>440.39</v>
      </c>
      <c r="BM203" s="30">
        <f>'Equity Volume Data'!BP203*'Equity Price Data'!BS204</f>
        <v>11038.08</v>
      </c>
      <c r="BN203" s="30">
        <f>'Equity Volume Data'!BQ203*'Equity Price Data'!BT204</f>
        <v>20493.88</v>
      </c>
      <c r="BO203" s="30">
        <f>'Equity Volume Data'!BR203*'Equity Price Data'!BU204</f>
        <v>24411</v>
      </c>
    </row>
    <row r="204">
      <c r="A204" s="25">
        <f>'Equity Price Data'!A205</f>
        <v>45721.66667</v>
      </c>
      <c r="B204" s="29">
        <f t="shared" si="1"/>
        <v>1334190.44</v>
      </c>
      <c r="C204" s="30">
        <f>'Equity Volume Data'!F204*'Equity Price Data'!I205</f>
        <v>5866.12</v>
      </c>
      <c r="D204" s="30">
        <f>'Equity Volume Data'!G204*'Equity Price Data'!J205</f>
        <v>54173.6</v>
      </c>
      <c r="E204" s="30">
        <f>'Equity Volume Data'!H204*'Equity Price Data'!K205</f>
        <v>15160.2</v>
      </c>
      <c r="F204" s="30">
        <f>'Equity Volume Data'!I204*'Equity Price Data'!L205</f>
        <v>60349.44</v>
      </c>
      <c r="G204" s="30">
        <f>'Equity Volume Data'!J204*'Equity Price Data'!M205</f>
        <v>12891.56</v>
      </c>
      <c r="H204" s="30">
        <f>'Equity Volume Data'!K204*'Equity Price Data'!N205</f>
        <v>16273.28</v>
      </c>
      <c r="I204" s="30">
        <f>'Equity Volume Data'!L204*'Equity Price Data'!O205</f>
        <v>16240</v>
      </c>
      <c r="J204" s="30">
        <f>'Equity Volume Data'!M204*'Equity Price Data'!P205</f>
        <v>50847</v>
      </c>
      <c r="K204" s="30">
        <f>'Equity Volume Data'!N204*'Equity Price Data'!Q205</f>
        <v>10142</v>
      </c>
      <c r="L204" s="30">
        <f>'Equity Volume Data'!O204*'Equity Price Data'!R205</f>
        <v>17396.17</v>
      </c>
      <c r="M204" s="30">
        <f>'Equity Volume Data'!P204*'Equity Price Data'!S205</f>
        <v>0</v>
      </c>
      <c r="N204" s="30">
        <f>'Equity Volume Data'!Q204*'Equity Price Data'!T205</f>
        <v>5189.6</v>
      </c>
      <c r="O204" s="30">
        <f>'Equity Volume Data'!R204*'Equity Price Data'!U205</f>
        <v>50773.5</v>
      </c>
      <c r="P204" s="30">
        <f>'Equity Volume Data'!S204*'Equity Price Data'!V205</f>
        <v>17926.83</v>
      </c>
      <c r="Q204" s="30">
        <f>'Equity Volume Data'!T204*'Equity Price Data'!W205</f>
        <v>26592</v>
      </c>
      <c r="R204" s="30">
        <f>'Equity Volume Data'!U204*'Equity Price Data'!X205</f>
        <v>12064.8</v>
      </c>
      <c r="S204" s="30">
        <f>'Equity Volume Data'!V204*'Equity Price Data'!Y205</f>
        <v>27265.04</v>
      </c>
      <c r="T204" s="30">
        <f>'Equity Volume Data'!W204*'Equity Price Data'!Z205</f>
        <v>10835</v>
      </c>
      <c r="U204" s="30">
        <f>'Equity Volume Data'!X204*'Equity Price Data'!AA205</f>
        <v>18501.12</v>
      </c>
      <c r="V204" s="30">
        <f>'Equity Volume Data'!Y204*'Equity Price Data'!AB205</f>
        <v>16132.2</v>
      </c>
      <c r="W204" s="30">
        <f>'Equity Volume Data'!Z204*'Equity Price Data'!AC205</f>
        <v>10852.32</v>
      </c>
      <c r="X204" s="30">
        <f>'Equity Volume Data'!AA204*'Equity Price Data'!AD205</f>
        <v>0</v>
      </c>
      <c r="Y204" s="30">
        <f>'Equity Volume Data'!AB204*'Equity Price Data'!AE205</f>
        <v>6190.34</v>
      </c>
      <c r="Z204" s="30">
        <f>'Equity Volume Data'!AC204*'Equity Price Data'!AF205</f>
        <v>9982.5</v>
      </c>
      <c r="AA204" s="30">
        <f>'Equity Volume Data'!AD204*'Equity Price Data'!AG205</f>
        <v>17924.8</v>
      </c>
      <c r="AB204" s="30">
        <f>'Equity Volume Data'!AE204*'Equity Price Data'!AH205</f>
        <v>15024.6</v>
      </c>
      <c r="AC204" s="30">
        <f>'Equity Volume Data'!AF204*'Equity Price Data'!AI205</f>
        <v>18368</v>
      </c>
      <c r="AD204" s="30">
        <f>'Equity Volume Data'!AG204*'Equity Price Data'!AJ205</f>
        <v>11833.2</v>
      </c>
      <c r="AE204" s="30">
        <f>'Equity Volume Data'!AH204*'Equity Price Data'!AK205</f>
        <v>0</v>
      </c>
      <c r="AF204" s="30">
        <f>'Equity Volume Data'!AI204*'Equity Price Data'!AL205</f>
        <v>23665.2</v>
      </c>
      <c r="AG204" s="30">
        <f>'Equity Volume Data'!AJ204*'Equity Price Data'!AM205</f>
        <v>35584.2</v>
      </c>
      <c r="AH204" s="30">
        <f>'Equity Volume Data'!AK204*'Equity Price Data'!AN205</f>
        <v>38635</v>
      </c>
      <c r="AI204" s="30">
        <f>'Equity Volume Data'!AL204*'Equity Price Data'!AO205</f>
        <v>25879</v>
      </c>
      <c r="AJ204" s="30">
        <f>'Equity Volume Data'!AM204*'Equity Price Data'!AP205</f>
        <v>22309.3</v>
      </c>
      <c r="AK204" s="30">
        <f>'Equity Volume Data'!AN204*'Equity Price Data'!AQ205</f>
        <v>26696.94</v>
      </c>
      <c r="AL204" s="30">
        <f>'Equity Volume Data'!AO204*'Equity Price Data'!AR205</f>
        <v>40244.8</v>
      </c>
      <c r="AM204" s="30">
        <f>'Equity Volume Data'!AP204*'Equity Price Data'!AS205</f>
        <v>32229.4</v>
      </c>
      <c r="AN204" s="30">
        <f>'Equity Volume Data'!AQ204*'Equity Price Data'!AT205</f>
        <v>12233.55</v>
      </c>
      <c r="AO204" s="30">
        <f>'Equity Volume Data'!AR204*'Equity Price Data'!AU205</f>
        <v>25585.84</v>
      </c>
      <c r="AP204" s="30">
        <f>'Equity Volume Data'!AS204*'Equity Price Data'!AV205</f>
        <v>23515</v>
      </c>
      <c r="AQ204" s="30">
        <f>'Equity Volume Data'!AT204*'Equity Price Data'!AW205</f>
        <v>18273.2</v>
      </c>
      <c r="AR204" s="30">
        <f>'Equity Volume Data'!AU204*'Equity Price Data'!AX205</f>
        <v>10854.18</v>
      </c>
      <c r="AS204" s="30">
        <f>'Equity Volume Data'!AV204*'Equity Price Data'!AY205</f>
        <v>48122.4</v>
      </c>
      <c r="AT204" s="30">
        <f>'Equity Volume Data'!AW204*'Equity Price Data'!AZ205</f>
        <v>14096</v>
      </c>
      <c r="AU204" s="30">
        <f>'Equity Volume Data'!AX204*'Equity Price Data'!BA205</f>
        <v>0</v>
      </c>
      <c r="AV204" s="30">
        <f>'Equity Volume Data'!AY204*'Equity Price Data'!BB205</f>
        <v>16656.6</v>
      </c>
      <c r="AW204" s="30">
        <f>'Equity Volume Data'!AZ204*'Equity Price Data'!BC205</f>
        <v>4054.4</v>
      </c>
      <c r="AX204" s="30">
        <f>'Equity Volume Data'!BA204*'Equity Price Data'!BD205</f>
        <v>4198.4</v>
      </c>
      <c r="AY204" s="30">
        <f>'Equity Volume Data'!BB204*'Equity Price Data'!BE205</f>
        <v>36232.26</v>
      </c>
      <c r="AZ204" s="30">
        <f>'Equity Volume Data'!BC204*'Equity Price Data'!BF205</f>
        <v>10425</v>
      </c>
      <c r="BA204" s="30">
        <f>'Equity Volume Data'!BD204*'Equity Price Data'!BG205</f>
        <v>4928.6</v>
      </c>
      <c r="BB204" s="30">
        <f>'Equity Volume Data'!BE204*'Equity Price Data'!BH205</f>
        <v>10371.2</v>
      </c>
      <c r="BC204" s="30">
        <f>'Equity Volume Data'!BF204*'Equity Price Data'!BI205</f>
        <v>0</v>
      </c>
      <c r="BD204" s="30">
        <f>'Equity Volume Data'!BG204*'Equity Price Data'!BJ205</f>
        <v>55963.62</v>
      </c>
      <c r="BE204" s="30">
        <f>'Equity Volume Data'!BH204*'Equity Price Data'!BK205</f>
        <v>12056.37</v>
      </c>
      <c r="BF204" s="30">
        <f>'Equity Volume Data'!BI204*'Equity Price Data'!BL205</f>
        <v>7694</v>
      </c>
      <c r="BG204" s="30">
        <f>'Equity Volume Data'!BJ204*'Equity Price Data'!BM205</f>
        <v>18748.32</v>
      </c>
      <c r="BH204" s="30">
        <f>'Equity Volume Data'!BK204*'Equity Price Data'!BN205</f>
        <v>0</v>
      </c>
      <c r="BI204" s="30">
        <f>'Equity Volume Data'!BL204*'Equity Price Data'!BO205</f>
        <v>38977.6</v>
      </c>
      <c r="BJ204" s="30">
        <f>'Equity Volume Data'!BM204*'Equity Price Data'!BP205</f>
        <v>35698.5</v>
      </c>
      <c r="BK204" s="30">
        <f>'Equity Volume Data'!BN204*'Equity Price Data'!BQ205</f>
        <v>89000.78</v>
      </c>
      <c r="BL204" s="30">
        <f>'Equity Volume Data'!BO204*'Equity Price Data'!BR205</f>
        <v>445.56</v>
      </c>
      <c r="BM204" s="30">
        <f>'Equity Volume Data'!BP204*'Equity Price Data'!BS205</f>
        <v>11058.72</v>
      </c>
      <c r="BN204" s="30">
        <f>'Equity Volume Data'!BQ204*'Equity Price Data'!BT205</f>
        <v>20550.28</v>
      </c>
      <c r="BO204" s="30">
        <f>'Equity Volume Data'!BR204*'Equity Price Data'!BU205</f>
        <v>24411</v>
      </c>
    </row>
    <row r="205">
      <c r="A205" s="25">
        <f>'Equity Price Data'!A206</f>
        <v>45722.66667</v>
      </c>
      <c r="B205" s="29">
        <f t="shared" si="1"/>
        <v>1332352.89</v>
      </c>
      <c r="C205" s="30">
        <f>'Equity Volume Data'!F205*'Equity Price Data'!I206</f>
        <v>5782.14</v>
      </c>
      <c r="D205" s="30">
        <f>'Equity Volume Data'!G205*'Equity Price Data'!J206</f>
        <v>52182</v>
      </c>
      <c r="E205" s="30">
        <f>'Equity Volume Data'!H205*'Equity Price Data'!K206</f>
        <v>15199.8</v>
      </c>
      <c r="F205" s="30">
        <f>'Equity Volume Data'!I205*'Equity Price Data'!L206</f>
        <v>60244.48</v>
      </c>
      <c r="G205" s="30">
        <f>'Equity Volume Data'!J205*'Equity Price Data'!M206</f>
        <v>12577.82</v>
      </c>
      <c r="H205" s="30">
        <f>'Equity Volume Data'!K205*'Equity Price Data'!N206</f>
        <v>15921.72</v>
      </c>
      <c r="I205" s="30">
        <f>'Equity Volume Data'!L205*'Equity Price Data'!O206</f>
        <v>16020</v>
      </c>
      <c r="J205" s="30">
        <f>'Equity Volume Data'!M205*'Equity Price Data'!P206</f>
        <v>50779.68</v>
      </c>
      <c r="K205" s="30">
        <f>'Equity Volume Data'!N205*'Equity Price Data'!Q206</f>
        <v>10138</v>
      </c>
      <c r="L205" s="30">
        <f>'Equity Volume Data'!O205*'Equity Price Data'!R206</f>
        <v>17831.77</v>
      </c>
      <c r="M205" s="30">
        <f>'Equity Volume Data'!P205*'Equity Price Data'!S206</f>
        <v>0</v>
      </c>
      <c r="N205" s="30">
        <f>'Equity Volume Data'!Q205*'Equity Price Data'!T206</f>
        <v>5229.6</v>
      </c>
      <c r="O205" s="30">
        <f>'Equity Volume Data'!R205*'Equity Price Data'!U206</f>
        <v>51151.5</v>
      </c>
      <c r="P205" s="30">
        <f>'Equity Volume Data'!S205*'Equity Price Data'!V206</f>
        <v>17568.21</v>
      </c>
      <c r="Q205" s="30">
        <f>'Equity Volume Data'!T205*'Equity Price Data'!W206</f>
        <v>26817.6</v>
      </c>
      <c r="R205" s="30">
        <f>'Equity Volume Data'!U205*'Equity Price Data'!X206</f>
        <v>12236</v>
      </c>
      <c r="S205" s="30">
        <f>'Equity Volume Data'!V205*'Equity Price Data'!Y206</f>
        <v>27775.44</v>
      </c>
      <c r="T205" s="30">
        <f>'Equity Volume Data'!W205*'Equity Price Data'!Z206</f>
        <v>10592.5</v>
      </c>
      <c r="U205" s="30">
        <f>'Equity Volume Data'!X205*'Equity Price Data'!AA206</f>
        <v>18601.44</v>
      </c>
      <c r="V205" s="30">
        <f>'Equity Volume Data'!Y205*'Equity Price Data'!AB206</f>
        <v>16246.51</v>
      </c>
      <c r="W205" s="30">
        <f>'Equity Volume Data'!Z205*'Equity Price Data'!AC206</f>
        <v>10240.98</v>
      </c>
      <c r="X205" s="30">
        <f>'Equity Volume Data'!AA205*'Equity Price Data'!AD206</f>
        <v>0</v>
      </c>
      <c r="Y205" s="30">
        <f>'Equity Volume Data'!AB205*'Equity Price Data'!AE206</f>
        <v>6243.12</v>
      </c>
      <c r="Z205" s="30">
        <f>'Equity Volume Data'!AC205*'Equity Price Data'!AF206</f>
        <v>10180.5</v>
      </c>
      <c r="AA205" s="30">
        <f>'Equity Volume Data'!AD205*'Equity Price Data'!AG206</f>
        <v>18295.4</v>
      </c>
      <c r="AB205" s="30">
        <f>'Equity Volume Data'!AE205*'Equity Price Data'!AH206</f>
        <v>14987.4</v>
      </c>
      <c r="AC205" s="30">
        <f>'Equity Volume Data'!AF205*'Equity Price Data'!AI206</f>
        <v>17868</v>
      </c>
      <c r="AD205" s="30">
        <f>'Equity Volume Data'!AG205*'Equity Price Data'!AJ206</f>
        <v>11904.75</v>
      </c>
      <c r="AE205" s="30">
        <f>'Equity Volume Data'!AH205*'Equity Price Data'!AK206</f>
        <v>0</v>
      </c>
      <c r="AF205" s="30">
        <f>'Equity Volume Data'!AI205*'Equity Price Data'!AL206</f>
        <v>23788.2</v>
      </c>
      <c r="AG205" s="30">
        <f>'Equity Volume Data'!AJ205*'Equity Price Data'!AM206</f>
        <v>34060.2</v>
      </c>
      <c r="AH205" s="30">
        <f>'Equity Volume Data'!AK205*'Equity Price Data'!AN206</f>
        <v>38173</v>
      </c>
      <c r="AI205" s="30">
        <f>'Equity Volume Data'!AL205*'Equity Price Data'!AO206</f>
        <v>25455.5</v>
      </c>
      <c r="AJ205" s="30">
        <f>'Equity Volume Data'!AM205*'Equity Price Data'!AP206</f>
        <v>22054.5</v>
      </c>
      <c r="AK205" s="30">
        <f>'Equity Volume Data'!AN205*'Equity Price Data'!AQ206</f>
        <v>25312.79</v>
      </c>
      <c r="AL205" s="30">
        <f>'Equity Volume Data'!AO205*'Equity Price Data'!AR206</f>
        <v>39446.4</v>
      </c>
      <c r="AM205" s="30">
        <f>'Equity Volume Data'!AP205*'Equity Price Data'!AS206</f>
        <v>32305</v>
      </c>
      <c r="AN205" s="30">
        <f>'Equity Volume Data'!AQ205*'Equity Price Data'!AT206</f>
        <v>12177.9</v>
      </c>
      <c r="AO205" s="30">
        <f>'Equity Volume Data'!AR205*'Equity Price Data'!AU206</f>
        <v>25081.98</v>
      </c>
      <c r="AP205" s="30">
        <f>'Equity Volume Data'!AS205*'Equity Price Data'!AV206</f>
        <v>23282.5</v>
      </c>
      <c r="AQ205" s="30">
        <f>'Equity Volume Data'!AT205*'Equity Price Data'!AW206</f>
        <v>18088.4</v>
      </c>
      <c r="AR205" s="30">
        <f>'Equity Volume Data'!AU205*'Equity Price Data'!AX206</f>
        <v>10321.2</v>
      </c>
      <c r="AS205" s="30">
        <f>'Equity Volume Data'!AV205*'Equity Price Data'!AY206</f>
        <v>47626.8</v>
      </c>
      <c r="AT205" s="30">
        <f>'Equity Volume Data'!AW205*'Equity Price Data'!AZ206</f>
        <v>14002</v>
      </c>
      <c r="AU205" s="30">
        <f>'Equity Volume Data'!AX205*'Equity Price Data'!BA206</f>
        <v>0</v>
      </c>
      <c r="AV205" s="30">
        <f>'Equity Volume Data'!AY205*'Equity Price Data'!BB206</f>
        <v>15700.94</v>
      </c>
      <c r="AW205" s="30">
        <f>'Equity Volume Data'!AZ205*'Equity Price Data'!BC206</f>
        <v>4102.8</v>
      </c>
      <c r="AX205" s="30">
        <f>'Equity Volume Data'!BA205*'Equity Price Data'!BD206</f>
        <v>3962.4</v>
      </c>
      <c r="AY205" s="30">
        <f>'Equity Volume Data'!BB205*'Equity Price Data'!BE206</f>
        <v>32344.92</v>
      </c>
      <c r="AZ205" s="30">
        <f>'Equity Volume Data'!BC205*'Equity Price Data'!BF206</f>
        <v>10212</v>
      </c>
      <c r="BA205" s="30">
        <f>'Equity Volume Data'!BD205*'Equity Price Data'!BG206</f>
        <v>4985.6</v>
      </c>
      <c r="BB205" s="30">
        <f>'Equity Volume Data'!BE205*'Equity Price Data'!BH206</f>
        <v>10262.4</v>
      </c>
      <c r="BC205" s="30">
        <f>'Equity Volume Data'!BF205*'Equity Price Data'!BI206</f>
        <v>12864.16</v>
      </c>
      <c r="BD205" s="30">
        <f>'Equity Volume Data'!BG205*'Equity Price Data'!BJ206</f>
        <v>56008.35</v>
      </c>
      <c r="BE205" s="30">
        <f>'Equity Volume Data'!BH205*'Equity Price Data'!BK206</f>
        <v>12135.72</v>
      </c>
      <c r="BF205" s="30">
        <f>'Equity Volume Data'!BI205*'Equity Price Data'!BL206</f>
        <v>7500.4</v>
      </c>
      <c r="BG205" s="30">
        <f>'Equity Volume Data'!BJ205*'Equity Price Data'!BM206</f>
        <v>18150.62</v>
      </c>
      <c r="BH205" s="30">
        <f>'Equity Volume Data'!BK205*'Equity Price Data'!BN206</f>
        <v>0</v>
      </c>
      <c r="BI205" s="30">
        <f>'Equity Volume Data'!BL205*'Equity Price Data'!BO206</f>
        <v>39243.2</v>
      </c>
      <c r="BJ205" s="30">
        <f>'Equity Volume Data'!BM205*'Equity Price Data'!BP206</f>
        <v>36579</v>
      </c>
      <c r="BK205" s="30">
        <f>'Equity Volume Data'!BN205*'Equity Price Data'!BQ206</f>
        <v>88982.76</v>
      </c>
      <c r="BL205" s="30">
        <f>'Equity Volume Data'!BO205*'Equity Price Data'!BR206</f>
        <v>446.97</v>
      </c>
      <c r="BM205" s="30">
        <f>'Equity Volume Data'!BP205*'Equity Price Data'!BS206</f>
        <v>10846.08</v>
      </c>
      <c r="BN205" s="30">
        <f>'Equity Volume Data'!BQ205*'Equity Price Data'!BT206</f>
        <v>19820.84</v>
      </c>
      <c r="BO205" s="30">
        <f>'Equity Volume Data'!BR205*'Equity Price Data'!BU206</f>
        <v>24411</v>
      </c>
    </row>
    <row r="206">
      <c r="A206" s="25">
        <f>'Equity Price Data'!A207</f>
        <v>45723.66667</v>
      </c>
      <c r="B206" s="29">
        <f t="shared" si="1"/>
        <v>1343769.26</v>
      </c>
      <c r="C206" s="30">
        <f>'Equity Volume Data'!F206*'Equity Price Data'!I207</f>
        <v>5842.2</v>
      </c>
      <c r="D206" s="30">
        <f>'Equity Volume Data'!G206*'Equity Price Data'!J207</f>
        <v>51805</v>
      </c>
      <c r="E206" s="30">
        <f>'Equity Volume Data'!H206*'Equity Price Data'!K207</f>
        <v>15994</v>
      </c>
      <c r="F206" s="30">
        <f>'Equity Volume Data'!I206*'Equity Price Data'!L207</f>
        <v>61201.92</v>
      </c>
      <c r="G206" s="30">
        <f>'Equity Volume Data'!J206*'Equity Price Data'!M207</f>
        <v>12921.44</v>
      </c>
      <c r="H206" s="30">
        <f>'Equity Volume Data'!K206*'Equity Price Data'!N207</f>
        <v>16137.92</v>
      </c>
      <c r="I206" s="30">
        <f>'Equity Volume Data'!L206*'Equity Price Data'!O207</f>
        <v>15940</v>
      </c>
      <c r="J206" s="30">
        <f>'Equity Volume Data'!M206*'Equity Price Data'!P207</f>
        <v>50553.24</v>
      </c>
      <c r="K206" s="30">
        <f>'Equity Volume Data'!N206*'Equity Price Data'!Q207</f>
        <v>10032</v>
      </c>
      <c r="L206" s="30">
        <f>'Equity Volume Data'!O206*'Equity Price Data'!R207</f>
        <v>18195.98</v>
      </c>
      <c r="M206" s="30">
        <f>'Equity Volume Data'!P206*'Equity Price Data'!S207</f>
        <v>0</v>
      </c>
      <c r="N206" s="30">
        <f>'Equity Volume Data'!Q206*'Equity Price Data'!T207</f>
        <v>5391.2</v>
      </c>
      <c r="O206" s="30">
        <f>'Equity Volume Data'!R206*'Equity Price Data'!U207</f>
        <v>52545</v>
      </c>
      <c r="P206" s="30">
        <f>'Equity Volume Data'!S206*'Equity Price Data'!V207</f>
        <v>17443.11</v>
      </c>
      <c r="Q206" s="30">
        <f>'Equity Volume Data'!T206*'Equity Price Data'!W207</f>
        <v>27624</v>
      </c>
      <c r="R206" s="30">
        <f>'Equity Volume Data'!U206*'Equity Price Data'!X207</f>
        <v>12507.2</v>
      </c>
      <c r="S206" s="30">
        <f>'Equity Volume Data'!V206*'Equity Price Data'!Y207</f>
        <v>28249.76</v>
      </c>
      <c r="T206" s="30">
        <f>'Equity Volume Data'!W206*'Equity Price Data'!Z207</f>
        <v>10410</v>
      </c>
      <c r="U206" s="30">
        <f>'Equity Volume Data'!X206*'Equity Price Data'!AA207</f>
        <v>18857.52</v>
      </c>
      <c r="V206" s="30">
        <f>'Equity Volume Data'!Y206*'Equity Price Data'!AB207</f>
        <v>16686.04</v>
      </c>
      <c r="W206" s="30">
        <f>'Equity Volume Data'!Z206*'Equity Price Data'!AC207</f>
        <v>10292.73</v>
      </c>
      <c r="X206" s="30">
        <f>'Equity Volume Data'!AA206*'Equity Price Data'!AD207</f>
        <v>0</v>
      </c>
      <c r="Y206" s="30">
        <f>'Equity Volume Data'!AB206*'Equity Price Data'!AE207</f>
        <v>6136.65</v>
      </c>
      <c r="Z206" s="30">
        <f>'Equity Volume Data'!AC206*'Equity Price Data'!AF207</f>
        <v>10576.5</v>
      </c>
      <c r="AA206" s="30">
        <f>'Equity Volume Data'!AD206*'Equity Price Data'!AG207</f>
        <v>18533.4</v>
      </c>
      <c r="AB206" s="30">
        <f>'Equity Volume Data'!AE206*'Equity Price Data'!AH207</f>
        <v>15235.2</v>
      </c>
      <c r="AC206" s="30">
        <f>'Equity Volume Data'!AF206*'Equity Price Data'!AI207</f>
        <v>17982.4</v>
      </c>
      <c r="AD206" s="30">
        <f>'Equity Volume Data'!AG206*'Equity Price Data'!AJ207</f>
        <v>12220.2</v>
      </c>
      <c r="AE206" s="30">
        <f>'Equity Volume Data'!AH206*'Equity Price Data'!AK207</f>
        <v>0</v>
      </c>
      <c r="AF206" s="30">
        <f>'Equity Volume Data'!AI206*'Equity Price Data'!AL207</f>
        <v>24069.05</v>
      </c>
      <c r="AG206" s="30">
        <f>'Equity Volume Data'!AJ206*'Equity Price Data'!AM207</f>
        <v>33580.2</v>
      </c>
      <c r="AH206" s="30">
        <f>'Equity Volume Data'!AK206*'Equity Price Data'!AN207</f>
        <v>37680</v>
      </c>
      <c r="AI206" s="30">
        <f>'Equity Volume Data'!AL206*'Equity Price Data'!AO207</f>
        <v>26124</v>
      </c>
      <c r="AJ206" s="30">
        <f>'Equity Volume Data'!AM206*'Equity Price Data'!AP207</f>
        <v>22131.2</v>
      </c>
      <c r="AK206" s="30">
        <f>'Equity Volume Data'!AN206*'Equity Price Data'!AQ207</f>
        <v>24358.22</v>
      </c>
      <c r="AL206" s="30">
        <f>'Equity Volume Data'!AO206*'Equity Price Data'!AR207</f>
        <v>38764.8</v>
      </c>
      <c r="AM206" s="30">
        <f>'Equity Volume Data'!AP206*'Equity Price Data'!AS207</f>
        <v>33155.5</v>
      </c>
      <c r="AN206" s="30">
        <f>'Equity Volume Data'!AQ206*'Equity Price Data'!AT207</f>
        <v>12052.6</v>
      </c>
      <c r="AO206" s="30">
        <f>'Equity Volume Data'!AR206*'Equity Price Data'!AU207</f>
        <v>24988.04</v>
      </c>
      <c r="AP206" s="30">
        <f>'Equity Volume Data'!AS206*'Equity Price Data'!AV207</f>
        <v>23625</v>
      </c>
      <c r="AQ206" s="30">
        <f>'Equity Volume Data'!AT206*'Equity Price Data'!AW207</f>
        <v>18095</v>
      </c>
      <c r="AR206" s="30">
        <f>'Equity Volume Data'!AU206*'Equity Price Data'!AX207</f>
        <v>10566.54</v>
      </c>
      <c r="AS206" s="30">
        <f>'Equity Volume Data'!AV206*'Equity Price Data'!AY207</f>
        <v>47197.2</v>
      </c>
      <c r="AT206" s="30">
        <f>'Equity Volume Data'!AW206*'Equity Price Data'!AZ207</f>
        <v>14566</v>
      </c>
      <c r="AU206" s="30">
        <f>'Equity Volume Data'!AX206*'Equity Price Data'!BA207</f>
        <v>0</v>
      </c>
      <c r="AV206" s="30">
        <f>'Equity Volume Data'!AY206*'Equity Price Data'!BB207</f>
        <v>16001.98</v>
      </c>
      <c r="AW206" s="30">
        <f>'Equity Volume Data'!AZ206*'Equity Price Data'!BC207</f>
        <v>4160.4</v>
      </c>
      <c r="AX206" s="30">
        <f>'Equity Volume Data'!BA206*'Equity Price Data'!BD207</f>
        <v>3732.8</v>
      </c>
      <c r="AY206" s="30">
        <f>'Equity Volume Data'!BB206*'Equity Price Data'!BE207</f>
        <v>34133.82</v>
      </c>
      <c r="AZ206" s="30">
        <f>'Equity Volume Data'!BC206*'Equity Price Data'!BF207</f>
        <v>10572</v>
      </c>
      <c r="BA206" s="30">
        <f>'Equity Volume Data'!BD206*'Equity Price Data'!BG207</f>
        <v>5078.7</v>
      </c>
      <c r="BB206" s="30">
        <f>'Equity Volume Data'!BE206*'Equity Price Data'!BH207</f>
        <v>10272</v>
      </c>
      <c r="BC206" s="30">
        <f>'Equity Volume Data'!BF206*'Equity Price Data'!BI207</f>
        <v>12860.88</v>
      </c>
      <c r="BD206" s="30">
        <f>'Equity Volume Data'!BG206*'Equity Price Data'!BJ207</f>
        <v>56496.12</v>
      </c>
      <c r="BE206" s="30">
        <f>'Equity Volume Data'!BH206*'Equity Price Data'!BK207</f>
        <v>12229.33</v>
      </c>
      <c r="BF206" s="30">
        <f>'Equity Volume Data'!BI206*'Equity Price Data'!BL207</f>
        <v>7607.2</v>
      </c>
      <c r="BG206" s="30">
        <f>'Equity Volume Data'!BJ206*'Equity Price Data'!BM207</f>
        <v>18753.88</v>
      </c>
      <c r="BH206" s="30">
        <f>'Equity Volume Data'!BK206*'Equity Price Data'!BN207</f>
        <v>0</v>
      </c>
      <c r="BI206" s="30">
        <f>'Equity Volume Data'!BL206*'Equity Price Data'!BO207</f>
        <v>39889.6</v>
      </c>
      <c r="BJ206" s="30">
        <f>'Equity Volume Data'!BM206*'Equity Price Data'!BP207</f>
        <v>37011</v>
      </c>
      <c r="BK206" s="30">
        <f>'Equity Volume Data'!BN206*'Equity Price Data'!BQ207</f>
        <v>88982.76</v>
      </c>
      <c r="BL206" s="30">
        <f>'Equity Volume Data'!BO206*'Equity Price Data'!BR207</f>
        <v>453.55</v>
      </c>
      <c r="BM206" s="30">
        <f>'Equity Volume Data'!BP206*'Equity Price Data'!BS207</f>
        <v>11018.4</v>
      </c>
      <c r="BN206" s="30">
        <f>'Equity Volume Data'!BQ206*'Equity Price Data'!BT207</f>
        <v>19835.88</v>
      </c>
      <c r="BO206" s="30">
        <f>'Equity Volume Data'!BR206*'Equity Price Data'!BU207</f>
        <v>24411</v>
      </c>
    </row>
    <row r="207">
      <c r="A207" s="25">
        <f>'Equity Price Data'!A208</f>
        <v>45726.66667</v>
      </c>
      <c r="B207" s="29">
        <f t="shared" si="1"/>
        <v>1319051.14</v>
      </c>
      <c r="C207" s="30">
        <f>'Equity Volume Data'!F207*'Equity Price Data'!I208</f>
        <v>5656.04</v>
      </c>
      <c r="D207" s="30">
        <f>'Equity Volume Data'!G207*'Equity Price Data'!J208</f>
        <v>50580.4</v>
      </c>
      <c r="E207" s="30">
        <f>'Equity Volume Data'!H207*'Equity Price Data'!K208</f>
        <v>16424.1</v>
      </c>
      <c r="F207" s="30">
        <f>'Equity Volume Data'!I207*'Equity Price Data'!L208</f>
        <v>58234.88</v>
      </c>
      <c r="G207" s="30">
        <f>'Equity Volume Data'!J207*'Equity Price Data'!M208</f>
        <v>12449.17</v>
      </c>
      <c r="H207" s="30">
        <f>'Equity Volume Data'!K207*'Equity Price Data'!N208</f>
        <v>15837.12</v>
      </c>
      <c r="I207" s="30">
        <f>'Equity Volume Data'!L207*'Equity Price Data'!O208</f>
        <v>14790</v>
      </c>
      <c r="J207" s="30">
        <f>'Equity Volume Data'!M207*'Equity Price Data'!P208</f>
        <v>50704.2</v>
      </c>
      <c r="K207" s="30">
        <f>'Equity Volume Data'!N207*'Equity Price Data'!Q208</f>
        <v>9922</v>
      </c>
      <c r="L207" s="30">
        <f>'Equity Volume Data'!O207*'Equity Price Data'!R208</f>
        <v>18235.91</v>
      </c>
      <c r="M207" s="30">
        <f>'Equity Volume Data'!P207*'Equity Price Data'!S208</f>
        <v>0</v>
      </c>
      <c r="N207" s="30">
        <f>'Equity Volume Data'!Q207*'Equity Price Data'!T208</f>
        <v>5364</v>
      </c>
      <c r="O207" s="30">
        <f>'Equity Volume Data'!R207*'Equity Price Data'!U208</f>
        <v>51781.5</v>
      </c>
      <c r="P207" s="30">
        <f>'Equity Volume Data'!S207*'Equity Price Data'!V208</f>
        <v>16946.88</v>
      </c>
      <c r="Q207" s="30">
        <f>'Equity Volume Data'!T207*'Equity Price Data'!W208</f>
        <v>27032.4</v>
      </c>
      <c r="R207" s="30">
        <f>'Equity Volume Data'!U207*'Equity Price Data'!X208</f>
        <v>12605.6</v>
      </c>
      <c r="S207" s="30">
        <f>'Equity Volume Data'!V207*'Equity Price Data'!Y208</f>
        <v>28747.84</v>
      </c>
      <c r="T207" s="30">
        <f>'Equity Volume Data'!W207*'Equity Price Data'!Z208</f>
        <v>9952.5</v>
      </c>
      <c r="U207" s="30">
        <f>'Equity Volume Data'!X207*'Equity Price Data'!AA208</f>
        <v>18862.8</v>
      </c>
      <c r="V207" s="30">
        <f>'Equity Volume Data'!Y207*'Equity Price Data'!AB208</f>
        <v>17172.26</v>
      </c>
      <c r="W207" s="30">
        <f>'Equity Volume Data'!Z207*'Equity Price Data'!AC208</f>
        <v>10048.47</v>
      </c>
      <c r="X207" s="30">
        <f>'Equity Volume Data'!AA207*'Equity Price Data'!AD208</f>
        <v>0</v>
      </c>
      <c r="Y207" s="30">
        <f>'Equity Volume Data'!AB207*'Equity Price Data'!AE208</f>
        <v>5720.39</v>
      </c>
      <c r="Z207" s="30">
        <f>'Equity Volume Data'!AC207*'Equity Price Data'!AF208</f>
        <v>10228.5</v>
      </c>
      <c r="AA207" s="30">
        <f>'Equity Volume Data'!AD207*'Equity Price Data'!AG208</f>
        <v>19006</v>
      </c>
      <c r="AB207" s="30">
        <f>'Equity Volume Data'!AE207*'Equity Price Data'!AH208</f>
        <v>14790.6</v>
      </c>
      <c r="AC207" s="30">
        <f>'Equity Volume Data'!AF207*'Equity Price Data'!AI208</f>
        <v>17483.2</v>
      </c>
      <c r="AD207" s="30">
        <f>'Equity Volume Data'!AG207*'Equity Price Data'!AJ208</f>
        <v>12237.3</v>
      </c>
      <c r="AE207" s="30">
        <f>'Equity Volume Data'!AH207*'Equity Price Data'!AK208</f>
        <v>0</v>
      </c>
      <c r="AF207" s="30">
        <f>'Equity Volume Data'!AI207*'Equity Price Data'!AL208</f>
        <v>24028.05</v>
      </c>
      <c r="AG207" s="30">
        <f>'Equity Volume Data'!AJ207*'Equity Price Data'!AM208</f>
        <v>31899.6</v>
      </c>
      <c r="AH207" s="30">
        <f>'Equity Volume Data'!AK207*'Equity Price Data'!AN208</f>
        <v>37465</v>
      </c>
      <c r="AI207" s="30">
        <f>'Equity Volume Data'!AL207*'Equity Price Data'!AO208</f>
        <v>25242</v>
      </c>
      <c r="AJ207" s="30">
        <f>'Equity Volume Data'!AM207*'Equity Price Data'!AP208</f>
        <v>21989.5</v>
      </c>
      <c r="AK207" s="30">
        <f>'Equity Volume Data'!AN207*'Equity Price Data'!AQ208</f>
        <v>22682.67</v>
      </c>
      <c r="AL207" s="30">
        <f>'Equity Volume Data'!AO207*'Equity Price Data'!AR208</f>
        <v>37155.2</v>
      </c>
      <c r="AM207" s="30">
        <f>'Equity Volume Data'!AP207*'Equity Price Data'!AS208</f>
        <v>33541.9</v>
      </c>
      <c r="AN207" s="30">
        <f>'Equity Volume Data'!AQ207*'Equity Price Data'!AT208</f>
        <v>11681.95</v>
      </c>
      <c r="AO207" s="30">
        <f>'Equity Volume Data'!AR207*'Equity Price Data'!AU208</f>
        <v>24373.16</v>
      </c>
      <c r="AP207" s="30">
        <f>'Equity Volume Data'!AS207*'Equity Price Data'!AV208</f>
        <v>23450</v>
      </c>
      <c r="AQ207" s="30">
        <f>'Equity Volume Data'!AT207*'Equity Price Data'!AW208</f>
        <v>17419.6</v>
      </c>
      <c r="AR207" s="30">
        <f>'Equity Volume Data'!AU207*'Equity Price Data'!AX208</f>
        <v>10329.66</v>
      </c>
      <c r="AS207" s="30">
        <f>'Equity Volume Data'!AV207*'Equity Price Data'!AY208</f>
        <v>45619.2</v>
      </c>
      <c r="AT207" s="30">
        <f>'Equity Volume Data'!AW207*'Equity Price Data'!AZ208</f>
        <v>15232</v>
      </c>
      <c r="AU207" s="30">
        <f>'Equity Volume Data'!AX207*'Equity Price Data'!BA208</f>
        <v>0</v>
      </c>
      <c r="AV207" s="30">
        <f>'Equity Volume Data'!AY207*'Equity Price Data'!BB208</f>
        <v>15191.16</v>
      </c>
      <c r="AW207" s="30">
        <f>'Equity Volume Data'!AZ207*'Equity Price Data'!BC208</f>
        <v>4156.8</v>
      </c>
      <c r="AX207" s="30">
        <f>'Equity Volume Data'!BA207*'Equity Price Data'!BD208</f>
        <v>3538.4</v>
      </c>
      <c r="AY207" s="30">
        <f>'Equity Volume Data'!BB207*'Equity Price Data'!BE208</f>
        <v>30704.76</v>
      </c>
      <c r="AZ207" s="30">
        <f>'Equity Volume Data'!BC207*'Equity Price Data'!BF208</f>
        <v>10224</v>
      </c>
      <c r="BA207" s="30">
        <f>'Equity Volume Data'!BD207*'Equity Price Data'!BG208</f>
        <v>5061.6</v>
      </c>
      <c r="BB207" s="30">
        <f>'Equity Volume Data'!BE207*'Equity Price Data'!BH208</f>
        <v>10281.6</v>
      </c>
      <c r="BC207" s="30">
        <f>'Equity Volume Data'!BF207*'Equity Price Data'!BI208</f>
        <v>12076.96</v>
      </c>
      <c r="BD207" s="30">
        <f>'Equity Volume Data'!BG207*'Equity Price Data'!BJ208</f>
        <v>56792.19</v>
      </c>
      <c r="BE207" s="30">
        <f>'Equity Volume Data'!BH207*'Equity Price Data'!BK208</f>
        <v>12116.4</v>
      </c>
      <c r="BF207" s="30">
        <f>'Equity Volume Data'!BI207*'Equity Price Data'!BL208</f>
        <v>7534</v>
      </c>
      <c r="BG207" s="30">
        <f>'Equity Volume Data'!BJ207*'Equity Price Data'!BM208</f>
        <v>18356.34</v>
      </c>
      <c r="BH207" s="30">
        <f>'Equity Volume Data'!BK207*'Equity Price Data'!BN208</f>
        <v>0</v>
      </c>
      <c r="BI207" s="30">
        <f>'Equity Volume Data'!BL207*'Equity Price Data'!BO208</f>
        <v>39726.4</v>
      </c>
      <c r="BJ207" s="30">
        <f>'Equity Volume Data'!BM207*'Equity Price Data'!BP208</f>
        <v>36016.5</v>
      </c>
      <c r="BK207" s="30">
        <f>'Equity Volume Data'!BN207*'Equity Price Data'!BQ208</f>
        <v>89180.98</v>
      </c>
      <c r="BL207" s="30">
        <f>'Equity Volume Data'!BO207*'Equity Price Data'!BR208</f>
        <v>446.5</v>
      </c>
      <c r="BM207" s="30">
        <f>'Equity Volume Data'!BP207*'Equity Price Data'!BS208</f>
        <v>10932.96</v>
      </c>
      <c r="BN207" s="30">
        <f>'Equity Volume Data'!BQ207*'Equity Price Data'!BT208</f>
        <v>19379.04</v>
      </c>
      <c r="BO207" s="30">
        <f>'Equity Volume Data'!BR207*'Equity Price Data'!BU208</f>
        <v>24411</v>
      </c>
    </row>
    <row r="208">
      <c r="A208" s="25">
        <f>'Equity Price Data'!A209</f>
        <v>45727.66667</v>
      </c>
      <c r="B208" s="29">
        <f t="shared" si="1"/>
        <v>1305711.69</v>
      </c>
      <c r="C208" s="30">
        <f>'Equity Volume Data'!F208*'Equity Price Data'!I209</f>
        <v>5637.58</v>
      </c>
      <c r="D208" s="30">
        <f>'Equity Volume Data'!G208*'Equity Price Data'!J209</f>
        <v>51113.4</v>
      </c>
      <c r="E208" s="30">
        <f>'Equity Volume Data'!H208*'Equity Price Data'!K209</f>
        <v>15777.3</v>
      </c>
      <c r="F208" s="30">
        <f>'Equity Volume Data'!I208*'Equity Price Data'!L209</f>
        <v>56535.04</v>
      </c>
      <c r="G208" s="30">
        <f>'Equity Volume Data'!J208*'Equity Price Data'!M209</f>
        <v>12200.17</v>
      </c>
      <c r="H208" s="30">
        <f>'Equity Volume Data'!K208*'Equity Price Data'!N209</f>
        <v>15237.4</v>
      </c>
      <c r="I208" s="30">
        <f>'Equity Volume Data'!L208*'Equity Price Data'!O209</f>
        <v>15100</v>
      </c>
      <c r="J208" s="30">
        <f>'Equity Volume Data'!M208*'Equity Price Data'!P209</f>
        <v>50617.5</v>
      </c>
      <c r="K208" s="30">
        <f>'Equity Volume Data'!N208*'Equity Price Data'!Q209</f>
        <v>9956</v>
      </c>
      <c r="L208" s="30">
        <f>'Equity Volume Data'!O208*'Equity Price Data'!R209</f>
        <v>17382.86</v>
      </c>
      <c r="M208" s="30">
        <f>'Equity Volume Data'!P208*'Equity Price Data'!S209</f>
        <v>0</v>
      </c>
      <c r="N208" s="30">
        <f>'Equity Volume Data'!Q208*'Equity Price Data'!T209</f>
        <v>5252</v>
      </c>
      <c r="O208" s="30">
        <f>'Equity Volume Data'!R208*'Equity Price Data'!U209</f>
        <v>50965.5</v>
      </c>
      <c r="P208" s="30">
        <f>'Equity Volume Data'!S208*'Equity Price Data'!V209</f>
        <v>17401.41</v>
      </c>
      <c r="Q208" s="30">
        <f>'Equity Volume Data'!T208*'Equity Price Data'!W209</f>
        <v>26686.8</v>
      </c>
      <c r="R208" s="30">
        <f>'Equity Volume Data'!U208*'Equity Price Data'!X209</f>
        <v>12326.4</v>
      </c>
      <c r="S208" s="30">
        <f>'Equity Volume Data'!V208*'Equity Price Data'!Y209</f>
        <v>27972.56</v>
      </c>
      <c r="T208" s="30">
        <f>'Equity Volume Data'!W208*'Equity Price Data'!Z209</f>
        <v>9977.5</v>
      </c>
      <c r="U208" s="30">
        <f>'Equity Volume Data'!X208*'Equity Price Data'!AA209</f>
        <v>18754.56</v>
      </c>
      <c r="V208" s="30">
        <f>'Equity Volume Data'!Y208*'Equity Price Data'!AB209</f>
        <v>16706.97</v>
      </c>
      <c r="W208" s="30">
        <f>'Equity Volume Data'!Z208*'Equity Price Data'!AC209</f>
        <v>10143.69</v>
      </c>
      <c r="X208" s="30">
        <f>'Equity Volume Data'!AA208*'Equity Price Data'!AD209</f>
        <v>0</v>
      </c>
      <c r="Y208" s="30">
        <f>'Equity Volume Data'!AB208*'Equity Price Data'!AE209</f>
        <v>5597.28</v>
      </c>
      <c r="Z208" s="30">
        <f>'Equity Volume Data'!AC208*'Equity Price Data'!AF209</f>
        <v>9783</v>
      </c>
      <c r="AA208" s="30">
        <f>'Equity Volume Data'!AD208*'Equity Price Data'!AG209</f>
        <v>18557.2</v>
      </c>
      <c r="AB208" s="30">
        <f>'Equity Volume Data'!AE208*'Equity Price Data'!AH209</f>
        <v>14577.6</v>
      </c>
      <c r="AC208" s="30">
        <f>'Equity Volume Data'!AF208*'Equity Price Data'!AI209</f>
        <v>17650</v>
      </c>
      <c r="AD208" s="30">
        <f>'Equity Volume Data'!AG208*'Equity Price Data'!AJ209</f>
        <v>11885.4</v>
      </c>
      <c r="AE208" s="30">
        <f>'Equity Volume Data'!AH208*'Equity Price Data'!AK209</f>
        <v>0</v>
      </c>
      <c r="AF208" s="30">
        <f>'Equity Volume Data'!AI208*'Equity Price Data'!AL209</f>
        <v>23458.15</v>
      </c>
      <c r="AG208" s="30">
        <f>'Equity Volume Data'!AJ208*'Equity Price Data'!AM209</f>
        <v>31885.8</v>
      </c>
      <c r="AH208" s="30">
        <f>'Equity Volume Data'!AK208*'Equity Price Data'!AN209</f>
        <v>36816</v>
      </c>
      <c r="AI208" s="30">
        <f>'Equity Volume Data'!AL208*'Equity Price Data'!AO209</f>
        <v>25417</v>
      </c>
      <c r="AJ208" s="30">
        <f>'Equity Volume Data'!AM208*'Equity Price Data'!AP209</f>
        <v>21886.8</v>
      </c>
      <c r="AK208" s="30">
        <f>'Equity Volume Data'!AN208*'Equity Price Data'!AQ209</f>
        <v>23204.84</v>
      </c>
      <c r="AL208" s="30">
        <f>'Equity Volume Data'!AO208*'Equity Price Data'!AR209</f>
        <v>36662.4</v>
      </c>
      <c r="AM208" s="30">
        <f>'Equity Volume Data'!AP208*'Equity Price Data'!AS209</f>
        <v>32821.6</v>
      </c>
      <c r="AN208" s="30">
        <f>'Equity Volume Data'!AQ208*'Equity Price Data'!AT209</f>
        <v>11179.7</v>
      </c>
      <c r="AO208" s="30">
        <f>'Equity Volume Data'!AR208*'Equity Price Data'!AU209</f>
        <v>24424.4</v>
      </c>
      <c r="AP208" s="30">
        <f>'Equity Volume Data'!AS208*'Equity Price Data'!AV209</f>
        <v>23320</v>
      </c>
      <c r="AQ208" s="30">
        <f>'Equity Volume Data'!AT208*'Equity Price Data'!AW209</f>
        <v>17259</v>
      </c>
      <c r="AR208" s="30">
        <f>'Equity Volume Data'!AU208*'Equity Price Data'!AX209</f>
        <v>10156.23</v>
      </c>
      <c r="AS208" s="30">
        <f>'Equity Volume Data'!AV208*'Equity Price Data'!AY209</f>
        <v>45654</v>
      </c>
      <c r="AT208" s="30">
        <f>'Equity Volume Data'!AW208*'Equity Price Data'!AZ209</f>
        <v>14806</v>
      </c>
      <c r="AU208" s="30">
        <f>'Equity Volume Data'!AX208*'Equity Price Data'!BA209</f>
        <v>0</v>
      </c>
      <c r="AV208" s="30">
        <f>'Equity Volume Data'!AY208*'Equity Price Data'!BB209</f>
        <v>15443.92</v>
      </c>
      <c r="AW208" s="30">
        <f>'Equity Volume Data'!AZ208*'Equity Price Data'!BC209</f>
        <v>4046</v>
      </c>
      <c r="AX208" s="30">
        <f>'Equity Volume Data'!BA208*'Equity Price Data'!BD209</f>
        <v>3613.6</v>
      </c>
      <c r="AY208" s="30">
        <f>'Equity Volume Data'!BB208*'Equity Price Data'!BE209</f>
        <v>31376.1</v>
      </c>
      <c r="AZ208" s="30">
        <f>'Equity Volume Data'!BC208*'Equity Price Data'!BF209</f>
        <v>10197</v>
      </c>
      <c r="BA208" s="30">
        <f>'Equity Volume Data'!BD208*'Equity Price Data'!BG209</f>
        <v>4938.1</v>
      </c>
      <c r="BB208" s="30">
        <f>'Equity Volume Data'!BE208*'Equity Price Data'!BH209</f>
        <v>10248.8</v>
      </c>
      <c r="BC208" s="30">
        <f>'Equity Volume Data'!BF208*'Equity Price Data'!BI209</f>
        <v>12755.92</v>
      </c>
      <c r="BD208" s="30">
        <f>'Equity Volume Data'!BG208*'Equity Price Data'!BJ209</f>
        <v>54670.71</v>
      </c>
      <c r="BE208" s="30">
        <f>'Equity Volume Data'!BH208*'Equity Price Data'!BK209</f>
        <v>11826.6</v>
      </c>
      <c r="BF208" s="30">
        <f>'Equity Volume Data'!BI208*'Equity Price Data'!BL209</f>
        <v>7381.2</v>
      </c>
      <c r="BG208" s="30">
        <f>'Equity Volume Data'!BJ208*'Equity Price Data'!BM209</f>
        <v>18806.7</v>
      </c>
      <c r="BH208" s="30">
        <f>'Equity Volume Data'!BK208*'Equity Price Data'!BN209</f>
        <v>0</v>
      </c>
      <c r="BI208" s="30">
        <f>'Equity Volume Data'!BL208*'Equity Price Data'!BO209</f>
        <v>38044.8</v>
      </c>
      <c r="BJ208" s="30">
        <f>'Equity Volume Data'!BM208*'Equity Price Data'!BP209</f>
        <v>36453</v>
      </c>
      <c r="BK208" s="30">
        <f>'Equity Volume Data'!BN208*'Equity Price Data'!BQ209</f>
        <v>89144.94</v>
      </c>
      <c r="BL208" s="30">
        <f>'Equity Volume Data'!BO208*'Equity Price Data'!BR209</f>
        <v>438.98</v>
      </c>
      <c r="BM208" s="30">
        <f>'Equity Volume Data'!BP208*'Equity Price Data'!BS209</f>
        <v>10762.08</v>
      </c>
      <c r="BN208" s="30">
        <f>'Equity Volume Data'!BQ208*'Equity Price Data'!BT209</f>
        <v>18405.2</v>
      </c>
      <c r="BO208" s="30">
        <f>'Equity Volume Data'!BR208*'Equity Price Data'!BU209</f>
        <v>24411</v>
      </c>
    </row>
    <row r="209">
      <c r="A209" s="25">
        <f>'Equity Price Data'!A210</f>
        <v>45728.66667</v>
      </c>
      <c r="B209" s="29">
        <f t="shared" si="1"/>
        <v>1306353.2</v>
      </c>
      <c r="C209" s="30">
        <f>'Equity Volume Data'!F209*'Equity Price Data'!I210</f>
        <v>5701.8</v>
      </c>
      <c r="D209" s="30">
        <f>'Equity Volume Data'!G209*'Equity Price Data'!J210</f>
        <v>51711.4</v>
      </c>
      <c r="E209" s="30">
        <f>'Equity Volume Data'!H209*'Equity Price Data'!K210</f>
        <v>15494.6</v>
      </c>
      <c r="F209" s="30">
        <f>'Equity Volume Data'!I209*'Equity Price Data'!L210</f>
        <v>55546.88</v>
      </c>
      <c r="G209" s="30">
        <f>'Equity Volume Data'!J209*'Equity Price Data'!M210</f>
        <v>12371.98</v>
      </c>
      <c r="H209" s="30">
        <f>'Equity Volume Data'!K209*'Equity Price Data'!N210</f>
        <v>15182.88</v>
      </c>
      <c r="I209" s="30">
        <f>'Equity Volume Data'!L209*'Equity Price Data'!O210</f>
        <v>15560</v>
      </c>
      <c r="J209" s="30">
        <f>'Equity Volume Data'!M209*'Equity Price Data'!P210</f>
        <v>50585.88</v>
      </c>
      <c r="K209" s="30">
        <f>'Equity Volume Data'!N209*'Equity Price Data'!Q210</f>
        <v>9672</v>
      </c>
      <c r="L209" s="30">
        <f>'Equity Volume Data'!O209*'Equity Price Data'!R210</f>
        <v>16962.99</v>
      </c>
      <c r="M209" s="30">
        <f>'Equity Volume Data'!P209*'Equity Price Data'!S210</f>
        <v>0</v>
      </c>
      <c r="N209" s="30">
        <f>'Equity Volume Data'!Q209*'Equity Price Data'!T210</f>
        <v>5234.4</v>
      </c>
      <c r="O209" s="30">
        <f>'Equity Volume Data'!R209*'Equity Price Data'!U210</f>
        <v>50719.5</v>
      </c>
      <c r="P209" s="30">
        <f>'Equity Volume Data'!S209*'Equity Price Data'!V210</f>
        <v>17764.2</v>
      </c>
      <c r="Q209" s="30">
        <f>'Equity Volume Data'!T209*'Equity Price Data'!W210</f>
        <v>26158.8</v>
      </c>
      <c r="R209" s="30">
        <f>'Equity Volume Data'!U209*'Equity Price Data'!X210</f>
        <v>12213.6</v>
      </c>
      <c r="S209" s="30">
        <f>'Equity Volume Data'!V209*'Equity Price Data'!Y210</f>
        <v>27372.4</v>
      </c>
      <c r="T209" s="30">
        <f>'Equity Volume Data'!W209*'Equity Price Data'!Z210</f>
        <v>10117.5</v>
      </c>
      <c r="U209" s="30">
        <f>'Equity Volume Data'!X209*'Equity Price Data'!AA210</f>
        <v>18464.16</v>
      </c>
      <c r="V209" s="30">
        <f>'Equity Volume Data'!Y209*'Equity Price Data'!AB210</f>
        <v>16525.04</v>
      </c>
      <c r="W209" s="30">
        <f>'Equity Volume Data'!Z209*'Equity Price Data'!AC210</f>
        <v>10465.23</v>
      </c>
      <c r="X209" s="30">
        <f>'Equity Volume Data'!AA209*'Equity Price Data'!AD210</f>
        <v>0</v>
      </c>
      <c r="Y209" s="30">
        <f>'Equity Volume Data'!AB209*'Equity Price Data'!AE210</f>
        <v>5703.23</v>
      </c>
      <c r="Z209" s="30">
        <f>'Equity Volume Data'!AC209*'Equity Price Data'!AF210</f>
        <v>9769.5</v>
      </c>
      <c r="AA209" s="30">
        <f>'Equity Volume Data'!AD209*'Equity Price Data'!AG210</f>
        <v>18552.1</v>
      </c>
      <c r="AB209" s="30">
        <f>'Equity Volume Data'!AE209*'Equity Price Data'!AH210</f>
        <v>14610.6</v>
      </c>
      <c r="AC209" s="30">
        <f>'Equity Volume Data'!AF209*'Equity Price Data'!AI210</f>
        <v>18014</v>
      </c>
      <c r="AD209" s="30">
        <f>'Equity Volume Data'!AG209*'Equity Price Data'!AJ210</f>
        <v>11700.45</v>
      </c>
      <c r="AE209" s="30">
        <f>'Equity Volume Data'!AH209*'Equity Price Data'!AK210</f>
        <v>0</v>
      </c>
      <c r="AF209" s="30">
        <f>'Equity Volume Data'!AI209*'Equity Price Data'!AL210</f>
        <v>23367.95</v>
      </c>
      <c r="AG209" s="30">
        <f>'Equity Volume Data'!AJ209*'Equity Price Data'!AM210</f>
        <v>32142.6</v>
      </c>
      <c r="AH209" s="30">
        <f>'Equity Volume Data'!AK209*'Equity Price Data'!AN210</f>
        <v>36473</v>
      </c>
      <c r="AI209" s="30">
        <f>'Equity Volume Data'!AL209*'Equity Price Data'!AO210</f>
        <v>25156.25</v>
      </c>
      <c r="AJ209" s="30">
        <f>'Equity Volume Data'!AM209*'Equity Price Data'!AP210</f>
        <v>21972.6</v>
      </c>
      <c r="AK209" s="30">
        <f>'Equity Volume Data'!AN209*'Equity Price Data'!AQ210</f>
        <v>23373.1</v>
      </c>
      <c r="AL209" s="30">
        <f>'Equity Volume Data'!AO209*'Equity Price Data'!AR210</f>
        <v>36464</v>
      </c>
      <c r="AM209" s="30">
        <f>'Equity Volume Data'!AP209*'Equity Price Data'!AS210</f>
        <v>32305</v>
      </c>
      <c r="AN209" s="30">
        <f>'Equity Volume Data'!AQ209*'Equity Price Data'!AT210</f>
        <v>11077.15</v>
      </c>
      <c r="AO209" s="30">
        <f>'Equity Volume Data'!AR209*'Equity Price Data'!AU210</f>
        <v>24979.5</v>
      </c>
      <c r="AP209" s="30">
        <f>'Equity Volume Data'!AS209*'Equity Price Data'!AV210</f>
        <v>22877.5</v>
      </c>
      <c r="AQ209" s="30">
        <f>'Equity Volume Data'!AT209*'Equity Price Data'!AW210</f>
        <v>17419.6</v>
      </c>
      <c r="AR209" s="30">
        <f>'Equity Volume Data'!AU209*'Equity Price Data'!AX210</f>
        <v>10295.82</v>
      </c>
      <c r="AS209" s="30">
        <f>'Equity Volume Data'!AV209*'Equity Price Data'!AY210</f>
        <v>45992.4</v>
      </c>
      <c r="AT209" s="30">
        <f>'Equity Volume Data'!AW209*'Equity Price Data'!AZ210</f>
        <v>14584</v>
      </c>
      <c r="AU209" s="30">
        <f>'Equity Volume Data'!AX209*'Equity Price Data'!BA210</f>
        <v>0</v>
      </c>
      <c r="AV209" s="30">
        <f>'Equity Volume Data'!AY209*'Equity Price Data'!BB210</f>
        <v>16435.08</v>
      </c>
      <c r="AW209" s="30">
        <f>'Equity Volume Data'!AZ209*'Equity Price Data'!BC210</f>
        <v>3996.4</v>
      </c>
      <c r="AX209" s="30">
        <f>'Equity Volume Data'!BA209*'Equity Price Data'!BD210</f>
        <v>3738.4</v>
      </c>
      <c r="AY209" s="30">
        <f>'Equity Volume Data'!BB209*'Equity Price Data'!BE210</f>
        <v>33627.3</v>
      </c>
      <c r="AZ209" s="30">
        <f>'Equity Volume Data'!BC209*'Equity Price Data'!BF210</f>
        <v>10293</v>
      </c>
      <c r="BA209" s="30">
        <f>'Equity Volume Data'!BD209*'Equity Price Data'!BG210</f>
        <v>4884.9</v>
      </c>
      <c r="BB209" s="30">
        <f>'Equity Volume Data'!BE209*'Equity Price Data'!BH210</f>
        <v>10236.8</v>
      </c>
      <c r="BC209" s="30">
        <f>'Equity Volume Data'!BF209*'Equity Price Data'!BI210</f>
        <v>12857.6</v>
      </c>
      <c r="BD209" s="30">
        <f>'Equity Volume Data'!BG209*'Equity Price Data'!BJ210</f>
        <v>54444.93</v>
      </c>
      <c r="BE209" s="30">
        <f>'Equity Volume Data'!BH209*'Equity Price Data'!BK210</f>
        <v>11790.95</v>
      </c>
      <c r="BF209" s="30">
        <f>'Equity Volume Data'!BI209*'Equity Price Data'!BL210</f>
        <v>7426</v>
      </c>
      <c r="BG209" s="30">
        <f>'Equity Volume Data'!BJ209*'Equity Price Data'!BM210</f>
        <v>18648.24</v>
      </c>
      <c r="BH209" s="30">
        <f>'Equity Volume Data'!BK209*'Equity Price Data'!BN210</f>
        <v>0</v>
      </c>
      <c r="BI209" s="30">
        <f>'Equity Volume Data'!BL209*'Equity Price Data'!BO210</f>
        <v>37998.4</v>
      </c>
      <c r="BJ209" s="30">
        <f>'Equity Volume Data'!BM209*'Equity Price Data'!BP210</f>
        <v>36083.25</v>
      </c>
      <c r="BK209" s="30">
        <f>'Equity Volume Data'!BN209*'Equity Price Data'!BQ210</f>
        <v>89126.92</v>
      </c>
      <c r="BL209" s="30">
        <f>'Equity Volume Data'!BO209*'Equity Price Data'!BR210</f>
        <v>434.28</v>
      </c>
      <c r="BM209" s="30">
        <f>'Equity Volume Data'!BP209*'Equity Price Data'!BS210</f>
        <v>10697.28</v>
      </c>
      <c r="BN209" s="30">
        <f>'Equity Volume Data'!BQ209*'Equity Price Data'!BT210</f>
        <v>18566.88</v>
      </c>
      <c r="BO209" s="30">
        <f>'Equity Volume Data'!BR209*'Equity Price Data'!BU210</f>
        <v>24411</v>
      </c>
    </row>
    <row r="210">
      <c r="A210" s="25">
        <f>'Equity Price Data'!A211</f>
        <v>45729.66667</v>
      </c>
      <c r="B210" s="29">
        <f t="shared" si="1"/>
        <v>1292307.94</v>
      </c>
      <c r="C210" s="30">
        <f>'Equity Volume Data'!F210*'Equity Price Data'!I211</f>
        <v>4911.92</v>
      </c>
      <c r="D210" s="30">
        <f>'Equity Volume Data'!G210*'Equity Price Data'!J211</f>
        <v>50411.4</v>
      </c>
      <c r="E210" s="30">
        <f>'Equity Volume Data'!H210*'Equity Price Data'!K211</f>
        <v>15679.4</v>
      </c>
      <c r="F210" s="30">
        <f>'Equity Volume Data'!I210*'Equity Price Data'!L211</f>
        <v>53678.08</v>
      </c>
      <c r="G210" s="30">
        <f>'Equity Volume Data'!J210*'Equity Price Data'!M211</f>
        <v>12445.85</v>
      </c>
      <c r="H210" s="30">
        <f>'Equity Volume Data'!K210*'Equity Price Data'!N211</f>
        <v>14976.08</v>
      </c>
      <c r="I210" s="30">
        <f>'Equity Volume Data'!L210*'Equity Price Data'!O211</f>
        <v>15030</v>
      </c>
      <c r="J210" s="30">
        <f>'Equity Volume Data'!M210*'Equity Price Data'!P211</f>
        <v>51433.5</v>
      </c>
      <c r="K210" s="30">
        <f>'Equity Volume Data'!N210*'Equity Price Data'!Q211</f>
        <v>9730</v>
      </c>
      <c r="L210" s="30">
        <f>'Equity Volume Data'!O210*'Equity Price Data'!R211</f>
        <v>16937.58</v>
      </c>
      <c r="M210" s="30">
        <f>'Equity Volume Data'!P210*'Equity Price Data'!S211</f>
        <v>0</v>
      </c>
      <c r="N210" s="30">
        <f>'Equity Volume Data'!Q210*'Equity Price Data'!T211</f>
        <v>5140</v>
      </c>
      <c r="O210" s="30">
        <f>'Equity Volume Data'!R210*'Equity Price Data'!U211</f>
        <v>49996.5</v>
      </c>
      <c r="P210" s="30">
        <f>'Equity Volume Data'!S210*'Equity Price Data'!V211</f>
        <v>17434.77</v>
      </c>
      <c r="Q210" s="30">
        <f>'Equity Volume Data'!T210*'Equity Price Data'!W211</f>
        <v>25788</v>
      </c>
      <c r="R210" s="30">
        <f>'Equity Volume Data'!U210*'Equity Price Data'!X211</f>
        <v>12288.8</v>
      </c>
      <c r="S210" s="30">
        <f>'Equity Volume Data'!V210*'Equity Price Data'!Y211</f>
        <v>27455.12</v>
      </c>
      <c r="T210" s="30">
        <f>'Equity Volume Data'!W210*'Equity Price Data'!Z211</f>
        <v>9932.5</v>
      </c>
      <c r="U210" s="30">
        <f>'Equity Volume Data'!X210*'Equity Price Data'!AA211</f>
        <v>18379.68</v>
      </c>
      <c r="V210" s="30">
        <f>'Equity Volume Data'!Y210*'Equity Price Data'!AB211</f>
        <v>16835.77</v>
      </c>
      <c r="W210" s="30">
        <f>'Equity Volume Data'!Z210*'Equity Price Data'!AC211</f>
        <v>10069.86</v>
      </c>
      <c r="X210" s="30">
        <f>'Equity Volume Data'!AA210*'Equity Price Data'!AD211</f>
        <v>0</v>
      </c>
      <c r="Y210" s="30">
        <f>'Equity Volume Data'!AB210*'Equity Price Data'!AE211</f>
        <v>5572.71</v>
      </c>
      <c r="Z210" s="30">
        <f>'Equity Volume Data'!AC210*'Equity Price Data'!AF211</f>
        <v>9637.5</v>
      </c>
      <c r="AA210" s="30">
        <f>'Equity Volume Data'!AD210*'Equity Price Data'!AG211</f>
        <v>18473.9</v>
      </c>
      <c r="AB210" s="30">
        <f>'Equity Volume Data'!AE210*'Equity Price Data'!AH211</f>
        <v>14458.8</v>
      </c>
      <c r="AC210" s="30">
        <f>'Equity Volume Data'!AF210*'Equity Price Data'!AI211</f>
        <v>17626.4</v>
      </c>
      <c r="AD210" s="30">
        <f>'Equity Volume Data'!AG210*'Equity Price Data'!AJ211</f>
        <v>11752.2</v>
      </c>
      <c r="AE210" s="30">
        <f>'Equity Volume Data'!AH210*'Equity Price Data'!AK211</f>
        <v>0</v>
      </c>
      <c r="AF210" s="30">
        <f>'Equity Volume Data'!AI210*'Equity Price Data'!AL211</f>
        <v>23236.75</v>
      </c>
      <c r="AG210" s="30">
        <f>'Equity Volume Data'!AJ210*'Equity Price Data'!AM211</f>
        <v>31488.6</v>
      </c>
      <c r="AH210" s="30">
        <f>'Equity Volume Data'!AK210*'Equity Price Data'!AN211</f>
        <v>34725</v>
      </c>
      <c r="AI210" s="30">
        <f>'Equity Volume Data'!AL210*'Equity Price Data'!AO211</f>
        <v>25271.75</v>
      </c>
      <c r="AJ210" s="30">
        <f>'Equity Volume Data'!AM210*'Equity Price Data'!AP211</f>
        <v>21988.2</v>
      </c>
      <c r="AK210" s="30">
        <f>'Equity Volume Data'!AN210*'Equity Price Data'!AQ211</f>
        <v>22408.66</v>
      </c>
      <c r="AL210" s="30">
        <f>'Equity Volume Data'!AO210*'Equity Price Data'!AR211</f>
        <v>36030.4</v>
      </c>
      <c r="AM210" s="30">
        <f>'Equity Volume Data'!AP210*'Equity Price Data'!AS211</f>
        <v>32755.1</v>
      </c>
      <c r="AN210" s="30">
        <f>'Equity Volume Data'!AQ210*'Equity Price Data'!AT211</f>
        <v>10838.8</v>
      </c>
      <c r="AO210" s="30">
        <f>'Equity Volume Data'!AR210*'Equity Price Data'!AU211</f>
        <v>24262.14</v>
      </c>
      <c r="AP210" s="30">
        <f>'Equity Volume Data'!AS210*'Equity Price Data'!AV211</f>
        <v>23082.5</v>
      </c>
      <c r="AQ210" s="30">
        <f>'Equity Volume Data'!AT210*'Equity Price Data'!AW211</f>
        <v>17094</v>
      </c>
      <c r="AR210" s="30">
        <f>'Equity Volume Data'!AU210*'Equity Price Data'!AX211</f>
        <v>10312.74</v>
      </c>
      <c r="AS210" s="30">
        <f>'Equity Volume Data'!AV210*'Equity Price Data'!AY211</f>
        <v>45452.4</v>
      </c>
      <c r="AT210" s="30">
        <f>'Equity Volume Data'!AW210*'Equity Price Data'!AZ211</f>
        <v>14546</v>
      </c>
      <c r="AU210" s="30">
        <f>'Equity Volume Data'!AX210*'Equity Price Data'!BA211</f>
        <v>0</v>
      </c>
      <c r="AV210" s="30">
        <f>'Equity Volume Data'!AY210*'Equity Price Data'!BB211</f>
        <v>16412.36</v>
      </c>
      <c r="AW210" s="30">
        <f>'Equity Volume Data'!AZ210*'Equity Price Data'!BC211</f>
        <v>3984.4</v>
      </c>
      <c r="AX210" s="30">
        <f>'Equity Volume Data'!BA210*'Equity Price Data'!BD211</f>
        <v>3709.6</v>
      </c>
      <c r="AY210" s="30">
        <f>'Equity Volume Data'!BB210*'Equity Price Data'!BE211</f>
        <v>32007.24</v>
      </c>
      <c r="AZ210" s="30">
        <f>'Equity Volume Data'!BC210*'Equity Price Data'!BF211</f>
        <v>10036.5</v>
      </c>
      <c r="BA210" s="30">
        <f>'Equity Volume Data'!BD210*'Equity Price Data'!BG211</f>
        <v>4864</v>
      </c>
      <c r="BB210" s="30">
        <f>'Equity Volume Data'!BE210*'Equity Price Data'!BH211</f>
        <v>10336</v>
      </c>
      <c r="BC210" s="30">
        <f>'Equity Volume Data'!BF210*'Equity Price Data'!BI211</f>
        <v>12801.84</v>
      </c>
      <c r="BD210" s="30">
        <f>'Equity Volume Data'!BG210*'Equity Price Data'!BJ211</f>
        <v>55188.3</v>
      </c>
      <c r="BE210" s="30">
        <f>'Equity Volume Data'!BH210*'Equity Price Data'!BK211</f>
        <v>11704.7</v>
      </c>
      <c r="BF210" s="30">
        <f>'Equity Volume Data'!BI210*'Equity Price Data'!BL211</f>
        <v>7318.8</v>
      </c>
      <c r="BG210" s="30">
        <f>'Equity Volume Data'!BJ210*'Equity Price Data'!BM211</f>
        <v>17889.3</v>
      </c>
      <c r="BH210" s="30">
        <f>'Equity Volume Data'!BK210*'Equity Price Data'!BN211</f>
        <v>0</v>
      </c>
      <c r="BI210" s="30">
        <f>'Equity Volume Data'!BL210*'Equity Price Data'!BO211</f>
        <v>37486.4</v>
      </c>
      <c r="BJ210" s="30">
        <f>'Equity Volume Data'!BM210*'Equity Price Data'!BP211</f>
        <v>36114</v>
      </c>
      <c r="BK210" s="30">
        <f>'Equity Volume Data'!BN210*'Equity Price Data'!BQ211</f>
        <v>89126.92</v>
      </c>
      <c r="BL210" s="30">
        <f>'Equity Volume Data'!BO210*'Equity Price Data'!BR211</f>
        <v>422.06</v>
      </c>
      <c r="BM210" s="30">
        <f>'Equity Volume Data'!BP210*'Equity Price Data'!BS211</f>
        <v>10713.6</v>
      </c>
      <c r="BN210" s="30">
        <f>'Equity Volume Data'!BQ210*'Equity Price Data'!BT211</f>
        <v>18211.56</v>
      </c>
      <c r="BO210" s="30">
        <f>'Equity Volume Data'!BR210*'Equity Price Data'!BU211</f>
        <v>24411</v>
      </c>
    </row>
    <row r="211">
      <c r="A211" s="25">
        <f>'Equity Price Data'!A212</f>
        <v>45730.66667</v>
      </c>
      <c r="B211" s="29">
        <f t="shared" si="1"/>
        <v>1315788.3</v>
      </c>
      <c r="C211" s="30">
        <f>'Equity Volume Data'!F211*'Equity Price Data'!I212</f>
        <v>5131.62</v>
      </c>
      <c r="D211" s="30">
        <f>'Equity Volume Data'!G211*'Equity Price Data'!J212</f>
        <v>51467</v>
      </c>
      <c r="E211" s="30">
        <f>'Equity Volume Data'!H211*'Equity Price Data'!K212</f>
        <v>15875.2</v>
      </c>
      <c r="F211" s="30">
        <f>'Equity Volume Data'!I211*'Equity Price Data'!L212</f>
        <v>54653.44</v>
      </c>
      <c r="G211" s="30">
        <f>'Equity Volume Data'!J211*'Equity Price Data'!M212</f>
        <v>12919.78</v>
      </c>
      <c r="H211" s="30">
        <f>'Equity Volume Data'!K211*'Equity Price Data'!N212</f>
        <v>15369</v>
      </c>
      <c r="I211" s="30">
        <f>'Equity Volume Data'!L211*'Equity Price Data'!O212</f>
        <v>15720</v>
      </c>
      <c r="J211" s="30">
        <f>'Equity Volume Data'!M211*'Equity Price Data'!P212</f>
        <v>52489.2</v>
      </c>
      <c r="K211" s="30">
        <f>'Equity Volume Data'!N211*'Equity Price Data'!Q212</f>
        <v>9890</v>
      </c>
      <c r="L211" s="30">
        <f>'Equity Volume Data'!O211*'Equity Price Data'!R212</f>
        <v>16872.24</v>
      </c>
      <c r="M211" s="30">
        <f>'Equity Volume Data'!P211*'Equity Price Data'!S212</f>
        <v>0</v>
      </c>
      <c r="N211" s="30">
        <f>'Equity Volume Data'!Q211*'Equity Price Data'!T212</f>
        <v>5322.4</v>
      </c>
      <c r="O211" s="30">
        <f>'Equity Volume Data'!R211*'Equity Price Data'!U212</f>
        <v>50946</v>
      </c>
      <c r="P211" s="30">
        <f>'Equity Volume Data'!S211*'Equity Price Data'!V212</f>
        <v>17709.99</v>
      </c>
      <c r="Q211" s="30">
        <f>'Equity Volume Data'!T211*'Equity Price Data'!W212</f>
        <v>26980.8</v>
      </c>
      <c r="R211" s="30">
        <f>'Equity Volume Data'!U211*'Equity Price Data'!X212</f>
        <v>12561.6</v>
      </c>
      <c r="S211" s="30">
        <f>'Equity Volume Data'!V211*'Equity Price Data'!Y212</f>
        <v>27535.2</v>
      </c>
      <c r="T211" s="30">
        <f>'Equity Volume Data'!W211*'Equity Price Data'!Z212</f>
        <v>10175</v>
      </c>
      <c r="U211" s="30">
        <f>'Equity Volume Data'!X211*'Equity Price Data'!AA212</f>
        <v>18258.24</v>
      </c>
      <c r="V211" s="30">
        <f>'Equity Volume Data'!Y211*'Equity Price Data'!AB212</f>
        <v>17132.01</v>
      </c>
      <c r="W211" s="30">
        <f>'Equity Volume Data'!Z211*'Equity Price Data'!AC212</f>
        <v>10251.33</v>
      </c>
      <c r="X211" s="30">
        <f>'Equity Volume Data'!AA211*'Equity Price Data'!AD212</f>
        <v>0</v>
      </c>
      <c r="Y211" s="30">
        <f>'Equity Volume Data'!AB211*'Equity Price Data'!AE212</f>
        <v>5532.54</v>
      </c>
      <c r="Z211" s="30">
        <f>'Equity Volume Data'!AC211*'Equity Price Data'!AF212</f>
        <v>9792</v>
      </c>
      <c r="AA211" s="30">
        <f>'Equity Volume Data'!AD211*'Equity Price Data'!AG212</f>
        <v>19023</v>
      </c>
      <c r="AB211" s="30">
        <f>'Equity Volume Data'!AE211*'Equity Price Data'!AH212</f>
        <v>14532</v>
      </c>
      <c r="AC211" s="30">
        <f>'Equity Volume Data'!AF211*'Equity Price Data'!AI212</f>
        <v>17969.2</v>
      </c>
      <c r="AD211" s="30">
        <f>'Equity Volume Data'!AG211*'Equity Price Data'!AJ212</f>
        <v>11791.35</v>
      </c>
      <c r="AE211" s="30">
        <f>'Equity Volume Data'!AH211*'Equity Price Data'!AK212</f>
        <v>0</v>
      </c>
      <c r="AF211" s="30">
        <f>'Equity Volume Data'!AI211*'Equity Price Data'!AL212</f>
        <v>22845.2</v>
      </c>
      <c r="AG211" s="30">
        <f>'Equity Volume Data'!AJ211*'Equity Price Data'!AM212</f>
        <v>32484.6</v>
      </c>
      <c r="AH211" s="30">
        <f>'Equity Volume Data'!AK211*'Equity Price Data'!AN212</f>
        <v>35131</v>
      </c>
      <c r="AI211" s="30">
        <f>'Equity Volume Data'!AL211*'Equity Price Data'!AO212</f>
        <v>25858</v>
      </c>
      <c r="AJ211" s="30">
        <f>'Equity Volume Data'!AM211*'Equity Price Data'!AP212</f>
        <v>22237.8</v>
      </c>
      <c r="AK211" s="30">
        <f>'Equity Volume Data'!AN211*'Equity Price Data'!AQ212</f>
        <v>22768.68</v>
      </c>
      <c r="AL211" s="30">
        <f>'Equity Volume Data'!AO211*'Equity Price Data'!AR212</f>
        <v>37190.4</v>
      </c>
      <c r="AM211" s="30">
        <f>'Equity Volume Data'!AP211*'Equity Price Data'!AS212</f>
        <v>32631.9</v>
      </c>
      <c r="AN211" s="30">
        <f>'Equity Volume Data'!AQ211*'Equity Price Data'!AT212</f>
        <v>10886.05</v>
      </c>
      <c r="AO211" s="30">
        <f>'Equity Volume Data'!AR211*'Equity Price Data'!AU212</f>
        <v>25167.38</v>
      </c>
      <c r="AP211" s="30">
        <f>'Equity Volume Data'!AS211*'Equity Price Data'!AV212</f>
        <v>23267.5</v>
      </c>
      <c r="AQ211" s="30">
        <f>'Equity Volume Data'!AT211*'Equity Price Data'!AW212</f>
        <v>17690.2</v>
      </c>
      <c r="AR211" s="30">
        <f>'Equity Volume Data'!AU211*'Equity Price Data'!AX212</f>
        <v>11349.09</v>
      </c>
      <c r="AS211" s="30">
        <f>'Equity Volume Data'!AV211*'Equity Price Data'!AY212</f>
        <v>46627.2</v>
      </c>
      <c r="AT211" s="30">
        <f>'Equity Volume Data'!AW211*'Equity Price Data'!AZ212</f>
        <v>14710</v>
      </c>
      <c r="AU211" s="30">
        <f>'Equity Volume Data'!AX211*'Equity Price Data'!BA212</f>
        <v>0</v>
      </c>
      <c r="AV211" s="30">
        <f>'Equity Volume Data'!AY211*'Equity Price Data'!BB212</f>
        <v>17277.14</v>
      </c>
      <c r="AW211" s="30">
        <f>'Equity Volume Data'!AZ211*'Equity Price Data'!BC212</f>
        <v>4024.8</v>
      </c>
      <c r="AX211" s="30">
        <f>'Equity Volume Data'!BA211*'Equity Price Data'!BD212</f>
        <v>3715.2</v>
      </c>
      <c r="AY211" s="30">
        <f>'Equity Volume Data'!BB211*'Equity Price Data'!BE212</f>
        <v>34668.48</v>
      </c>
      <c r="AZ211" s="30">
        <f>'Equity Volume Data'!BC211*'Equity Price Data'!BF212</f>
        <v>10342.5</v>
      </c>
      <c r="BA211" s="30">
        <f>'Equity Volume Data'!BD211*'Equity Price Data'!BG212</f>
        <v>4886.8</v>
      </c>
      <c r="BB211" s="30">
        <f>'Equity Volume Data'!BE211*'Equity Price Data'!BH212</f>
        <v>10399.2</v>
      </c>
      <c r="BC211" s="30">
        <f>'Equity Volume Data'!BF211*'Equity Price Data'!BI212</f>
        <v>12831.36</v>
      </c>
      <c r="BD211" s="30">
        <f>'Equity Volume Data'!BG211*'Equity Price Data'!BJ212</f>
        <v>54523.74</v>
      </c>
      <c r="BE211" s="30">
        <f>'Equity Volume Data'!BH211*'Equity Price Data'!BK212</f>
        <v>12007.15</v>
      </c>
      <c r="BF211" s="30">
        <f>'Equity Volume Data'!BI211*'Equity Price Data'!BL212</f>
        <v>7466.8</v>
      </c>
      <c r="BG211" s="30">
        <f>'Equity Volume Data'!BJ211*'Equity Price Data'!BM212</f>
        <v>19051.34</v>
      </c>
      <c r="BH211" s="30">
        <f>'Equity Volume Data'!BK211*'Equity Price Data'!BN212</f>
        <v>0</v>
      </c>
      <c r="BI211" s="30">
        <f>'Equity Volume Data'!BL211*'Equity Price Data'!BO212</f>
        <v>38004.8</v>
      </c>
      <c r="BJ211" s="30">
        <f>'Equity Volume Data'!BM211*'Equity Price Data'!BP212</f>
        <v>36648.75</v>
      </c>
      <c r="BK211" s="30">
        <f>'Equity Volume Data'!BN211*'Equity Price Data'!BQ212</f>
        <v>89018.8</v>
      </c>
      <c r="BL211" s="30">
        <f>'Equity Volume Data'!BO211*'Equity Price Data'!BR212</f>
        <v>427.7</v>
      </c>
      <c r="BM211" s="30">
        <f>'Equity Volume Data'!BP211*'Equity Price Data'!BS212</f>
        <v>10793.28</v>
      </c>
      <c r="BN211" s="30">
        <f>'Equity Volume Data'!BQ211*'Equity Price Data'!BT212</f>
        <v>18544.32</v>
      </c>
      <c r="BO211" s="30">
        <f>'Equity Volume Data'!BR211*'Equity Price Data'!BU212</f>
        <v>24411</v>
      </c>
    </row>
    <row r="212">
      <c r="A212" s="25">
        <f>'Equity Price Data'!A213</f>
        <v>45733.66667</v>
      </c>
      <c r="B212" s="29">
        <f t="shared" si="1"/>
        <v>1326904.26</v>
      </c>
      <c r="C212" s="30">
        <f>'Equity Volume Data'!F212*'Equity Price Data'!I213</f>
        <v>5191.42</v>
      </c>
      <c r="D212" s="30">
        <f>'Equity Volume Data'!G212*'Equity Price Data'!J213</f>
        <v>50892.4</v>
      </c>
      <c r="E212" s="30">
        <f>'Equity Volume Data'!H212*'Equity Price Data'!K213</f>
        <v>15930.2</v>
      </c>
      <c r="F212" s="30">
        <f>'Equity Volume Data'!I212*'Equity Price Data'!L213</f>
        <v>54784</v>
      </c>
      <c r="G212" s="30">
        <f>'Equity Volume Data'!J212*'Equity Price Data'!M213</f>
        <v>12903.18</v>
      </c>
      <c r="H212" s="30">
        <f>'Equity Volume Data'!K212*'Equity Price Data'!N213</f>
        <v>15494.96</v>
      </c>
      <c r="I212" s="30">
        <f>'Equity Volume Data'!L212*'Equity Price Data'!O213</f>
        <v>15610</v>
      </c>
      <c r="J212" s="30">
        <f>'Equity Volume Data'!M212*'Equity Price Data'!P213</f>
        <v>53347.02</v>
      </c>
      <c r="K212" s="30">
        <f>'Equity Volume Data'!N212*'Equity Price Data'!Q213</f>
        <v>10114</v>
      </c>
      <c r="L212" s="30">
        <f>'Equity Volume Data'!O212*'Equity Price Data'!R213</f>
        <v>17368.34</v>
      </c>
      <c r="M212" s="30">
        <f>'Equity Volume Data'!P212*'Equity Price Data'!S213</f>
        <v>0</v>
      </c>
      <c r="N212" s="30">
        <f>'Equity Volume Data'!Q212*'Equity Price Data'!T213</f>
        <v>5410.4</v>
      </c>
      <c r="O212" s="30">
        <f>'Equity Volume Data'!R212*'Equity Price Data'!U213</f>
        <v>51396</v>
      </c>
      <c r="P212" s="30">
        <f>'Equity Volume Data'!S212*'Equity Price Data'!V213</f>
        <v>18068.61</v>
      </c>
      <c r="Q212" s="30">
        <f>'Equity Volume Data'!T212*'Equity Price Data'!W213</f>
        <v>27646.8</v>
      </c>
      <c r="R212" s="30">
        <f>'Equity Volume Data'!U212*'Equity Price Data'!X213</f>
        <v>12697.6</v>
      </c>
      <c r="S212" s="30">
        <f>'Equity Volume Data'!V212*'Equity Price Data'!Y213</f>
        <v>27878.4</v>
      </c>
      <c r="T212" s="30">
        <f>'Equity Volume Data'!W212*'Equity Price Data'!Z213</f>
        <v>10215</v>
      </c>
      <c r="U212" s="30">
        <f>'Equity Volume Data'!X212*'Equity Price Data'!AA213</f>
        <v>18511.68</v>
      </c>
      <c r="V212" s="30">
        <f>'Equity Volume Data'!Y212*'Equity Price Data'!AB213</f>
        <v>17326.82</v>
      </c>
      <c r="W212" s="30">
        <f>'Equity Volume Data'!Z212*'Equity Price Data'!AC213</f>
        <v>10477.65</v>
      </c>
      <c r="X212" s="30">
        <f>'Equity Volume Data'!AA212*'Equity Price Data'!AD213</f>
        <v>0</v>
      </c>
      <c r="Y212" s="30">
        <f>'Equity Volume Data'!AB212*'Equity Price Data'!AE213</f>
        <v>5844.8</v>
      </c>
      <c r="Z212" s="30">
        <f>'Equity Volume Data'!AC212*'Equity Price Data'!AF213</f>
        <v>10116</v>
      </c>
      <c r="AA212" s="30">
        <f>'Equity Volume Data'!AD212*'Equity Price Data'!AG213</f>
        <v>19339.2</v>
      </c>
      <c r="AB212" s="30">
        <f>'Equity Volume Data'!AE212*'Equity Price Data'!AH213</f>
        <v>14718</v>
      </c>
      <c r="AC212" s="30">
        <f>'Equity Volume Data'!AF212*'Equity Price Data'!AI213</f>
        <v>18168</v>
      </c>
      <c r="AD212" s="30">
        <f>'Equity Volume Data'!AG212*'Equity Price Data'!AJ213</f>
        <v>11933.1</v>
      </c>
      <c r="AE212" s="30">
        <f>'Equity Volume Data'!AH212*'Equity Price Data'!AK213</f>
        <v>0</v>
      </c>
      <c r="AF212" s="30">
        <f>'Equity Volume Data'!AI212*'Equity Price Data'!AL213</f>
        <v>23013.3</v>
      </c>
      <c r="AG212" s="30">
        <f>'Equity Volume Data'!AJ212*'Equity Price Data'!AM213</f>
        <v>33080.4</v>
      </c>
      <c r="AH212" s="30">
        <f>'Equity Volume Data'!AK212*'Equity Price Data'!AN213</f>
        <v>35413</v>
      </c>
      <c r="AI212" s="30">
        <f>'Equity Volume Data'!AL212*'Equity Price Data'!AO213</f>
        <v>26048.75</v>
      </c>
      <c r="AJ212" s="30">
        <f>'Equity Volume Data'!AM212*'Equity Price Data'!AP213</f>
        <v>22466.6</v>
      </c>
      <c r="AK212" s="30">
        <f>'Equity Volume Data'!AN212*'Equity Price Data'!AQ213</f>
        <v>22973.6</v>
      </c>
      <c r="AL212" s="30">
        <f>'Equity Volume Data'!AO212*'Equity Price Data'!AR213</f>
        <v>37428.8</v>
      </c>
      <c r="AM212" s="30">
        <f>'Equity Volume Data'!AP212*'Equity Price Data'!AS213</f>
        <v>32732.7</v>
      </c>
      <c r="AN212" s="30">
        <f>'Equity Volume Data'!AQ212*'Equity Price Data'!AT213</f>
        <v>11448.15</v>
      </c>
      <c r="AO212" s="30">
        <f>'Equity Volume Data'!AR212*'Equity Price Data'!AU213</f>
        <v>25696.86</v>
      </c>
      <c r="AP212" s="30">
        <f>'Equity Volume Data'!AS212*'Equity Price Data'!AV213</f>
        <v>23337.5</v>
      </c>
      <c r="AQ212" s="30">
        <f>'Equity Volume Data'!AT212*'Equity Price Data'!AW213</f>
        <v>18075.2</v>
      </c>
      <c r="AR212" s="30">
        <f>'Equity Volume Data'!AU212*'Equity Price Data'!AX213</f>
        <v>11289.87</v>
      </c>
      <c r="AS212" s="30">
        <f>'Equity Volume Data'!AV212*'Equity Price Data'!AY213</f>
        <v>46644</v>
      </c>
      <c r="AT212" s="30">
        <f>'Equity Volume Data'!AW212*'Equity Price Data'!AZ213</f>
        <v>14422</v>
      </c>
      <c r="AU212" s="30">
        <f>'Equity Volume Data'!AX212*'Equity Price Data'!BA213</f>
        <v>0</v>
      </c>
      <c r="AV212" s="30">
        <f>'Equity Volume Data'!AY212*'Equity Price Data'!BB213</f>
        <v>16973.26</v>
      </c>
      <c r="AW212" s="30">
        <f>'Equity Volume Data'!AZ212*'Equity Price Data'!BC213</f>
        <v>4055.6</v>
      </c>
      <c r="AX212" s="30">
        <f>'Equity Volume Data'!BA212*'Equity Price Data'!BD213</f>
        <v>3844.8</v>
      </c>
      <c r="AY212" s="30">
        <f>'Equity Volume Data'!BB212*'Equity Price Data'!BE213</f>
        <v>35114.7</v>
      </c>
      <c r="AZ212" s="30">
        <f>'Equity Volume Data'!BC212*'Equity Price Data'!BF213</f>
        <v>10447.5</v>
      </c>
      <c r="BA212" s="30">
        <f>'Equity Volume Data'!BD212*'Equity Price Data'!BG213</f>
        <v>4949.5</v>
      </c>
      <c r="BB212" s="30">
        <f>'Equity Volume Data'!BE212*'Equity Price Data'!BH213</f>
        <v>10564</v>
      </c>
      <c r="BC212" s="30">
        <f>'Equity Volume Data'!BF212*'Equity Price Data'!BI213</f>
        <v>12834.64</v>
      </c>
      <c r="BD212" s="30">
        <f>'Equity Volume Data'!BG212*'Equity Price Data'!BJ213</f>
        <v>55416.21</v>
      </c>
      <c r="BE212" s="30">
        <f>'Equity Volume Data'!BH212*'Equity Price Data'!BK213</f>
        <v>11950.11</v>
      </c>
      <c r="BF212" s="30">
        <f>'Equity Volume Data'!BI212*'Equity Price Data'!BL213</f>
        <v>7536.4</v>
      </c>
      <c r="BG212" s="30">
        <f>'Equity Volume Data'!BJ212*'Equity Price Data'!BM213</f>
        <v>18817.82</v>
      </c>
      <c r="BH212" s="30">
        <f>'Equity Volume Data'!BK212*'Equity Price Data'!BN213</f>
        <v>0</v>
      </c>
      <c r="BI212" s="30">
        <f>'Equity Volume Data'!BL212*'Equity Price Data'!BO213</f>
        <v>38057.6</v>
      </c>
      <c r="BJ212" s="30">
        <f>'Equity Volume Data'!BM212*'Equity Price Data'!BP213</f>
        <v>37426.5</v>
      </c>
      <c r="BK212" s="30">
        <f>'Equity Volume Data'!BN212*'Equity Price Data'!BQ213</f>
        <v>88982.76</v>
      </c>
      <c r="BL212" s="30">
        <f>'Equity Volume Data'!BO212*'Equity Price Data'!BR213</f>
        <v>434.75</v>
      </c>
      <c r="BM212" s="30">
        <f>'Equity Volume Data'!BP212*'Equity Price Data'!BS213</f>
        <v>10953.12</v>
      </c>
      <c r="BN212" s="30">
        <f>'Equity Volume Data'!BQ212*'Equity Price Data'!BT213</f>
        <v>18679.68</v>
      </c>
      <c r="BO212" s="30">
        <f>'Equity Volume Data'!BR212*'Equity Price Data'!BU213</f>
        <v>24411</v>
      </c>
    </row>
    <row r="213">
      <c r="A213" s="25">
        <f>'Equity Price Data'!A214</f>
        <v>45734.66667</v>
      </c>
      <c r="B213" s="29">
        <f t="shared" si="1"/>
        <v>1320758.39</v>
      </c>
      <c r="C213" s="30">
        <f>'Equity Volume Data'!F213*'Equity Price Data'!I214</f>
        <v>5087.81</v>
      </c>
      <c r="D213" s="30">
        <f>'Equity Volume Data'!G213*'Equity Price Data'!J214</f>
        <v>50133.2</v>
      </c>
      <c r="E213" s="30">
        <f>'Equity Volume Data'!H213*'Equity Price Data'!K214</f>
        <v>15922.5</v>
      </c>
      <c r="F213" s="30">
        <f>'Equity Volume Data'!I213*'Equity Price Data'!L214</f>
        <v>54448.64</v>
      </c>
      <c r="G213" s="30">
        <f>'Equity Volume Data'!J213*'Equity Price Data'!M214</f>
        <v>12741.33</v>
      </c>
      <c r="H213" s="30">
        <f>'Equity Volume Data'!K213*'Equity Price Data'!N214</f>
        <v>15536.32</v>
      </c>
      <c r="I213" s="30">
        <f>'Equity Volume Data'!L213*'Equity Price Data'!O214</f>
        <v>16060</v>
      </c>
      <c r="J213" s="30">
        <f>'Equity Volume Data'!M213*'Equity Price Data'!P214</f>
        <v>53360.28</v>
      </c>
      <c r="K213" s="30">
        <f>'Equity Volume Data'!N213*'Equity Price Data'!Q214</f>
        <v>10108</v>
      </c>
      <c r="L213" s="30">
        <f>'Equity Volume Data'!O213*'Equity Price Data'!R214</f>
        <v>17313.89</v>
      </c>
      <c r="M213" s="30">
        <f>'Equity Volume Data'!P213*'Equity Price Data'!S214</f>
        <v>0</v>
      </c>
      <c r="N213" s="30">
        <f>'Equity Volume Data'!Q213*'Equity Price Data'!T214</f>
        <v>5384</v>
      </c>
      <c r="O213" s="30">
        <f>'Equity Volume Data'!R213*'Equity Price Data'!U214</f>
        <v>50506.5</v>
      </c>
      <c r="P213" s="30">
        <f>'Equity Volume Data'!S213*'Equity Price Data'!V214</f>
        <v>17968.53</v>
      </c>
      <c r="Q213" s="30">
        <f>'Equity Volume Data'!T213*'Equity Price Data'!W214</f>
        <v>27570</v>
      </c>
      <c r="R213" s="30">
        <f>'Equity Volume Data'!U213*'Equity Price Data'!X214</f>
        <v>12864.8</v>
      </c>
      <c r="S213" s="30">
        <f>'Equity Volume Data'!V213*'Equity Price Data'!Y214</f>
        <v>28373.84</v>
      </c>
      <c r="T213" s="30">
        <f>'Equity Volume Data'!W213*'Equity Price Data'!Z214</f>
        <v>10240</v>
      </c>
      <c r="U213" s="30">
        <f>'Equity Volume Data'!X213*'Equity Price Data'!AA214</f>
        <v>18316.32</v>
      </c>
      <c r="V213" s="30">
        <f>'Equity Volume Data'!Y213*'Equity Price Data'!AB214</f>
        <v>17357.41</v>
      </c>
      <c r="W213" s="30">
        <f>'Equity Volume Data'!Z213*'Equity Price Data'!AC214</f>
        <v>10257.54</v>
      </c>
      <c r="X213" s="30">
        <f>'Equity Volume Data'!AA213*'Equity Price Data'!AD214</f>
        <v>0</v>
      </c>
      <c r="Y213" s="30">
        <f>'Equity Volume Data'!AB213*'Equity Price Data'!AE214</f>
        <v>5884.84</v>
      </c>
      <c r="Z213" s="30">
        <f>'Equity Volume Data'!AC213*'Equity Price Data'!AF214</f>
        <v>9786</v>
      </c>
      <c r="AA213" s="30">
        <f>'Equity Volume Data'!AD213*'Equity Price Data'!AG214</f>
        <v>19318.8</v>
      </c>
      <c r="AB213" s="30">
        <f>'Equity Volume Data'!AE213*'Equity Price Data'!AH214</f>
        <v>14748</v>
      </c>
      <c r="AC213" s="30">
        <f>'Equity Volume Data'!AF213*'Equity Price Data'!AI214</f>
        <v>17857.2</v>
      </c>
      <c r="AD213" s="30">
        <f>'Equity Volume Data'!AG213*'Equity Price Data'!AJ214</f>
        <v>12038.4</v>
      </c>
      <c r="AE213" s="30">
        <f>'Equity Volume Data'!AH213*'Equity Price Data'!AK214</f>
        <v>0</v>
      </c>
      <c r="AF213" s="30">
        <f>'Equity Volume Data'!AI213*'Equity Price Data'!AL214</f>
        <v>22597.15</v>
      </c>
      <c r="AG213" s="30">
        <f>'Equity Volume Data'!AJ213*'Equity Price Data'!AM214</f>
        <v>33106.8</v>
      </c>
      <c r="AH213" s="30">
        <f>'Equity Volume Data'!AK213*'Equity Price Data'!AN214</f>
        <v>34957</v>
      </c>
      <c r="AI213" s="30">
        <f>'Equity Volume Data'!AL213*'Equity Price Data'!AO214</f>
        <v>25968.25</v>
      </c>
      <c r="AJ213" s="30">
        <f>'Equity Volume Data'!AM213*'Equity Price Data'!AP214</f>
        <v>22469.2</v>
      </c>
      <c r="AK213" s="30">
        <f>'Equity Volume Data'!AN213*'Equity Price Data'!AQ214</f>
        <v>22745.65</v>
      </c>
      <c r="AL213" s="30">
        <f>'Equity Volume Data'!AO213*'Equity Price Data'!AR214</f>
        <v>37595.2</v>
      </c>
      <c r="AM213" s="30">
        <f>'Equity Volume Data'!AP213*'Equity Price Data'!AS214</f>
        <v>32849.6</v>
      </c>
      <c r="AN213" s="30">
        <f>'Equity Volume Data'!AQ213*'Equity Price Data'!AT214</f>
        <v>11307.45</v>
      </c>
      <c r="AO213" s="30">
        <f>'Equity Volume Data'!AR213*'Equity Price Data'!AU214</f>
        <v>25637.08</v>
      </c>
      <c r="AP213" s="30">
        <f>'Equity Volume Data'!AS213*'Equity Price Data'!AV214</f>
        <v>23052.5</v>
      </c>
      <c r="AQ213" s="30">
        <f>'Equity Volume Data'!AT213*'Equity Price Data'!AW214</f>
        <v>17960.8</v>
      </c>
      <c r="AR213" s="30">
        <f>'Equity Volume Data'!AU213*'Equity Price Data'!AX214</f>
        <v>11349.09</v>
      </c>
      <c r="AS213" s="30">
        <f>'Equity Volume Data'!AV213*'Equity Price Data'!AY214</f>
        <v>46022.4</v>
      </c>
      <c r="AT213" s="30">
        <f>'Equity Volume Data'!AW213*'Equity Price Data'!AZ214</f>
        <v>14140</v>
      </c>
      <c r="AU213" s="30">
        <f>'Equity Volume Data'!AX213*'Equity Price Data'!BA214</f>
        <v>0</v>
      </c>
      <c r="AV213" s="30">
        <f>'Equity Volume Data'!AY213*'Equity Price Data'!BB214</f>
        <v>16391.06</v>
      </c>
      <c r="AW213" s="30">
        <f>'Equity Volume Data'!AZ213*'Equity Price Data'!BC214</f>
        <v>4066.8</v>
      </c>
      <c r="AX213" s="30">
        <f>'Equity Volume Data'!BA213*'Equity Price Data'!BD214</f>
        <v>3702.4</v>
      </c>
      <c r="AY213" s="30">
        <f>'Equity Volume Data'!BB213*'Equity Price Data'!BE214</f>
        <v>33723.78</v>
      </c>
      <c r="AZ213" s="30">
        <f>'Equity Volume Data'!BC213*'Equity Price Data'!BF214</f>
        <v>10332</v>
      </c>
      <c r="BA213" s="30">
        <f>'Equity Volume Data'!BD213*'Equity Price Data'!BG214</f>
        <v>4998.9</v>
      </c>
      <c r="BB213" s="30">
        <f>'Equity Volume Data'!BE213*'Equity Price Data'!BH214</f>
        <v>10615.2</v>
      </c>
      <c r="BC213" s="30">
        <f>'Equity Volume Data'!BF213*'Equity Price Data'!BI214</f>
        <v>12516.48</v>
      </c>
      <c r="BD213" s="30">
        <f>'Equity Volume Data'!BG213*'Equity Price Data'!BJ214</f>
        <v>55535.49</v>
      </c>
      <c r="BE213" s="30">
        <f>'Equity Volume Data'!BH213*'Equity Price Data'!BK214</f>
        <v>11994.5</v>
      </c>
      <c r="BF213" s="30">
        <f>'Equity Volume Data'!BI213*'Equity Price Data'!BL214</f>
        <v>7608</v>
      </c>
      <c r="BG213" s="30">
        <f>'Equity Volume Data'!BJ213*'Equity Price Data'!BM214</f>
        <v>19179.22</v>
      </c>
      <c r="BH213" s="30">
        <f>'Equity Volume Data'!BK213*'Equity Price Data'!BN214</f>
        <v>0</v>
      </c>
      <c r="BI213" s="30">
        <f>'Equity Volume Data'!BL213*'Equity Price Data'!BO214</f>
        <v>37934.4</v>
      </c>
      <c r="BJ213" s="30">
        <f>'Equity Volume Data'!BM213*'Equity Price Data'!BP214</f>
        <v>37785</v>
      </c>
      <c r="BK213" s="30">
        <f>'Equity Volume Data'!BN213*'Equity Price Data'!BQ214</f>
        <v>89054.84</v>
      </c>
      <c r="BL213" s="30">
        <f>'Equity Volume Data'!BO213*'Equity Price Data'!BR214</f>
        <v>447.44</v>
      </c>
      <c r="BM213" s="30">
        <f>'Equity Volume Data'!BP213*'Equity Price Data'!BS214</f>
        <v>10841.76</v>
      </c>
      <c r="BN213" s="30">
        <f>'Equity Volume Data'!BQ213*'Equity Price Data'!BT214</f>
        <v>18677.8</v>
      </c>
      <c r="BO213" s="30">
        <f>'Equity Volume Data'!BR213*'Equity Price Data'!BU214</f>
        <v>24411</v>
      </c>
    </row>
    <row r="214">
      <c r="A214" s="25">
        <f>'Equity Price Data'!A215</f>
        <v>45735.66667</v>
      </c>
      <c r="B214" s="29">
        <f t="shared" si="1"/>
        <v>1329528.49</v>
      </c>
      <c r="C214" s="30">
        <f>'Equity Volume Data'!F214*'Equity Price Data'!I215</f>
        <v>5042.57</v>
      </c>
      <c r="D214" s="30">
        <f>'Equity Volume Data'!G214*'Equity Price Data'!J215</f>
        <v>50840.4</v>
      </c>
      <c r="E214" s="30">
        <f>'Equity Volume Data'!H214*'Equity Price Data'!K215</f>
        <v>15625.5</v>
      </c>
      <c r="F214" s="30">
        <f>'Equity Volume Data'!I214*'Equity Price Data'!L215</f>
        <v>55101.44</v>
      </c>
      <c r="G214" s="30">
        <f>'Equity Volume Data'!J214*'Equity Price Data'!M215</f>
        <v>12820.18</v>
      </c>
      <c r="H214" s="30">
        <f>'Equity Volume Data'!K214*'Equity Price Data'!N215</f>
        <v>15773.2</v>
      </c>
      <c r="I214" s="30">
        <f>'Equity Volume Data'!L214*'Equity Price Data'!O215</f>
        <v>16160</v>
      </c>
      <c r="J214" s="30">
        <f>'Equity Volume Data'!M214*'Equity Price Data'!P215</f>
        <v>53577.54</v>
      </c>
      <c r="K214" s="30">
        <f>'Equity Volume Data'!N214*'Equity Price Data'!Q215</f>
        <v>10012</v>
      </c>
      <c r="L214" s="30">
        <f>'Equity Volume Data'!O214*'Equity Price Data'!R215</f>
        <v>17113.03</v>
      </c>
      <c r="M214" s="30">
        <f>'Equity Volume Data'!P214*'Equity Price Data'!S215</f>
        <v>0</v>
      </c>
      <c r="N214" s="30">
        <f>'Equity Volume Data'!Q214*'Equity Price Data'!T215</f>
        <v>5414.4</v>
      </c>
      <c r="O214" s="30">
        <f>'Equity Volume Data'!R214*'Equity Price Data'!U215</f>
        <v>50793</v>
      </c>
      <c r="P214" s="30">
        <f>'Equity Volume Data'!S214*'Equity Price Data'!V215</f>
        <v>18427.23</v>
      </c>
      <c r="Q214" s="30">
        <f>'Equity Volume Data'!T214*'Equity Price Data'!W215</f>
        <v>27638.4</v>
      </c>
      <c r="R214" s="30">
        <f>'Equity Volume Data'!U214*'Equity Price Data'!X215</f>
        <v>13124</v>
      </c>
      <c r="S214" s="30">
        <f>'Equity Volume Data'!V214*'Equity Price Data'!Y215</f>
        <v>28233.04</v>
      </c>
      <c r="T214" s="30">
        <f>'Equity Volume Data'!W214*'Equity Price Data'!Z215</f>
        <v>10340</v>
      </c>
      <c r="U214" s="30">
        <f>'Equity Volume Data'!X214*'Equity Price Data'!AA215</f>
        <v>18289.92</v>
      </c>
      <c r="V214" s="30">
        <f>'Equity Volume Data'!Y214*'Equity Price Data'!AB215</f>
        <v>17305.89</v>
      </c>
      <c r="W214" s="30">
        <f>'Equity Volume Data'!Z214*'Equity Price Data'!AC215</f>
        <v>10425.21</v>
      </c>
      <c r="X214" s="30">
        <f>'Equity Volume Data'!AA214*'Equity Price Data'!AD215</f>
        <v>0</v>
      </c>
      <c r="Y214" s="30">
        <f>'Equity Volume Data'!AB214*'Equity Price Data'!AE215</f>
        <v>6001.71</v>
      </c>
      <c r="Z214" s="30">
        <f>'Equity Volume Data'!AC214*'Equity Price Data'!AF215</f>
        <v>10080</v>
      </c>
      <c r="AA214" s="30">
        <f>'Equity Volume Data'!AD214*'Equity Price Data'!AG215</f>
        <v>19619.7</v>
      </c>
      <c r="AB214" s="30">
        <f>'Equity Volume Data'!AE214*'Equity Price Data'!AH215</f>
        <v>14827.2</v>
      </c>
      <c r="AC214" s="30">
        <f>'Equity Volume Data'!AF214*'Equity Price Data'!AI215</f>
        <v>18131.2</v>
      </c>
      <c r="AD214" s="30">
        <f>'Equity Volume Data'!AG214*'Equity Price Data'!AJ215</f>
        <v>12058.65</v>
      </c>
      <c r="AE214" s="30">
        <f>'Equity Volume Data'!AH214*'Equity Price Data'!AK215</f>
        <v>0</v>
      </c>
      <c r="AF214" s="30">
        <f>'Equity Volume Data'!AI214*'Equity Price Data'!AL215</f>
        <v>22039.55</v>
      </c>
      <c r="AG214" s="30">
        <f>'Equity Volume Data'!AJ214*'Equity Price Data'!AM215</f>
        <v>33440.4</v>
      </c>
      <c r="AH214" s="30">
        <f>'Equity Volume Data'!AK214*'Equity Price Data'!AN215</f>
        <v>35342</v>
      </c>
      <c r="AI214" s="30">
        <f>'Equity Volume Data'!AL214*'Equity Price Data'!AO215</f>
        <v>26202.75</v>
      </c>
      <c r="AJ214" s="30">
        <f>'Equity Volume Data'!AM214*'Equity Price Data'!AP215</f>
        <v>22579.7</v>
      </c>
      <c r="AK214" s="30">
        <f>'Equity Volume Data'!AN214*'Equity Price Data'!AQ215</f>
        <v>23126.82</v>
      </c>
      <c r="AL214" s="30">
        <f>'Equity Volume Data'!AO214*'Equity Price Data'!AR215</f>
        <v>38257.6</v>
      </c>
      <c r="AM214" s="30">
        <f>'Equity Volume Data'!AP214*'Equity Price Data'!AS215</f>
        <v>32938.5</v>
      </c>
      <c r="AN214" s="30">
        <f>'Equity Volume Data'!AQ214*'Equity Price Data'!AT215</f>
        <v>11534.95</v>
      </c>
      <c r="AO214" s="30">
        <f>'Equity Volume Data'!AR214*'Equity Price Data'!AU215</f>
        <v>26029.92</v>
      </c>
      <c r="AP214" s="30">
        <f>'Equity Volume Data'!AS214*'Equity Price Data'!AV215</f>
        <v>22967.5</v>
      </c>
      <c r="AQ214" s="30">
        <f>'Equity Volume Data'!AT214*'Equity Price Data'!AW215</f>
        <v>18264.4</v>
      </c>
      <c r="AR214" s="30">
        <f>'Equity Volume Data'!AU214*'Equity Price Data'!AX215</f>
        <v>11340.63</v>
      </c>
      <c r="AS214" s="30">
        <f>'Equity Volume Data'!AV214*'Equity Price Data'!AY215</f>
        <v>46538.4</v>
      </c>
      <c r="AT214" s="30">
        <f>'Equity Volume Data'!AW214*'Equity Price Data'!AZ215</f>
        <v>14100</v>
      </c>
      <c r="AU214" s="30">
        <f>'Equity Volume Data'!AX214*'Equity Price Data'!BA215</f>
        <v>0</v>
      </c>
      <c r="AV214" s="30">
        <f>'Equity Volume Data'!AY214*'Equity Price Data'!BB215</f>
        <v>16687.84</v>
      </c>
      <c r="AW214" s="30">
        <f>'Equity Volume Data'!AZ214*'Equity Price Data'!BC215</f>
        <v>4110.8</v>
      </c>
      <c r="AX214" s="30">
        <f>'Equity Volume Data'!BA214*'Equity Price Data'!BD215</f>
        <v>3765.6</v>
      </c>
      <c r="AY214" s="30">
        <f>'Equity Volume Data'!BB214*'Equity Price Data'!BE215</f>
        <v>34612.2</v>
      </c>
      <c r="AZ214" s="30">
        <f>'Equity Volume Data'!BC214*'Equity Price Data'!BF215</f>
        <v>10500</v>
      </c>
      <c r="BA214" s="30">
        <f>'Equity Volume Data'!BD214*'Equity Price Data'!BG215</f>
        <v>4979.9</v>
      </c>
      <c r="BB214" s="30">
        <f>'Equity Volume Data'!BE214*'Equity Price Data'!BH215</f>
        <v>10825.6</v>
      </c>
      <c r="BC214" s="30">
        <f>'Equity Volume Data'!BF214*'Equity Price Data'!BI215</f>
        <v>12710</v>
      </c>
      <c r="BD214" s="30">
        <f>'Equity Volume Data'!BG214*'Equity Price Data'!BJ215</f>
        <v>55220.25</v>
      </c>
      <c r="BE214" s="30">
        <f>'Equity Volume Data'!BH214*'Equity Price Data'!BK215</f>
        <v>11923.43</v>
      </c>
      <c r="BF214" s="30">
        <f>'Equity Volume Data'!BI214*'Equity Price Data'!BL215</f>
        <v>7725.6</v>
      </c>
      <c r="BG214" s="30">
        <f>'Equity Volume Data'!BJ214*'Equity Price Data'!BM215</f>
        <v>19551.74</v>
      </c>
      <c r="BH214" s="30">
        <f>'Equity Volume Data'!BK214*'Equity Price Data'!BN215</f>
        <v>0</v>
      </c>
      <c r="BI214" s="30">
        <f>'Equity Volume Data'!BL214*'Equity Price Data'!BO215</f>
        <v>37822.4</v>
      </c>
      <c r="BJ214" s="30">
        <f>'Equity Volume Data'!BM214*'Equity Price Data'!BP215</f>
        <v>37740</v>
      </c>
      <c r="BK214" s="30">
        <f>'Equity Volume Data'!BN214*'Equity Price Data'!BQ215</f>
        <v>89253.06</v>
      </c>
      <c r="BL214" s="30">
        <f>'Equity Volume Data'!BO214*'Equity Price Data'!BR215</f>
        <v>442.74</v>
      </c>
      <c r="BM214" s="30">
        <f>'Equity Volume Data'!BP214*'Equity Price Data'!BS215</f>
        <v>10913.28</v>
      </c>
      <c r="BN214" s="30">
        <f>'Equity Volume Data'!BQ214*'Equity Price Data'!BT215</f>
        <v>18854.52</v>
      </c>
      <c r="BO214" s="30">
        <f>'Equity Volume Data'!BR214*'Equity Price Data'!BU215</f>
        <v>24411</v>
      </c>
    </row>
    <row r="215">
      <c r="A215" s="25">
        <f>'Equity Price Data'!A216</f>
        <v>45736.66667</v>
      </c>
      <c r="B215" s="29">
        <f t="shared" si="1"/>
        <v>1327429.2</v>
      </c>
      <c r="C215" s="30">
        <f>'Equity Volume Data'!F215*'Equity Price Data'!I216</f>
        <v>5064.93</v>
      </c>
      <c r="D215" s="30">
        <f>'Equity Volume Data'!G215*'Equity Price Data'!J216</f>
        <v>50687</v>
      </c>
      <c r="E215" s="30">
        <f>'Equity Volume Data'!H215*'Equity Price Data'!K216</f>
        <v>15599.1</v>
      </c>
      <c r="F215" s="30">
        <f>'Equity Volume Data'!I215*'Equity Price Data'!L216</f>
        <v>54809.6</v>
      </c>
      <c r="G215" s="30">
        <f>'Equity Volume Data'!J215*'Equity Price Data'!M216</f>
        <v>12813.54</v>
      </c>
      <c r="H215" s="30">
        <f>'Equity Volume Data'!K215*'Equity Price Data'!N216</f>
        <v>15778.84</v>
      </c>
      <c r="I215" s="30">
        <f>'Equity Volume Data'!L215*'Equity Price Data'!O216</f>
        <v>15970</v>
      </c>
      <c r="J215" s="30">
        <f>'Equity Volume Data'!M215*'Equity Price Data'!P216</f>
        <v>53930.46</v>
      </c>
      <c r="K215" s="30">
        <f>'Equity Volume Data'!N215*'Equity Price Data'!Q216</f>
        <v>9862</v>
      </c>
      <c r="L215" s="30">
        <f>'Equity Volume Data'!O215*'Equity Price Data'!R216</f>
        <v>17106.98</v>
      </c>
      <c r="M215" s="30">
        <f>'Equity Volume Data'!P215*'Equity Price Data'!S216</f>
        <v>0</v>
      </c>
      <c r="N215" s="30">
        <f>'Equity Volume Data'!Q215*'Equity Price Data'!T216</f>
        <v>5314.4</v>
      </c>
      <c r="O215" s="30">
        <f>'Equity Volume Data'!R215*'Equity Price Data'!U216</f>
        <v>50437.5</v>
      </c>
      <c r="P215" s="30">
        <f>'Equity Volume Data'!S215*'Equity Price Data'!V216</f>
        <v>18702.45</v>
      </c>
      <c r="Q215" s="30">
        <f>'Equity Volume Data'!T215*'Equity Price Data'!W216</f>
        <v>27496.8</v>
      </c>
      <c r="R215" s="30">
        <f>'Equity Volume Data'!U215*'Equity Price Data'!X216</f>
        <v>13181.6</v>
      </c>
      <c r="S215" s="30">
        <f>'Equity Volume Data'!V215*'Equity Price Data'!Y216</f>
        <v>28282.32</v>
      </c>
      <c r="T215" s="30">
        <f>'Equity Volume Data'!W215*'Equity Price Data'!Z216</f>
        <v>10247.5</v>
      </c>
      <c r="U215" s="30">
        <f>'Equity Volume Data'!X215*'Equity Price Data'!AA216</f>
        <v>18403.44</v>
      </c>
      <c r="V215" s="30">
        <f>'Equity Volume Data'!Y215*'Equity Price Data'!AB216</f>
        <v>17465.28</v>
      </c>
      <c r="W215" s="30">
        <f>'Equity Volume Data'!Z215*'Equity Price Data'!AC216</f>
        <v>10447.29</v>
      </c>
      <c r="X215" s="30">
        <f>'Equity Volume Data'!AA215*'Equity Price Data'!AD216</f>
        <v>0</v>
      </c>
      <c r="Y215" s="30">
        <f>'Equity Volume Data'!AB215*'Equity Price Data'!AE216</f>
        <v>6058.65</v>
      </c>
      <c r="Z215" s="30">
        <f>'Equity Volume Data'!AC215*'Equity Price Data'!AF216</f>
        <v>9951</v>
      </c>
      <c r="AA215" s="30">
        <f>'Equity Volume Data'!AD215*'Equity Price Data'!AG216</f>
        <v>19703</v>
      </c>
      <c r="AB215" s="30">
        <f>'Equity Volume Data'!AE215*'Equity Price Data'!AH216</f>
        <v>14772.6</v>
      </c>
      <c r="AC215" s="30">
        <f>'Equity Volume Data'!AF215*'Equity Price Data'!AI216</f>
        <v>17761.2</v>
      </c>
      <c r="AD215" s="30">
        <f>'Equity Volume Data'!AG215*'Equity Price Data'!AJ216</f>
        <v>11956.5</v>
      </c>
      <c r="AE215" s="30">
        <f>'Equity Volume Data'!AH215*'Equity Price Data'!AK216</f>
        <v>0</v>
      </c>
      <c r="AF215" s="30">
        <f>'Equity Volume Data'!AI215*'Equity Price Data'!AL216</f>
        <v>21703.35</v>
      </c>
      <c r="AG215" s="30">
        <f>'Equity Volume Data'!AJ215*'Equity Price Data'!AM216</f>
        <v>33760.8</v>
      </c>
      <c r="AH215" s="30">
        <f>'Equity Volume Data'!AK215*'Equity Price Data'!AN216</f>
        <v>35552</v>
      </c>
      <c r="AI215" s="30">
        <f>'Equity Volume Data'!AL215*'Equity Price Data'!AO216</f>
        <v>25996.25</v>
      </c>
      <c r="AJ215" s="30">
        <f>'Equity Volume Data'!AM215*'Equity Price Data'!AP216</f>
        <v>22826.7</v>
      </c>
      <c r="AK215" s="30">
        <f>'Equity Volume Data'!AN215*'Equity Price Data'!AQ216</f>
        <v>23115.07</v>
      </c>
      <c r="AL215" s="30">
        <f>'Equity Volume Data'!AO215*'Equity Price Data'!AR216</f>
        <v>38241.6</v>
      </c>
      <c r="AM215" s="30">
        <f>'Equity Volume Data'!AP215*'Equity Price Data'!AS216</f>
        <v>32671.8</v>
      </c>
      <c r="AN215" s="30">
        <f>'Equity Volume Data'!AQ215*'Equity Price Data'!AT216</f>
        <v>11355.75</v>
      </c>
      <c r="AO215" s="30">
        <f>'Equity Volume Data'!AR215*'Equity Price Data'!AU216</f>
        <v>26081.16</v>
      </c>
      <c r="AP215" s="30">
        <f>'Equity Volume Data'!AS215*'Equity Price Data'!AV216</f>
        <v>22805</v>
      </c>
      <c r="AQ215" s="30">
        <f>'Equity Volume Data'!AT215*'Equity Price Data'!AW216</f>
        <v>18198.4</v>
      </c>
      <c r="AR215" s="30">
        <f>'Equity Volume Data'!AU215*'Equity Price Data'!AX216</f>
        <v>11103.75</v>
      </c>
      <c r="AS215" s="30">
        <f>'Equity Volume Data'!AV215*'Equity Price Data'!AY216</f>
        <v>46420.8</v>
      </c>
      <c r="AT215" s="30">
        <f>'Equity Volume Data'!AW215*'Equity Price Data'!AZ216</f>
        <v>14230</v>
      </c>
      <c r="AU215" s="30">
        <f>'Equity Volume Data'!AX215*'Equity Price Data'!BA216</f>
        <v>0</v>
      </c>
      <c r="AV215" s="30">
        <f>'Equity Volume Data'!AY215*'Equity Price Data'!BB216</f>
        <v>16831.26</v>
      </c>
      <c r="AW215" s="30">
        <f>'Equity Volume Data'!AZ215*'Equity Price Data'!BC216</f>
        <v>4076</v>
      </c>
      <c r="AX215" s="30">
        <f>'Equity Volume Data'!BA215*'Equity Price Data'!BD216</f>
        <v>3644.8</v>
      </c>
      <c r="AY215" s="30">
        <f>'Equity Volume Data'!BB215*'Equity Price Data'!BE216</f>
        <v>35130.78</v>
      </c>
      <c r="AZ215" s="30">
        <f>'Equity Volume Data'!BC215*'Equity Price Data'!BF216</f>
        <v>10450.5</v>
      </c>
      <c r="BA215" s="30">
        <f>'Equity Volume Data'!BD215*'Equity Price Data'!BG216</f>
        <v>4976.1</v>
      </c>
      <c r="BB215" s="30">
        <f>'Equity Volume Data'!BE215*'Equity Price Data'!BH216</f>
        <v>10757.6</v>
      </c>
      <c r="BC215" s="30">
        <f>'Equity Volume Data'!BF215*'Equity Price Data'!BI216</f>
        <v>12624.72</v>
      </c>
      <c r="BD215" s="30">
        <f>'Equity Volume Data'!BG215*'Equity Price Data'!BJ216</f>
        <v>54747.39</v>
      </c>
      <c r="BE215" s="30">
        <f>'Equity Volume Data'!BH215*'Equity Price Data'!BK216</f>
        <v>11928.72</v>
      </c>
      <c r="BF215" s="30">
        <f>'Equity Volume Data'!BI215*'Equity Price Data'!BL216</f>
        <v>7686.8</v>
      </c>
      <c r="BG215" s="30">
        <f>'Equity Volume Data'!BJ215*'Equity Price Data'!BM216</f>
        <v>19137.52</v>
      </c>
      <c r="BH215" s="30">
        <f>'Equity Volume Data'!BK215*'Equity Price Data'!BN216</f>
        <v>0</v>
      </c>
      <c r="BI215" s="30">
        <f>'Equity Volume Data'!BL215*'Equity Price Data'!BO216</f>
        <v>37566.4</v>
      </c>
      <c r="BJ215" s="30">
        <f>'Equity Volume Data'!BM215*'Equity Price Data'!BP216</f>
        <v>38347.5</v>
      </c>
      <c r="BK215" s="30">
        <f>'Equity Volume Data'!BN215*'Equity Price Data'!BQ216</f>
        <v>89325.14</v>
      </c>
      <c r="BL215" s="30">
        <f>'Equity Volume Data'!BO215*'Equity Price Data'!BR216</f>
        <v>443.68</v>
      </c>
      <c r="BM215" s="30">
        <f>'Equity Volume Data'!BP215*'Equity Price Data'!BS216</f>
        <v>10891.2</v>
      </c>
      <c r="BN215" s="30">
        <f>'Equity Volume Data'!BQ215*'Equity Price Data'!BT216</f>
        <v>18585.68</v>
      </c>
      <c r="BO215" s="30">
        <f>'Equity Volume Data'!BR215*'Equity Price Data'!BU216</f>
        <v>24411</v>
      </c>
    </row>
    <row r="216">
      <c r="A216" s="25">
        <f>'Equity Price Data'!A217</f>
        <v>45737.66667</v>
      </c>
      <c r="B216" s="29">
        <f t="shared" si="1"/>
        <v>1322819.46</v>
      </c>
      <c r="C216" s="30">
        <f>'Equity Volume Data'!F216*'Equity Price Data'!I217</f>
        <v>5034.38</v>
      </c>
      <c r="D216" s="30">
        <f>'Equity Volume Data'!G216*'Equity Price Data'!J217</f>
        <v>51014.6</v>
      </c>
      <c r="E216" s="30">
        <f>'Equity Volume Data'!H216*'Equity Price Data'!K217</f>
        <v>15524.3</v>
      </c>
      <c r="F216" s="30">
        <f>'Equity Volume Data'!I216*'Equity Price Data'!L217</f>
        <v>55877.12</v>
      </c>
      <c r="G216" s="30">
        <f>'Equity Volume Data'!J216*'Equity Price Data'!M217</f>
        <v>12625.96</v>
      </c>
      <c r="H216" s="30">
        <f>'Equity Volume Data'!K216*'Equity Price Data'!N217</f>
        <v>15707.4</v>
      </c>
      <c r="I216" s="30">
        <f>'Equity Volume Data'!L216*'Equity Price Data'!O217</f>
        <v>15750</v>
      </c>
      <c r="J216" s="30">
        <f>'Equity Volume Data'!M216*'Equity Price Data'!P217</f>
        <v>53234.82</v>
      </c>
      <c r="K216" s="30">
        <f>'Equity Volume Data'!N216*'Equity Price Data'!Q217</f>
        <v>9830</v>
      </c>
      <c r="L216" s="30">
        <f>'Equity Volume Data'!O216*'Equity Price Data'!R217</f>
        <v>17048.9</v>
      </c>
      <c r="M216" s="30">
        <f>'Equity Volume Data'!P216*'Equity Price Data'!S217</f>
        <v>0</v>
      </c>
      <c r="N216" s="30">
        <f>'Equity Volume Data'!Q216*'Equity Price Data'!T217</f>
        <v>5293.6</v>
      </c>
      <c r="O216" s="30">
        <f>'Equity Volume Data'!R216*'Equity Price Data'!U217</f>
        <v>50367</v>
      </c>
      <c r="P216" s="30">
        <f>'Equity Volume Data'!S216*'Equity Price Data'!V217</f>
        <v>18569.01</v>
      </c>
      <c r="Q216" s="30">
        <f>'Equity Volume Data'!T216*'Equity Price Data'!W217</f>
        <v>27356.4</v>
      </c>
      <c r="R216" s="30">
        <f>'Equity Volume Data'!U216*'Equity Price Data'!X217</f>
        <v>13180</v>
      </c>
      <c r="S216" s="30">
        <f>'Equity Volume Data'!V216*'Equity Price Data'!Y217</f>
        <v>27865.2</v>
      </c>
      <c r="T216" s="30">
        <f>'Equity Volume Data'!W216*'Equity Price Data'!Z217</f>
        <v>10297.5</v>
      </c>
      <c r="U216" s="30">
        <f>'Equity Volume Data'!X216*'Equity Price Data'!AA217</f>
        <v>18128.88</v>
      </c>
      <c r="V216" s="30">
        <f>'Equity Volume Data'!Y216*'Equity Price Data'!AB217</f>
        <v>17355.8</v>
      </c>
      <c r="W216" s="30">
        <f>'Equity Volume Data'!Z216*'Equity Price Data'!AC217</f>
        <v>10376.22</v>
      </c>
      <c r="X216" s="30">
        <f>'Equity Volume Data'!AA216*'Equity Price Data'!AD217</f>
        <v>0</v>
      </c>
      <c r="Y216" s="30">
        <f>'Equity Volume Data'!AB216*'Equity Price Data'!AE217</f>
        <v>5998.2</v>
      </c>
      <c r="Z216" s="30">
        <f>'Equity Volume Data'!AC216*'Equity Price Data'!AF217</f>
        <v>9867</v>
      </c>
      <c r="AA216" s="30">
        <f>'Equity Volume Data'!AD216*'Equity Price Data'!AG217</f>
        <v>19635</v>
      </c>
      <c r="AB216" s="30">
        <f>'Equity Volume Data'!AE216*'Equity Price Data'!AH217</f>
        <v>13819.8</v>
      </c>
      <c r="AC216" s="30">
        <f>'Equity Volume Data'!AF216*'Equity Price Data'!AI217</f>
        <v>17452.8</v>
      </c>
      <c r="AD216" s="30">
        <f>'Equity Volume Data'!AG216*'Equity Price Data'!AJ217</f>
        <v>11853.45</v>
      </c>
      <c r="AE216" s="30">
        <f>'Equity Volume Data'!AH216*'Equity Price Data'!AK217</f>
        <v>0</v>
      </c>
      <c r="AF216" s="30">
        <f>'Equity Volume Data'!AI216*'Equity Price Data'!AL217</f>
        <v>21951.4</v>
      </c>
      <c r="AG216" s="30">
        <f>'Equity Volume Data'!AJ216*'Equity Price Data'!AM217</f>
        <v>33908.4</v>
      </c>
      <c r="AH216" s="30">
        <f>'Equity Volume Data'!AK216*'Equity Price Data'!AN217</f>
        <v>35115</v>
      </c>
      <c r="AI216" s="30">
        <f>'Equity Volume Data'!AL216*'Equity Price Data'!AO217</f>
        <v>24652.25</v>
      </c>
      <c r="AJ216" s="30">
        <f>'Equity Volume Data'!AM216*'Equity Price Data'!AP217</f>
        <v>22670.7</v>
      </c>
      <c r="AK216" s="30">
        <f>'Equity Volume Data'!AN216*'Equity Price Data'!AQ217</f>
        <v>23147.03</v>
      </c>
      <c r="AL216" s="30">
        <f>'Equity Volume Data'!AO216*'Equity Price Data'!AR217</f>
        <v>38660.8</v>
      </c>
      <c r="AM216" s="30">
        <f>'Equity Volume Data'!AP216*'Equity Price Data'!AS217</f>
        <v>30779</v>
      </c>
      <c r="AN216" s="30">
        <f>'Equity Volume Data'!AQ216*'Equity Price Data'!AT217</f>
        <v>11291.7</v>
      </c>
      <c r="AO216" s="30">
        <f>'Equity Volume Data'!AR216*'Equity Price Data'!AU217</f>
        <v>25995.76</v>
      </c>
      <c r="AP216" s="30">
        <f>'Equity Volume Data'!AS216*'Equity Price Data'!AV217</f>
        <v>22582.5</v>
      </c>
      <c r="AQ216" s="30">
        <f>'Equity Volume Data'!AT216*'Equity Price Data'!AW217</f>
        <v>18119.2</v>
      </c>
      <c r="AR216" s="30">
        <f>'Equity Volume Data'!AU216*'Equity Price Data'!AX217</f>
        <v>10955.7</v>
      </c>
      <c r="AS216" s="30">
        <f>'Equity Volume Data'!AV216*'Equity Price Data'!AY217</f>
        <v>46951.2</v>
      </c>
      <c r="AT216" s="30">
        <f>'Equity Volume Data'!AW216*'Equity Price Data'!AZ217</f>
        <v>14176</v>
      </c>
      <c r="AU216" s="30">
        <f>'Equity Volume Data'!AX216*'Equity Price Data'!BA217</f>
        <v>0</v>
      </c>
      <c r="AV216" s="30">
        <f>'Equity Volume Data'!AY216*'Equity Price Data'!BB217</f>
        <v>16713.4</v>
      </c>
      <c r="AW216" s="30">
        <f>'Equity Volume Data'!AZ216*'Equity Price Data'!BC217</f>
        <v>4048.4</v>
      </c>
      <c r="AX216" s="30">
        <f>'Equity Volume Data'!BA216*'Equity Price Data'!BD217</f>
        <v>3700</v>
      </c>
      <c r="AY216" s="30">
        <f>'Equity Volume Data'!BB216*'Equity Price Data'!BE217</f>
        <v>36565.92</v>
      </c>
      <c r="AZ216" s="30">
        <f>'Equity Volume Data'!BC216*'Equity Price Data'!BF217</f>
        <v>10528.5</v>
      </c>
      <c r="BA216" s="30">
        <f>'Equity Volume Data'!BD216*'Equity Price Data'!BG217</f>
        <v>4993.2</v>
      </c>
      <c r="BB216" s="30">
        <f>'Equity Volume Data'!BE216*'Equity Price Data'!BH217</f>
        <v>10589.6</v>
      </c>
      <c r="BC216" s="30">
        <f>'Equity Volume Data'!BF216*'Equity Price Data'!BI217</f>
        <v>12500.08</v>
      </c>
      <c r="BD216" s="30">
        <f>'Equity Volume Data'!BG216*'Equity Price Data'!BJ217</f>
        <v>54493.92</v>
      </c>
      <c r="BE216" s="30">
        <f>'Equity Volume Data'!BH216*'Equity Price Data'!BK217</f>
        <v>11907.56</v>
      </c>
      <c r="BF216" s="30">
        <f>'Equity Volume Data'!BI216*'Equity Price Data'!BL217</f>
        <v>7628</v>
      </c>
      <c r="BG216" s="30">
        <f>'Equity Volume Data'!BJ216*'Equity Price Data'!BM217</f>
        <v>19195.9</v>
      </c>
      <c r="BH216" s="30">
        <f>'Equity Volume Data'!BK216*'Equity Price Data'!BN217</f>
        <v>0</v>
      </c>
      <c r="BI216" s="30">
        <f>'Equity Volume Data'!BL216*'Equity Price Data'!BO217</f>
        <v>37420.8</v>
      </c>
      <c r="BJ216" s="30">
        <f>'Equity Volume Data'!BM216*'Equity Price Data'!BP217</f>
        <v>38763.75</v>
      </c>
      <c r="BK216" s="30">
        <f>'Equity Volume Data'!BN216*'Equity Price Data'!BQ217</f>
        <v>89415.24</v>
      </c>
      <c r="BL216" s="30">
        <f>'Equity Volume Data'!BO216*'Equity Price Data'!BR217</f>
        <v>430.05</v>
      </c>
      <c r="BM216" s="30">
        <f>'Equity Volume Data'!BP216*'Equity Price Data'!BS217</f>
        <v>10795.68</v>
      </c>
      <c r="BN216" s="30">
        <f>'Equity Volume Data'!BQ216*'Equity Price Data'!BT217</f>
        <v>18698.48</v>
      </c>
      <c r="BO216" s="30">
        <f>'Equity Volume Data'!BR216*'Equity Price Data'!BU217</f>
        <v>24411</v>
      </c>
    </row>
    <row r="217">
      <c r="A217" s="25">
        <f>'Equity Price Data'!A218</f>
        <v>45740.66667</v>
      </c>
      <c r="B217" s="29">
        <f t="shared" si="1"/>
        <v>1341203.07</v>
      </c>
      <c r="C217" s="30">
        <f>'Equity Volume Data'!F217*'Equity Price Data'!I218</f>
        <v>5128.11</v>
      </c>
      <c r="D217" s="30">
        <f>'Equity Volume Data'!G217*'Equity Price Data'!J218</f>
        <v>52847.6</v>
      </c>
      <c r="E217" s="30">
        <f>'Equity Volume Data'!H217*'Equity Price Data'!K218</f>
        <v>15367</v>
      </c>
      <c r="F217" s="30">
        <f>'Equity Volume Data'!I217*'Equity Price Data'!L218</f>
        <v>56506.88</v>
      </c>
      <c r="G217" s="30">
        <f>'Equity Volume Data'!J217*'Equity Price Data'!M218</f>
        <v>12860.85</v>
      </c>
      <c r="H217" s="30">
        <f>'Equity Volume Data'!K217*'Equity Price Data'!N218</f>
        <v>15923.6</v>
      </c>
      <c r="I217" s="30">
        <f>'Equity Volume Data'!L217*'Equity Price Data'!O218</f>
        <v>15990</v>
      </c>
      <c r="J217" s="30">
        <f>'Equity Volume Data'!M217*'Equity Price Data'!P218</f>
        <v>53636.7</v>
      </c>
      <c r="K217" s="30">
        <f>'Equity Volume Data'!N217*'Equity Price Data'!Q218</f>
        <v>9860</v>
      </c>
      <c r="L217" s="30">
        <f>'Equity Volume Data'!O217*'Equity Price Data'!R218</f>
        <v>17133.6</v>
      </c>
      <c r="M217" s="30">
        <f>'Equity Volume Data'!P217*'Equity Price Data'!S218</f>
        <v>0</v>
      </c>
      <c r="N217" s="30">
        <f>'Equity Volume Data'!Q217*'Equity Price Data'!T218</f>
        <v>5436.8</v>
      </c>
      <c r="O217" s="30">
        <f>'Equity Volume Data'!R217*'Equity Price Data'!U218</f>
        <v>51250.5</v>
      </c>
      <c r="P217" s="30">
        <f>'Equity Volume Data'!S217*'Equity Price Data'!V218</f>
        <v>19073.58</v>
      </c>
      <c r="Q217" s="30">
        <f>'Equity Volume Data'!T217*'Equity Price Data'!W218</f>
        <v>27366</v>
      </c>
      <c r="R217" s="30">
        <f>'Equity Volume Data'!U217*'Equity Price Data'!X218</f>
        <v>13201.6</v>
      </c>
      <c r="S217" s="30">
        <f>'Equity Volume Data'!V217*'Equity Price Data'!Y218</f>
        <v>28195.2</v>
      </c>
      <c r="T217" s="30">
        <f>'Equity Volume Data'!W217*'Equity Price Data'!Z218</f>
        <v>10560</v>
      </c>
      <c r="U217" s="30">
        <f>'Equity Volume Data'!X217*'Equity Price Data'!AA218</f>
        <v>18202.8</v>
      </c>
      <c r="V217" s="30">
        <f>'Equity Volume Data'!Y217*'Equity Price Data'!AB218</f>
        <v>17199.63</v>
      </c>
      <c r="W217" s="30">
        <f>'Equity Volume Data'!Z217*'Equity Price Data'!AC218</f>
        <v>10728.81</v>
      </c>
      <c r="X217" s="30">
        <f>'Equity Volume Data'!AA217*'Equity Price Data'!AD218</f>
        <v>0</v>
      </c>
      <c r="Y217" s="30">
        <f>'Equity Volume Data'!AB217*'Equity Price Data'!AE218</f>
        <v>6058.52</v>
      </c>
      <c r="Z217" s="30">
        <f>'Equity Volume Data'!AC217*'Equity Price Data'!AF218</f>
        <v>9981</v>
      </c>
      <c r="AA217" s="30">
        <f>'Equity Volume Data'!AD217*'Equity Price Data'!AG218</f>
        <v>19686</v>
      </c>
      <c r="AB217" s="30">
        <f>'Equity Volume Data'!AE217*'Equity Price Data'!AH218</f>
        <v>14539.2</v>
      </c>
      <c r="AC217" s="30">
        <f>'Equity Volume Data'!AF217*'Equity Price Data'!AI218</f>
        <v>17433.2</v>
      </c>
      <c r="AD217" s="30">
        <f>'Equity Volume Data'!AG217*'Equity Price Data'!AJ218</f>
        <v>11964.6</v>
      </c>
      <c r="AE217" s="30">
        <f>'Equity Volume Data'!AH217*'Equity Price Data'!AK218</f>
        <v>0</v>
      </c>
      <c r="AF217" s="30">
        <f>'Equity Volume Data'!AI217*'Equity Price Data'!AL218</f>
        <v>21881.7</v>
      </c>
      <c r="AG217" s="30">
        <f>'Equity Volume Data'!AJ217*'Equity Price Data'!AM218</f>
        <v>34806</v>
      </c>
      <c r="AH217" s="30">
        <f>'Equity Volume Data'!AK217*'Equity Price Data'!AN218</f>
        <v>36377</v>
      </c>
      <c r="AI217" s="30">
        <f>'Equity Volume Data'!AL217*'Equity Price Data'!AO218</f>
        <v>25002.25</v>
      </c>
      <c r="AJ217" s="30">
        <f>'Equity Volume Data'!AM217*'Equity Price Data'!AP218</f>
        <v>22782.5</v>
      </c>
      <c r="AK217" s="30">
        <f>'Equity Volume Data'!AN217*'Equity Price Data'!AQ218</f>
        <v>23903.26</v>
      </c>
      <c r="AL217" s="30">
        <f>'Equity Volume Data'!AO217*'Equity Price Data'!AR218</f>
        <v>39689.6</v>
      </c>
      <c r="AM217" s="30">
        <f>'Equity Volume Data'!AP217*'Equity Price Data'!AS218</f>
        <v>30448.6</v>
      </c>
      <c r="AN217" s="30">
        <f>'Equity Volume Data'!AQ217*'Equity Price Data'!AT218</f>
        <v>11723.6</v>
      </c>
      <c r="AO217" s="30">
        <f>'Equity Volume Data'!AR217*'Equity Price Data'!AU218</f>
        <v>26781.44</v>
      </c>
      <c r="AP217" s="30">
        <f>'Equity Volume Data'!AS217*'Equity Price Data'!AV218</f>
        <v>22532.5</v>
      </c>
      <c r="AQ217" s="30">
        <f>'Equity Volume Data'!AT217*'Equity Price Data'!AW218</f>
        <v>18519.6</v>
      </c>
      <c r="AR217" s="30">
        <f>'Equity Volume Data'!AU217*'Equity Price Data'!AX218</f>
        <v>11192.58</v>
      </c>
      <c r="AS217" s="30">
        <f>'Equity Volume Data'!AV217*'Equity Price Data'!AY218</f>
        <v>47169.6</v>
      </c>
      <c r="AT217" s="30">
        <f>'Equity Volume Data'!AW217*'Equity Price Data'!AZ218</f>
        <v>14014</v>
      </c>
      <c r="AU217" s="30">
        <f>'Equity Volume Data'!AX217*'Equity Price Data'!BA218</f>
        <v>0</v>
      </c>
      <c r="AV217" s="30">
        <f>'Equity Volume Data'!AY217*'Equity Price Data'!BB218</f>
        <v>17240.22</v>
      </c>
      <c r="AW217" s="30">
        <f>'Equity Volume Data'!AZ217*'Equity Price Data'!BC218</f>
        <v>4055.2</v>
      </c>
      <c r="AX217" s="30">
        <f>'Equity Volume Data'!BA217*'Equity Price Data'!BD218</f>
        <v>3865.6</v>
      </c>
      <c r="AY217" s="30">
        <f>'Equity Volume Data'!BB217*'Equity Price Data'!BE218</f>
        <v>38893.5</v>
      </c>
      <c r="AZ217" s="30">
        <f>'Equity Volume Data'!BC217*'Equity Price Data'!BF218</f>
        <v>10645.5</v>
      </c>
      <c r="BA217" s="30">
        <f>'Equity Volume Data'!BD217*'Equity Price Data'!BG218</f>
        <v>4966.6</v>
      </c>
      <c r="BB217" s="30">
        <f>'Equity Volume Data'!BE217*'Equity Price Data'!BH218</f>
        <v>10775.2</v>
      </c>
      <c r="BC217" s="30">
        <f>'Equity Volume Data'!BF217*'Equity Price Data'!BI218</f>
        <v>12903.52</v>
      </c>
      <c r="BD217" s="30">
        <f>'Equity Volume Data'!BG217*'Equity Price Data'!BJ218</f>
        <v>55158.48</v>
      </c>
      <c r="BE217" s="30">
        <f>'Equity Volume Data'!BH217*'Equity Price Data'!BK218</f>
        <v>11957.7</v>
      </c>
      <c r="BF217" s="30">
        <f>'Equity Volume Data'!BI217*'Equity Price Data'!BL218</f>
        <v>7698.8</v>
      </c>
      <c r="BG217" s="30">
        <f>'Equity Volume Data'!BJ217*'Equity Price Data'!BM218</f>
        <v>19868.66</v>
      </c>
      <c r="BH217" s="30">
        <f>'Equity Volume Data'!BK217*'Equity Price Data'!BN218</f>
        <v>0</v>
      </c>
      <c r="BI217" s="30">
        <f>'Equity Volume Data'!BL217*'Equity Price Data'!BO218</f>
        <v>37632</v>
      </c>
      <c r="BJ217" s="30">
        <f>'Equity Volume Data'!BM217*'Equity Price Data'!BP218</f>
        <v>38737.5</v>
      </c>
      <c r="BK217" s="30">
        <f>'Equity Volume Data'!BN217*'Equity Price Data'!BQ218</f>
        <v>89307.12</v>
      </c>
      <c r="BL217" s="30">
        <f>'Equity Volume Data'!BO217*'Equity Price Data'!BR218</f>
        <v>437.1</v>
      </c>
      <c r="BM217" s="30">
        <f>'Equity Volume Data'!BP217*'Equity Price Data'!BS218</f>
        <v>10859.52</v>
      </c>
      <c r="BN217" s="30">
        <f>'Equity Volume Data'!BQ217*'Equity Price Data'!BT218</f>
        <v>18833.84</v>
      </c>
      <c r="BO217" s="30">
        <f>'Equity Volume Data'!BR217*'Equity Price Data'!BU218</f>
        <v>24411</v>
      </c>
    </row>
    <row r="218">
      <c r="A218" s="25">
        <f>'Equity Price Data'!A219</f>
        <v>45741.66667</v>
      </c>
      <c r="B218" s="29">
        <f t="shared" si="1"/>
        <v>1343530.25</v>
      </c>
      <c r="C218" s="30">
        <f>'Equity Volume Data'!F218*'Equity Price Data'!I219</f>
        <v>5247.32</v>
      </c>
      <c r="D218" s="30">
        <f>'Equity Volume Data'!G218*'Equity Price Data'!J219</f>
        <v>53484.6</v>
      </c>
      <c r="E218" s="30">
        <f>'Equity Volume Data'!H218*'Equity Price Data'!K219</f>
        <v>15307.6</v>
      </c>
      <c r="F218" s="30">
        <f>'Equity Volume Data'!I218*'Equity Price Data'!L219</f>
        <v>57280</v>
      </c>
      <c r="G218" s="30">
        <f>'Equity Volume Data'!J218*'Equity Price Data'!M219</f>
        <v>12752.12</v>
      </c>
      <c r="H218" s="30">
        <f>'Equity Volume Data'!K218*'Equity Price Data'!N219</f>
        <v>16027</v>
      </c>
      <c r="I218" s="30">
        <f>'Equity Volume Data'!L218*'Equity Price Data'!O219</f>
        <v>16250</v>
      </c>
      <c r="J218" s="30">
        <f>'Equity Volume Data'!M218*'Equity Price Data'!P219</f>
        <v>53944.74</v>
      </c>
      <c r="K218" s="30">
        <f>'Equity Volume Data'!N218*'Equity Price Data'!Q219</f>
        <v>9930</v>
      </c>
      <c r="L218" s="30">
        <f>'Equity Volume Data'!O218*'Equity Price Data'!R219</f>
        <v>16838.36</v>
      </c>
      <c r="M218" s="30">
        <f>'Equity Volume Data'!P218*'Equity Price Data'!S219</f>
        <v>0</v>
      </c>
      <c r="N218" s="30">
        <f>'Equity Volume Data'!Q218*'Equity Price Data'!T219</f>
        <v>5448.8</v>
      </c>
      <c r="O218" s="30">
        <f>'Equity Volume Data'!R218*'Equity Price Data'!U219</f>
        <v>51393</v>
      </c>
      <c r="P218" s="30">
        <f>'Equity Volume Data'!S218*'Equity Price Data'!V219</f>
        <v>18548.16</v>
      </c>
      <c r="Q218" s="30">
        <f>'Equity Volume Data'!T218*'Equity Price Data'!W219</f>
        <v>27669.6</v>
      </c>
      <c r="R218" s="30">
        <f>'Equity Volume Data'!U218*'Equity Price Data'!X219</f>
        <v>13275.2</v>
      </c>
      <c r="S218" s="30">
        <f>'Equity Volume Data'!V218*'Equity Price Data'!Y219</f>
        <v>27881.92</v>
      </c>
      <c r="T218" s="30">
        <f>'Equity Volume Data'!W218*'Equity Price Data'!Z219</f>
        <v>10567.5</v>
      </c>
      <c r="U218" s="30">
        <f>'Equity Volume Data'!X218*'Equity Price Data'!AA219</f>
        <v>18165.84</v>
      </c>
      <c r="V218" s="30">
        <f>'Equity Volume Data'!Y218*'Equity Price Data'!AB219</f>
        <v>16993.55</v>
      </c>
      <c r="W218" s="30">
        <f>'Equity Volume Data'!Z218*'Equity Price Data'!AC219</f>
        <v>10447.98</v>
      </c>
      <c r="X218" s="30">
        <f>'Equity Volume Data'!AA218*'Equity Price Data'!AD219</f>
        <v>0</v>
      </c>
      <c r="Y218" s="30">
        <f>'Equity Volume Data'!AB218*'Equity Price Data'!AE219</f>
        <v>5983.51</v>
      </c>
      <c r="Z218" s="30">
        <f>'Equity Volume Data'!AC218*'Equity Price Data'!AF219</f>
        <v>9945</v>
      </c>
      <c r="AA218" s="30">
        <f>'Equity Volume Data'!AD218*'Equity Price Data'!AG219</f>
        <v>19820.3</v>
      </c>
      <c r="AB218" s="30">
        <f>'Equity Volume Data'!AE218*'Equity Price Data'!AH219</f>
        <v>14464.2</v>
      </c>
      <c r="AC218" s="30">
        <f>'Equity Volume Data'!AF218*'Equity Price Data'!AI219</f>
        <v>17359.2</v>
      </c>
      <c r="AD218" s="30">
        <f>'Equity Volume Data'!AG218*'Equity Price Data'!AJ219</f>
        <v>12039.3</v>
      </c>
      <c r="AE218" s="30">
        <f>'Equity Volume Data'!AH218*'Equity Price Data'!AK219</f>
        <v>0</v>
      </c>
      <c r="AF218" s="30">
        <f>'Equity Volume Data'!AI218*'Equity Price Data'!AL219</f>
        <v>22117.45</v>
      </c>
      <c r="AG218" s="30">
        <f>'Equity Volume Data'!AJ218*'Equity Price Data'!AM219</f>
        <v>35156.4</v>
      </c>
      <c r="AH218" s="30">
        <f>'Equity Volume Data'!AK218*'Equity Price Data'!AN219</f>
        <v>36099</v>
      </c>
      <c r="AI218" s="30">
        <f>'Equity Volume Data'!AL218*'Equity Price Data'!AO219</f>
        <v>25375</v>
      </c>
      <c r="AJ218" s="30">
        <f>'Equity Volume Data'!AM218*'Equity Price Data'!AP219</f>
        <v>22831.9</v>
      </c>
      <c r="AK218" s="30">
        <f>'Equity Volume Data'!AN218*'Equity Price Data'!AQ219</f>
        <v>24431.07</v>
      </c>
      <c r="AL218" s="30">
        <f>'Equity Volume Data'!AO218*'Equity Price Data'!AR219</f>
        <v>40180.8</v>
      </c>
      <c r="AM218" s="30">
        <f>'Equity Volume Data'!AP218*'Equity Price Data'!AS219</f>
        <v>30944.9</v>
      </c>
      <c r="AN218" s="30">
        <f>'Equity Volume Data'!AQ218*'Equity Price Data'!AT219</f>
        <v>11807.25</v>
      </c>
      <c r="AO218" s="30">
        <f>'Equity Volume Data'!AR218*'Equity Price Data'!AU219</f>
        <v>26824.14</v>
      </c>
      <c r="AP218" s="30">
        <f>'Equity Volume Data'!AS218*'Equity Price Data'!AV219</f>
        <v>22147.5</v>
      </c>
      <c r="AQ218" s="30">
        <f>'Equity Volume Data'!AT218*'Equity Price Data'!AW219</f>
        <v>18422.8</v>
      </c>
      <c r="AR218" s="30">
        <f>'Equity Volume Data'!AU218*'Equity Price Data'!AX219</f>
        <v>11391.39</v>
      </c>
      <c r="AS218" s="30">
        <f>'Equity Volume Data'!AV218*'Equity Price Data'!AY219</f>
        <v>47419.2</v>
      </c>
      <c r="AT218" s="30">
        <f>'Equity Volume Data'!AW218*'Equity Price Data'!AZ219</f>
        <v>13718</v>
      </c>
      <c r="AU218" s="30">
        <f>'Equity Volume Data'!AX218*'Equity Price Data'!BA219</f>
        <v>0</v>
      </c>
      <c r="AV218" s="30">
        <f>'Equity Volume Data'!AY218*'Equity Price Data'!BB219</f>
        <v>17137.98</v>
      </c>
      <c r="AW218" s="30">
        <f>'Equity Volume Data'!AZ218*'Equity Price Data'!BC219</f>
        <v>4056</v>
      </c>
      <c r="AX218" s="30">
        <f>'Equity Volume Data'!BA218*'Equity Price Data'!BD219</f>
        <v>3837.6</v>
      </c>
      <c r="AY218" s="30">
        <f>'Equity Volume Data'!BB218*'Equity Price Data'!BE219</f>
        <v>38793</v>
      </c>
      <c r="AZ218" s="30">
        <f>'Equity Volume Data'!BC218*'Equity Price Data'!BF219</f>
        <v>10629</v>
      </c>
      <c r="BA218" s="30">
        <f>'Equity Volume Data'!BD218*'Equity Price Data'!BG219</f>
        <v>4854.5</v>
      </c>
      <c r="BB218" s="30">
        <f>'Equity Volume Data'!BE218*'Equity Price Data'!BH219</f>
        <v>10852.8</v>
      </c>
      <c r="BC218" s="30">
        <f>'Equity Volume Data'!BF218*'Equity Price Data'!BI219</f>
        <v>12611.6</v>
      </c>
      <c r="BD218" s="30">
        <f>'Equity Volume Data'!BG218*'Equity Price Data'!BJ219</f>
        <v>55113.75</v>
      </c>
      <c r="BE218" s="30">
        <f>'Equity Volume Data'!BH218*'Equity Price Data'!BK219</f>
        <v>11829.82</v>
      </c>
      <c r="BF218" s="30">
        <f>'Equity Volume Data'!BI218*'Equity Price Data'!BL219</f>
        <v>7720.4</v>
      </c>
      <c r="BG218" s="30">
        <f>'Equity Volume Data'!BJ218*'Equity Price Data'!BM219</f>
        <v>19679.62</v>
      </c>
      <c r="BH218" s="30">
        <f>'Equity Volume Data'!BK218*'Equity Price Data'!BN219</f>
        <v>0</v>
      </c>
      <c r="BI218" s="30">
        <f>'Equity Volume Data'!BL218*'Equity Price Data'!BO219</f>
        <v>37726.4</v>
      </c>
      <c r="BJ218" s="30">
        <f>'Equity Volume Data'!BM218*'Equity Price Data'!BP219</f>
        <v>38507.25</v>
      </c>
      <c r="BK218" s="30">
        <f>'Equity Volume Data'!BN218*'Equity Price Data'!BQ219</f>
        <v>89415.24</v>
      </c>
      <c r="BL218" s="30">
        <f>'Equity Volume Data'!BO218*'Equity Price Data'!BR219</f>
        <v>420.65</v>
      </c>
      <c r="BM218" s="30">
        <f>'Equity Volume Data'!BP218*'Equity Price Data'!BS219</f>
        <v>10899.36</v>
      </c>
      <c r="BN218" s="30">
        <f>'Equity Volume Data'!BQ218*'Equity Price Data'!BT219</f>
        <v>19102.68</v>
      </c>
      <c r="BO218" s="30">
        <f>'Equity Volume Data'!BR218*'Equity Price Data'!BU219</f>
        <v>24411</v>
      </c>
    </row>
    <row r="219">
      <c r="A219" s="25">
        <f>'Equity Price Data'!A220</f>
        <v>45742.66667</v>
      </c>
      <c r="B219" s="29">
        <f t="shared" si="1"/>
        <v>1337566.87</v>
      </c>
      <c r="C219" s="30">
        <f>'Equity Volume Data'!F219*'Equity Price Data'!I220</f>
        <v>5171.53</v>
      </c>
      <c r="D219" s="30">
        <f>'Equity Volume Data'!G219*'Equity Price Data'!J220</f>
        <v>52293.8</v>
      </c>
      <c r="E219" s="30">
        <f>'Equity Volume Data'!H219*'Equity Price Data'!K220</f>
        <v>15524.3</v>
      </c>
      <c r="F219" s="30">
        <f>'Equity Volume Data'!I219*'Equity Price Data'!L220</f>
        <v>56711.68</v>
      </c>
      <c r="G219" s="30">
        <f>'Equity Volume Data'!J219*'Equity Price Data'!M220</f>
        <v>12506.44</v>
      </c>
      <c r="H219" s="30">
        <f>'Equity Volume Data'!K219*'Equity Price Data'!N220</f>
        <v>15996.92</v>
      </c>
      <c r="I219" s="30">
        <f>'Equity Volume Data'!L219*'Equity Price Data'!O220</f>
        <v>16060</v>
      </c>
      <c r="J219" s="30">
        <f>'Equity Volume Data'!M219*'Equity Price Data'!P220</f>
        <v>54387.42</v>
      </c>
      <c r="K219" s="30">
        <f>'Equity Volume Data'!N219*'Equity Price Data'!Q220</f>
        <v>9964</v>
      </c>
      <c r="L219" s="30">
        <f>'Equity Volume Data'!O219*'Equity Price Data'!R220</f>
        <v>17234.03</v>
      </c>
      <c r="M219" s="30">
        <f>'Equity Volume Data'!P219*'Equity Price Data'!S220</f>
        <v>0</v>
      </c>
      <c r="N219" s="30">
        <f>'Equity Volume Data'!Q219*'Equity Price Data'!T220</f>
        <v>5357.6</v>
      </c>
      <c r="O219" s="30">
        <f>'Equity Volume Data'!R219*'Equity Price Data'!U220</f>
        <v>51166.5</v>
      </c>
      <c r="P219" s="30">
        <f>'Equity Volume Data'!S219*'Equity Price Data'!V220</f>
        <v>18035.25</v>
      </c>
      <c r="Q219" s="30">
        <f>'Equity Volume Data'!T219*'Equity Price Data'!W220</f>
        <v>27344.4</v>
      </c>
      <c r="R219" s="30">
        <f>'Equity Volume Data'!U219*'Equity Price Data'!X220</f>
        <v>13437.6</v>
      </c>
      <c r="S219" s="30">
        <f>'Equity Volume Data'!V219*'Equity Price Data'!Y220</f>
        <v>28268.24</v>
      </c>
      <c r="T219" s="30">
        <f>'Equity Volume Data'!W219*'Equity Price Data'!Z220</f>
        <v>10497.5</v>
      </c>
      <c r="U219" s="30">
        <f>'Equity Volume Data'!X219*'Equity Price Data'!AA220</f>
        <v>18485.28</v>
      </c>
      <c r="V219" s="30">
        <f>'Equity Volume Data'!Y219*'Equity Price Data'!AB220</f>
        <v>17301.06</v>
      </c>
      <c r="W219" s="30">
        <f>'Equity Volume Data'!Z219*'Equity Price Data'!AC220</f>
        <v>10308.6</v>
      </c>
      <c r="X219" s="30">
        <f>'Equity Volume Data'!AA219*'Equity Price Data'!AD220</f>
        <v>0</v>
      </c>
      <c r="Y219" s="30">
        <f>'Equity Volume Data'!AB219*'Equity Price Data'!AE220</f>
        <v>6068.92</v>
      </c>
      <c r="Z219" s="30">
        <f>'Equity Volume Data'!AC219*'Equity Price Data'!AF220</f>
        <v>9837</v>
      </c>
      <c r="AA219" s="30">
        <f>'Equity Volume Data'!AD219*'Equity Price Data'!AG220</f>
        <v>20105.9</v>
      </c>
      <c r="AB219" s="30">
        <f>'Equity Volume Data'!AE219*'Equity Price Data'!AH220</f>
        <v>14620.2</v>
      </c>
      <c r="AC219" s="30">
        <f>'Equity Volume Data'!AF219*'Equity Price Data'!AI220</f>
        <v>16549.2</v>
      </c>
      <c r="AD219" s="30">
        <f>'Equity Volume Data'!AG219*'Equity Price Data'!AJ220</f>
        <v>12131.1</v>
      </c>
      <c r="AE219" s="30">
        <f>'Equity Volume Data'!AH219*'Equity Price Data'!AK220</f>
        <v>0</v>
      </c>
      <c r="AF219" s="30">
        <f>'Equity Volume Data'!AI219*'Equity Price Data'!AL220</f>
        <v>22400.35</v>
      </c>
      <c r="AG219" s="30">
        <f>'Equity Volume Data'!AJ219*'Equity Price Data'!AM220</f>
        <v>34435.2</v>
      </c>
      <c r="AH219" s="30">
        <f>'Equity Volume Data'!AK219*'Equity Price Data'!AN220</f>
        <v>36213</v>
      </c>
      <c r="AI219" s="30">
        <f>'Equity Volume Data'!AL219*'Equity Price Data'!AO220</f>
        <v>24939.25</v>
      </c>
      <c r="AJ219" s="30">
        <f>'Equity Volume Data'!AM219*'Equity Price Data'!AP220</f>
        <v>22848.8</v>
      </c>
      <c r="AK219" s="30">
        <f>'Equity Volume Data'!AN219*'Equity Price Data'!AQ220</f>
        <v>23924.41</v>
      </c>
      <c r="AL219" s="30">
        <f>'Equity Volume Data'!AO219*'Equity Price Data'!AR220</f>
        <v>40164.8</v>
      </c>
      <c r="AM219" s="30">
        <f>'Equity Volume Data'!AP219*'Equity Price Data'!AS220</f>
        <v>31161.9</v>
      </c>
      <c r="AN219" s="30">
        <f>'Equity Volume Data'!AQ219*'Equity Price Data'!AT220</f>
        <v>11822.65</v>
      </c>
      <c r="AO219" s="30">
        <f>'Equity Volume Data'!AR219*'Equity Price Data'!AU220</f>
        <v>26576.48</v>
      </c>
      <c r="AP219" s="30">
        <f>'Equity Volume Data'!AS219*'Equity Price Data'!AV220</f>
        <v>22057.5</v>
      </c>
      <c r="AQ219" s="30">
        <f>'Equity Volume Data'!AT219*'Equity Price Data'!AW220</f>
        <v>18464.6</v>
      </c>
      <c r="AR219" s="30">
        <f>'Equity Volume Data'!AU219*'Equity Price Data'!AX220</f>
        <v>11023.38</v>
      </c>
      <c r="AS219" s="30">
        <f>'Equity Volume Data'!AV219*'Equity Price Data'!AY220</f>
        <v>46796.4</v>
      </c>
      <c r="AT219" s="30">
        <f>'Equity Volume Data'!AW219*'Equity Price Data'!AZ220</f>
        <v>13946</v>
      </c>
      <c r="AU219" s="30">
        <f>'Equity Volume Data'!AX219*'Equity Price Data'!BA220</f>
        <v>0</v>
      </c>
      <c r="AV219" s="30">
        <f>'Equity Volume Data'!AY219*'Equity Price Data'!BB220</f>
        <v>16153.92</v>
      </c>
      <c r="AW219" s="30">
        <f>'Equity Volume Data'!AZ219*'Equity Price Data'!BC220</f>
        <v>4107.6</v>
      </c>
      <c r="AX219" s="30">
        <f>'Equity Volume Data'!BA219*'Equity Price Data'!BD220</f>
        <v>3684</v>
      </c>
      <c r="AY219" s="30">
        <f>'Equity Volume Data'!BB219*'Equity Price Data'!BE220</f>
        <v>37096.56</v>
      </c>
      <c r="AZ219" s="30">
        <f>'Equity Volume Data'!BC219*'Equity Price Data'!BF220</f>
        <v>10495.5</v>
      </c>
      <c r="BA219" s="30">
        <f>'Equity Volume Data'!BD219*'Equity Price Data'!BG220</f>
        <v>4789.9</v>
      </c>
      <c r="BB219" s="30">
        <f>'Equity Volume Data'!BE219*'Equity Price Data'!BH220</f>
        <v>10746.4</v>
      </c>
      <c r="BC219" s="30">
        <f>'Equity Volume Data'!BF219*'Equity Price Data'!BI220</f>
        <v>12372.16</v>
      </c>
      <c r="BD219" s="30">
        <f>'Equity Volume Data'!BG219*'Equity Price Data'!BJ220</f>
        <v>55914.63</v>
      </c>
      <c r="BE219" s="30">
        <f>'Equity Volume Data'!BH219*'Equity Price Data'!BK220</f>
        <v>11814.41</v>
      </c>
      <c r="BF219" s="30">
        <f>'Equity Volume Data'!BI219*'Equity Price Data'!BL220</f>
        <v>7571.2</v>
      </c>
      <c r="BG219" s="30">
        <f>'Equity Volume Data'!BJ219*'Equity Price Data'!BM220</f>
        <v>19548.96</v>
      </c>
      <c r="BH219" s="30">
        <f>'Equity Volume Data'!BK219*'Equity Price Data'!BN220</f>
        <v>0</v>
      </c>
      <c r="BI219" s="30">
        <f>'Equity Volume Data'!BL219*'Equity Price Data'!BO220</f>
        <v>38084.8</v>
      </c>
      <c r="BJ219" s="30">
        <f>'Equity Volume Data'!BM219*'Equity Price Data'!BP220</f>
        <v>38865</v>
      </c>
      <c r="BK219" s="30">
        <f>'Equity Volume Data'!BN219*'Equity Price Data'!BQ220</f>
        <v>89415.24</v>
      </c>
      <c r="BL219" s="30">
        <f>'Equity Volume Data'!BO219*'Equity Price Data'!BR220</f>
        <v>421.12</v>
      </c>
      <c r="BM219" s="30">
        <f>'Equity Volume Data'!BP219*'Equity Price Data'!BS220</f>
        <v>10988.64</v>
      </c>
      <c r="BN219" s="30">
        <f>'Equity Volume Data'!BQ219*'Equity Price Data'!BT220</f>
        <v>18946.64</v>
      </c>
      <c r="BO219" s="30">
        <f>'Equity Volume Data'!BR219*'Equity Price Data'!BU220</f>
        <v>24411</v>
      </c>
    </row>
    <row r="220">
      <c r="A220" s="25">
        <f>'Equity Price Data'!A221</f>
        <v>45743.66667</v>
      </c>
      <c r="B220" s="29">
        <f t="shared" si="1"/>
        <v>1336648.11</v>
      </c>
      <c r="C220" s="30">
        <f>'Equity Volume Data'!F220*'Equity Price Data'!I221</f>
        <v>5149.95</v>
      </c>
      <c r="D220" s="30">
        <f>'Equity Volume Data'!G220*'Equity Price Data'!J221</f>
        <v>52353.6</v>
      </c>
      <c r="E220" s="30">
        <f>'Equity Volume Data'!H220*'Equity Price Data'!K221</f>
        <v>15736.6</v>
      </c>
      <c r="F220" s="30">
        <f>'Equity Volume Data'!I220*'Equity Price Data'!L221</f>
        <v>57305.6</v>
      </c>
      <c r="G220" s="30">
        <f>'Equity Volume Data'!J220*'Equity Price Data'!M221</f>
        <v>12257.44</v>
      </c>
      <c r="H220" s="30">
        <f>'Equity Volume Data'!K220*'Equity Price Data'!N221</f>
        <v>15882.24</v>
      </c>
      <c r="I220" s="30">
        <f>'Equity Volume Data'!L220*'Equity Price Data'!O221</f>
        <v>15880</v>
      </c>
      <c r="J220" s="30">
        <f>'Equity Volume Data'!M220*'Equity Price Data'!P221</f>
        <v>54521.04</v>
      </c>
      <c r="K220" s="30">
        <f>'Equity Volume Data'!N220*'Equity Price Data'!Q221</f>
        <v>9926</v>
      </c>
      <c r="L220" s="30">
        <f>'Equity Volume Data'!O220*'Equity Price Data'!R221</f>
        <v>16979.93</v>
      </c>
      <c r="M220" s="30">
        <f>'Equity Volume Data'!P220*'Equity Price Data'!S221</f>
        <v>0</v>
      </c>
      <c r="N220" s="30">
        <f>'Equity Volume Data'!Q220*'Equity Price Data'!T221</f>
        <v>5253.6</v>
      </c>
      <c r="O220" s="30">
        <f>'Equity Volume Data'!R220*'Equity Price Data'!U221</f>
        <v>50895</v>
      </c>
      <c r="P220" s="30">
        <f>'Equity Volume Data'!S220*'Equity Price Data'!V221</f>
        <v>17776.71</v>
      </c>
      <c r="Q220" s="30">
        <f>'Equity Volume Data'!T220*'Equity Price Data'!W221</f>
        <v>27757.2</v>
      </c>
      <c r="R220" s="30">
        <f>'Equity Volume Data'!U220*'Equity Price Data'!X221</f>
        <v>13332</v>
      </c>
      <c r="S220" s="30">
        <f>'Equity Volume Data'!V220*'Equity Price Data'!Y221</f>
        <v>28577.12</v>
      </c>
      <c r="T220" s="30">
        <f>'Equity Volume Data'!W220*'Equity Price Data'!Z221</f>
        <v>10312.5</v>
      </c>
      <c r="U220" s="30">
        <f>'Equity Volume Data'!X220*'Equity Price Data'!AA221</f>
        <v>18675.36</v>
      </c>
      <c r="V220" s="30">
        <f>'Equity Volume Data'!Y220*'Equity Price Data'!AB221</f>
        <v>17370.29</v>
      </c>
      <c r="W220" s="30">
        <f>'Equity Volume Data'!Z220*'Equity Price Data'!AC221</f>
        <v>10001.55</v>
      </c>
      <c r="X220" s="30">
        <f>'Equity Volume Data'!AA220*'Equity Price Data'!AD221</f>
        <v>0</v>
      </c>
      <c r="Y220" s="30">
        <f>'Equity Volume Data'!AB220*'Equity Price Data'!AE221</f>
        <v>6126.64</v>
      </c>
      <c r="Z220" s="30">
        <f>'Equity Volume Data'!AC220*'Equity Price Data'!AF221</f>
        <v>10021.5</v>
      </c>
      <c r="AA220" s="30">
        <f>'Equity Volume Data'!AD220*'Equity Price Data'!AG221</f>
        <v>20041.3</v>
      </c>
      <c r="AB220" s="30">
        <f>'Equity Volume Data'!AE220*'Equity Price Data'!AH221</f>
        <v>14635.2</v>
      </c>
      <c r="AC220" s="30">
        <f>'Equity Volume Data'!AF220*'Equity Price Data'!AI221</f>
        <v>17072.8</v>
      </c>
      <c r="AD220" s="30">
        <f>'Equity Volume Data'!AG220*'Equity Price Data'!AJ221</f>
        <v>12127.05</v>
      </c>
      <c r="AE220" s="30">
        <f>'Equity Volume Data'!AH220*'Equity Price Data'!AK221</f>
        <v>0</v>
      </c>
      <c r="AF220" s="30">
        <f>'Equity Volume Data'!AI220*'Equity Price Data'!AL221</f>
        <v>22787.8</v>
      </c>
      <c r="AG220" s="30">
        <f>'Equity Volume Data'!AJ220*'Equity Price Data'!AM221</f>
        <v>33535.2</v>
      </c>
      <c r="AH220" s="30">
        <f>'Equity Volume Data'!AK220*'Equity Price Data'!AN221</f>
        <v>36273</v>
      </c>
      <c r="AI220" s="30">
        <f>'Equity Volume Data'!AL220*'Equity Price Data'!AO221</f>
        <v>24974.25</v>
      </c>
      <c r="AJ220" s="30">
        <f>'Equity Volume Data'!AM220*'Equity Price Data'!AP221</f>
        <v>22926.8</v>
      </c>
      <c r="AK220" s="30">
        <f>'Equity Volume Data'!AN220*'Equity Price Data'!AQ221</f>
        <v>23871.3</v>
      </c>
      <c r="AL220" s="30">
        <f>'Equity Volume Data'!AO220*'Equity Price Data'!AR221</f>
        <v>39699.2</v>
      </c>
      <c r="AM220" s="30">
        <f>'Equity Volume Data'!AP220*'Equity Price Data'!AS221</f>
        <v>30959.6</v>
      </c>
      <c r="AN220" s="30">
        <f>'Equity Volume Data'!AQ220*'Equity Price Data'!AT221</f>
        <v>11953.55</v>
      </c>
      <c r="AO220" s="30">
        <f>'Equity Volume Data'!AR220*'Equity Price Data'!AU221</f>
        <v>26576.48</v>
      </c>
      <c r="AP220" s="30">
        <f>'Equity Volume Data'!AS220*'Equity Price Data'!AV221</f>
        <v>22245</v>
      </c>
      <c r="AQ220" s="30">
        <f>'Equity Volume Data'!AT220*'Equity Price Data'!AW221</f>
        <v>18271</v>
      </c>
      <c r="AR220" s="30">
        <f>'Equity Volume Data'!AU220*'Equity Price Data'!AX221</f>
        <v>11069.91</v>
      </c>
      <c r="AS220" s="30">
        <f>'Equity Volume Data'!AV220*'Equity Price Data'!AY221</f>
        <v>46869.6</v>
      </c>
      <c r="AT220" s="30">
        <f>'Equity Volume Data'!AW220*'Equity Price Data'!AZ221</f>
        <v>14006</v>
      </c>
      <c r="AU220" s="30">
        <f>'Equity Volume Data'!AX220*'Equity Price Data'!BA221</f>
        <v>0</v>
      </c>
      <c r="AV220" s="30">
        <f>'Equity Volume Data'!AY220*'Equity Price Data'!BB221</f>
        <v>15823.06</v>
      </c>
      <c r="AW220" s="30">
        <f>'Equity Volume Data'!AZ220*'Equity Price Data'!BC221</f>
        <v>4120.4</v>
      </c>
      <c r="AX220" s="30">
        <f>'Equity Volume Data'!BA220*'Equity Price Data'!BD221</f>
        <v>3680</v>
      </c>
      <c r="AY220" s="30">
        <f>'Equity Volume Data'!BB220*'Equity Price Data'!BE221</f>
        <v>36216.18</v>
      </c>
      <c r="AZ220" s="30">
        <f>'Equity Volume Data'!BC220*'Equity Price Data'!BF221</f>
        <v>10329</v>
      </c>
      <c r="BA220" s="30">
        <f>'Equity Volume Data'!BD220*'Equity Price Data'!BG221</f>
        <v>4751.9</v>
      </c>
      <c r="BB220" s="30">
        <f>'Equity Volume Data'!BE220*'Equity Price Data'!BH221</f>
        <v>10674.4</v>
      </c>
      <c r="BC220" s="30">
        <f>'Equity Volume Data'!BF220*'Equity Price Data'!BI221</f>
        <v>12496.8</v>
      </c>
      <c r="BD220" s="30">
        <f>'Equity Volume Data'!BG220*'Equity Price Data'!BJ221</f>
        <v>57143.64</v>
      </c>
      <c r="BE220" s="30">
        <f>'Equity Volume Data'!BH220*'Equity Price Data'!BK221</f>
        <v>11768.64</v>
      </c>
      <c r="BF220" s="30">
        <f>'Equity Volume Data'!BI220*'Equity Price Data'!BL221</f>
        <v>7359.2</v>
      </c>
      <c r="BG220" s="30">
        <f>'Equity Volume Data'!BJ220*'Equity Price Data'!BM221</f>
        <v>19582.32</v>
      </c>
      <c r="BH220" s="30">
        <f>'Equity Volume Data'!BK220*'Equity Price Data'!BN221</f>
        <v>0</v>
      </c>
      <c r="BI220" s="30">
        <f>'Equity Volume Data'!BL220*'Equity Price Data'!BO221</f>
        <v>37755.2</v>
      </c>
      <c r="BJ220" s="30">
        <f>'Equity Volume Data'!BM220*'Equity Price Data'!BP221</f>
        <v>38679</v>
      </c>
      <c r="BK220" s="30">
        <f>'Equity Volume Data'!BN220*'Equity Price Data'!BQ221</f>
        <v>89577.42</v>
      </c>
      <c r="BL220" s="30">
        <f>'Equity Volume Data'!BO220*'Equity Price Data'!BR221</f>
        <v>415.48</v>
      </c>
      <c r="BM220" s="30">
        <f>'Equity Volume Data'!BP220*'Equity Price Data'!BS221</f>
        <v>10992.96</v>
      </c>
      <c r="BN220" s="30">
        <f>'Equity Volume Data'!BQ220*'Equity Price Data'!BT221</f>
        <v>18884.6</v>
      </c>
      <c r="BO220" s="30">
        <f>'Equity Volume Data'!BR220*'Equity Price Data'!BU221</f>
        <v>24411</v>
      </c>
    </row>
    <row r="221">
      <c r="A221" s="25">
        <f>'Equity Price Data'!A222</f>
        <v>45744.66667</v>
      </c>
      <c r="B221" s="29">
        <f t="shared" si="1"/>
        <v>1314406.65</v>
      </c>
      <c r="C221" s="30">
        <f>'Equity Volume Data'!F221*'Equity Price Data'!I222</f>
        <v>5014.23</v>
      </c>
      <c r="D221" s="30">
        <f>'Equity Volume Data'!G221*'Equity Price Data'!J222</f>
        <v>50107.2</v>
      </c>
      <c r="E221" s="30">
        <f>'Equity Volume Data'!H221*'Equity Price Data'!K222</f>
        <v>16086.4</v>
      </c>
      <c r="F221" s="30">
        <f>'Equity Volume Data'!I221*'Equity Price Data'!L222</f>
        <v>55782.4</v>
      </c>
      <c r="G221" s="30">
        <f>'Equity Volume Data'!J221*'Equity Price Data'!M222</f>
        <v>12039.98</v>
      </c>
      <c r="H221" s="30">
        <f>'Equity Volume Data'!K221*'Equity Price Data'!N222</f>
        <v>15549.48</v>
      </c>
      <c r="I221" s="30">
        <f>'Equity Volume Data'!L221*'Equity Price Data'!O222</f>
        <v>15390</v>
      </c>
      <c r="J221" s="30">
        <f>'Equity Volume Data'!M221*'Equity Price Data'!P222</f>
        <v>53683.62</v>
      </c>
      <c r="K221" s="30">
        <f>'Equity Volume Data'!N221*'Equity Price Data'!Q222</f>
        <v>9784</v>
      </c>
      <c r="L221" s="30">
        <f>'Equity Volume Data'!O221*'Equity Price Data'!R222</f>
        <v>16742.77</v>
      </c>
      <c r="M221" s="30">
        <f>'Equity Volume Data'!P221*'Equity Price Data'!S222</f>
        <v>0</v>
      </c>
      <c r="N221" s="30">
        <f>'Equity Volume Data'!Q221*'Equity Price Data'!T222</f>
        <v>5066.4</v>
      </c>
      <c r="O221" s="30">
        <f>'Equity Volume Data'!R221*'Equity Price Data'!U222</f>
        <v>49453.5</v>
      </c>
      <c r="P221" s="30">
        <f>'Equity Volume Data'!S221*'Equity Price Data'!V222</f>
        <v>17443.11</v>
      </c>
      <c r="Q221" s="30">
        <f>'Equity Volume Data'!T221*'Equity Price Data'!W222</f>
        <v>27404.4</v>
      </c>
      <c r="R221" s="30">
        <f>'Equity Volume Data'!U221*'Equity Price Data'!X222</f>
        <v>13287.2</v>
      </c>
      <c r="S221" s="30">
        <f>'Equity Volume Data'!V221*'Equity Price Data'!Y222</f>
        <v>28603.52</v>
      </c>
      <c r="T221" s="30">
        <f>'Equity Volume Data'!W221*'Equity Price Data'!Z222</f>
        <v>10062.5</v>
      </c>
      <c r="U221" s="30">
        <f>'Equity Volume Data'!X221*'Equity Price Data'!AA222</f>
        <v>18577.68</v>
      </c>
      <c r="V221" s="30">
        <f>'Equity Volume Data'!Y221*'Equity Price Data'!AB222</f>
        <v>17511.97</v>
      </c>
      <c r="W221" s="30">
        <f>'Equity Volume Data'!Z221*'Equity Price Data'!AC222</f>
        <v>9804.9</v>
      </c>
      <c r="X221" s="30">
        <f>'Equity Volume Data'!AA221*'Equity Price Data'!AD222</f>
        <v>0</v>
      </c>
      <c r="Y221" s="30">
        <f>'Equity Volume Data'!AB221*'Equity Price Data'!AE222</f>
        <v>5812.56</v>
      </c>
      <c r="Z221" s="30">
        <f>'Equity Volume Data'!AC221*'Equity Price Data'!AF222</f>
        <v>10074</v>
      </c>
      <c r="AA221" s="30">
        <f>'Equity Volume Data'!AD221*'Equity Price Data'!AG222</f>
        <v>20014.1</v>
      </c>
      <c r="AB221" s="30">
        <f>'Equity Volume Data'!AE221*'Equity Price Data'!AH222</f>
        <v>14502.6</v>
      </c>
      <c r="AC221" s="30">
        <f>'Equity Volume Data'!AF221*'Equity Price Data'!AI222</f>
        <v>17188.4</v>
      </c>
      <c r="AD221" s="30">
        <f>'Equity Volume Data'!AG221*'Equity Price Data'!AJ222</f>
        <v>12108.6</v>
      </c>
      <c r="AE221" s="30">
        <f>'Equity Volume Data'!AH221*'Equity Price Data'!AK222</f>
        <v>0</v>
      </c>
      <c r="AF221" s="30">
        <f>'Equity Volume Data'!AI221*'Equity Price Data'!AL222</f>
        <v>22916.95</v>
      </c>
      <c r="AG221" s="30">
        <f>'Equity Volume Data'!AJ221*'Equity Price Data'!AM222</f>
        <v>32587.2</v>
      </c>
      <c r="AH221" s="30">
        <f>'Equity Volume Data'!AK221*'Equity Price Data'!AN222</f>
        <v>35815</v>
      </c>
      <c r="AI221" s="30">
        <f>'Equity Volume Data'!AL221*'Equity Price Data'!AO222</f>
        <v>24902.5</v>
      </c>
      <c r="AJ221" s="30">
        <f>'Equity Volume Data'!AM221*'Equity Price Data'!AP222</f>
        <v>22712.3</v>
      </c>
      <c r="AK221" s="30">
        <f>'Equity Volume Data'!AN221*'Equity Price Data'!AQ222</f>
        <v>23116.48</v>
      </c>
      <c r="AL221" s="30">
        <f>'Equity Volume Data'!AO221*'Equity Price Data'!AR222</f>
        <v>38856</v>
      </c>
      <c r="AM221" s="30">
        <f>'Equity Volume Data'!AP221*'Equity Price Data'!AS222</f>
        <v>30904.3</v>
      </c>
      <c r="AN221" s="30">
        <f>'Equity Volume Data'!AQ221*'Equity Price Data'!AT222</f>
        <v>10257.1</v>
      </c>
      <c r="AO221" s="30">
        <f>'Equity Volume Data'!AR221*'Equity Price Data'!AU222</f>
        <v>26269.04</v>
      </c>
      <c r="AP221" s="30">
        <f>'Equity Volume Data'!AS221*'Equity Price Data'!AV222</f>
        <v>21907.5</v>
      </c>
      <c r="AQ221" s="30">
        <f>'Equity Volume Data'!AT221*'Equity Price Data'!AW222</f>
        <v>17430.6</v>
      </c>
      <c r="AR221" s="30">
        <f>'Equity Volume Data'!AU221*'Equity Price Data'!AX222</f>
        <v>10985.31</v>
      </c>
      <c r="AS221" s="30">
        <f>'Equity Volume Data'!AV221*'Equity Price Data'!AY222</f>
        <v>45456</v>
      </c>
      <c r="AT221" s="30">
        <f>'Equity Volume Data'!AW221*'Equity Price Data'!AZ222</f>
        <v>14090</v>
      </c>
      <c r="AU221" s="30">
        <f>'Equity Volume Data'!AX221*'Equity Price Data'!BA222</f>
        <v>0</v>
      </c>
      <c r="AV221" s="30">
        <f>'Equity Volume Data'!AY221*'Equity Price Data'!BB222</f>
        <v>15573.14</v>
      </c>
      <c r="AW221" s="30">
        <f>'Equity Volume Data'!AZ221*'Equity Price Data'!BC222</f>
        <v>4084.4</v>
      </c>
      <c r="AX221" s="30">
        <f>'Equity Volume Data'!BA221*'Equity Price Data'!BD222</f>
        <v>3532</v>
      </c>
      <c r="AY221" s="30">
        <f>'Equity Volume Data'!BB221*'Equity Price Data'!BE222</f>
        <v>34511.7</v>
      </c>
      <c r="AZ221" s="30">
        <f>'Equity Volume Data'!BC221*'Equity Price Data'!BF222</f>
        <v>9772.5</v>
      </c>
      <c r="BA221" s="30">
        <f>'Equity Volume Data'!BD221*'Equity Price Data'!BG222</f>
        <v>4789.9</v>
      </c>
      <c r="BB221" s="30">
        <f>'Equity Volume Data'!BE221*'Equity Price Data'!BH222</f>
        <v>10537.6</v>
      </c>
      <c r="BC221" s="30">
        <f>'Equity Volume Data'!BF221*'Equity Price Data'!BI222</f>
        <v>12250.8</v>
      </c>
      <c r="BD221" s="30">
        <f>'Equity Volume Data'!BG221*'Equity Price Data'!BJ222</f>
        <v>56430.09</v>
      </c>
      <c r="BE221" s="30">
        <f>'Equity Volume Data'!BH221*'Equity Price Data'!BK222</f>
        <v>11503.68</v>
      </c>
      <c r="BF221" s="30">
        <f>'Equity Volume Data'!BI221*'Equity Price Data'!BL222</f>
        <v>7162.8</v>
      </c>
      <c r="BG221" s="30">
        <f>'Equity Volume Data'!BJ221*'Equity Price Data'!BM222</f>
        <v>19065.24</v>
      </c>
      <c r="BH221" s="30">
        <f>'Equity Volume Data'!BK221*'Equity Price Data'!BN222</f>
        <v>0</v>
      </c>
      <c r="BI221" s="30">
        <f>'Equity Volume Data'!BL221*'Equity Price Data'!BO222</f>
        <v>37144</v>
      </c>
      <c r="BJ221" s="30">
        <f>'Equity Volume Data'!BM221*'Equity Price Data'!BP222</f>
        <v>38703</v>
      </c>
      <c r="BK221" s="30">
        <f>'Equity Volume Data'!BN221*'Equity Price Data'!BQ222</f>
        <v>89847.72</v>
      </c>
      <c r="BL221" s="30">
        <f>'Equity Volume Data'!BO221*'Equity Price Data'!BR222</f>
        <v>407.96</v>
      </c>
      <c r="BM221" s="30">
        <f>'Equity Volume Data'!BP221*'Equity Price Data'!BS222</f>
        <v>10940.16</v>
      </c>
      <c r="BN221" s="30">
        <f>'Equity Volume Data'!BQ221*'Equity Price Data'!BT222</f>
        <v>18437.16</v>
      </c>
      <c r="BO221" s="30">
        <f>'Equity Volume Data'!BR221*'Equity Price Data'!BU222</f>
        <v>24411</v>
      </c>
    </row>
    <row r="222">
      <c r="A222" s="25">
        <f>'Equity Price Data'!A223</f>
        <v>45747.66667</v>
      </c>
      <c r="B222" s="29">
        <f t="shared" si="1"/>
        <v>1319072.67</v>
      </c>
      <c r="C222" s="30">
        <f>'Equity Volume Data'!F222*'Equity Price Data'!I223</f>
        <v>4985.89</v>
      </c>
      <c r="D222" s="30">
        <f>'Equity Volume Data'!G222*'Equity Price Data'!J223</f>
        <v>49467.6</v>
      </c>
      <c r="E222" s="30">
        <f>'Equity Volume Data'!H222*'Equity Price Data'!K223</f>
        <v>16227.2</v>
      </c>
      <c r="F222" s="30">
        <f>'Equity Volume Data'!I222*'Equity Price Data'!L223</f>
        <v>56865.28</v>
      </c>
      <c r="G222" s="30">
        <f>'Equity Volume Data'!J222*'Equity Price Data'!M223</f>
        <v>12044.96</v>
      </c>
      <c r="H222" s="30">
        <f>'Equity Volume Data'!K222*'Equity Price Data'!N223</f>
        <v>15767.56</v>
      </c>
      <c r="I222" s="30">
        <f>'Equity Volume Data'!L222*'Equity Price Data'!O223</f>
        <v>15360</v>
      </c>
      <c r="J222" s="30">
        <f>'Equity Volume Data'!M222*'Equity Price Data'!P223</f>
        <v>54323.16</v>
      </c>
      <c r="K222" s="30">
        <f>'Equity Volume Data'!N222*'Equity Price Data'!Q223</f>
        <v>9708</v>
      </c>
      <c r="L222" s="30">
        <f>'Equity Volume Data'!O222*'Equity Price Data'!R223</f>
        <v>16557.64</v>
      </c>
      <c r="M222" s="30">
        <f>'Equity Volume Data'!P222*'Equity Price Data'!S223</f>
        <v>0</v>
      </c>
      <c r="N222" s="30">
        <f>'Equity Volume Data'!Q222*'Equity Price Data'!T223</f>
        <v>5072</v>
      </c>
      <c r="O222" s="30">
        <f>'Equity Volume Data'!R222*'Equity Price Data'!U223</f>
        <v>49470</v>
      </c>
      <c r="P222" s="30">
        <f>'Equity Volume Data'!S222*'Equity Price Data'!V223</f>
        <v>17163.72</v>
      </c>
      <c r="Q222" s="30">
        <f>'Equity Volume Data'!T222*'Equity Price Data'!W223</f>
        <v>27350.4</v>
      </c>
      <c r="R222" s="30">
        <f>'Equity Volume Data'!U222*'Equity Price Data'!X223</f>
        <v>13383.2</v>
      </c>
      <c r="S222" s="30">
        <f>'Equity Volume Data'!V222*'Equity Price Data'!Y223</f>
        <v>28952</v>
      </c>
      <c r="T222" s="30">
        <f>'Equity Volume Data'!W222*'Equity Price Data'!Z223</f>
        <v>10242.5</v>
      </c>
      <c r="U222" s="30">
        <f>'Equity Volume Data'!X222*'Equity Price Data'!AA223</f>
        <v>18907.68</v>
      </c>
      <c r="V222" s="30">
        <f>'Equity Volume Data'!Y222*'Equity Price Data'!AB223</f>
        <v>17804.99</v>
      </c>
      <c r="W222" s="30">
        <f>'Equity Volume Data'!Z222*'Equity Price Data'!AC223</f>
        <v>9887.01</v>
      </c>
      <c r="X222" s="30">
        <f>'Equity Volume Data'!AA222*'Equity Price Data'!AD223</f>
        <v>0</v>
      </c>
      <c r="Y222" s="30">
        <f>'Equity Volume Data'!AB222*'Equity Price Data'!AE223</f>
        <v>5972.85</v>
      </c>
      <c r="Z222" s="30">
        <f>'Equity Volume Data'!AC222*'Equity Price Data'!AF223</f>
        <v>10159.5</v>
      </c>
      <c r="AA222" s="30">
        <f>'Equity Volume Data'!AD222*'Equity Price Data'!AG223</f>
        <v>20218.1</v>
      </c>
      <c r="AB222" s="30">
        <f>'Equity Volume Data'!AE222*'Equity Price Data'!AH223</f>
        <v>14626.8</v>
      </c>
      <c r="AC222" s="30">
        <f>'Equity Volume Data'!AF222*'Equity Price Data'!AI223</f>
        <v>17115.2</v>
      </c>
      <c r="AD222" s="30">
        <f>'Equity Volume Data'!AG222*'Equity Price Data'!AJ223</f>
        <v>12266.1</v>
      </c>
      <c r="AE222" s="30">
        <f>'Equity Volume Data'!AH222*'Equity Price Data'!AK223</f>
        <v>0</v>
      </c>
      <c r="AF222" s="30">
        <f>'Equity Volume Data'!AI222*'Equity Price Data'!AL223</f>
        <v>22970.25</v>
      </c>
      <c r="AG222" s="30">
        <f>'Equity Volume Data'!AJ222*'Equity Price Data'!AM223</f>
        <v>32777.4</v>
      </c>
      <c r="AH222" s="30">
        <f>'Equity Volume Data'!AK222*'Equity Price Data'!AN223</f>
        <v>36649</v>
      </c>
      <c r="AI222" s="30">
        <f>'Equity Volume Data'!AL222*'Equity Price Data'!AO223</f>
        <v>25103.75</v>
      </c>
      <c r="AJ222" s="30">
        <f>'Equity Volume Data'!AM222*'Equity Price Data'!AP223</f>
        <v>22425</v>
      </c>
      <c r="AK222" s="30">
        <f>'Equity Volume Data'!AN222*'Equity Price Data'!AQ223</f>
        <v>23277.69</v>
      </c>
      <c r="AL222" s="30">
        <f>'Equity Volume Data'!AO222*'Equity Price Data'!AR223</f>
        <v>39248</v>
      </c>
      <c r="AM222" s="30">
        <f>'Equity Volume Data'!AP222*'Equity Price Data'!AS223</f>
        <v>31269.7</v>
      </c>
      <c r="AN222" s="30">
        <f>'Equity Volume Data'!AQ222*'Equity Price Data'!AT223</f>
        <v>9907.1</v>
      </c>
      <c r="AO222" s="30">
        <f>'Equity Volume Data'!AR222*'Equity Price Data'!AU223</f>
        <v>26602.1</v>
      </c>
      <c r="AP222" s="30">
        <f>'Equity Volume Data'!AS222*'Equity Price Data'!AV223</f>
        <v>22465</v>
      </c>
      <c r="AQ222" s="30">
        <f>'Equity Volume Data'!AT222*'Equity Price Data'!AW223</f>
        <v>17663.8</v>
      </c>
      <c r="AR222" s="30">
        <f>'Equity Volume Data'!AU222*'Equity Price Data'!AX223</f>
        <v>10325.43</v>
      </c>
      <c r="AS222" s="30">
        <f>'Equity Volume Data'!AV222*'Equity Price Data'!AY223</f>
        <v>45046.8</v>
      </c>
      <c r="AT222" s="30">
        <f>'Equity Volume Data'!AW222*'Equity Price Data'!AZ223</f>
        <v>14178</v>
      </c>
      <c r="AU222" s="30">
        <f>'Equity Volume Data'!AX222*'Equity Price Data'!BA223</f>
        <v>0</v>
      </c>
      <c r="AV222" s="30">
        <f>'Equity Volume Data'!AY222*'Equity Price Data'!BB223</f>
        <v>15389.96</v>
      </c>
      <c r="AW222" s="30">
        <f>'Equity Volume Data'!AZ222*'Equity Price Data'!BC223</f>
        <v>4128</v>
      </c>
      <c r="AX222" s="30">
        <f>'Equity Volume Data'!BA222*'Equity Price Data'!BD223</f>
        <v>3513.6</v>
      </c>
      <c r="AY222" s="30">
        <f>'Equity Volume Data'!BB222*'Equity Price Data'!BE223</f>
        <v>33928.8</v>
      </c>
      <c r="AZ222" s="30">
        <f>'Equity Volume Data'!BC222*'Equity Price Data'!BF223</f>
        <v>9787.5</v>
      </c>
      <c r="BA222" s="30">
        <f>'Equity Volume Data'!BD222*'Equity Price Data'!BG223</f>
        <v>4814.6</v>
      </c>
      <c r="BB222" s="30">
        <f>'Equity Volume Data'!BE222*'Equity Price Data'!BH223</f>
        <v>10596.8</v>
      </c>
      <c r="BC222" s="30">
        <f>'Equity Volume Data'!BF222*'Equity Price Data'!BI223</f>
        <v>11598.08</v>
      </c>
      <c r="BD222" s="30">
        <f>'Equity Volume Data'!BG222*'Equity Price Data'!BJ223</f>
        <v>56809.23</v>
      </c>
      <c r="BE222" s="30">
        <f>'Equity Volume Data'!BH222*'Equity Price Data'!BK223</f>
        <v>11444.8</v>
      </c>
      <c r="BF222" s="30">
        <f>'Equity Volume Data'!BI222*'Equity Price Data'!BL223</f>
        <v>7061.2</v>
      </c>
      <c r="BG222" s="30">
        <f>'Equity Volume Data'!BJ222*'Equity Price Data'!BM223</f>
        <v>18703.84</v>
      </c>
      <c r="BH222" s="30">
        <f>'Equity Volume Data'!BK222*'Equity Price Data'!BN223</f>
        <v>0</v>
      </c>
      <c r="BI222" s="30">
        <f>'Equity Volume Data'!BL222*'Equity Price Data'!BO223</f>
        <v>37798.4</v>
      </c>
      <c r="BJ222" s="30">
        <f>'Equity Volume Data'!BM222*'Equity Price Data'!BP223</f>
        <v>39281.25</v>
      </c>
      <c r="BK222" s="30">
        <f>'Equity Volume Data'!BN222*'Equity Price Data'!BQ223</f>
        <v>89919.8</v>
      </c>
      <c r="BL222" s="30">
        <f>'Equity Volume Data'!BO222*'Equity Price Data'!BR223</f>
        <v>409.37</v>
      </c>
      <c r="BM222" s="30">
        <f>'Equity Volume Data'!BP222*'Equity Price Data'!BS223</f>
        <v>11112.48</v>
      </c>
      <c r="BN222" s="30">
        <f>'Equity Volume Data'!BQ222*'Equity Price Data'!BT223</f>
        <v>18555.6</v>
      </c>
      <c r="BO222" s="30">
        <f>'Equity Volume Data'!BR222*'Equity Price Data'!BU223</f>
        <v>24411</v>
      </c>
    </row>
    <row r="223">
      <c r="A223" s="25">
        <f>'Equity Price Data'!A224</f>
        <v>45748.66667</v>
      </c>
      <c r="B223" s="29">
        <f t="shared" si="1"/>
        <v>1322031.6</v>
      </c>
      <c r="C223" s="30">
        <f>'Equity Volume Data'!F223*'Equity Price Data'!I224</f>
        <v>4981.6</v>
      </c>
      <c r="D223" s="30">
        <f>'Equity Volume Data'!G223*'Equity Price Data'!J224</f>
        <v>49964.2</v>
      </c>
      <c r="E223" s="30">
        <f>'Equity Volume Data'!H223*'Equity Price Data'!K224</f>
        <v>16170</v>
      </c>
      <c r="F223" s="30">
        <f>'Equity Volume Data'!I223*'Equity Price Data'!L224</f>
        <v>57136.64</v>
      </c>
      <c r="G223" s="30">
        <f>'Equity Volume Data'!J223*'Equity Price Data'!M224</f>
        <v>12089.78</v>
      </c>
      <c r="H223" s="30">
        <f>'Equity Volume Data'!K223*'Equity Price Data'!N224</f>
        <v>15748.76</v>
      </c>
      <c r="I223" s="30">
        <f>'Equity Volume Data'!L223*'Equity Price Data'!O224</f>
        <v>15400</v>
      </c>
      <c r="J223" s="30">
        <f>'Equity Volume Data'!M223*'Equity Price Data'!P224</f>
        <v>54364.98</v>
      </c>
      <c r="K223" s="30">
        <f>'Equity Volume Data'!N223*'Equity Price Data'!Q224</f>
        <v>9756</v>
      </c>
      <c r="L223" s="30">
        <f>'Equity Volume Data'!O223*'Equity Price Data'!R224</f>
        <v>15975.63</v>
      </c>
      <c r="M223" s="30">
        <f>'Equity Volume Data'!P223*'Equity Price Data'!S224</f>
        <v>0</v>
      </c>
      <c r="N223" s="30">
        <f>'Equity Volume Data'!Q223*'Equity Price Data'!T224</f>
        <v>5083.2</v>
      </c>
      <c r="O223" s="30">
        <f>'Equity Volume Data'!R223*'Equity Price Data'!U224</f>
        <v>49585.5</v>
      </c>
      <c r="P223" s="30">
        <f>'Equity Volume Data'!S223*'Equity Price Data'!V224</f>
        <v>17430.6</v>
      </c>
      <c r="Q223" s="30">
        <f>'Equity Volume Data'!T223*'Equity Price Data'!W224</f>
        <v>27700.8</v>
      </c>
      <c r="R223" s="30">
        <f>'Equity Volume Data'!U223*'Equity Price Data'!X224</f>
        <v>13480.8</v>
      </c>
      <c r="S223" s="30">
        <f>'Equity Volume Data'!V223*'Equity Price Data'!Y224</f>
        <v>29128</v>
      </c>
      <c r="T223" s="30">
        <f>'Equity Volume Data'!W223*'Equity Price Data'!Z224</f>
        <v>10147.5</v>
      </c>
      <c r="U223" s="30">
        <f>'Equity Volume Data'!X223*'Equity Price Data'!AA224</f>
        <v>18973.68</v>
      </c>
      <c r="V223" s="30">
        <f>'Equity Volume Data'!Y223*'Equity Price Data'!AB224</f>
        <v>17719.66</v>
      </c>
      <c r="W223" s="30">
        <f>'Equity Volume Data'!Z223*'Equity Price Data'!AC224</f>
        <v>10077.45</v>
      </c>
      <c r="X223" s="30">
        <f>'Equity Volume Data'!AA223*'Equity Price Data'!AD224</f>
        <v>0</v>
      </c>
      <c r="Y223" s="30">
        <f>'Equity Volume Data'!AB223*'Equity Price Data'!AE224</f>
        <v>6051.11</v>
      </c>
      <c r="Z223" s="30">
        <f>'Equity Volume Data'!AC223*'Equity Price Data'!AF224</f>
        <v>10170</v>
      </c>
      <c r="AA223" s="30">
        <f>'Equity Volume Data'!AD223*'Equity Price Data'!AG224</f>
        <v>20236.8</v>
      </c>
      <c r="AB223" s="30">
        <f>'Equity Volume Data'!AE223*'Equity Price Data'!AH224</f>
        <v>14518.8</v>
      </c>
      <c r="AC223" s="30">
        <f>'Equity Volume Data'!AF223*'Equity Price Data'!AI224</f>
        <v>17224.4</v>
      </c>
      <c r="AD223" s="30">
        <f>'Equity Volume Data'!AG223*'Equity Price Data'!AJ224</f>
        <v>12336.3</v>
      </c>
      <c r="AE223" s="30">
        <f>'Equity Volume Data'!AH223*'Equity Price Data'!AK224</f>
        <v>0</v>
      </c>
      <c r="AF223" s="30">
        <f>'Equity Volume Data'!AI223*'Equity Price Data'!AL224</f>
        <v>22812.4</v>
      </c>
      <c r="AG223" s="30">
        <f>'Equity Volume Data'!AJ223*'Equity Price Data'!AM224</f>
        <v>32907</v>
      </c>
      <c r="AH223" s="30">
        <f>'Equity Volume Data'!AK223*'Equity Price Data'!AN224</f>
        <v>36552</v>
      </c>
      <c r="AI223" s="30">
        <f>'Equity Volume Data'!AL223*'Equity Price Data'!AO224</f>
        <v>25616.5</v>
      </c>
      <c r="AJ223" s="30">
        <f>'Equity Volume Data'!AM223*'Equity Price Data'!AP224</f>
        <v>22293.7</v>
      </c>
      <c r="AK223" s="30">
        <f>'Equity Volume Data'!AN223*'Equity Price Data'!AQ224</f>
        <v>23328.92</v>
      </c>
      <c r="AL223" s="30">
        <f>'Equity Volume Data'!AO223*'Equity Price Data'!AR224</f>
        <v>38985.6</v>
      </c>
      <c r="AM223" s="30">
        <f>'Equity Volume Data'!AP223*'Equity Price Data'!AS224</f>
        <v>31404.8</v>
      </c>
      <c r="AN223" s="30">
        <f>'Equity Volume Data'!AQ223*'Equity Price Data'!AT224</f>
        <v>9787.05</v>
      </c>
      <c r="AO223" s="30">
        <f>'Equity Volume Data'!AR223*'Equity Price Data'!AU224</f>
        <v>27123.04</v>
      </c>
      <c r="AP223" s="30">
        <f>'Equity Volume Data'!AS223*'Equity Price Data'!AV224</f>
        <v>22122.5</v>
      </c>
      <c r="AQ223" s="30">
        <f>'Equity Volume Data'!AT223*'Equity Price Data'!AW224</f>
        <v>17855.2</v>
      </c>
      <c r="AR223" s="30">
        <f>'Equity Volume Data'!AU223*'Equity Price Data'!AX224</f>
        <v>10646.91</v>
      </c>
      <c r="AS223" s="30">
        <f>'Equity Volume Data'!AV223*'Equity Price Data'!AY224</f>
        <v>45862.8</v>
      </c>
      <c r="AT223" s="30">
        <f>'Equity Volume Data'!AW223*'Equity Price Data'!AZ224</f>
        <v>14184</v>
      </c>
      <c r="AU223" s="30">
        <f>'Equity Volume Data'!AX223*'Equity Price Data'!BA224</f>
        <v>0</v>
      </c>
      <c r="AV223" s="30">
        <f>'Equity Volume Data'!AY223*'Equity Price Data'!BB224</f>
        <v>15641.3</v>
      </c>
      <c r="AW223" s="30">
        <f>'Equity Volume Data'!AZ223*'Equity Price Data'!BC224</f>
        <v>4162.4</v>
      </c>
      <c r="AX223" s="30">
        <f>'Equity Volume Data'!BA223*'Equity Price Data'!BD224</f>
        <v>3416</v>
      </c>
      <c r="AY223" s="30">
        <f>'Equity Volume Data'!BB223*'Equity Price Data'!BE224</f>
        <v>34041.36</v>
      </c>
      <c r="AZ223" s="30">
        <f>'Equity Volume Data'!BC223*'Equity Price Data'!BF224</f>
        <v>9915</v>
      </c>
      <c r="BA223" s="30">
        <f>'Equity Volume Data'!BD223*'Equity Price Data'!BG224</f>
        <v>4662.6</v>
      </c>
      <c r="BB223" s="30">
        <f>'Equity Volume Data'!BE223*'Equity Price Data'!BH224</f>
        <v>10628</v>
      </c>
      <c r="BC223" s="30">
        <f>'Equity Volume Data'!BF223*'Equity Price Data'!BI224</f>
        <v>11027.36</v>
      </c>
      <c r="BD223" s="30">
        <f>'Equity Volume Data'!BG223*'Equity Price Data'!BJ224</f>
        <v>57199.02</v>
      </c>
      <c r="BE223" s="30">
        <f>'Equity Volume Data'!BH223*'Equity Price Data'!BK224</f>
        <v>11108.31</v>
      </c>
      <c r="BF223" s="30">
        <f>'Equity Volume Data'!BI223*'Equity Price Data'!BL224</f>
        <v>6976.8</v>
      </c>
      <c r="BG223" s="30">
        <f>'Equity Volume Data'!BJ223*'Equity Price Data'!BM224</f>
        <v>18979.06</v>
      </c>
      <c r="BH223" s="30">
        <f>'Equity Volume Data'!BK223*'Equity Price Data'!BN224</f>
        <v>0</v>
      </c>
      <c r="BI223" s="30">
        <f>'Equity Volume Data'!BL223*'Equity Price Data'!BO224</f>
        <v>37947.2</v>
      </c>
      <c r="BJ223" s="30">
        <f>'Equity Volume Data'!BM223*'Equity Price Data'!BP224</f>
        <v>39234</v>
      </c>
      <c r="BK223" s="30">
        <f>'Equity Volume Data'!BN223*'Equity Price Data'!BQ224</f>
        <v>89757.62</v>
      </c>
      <c r="BL223" s="30">
        <f>'Equity Volume Data'!BO223*'Equity Price Data'!BR224</f>
        <v>404.2</v>
      </c>
      <c r="BM223" s="30">
        <f>'Equity Volume Data'!BP223*'Equity Price Data'!BS224</f>
        <v>11221.92</v>
      </c>
      <c r="BN223" s="30">
        <f>'Equity Volume Data'!BQ223*'Equity Price Data'!BT224</f>
        <v>18363.84</v>
      </c>
      <c r="BO223" s="30">
        <f>'Equity Volume Data'!BR223*'Equity Price Data'!BU224</f>
        <v>24411</v>
      </c>
    </row>
    <row r="224">
      <c r="A224" s="25">
        <f>'Equity Price Data'!A225</f>
        <v>45749.66667</v>
      </c>
      <c r="B224" s="29">
        <f t="shared" si="1"/>
        <v>1331804.84</v>
      </c>
      <c r="C224" s="30">
        <f>'Equity Volume Data'!F224*'Equity Price Data'!I225</f>
        <v>5015.14</v>
      </c>
      <c r="D224" s="30">
        <f>'Equity Volume Data'!G224*'Equity Price Data'!J225</f>
        <v>50962.6</v>
      </c>
      <c r="E224" s="30">
        <f>'Equity Volume Data'!H224*'Equity Price Data'!K225</f>
        <v>16080.9</v>
      </c>
      <c r="F224" s="30">
        <f>'Equity Volume Data'!I224*'Equity Price Data'!L225</f>
        <v>57315.84</v>
      </c>
      <c r="G224" s="30">
        <f>'Equity Volume Data'!J224*'Equity Price Data'!M225</f>
        <v>12263.25</v>
      </c>
      <c r="H224" s="30">
        <f>'Equity Volume Data'!K224*'Equity Price Data'!N225</f>
        <v>15833.36</v>
      </c>
      <c r="I224" s="30">
        <f>'Equity Volume Data'!L224*'Equity Price Data'!O225</f>
        <v>15740</v>
      </c>
      <c r="J224" s="30">
        <f>'Equity Volume Data'!M224*'Equity Price Data'!P225</f>
        <v>54847.44</v>
      </c>
      <c r="K224" s="30">
        <f>'Equity Volume Data'!N224*'Equity Price Data'!Q225</f>
        <v>9576</v>
      </c>
      <c r="L224" s="30">
        <f>'Equity Volume Data'!O224*'Equity Price Data'!R225</f>
        <v>15889.72</v>
      </c>
      <c r="M224" s="30">
        <f>'Equity Volume Data'!P224*'Equity Price Data'!S225</f>
        <v>0</v>
      </c>
      <c r="N224" s="30">
        <f>'Equity Volume Data'!Q224*'Equity Price Data'!T225</f>
        <v>5203.2</v>
      </c>
      <c r="O224" s="30">
        <f>'Equity Volume Data'!R224*'Equity Price Data'!U225</f>
        <v>50199</v>
      </c>
      <c r="P224" s="30">
        <f>'Equity Volume Data'!S224*'Equity Price Data'!V225</f>
        <v>17709.99</v>
      </c>
      <c r="Q224" s="30">
        <f>'Equity Volume Data'!T224*'Equity Price Data'!W225</f>
        <v>27361.2</v>
      </c>
      <c r="R224" s="30">
        <f>'Equity Volume Data'!U224*'Equity Price Data'!X225</f>
        <v>13317.6</v>
      </c>
      <c r="S224" s="30">
        <f>'Equity Volume Data'!V224*'Equity Price Data'!Y225</f>
        <v>29208.96</v>
      </c>
      <c r="T224" s="30">
        <f>'Equity Volume Data'!W224*'Equity Price Data'!Z225</f>
        <v>10415</v>
      </c>
      <c r="U224" s="30">
        <f>'Equity Volume Data'!X224*'Equity Price Data'!AA225</f>
        <v>18831.12</v>
      </c>
      <c r="V224" s="30">
        <f>'Equity Volume Data'!Y224*'Equity Price Data'!AB225</f>
        <v>17642.38</v>
      </c>
      <c r="W224" s="30">
        <f>'Equity Volume Data'!Z224*'Equity Price Data'!AC225</f>
        <v>10258.92</v>
      </c>
      <c r="X224" s="30">
        <f>'Equity Volume Data'!AA224*'Equity Price Data'!AD225</f>
        <v>0</v>
      </c>
      <c r="Y224" s="30">
        <f>'Equity Volume Data'!AB224*'Equity Price Data'!AE225</f>
        <v>6088.55</v>
      </c>
      <c r="Z224" s="30">
        <f>'Equity Volume Data'!AC224*'Equity Price Data'!AF225</f>
        <v>10113</v>
      </c>
      <c r="AA224" s="30">
        <f>'Equity Volume Data'!AD224*'Equity Price Data'!AG225</f>
        <v>20173.9</v>
      </c>
      <c r="AB224" s="30">
        <f>'Equity Volume Data'!AE224*'Equity Price Data'!AH225</f>
        <v>14710.2</v>
      </c>
      <c r="AC224" s="30">
        <f>'Equity Volume Data'!AF224*'Equity Price Data'!AI225</f>
        <v>17541.6</v>
      </c>
      <c r="AD224" s="30">
        <f>'Equity Volume Data'!AG224*'Equity Price Data'!AJ225</f>
        <v>12421.8</v>
      </c>
      <c r="AE224" s="30">
        <f>'Equity Volume Data'!AH224*'Equity Price Data'!AK225</f>
        <v>0</v>
      </c>
      <c r="AF224" s="30">
        <f>'Equity Volume Data'!AI224*'Equity Price Data'!AL225</f>
        <v>22937.45</v>
      </c>
      <c r="AG224" s="30">
        <f>'Equity Volume Data'!AJ224*'Equity Price Data'!AM225</f>
        <v>33786</v>
      </c>
      <c r="AH224" s="30">
        <f>'Equity Volume Data'!AK224*'Equity Price Data'!AN225</f>
        <v>37089</v>
      </c>
      <c r="AI224" s="30">
        <f>'Equity Volume Data'!AL224*'Equity Price Data'!AO225</f>
        <v>25861.5</v>
      </c>
      <c r="AJ224" s="30">
        <f>'Equity Volume Data'!AM224*'Equity Price Data'!AP225</f>
        <v>22157.2</v>
      </c>
      <c r="AK224" s="30">
        <f>'Equity Volume Data'!AN224*'Equity Price Data'!AQ225</f>
        <v>23831.35</v>
      </c>
      <c r="AL224" s="30">
        <f>'Equity Volume Data'!AO224*'Equity Price Data'!AR225</f>
        <v>39331.2</v>
      </c>
      <c r="AM224" s="30">
        <f>'Equity Volume Data'!AP224*'Equity Price Data'!AS225</f>
        <v>31700.9</v>
      </c>
      <c r="AN224" s="30">
        <f>'Equity Volume Data'!AQ224*'Equity Price Data'!AT225</f>
        <v>9896.25</v>
      </c>
      <c r="AO224" s="30">
        <f>'Equity Volume Data'!AR224*'Equity Price Data'!AU225</f>
        <v>27626.9</v>
      </c>
      <c r="AP224" s="30">
        <f>'Equity Volume Data'!AS224*'Equity Price Data'!AV225</f>
        <v>22215</v>
      </c>
      <c r="AQ224" s="30">
        <f>'Equity Volume Data'!AT224*'Equity Price Data'!AW225</f>
        <v>18147.8</v>
      </c>
      <c r="AR224" s="30">
        <f>'Equity Volume Data'!AU224*'Equity Price Data'!AX225</f>
        <v>10642.68</v>
      </c>
      <c r="AS224" s="30">
        <f>'Equity Volume Data'!AV224*'Equity Price Data'!AY225</f>
        <v>45856.8</v>
      </c>
      <c r="AT224" s="30">
        <f>'Equity Volume Data'!AW224*'Equity Price Data'!AZ225</f>
        <v>14096</v>
      </c>
      <c r="AU224" s="30">
        <f>'Equity Volume Data'!AX224*'Equity Price Data'!BA225</f>
        <v>0</v>
      </c>
      <c r="AV224" s="30">
        <f>'Equity Volume Data'!AY224*'Equity Price Data'!BB225</f>
        <v>15679.64</v>
      </c>
      <c r="AW224" s="30">
        <f>'Equity Volume Data'!AZ224*'Equity Price Data'!BC225</f>
        <v>4157.6</v>
      </c>
      <c r="AX224" s="30">
        <f>'Equity Volume Data'!BA224*'Equity Price Data'!BD225</f>
        <v>3593.6</v>
      </c>
      <c r="AY224" s="30">
        <f>'Equity Volume Data'!BB224*'Equity Price Data'!BE225</f>
        <v>35154.9</v>
      </c>
      <c r="AZ224" s="30">
        <f>'Equity Volume Data'!BC224*'Equity Price Data'!BF225</f>
        <v>10072.5</v>
      </c>
      <c r="BA224" s="30">
        <f>'Equity Volume Data'!BD224*'Equity Price Data'!BG225</f>
        <v>4693</v>
      </c>
      <c r="BB224" s="30">
        <f>'Equity Volume Data'!BE224*'Equity Price Data'!BH225</f>
        <v>10652</v>
      </c>
      <c r="BC224" s="30">
        <f>'Equity Volume Data'!BF224*'Equity Price Data'!BI225</f>
        <v>11348.8</v>
      </c>
      <c r="BD224" s="30">
        <f>'Equity Volume Data'!BG224*'Equity Price Data'!BJ225</f>
        <v>56351.28</v>
      </c>
      <c r="BE224" s="30">
        <f>'Equity Volume Data'!BH224*'Equity Price Data'!BK225</f>
        <v>11248.38</v>
      </c>
      <c r="BF224" s="30">
        <f>'Equity Volume Data'!BI224*'Equity Price Data'!BL225</f>
        <v>7092.4</v>
      </c>
      <c r="BG224" s="30">
        <f>'Equity Volume Data'!BJ224*'Equity Price Data'!BM225</f>
        <v>20324.58</v>
      </c>
      <c r="BH224" s="30">
        <f>'Equity Volume Data'!BK224*'Equity Price Data'!BN225</f>
        <v>0</v>
      </c>
      <c r="BI224" s="30">
        <f>'Equity Volume Data'!BL224*'Equity Price Data'!BO225</f>
        <v>38153.6</v>
      </c>
      <c r="BJ224" s="30">
        <f>'Equity Volume Data'!BM224*'Equity Price Data'!BP225</f>
        <v>39240</v>
      </c>
      <c r="BK224" s="30">
        <f>'Equity Volume Data'!BN224*'Equity Price Data'!BQ225</f>
        <v>89667.52</v>
      </c>
      <c r="BL224" s="30">
        <f>'Equity Volume Data'!BO224*'Equity Price Data'!BR225</f>
        <v>407.02</v>
      </c>
      <c r="BM224" s="30">
        <f>'Equity Volume Data'!BP224*'Equity Price Data'!BS225</f>
        <v>11258.88</v>
      </c>
      <c r="BN224" s="30">
        <f>'Equity Volume Data'!BQ224*'Equity Price Data'!BT225</f>
        <v>18401.44</v>
      </c>
      <c r="BO224" s="30">
        <f>'Equity Volume Data'!BR224*'Equity Price Data'!BU225</f>
        <v>24411</v>
      </c>
    </row>
    <row r="225">
      <c r="A225" s="25">
        <f>'Equity Price Data'!A226</f>
        <v>45750.66667</v>
      </c>
      <c r="B225" s="29">
        <f t="shared" si="1"/>
        <v>1286417.69</v>
      </c>
      <c r="C225" s="30">
        <f>'Equity Volume Data'!F225*'Equity Price Data'!I226</f>
        <v>4774.25</v>
      </c>
      <c r="D225" s="30">
        <f>'Equity Volume Data'!G225*'Equity Price Data'!J226</f>
        <v>46386.6</v>
      </c>
      <c r="E225" s="30">
        <f>'Equity Volume Data'!H225*'Equity Price Data'!K226</f>
        <v>16715.6</v>
      </c>
      <c r="F225" s="30">
        <f>'Equity Volume Data'!I225*'Equity Price Data'!L226</f>
        <v>52016.64</v>
      </c>
      <c r="G225" s="30">
        <f>'Equity Volume Data'!J225*'Equity Price Data'!M226</f>
        <v>11247.33</v>
      </c>
      <c r="H225" s="30">
        <f>'Equity Volume Data'!K225*'Equity Price Data'!N226</f>
        <v>15023.08</v>
      </c>
      <c r="I225" s="30">
        <f>'Equity Volume Data'!L225*'Equity Price Data'!O226</f>
        <v>14310</v>
      </c>
      <c r="J225" s="30">
        <f>'Equity Volume Data'!M225*'Equity Price Data'!P226</f>
        <v>54076.32</v>
      </c>
      <c r="K225" s="30">
        <f>'Equity Volume Data'!N225*'Equity Price Data'!Q226</f>
        <v>9296</v>
      </c>
      <c r="L225" s="30">
        <f>'Equity Volume Data'!O225*'Equity Price Data'!R226</f>
        <v>15815.91</v>
      </c>
      <c r="M225" s="30">
        <f>'Equity Volume Data'!P225*'Equity Price Data'!S226</f>
        <v>0</v>
      </c>
      <c r="N225" s="30">
        <f>'Equity Volume Data'!Q225*'Equity Price Data'!T226</f>
        <v>4857.6</v>
      </c>
      <c r="O225" s="30">
        <f>'Equity Volume Data'!R225*'Equity Price Data'!U226</f>
        <v>45864</v>
      </c>
      <c r="P225" s="30">
        <f>'Equity Volume Data'!S225*'Equity Price Data'!V226</f>
        <v>17059.47</v>
      </c>
      <c r="Q225" s="30">
        <f>'Equity Volume Data'!T225*'Equity Price Data'!W226</f>
        <v>26882.4</v>
      </c>
      <c r="R225" s="30">
        <f>'Equity Volume Data'!U225*'Equity Price Data'!X226</f>
        <v>12489.6</v>
      </c>
      <c r="S225" s="30">
        <f>'Equity Volume Data'!V225*'Equity Price Data'!Y226</f>
        <v>29783.6</v>
      </c>
      <c r="T225" s="30">
        <f>'Equity Volume Data'!W225*'Equity Price Data'!Z226</f>
        <v>9055</v>
      </c>
      <c r="U225" s="30">
        <f>'Equity Volume Data'!X225*'Equity Price Data'!AA226</f>
        <v>19319.52</v>
      </c>
      <c r="V225" s="30">
        <f>'Equity Volume Data'!Y225*'Equity Price Data'!AB226</f>
        <v>18147.92</v>
      </c>
      <c r="W225" s="30">
        <f>'Equity Volume Data'!Z225*'Equity Price Data'!AC226</f>
        <v>9735.21</v>
      </c>
      <c r="X225" s="30">
        <f>'Equity Volume Data'!AA225*'Equity Price Data'!AD226</f>
        <v>0</v>
      </c>
      <c r="Y225" s="30">
        <f>'Equity Volume Data'!AB225*'Equity Price Data'!AE226</f>
        <v>6029.14</v>
      </c>
      <c r="Z225" s="30">
        <f>'Equity Volume Data'!AC225*'Equity Price Data'!AF226</f>
        <v>9954</v>
      </c>
      <c r="AA225" s="30">
        <f>'Equity Volume Data'!AD225*'Equity Price Data'!AG226</f>
        <v>19113.1</v>
      </c>
      <c r="AB225" s="30">
        <f>'Equity Volume Data'!AE225*'Equity Price Data'!AH226</f>
        <v>12951.6</v>
      </c>
      <c r="AC225" s="30">
        <f>'Equity Volume Data'!AF225*'Equity Price Data'!AI226</f>
        <v>17249.2</v>
      </c>
      <c r="AD225" s="30">
        <f>'Equity Volume Data'!AG225*'Equity Price Data'!AJ226</f>
        <v>12132.9</v>
      </c>
      <c r="AE225" s="30">
        <f>'Equity Volume Data'!AH225*'Equity Price Data'!AK226</f>
        <v>0</v>
      </c>
      <c r="AF225" s="30">
        <f>'Equity Volume Data'!AI225*'Equity Price Data'!AL226</f>
        <v>23039.95</v>
      </c>
      <c r="AG225" s="30">
        <f>'Equity Volume Data'!AJ225*'Equity Price Data'!AM226</f>
        <v>30673.8</v>
      </c>
      <c r="AH225" s="30">
        <f>'Equity Volume Data'!AK225*'Equity Price Data'!AN226</f>
        <v>35591</v>
      </c>
      <c r="AI225" s="30">
        <f>'Equity Volume Data'!AL225*'Equity Price Data'!AO226</f>
        <v>25814.25</v>
      </c>
      <c r="AJ225" s="30">
        <f>'Equity Volume Data'!AM225*'Equity Price Data'!AP226</f>
        <v>21782.8</v>
      </c>
      <c r="AK225" s="30">
        <f>'Equity Volume Data'!AN225*'Equity Price Data'!AQ226</f>
        <v>23246.67</v>
      </c>
      <c r="AL225" s="30">
        <f>'Equity Volume Data'!AO225*'Equity Price Data'!AR226</f>
        <v>36590.4</v>
      </c>
      <c r="AM225" s="30">
        <f>'Equity Volume Data'!AP225*'Equity Price Data'!AS226</f>
        <v>31834.6</v>
      </c>
      <c r="AN225" s="30">
        <f>'Equity Volume Data'!AQ225*'Equity Price Data'!AT226</f>
        <v>8947.75</v>
      </c>
      <c r="AO225" s="30">
        <f>'Equity Volume Data'!AR225*'Equity Price Data'!AU226</f>
        <v>26158.02</v>
      </c>
      <c r="AP225" s="30">
        <f>'Equity Volume Data'!AS225*'Equity Price Data'!AV226</f>
        <v>21972.5</v>
      </c>
      <c r="AQ225" s="30">
        <f>'Equity Volume Data'!AT225*'Equity Price Data'!AW226</f>
        <v>16700.2</v>
      </c>
      <c r="AR225" s="30">
        <f>'Equity Volume Data'!AU225*'Equity Price Data'!AX226</f>
        <v>10498.86</v>
      </c>
      <c r="AS225" s="30">
        <f>'Equity Volume Data'!AV225*'Equity Price Data'!AY226</f>
        <v>44773.2</v>
      </c>
      <c r="AT225" s="30">
        <f>'Equity Volume Data'!AW225*'Equity Price Data'!AZ226</f>
        <v>14428</v>
      </c>
      <c r="AU225" s="30">
        <f>'Equity Volume Data'!AX225*'Equity Price Data'!BA226</f>
        <v>0</v>
      </c>
      <c r="AV225" s="30">
        <f>'Equity Volume Data'!AY225*'Equity Price Data'!BB226</f>
        <v>14455.6</v>
      </c>
      <c r="AW225" s="30">
        <f>'Equity Volume Data'!AZ225*'Equity Price Data'!BC226</f>
        <v>4172</v>
      </c>
      <c r="AX225" s="30">
        <f>'Equity Volume Data'!BA225*'Equity Price Data'!BD226</f>
        <v>3012</v>
      </c>
      <c r="AY225" s="30">
        <f>'Equity Volume Data'!BB225*'Equity Price Data'!BE226</f>
        <v>33607.2</v>
      </c>
      <c r="AZ225" s="30">
        <f>'Equity Volume Data'!BC225*'Equity Price Data'!BF226</f>
        <v>9256.5</v>
      </c>
      <c r="BA225" s="30">
        <f>'Equity Volume Data'!BD225*'Equity Price Data'!BG226</f>
        <v>4615.1</v>
      </c>
      <c r="BB225" s="30">
        <f>'Equity Volume Data'!BE225*'Equity Price Data'!BH226</f>
        <v>10418.4</v>
      </c>
      <c r="BC225" s="30">
        <f>'Equity Volume Data'!BF225*'Equity Price Data'!BI226</f>
        <v>10781.36</v>
      </c>
      <c r="BD225" s="30">
        <f>'Equity Volume Data'!BG225*'Equity Price Data'!BJ226</f>
        <v>57060.57</v>
      </c>
      <c r="BE225" s="30">
        <f>'Equity Volume Data'!BH225*'Equity Price Data'!BK226</f>
        <v>10810.69</v>
      </c>
      <c r="BF225" s="30">
        <f>'Equity Volume Data'!BI225*'Equity Price Data'!BL226</f>
        <v>6722.8</v>
      </c>
      <c r="BG225" s="30">
        <f>'Equity Volume Data'!BJ225*'Equity Price Data'!BM226</f>
        <v>19726.88</v>
      </c>
      <c r="BH225" s="30">
        <f>'Equity Volume Data'!BK225*'Equity Price Data'!BN226</f>
        <v>0</v>
      </c>
      <c r="BI225" s="30">
        <f>'Equity Volume Data'!BL225*'Equity Price Data'!BO226</f>
        <v>35835.2</v>
      </c>
      <c r="BJ225" s="30">
        <f>'Equity Volume Data'!BM225*'Equity Price Data'!BP226</f>
        <v>40533</v>
      </c>
      <c r="BK225" s="30">
        <f>'Equity Volume Data'!BN225*'Equity Price Data'!BQ226</f>
        <v>90208.12</v>
      </c>
      <c r="BL225" s="30">
        <f>'Equity Volume Data'!BO225*'Equity Price Data'!BR226</f>
        <v>383.52</v>
      </c>
      <c r="BM225" s="30">
        <f>'Equity Volume Data'!BP225*'Equity Price Data'!BS226</f>
        <v>11367.84</v>
      </c>
      <c r="BN225" s="30">
        <f>'Equity Volume Data'!BQ225*'Equity Price Data'!BT226</f>
        <v>16701.92</v>
      </c>
      <c r="BO225" s="30">
        <f>'Equity Volume Data'!BR225*'Equity Price Data'!BU226</f>
        <v>24411</v>
      </c>
    </row>
    <row r="226">
      <c r="A226" s="25">
        <f>'Equity Price Data'!A227</f>
        <v>45751.66667</v>
      </c>
      <c r="B226" s="29">
        <f t="shared" si="1"/>
        <v>1204887.97</v>
      </c>
      <c r="C226" s="30">
        <f>'Equity Volume Data'!F226*'Equity Price Data'!I227</f>
        <v>4537.91</v>
      </c>
      <c r="D226" s="30">
        <f>'Equity Volume Data'!G226*'Equity Price Data'!J227</f>
        <v>44460</v>
      </c>
      <c r="E226" s="30">
        <f>'Equity Volume Data'!H226*'Equity Price Data'!K227</f>
        <v>16195.3</v>
      </c>
      <c r="F226" s="30">
        <f>'Equity Volume Data'!I226*'Equity Price Data'!L227</f>
        <v>48225.28</v>
      </c>
      <c r="G226" s="30">
        <f>'Equity Volume Data'!J226*'Equity Price Data'!M227</f>
        <v>10536.85</v>
      </c>
      <c r="H226" s="30">
        <f>'Equity Volume Data'!K226*'Equity Price Data'!N227</f>
        <v>13782.28</v>
      </c>
      <c r="I226" s="30">
        <f>'Equity Volume Data'!L226*'Equity Price Data'!O227</f>
        <v>13170</v>
      </c>
      <c r="J226" s="30">
        <f>'Equity Volume Data'!M226*'Equity Price Data'!P227</f>
        <v>50341.08</v>
      </c>
      <c r="K226" s="30">
        <f>'Equity Volume Data'!N226*'Equity Price Data'!Q227</f>
        <v>8414</v>
      </c>
      <c r="L226" s="30">
        <f>'Equity Volume Data'!O226*'Equity Price Data'!R227</f>
        <v>14880.58</v>
      </c>
      <c r="M226" s="30">
        <f>'Equity Volume Data'!P226*'Equity Price Data'!S227</f>
        <v>0</v>
      </c>
      <c r="N226" s="30">
        <f>'Equity Volume Data'!Q226*'Equity Price Data'!T227</f>
        <v>4574.4</v>
      </c>
      <c r="O226" s="30">
        <f>'Equity Volume Data'!R226*'Equity Price Data'!U227</f>
        <v>43212</v>
      </c>
      <c r="P226" s="30">
        <f>'Equity Volume Data'!S226*'Equity Price Data'!V227</f>
        <v>15775.11</v>
      </c>
      <c r="Q226" s="30">
        <f>'Equity Volume Data'!T226*'Equity Price Data'!W227</f>
        <v>25862.4</v>
      </c>
      <c r="R226" s="30">
        <f>'Equity Volume Data'!U226*'Equity Price Data'!X227</f>
        <v>11462.4</v>
      </c>
      <c r="S226" s="30">
        <f>'Equity Volume Data'!V226*'Equity Price Data'!Y227</f>
        <v>28371.2</v>
      </c>
      <c r="T226" s="30">
        <f>'Equity Volume Data'!W226*'Equity Price Data'!Z227</f>
        <v>8567.5</v>
      </c>
      <c r="U226" s="30">
        <f>'Equity Volume Data'!X226*'Equity Price Data'!AA227</f>
        <v>18461.52</v>
      </c>
      <c r="V226" s="30">
        <f>'Equity Volume Data'!Y226*'Equity Price Data'!AB227</f>
        <v>17600.52</v>
      </c>
      <c r="W226" s="30">
        <f>'Equity Volume Data'!Z226*'Equity Price Data'!AC227</f>
        <v>9487.5</v>
      </c>
      <c r="X226" s="30">
        <f>'Equity Volume Data'!AA226*'Equity Price Data'!AD227</f>
        <v>0</v>
      </c>
      <c r="Y226" s="30">
        <f>'Equity Volume Data'!AB226*'Equity Price Data'!AE227</f>
        <v>5774.73</v>
      </c>
      <c r="Z226" s="30">
        <f>'Equity Volume Data'!AC226*'Equity Price Data'!AF227</f>
        <v>9360</v>
      </c>
      <c r="AA226" s="30">
        <f>'Equity Volume Data'!AD226*'Equity Price Data'!AG227</f>
        <v>17737.8</v>
      </c>
      <c r="AB226" s="30">
        <f>'Equity Volume Data'!AE226*'Equity Price Data'!AH227</f>
        <v>12607.2</v>
      </c>
      <c r="AC226" s="30">
        <f>'Equity Volume Data'!AF226*'Equity Price Data'!AI227</f>
        <v>16594</v>
      </c>
      <c r="AD226" s="30">
        <f>'Equity Volume Data'!AG226*'Equity Price Data'!AJ227</f>
        <v>11250.45</v>
      </c>
      <c r="AE226" s="30">
        <f>'Equity Volume Data'!AH226*'Equity Price Data'!AK227</f>
        <v>0</v>
      </c>
      <c r="AF226" s="30">
        <f>'Equity Volume Data'!AI226*'Equity Price Data'!AL227</f>
        <v>21986.25</v>
      </c>
      <c r="AG226" s="30">
        <f>'Equity Volume Data'!AJ226*'Equity Price Data'!AM227</f>
        <v>28248.6</v>
      </c>
      <c r="AH226" s="30">
        <f>'Equity Volume Data'!AK226*'Equity Price Data'!AN227</f>
        <v>35390</v>
      </c>
      <c r="AI226" s="30">
        <f>'Equity Volume Data'!AL226*'Equity Price Data'!AO227</f>
        <v>24108</v>
      </c>
      <c r="AJ226" s="30">
        <f>'Equity Volume Data'!AM226*'Equity Price Data'!AP227</f>
        <v>20376.2</v>
      </c>
      <c r="AK226" s="30">
        <f>'Equity Volume Data'!AN226*'Equity Price Data'!AQ227</f>
        <v>21224.26</v>
      </c>
      <c r="AL226" s="30">
        <f>'Equity Volume Data'!AO226*'Equity Price Data'!AR227</f>
        <v>33644.8</v>
      </c>
      <c r="AM226" s="30">
        <f>'Equity Volume Data'!AP226*'Equity Price Data'!AS227</f>
        <v>30250.5</v>
      </c>
      <c r="AN226" s="30">
        <f>'Equity Volume Data'!AQ226*'Equity Price Data'!AT227</f>
        <v>0</v>
      </c>
      <c r="AO226" s="30">
        <f>'Equity Volume Data'!AR226*'Equity Price Data'!AU227</f>
        <v>23655.8</v>
      </c>
      <c r="AP226" s="30">
        <f>'Equity Volume Data'!AS226*'Equity Price Data'!AV227</f>
        <v>20720</v>
      </c>
      <c r="AQ226" s="30">
        <f>'Equity Volume Data'!AT226*'Equity Price Data'!AW227</f>
        <v>15195.4</v>
      </c>
      <c r="AR226" s="30">
        <f>'Equity Volume Data'!AU226*'Equity Price Data'!AX227</f>
        <v>9754.38</v>
      </c>
      <c r="AS226" s="30">
        <f>'Equity Volume Data'!AV226*'Equity Price Data'!AY227</f>
        <v>43180.8</v>
      </c>
      <c r="AT226" s="30">
        <f>'Equity Volume Data'!AW226*'Equity Price Data'!AZ227</f>
        <v>13382</v>
      </c>
      <c r="AU226" s="30">
        <f>'Equity Volume Data'!AX226*'Equity Price Data'!BA227</f>
        <v>0</v>
      </c>
      <c r="AV226" s="30">
        <f>'Equity Volume Data'!AY226*'Equity Price Data'!BB227</f>
        <v>13392.02</v>
      </c>
      <c r="AW226" s="30">
        <f>'Equity Volume Data'!AZ226*'Equity Price Data'!BC227</f>
        <v>3798.8</v>
      </c>
      <c r="AX226" s="30">
        <f>'Equity Volume Data'!BA226*'Equity Price Data'!BD227</f>
        <v>0</v>
      </c>
      <c r="AY226" s="30">
        <f>'Equity Volume Data'!BB226*'Equity Price Data'!BE227</f>
        <v>29752.02</v>
      </c>
      <c r="AZ226" s="30">
        <f>'Equity Volume Data'!BC226*'Equity Price Data'!BF227</f>
        <v>8755.5</v>
      </c>
      <c r="BA226" s="30">
        <f>'Equity Volume Data'!BD226*'Equity Price Data'!BG227</f>
        <v>4364.3</v>
      </c>
      <c r="BB226" s="30">
        <f>'Equity Volume Data'!BE226*'Equity Price Data'!BH227</f>
        <v>9396</v>
      </c>
      <c r="BC226" s="30">
        <f>'Equity Volume Data'!BF226*'Equity Price Data'!BI227</f>
        <v>10272.96</v>
      </c>
      <c r="BD226" s="30">
        <f>'Equity Volume Data'!BG226*'Equity Price Data'!BJ227</f>
        <v>52847.43</v>
      </c>
      <c r="BE226" s="30">
        <f>'Equity Volume Data'!BH226*'Equity Price Data'!BK227</f>
        <v>10071.93</v>
      </c>
      <c r="BF226" s="30">
        <f>'Equity Volume Data'!BI226*'Equity Price Data'!BL227</f>
        <v>6345.2</v>
      </c>
      <c r="BG226" s="30">
        <f>'Equity Volume Data'!BJ226*'Equity Price Data'!BM227</f>
        <v>18812.26</v>
      </c>
      <c r="BH226" s="30">
        <f>'Equity Volume Data'!BK226*'Equity Price Data'!BN227</f>
        <v>0</v>
      </c>
      <c r="BI226" s="30">
        <f>'Equity Volume Data'!BL226*'Equity Price Data'!BO227</f>
        <v>34121.6</v>
      </c>
      <c r="BJ226" s="30">
        <f>'Equity Volume Data'!BM226*'Equity Price Data'!BP227</f>
        <v>39378.75</v>
      </c>
      <c r="BK226" s="30">
        <f>'Equity Volume Data'!BN226*'Equity Price Data'!BQ227</f>
        <v>89937.82</v>
      </c>
      <c r="BL226" s="30">
        <f>'Equity Volume Data'!BO226*'Equity Price Data'!BR227</f>
        <v>358.14</v>
      </c>
      <c r="BM226" s="30">
        <f>'Equity Volume Data'!BP226*'Equity Price Data'!BS227</f>
        <v>10809.6</v>
      </c>
      <c r="BN226" s="30">
        <f>'Equity Volume Data'!BQ226*'Equity Price Data'!BT227</f>
        <v>15703.64</v>
      </c>
      <c r="BO226" s="30">
        <f>'Equity Volume Data'!BR226*'Equity Price Data'!BU227</f>
        <v>24411</v>
      </c>
    </row>
    <row r="227">
      <c r="A227" s="25">
        <f>'Equity Price Data'!A228</f>
        <v>45754.66667</v>
      </c>
      <c r="B227" s="29">
        <f t="shared" si="1"/>
        <v>1197312.48</v>
      </c>
      <c r="C227" s="30">
        <f>'Equity Volume Data'!F227*'Equity Price Data'!I228</f>
        <v>4429.1</v>
      </c>
      <c r="D227" s="30">
        <f>'Equity Volume Data'!G227*'Equity Price Data'!J228</f>
        <v>45567.6</v>
      </c>
      <c r="E227" s="30">
        <f>'Equity Volume Data'!H227*'Equity Price Data'!K228</f>
        <v>15659.6</v>
      </c>
      <c r="F227" s="30">
        <f>'Equity Volume Data'!I227*'Equity Price Data'!L228</f>
        <v>46453.76</v>
      </c>
      <c r="G227" s="30">
        <f>'Equity Volume Data'!J227*'Equity Price Data'!M228</f>
        <v>11026.55</v>
      </c>
      <c r="H227" s="30">
        <f>'Equity Volume Data'!K227*'Equity Price Data'!N228</f>
        <v>13928.92</v>
      </c>
      <c r="I227" s="30">
        <f>'Equity Volume Data'!L227*'Equity Price Data'!O228</f>
        <v>12780</v>
      </c>
      <c r="J227" s="30">
        <f>'Equity Volume Data'!M227*'Equity Price Data'!P228</f>
        <v>50018.76</v>
      </c>
      <c r="K227" s="30">
        <f>'Equity Volume Data'!N227*'Equity Price Data'!Q228</f>
        <v>8464</v>
      </c>
      <c r="L227" s="30">
        <f>'Equity Volume Data'!O227*'Equity Price Data'!R228</f>
        <v>14421.99</v>
      </c>
      <c r="M227" s="30">
        <f>'Equity Volume Data'!P227*'Equity Price Data'!S228</f>
        <v>0</v>
      </c>
      <c r="N227" s="30">
        <f>'Equity Volume Data'!Q227*'Equity Price Data'!T228</f>
        <v>4546.4</v>
      </c>
      <c r="O227" s="30">
        <f>'Equity Volume Data'!R227*'Equity Price Data'!U228</f>
        <v>42009</v>
      </c>
      <c r="P227" s="30">
        <f>'Equity Volume Data'!S227*'Equity Price Data'!V228</f>
        <v>15495.72</v>
      </c>
      <c r="Q227" s="30">
        <f>'Equity Volume Data'!T227*'Equity Price Data'!W228</f>
        <v>25651.2</v>
      </c>
      <c r="R227" s="30">
        <f>'Equity Volume Data'!U227*'Equity Price Data'!X228</f>
        <v>11212</v>
      </c>
      <c r="S227" s="30">
        <f>'Equity Volume Data'!V227*'Equity Price Data'!Y228</f>
        <v>27754.32</v>
      </c>
      <c r="T227" s="30">
        <f>'Equity Volume Data'!W227*'Equity Price Data'!Z228</f>
        <v>8710</v>
      </c>
      <c r="U227" s="30">
        <f>'Equity Volume Data'!X227*'Equity Price Data'!AA228</f>
        <v>18049.68</v>
      </c>
      <c r="V227" s="30">
        <f>'Equity Volume Data'!Y227*'Equity Price Data'!AB228</f>
        <v>16969.4</v>
      </c>
      <c r="W227" s="30">
        <f>'Equity Volume Data'!Z227*'Equity Price Data'!AC228</f>
        <v>9430.23</v>
      </c>
      <c r="X227" s="30">
        <f>'Equity Volume Data'!AA227*'Equity Price Data'!AD228</f>
        <v>0</v>
      </c>
      <c r="Y227" s="30">
        <f>'Equity Volume Data'!AB227*'Equity Price Data'!AE228</f>
        <v>5675.41</v>
      </c>
      <c r="Z227" s="30">
        <f>'Equity Volume Data'!AC227*'Equity Price Data'!AF228</f>
        <v>9178.5</v>
      </c>
      <c r="AA227" s="30">
        <f>'Equity Volume Data'!AD227*'Equity Price Data'!AG228</f>
        <v>17499.8</v>
      </c>
      <c r="AB227" s="30">
        <f>'Equity Volume Data'!AE227*'Equity Price Data'!AH228</f>
        <v>12313.8</v>
      </c>
      <c r="AC227" s="30">
        <f>'Equity Volume Data'!AF227*'Equity Price Data'!AI228</f>
        <v>15948</v>
      </c>
      <c r="AD227" s="30">
        <f>'Equity Volume Data'!AG227*'Equity Price Data'!AJ228</f>
        <v>11145.6</v>
      </c>
      <c r="AE227" s="30">
        <f>'Equity Volume Data'!AH227*'Equity Price Data'!AK228</f>
        <v>0</v>
      </c>
      <c r="AF227" s="30">
        <f>'Equity Volume Data'!AI227*'Equity Price Data'!AL228</f>
        <v>21631.6</v>
      </c>
      <c r="AG227" s="30">
        <f>'Equity Volume Data'!AJ227*'Equity Price Data'!AM228</f>
        <v>27930.6</v>
      </c>
      <c r="AH227" s="30">
        <f>'Equity Volume Data'!AK227*'Equity Price Data'!AN228</f>
        <v>34151</v>
      </c>
      <c r="AI227" s="30">
        <f>'Equity Volume Data'!AL227*'Equity Price Data'!AO228</f>
        <v>23919</v>
      </c>
      <c r="AJ227" s="30">
        <f>'Equity Volume Data'!AM227*'Equity Price Data'!AP228</f>
        <v>20104.5</v>
      </c>
      <c r="AK227" s="30">
        <f>'Equity Volume Data'!AN227*'Equity Price Data'!AQ228</f>
        <v>21790.14</v>
      </c>
      <c r="AL227" s="30">
        <f>'Equity Volume Data'!AO227*'Equity Price Data'!AR228</f>
        <v>34310.4</v>
      </c>
      <c r="AM227" s="30">
        <f>'Equity Volume Data'!AP227*'Equity Price Data'!AS228</f>
        <v>30157.4</v>
      </c>
      <c r="AN227" s="30">
        <f>'Equity Volume Data'!AQ227*'Equity Price Data'!AT228</f>
        <v>0</v>
      </c>
      <c r="AO227" s="30">
        <f>'Equity Volume Data'!AR227*'Equity Price Data'!AU228</f>
        <v>23408.14</v>
      </c>
      <c r="AP227" s="30">
        <f>'Equity Volume Data'!AS227*'Equity Price Data'!AV228</f>
        <v>20787.5</v>
      </c>
      <c r="AQ227" s="30">
        <f>'Equity Volume Data'!AT227*'Equity Price Data'!AW228</f>
        <v>15254.8</v>
      </c>
      <c r="AR227" s="30">
        <f>'Equity Volume Data'!AU227*'Equity Price Data'!AX228</f>
        <v>10147.77</v>
      </c>
      <c r="AS227" s="30">
        <f>'Equity Volume Data'!AV227*'Equity Price Data'!AY228</f>
        <v>42943.2</v>
      </c>
      <c r="AT227" s="30">
        <f>'Equity Volume Data'!AW227*'Equity Price Data'!AZ228</f>
        <v>13012</v>
      </c>
      <c r="AU227" s="30">
        <f>'Equity Volume Data'!AX227*'Equity Price Data'!BA228</f>
        <v>0</v>
      </c>
      <c r="AV227" s="30">
        <f>'Equity Volume Data'!AY227*'Equity Price Data'!BB228</f>
        <v>13864.88</v>
      </c>
      <c r="AW227" s="30">
        <f>'Equity Volume Data'!AZ227*'Equity Price Data'!BC228</f>
        <v>3678.4</v>
      </c>
      <c r="AX227" s="30">
        <f>'Equity Volume Data'!BA227*'Equity Price Data'!BD228</f>
        <v>0</v>
      </c>
      <c r="AY227" s="30">
        <f>'Equity Volume Data'!BB227*'Equity Price Data'!BE228</f>
        <v>31291.68</v>
      </c>
      <c r="AZ227" s="30">
        <f>'Equity Volume Data'!BC227*'Equity Price Data'!BF228</f>
        <v>8779.5</v>
      </c>
      <c r="BA227" s="30">
        <f>'Equity Volume Data'!BD227*'Equity Price Data'!BG228</f>
        <v>4299.7</v>
      </c>
      <c r="BB227" s="30">
        <f>'Equity Volume Data'!BE227*'Equity Price Data'!BH228</f>
        <v>9385.6</v>
      </c>
      <c r="BC227" s="30">
        <f>'Equity Volume Data'!BF227*'Equity Price Data'!BI228</f>
        <v>10299.2</v>
      </c>
      <c r="BD227" s="30">
        <f>'Equity Volume Data'!BG227*'Equity Price Data'!BJ228</f>
        <v>52540.71</v>
      </c>
      <c r="BE227" s="30">
        <f>'Equity Volume Data'!BH227*'Equity Price Data'!BK228</f>
        <v>10071.01</v>
      </c>
      <c r="BF227" s="30">
        <f>'Equity Volume Data'!BI227*'Equity Price Data'!BL228</f>
        <v>6413.6</v>
      </c>
      <c r="BG227" s="30">
        <f>'Equity Volume Data'!BJ227*'Equity Price Data'!BM228</f>
        <v>19223.7</v>
      </c>
      <c r="BH227" s="30">
        <f>'Equity Volume Data'!BK227*'Equity Price Data'!BN228</f>
        <v>0</v>
      </c>
      <c r="BI227" s="30">
        <f>'Equity Volume Data'!BL227*'Equity Price Data'!BO228</f>
        <v>33595.2</v>
      </c>
      <c r="BJ227" s="30">
        <f>'Equity Volume Data'!BM227*'Equity Price Data'!BP228</f>
        <v>39352.5</v>
      </c>
      <c r="BK227" s="30">
        <f>'Equity Volume Data'!BN227*'Equity Price Data'!BQ228</f>
        <v>89613.46</v>
      </c>
      <c r="BL227" s="30">
        <f>'Equity Volume Data'!BO227*'Equity Price Data'!BR228</f>
        <v>357.67</v>
      </c>
      <c r="BM227" s="30">
        <f>'Equity Volume Data'!BP227*'Equity Price Data'!BS228</f>
        <v>10586.88</v>
      </c>
      <c r="BN227" s="30">
        <f>'Equity Volume Data'!BQ227*'Equity Price Data'!BT228</f>
        <v>15660.4</v>
      </c>
      <c r="BO227" s="30">
        <f>'Equity Volume Data'!BR227*'Equity Price Data'!BU228</f>
        <v>24411</v>
      </c>
    </row>
    <row r="228">
      <c r="A228" s="25">
        <f>'Equity Price Data'!A229</f>
        <v>45755.66667</v>
      </c>
      <c r="B228" s="29">
        <f t="shared" si="1"/>
        <v>1189873.42</v>
      </c>
      <c r="C228" s="30">
        <f>'Equity Volume Data'!F228*'Equity Price Data'!I229</f>
        <v>4420</v>
      </c>
      <c r="D228" s="30">
        <f>'Equity Volume Data'!G228*'Equity Price Data'!J229</f>
        <v>44371.6</v>
      </c>
      <c r="E228" s="30">
        <f>'Equity Volume Data'!H228*'Equity Price Data'!K229</f>
        <v>15495.7</v>
      </c>
      <c r="F228" s="30">
        <f>'Equity Volume Data'!I228*'Equity Price Data'!L229</f>
        <v>44139.52</v>
      </c>
      <c r="G228" s="30">
        <f>'Equity Volume Data'!J228*'Equity Price Data'!M229</f>
        <v>10703.68</v>
      </c>
      <c r="H228" s="30">
        <f>'Equity Volume Data'!K228*'Equity Price Data'!N229</f>
        <v>13818</v>
      </c>
      <c r="I228" s="30">
        <f>'Equity Volume Data'!L228*'Equity Price Data'!O229</f>
        <v>12690</v>
      </c>
      <c r="J228" s="30">
        <f>'Equity Volume Data'!M228*'Equity Price Data'!P229</f>
        <v>50249.28</v>
      </c>
      <c r="K228" s="30">
        <f>'Equity Volume Data'!N228*'Equity Price Data'!Q229</f>
        <v>8044</v>
      </c>
      <c r="L228" s="30">
        <f>'Equity Volume Data'!O228*'Equity Price Data'!R229</f>
        <v>13800.05</v>
      </c>
      <c r="M228" s="30">
        <f>'Equity Volume Data'!P228*'Equity Price Data'!S229</f>
        <v>0</v>
      </c>
      <c r="N228" s="30">
        <f>'Equity Volume Data'!Q228*'Equity Price Data'!T229</f>
        <v>4444</v>
      </c>
      <c r="O228" s="30">
        <f>'Equity Volume Data'!R228*'Equity Price Data'!U229</f>
        <v>41091</v>
      </c>
      <c r="P228" s="30">
        <f>'Equity Volume Data'!S228*'Equity Price Data'!V229</f>
        <v>15295.56</v>
      </c>
      <c r="Q228" s="30">
        <f>'Equity Volume Data'!T228*'Equity Price Data'!W229</f>
        <v>24984</v>
      </c>
      <c r="R228" s="30">
        <f>'Equity Volume Data'!U228*'Equity Price Data'!X229</f>
        <v>10954.4</v>
      </c>
      <c r="S228" s="30">
        <f>'Equity Volume Data'!V228*'Equity Price Data'!Y229</f>
        <v>27617.92</v>
      </c>
      <c r="T228" s="30">
        <f>'Equity Volume Data'!W228*'Equity Price Data'!Z229</f>
        <v>8600</v>
      </c>
      <c r="U228" s="30">
        <f>'Equity Volume Data'!X228*'Equity Price Data'!AA229</f>
        <v>18062.88</v>
      </c>
      <c r="V228" s="30">
        <f>'Equity Volume Data'!Y228*'Equity Price Data'!AB229</f>
        <v>17074.05</v>
      </c>
      <c r="W228" s="30">
        <f>'Equity Volume Data'!Z228*'Equity Price Data'!AC229</f>
        <v>9391.59</v>
      </c>
      <c r="X228" s="30">
        <f>'Equity Volume Data'!AA228*'Equity Price Data'!AD229</f>
        <v>0</v>
      </c>
      <c r="Y228" s="30">
        <f>'Equity Volume Data'!AB228*'Equity Price Data'!AE229</f>
        <v>5599.36</v>
      </c>
      <c r="Z228" s="30">
        <f>'Equity Volume Data'!AC228*'Equity Price Data'!AF229</f>
        <v>8928</v>
      </c>
      <c r="AA228" s="30">
        <f>'Equity Volume Data'!AD228*'Equity Price Data'!AG229</f>
        <v>17130.9</v>
      </c>
      <c r="AB228" s="30">
        <f>'Equity Volume Data'!AE228*'Equity Price Data'!AH229</f>
        <v>11884.2</v>
      </c>
      <c r="AC228" s="30">
        <f>'Equity Volume Data'!AF228*'Equity Price Data'!AI229</f>
        <v>15914.4</v>
      </c>
      <c r="AD228" s="30">
        <f>'Equity Volume Data'!AG228*'Equity Price Data'!AJ229</f>
        <v>11448</v>
      </c>
      <c r="AE228" s="30">
        <f>'Equity Volume Data'!AH228*'Equity Price Data'!AK229</f>
        <v>0</v>
      </c>
      <c r="AF228" s="30">
        <f>'Equity Volume Data'!AI228*'Equity Price Data'!AL229</f>
        <v>21153.95</v>
      </c>
      <c r="AG228" s="30">
        <f>'Equity Volume Data'!AJ228*'Equity Price Data'!AM229</f>
        <v>27733.2</v>
      </c>
      <c r="AH228" s="30">
        <f>'Equity Volume Data'!AK228*'Equity Price Data'!AN229</f>
        <v>33524</v>
      </c>
      <c r="AI228" s="30">
        <f>'Equity Volume Data'!AL228*'Equity Price Data'!AO229</f>
        <v>23719.5</v>
      </c>
      <c r="AJ228" s="30">
        <f>'Equity Volume Data'!AM228*'Equity Price Data'!AP229</f>
        <v>19710.6</v>
      </c>
      <c r="AK228" s="30">
        <f>'Equity Volume Data'!AN228*'Equity Price Data'!AQ229</f>
        <v>21508.61</v>
      </c>
      <c r="AL228" s="30">
        <f>'Equity Volume Data'!AO228*'Equity Price Data'!AR229</f>
        <v>34699.2</v>
      </c>
      <c r="AM228" s="30">
        <f>'Equity Volume Data'!AP228*'Equity Price Data'!AS229</f>
        <v>31035.2</v>
      </c>
      <c r="AN228" s="30">
        <f>'Equity Volume Data'!AQ228*'Equity Price Data'!AT229</f>
        <v>0</v>
      </c>
      <c r="AO228" s="30">
        <f>'Equity Volume Data'!AR228*'Equity Price Data'!AU229</f>
        <v>22998.22</v>
      </c>
      <c r="AP228" s="30">
        <f>'Equity Volume Data'!AS228*'Equity Price Data'!AV229</f>
        <v>20470</v>
      </c>
      <c r="AQ228" s="30">
        <f>'Equity Volume Data'!AT228*'Equity Price Data'!AW229</f>
        <v>15052.4</v>
      </c>
      <c r="AR228" s="30">
        <f>'Equity Volume Data'!AU228*'Equity Price Data'!AX229</f>
        <v>9280.62</v>
      </c>
      <c r="AS228" s="30">
        <f>'Equity Volume Data'!AV228*'Equity Price Data'!AY229</f>
        <v>42547.2</v>
      </c>
      <c r="AT228" s="30">
        <f>'Equity Volume Data'!AW228*'Equity Price Data'!AZ229</f>
        <v>12822</v>
      </c>
      <c r="AU228" s="30">
        <f>'Equity Volume Data'!AX228*'Equity Price Data'!BA229</f>
        <v>0</v>
      </c>
      <c r="AV228" s="30">
        <f>'Equity Volume Data'!AY228*'Equity Price Data'!BB229</f>
        <v>13674.6</v>
      </c>
      <c r="AW228" s="30">
        <f>'Equity Volume Data'!AZ228*'Equity Price Data'!BC229</f>
        <v>3635.2</v>
      </c>
      <c r="AX228" s="30">
        <f>'Equity Volume Data'!BA228*'Equity Price Data'!BD229</f>
        <v>0</v>
      </c>
      <c r="AY228" s="30">
        <f>'Equity Volume Data'!BB228*'Equity Price Data'!BE229</f>
        <v>31082.64</v>
      </c>
      <c r="AZ228" s="30">
        <f>'Equity Volume Data'!BC228*'Equity Price Data'!BF229</f>
        <v>8611.5</v>
      </c>
      <c r="BA228" s="30">
        <f>'Equity Volume Data'!BD228*'Equity Price Data'!BG229</f>
        <v>4149.6</v>
      </c>
      <c r="BB228" s="30">
        <f>'Equity Volume Data'!BE228*'Equity Price Data'!BH229</f>
        <v>9636.8</v>
      </c>
      <c r="BC228" s="30">
        <f>'Equity Volume Data'!BF228*'Equity Price Data'!BI229</f>
        <v>10210.64</v>
      </c>
      <c r="BD228" s="30">
        <f>'Equity Volume Data'!BG228*'Equity Price Data'!BJ229</f>
        <v>52461.9</v>
      </c>
      <c r="BE228" s="30">
        <f>'Equity Volume Data'!BH228*'Equity Price Data'!BK229</f>
        <v>9644.13</v>
      </c>
      <c r="BF228" s="30">
        <f>'Equity Volume Data'!BI228*'Equity Price Data'!BL229</f>
        <v>6372.8</v>
      </c>
      <c r="BG228" s="30">
        <f>'Equity Volume Data'!BJ228*'Equity Price Data'!BM229</f>
        <v>18890.1</v>
      </c>
      <c r="BH228" s="30">
        <f>'Equity Volume Data'!BK228*'Equity Price Data'!BN229</f>
        <v>0</v>
      </c>
      <c r="BI228" s="30">
        <f>'Equity Volume Data'!BL228*'Equity Price Data'!BO229</f>
        <v>33323.2</v>
      </c>
      <c r="BJ228" s="30">
        <f>'Equity Volume Data'!BM228*'Equity Price Data'!BP229</f>
        <v>41481</v>
      </c>
      <c r="BK228" s="30">
        <f>'Equity Volume Data'!BN228*'Equity Price Data'!BQ229</f>
        <v>89811.68</v>
      </c>
      <c r="BL228" s="30">
        <f>'Equity Volume Data'!BO228*'Equity Price Data'!BR229</f>
        <v>345.92</v>
      </c>
      <c r="BM228" s="30">
        <f>'Equity Volume Data'!BP228*'Equity Price Data'!BS229</f>
        <v>10390.56</v>
      </c>
      <c r="BN228" s="30">
        <f>'Equity Volume Data'!BQ228*'Equity Price Data'!BT229</f>
        <v>15363.36</v>
      </c>
      <c r="BO228" s="30">
        <f>'Equity Volume Data'!BR228*'Equity Price Data'!BU229</f>
        <v>28381</v>
      </c>
    </row>
    <row r="229">
      <c r="A229" s="25">
        <f>'Equity Price Data'!A230</f>
        <v>45756.66667</v>
      </c>
      <c r="B229" s="29">
        <f t="shared" si="1"/>
        <v>1274340.66</v>
      </c>
      <c r="C229" s="30">
        <f>'Equity Volume Data'!F229*'Equity Price Data'!I230</f>
        <v>4740.32</v>
      </c>
      <c r="D229" s="30">
        <f>'Equity Volume Data'!G229*'Equity Price Data'!J230</f>
        <v>49686</v>
      </c>
      <c r="E229" s="30">
        <f>'Equity Volume Data'!H229*'Equity Price Data'!K230</f>
        <v>15290</v>
      </c>
      <c r="F229" s="30">
        <f>'Equity Volume Data'!I229*'Equity Price Data'!L230</f>
        <v>50905.6</v>
      </c>
      <c r="G229" s="30">
        <f>'Equity Volume Data'!J229*'Equity Price Data'!M230</f>
        <v>12427.59</v>
      </c>
      <c r="H229" s="30">
        <f>'Equity Volume Data'!K229*'Equity Price Data'!N230</f>
        <v>14917.8</v>
      </c>
      <c r="I229" s="30">
        <f>'Equity Volume Data'!L229*'Equity Price Data'!O230</f>
        <v>13960</v>
      </c>
      <c r="J229" s="30">
        <f>'Equity Volume Data'!M229*'Equity Price Data'!P230</f>
        <v>53183.82</v>
      </c>
      <c r="K229" s="30">
        <f>'Equity Volume Data'!N229*'Equity Price Data'!Q230</f>
        <v>8870</v>
      </c>
      <c r="L229" s="30">
        <f>'Equity Volume Data'!O229*'Equity Price Data'!R230</f>
        <v>14579.29</v>
      </c>
      <c r="M229" s="30">
        <f>'Equity Volume Data'!P229*'Equity Price Data'!S230</f>
        <v>0</v>
      </c>
      <c r="N229" s="30">
        <f>'Equity Volume Data'!Q229*'Equity Price Data'!T230</f>
        <v>4861.6</v>
      </c>
      <c r="O229" s="30">
        <f>'Equity Volume Data'!R229*'Equity Price Data'!U230</f>
        <v>45151.5</v>
      </c>
      <c r="P229" s="30">
        <f>'Equity Volume Data'!S229*'Equity Price Data'!V230</f>
        <v>16700.85</v>
      </c>
      <c r="Q229" s="30">
        <f>'Equity Volume Data'!T229*'Equity Price Data'!W230</f>
        <v>26329.2</v>
      </c>
      <c r="R229" s="30">
        <f>'Equity Volume Data'!U229*'Equity Price Data'!X230</f>
        <v>11682.4</v>
      </c>
      <c r="S229" s="30">
        <f>'Equity Volume Data'!V229*'Equity Price Data'!Y230</f>
        <v>28159.12</v>
      </c>
      <c r="T229" s="30">
        <f>'Equity Volume Data'!W229*'Equity Price Data'!Z230</f>
        <v>9367.5</v>
      </c>
      <c r="U229" s="30">
        <f>'Equity Volume Data'!X229*'Equity Price Data'!AA230</f>
        <v>18466.8</v>
      </c>
      <c r="V229" s="30">
        <f>'Equity Volume Data'!Y229*'Equity Price Data'!AB230</f>
        <v>17028.97</v>
      </c>
      <c r="W229" s="30">
        <f>'Equity Volume Data'!Z229*'Equity Price Data'!AC230</f>
        <v>10058.13</v>
      </c>
      <c r="X229" s="30">
        <f>'Equity Volume Data'!AA229*'Equity Price Data'!AD230</f>
        <v>0</v>
      </c>
      <c r="Y229" s="30">
        <f>'Equity Volume Data'!AB229*'Equity Price Data'!AE230</f>
        <v>5932.55</v>
      </c>
      <c r="Z229" s="30">
        <f>'Equity Volume Data'!AC229*'Equity Price Data'!AF230</f>
        <v>9294</v>
      </c>
      <c r="AA229" s="30">
        <f>'Equity Volume Data'!AD229*'Equity Price Data'!AG230</f>
        <v>17986</v>
      </c>
      <c r="AB229" s="30">
        <f>'Equity Volume Data'!AE229*'Equity Price Data'!AH230</f>
        <v>13076.4</v>
      </c>
      <c r="AC229" s="30">
        <f>'Equity Volume Data'!AF229*'Equity Price Data'!AI230</f>
        <v>17280</v>
      </c>
      <c r="AD229" s="30">
        <f>'Equity Volume Data'!AG229*'Equity Price Data'!AJ230</f>
        <v>12218.4</v>
      </c>
      <c r="AE229" s="30">
        <f>'Equity Volume Data'!AH229*'Equity Price Data'!AK230</f>
        <v>0</v>
      </c>
      <c r="AF229" s="30">
        <f>'Equity Volume Data'!AI229*'Equity Price Data'!AL230</f>
        <v>21576.25</v>
      </c>
      <c r="AG229" s="30">
        <f>'Equity Volume Data'!AJ229*'Equity Price Data'!AM230</f>
        <v>31012.2</v>
      </c>
      <c r="AH229" s="30">
        <f>'Equity Volume Data'!AK229*'Equity Price Data'!AN230</f>
        <v>35539</v>
      </c>
      <c r="AI229" s="30">
        <f>'Equity Volume Data'!AL229*'Equity Price Data'!AO230</f>
        <v>25219.25</v>
      </c>
      <c r="AJ229" s="30">
        <f>'Equity Volume Data'!AM229*'Equity Price Data'!AP230</f>
        <v>20385.3</v>
      </c>
      <c r="AK229" s="30">
        <f>'Equity Volume Data'!AN229*'Equity Price Data'!AQ230</f>
        <v>24578.65</v>
      </c>
      <c r="AL229" s="30">
        <f>'Equity Volume Data'!AO229*'Equity Price Data'!AR230</f>
        <v>37494.4</v>
      </c>
      <c r="AM229" s="30">
        <f>'Equity Volume Data'!AP229*'Equity Price Data'!AS230</f>
        <v>32356.8</v>
      </c>
      <c r="AN229" s="30">
        <f>'Equity Volume Data'!AQ229*'Equity Price Data'!AT230</f>
        <v>0</v>
      </c>
      <c r="AO229" s="30">
        <f>'Equity Volume Data'!AR229*'Equity Price Data'!AU230</f>
        <v>24885.56</v>
      </c>
      <c r="AP229" s="30">
        <f>'Equity Volume Data'!AS229*'Equity Price Data'!AV230</f>
        <v>21320</v>
      </c>
      <c r="AQ229" s="30">
        <f>'Equity Volume Data'!AT229*'Equity Price Data'!AW230</f>
        <v>16552.8</v>
      </c>
      <c r="AR229" s="30">
        <f>'Equity Volume Data'!AU229*'Equity Price Data'!AX230</f>
        <v>10071.63</v>
      </c>
      <c r="AS229" s="30">
        <f>'Equity Volume Data'!AV229*'Equity Price Data'!AY230</f>
        <v>46858.8</v>
      </c>
      <c r="AT229" s="30">
        <f>'Equity Volume Data'!AW229*'Equity Price Data'!AZ230</f>
        <v>13516</v>
      </c>
      <c r="AU229" s="30">
        <f>'Equity Volume Data'!AX229*'Equity Price Data'!BA230</f>
        <v>0</v>
      </c>
      <c r="AV229" s="30">
        <f>'Equity Volume Data'!AY229*'Equity Price Data'!BB230</f>
        <v>16234.86</v>
      </c>
      <c r="AW229" s="30">
        <f>'Equity Volume Data'!AZ229*'Equity Price Data'!BC230</f>
        <v>3771.2</v>
      </c>
      <c r="AX229" s="30">
        <f>'Equity Volume Data'!BA229*'Equity Price Data'!BD230</f>
        <v>0</v>
      </c>
      <c r="AY229" s="30">
        <f>'Equity Volume Data'!BB229*'Equity Price Data'!BE230</f>
        <v>36988.02</v>
      </c>
      <c r="AZ229" s="30">
        <f>'Equity Volume Data'!BC229*'Equity Price Data'!BF230</f>
        <v>9592.5</v>
      </c>
      <c r="BA229" s="30">
        <f>'Equity Volume Data'!BD229*'Equity Price Data'!BG230</f>
        <v>4273.1</v>
      </c>
      <c r="BB229" s="30">
        <f>'Equity Volume Data'!BE229*'Equity Price Data'!BH230</f>
        <v>10274.4</v>
      </c>
      <c r="BC229" s="30">
        <f>'Equity Volume Data'!BF229*'Equity Price Data'!BI230</f>
        <v>11519.36</v>
      </c>
      <c r="BD229" s="30">
        <f>'Equity Volume Data'!BG229*'Equity Price Data'!BJ230</f>
        <v>54293.7</v>
      </c>
      <c r="BE229" s="30">
        <f>'Equity Volume Data'!BH229*'Equity Price Data'!BK230</f>
        <v>10431.65</v>
      </c>
      <c r="BF229" s="30">
        <f>'Equity Volume Data'!BI229*'Equity Price Data'!BL230</f>
        <v>6965.6</v>
      </c>
      <c r="BG229" s="30">
        <f>'Equity Volume Data'!BJ229*'Equity Price Data'!BM230</f>
        <v>20963.98</v>
      </c>
      <c r="BH229" s="30">
        <f>'Equity Volume Data'!BK229*'Equity Price Data'!BN230</f>
        <v>0</v>
      </c>
      <c r="BI229" s="30">
        <f>'Equity Volume Data'!BL229*'Equity Price Data'!BO230</f>
        <v>35764.8</v>
      </c>
      <c r="BJ229" s="30">
        <f>'Equity Volume Data'!BM229*'Equity Price Data'!BP230</f>
        <v>43387.5</v>
      </c>
      <c r="BK229" s="30">
        <f>'Equity Volume Data'!BN229*'Equity Price Data'!BQ230</f>
        <v>89649.5</v>
      </c>
      <c r="BL229" s="30">
        <f>'Equity Volume Data'!BO229*'Equity Price Data'!BR230</f>
        <v>366.13</v>
      </c>
      <c r="BM229" s="30">
        <f>'Equity Volume Data'!BP229*'Equity Price Data'!BS230</f>
        <v>10772.16</v>
      </c>
      <c r="BN229" s="30">
        <f>'Equity Volume Data'!BQ229*'Equity Price Data'!BT230</f>
        <v>17190.72</v>
      </c>
      <c r="BO229" s="30">
        <f>'Equity Volume Data'!BR229*'Equity Price Data'!BU230</f>
        <v>28381</v>
      </c>
    </row>
    <row r="230">
      <c r="A230" s="25">
        <f>'Equity Price Data'!A231</f>
        <v>45757.66667</v>
      </c>
      <c r="B230" s="29">
        <f t="shared" si="1"/>
        <v>1245750.38</v>
      </c>
      <c r="C230" s="30">
        <f>'Equity Volume Data'!F230*'Equity Price Data'!I231</f>
        <v>4550.65</v>
      </c>
      <c r="D230" s="30">
        <f>'Equity Volume Data'!G230*'Equity Price Data'!J231</f>
        <v>47117.2</v>
      </c>
      <c r="E230" s="30">
        <f>'Equity Volume Data'!H230*'Equity Price Data'!K231</f>
        <v>15746.5</v>
      </c>
      <c r="F230" s="30">
        <f>'Equity Volume Data'!I230*'Equity Price Data'!L231</f>
        <v>48747.52</v>
      </c>
      <c r="G230" s="30">
        <f>'Equity Volume Data'!J230*'Equity Price Data'!M231</f>
        <v>11473.92</v>
      </c>
      <c r="H230" s="30">
        <f>'Equity Volume Data'!K230*'Equity Price Data'!N231</f>
        <v>14402.68</v>
      </c>
      <c r="I230" s="30">
        <f>'Equity Volume Data'!L230*'Equity Price Data'!O231</f>
        <v>13560</v>
      </c>
      <c r="J230" s="30">
        <f>'Equity Volume Data'!M230*'Equity Price Data'!P231</f>
        <v>52612.62</v>
      </c>
      <c r="K230" s="30">
        <f>'Equity Volume Data'!N230*'Equity Price Data'!Q231</f>
        <v>8698</v>
      </c>
      <c r="L230" s="30">
        <f>'Equity Volume Data'!O230*'Equity Price Data'!R231</f>
        <v>13718.98</v>
      </c>
      <c r="M230" s="30">
        <f>'Equity Volume Data'!P230*'Equity Price Data'!S231</f>
        <v>0</v>
      </c>
      <c r="N230" s="30">
        <f>'Equity Volume Data'!Q230*'Equity Price Data'!T231</f>
        <v>4724</v>
      </c>
      <c r="O230" s="30">
        <f>'Equity Volume Data'!R230*'Equity Price Data'!U231</f>
        <v>43374</v>
      </c>
      <c r="P230" s="30">
        <f>'Equity Volume Data'!S230*'Equity Price Data'!V231</f>
        <v>16129.56</v>
      </c>
      <c r="Q230" s="30">
        <f>'Equity Volume Data'!T230*'Equity Price Data'!W231</f>
        <v>25653.6</v>
      </c>
      <c r="R230" s="30">
        <f>'Equity Volume Data'!U230*'Equity Price Data'!X231</f>
        <v>10798.4</v>
      </c>
      <c r="S230" s="30">
        <f>'Equity Volume Data'!V230*'Equity Price Data'!Y231</f>
        <v>28799.76</v>
      </c>
      <c r="T230" s="30">
        <f>'Equity Volume Data'!W230*'Equity Price Data'!Z231</f>
        <v>8697.5</v>
      </c>
      <c r="U230" s="30">
        <f>'Equity Volume Data'!X230*'Equity Price Data'!AA231</f>
        <v>18680.64</v>
      </c>
      <c r="V230" s="30">
        <f>'Equity Volume Data'!Y230*'Equity Price Data'!AB231</f>
        <v>17436.3</v>
      </c>
      <c r="W230" s="30">
        <f>'Equity Volume Data'!Z230*'Equity Price Data'!AC231</f>
        <v>9818.01</v>
      </c>
      <c r="X230" s="30">
        <f>'Equity Volume Data'!AA230*'Equity Price Data'!AD231</f>
        <v>0</v>
      </c>
      <c r="Y230" s="30">
        <f>'Equity Volume Data'!AB230*'Equity Price Data'!AE231</f>
        <v>5889.65</v>
      </c>
      <c r="Z230" s="30">
        <f>'Equity Volume Data'!AC230*'Equity Price Data'!AF231</f>
        <v>9370.5</v>
      </c>
      <c r="AA230" s="30">
        <f>'Equity Volume Data'!AD230*'Equity Price Data'!AG231</f>
        <v>16988.1</v>
      </c>
      <c r="AB230" s="30">
        <f>'Equity Volume Data'!AE230*'Equity Price Data'!AH231</f>
        <v>12384</v>
      </c>
      <c r="AC230" s="30">
        <f>'Equity Volume Data'!AF230*'Equity Price Data'!AI231</f>
        <v>16952.4</v>
      </c>
      <c r="AD230" s="30">
        <f>'Equity Volume Data'!AG230*'Equity Price Data'!AJ231</f>
        <v>12231.9</v>
      </c>
      <c r="AE230" s="30">
        <f>'Equity Volume Data'!AH230*'Equity Price Data'!AK231</f>
        <v>0</v>
      </c>
      <c r="AF230" s="30">
        <f>'Equity Volume Data'!AI230*'Equity Price Data'!AL231</f>
        <v>20787</v>
      </c>
      <c r="AG230" s="30">
        <f>'Equity Volume Data'!AJ230*'Equity Price Data'!AM231</f>
        <v>29388</v>
      </c>
      <c r="AH230" s="30">
        <f>'Equity Volume Data'!AK230*'Equity Price Data'!AN231</f>
        <v>35362</v>
      </c>
      <c r="AI230" s="30">
        <f>'Equity Volume Data'!AL230*'Equity Price Data'!AO231</f>
        <v>24995.25</v>
      </c>
      <c r="AJ230" s="30">
        <f>'Equity Volume Data'!AM230*'Equity Price Data'!AP231</f>
        <v>20174.7</v>
      </c>
      <c r="AK230" s="30">
        <f>'Equity Volume Data'!AN230*'Equity Price Data'!AQ231</f>
        <v>23007.44</v>
      </c>
      <c r="AL230" s="30">
        <f>'Equity Volume Data'!AO230*'Equity Price Data'!AR231</f>
        <v>36337.6</v>
      </c>
      <c r="AM230" s="30">
        <f>'Equity Volume Data'!AP230*'Equity Price Data'!AS231</f>
        <v>32459</v>
      </c>
      <c r="AN230" s="30">
        <f>'Equity Volume Data'!AQ230*'Equity Price Data'!AT231</f>
        <v>0</v>
      </c>
      <c r="AO230" s="30">
        <f>'Equity Volume Data'!AR230*'Equity Price Data'!AU231</f>
        <v>23314.2</v>
      </c>
      <c r="AP230" s="30">
        <f>'Equity Volume Data'!AS230*'Equity Price Data'!AV231</f>
        <v>20635</v>
      </c>
      <c r="AQ230" s="30">
        <f>'Equity Volume Data'!AT230*'Equity Price Data'!AW231</f>
        <v>15644.2</v>
      </c>
      <c r="AR230" s="30">
        <f>'Equity Volume Data'!AU230*'Equity Price Data'!AX231</f>
        <v>9957.42</v>
      </c>
      <c r="AS230" s="30">
        <f>'Equity Volume Data'!AV230*'Equity Price Data'!AY231</f>
        <v>45762</v>
      </c>
      <c r="AT230" s="30">
        <f>'Equity Volume Data'!AW230*'Equity Price Data'!AZ231</f>
        <v>13344</v>
      </c>
      <c r="AU230" s="30">
        <f>'Equity Volume Data'!AX230*'Equity Price Data'!BA231</f>
        <v>0</v>
      </c>
      <c r="AV230" s="30">
        <f>'Equity Volume Data'!AY230*'Equity Price Data'!BB231</f>
        <v>15274.94</v>
      </c>
      <c r="AW230" s="30">
        <f>'Equity Volume Data'!AZ230*'Equity Price Data'!BC231</f>
        <v>3772.8</v>
      </c>
      <c r="AX230" s="30">
        <f>'Equity Volume Data'!BA230*'Equity Price Data'!BD231</f>
        <v>0</v>
      </c>
      <c r="AY230" s="30">
        <f>'Equity Volume Data'!BB230*'Equity Price Data'!BE231</f>
        <v>35613.18</v>
      </c>
      <c r="AZ230" s="30">
        <f>'Equity Volume Data'!BC230*'Equity Price Data'!BF231</f>
        <v>9084</v>
      </c>
      <c r="BA230" s="30">
        <f>'Equity Volume Data'!BD230*'Equity Price Data'!BG231</f>
        <v>4102.1</v>
      </c>
      <c r="BB230" s="30">
        <f>'Equity Volume Data'!BE230*'Equity Price Data'!BH231</f>
        <v>10165.6</v>
      </c>
      <c r="BC230" s="30">
        <f>'Equity Volume Data'!BF230*'Equity Price Data'!BI231</f>
        <v>11043.76</v>
      </c>
      <c r="BD230" s="30">
        <f>'Equity Volume Data'!BG230*'Equity Price Data'!BJ231</f>
        <v>54553.56</v>
      </c>
      <c r="BE230" s="30">
        <f>'Equity Volume Data'!BH230*'Equity Price Data'!BK231</f>
        <v>9831.12</v>
      </c>
      <c r="BF230" s="30">
        <f>'Equity Volume Data'!BI230*'Equity Price Data'!BL231</f>
        <v>6688.8</v>
      </c>
      <c r="BG230" s="30">
        <f>'Equity Volume Data'!BJ230*'Equity Price Data'!BM231</f>
        <v>21230.86</v>
      </c>
      <c r="BH230" s="30">
        <f>'Equity Volume Data'!BK230*'Equity Price Data'!BN231</f>
        <v>0</v>
      </c>
      <c r="BI230" s="30">
        <f>'Equity Volume Data'!BL230*'Equity Price Data'!BO231</f>
        <v>35091.2</v>
      </c>
      <c r="BJ230" s="30">
        <f>'Equity Volume Data'!BM230*'Equity Price Data'!BP231</f>
        <v>44580</v>
      </c>
      <c r="BK230" s="30">
        <f>'Equity Volume Data'!BN230*'Equity Price Data'!BQ231</f>
        <v>89379.2</v>
      </c>
      <c r="BL230" s="30">
        <f>'Equity Volume Data'!BO230*'Equity Price Data'!BR231</f>
        <v>341.22</v>
      </c>
      <c r="BM230" s="30">
        <f>'Equity Volume Data'!BP230*'Equity Price Data'!BS231</f>
        <v>10869.6</v>
      </c>
      <c r="BN230" s="30">
        <f>'Equity Volume Data'!BQ230*'Equity Price Data'!BT231</f>
        <v>16023.24</v>
      </c>
      <c r="BO230" s="30">
        <f>'Equity Volume Data'!BR230*'Equity Price Data'!BU231</f>
        <v>28381</v>
      </c>
    </row>
    <row r="231">
      <c r="A231" s="25">
        <f>'Equity Price Data'!A232</f>
        <v>45758.66667</v>
      </c>
      <c r="B231" s="29">
        <f t="shared" si="1"/>
        <v>1264526.06</v>
      </c>
      <c r="C231" s="30">
        <f>'Equity Volume Data'!F231*'Equity Price Data'!I232</f>
        <v>4582.11</v>
      </c>
      <c r="D231" s="30">
        <f>'Equity Volume Data'!G231*'Equity Price Data'!J232</f>
        <v>48066.2</v>
      </c>
      <c r="E231" s="30">
        <f>'Equity Volume Data'!H231*'Equity Price Data'!K232</f>
        <v>16069.9</v>
      </c>
      <c r="F231" s="30">
        <f>'Equity Volume Data'!I231*'Equity Price Data'!L232</f>
        <v>50726.4</v>
      </c>
      <c r="G231" s="30">
        <f>'Equity Volume Data'!J231*'Equity Price Data'!M232</f>
        <v>12030.02</v>
      </c>
      <c r="H231" s="30">
        <f>'Equity Volume Data'!K231*'Equity Price Data'!N232</f>
        <v>14601.96</v>
      </c>
      <c r="I231" s="30">
        <f>'Equity Volume Data'!L231*'Equity Price Data'!O232</f>
        <v>13940</v>
      </c>
      <c r="J231" s="30">
        <f>'Equity Volume Data'!M231*'Equity Price Data'!P232</f>
        <v>53459.22</v>
      </c>
      <c r="K231" s="30">
        <f>'Equity Volume Data'!N231*'Equity Price Data'!Q232</f>
        <v>9050</v>
      </c>
      <c r="L231" s="30">
        <f>'Equity Volume Data'!O231*'Equity Price Data'!R232</f>
        <v>13935.57</v>
      </c>
      <c r="M231" s="30">
        <f>'Equity Volume Data'!P231*'Equity Price Data'!S232</f>
        <v>0</v>
      </c>
      <c r="N231" s="30">
        <f>'Equity Volume Data'!Q231*'Equity Price Data'!T232</f>
        <v>4740.8</v>
      </c>
      <c r="O231" s="30">
        <f>'Equity Volume Data'!R231*'Equity Price Data'!U232</f>
        <v>44017.5</v>
      </c>
      <c r="P231" s="30">
        <f>'Equity Volume Data'!S231*'Equity Price Data'!V232</f>
        <v>17030.28</v>
      </c>
      <c r="Q231" s="30">
        <f>'Equity Volume Data'!T231*'Equity Price Data'!W232</f>
        <v>26125.2</v>
      </c>
      <c r="R231" s="30">
        <f>'Equity Volume Data'!U231*'Equity Price Data'!X232</f>
        <v>10850.4</v>
      </c>
      <c r="S231" s="30">
        <f>'Equity Volume Data'!V231*'Equity Price Data'!Y232</f>
        <v>29056.72</v>
      </c>
      <c r="T231" s="30">
        <f>'Equity Volume Data'!W231*'Equity Price Data'!Z232</f>
        <v>8705</v>
      </c>
      <c r="U231" s="30">
        <f>'Equity Volume Data'!X231*'Equity Price Data'!AA232</f>
        <v>18857.52</v>
      </c>
      <c r="V231" s="30">
        <f>'Equity Volume Data'!Y231*'Equity Price Data'!AB232</f>
        <v>17684.24</v>
      </c>
      <c r="W231" s="30">
        <f>'Equity Volume Data'!Z231*'Equity Price Data'!AC232</f>
        <v>10011.21</v>
      </c>
      <c r="X231" s="30">
        <f>'Equity Volume Data'!AA231*'Equity Price Data'!AD232</f>
        <v>0</v>
      </c>
      <c r="Y231" s="30">
        <f>'Equity Volume Data'!AB231*'Equity Price Data'!AE232</f>
        <v>6008.21</v>
      </c>
      <c r="Z231" s="30">
        <f>'Equity Volume Data'!AC231*'Equity Price Data'!AF232</f>
        <v>9687</v>
      </c>
      <c r="AA231" s="30">
        <f>'Equity Volume Data'!AD231*'Equity Price Data'!AG232</f>
        <v>17533.8</v>
      </c>
      <c r="AB231" s="30">
        <f>'Equity Volume Data'!AE231*'Equity Price Data'!AH232</f>
        <v>12466.2</v>
      </c>
      <c r="AC231" s="30">
        <f>'Equity Volume Data'!AF231*'Equity Price Data'!AI232</f>
        <v>17143.2</v>
      </c>
      <c r="AD231" s="30">
        <f>'Equity Volume Data'!AG231*'Equity Price Data'!AJ232</f>
        <v>12449.25</v>
      </c>
      <c r="AE231" s="30">
        <f>'Equity Volume Data'!AH231*'Equity Price Data'!AK232</f>
        <v>0</v>
      </c>
      <c r="AF231" s="30">
        <f>'Equity Volume Data'!AI231*'Equity Price Data'!AL232</f>
        <v>21244.15</v>
      </c>
      <c r="AG231" s="30">
        <f>'Equity Volume Data'!AJ231*'Equity Price Data'!AM232</f>
        <v>29666.4</v>
      </c>
      <c r="AH231" s="30">
        <f>'Equity Volume Data'!AK231*'Equity Price Data'!AN232</f>
        <v>35386</v>
      </c>
      <c r="AI231" s="30">
        <f>'Equity Volume Data'!AL231*'Equity Price Data'!AO232</f>
        <v>25072.25</v>
      </c>
      <c r="AJ231" s="30">
        <f>'Equity Volume Data'!AM231*'Equity Price Data'!AP232</f>
        <v>20268.3</v>
      </c>
      <c r="AK231" s="30">
        <f>'Equity Volume Data'!AN231*'Equity Price Data'!AQ232</f>
        <v>23199.2</v>
      </c>
      <c r="AL231" s="30">
        <f>'Equity Volume Data'!AO231*'Equity Price Data'!AR232</f>
        <v>37792</v>
      </c>
      <c r="AM231" s="30">
        <f>'Equity Volume Data'!AP231*'Equity Price Data'!AS232</f>
        <v>33243</v>
      </c>
      <c r="AN231" s="30">
        <f>'Equity Volume Data'!AQ231*'Equity Price Data'!AT232</f>
        <v>0</v>
      </c>
      <c r="AO231" s="30">
        <f>'Equity Volume Data'!AR231*'Equity Price Data'!AU232</f>
        <v>23946.16</v>
      </c>
      <c r="AP231" s="30">
        <f>'Equity Volume Data'!AS231*'Equity Price Data'!AV232</f>
        <v>20725</v>
      </c>
      <c r="AQ231" s="30">
        <f>'Equity Volume Data'!AT231*'Equity Price Data'!AW232</f>
        <v>15708</v>
      </c>
      <c r="AR231" s="30">
        <f>'Equity Volume Data'!AU231*'Equity Price Data'!AX232</f>
        <v>9593.64</v>
      </c>
      <c r="AS231" s="30">
        <f>'Equity Volume Data'!AV231*'Equity Price Data'!AY232</f>
        <v>46614</v>
      </c>
      <c r="AT231" s="30">
        <f>'Equity Volume Data'!AW231*'Equity Price Data'!AZ232</f>
        <v>13162</v>
      </c>
      <c r="AU231" s="30">
        <f>'Equity Volume Data'!AX231*'Equity Price Data'!BA232</f>
        <v>0</v>
      </c>
      <c r="AV231" s="30">
        <f>'Equity Volume Data'!AY231*'Equity Price Data'!BB232</f>
        <v>15752.06</v>
      </c>
      <c r="AW231" s="30">
        <f>'Equity Volume Data'!AZ231*'Equity Price Data'!BC232</f>
        <v>3883.6</v>
      </c>
      <c r="AX231" s="30">
        <f>'Equity Volume Data'!BA231*'Equity Price Data'!BD232</f>
        <v>0</v>
      </c>
      <c r="AY231" s="30">
        <f>'Equity Volume Data'!BB231*'Equity Price Data'!BE232</f>
        <v>35597.1</v>
      </c>
      <c r="AZ231" s="30">
        <f>'Equity Volume Data'!BC231*'Equity Price Data'!BF232</f>
        <v>9388.5</v>
      </c>
      <c r="BA231" s="30">
        <f>'Equity Volume Data'!BD231*'Equity Price Data'!BG232</f>
        <v>4162.9</v>
      </c>
      <c r="BB231" s="30">
        <f>'Equity Volume Data'!BE231*'Equity Price Data'!BH232</f>
        <v>10260.8</v>
      </c>
      <c r="BC231" s="30">
        <f>'Equity Volume Data'!BF231*'Equity Price Data'!BI232</f>
        <v>11716.16</v>
      </c>
      <c r="BD231" s="30">
        <f>'Equity Volume Data'!BG231*'Equity Price Data'!BJ232</f>
        <v>55096.71</v>
      </c>
      <c r="BE231" s="30">
        <f>'Equity Volume Data'!BH231*'Equity Price Data'!BK232</f>
        <v>10077.45</v>
      </c>
      <c r="BF231" s="30">
        <f>'Equity Volume Data'!BI231*'Equity Price Data'!BL232</f>
        <v>6776.8</v>
      </c>
      <c r="BG231" s="30">
        <f>'Equity Volume Data'!BJ231*'Equity Price Data'!BM232</f>
        <v>22401.24</v>
      </c>
      <c r="BH231" s="30">
        <f>'Equity Volume Data'!BK231*'Equity Price Data'!BN232</f>
        <v>0</v>
      </c>
      <c r="BI231" s="30">
        <f>'Equity Volume Data'!BL231*'Equity Price Data'!BO232</f>
        <v>34974.4</v>
      </c>
      <c r="BJ231" s="30">
        <f>'Equity Volume Data'!BM231*'Equity Price Data'!BP232</f>
        <v>44960.25</v>
      </c>
      <c r="BK231" s="30">
        <f>'Equity Volume Data'!BN231*'Equity Price Data'!BQ232</f>
        <v>89325.14</v>
      </c>
      <c r="BL231" s="30">
        <f>'Equity Volume Data'!BO231*'Equity Price Data'!BR232</f>
        <v>354.38</v>
      </c>
      <c r="BM231" s="30">
        <f>'Equity Volume Data'!BP231*'Equity Price Data'!BS232</f>
        <v>11010.24</v>
      </c>
      <c r="BN231" s="30">
        <f>'Equity Volume Data'!BQ231*'Equity Price Data'!BT232</f>
        <v>15959.32</v>
      </c>
      <c r="BO231" s="30">
        <f>'Equity Volume Data'!BR231*'Equity Price Data'!BU232</f>
        <v>28381</v>
      </c>
    </row>
    <row r="232">
      <c r="A232" s="25">
        <f>'Equity Price Data'!A233</f>
        <v>45761.66667</v>
      </c>
      <c r="B232" s="29">
        <f t="shared" si="1"/>
        <v>1279701.7</v>
      </c>
      <c r="C232" s="30">
        <f>'Equity Volume Data'!F232*'Equity Price Data'!I233</f>
        <v>4561.83</v>
      </c>
      <c r="D232" s="30">
        <f>'Equity Volume Data'!G232*'Equity Price Data'!J233</f>
        <v>47351.2</v>
      </c>
      <c r="E232" s="30">
        <f>'Equity Volume Data'!H232*'Equity Price Data'!K233</f>
        <v>16371.3</v>
      </c>
      <c r="F232" s="30">
        <f>'Equity Volume Data'!I232*'Equity Price Data'!L233</f>
        <v>51845.12</v>
      </c>
      <c r="G232" s="30">
        <f>'Equity Volume Data'!J232*'Equity Price Data'!M233</f>
        <v>11995.99</v>
      </c>
      <c r="H232" s="30">
        <f>'Equity Volume Data'!K232*'Equity Price Data'!N233</f>
        <v>14573.76</v>
      </c>
      <c r="I232" s="30">
        <f>'Equity Volume Data'!L232*'Equity Price Data'!O233</f>
        <v>14270</v>
      </c>
      <c r="J232" s="30">
        <f>'Equity Volume Data'!M232*'Equity Price Data'!P233</f>
        <v>54011.04</v>
      </c>
      <c r="K232" s="30">
        <f>'Equity Volume Data'!N232*'Equity Price Data'!Q233</f>
        <v>9258</v>
      </c>
      <c r="L232" s="30">
        <f>'Equity Volume Data'!O232*'Equity Price Data'!R233</f>
        <v>14430.46</v>
      </c>
      <c r="M232" s="30">
        <f>'Equity Volume Data'!P232*'Equity Price Data'!S233</f>
        <v>0</v>
      </c>
      <c r="N232" s="30">
        <f>'Equity Volume Data'!Q232*'Equity Price Data'!T233</f>
        <v>4847.2</v>
      </c>
      <c r="O232" s="30">
        <f>'Equity Volume Data'!R232*'Equity Price Data'!U233</f>
        <v>44718</v>
      </c>
      <c r="P232" s="30">
        <f>'Equity Volume Data'!S232*'Equity Price Data'!V233</f>
        <v>17226.27</v>
      </c>
      <c r="Q232" s="30">
        <f>'Equity Volume Data'!T232*'Equity Price Data'!W233</f>
        <v>26412</v>
      </c>
      <c r="R232" s="30">
        <f>'Equity Volume Data'!U232*'Equity Price Data'!X233</f>
        <v>10825.6</v>
      </c>
      <c r="S232" s="30">
        <f>'Equity Volume Data'!V232*'Equity Price Data'!Y233</f>
        <v>28969.6</v>
      </c>
      <c r="T232" s="30">
        <f>'Equity Volume Data'!W232*'Equity Price Data'!Z233</f>
        <v>8897.5</v>
      </c>
      <c r="U232" s="30">
        <f>'Equity Volume Data'!X232*'Equity Price Data'!AA233</f>
        <v>19126.8</v>
      </c>
      <c r="V232" s="30">
        <f>'Equity Volume Data'!Y232*'Equity Price Data'!AB233</f>
        <v>18072.25</v>
      </c>
      <c r="W232" s="30">
        <f>'Equity Volume Data'!Z232*'Equity Price Data'!AC233</f>
        <v>10095.39</v>
      </c>
      <c r="X232" s="30">
        <f>'Equity Volume Data'!AA232*'Equity Price Data'!AD233</f>
        <v>0</v>
      </c>
      <c r="Y232" s="30">
        <f>'Equity Volume Data'!AB232*'Equity Price Data'!AE233</f>
        <v>6186.31</v>
      </c>
      <c r="Z232" s="30">
        <f>'Equity Volume Data'!AC232*'Equity Price Data'!AF233</f>
        <v>9910.5</v>
      </c>
      <c r="AA232" s="30">
        <f>'Equity Volume Data'!AD232*'Equity Price Data'!AG233</f>
        <v>17576.3</v>
      </c>
      <c r="AB232" s="30">
        <f>'Equity Volume Data'!AE232*'Equity Price Data'!AH233</f>
        <v>12627</v>
      </c>
      <c r="AC232" s="30">
        <f>'Equity Volume Data'!AF232*'Equity Price Data'!AI233</f>
        <v>17181.2</v>
      </c>
      <c r="AD232" s="30">
        <f>'Equity Volume Data'!AG232*'Equity Price Data'!AJ233</f>
        <v>12545.1</v>
      </c>
      <c r="AE232" s="30">
        <f>'Equity Volume Data'!AH232*'Equity Price Data'!AK233</f>
        <v>0</v>
      </c>
      <c r="AF232" s="30">
        <f>'Equity Volume Data'!AI232*'Equity Price Data'!AL233</f>
        <v>21832.5</v>
      </c>
      <c r="AG232" s="30">
        <f>'Equity Volume Data'!AJ232*'Equity Price Data'!AM233</f>
        <v>30238.8</v>
      </c>
      <c r="AH232" s="30">
        <f>'Equity Volume Data'!AK232*'Equity Price Data'!AN233</f>
        <v>35720</v>
      </c>
      <c r="AI232" s="30">
        <f>'Equity Volume Data'!AL232*'Equity Price Data'!AO233</f>
        <v>25060</v>
      </c>
      <c r="AJ232" s="30">
        <f>'Equity Volume Data'!AM232*'Equity Price Data'!AP233</f>
        <v>20772.7</v>
      </c>
      <c r="AK232" s="30">
        <f>'Equity Volume Data'!AN232*'Equity Price Data'!AQ233</f>
        <v>23036.11</v>
      </c>
      <c r="AL232" s="30">
        <f>'Equity Volume Data'!AO232*'Equity Price Data'!AR233</f>
        <v>37555.2</v>
      </c>
      <c r="AM232" s="30">
        <f>'Equity Volume Data'!AP232*'Equity Price Data'!AS233</f>
        <v>33273.8</v>
      </c>
      <c r="AN232" s="30">
        <f>'Equity Volume Data'!AQ232*'Equity Price Data'!AT233</f>
        <v>0</v>
      </c>
      <c r="AO232" s="30">
        <f>'Equity Volume Data'!AR232*'Equity Price Data'!AU233</f>
        <v>24561.04</v>
      </c>
      <c r="AP232" s="30">
        <f>'Equity Volume Data'!AS232*'Equity Price Data'!AV233</f>
        <v>21055</v>
      </c>
      <c r="AQ232" s="30">
        <f>'Equity Volume Data'!AT232*'Equity Price Data'!AW233</f>
        <v>16049</v>
      </c>
      <c r="AR232" s="30">
        <f>'Equity Volume Data'!AU232*'Equity Price Data'!AX233</f>
        <v>11670.57</v>
      </c>
      <c r="AS232" s="30">
        <f>'Equity Volume Data'!AV232*'Equity Price Data'!AY233</f>
        <v>46537.2</v>
      </c>
      <c r="AT232" s="30">
        <f>'Equity Volume Data'!AW232*'Equity Price Data'!AZ233</f>
        <v>13538</v>
      </c>
      <c r="AU232" s="30">
        <f>'Equity Volume Data'!AX232*'Equity Price Data'!BA233</f>
        <v>0</v>
      </c>
      <c r="AV232" s="30">
        <f>'Equity Volume Data'!AY232*'Equity Price Data'!BB233</f>
        <v>15720.82</v>
      </c>
      <c r="AW232" s="30">
        <f>'Equity Volume Data'!AZ232*'Equity Price Data'!BC233</f>
        <v>3940.8</v>
      </c>
      <c r="AX232" s="30">
        <f>'Equity Volume Data'!BA232*'Equity Price Data'!BD233</f>
        <v>0</v>
      </c>
      <c r="AY232" s="30">
        <f>'Equity Volume Data'!BB232*'Equity Price Data'!BE233</f>
        <v>37233.24</v>
      </c>
      <c r="AZ232" s="30">
        <f>'Equity Volume Data'!BC232*'Equity Price Data'!BF233</f>
        <v>9340.5</v>
      </c>
      <c r="BA232" s="30">
        <f>'Equity Volume Data'!BD232*'Equity Price Data'!BG233</f>
        <v>4202.8</v>
      </c>
      <c r="BB232" s="30">
        <f>'Equity Volume Data'!BE232*'Equity Price Data'!BH233</f>
        <v>10331.2</v>
      </c>
      <c r="BC232" s="30">
        <f>'Equity Volume Data'!BF232*'Equity Price Data'!BI233</f>
        <v>11962.16</v>
      </c>
      <c r="BD232" s="30">
        <f>'Equity Volume Data'!BG232*'Equity Price Data'!BJ233</f>
        <v>55942.32</v>
      </c>
      <c r="BE232" s="30">
        <f>'Equity Volume Data'!BH232*'Equity Price Data'!BK233</f>
        <v>10334.59</v>
      </c>
      <c r="BF232" s="30">
        <f>'Equity Volume Data'!BI232*'Equity Price Data'!BL233</f>
        <v>6880</v>
      </c>
      <c r="BG232" s="30">
        <f>'Equity Volume Data'!BJ232*'Equity Price Data'!BM233</f>
        <v>24141.52</v>
      </c>
      <c r="BH232" s="30">
        <f>'Equity Volume Data'!BK232*'Equity Price Data'!BN233</f>
        <v>0</v>
      </c>
      <c r="BI232" s="30">
        <f>'Equity Volume Data'!BL232*'Equity Price Data'!BO233</f>
        <v>35563.2</v>
      </c>
      <c r="BJ232" s="30">
        <f>'Equity Volume Data'!BM232*'Equity Price Data'!BP233</f>
        <v>44029.5</v>
      </c>
      <c r="BK232" s="30">
        <f>'Equity Volume Data'!BN232*'Equity Price Data'!BQ233</f>
        <v>89487.32</v>
      </c>
      <c r="BL232" s="30">
        <f>'Equity Volume Data'!BO232*'Equity Price Data'!BR233</f>
        <v>358.61</v>
      </c>
      <c r="BM232" s="30">
        <f>'Equity Volume Data'!BP232*'Equity Price Data'!BS233</f>
        <v>11150.4</v>
      </c>
      <c r="BN232" s="30">
        <f>'Equity Volume Data'!BQ232*'Equity Price Data'!BT233</f>
        <v>15916.08</v>
      </c>
      <c r="BO232" s="30">
        <f>'Equity Volume Data'!BR232*'Equity Price Data'!BU233</f>
        <v>28381</v>
      </c>
    </row>
    <row r="233">
      <c r="A233" s="25">
        <f>'Equity Price Data'!A234</f>
        <v>45762.66667</v>
      </c>
      <c r="B233" s="29">
        <f t="shared" si="1"/>
        <v>1277917.54</v>
      </c>
      <c r="C233" s="30">
        <f>'Equity Volume Data'!F233*'Equity Price Data'!I234</f>
        <v>4554.94</v>
      </c>
      <c r="D233" s="30">
        <f>'Equity Volume Data'!G233*'Equity Price Data'!J234</f>
        <v>46693.4</v>
      </c>
      <c r="E233" s="30">
        <f>'Equity Volume Data'!H233*'Equity Price Data'!K234</f>
        <v>16156.8</v>
      </c>
      <c r="F233" s="30">
        <f>'Equity Volume Data'!I233*'Equity Price Data'!L234</f>
        <v>51747.84</v>
      </c>
      <c r="G233" s="30">
        <f>'Equity Volume Data'!J233*'Equity Price Data'!M234</f>
        <v>12072.35</v>
      </c>
      <c r="H233" s="30">
        <f>'Equity Volume Data'!K233*'Equity Price Data'!N234</f>
        <v>14620.76</v>
      </c>
      <c r="I233" s="30">
        <f>'Equity Volume Data'!L233*'Equity Price Data'!O234</f>
        <v>14710</v>
      </c>
      <c r="J233" s="30">
        <f>'Equity Volume Data'!M233*'Equity Price Data'!P234</f>
        <v>53873.34</v>
      </c>
      <c r="K233" s="30">
        <f>'Equity Volume Data'!N233*'Equity Price Data'!Q234</f>
        <v>9250</v>
      </c>
      <c r="L233" s="30">
        <f>'Equity Volume Data'!O233*'Equity Price Data'!R234</f>
        <v>14154.58</v>
      </c>
      <c r="M233" s="30">
        <f>'Equity Volume Data'!P233*'Equity Price Data'!S234</f>
        <v>0</v>
      </c>
      <c r="N233" s="30">
        <f>'Equity Volume Data'!Q233*'Equity Price Data'!T234</f>
        <v>4837.6</v>
      </c>
      <c r="O233" s="30">
        <f>'Equity Volume Data'!R233*'Equity Price Data'!U234</f>
        <v>44014.5</v>
      </c>
      <c r="P233" s="30">
        <f>'Equity Volume Data'!S233*'Equity Price Data'!V234</f>
        <v>17017.77</v>
      </c>
      <c r="Q233" s="30">
        <f>'Equity Volume Data'!T233*'Equity Price Data'!W234</f>
        <v>26936.4</v>
      </c>
      <c r="R233" s="30">
        <f>'Equity Volume Data'!U233*'Equity Price Data'!X234</f>
        <v>10763.2</v>
      </c>
      <c r="S233" s="30">
        <f>'Equity Volume Data'!V233*'Equity Price Data'!Y234</f>
        <v>28919.44</v>
      </c>
      <c r="T233" s="30">
        <f>'Equity Volume Data'!W233*'Equity Price Data'!Z234</f>
        <v>9025</v>
      </c>
      <c r="U233" s="30">
        <f>'Equity Volume Data'!X233*'Equity Price Data'!AA234</f>
        <v>18971.04</v>
      </c>
      <c r="V233" s="30">
        <f>'Equity Volume Data'!Y233*'Equity Price Data'!AB234</f>
        <v>18001.41</v>
      </c>
      <c r="W233" s="30">
        <f>'Equity Volume Data'!Z233*'Equity Price Data'!AC234</f>
        <v>10089.87</v>
      </c>
      <c r="X233" s="30">
        <f>'Equity Volume Data'!AA233*'Equity Price Data'!AD234</f>
        <v>0</v>
      </c>
      <c r="Y233" s="30">
        <f>'Equity Volume Data'!AB233*'Equity Price Data'!AE234</f>
        <v>6091.28</v>
      </c>
      <c r="Z233" s="30">
        <f>'Equity Volume Data'!AC233*'Equity Price Data'!AF234</f>
        <v>9825</v>
      </c>
      <c r="AA233" s="30">
        <f>'Equity Volume Data'!AD233*'Equity Price Data'!AG234</f>
        <v>17527</v>
      </c>
      <c r="AB233" s="30">
        <f>'Equity Volume Data'!AE233*'Equity Price Data'!AH234</f>
        <v>12441</v>
      </c>
      <c r="AC233" s="30">
        <f>'Equity Volume Data'!AF233*'Equity Price Data'!AI234</f>
        <v>17359.2</v>
      </c>
      <c r="AD233" s="30">
        <f>'Equity Volume Data'!AG233*'Equity Price Data'!AJ234</f>
        <v>12471.3</v>
      </c>
      <c r="AE233" s="30">
        <f>'Equity Volume Data'!AH233*'Equity Price Data'!AK234</f>
        <v>0</v>
      </c>
      <c r="AF233" s="30">
        <f>'Equity Volume Data'!AI233*'Equity Price Data'!AL234</f>
        <v>21664.4</v>
      </c>
      <c r="AG233" s="30">
        <f>'Equity Volume Data'!AJ233*'Equity Price Data'!AM234</f>
        <v>30473.4</v>
      </c>
      <c r="AH233" s="30">
        <f>'Equity Volume Data'!AK233*'Equity Price Data'!AN234</f>
        <v>35411</v>
      </c>
      <c r="AI233" s="30">
        <f>'Equity Volume Data'!AL233*'Equity Price Data'!AO234</f>
        <v>24916.5</v>
      </c>
      <c r="AJ233" s="30">
        <f>'Equity Volume Data'!AM233*'Equity Price Data'!AP234</f>
        <v>20793.5</v>
      </c>
      <c r="AK233" s="30">
        <f>'Equity Volume Data'!AN233*'Equity Price Data'!AQ234</f>
        <v>22948.69</v>
      </c>
      <c r="AL233" s="30">
        <f>'Equity Volume Data'!AO233*'Equity Price Data'!AR234</f>
        <v>37300.8</v>
      </c>
      <c r="AM233" s="30">
        <f>'Equity Volume Data'!AP233*'Equity Price Data'!AS234</f>
        <v>32870.6</v>
      </c>
      <c r="AN233" s="30">
        <f>'Equity Volume Data'!AQ233*'Equity Price Data'!AT234</f>
        <v>0</v>
      </c>
      <c r="AO233" s="30">
        <f>'Equity Volume Data'!AR233*'Equity Price Data'!AU234</f>
        <v>24757.46</v>
      </c>
      <c r="AP233" s="30">
        <f>'Equity Volume Data'!AS233*'Equity Price Data'!AV234</f>
        <v>20592.5</v>
      </c>
      <c r="AQ233" s="30">
        <f>'Equity Volume Data'!AT233*'Equity Price Data'!AW234</f>
        <v>15996.2</v>
      </c>
      <c r="AR233" s="30">
        <f>'Equity Volume Data'!AU233*'Equity Price Data'!AX234</f>
        <v>10604.61</v>
      </c>
      <c r="AS233" s="30">
        <f>'Equity Volume Data'!AV233*'Equity Price Data'!AY234</f>
        <v>46287.6</v>
      </c>
      <c r="AT233" s="30">
        <f>'Equity Volume Data'!AW233*'Equity Price Data'!AZ234</f>
        <v>13532</v>
      </c>
      <c r="AU233" s="30">
        <f>'Equity Volume Data'!AX233*'Equity Price Data'!BA234</f>
        <v>0</v>
      </c>
      <c r="AV233" s="30">
        <f>'Equity Volume Data'!AY233*'Equity Price Data'!BB234</f>
        <v>15932.4</v>
      </c>
      <c r="AW233" s="30">
        <f>'Equity Volume Data'!AZ233*'Equity Price Data'!BC234</f>
        <v>3951.6</v>
      </c>
      <c r="AX233" s="30">
        <f>'Equity Volume Data'!BA233*'Equity Price Data'!BD234</f>
        <v>0</v>
      </c>
      <c r="AY233" s="30">
        <f>'Equity Volume Data'!BB233*'Equity Price Data'!BE234</f>
        <v>39556.8</v>
      </c>
      <c r="AZ233" s="30">
        <f>'Equity Volume Data'!BC233*'Equity Price Data'!BF234</f>
        <v>9300</v>
      </c>
      <c r="BA233" s="30">
        <f>'Equity Volume Data'!BD233*'Equity Price Data'!BG234</f>
        <v>4263.6</v>
      </c>
      <c r="BB233" s="30">
        <f>'Equity Volume Data'!BE233*'Equity Price Data'!BH234</f>
        <v>10291.2</v>
      </c>
      <c r="BC233" s="30">
        <f>'Equity Volume Data'!BF233*'Equity Price Data'!BI234</f>
        <v>11912.96</v>
      </c>
      <c r="BD233" s="30">
        <f>'Equity Volume Data'!BG233*'Equity Price Data'!BJ234</f>
        <v>56809.23</v>
      </c>
      <c r="BE233" s="30">
        <f>'Equity Volume Data'!BH233*'Equity Price Data'!BK234</f>
        <v>10143</v>
      </c>
      <c r="BF233" s="30">
        <f>'Equity Volume Data'!BI233*'Equity Price Data'!BL234</f>
        <v>6969.6</v>
      </c>
      <c r="BG233" s="30">
        <f>'Equity Volume Data'!BJ233*'Equity Price Data'!BM234</f>
        <v>24236.04</v>
      </c>
      <c r="BH233" s="30">
        <f>'Equity Volume Data'!BK233*'Equity Price Data'!BN234</f>
        <v>0</v>
      </c>
      <c r="BI233" s="30">
        <f>'Equity Volume Data'!BL233*'Equity Price Data'!BO234</f>
        <v>35212.8</v>
      </c>
      <c r="BJ233" s="30">
        <f>'Equity Volume Data'!BM233*'Equity Price Data'!BP234</f>
        <v>43769.25</v>
      </c>
      <c r="BK233" s="30">
        <f>'Equity Volume Data'!BN233*'Equity Price Data'!BQ234</f>
        <v>89469.3</v>
      </c>
      <c r="BL233" s="30">
        <f>'Equity Volume Data'!BO233*'Equity Price Data'!BR234</f>
        <v>351.56</v>
      </c>
      <c r="BM233" s="30">
        <f>'Equity Volume Data'!BP233*'Equity Price Data'!BS234</f>
        <v>11111.04</v>
      </c>
      <c r="BN233" s="30">
        <f>'Equity Volume Data'!BQ233*'Equity Price Data'!BT234</f>
        <v>15981.88</v>
      </c>
      <c r="BO233" s="30">
        <f>'Equity Volume Data'!BR233*'Equity Price Data'!BU234</f>
        <v>28381</v>
      </c>
    </row>
    <row r="234">
      <c r="A234" s="25">
        <f>'Equity Price Data'!A235</f>
        <v>45763.66667</v>
      </c>
      <c r="B234" s="29">
        <f t="shared" si="1"/>
        <v>1259524.76</v>
      </c>
      <c r="C234" s="30">
        <f>'Equity Volume Data'!F234*'Equity Price Data'!I235</f>
        <v>4474.47</v>
      </c>
      <c r="D234" s="30">
        <f>'Equity Volume Data'!G234*'Equity Price Data'!J235</f>
        <v>45325.8</v>
      </c>
      <c r="E234" s="30">
        <f>'Equity Volume Data'!H234*'Equity Price Data'!K235</f>
        <v>16104</v>
      </c>
      <c r="F234" s="30">
        <f>'Equity Volume Data'!I234*'Equity Price Data'!L235</f>
        <v>49733.12</v>
      </c>
      <c r="G234" s="30">
        <f>'Equity Volume Data'!J234*'Equity Price Data'!M235</f>
        <v>11469.77</v>
      </c>
      <c r="H234" s="30">
        <f>'Equity Volume Data'!K234*'Equity Price Data'!N235</f>
        <v>14237.24</v>
      </c>
      <c r="I234" s="30">
        <f>'Equity Volume Data'!L234*'Equity Price Data'!O235</f>
        <v>14560</v>
      </c>
      <c r="J234" s="30">
        <f>'Equity Volume Data'!M234*'Equity Price Data'!P235</f>
        <v>52677.9</v>
      </c>
      <c r="K234" s="30">
        <f>'Equity Volume Data'!N234*'Equity Price Data'!Q235</f>
        <v>9126</v>
      </c>
      <c r="L234" s="30">
        <f>'Equity Volume Data'!O234*'Equity Price Data'!R235</f>
        <v>13950.09</v>
      </c>
      <c r="M234" s="30">
        <f>'Equity Volume Data'!P234*'Equity Price Data'!S235</f>
        <v>0</v>
      </c>
      <c r="N234" s="30">
        <f>'Equity Volume Data'!Q234*'Equity Price Data'!T235</f>
        <v>4735.2</v>
      </c>
      <c r="O234" s="30">
        <f>'Equity Volume Data'!R234*'Equity Price Data'!U235</f>
        <v>43521</v>
      </c>
      <c r="P234" s="30">
        <f>'Equity Volume Data'!S234*'Equity Price Data'!V235</f>
        <v>17213.76</v>
      </c>
      <c r="Q234" s="30">
        <f>'Equity Volume Data'!T234*'Equity Price Data'!W235</f>
        <v>25792.8</v>
      </c>
      <c r="R234" s="30">
        <f>'Equity Volume Data'!U234*'Equity Price Data'!X235</f>
        <v>10828.8</v>
      </c>
      <c r="S234" s="30">
        <f>'Equity Volume Data'!V234*'Equity Price Data'!Y235</f>
        <v>28990.72</v>
      </c>
      <c r="T234" s="30">
        <f>'Equity Volume Data'!W234*'Equity Price Data'!Z235</f>
        <v>8865</v>
      </c>
      <c r="U234" s="30">
        <f>'Equity Volume Data'!X234*'Equity Price Data'!AA235</f>
        <v>18923.52</v>
      </c>
      <c r="V234" s="30">
        <f>'Equity Volume Data'!Y234*'Equity Price Data'!AB235</f>
        <v>17941.84</v>
      </c>
      <c r="W234" s="30">
        <f>'Equity Volume Data'!Z234*'Equity Price Data'!AC235</f>
        <v>10224.42</v>
      </c>
      <c r="X234" s="30">
        <f>'Equity Volume Data'!AA234*'Equity Price Data'!AD235</f>
        <v>0</v>
      </c>
      <c r="Y234" s="30">
        <f>'Equity Volume Data'!AB234*'Equity Price Data'!AE235</f>
        <v>6009.25</v>
      </c>
      <c r="Z234" s="30">
        <f>'Equity Volume Data'!AC234*'Equity Price Data'!AF235</f>
        <v>9820.5</v>
      </c>
      <c r="AA234" s="30">
        <f>'Equity Volume Data'!AD234*'Equity Price Data'!AG235</f>
        <v>17712.3</v>
      </c>
      <c r="AB234" s="30">
        <f>'Equity Volume Data'!AE234*'Equity Price Data'!AH235</f>
        <v>12213.6</v>
      </c>
      <c r="AC234" s="30">
        <f>'Equity Volume Data'!AF234*'Equity Price Data'!AI235</f>
        <v>17310</v>
      </c>
      <c r="AD234" s="30">
        <f>'Equity Volume Data'!AG234*'Equity Price Data'!AJ235</f>
        <v>12448.35</v>
      </c>
      <c r="AE234" s="30">
        <f>'Equity Volume Data'!AH234*'Equity Price Data'!AK235</f>
        <v>0</v>
      </c>
      <c r="AF234" s="30">
        <f>'Equity Volume Data'!AI234*'Equity Price Data'!AL235</f>
        <v>21500.4</v>
      </c>
      <c r="AG234" s="30">
        <f>'Equity Volume Data'!AJ234*'Equity Price Data'!AM235</f>
        <v>29943</v>
      </c>
      <c r="AH234" s="30">
        <f>'Equity Volume Data'!AK234*'Equity Price Data'!AN235</f>
        <v>34599</v>
      </c>
      <c r="AI234" s="30">
        <f>'Equity Volume Data'!AL234*'Equity Price Data'!AO235</f>
        <v>24760.75</v>
      </c>
      <c r="AJ234" s="30">
        <f>'Equity Volume Data'!AM234*'Equity Price Data'!AP235</f>
        <v>20597.2</v>
      </c>
      <c r="AK234" s="30">
        <f>'Equity Volume Data'!AN234*'Equity Price Data'!AQ235</f>
        <v>22622.98</v>
      </c>
      <c r="AL234" s="30">
        <f>'Equity Volume Data'!AO234*'Equity Price Data'!AR235</f>
        <v>36737.6</v>
      </c>
      <c r="AM234" s="30">
        <f>'Equity Volume Data'!AP234*'Equity Price Data'!AS235</f>
        <v>33395.6</v>
      </c>
      <c r="AN234" s="30">
        <f>'Equity Volume Data'!AQ234*'Equity Price Data'!AT235</f>
        <v>0</v>
      </c>
      <c r="AO234" s="30">
        <f>'Equity Volume Data'!AR234*'Equity Price Data'!AU235</f>
        <v>24415.86</v>
      </c>
      <c r="AP234" s="30">
        <f>'Equity Volume Data'!AS234*'Equity Price Data'!AV235</f>
        <v>20675</v>
      </c>
      <c r="AQ234" s="30">
        <f>'Equity Volume Data'!AT234*'Equity Price Data'!AW235</f>
        <v>15774</v>
      </c>
      <c r="AR234" s="30">
        <f>'Equity Volume Data'!AU234*'Equity Price Data'!AX235</f>
        <v>11666.34</v>
      </c>
      <c r="AS234" s="30">
        <f>'Equity Volume Data'!AV234*'Equity Price Data'!AY235</f>
        <v>44593.2</v>
      </c>
      <c r="AT234" s="30">
        <f>'Equity Volume Data'!AW234*'Equity Price Data'!AZ235</f>
        <v>13128</v>
      </c>
      <c r="AU234" s="30">
        <f>'Equity Volume Data'!AX234*'Equity Price Data'!BA235</f>
        <v>0</v>
      </c>
      <c r="AV234" s="30">
        <f>'Equity Volume Data'!AY234*'Equity Price Data'!BB235</f>
        <v>14837.58</v>
      </c>
      <c r="AW234" s="30">
        <f>'Equity Volume Data'!AZ234*'Equity Price Data'!BC235</f>
        <v>3871.2</v>
      </c>
      <c r="AX234" s="30">
        <f>'Equity Volume Data'!BA234*'Equity Price Data'!BD235</f>
        <v>0</v>
      </c>
      <c r="AY234" s="30">
        <f>'Equity Volume Data'!BB234*'Equity Price Data'!BE235</f>
        <v>37269.42</v>
      </c>
      <c r="AZ234" s="30">
        <f>'Equity Volume Data'!BC234*'Equity Price Data'!BF235</f>
        <v>9036</v>
      </c>
      <c r="BA234" s="30">
        <f>'Equity Volume Data'!BD234*'Equity Price Data'!BG235</f>
        <v>4187.6</v>
      </c>
      <c r="BB234" s="30">
        <f>'Equity Volume Data'!BE234*'Equity Price Data'!BH235</f>
        <v>10340</v>
      </c>
      <c r="BC234" s="30">
        <f>'Equity Volume Data'!BF234*'Equity Price Data'!BI235</f>
        <v>11873.6</v>
      </c>
      <c r="BD234" s="30">
        <f>'Equity Volume Data'!BG234*'Equity Price Data'!BJ235</f>
        <v>55303.32</v>
      </c>
      <c r="BE234" s="30">
        <f>'Equity Volume Data'!BH234*'Equity Price Data'!BK235</f>
        <v>10046.17</v>
      </c>
      <c r="BF234" s="30">
        <f>'Equity Volume Data'!BI234*'Equity Price Data'!BL235</f>
        <v>7004</v>
      </c>
      <c r="BG234" s="30">
        <f>'Equity Volume Data'!BJ234*'Equity Price Data'!BM235</f>
        <v>23735.64</v>
      </c>
      <c r="BH234" s="30">
        <f>'Equity Volume Data'!BK234*'Equity Price Data'!BN235</f>
        <v>0</v>
      </c>
      <c r="BI234" s="30">
        <f>'Equity Volume Data'!BL234*'Equity Price Data'!BO235</f>
        <v>34656</v>
      </c>
      <c r="BJ234" s="30">
        <f>'Equity Volume Data'!BM234*'Equity Price Data'!BP235</f>
        <v>43878</v>
      </c>
      <c r="BK234" s="30">
        <f>'Equity Volume Data'!BN234*'Equity Price Data'!BQ235</f>
        <v>89559.4</v>
      </c>
      <c r="BL234" s="30">
        <f>'Equity Volume Data'!BO234*'Equity Price Data'!BR235</f>
        <v>347.33</v>
      </c>
      <c r="BM234" s="30">
        <f>'Equity Volume Data'!BP234*'Equity Price Data'!BS235</f>
        <v>11019.36</v>
      </c>
      <c r="BN234" s="30">
        <f>'Equity Volume Data'!BQ234*'Equity Price Data'!BT235</f>
        <v>15560.76</v>
      </c>
      <c r="BO234" s="30">
        <f>'Equity Volume Data'!BR234*'Equity Price Data'!BU235</f>
        <v>28381</v>
      </c>
    </row>
    <row r="235">
      <c r="A235" s="25">
        <f>'Equity Price Data'!A236</f>
        <v>45764.66667</v>
      </c>
      <c r="B235" s="29">
        <f t="shared" si="1"/>
        <v>1257059.96</v>
      </c>
      <c r="C235" s="30">
        <f>'Equity Volume Data'!F235*'Equity Price Data'!I236</f>
        <v>4534.4</v>
      </c>
      <c r="D235" s="30">
        <f>'Equity Volume Data'!G235*'Equity Price Data'!J236</f>
        <v>44878.6</v>
      </c>
      <c r="E235" s="30">
        <f>'Equity Volume Data'!H235*'Equity Price Data'!K236</f>
        <v>16324</v>
      </c>
      <c r="F235" s="30">
        <f>'Equity Volume Data'!I235*'Equity Price Data'!L236</f>
        <v>50426.88</v>
      </c>
      <c r="G235" s="30">
        <f>'Equity Volume Data'!J235*'Equity Price Data'!M236</f>
        <v>11409.18</v>
      </c>
      <c r="H235" s="30">
        <f>'Equity Volume Data'!K235*'Equity Price Data'!N236</f>
        <v>14351.92</v>
      </c>
      <c r="I235" s="30">
        <f>'Equity Volume Data'!L235*'Equity Price Data'!O236</f>
        <v>14720</v>
      </c>
      <c r="J235" s="30">
        <f>'Equity Volume Data'!M235*'Equity Price Data'!P236</f>
        <v>52857.42</v>
      </c>
      <c r="K235" s="30">
        <f>'Equity Volume Data'!N235*'Equity Price Data'!Q236</f>
        <v>9298</v>
      </c>
      <c r="L235" s="30">
        <f>'Equity Volume Data'!O235*'Equity Price Data'!R236</f>
        <v>14351.81</v>
      </c>
      <c r="M235" s="30">
        <f>'Equity Volume Data'!P235*'Equity Price Data'!S236</f>
        <v>0</v>
      </c>
      <c r="N235" s="30">
        <f>'Equity Volume Data'!Q235*'Equity Price Data'!T236</f>
        <v>4792</v>
      </c>
      <c r="O235" s="30">
        <f>'Equity Volume Data'!R235*'Equity Price Data'!U236</f>
        <v>44137.5</v>
      </c>
      <c r="P235" s="30">
        <f>'Equity Volume Data'!S235*'Equity Price Data'!V236</f>
        <v>17172.06</v>
      </c>
      <c r="Q235" s="30">
        <f>'Equity Volume Data'!T235*'Equity Price Data'!W236</f>
        <v>25795.2</v>
      </c>
      <c r="R235" s="30">
        <f>'Equity Volume Data'!U235*'Equity Price Data'!X236</f>
        <v>11029.6</v>
      </c>
      <c r="S235" s="30">
        <f>'Equity Volume Data'!V235*'Equity Price Data'!Y236</f>
        <v>29051.44</v>
      </c>
      <c r="T235" s="30">
        <f>'Equity Volume Data'!W235*'Equity Price Data'!Z236</f>
        <v>8862.5</v>
      </c>
      <c r="U235" s="30">
        <f>'Equity Volume Data'!X235*'Equity Price Data'!AA236</f>
        <v>19272</v>
      </c>
      <c r="V235" s="30">
        <f>'Equity Volume Data'!Y235*'Equity Price Data'!AB236</f>
        <v>18048.1</v>
      </c>
      <c r="W235" s="30">
        <f>'Equity Volume Data'!Z235*'Equity Price Data'!AC236</f>
        <v>10401.75</v>
      </c>
      <c r="X235" s="30">
        <f>'Equity Volume Data'!AA235*'Equity Price Data'!AD236</f>
        <v>0</v>
      </c>
      <c r="Y235" s="30">
        <f>'Equity Volume Data'!AB235*'Equity Price Data'!AE236</f>
        <v>6067.62</v>
      </c>
      <c r="Z235" s="30">
        <f>'Equity Volume Data'!AC235*'Equity Price Data'!AF236</f>
        <v>9939</v>
      </c>
      <c r="AA235" s="30">
        <f>'Equity Volume Data'!AD235*'Equity Price Data'!AG236</f>
        <v>18176.4</v>
      </c>
      <c r="AB235" s="30">
        <f>'Equity Volume Data'!AE235*'Equity Price Data'!AH236</f>
        <v>12453</v>
      </c>
      <c r="AC235" s="30">
        <f>'Equity Volume Data'!AF235*'Equity Price Data'!AI236</f>
        <v>17598.8</v>
      </c>
      <c r="AD235" s="30">
        <f>'Equity Volume Data'!AG235*'Equity Price Data'!AJ236</f>
        <v>12423.6</v>
      </c>
      <c r="AE235" s="30">
        <f>'Equity Volume Data'!AH235*'Equity Price Data'!AK236</f>
        <v>0</v>
      </c>
      <c r="AF235" s="30">
        <f>'Equity Volume Data'!AI235*'Equity Price Data'!AL236</f>
        <v>21430.7</v>
      </c>
      <c r="AG235" s="30">
        <f>'Equity Volume Data'!AJ235*'Equity Price Data'!AM236</f>
        <v>30569.4</v>
      </c>
      <c r="AH235" s="30">
        <f>'Equity Volume Data'!AK235*'Equity Price Data'!AN236</f>
        <v>35506</v>
      </c>
      <c r="AI235" s="30">
        <f>'Equity Volume Data'!AL235*'Equity Price Data'!AO236</f>
        <v>24762.5</v>
      </c>
      <c r="AJ235" s="30">
        <f>'Equity Volume Data'!AM235*'Equity Price Data'!AP236</f>
        <v>20623.2</v>
      </c>
      <c r="AK235" s="30">
        <f>'Equity Volume Data'!AN235*'Equity Price Data'!AQ236</f>
        <v>22688.78</v>
      </c>
      <c r="AL235" s="30">
        <f>'Equity Volume Data'!AO235*'Equity Price Data'!AR236</f>
        <v>37113.6</v>
      </c>
      <c r="AM235" s="30">
        <f>'Equity Volume Data'!AP235*'Equity Price Data'!AS236</f>
        <v>32485.6</v>
      </c>
      <c r="AN235" s="30">
        <f>'Equity Volume Data'!AQ235*'Equity Price Data'!AT236</f>
        <v>0</v>
      </c>
      <c r="AO235" s="30">
        <f>'Equity Volume Data'!AR235*'Equity Price Data'!AU236</f>
        <v>24432.94</v>
      </c>
      <c r="AP235" s="30">
        <f>'Equity Volume Data'!AS235*'Equity Price Data'!AV236</f>
        <v>20650</v>
      </c>
      <c r="AQ235" s="30">
        <f>'Equity Volume Data'!AT235*'Equity Price Data'!AW236</f>
        <v>15961</v>
      </c>
      <c r="AR235" s="30">
        <f>'Equity Volume Data'!AU235*'Equity Price Data'!AX236</f>
        <v>11146.05</v>
      </c>
      <c r="AS235" s="30">
        <f>'Equity Volume Data'!AV235*'Equity Price Data'!AY236</f>
        <v>44133.6</v>
      </c>
      <c r="AT235" s="30">
        <f>'Equity Volume Data'!AW235*'Equity Price Data'!AZ236</f>
        <v>13262</v>
      </c>
      <c r="AU235" s="30">
        <f>'Equity Volume Data'!AX235*'Equity Price Data'!BA236</f>
        <v>0</v>
      </c>
      <c r="AV235" s="30">
        <f>'Equity Volume Data'!AY235*'Equity Price Data'!BB236</f>
        <v>14411.58</v>
      </c>
      <c r="AW235" s="30">
        <f>'Equity Volume Data'!AZ235*'Equity Price Data'!BC236</f>
        <v>3940.8</v>
      </c>
      <c r="AX235" s="30">
        <f>'Equity Volume Data'!BA235*'Equity Price Data'!BD236</f>
        <v>0</v>
      </c>
      <c r="AY235" s="30">
        <f>'Equity Volume Data'!BB235*'Equity Price Data'!BE236</f>
        <v>37699.56</v>
      </c>
      <c r="AZ235" s="30">
        <f>'Equity Volume Data'!BC235*'Equity Price Data'!BF236</f>
        <v>9150</v>
      </c>
      <c r="BA235" s="30">
        <f>'Equity Volume Data'!BD235*'Equity Price Data'!BG236</f>
        <v>4206.6</v>
      </c>
      <c r="BB235" s="30">
        <f>'Equity Volume Data'!BE235*'Equity Price Data'!BH236</f>
        <v>10311.2</v>
      </c>
      <c r="BC235" s="30">
        <f>'Equity Volume Data'!BF235*'Equity Price Data'!BI236</f>
        <v>12057.28</v>
      </c>
      <c r="BD235" s="30">
        <f>'Equity Volume Data'!BG235*'Equity Price Data'!BJ236</f>
        <v>55814.52</v>
      </c>
      <c r="BE235" s="30">
        <f>'Equity Volume Data'!BH235*'Equity Price Data'!BK236</f>
        <v>9832.5</v>
      </c>
      <c r="BF235" s="30">
        <f>'Equity Volume Data'!BI235*'Equity Price Data'!BL236</f>
        <v>7055.2</v>
      </c>
      <c r="BG235" s="30">
        <f>'Equity Volume Data'!BJ235*'Equity Price Data'!BM236</f>
        <v>24530.72</v>
      </c>
      <c r="BH235" s="30">
        <f>'Equity Volume Data'!BK235*'Equity Price Data'!BN236</f>
        <v>0</v>
      </c>
      <c r="BI235" s="30">
        <f>'Equity Volume Data'!BL235*'Equity Price Data'!BO236</f>
        <v>35241.6</v>
      </c>
      <c r="BJ235" s="30">
        <f>'Equity Volume Data'!BM235*'Equity Price Data'!BP236</f>
        <v>34058.25</v>
      </c>
      <c r="BK235" s="30">
        <f>'Equity Volume Data'!BN235*'Equity Price Data'!BQ236</f>
        <v>89847.72</v>
      </c>
      <c r="BL235" s="30">
        <f>'Equity Volume Data'!BO235*'Equity Price Data'!BR236</f>
        <v>355.32</v>
      </c>
      <c r="BM235" s="30">
        <f>'Equity Volume Data'!BP235*'Equity Price Data'!BS236</f>
        <v>11083.68</v>
      </c>
      <c r="BN235" s="30">
        <f>'Equity Volume Data'!BQ235*'Equity Price Data'!BT236</f>
        <v>15944.28</v>
      </c>
      <c r="BO235" s="30">
        <f>'Equity Volume Data'!BR235*'Equity Price Data'!BU236</f>
        <v>28381</v>
      </c>
    </row>
    <row r="236">
      <c r="A236" s="25">
        <f>'Equity Price Data'!A237</f>
        <v>45768.66667</v>
      </c>
      <c r="B236" s="29">
        <f t="shared" si="1"/>
        <v>1231529.83</v>
      </c>
      <c r="C236" s="30">
        <f>'Equity Volume Data'!F236*'Equity Price Data'!I237</f>
        <v>4461.86</v>
      </c>
      <c r="D236" s="30">
        <f>'Equity Volume Data'!G236*'Equity Price Data'!J237</f>
        <v>43503.2</v>
      </c>
      <c r="E236" s="30">
        <f>'Equity Volume Data'!H236*'Equity Price Data'!K237</f>
        <v>16184.3</v>
      </c>
      <c r="F236" s="30">
        <f>'Equity Volume Data'!I236*'Equity Price Data'!L237</f>
        <v>49448.96</v>
      </c>
      <c r="G236" s="30">
        <f>'Equity Volume Data'!J236*'Equity Price Data'!M237</f>
        <v>11251.48</v>
      </c>
      <c r="H236" s="30">
        <f>'Equity Volume Data'!K236*'Equity Price Data'!N237</f>
        <v>13919.52</v>
      </c>
      <c r="I236" s="30">
        <f>'Equity Volume Data'!L236*'Equity Price Data'!O237</f>
        <v>14500</v>
      </c>
      <c r="J236" s="30">
        <f>'Equity Volume Data'!M236*'Equity Price Data'!P237</f>
        <v>51705.84</v>
      </c>
      <c r="K236" s="30">
        <f>'Equity Volume Data'!N236*'Equity Price Data'!Q237</f>
        <v>9378</v>
      </c>
      <c r="L236" s="30">
        <f>'Equity Volume Data'!O236*'Equity Price Data'!R237</f>
        <v>14095.29</v>
      </c>
      <c r="M236" s="30">
        <f>'Equity Volume Data'!P236*'Equity Price Data'!S237</f>
        <v>0</v>
      </c>
      <c r="N236" s="30">
        <f>'Equity Volume Data'!Q236*'Equity Price Data'!T237</f>
        <v>4654.4</v>
      </c>
      <c r="O236" s="30">
        <f>'Equity Volume Data'!R236*'Equity Price Data'!U237</f>
        <v>42711</v>
      </c>
      <c r="P236" s="30">
        <f>'Equity Volume Data'!S236*'Equity Price Data'!V237</f>
        <v>16517.37</v>
      </c>
      <c r="Q236" s="30">
        <f>'Equity Volume Data'!T236*'Equity Price Data'!W237</f>
        <v>24883.2</v>
      </c>
      <c r="R236" s="30">
        <f>'Equity Volume Data'!U236*'Equity Price Data'!X237</f>
        <v>10698.4</v>
      </c>
      <c r="S236" s="30">
        <f>'Equity Volume Data'!V236*'Equity Price Data'!Y237</f>
        <v>28579.76</v>
      </c>
      <c r="T236" s="30">
        <f>'Equity Volume Data'!W236*'Equity Price Data'!Z237</f>
        <v>8622.5</v>
      </c>
      <c r="U236" s="30">
        <f>'Equity Volume Data'!X236*'Equity Price Data'!AA237</f>
        <v>19211.28</v>
      </c>
      <c r="V236" s="30">
        <f>'Equity Volume Data'!Y236*'Equity Price Data'!AB237</f>
        <v>17864.56</v>
      </c>
      <c r="W236" s="30">
        <f>'Equity Volume Data'!Z236*'Equity Price Data'!AC237</f>
        <v>10097.46</v>
      </c>
      <c r="X236" s="30">
        <f>'Equity Volume Data'!AA236*'Equity Price Data'!AD237</f>
        <v>0</v>
      </c>
      <c r="Y236" s="30">
        <f>'Equity Volume Data'!AB236*'Equity Price Data'!AE237</f>
        <v>6087.51</v>
      </c>
      <c r="Z236" s="30">
        <f>'Equity Volume Data'!AC236*'Equity Price Data'!AF237</f>
        <v>9844.5</v>
      </c>
      <c r="AA236" s="30">
        <f>'Equity Volume Data'!AD236*'Equity Price Data'!AG237</f>
        <v>17909.5</v>
      </c>
      <c r="AB236" s="30">
        <f>'Equity Volume Data'!AE236*'Equity Price Data'!AH237</f>
        <v>12307.2</v>
      </c>
      <c r="AC236" s="30">
        <f>'Equity Volume Data'!AF236*'Equity Price Data'!AI237</f>
        <v>17390.4</v>
      </c>
      <c r="AD236" s="30">
        <f>'Equity Volume Data'!AG236*'Equity Price Data'!AJ237</f>
        <v>12293.1</v>
      </c>
      <c r="AE236" s="30">
        <f>'Equity Volume Data'!AH236*'Equity Price Data'!AK237</f>
        <v>0</v>
      </c>
      <c r="AF236" s="30">
        <f>'Equity Volume Data'!AI236*'Equity Price Data'!AL237</f>
        <v>21387.65</v>
      </c>
      <c r="AG236" s="30">
        <f>'Equity Volume Data'!AJ236*'Equity Price Data'!AM237</f>
        <v>30081.6</v>
      </c>
      <c r="AH236" s="30">
        <f>'Equity Volume Data'!AK236*'Equity Price Data'!AN237</f>
        <v>34690</v>
      </c>
      <c r="AI236" s="30">
        <f>'Equity Volume Data'!AL236*'Equity Price Data'!AO237</f>
        <v>24172.75</v>
      </c>
      <c r="AJ236" s="30">
        <f>'Equity Volume Data'!AM236*'Equity Price Data'!AP237</f>
        <v>20153.9</v>
      </c>
      <c r="AK236" s="30">
        <f>'Equity Volume Data'!AN236*'Equity Price Data'!AQ237</f>
        <v>22011.04</v>
      </c>
      <c r="AL236" s="30">
        <f>'Equity Volume Data'!AO236*'Equity Price Data'!AR237</f>
        <v>36638.4</v>
      </c>
      <c r="AM236" s="30">
        <f>'Equity Volume Data'!AP236*'Equity Price Data'!AS237</f>
        <v>32083.1</v>
      </c>
      <c r="AN236" s="30">
        <f>'Equity Volume Data'!AQ236*'Equity Price Data'!AT237</f>
        <v>0</v>
      </c>
      <c r="AO236" s="30">
        <f>'Equity Volume Data'!AR236*'Equity Price Data'!AU237</f>
        <v>24253.6</v>
      </c>
      <c r="AP236" s="30">
        <f>'Equity Volume Data'!AS236*'Equity Price Data'!AV237</f>
        <v>20450</v>
      </c>
      <c r="AQ236" s="30">
        <f>'Equity Volume Data'!AT236*'Equity Price Data'!AW237</f>
        <v>15488</v>
      </c>
      <c r="AR236" s="30">
        <f>'Equity Volume Data'!AU236*'Equity Price Data'!AX237</f>
        <v>9809.37</v>
      </c>
      <c r="AS236" s="30">
        <f>'Equity Volume Data'!AV236*'Equity Price Data'!AY237</f>
        <v>43094.4</v>
      </c>
      <c r="AT236" s="30">
        <f>'Equity Volume Data'!AW236*'Equity Price Data'!AZ237</f>
        <v>12936</v>
      </c>
      <c r="AU236" s="30">
        <f>'Equity Volume Data'!AX236*'Equity Price Data'!BA237</f>
        <v>0</v>
      </c>
      <c r="AV236" s="30">
        <f>'Equity Volume Data'!AY236*'Equity Price Data'!BB237</f>
        <v>13761.22</v>
      </c>
      <c r="AW236" s="30">
        <f>'Equity Volume Data'!AZ236*'Equity Price Data'!BC237</f>
        <v>3882</v>
      </c>
      <c r="AX236" s="30">
        <f>'Equity Volume Data'!BA236*'Equity Price Data'!BD237</f>
        <v>0</v>
      </c>
      <c r="AY236" s="30">
        <f>'Equity Volume Data'!BB236*'Equity Price Data'!BE237</f>
        <v>36501.6</v>
      </c>
      <c r="AZ236" s="30">
        <f>'Equity Volume Data'!BC236*'Equity Price Data'!BF237</f>
        <v>9043.5</v>
      </c>
      <c r="BA236" s="30">
        <f>'Equity Volume Data'!BD236*'Equity Price Data'!BG237</f>
        <v>4187.6</v>
      </c>
      <c r="BB236" s="30">
        <f>'Equity Volume Data'!BE236*'Equity Price Data'!BH237</f>
        <v>10089.6</v>
      </c>
      <c r="BC236" s="30">
        <f>'Equity Volume Data'!BF236*'Equity Price Data'!BI237</f>
        <v>11991.68</v>
      </c>
      <c r="BD236" s="30">
        <f>'Equity Volume Data'!BG236*'Equity Price Data'!BJ237</f>
        <v>53991.24</v>
      </c>
      <c r="BE236" s="30">
        <f>'Equity Volume Data'!BH236*'Equity Price Data'!BK237</f>
        <v>9702.55</v>
      </c>
      <c r="BF236" s="30">
        <f>'Equity Volume Data'!BI236*'Equity Price Data'!BL237</f>
        <v>6980.8</v>
      </c>
      <c r="BG236" s="30">
        <f>'Equity Volume Data'!BJ236*'Equity Price Data'!BM237</f>
        <v>24386.16</v>
      </c>
      <c r="BH236" s="30">
        <f>'Equity Volume Data'!BK236*'Equity Price Data'!BN237</f>
        <v>0</v>
      </c>
      <c r="BI236" s="30">
        <f>'Equity Volume Data'!BL236*'Equity Price Data'!BO237</f>
        <v>34568</v>
      </c>
      <c r="BJ236" s="30">
        <f>'Equity Volume Data'!BM236*'Equity Price Data'!BP237</f>
        <v>31899.75</v>
      </c>
      <c r="BK236" s="30">
        <f>'Equity Volume Data'!BN236*'Equity Price Data'!BQ237</f>
        <v>89721.58</v>
      </c>
      <c r="BL236" s="30">
        <f>'Equity Volume Data'!BO236*'Equity Price Data'!BR237</f>
        <v>355.79</v>
      </c>
      <c r="BM236" s="30">
        <f>'Equity Volume Data'!BP236*'Equity Price Data'!BS237</f>
        <v>10923.36</v>
      </c>
      <c r="BN236" s="30">
        <f>'Equity Volume Data'!BQ236*'Equity Price Data'!BT237</f>
        <v>15792</v>
      </c>
      <c r="BO236" s="30">
        <f>'Equity Volume Data'!BR236*'Equity Price Data'!BU237</f>
        <v>28381</v>
      </c>
    </row>
    <row r="237">
      <c r="A237" s="25">
        <f>'Equity Price Data'!A238</f>
        <v>45769.66667</v>
      </c>
      <c r="B237" s="29">
        <f t="shared" si="1"/>
        <v>1255797.05</v>
      </c>
      <c r="C237" s="30">
        <f>'Equity Volume Data'!F237*'Equity Price Data'!I238</f>
        <v>4548.83</v>
      </c>
      <c r="D237" s="30">
        <f>'Equity Volume Data'!G237*'Equity Price Data'!J238</f>
        <v>45026.8</v>
      </c>
      <c r="E237" s="30">
        <f>'Equity Volume Data'!H237*'Equity Price Data'!K238</f>
        <v>16418.6</v>
      </c>
      <c r="F237" s="30">
        <f>'Equity Volume Data'!I237*'Equity Price Data'!L238</f>
        <v>51133.44</v>
      </c>
      <c r="G237" s="30">
        <f>'Equity Volume Data'!J237*'Equity Price Data'!M238</f>
        <v>11478.9</v>
      </c>
      <c r="H237" s="30">
        <f>'Equity Volume Data'!K237*'Equity Price Data'!N238</f>
        <v>14346.28</v>
      </c>
      <c r="I237" s="30">
        <f>'Equity Volume Data'!L237*'Equity Price Data'!O238</f>
        <v>15230</v>
      </c>
      <c r="J237" s="30">
        <f>'Equity Volume Data'!M237*'Equity Price Data'!P238</f>
        <v>53120.58</v>
      </c>
      <c r="K237" s="30">
        <f>'Equity Volume Data'!N237*'Equity Price Data'!Q238</f>
        <v>9530</v>
      </c>
      <c r="L237" s="30">
        <f>'Equity Volume Data'!O237*'Equity Price Data'!R238</f>
        <v>14385.69</v>
      </c>
      <c r="M237" s="30">
        <f>'Equity Volume Data'!P237*'Equity Price Data'!S238</f>
        <v>0</v>
      </c>
      <c r="N237" s="30">
        <f>'Equity Volume Data'!Q237*'Equity Price Data'!T238</f>
        <v>4757.6</v>
      </c>
      <c r="O237" s="30">
        <f>'Equity Volume Data'!R237*'Equity Price Data'!U238</f>
        <v>43675.5</v>
      </c>
      <c r="P237" s="30">
        <f>'Equity Volume Data'!S237*'Equity Price Data'!V238</f>
        <v>16755.06</v>
      </c>
      <c r="Q237" s="30">
        <f>'Equity Volume Data'!T237*'Equity Price Data'!W238</f>
        <v>25477.2</v>
      </c>
      <c r="R237" s="30">
        <f>'Equity Volume Data'!U237*'Equity Price Data'!X238</f>
        <v>10984</v>
      </c>
      <c r="S237" s="30">
        <f>'Equity Volume Data'!V237*'Equity Price Data'!Y238</f>
        <v>29662.16</v>
      </c>
      <c r="T237" s="30">
        <f>'Equity Volume Data'!W237*'Equity Price Data'!Z238</f>
        <v>8955</v>
      </c>
      <c r="U237" s="30">
        <f>'Equity Volume Data'!X237*'Equity Price Data'!AA238</f>
        <v>19509.6</v>
      </c>
      <c r="V237" s="30">
        <f>'Equity Volume Data'!Y237*'Equity Price Data'!AB238</f>
        <v>18241.3</v>
      </c>
      <c r="W237" s="30">
        <f>'Equity Volume Data'!Z237*'Equity Price Data'!AC238</f>
        <v>10273.41</v>
      </c>
      <c r="X237" s="30">
        <f>'Equity Volume Data'!AA237*'Equity Price Data'!AD238</f>
        <v>0</v>
      </c>
      <c r="Y237" s="30">
        <f>'Equity Volume Data'!AB237*'Equity Price Data'!AE238</f>
        <v>6319.82</v>
      </c>
      <c r="Z237" s="30">
        <f>'Equity Volume Data'!AC237*'Equity Price Data'!AF238</f>
        <v>10057.5</v>
      </c>
      <c r="AA237" s="30">
        <f>'Equity Volume Data'!AD237*'Equity Price Data'!AG238</f>
        <v>18411</v>
      </c>
      <c r="AB237" s="30">
        <f>'Equity Volume Data'!AE237*'Equity Price Data'!AH238</f>
        <v>12394.2</v>
      </c>
      <c r="AC237" s="30">
        <f>'Equity Volume Data'!AF237*'Equity Price Data'!AI238</f>
        <v>17886.4</v>
      </c>
      <c r="AD237" s="30">
        <f>'Equity Volume Data'!AG237*'Equity Price Data'!AJ238</f>
        <v>12366</v>
      </c>
      <c r="AE237" s="30">
        <f>'Equity Volume Data'!AH237*'Equity Price Data'!AK238</f>
        <v>0</v>
      </c>
      <c r="AF237" s="30">
        <f>'Equity Volume Data'!AI237*'Equity Price Data'!AL238</f>
        <v>21629.55</v>
      </c>
      <c r="AG237" s="30">
        <f>'Equity Volume Data'!AJ237*'Equity Price Data'!AM238</f>
        <v>31199.4</v>
      </c>
      <c r="AH237" s="30">
        <f>'Equity Volume Data'!AK237*'Equity Price Data'!AN238</f>
        <v>35443</v>
      </c>
      <c r="AI237" s="30">
        <f>'Equity Volume Data'!AL237*'Equity Price Data'!AO238</f>
        <v>23691.5</v>
      </c>
      <c r="AJ237" s="30">
        <f>'Equity Volume Data'!AM237*'Equity Price Data'!AP238</f>
        <v>20888.4</v>
      </c>
      <c r="AK237" s="30">
        <f>'Equity Volume Data'!AN237*'Equity Price Data'!AQ238</f>
        <v>22500.78</v>
      </c>
      <c r="AL237" s="30">
        <f>'Equity Volume Data'!AO237*'Equity Price Data'!AR238</f>
        <v>37694.4</v>
      </c>
      <c r="AM237" s="30">
        <f>'Equity Volume Data'!AP237*'Equity Price Data'!AS238</f>
        <v>32345.6</v>
      </c>
      <c r="AN237" s="30">
        <f>'Equity Volume Data'!AQ237*'Equity Price Data'!AT238</f>
        <v>0</v>
      </c>
      <c r="AO237" s="30">
        <f>'Equity Volume Data'!AR237*'Equity Price Data'!AU238</f>
        <v>24962.42</v>
      </c>
      <c r="AP237" s="30">
        <f>'Equity Volume Data'!AS237*'Equity Price Data'!AV238</f>
        <v>20842.5</v>
      </c>
      <c r="AQ237" s="30">
        <f>'Equity Volume Data'!AT237*'Equity Price Data'!AW238</f>
        <v>16079.8</v>
      </c>
      <c r="AR237" s="30">
        <f>'Equity Volume Data'!AU237*'Equity Price Data'!AX238</f>
        <v>9665.55</v>
      </c>
      <c r="AS237" s="30">
        <f>'Equity Volume Data'!AV237*'Equity Price Data'!AY238</f>
        <v>44018.4</v>
      </c>
      <c r="AT237" s="30">
        <f>'Equity Volume Data'!AW237*'Equity Price Data'!AZ238</f>
        <v>13328</v>
      </c>
      <c r="AU237" s="30">
        <f>'Equity Volume Data'!AX237*'Equity Price Data'!BA238</f>
        <v>0</v>
      </c>
      <c r="AV237" s="30">
        <f>'Equity Volume Data'!AY237*'Equity Price Data'!BB238</f>
        <v>14042.38</v>
      </c>
      <c r="AW237" s="30">
        <f>'Equity Volume Data'!AZ237*'Equity Price Data'!BC238</f>
        <v>3958</v>
      </c>
      <c r="AX237" s="30">
        <f>'Equity Volume Data'!BA237*'Equity Price Data'!BD238</f>
        <v>0</v>
      </c>
      <c r="AY237" s="30">
        <f>'Equity Volume Data'!BB237*'Equity Price Data'!BE238</f>
        <v>37783.98</v>
      </c>
      <c r="AZ237" s="30">
        <f>'Equity Volume Data'!BC237*'Equity Price Data'!BF238</f>
        <v>9213</v>
      </c>
      <c r="BA237" s="30">
        <f>'Equity Volume Data'!BD237*'Equity Price Data'!BG238</f>
        <v>4280.7</v>
      </c>
      <c r="BB237" s="30">
        <f>'Equity Volume Data'!BE237*'Equity Price Data'!BH238</f>
        <v>9100</v>
      </c>
      <c r="BC237" s="30">
        <f>'Equity Volume Data'!BF237*'Equity Price Data'!BI238</f>
        <v>12090.08</v>
      </c>
      <c r="BD237" s="30">
        <f>'Equity Volume Data'!BG237*'Equity Price Data'!BJ238</f>
        <v>55017.9</v>
      </c>
      <c r="BE237" s="30">
        <f>'Equity Volume Data'!BH237*'Equity Price Data'!BK238</f>
        <v>9998.79</v>
      </c>
      <c r="BF237" s="30">
        <f>'Equity Volume Data'!BI237*'Equity Price Data'!BL238</f>
        <v>7148</v>
      </c>
      <c r="BG237" s="30">
        <f>'Equity Volume Data'!BJ237*'Equity Price Data'!BM238</f>
        <v>25356.38</v>
      </c>
      <c r="BH237" s="30">
        <f>'Equity Volume Data'!BK237*'Equity Price Data'!BN238</f>
        <v>0</v>
      </c>
      <c r="BI237" s="30">
        <f>'Equity Volume Data'!BL237*'Equity Price Data'!BO238</f>
        <v>34704</v>
      </c>
      <c r="BJ237" s="30">
        <f>'Equity Volume Data'!BM237*'Equity Price Data'!BP238</f>
        <v>32038.5</v>
      </c>
      <c r="BK237" s="30">
        <f>'Equity Volume Data'!BN237*'Equity Price Data'!BQ238</f>
        <v>89865.74</v>
      </c>
      <c r="BL237" s="30">
        <f>'Equity Volume Data'!BO237*'Equity Price Data'!BR238</f>
        <v>361.43</v>
      </c>
      <c r="BM237" s="30">
        <f>'Equity Volume Data'!BP237*'Equity Price Data'!BS238</f>
        <v>11038.08</v>
      </c>
      <c r="BN237" s="30">
        <f>'Equity Volume Data'!BQ237*'Equity Price Data'!BT238</f>
        <v>16184.92</v>
      </c>
      <c r="BO237" s="30">
        <f>'Equity Volume Data'!BR237*'Equity Price Data'!BU238</f>
        <v>28381</v>
      </c>
    </row>
    <row r="238">
      <c r="A238" s="25">
        <f>'Equity Price Data'!A239</f>
        <v>45770.66667</v>
      </c>
      <c r="B238" s="29">
        <f t="shared" si="1"/>
        <v>1269955.23</v>
      </c>
      <c r="C238" s="30">
        <f>'Equity Volume Data'!F238*'Equity Price Data'!I239</f>
        <v>4575.48</v>
      </c>
      <c r="D238" s="30">
        <f>'Equity Volume Data'!G238*'Equity Price Data'!J239</f>
        <v>46956</v>
      </c>
      <c r="E238" s="30">
        <f>'Equity Volume Data'!H238*'Equity Price Data'!K239</f>
        <v>16188.7</v>
      </c>
      <c r="F238" s="30">
        <f>'Equity Volume Data'!I238*'Equity Price Data'!L239</f>
        <v>52377.6</v>
      </c>
      <c r="G238" s="30">
        <f>'Equity Volume Data'!J238*'Equity Price Data'!M239</f>
        <v>11917.14</v>
      </c>
      <c r="H238" s="30">
        <f>'Equity Volume Data'!K238*'Equity Price Data'!N239</f>
        <v>14613.24</v>
      </c>
      <c r="I238" s="30">
        <f>'Equity Volume Data'!L238*'Equity Price Data'!O239</f>
        <v>15640</v>
      </c>
      <c r="J238" s="30">
        <f>'Equity Volume Data'!M238*'Equity Price Data'!P239</f>
        <v>53734.62</v>
      </c>
      <c r="K238" s="30">
        <f>'Equity Volume Data'!N238*'Equity Price Data'!Q239</f>
        <v>9676</v>
      </c>
      <c r="L238" s="30">
        <f>'Equity Volume Data'!O238*'Equity Price Data'!R239</f>
        <v>14298.57</v>
      </c>
      <c r="M238" s="30">
        <f>'Equity Volume Data'!P238*'Equity Price Data'!S239</f>
        <v>0</v>
      </c>
      <c r="N238" s="30">
        <f>'Equity Volume Data'!Q238*'Equity Price Data'!T239</f>
        <v>4688</v>
      </c>
      <c r="O238" s="30">
        <f>'Equity Volume Data'!R238*'Equity Price Data'!U239</f>
        <v>44365.5</v>
      </c>
      <c r="P238" s="30">
        <f>'Equity Volume Data'!S238*'Equity Price Data'!V239</f>
        <v>17501.49</v>
      </c>
      <c r="Q238" s="30">
        <f>'Equity Volume Data'!T238*'Equity Price Data'!W239</f>
        <v>24511.2</v>
      </c>
      <c r="R238" s="30">
        <f>'Equity Volume Data'!U238*'Equity Price Data'!X239</f>
        <v>10934.4</v>
      </c>
      <c r="S238" s="30">
        <f>'Equity Volume Data'!V238*'Equity Price Data'!Y239</f>
        <v>29628.72</v>
      </c>
      <c r="T238" s="30">
        <f>'Equity Volume Data'!W238*'Equity Price Data'!Z239</f>
        <v>9122.5</v>
      </c>
      <c r="U238" s="30">
        <f>'Equity Volume Data'!X238*'Equity Price Data'!AA239</f>
        <v>19351.2</v>
      </c>
      <c r="V238" s="30">
        <f>'Equity Volume Data'!Y238*'Equity Price Data'!AB239</f>
        <v>18115.72</v>
      </c>
      <c r="W238" s="30">
        <f>'Equity Volume Data'!Z238*'Equity Price Data'!AC239</f>
        <v>10459.71</v>
      </c>
      <c r="X238" s="30">
        <f>'Equity Volume Data'!AA238*'Equity Price Data'!AD239</f>
        <v>0</v>
      </c>
      <c r="Y238" s="30">
        <f>'Equity Volume Data'!AB238*'Equity Price Data'!AE239</f>
        <v>6316.44</v>
      </c>
      <c r="Z238" s="30">
        <f>'Equity Volume Data'!AC238*'Equity Price Data'!AF239</f>
        <v>9994.5</v>
      </c>
      <c r="AA238" s="30">
        <f>'Equity Volume Data'!AD238*'Equity Price Data'!AG239</f>
        <v>18252.9</v>
      </c>
      <c r="AB238" s="30">
        <f>'Equity Volume Data'!AE238*'Equity Price Data'!AH239</f>
        <v>12662.4</v>
      </c>
      <c r="AC238" s="30">
        <f>'Equity Volume Data'!AF238*'Equity Price Data'!AI239</f>
        <v>17667.2</v>
      </c>
      <c r="AD238" s="30">
        <f>'Equity Volume Data'!AG238*'Equity Price Data'!AJ239</f>
        <v>11957.85</v>
      </c>
      <c r="AE238" s="30">
        <f>'Equity Volume Data'!AH238*'Equity Price Data'!AK239</f>
        <v>0</v>
      </c>
      <c r="AF238" s="30">
        <f>'Equity Volume Data'!AI238*'Equity Price Data'!AL239</f>
        <v>21807.9</v>
      </c>
      <c r="AG238" s="30">
        <f>'Equity Volume Data'!AJ238*'Equity Price Data'!AM239</f>
        <v>31758.6</v>
      </c>
      <c r="AH238" s="30">
        <f>'Equity Volume Data'!AK238*'Equity Price Data'!AN239</f>
        <v>35642</v>
      </c>
      <c r="AI238" s="30">
        <f>'Equity Volume Data'!AL238*'Equity Price Data'!AO239</f>
        <v>24011.75</v>
      </c>
      <c r="AJ238" s="30">
        <f>'Equity Volume Data'!AM238*'Equity Price Data'!AP239</f>
        <v>20928.7</v>
      </c>
      <c r="AK238" s="30">
        <f>'Equity Volume Data'!AN238*'Equity Price Data'!AQ239</f>
        <v>22932.71</v>
      </c>
      <c r="AL238" s="30">
        <f>'Equity Volume Data'!AO238*'Equity Price Data'!AR239</f>
        <v>38540.8</v>
      </c>
      <c r="AM238" s="30">
        <f>'Equity Volume Data'!AP238*'Equity Price Data'!AS239</f>
        <v>32448.5</v>
      </c>
      <c r="AN238" s="30">
        <f>'Equity Volume Data'!AQ238*'Equity Price Data'!AT239</f>
        <v>0</v>
      </c>
      <c r="AO238" s="30">
        <f>'Equity Volume Data'!AR238*'Equity Price Data'!AU239</f>
        <v>25415.04</v>
      </c>
      <c r="AP238" s="30">
        <f>'Equity Volume Data'!AS238*'Equity Price Data'!AV239</f>
        <v>20937.5</v>
      </c>
      <c r="AQ238" s="30">
        <f>'Equity Volume Data'!AT238*'Equity Price Data'!AW239</f>
        <v>16332.8</v>
      </c>
      <c r="AR238" s="30">
        <f>'Equity Volume Data'!AU238*'Equity Price Data'!AX239</f>
        <v>9682.47</v>
      </c>
      <c r="AS238" s="30">
        <f>'Equity Volume Data'!AV238*'Equity Price Data'!AY239</f>
        <v>44926.8</v>
      </c>
      <c r="AT238" s="30">
        <f>'Equity Volume Data'!AW238*'Equity Price Data'!AZ239</f>
        <v>13454</v>
      </c>
      <c r="AU238" s="30">
        <f>'Equity Volume Data'!AX238*'Equity Price Data'!BA239</f>
        <v>0</v>
      </c>
      <c r="AV238" s="30">
        <f>'Equity Volume Data'!AY238*'Equity Price Data'!BB239</f>
        <v>14584.82</v>
      </c>
      <c r="AW238" s="30">
        <f>'Equity Volume Data'!AZ238*'Equity Price Data'!BC239</f>
        <v>3692</v>
      </c>
      <c r="AX238" s="30">
        <f>'Equity Volume Data'!BA238*'Equity Price Data'!BD239</f>
        <v>0</v>
      </c>
      <c r="AY238" s="30">
        <f>'Equity Volume Data'!BB238*'Equity Price Data'!BE239</f>
        <v>40529.64</v>
      </c>
      <c r="AZ238" s="30">
        <f>'Equity Volume Data'!BC238*'Equity Price Data'!BF239</f>
        <v>9369</v>
      </c>
      <c r="BA238" s="30">
        <f>'Equity Volume Data'!BD238*'Equity Price Data'!BG239</f>
        <v>4254.1</v>
      </c>
      <c r="BB238" s="30">
        <f>'Equity Volume Data'!BE238*'Equity Price Data'!BH239</f>
        <v>9622.4</v>
      </c>
      <c r="BC238" s="30">
        <f>'Equity Volume Data'!BF238*'Equity Price Data'!BI239</f>
        <v>12280.32</v>
      </c>
      <c r="BD238" s="30">
        <f>'Equity Volume Data'!BG238*'Equity Price Data'!BJ239</f>
        <v>55241.55</v>
      </c>
      <c r="BE238" s="30">
        <f>'Equity Volume Data'!BH238*'Equity Price Data'!BK239</f>
        <v>9927.72</v>
      </c>
      <c r="BF238" s="30">
        <f>'Equity Volume Data'!BI238*'Equity Price Data'!BL239</f>
        <v>7257.2</v>
      </c>
      <c r="BG238" s="30">
        <f>'Equity Volume Data'!BJ238*'Equity Price Data'!BM239</f>
        <v>25645.5</v>
      </c>
      <c r="BH238" s="30">
        <f>'Equity Volume Data'!BK238*'Equity Price Data'!BN239</f>
        <v>0</v>
      </c>
      <c r="BI238" s="30">
        <f>'Equity Volume Data'!BL238*'Equity Price Data'!BO239</f>
        <v>35164.8</v>
      </c>
      <c r="BJ238" s="30">
        <f>'Equity Volume Data'!BM238*'Equity Price Data'!BP239</f>
        <v>32097</v>
      </c>
      <c r="BK238" s="30">
        <f>'Equity Volume Data'!BN238*'Equity Price Data'!BQ239</f>
        <v>89829.7</v>
      </c>
      <c r="BL238" s="30">
        <f>'Equity Volume Data'!BO238*'Equity Price Data'!BR239</f>
        <v>367.07</v>
      </c>
      <c r="BM238" s="30">
        <f>'Equity Volume Data'!BP238*'Equity Price Data'!BS239</f>
        <v>10974.24</v>
      </c>
      <c r="BN238" s="30">
        <f>'Equity Volume Data'!BQ238*'Equity Price Data'!BT239</f>
        <v>16410.52</v>
      </c>
      <c r="BO238" s="30">
        <f>'Equity Volume Data'!BR238*'Equity Price Data'!BU239</f>
        <v>28381</v>
      </c>
    </row>
    <row r="239">
      <c r="A239" s="25">
        <f>'Equity Price Data'!A240</f>
        <v>45771.66667</v>
      </c>
      <c r="B239" s="29">
        <f t="shared" si="1"/>
        <v>1290357.75</v>
      </c>
      <c r="C239" s="30">
        <f>'Equity Volume Data'!F239*'Equity Price Data'!I240</f>
        <v>4691.83</v>
      </c>
      <c r="D239" s="30">
        <f>'Equity Volume Data'!G239*'Equity Price Data'!J240</f>
        <v>48500.4</v>
      </c>
      <c r="E239" s="30">
        <f>'Equity Volume Data'!H239*'Equity Price Data'!K240</f>
        <v>16064.4</v>
      </c>
      <c r="F239" s="30">
        <f>'Equity Volume Data'!I239*'Equity Price Data'!L240</f>
        <v>53342.72</v>
      </c>
      <c r="G239" s="30">
        <f>'Equity Volume Data'!J239*'Equity Price Data'!M240</f>
        <v>12464.11</v>
      </c>
      <c r="H239" s="30">
        <f>'Equity Volume Data'!K239*'Equity Price Data'!N240</f>
        <v>14799.36</v>
      </c>
      <c r="I239" s="30">
        <f>'Equity Volume Data'!L239*'Equity Price Data'!O240</f>
        <v>15630</v>
      </c>
      <c r="J239" s="30">
        <f>'Equity Volume Data'!M239*'Equity Price Data'!P240</f>
        <v>54227.28</v>
      </c>
      <c r="K239" s="30">
        <f>'Equity Volume Data'!N239*'Equity Price Data'!Q240</f>
        <v>9862</v>
      </c>
      <c r="L239" s="30">
        <f>'Equity Volume Data'!O239*'Equity Price Data'!R240</f>
        <v>14460.71</v>
      </c>
      <c r="M239" s="30">
        <f>'Equity Volume Data'!P239*'Equity Price Data'!S240</f>
        <v>0</v>
      </c>
      <c r="N239" s="30">
        <f>'Equity Volume Data'!Q239*'Equity Price Data'!T240</f>
        <v>4824.8</v>
      </c>
      <c r="O239" s="30">
        <f>'Equity Volume Data'!R239*'Equity Price Data'!U240</f>
        <v>46029</v>
      </c>
      <c r="P239" s="30">
        <f>'Equity Volume Data'!S239*'Equity Price Data'!V240</f>
        <v>18302.13</v>
      </c>
      <c r="Q239" s="30">
        <f>'Equity Volume Data'!T239*'Equity Price Data'!W240</f>
        <v>25065.6</v>
      </c>
      <c r="R239" s="30">
        <f>'Equity Volume Data'!U239*'Equity Price Data'!X240</f>
        <v>11125.6</v>
      </c>
      <c r="S239" s="30">
        <f>'Equity Volume Data'!V239*'Equity Price Data'!Y240</f>
        <v>29541.6</v>
      </c>
      <c r="T239" s="30">
        <f>'Equity Volume Data'!W239*'Equity Price Data'!Z240</f>
        <v>9360</v>
      </c>
      <c r="U239" s="30">
        <f>'Equity Volume Data'!X239*'Equity Price Data'!AA240</f>
        <v>19145.28</v>
      </c>
      <c r="V239" s="30">
        <f>'Equity Volume Data'!Y239*'Equity Price Data'!AB240</f>
        <v>17917.69</v>
      </c>
      <c r="W239" s="30">
        <f>'Equity Volume Data'!Z239*'Equity Price Data'!AC240</f>
        <v>10608.75</v>
      </c>
      <c r="X239" s="30">
        <f>'Equity Volume Data'!AA239*'Equity Price Data'!AD240</f>
        <v>0</v>
      </c>
      <c r="Y239" s="30">
        <f>'Equity Volume Data'!AB239*'Equity Price Data'!AE240</f>
        <v>6343.61</v>
      </c>
      <c r="Z239" s="30">
        <f>'Equity Volume Data'!AC239*'Equity Price Data'!AF240</f>
        <v>10080</v>
      </c>
      <c r="AA239" s="30">
        <f>'Equity Volume Data'!AD239*'Equity Price Data'!AG240</f>
        <v>18467.1</v>
      </c>
      <c r="AB239" s="30">
        <f>'Equity Volume Data'!AE239*'Equity Price Data'!AH240</f>
        <v>12941.4</v>
      </c>
      <c r="AC239" s="30">
        <f>'Equity Volume Data'!AF239*'Equity Price Data'!AI240</f>
        <v>18272.8</v>
      </c>
      <c r="AD239" s="30">
        <f>'Equity Volume Data'!AG239*'Equity Price Data'!AJ240</f>
        <v>12226.95</v>
      </c>
      <c r="AE239" s="30">
        <f>'Equity Volume Data'!AH239*'Equity Price Data'!AK240</f>
        <v>0</v>
      </c>
      <c r="AF239" s="30">
        <f>'Equity Volume Data'!AI239*'Equity Price Data'!AL240</f>
        <v>21760.75</v>
      </c>
      <c r="AG239" s="30">
        <f>'Equity Volume Data'!AJ239*'Equity Price Data'!AM240</f>
        <v>32722.2</v>
      </c>
      <c r="AH239" s="30">
        <f>'Equity Volume Data'!AK239*'Equity Price Data'!AN240</f>
        <v>35964</v>
      </c>
      <c r="AI239" s="30">
        <f>'Equity Volume Data'!AL239*'Equity Price Data'!AO240</f>
        <v>23534</v>
      </c>
      <c r="AJ239" s="30">
        <f>'Equity Volume Data'!AM239*'Equity Price Data'!AP240</f>
        <v>21187.4</v>
      </c>
      <c r="AK239" s="30">
        <f>'Equity Volume Data'!AN239*'Equity Price Data'!AQ240</f>
        <v>23882.11</v>
      </c>
      <c r="AL239" s="30">
        <f>'Equity Volume Data'!AO239*'Equity Price Data'!AR240</f>
        <v>39142.4</v>
      </c>
      <c r="AM239" s="30">
        <f>'Equity Volume Data'!AP239*'Equity Price Data'!AS240</f>
        <v>32676.7</v>
      </c>
      <c r="AN239" s="30">
        <f>'Equity Volume Data'!AQ239*'Equity Price Data'!AT240</f>
        <v>0</v>
      </c>
      <c r="AO239" s="30">
        <f>'Equity Volume Data'!AR239*'Equity Price Data'!AU240</f>
        <v>25799.34</v>
      </c>
      <c r="AP239" s="30">
        <f>'Equity Volume Data'!AS239*'Equity Price Data'!AV240</f>
        <v>21075</v>
      </c>
      <c r="AQ239" s="30">
        <f>'Equity Volume Data'!AT239*'Equity Price Data'!AW240</f>
        <v>16689.2</v>
      </c>
      <c r="AR239" s="30">
        <f>'Equity Volume Data'!AU239*'Equity Price Data'!AX240</f>
        <v>11002.23</v>
      </c>
      <c r="AS239" s="30">
        <f>'Equity Volume Data'!AV239*'Equity Price Data'!AY240</f>
        <v>46476</v>
      </c>
      <c r="AT239" s="30">
        <f>'Equity Volume Data'!AW239*'Equity Price Data'!AZ240</f>
        <v>13270</v>
      </c>
      <c r="AU239" s="30">
        <f>'Equity Volume Data'!AX239*'Equity Price Data'!BA240</f>
        <v>0</v>
      </c>
      <c r="AV239" s="30">
        <f>'Equity Volume Data'!AY239*'Equity Price Data'!BB240</f>
        <v>15113.06</v>
      </c>
      <c r="AW239" s="30">
        <f>'Equity Volume Data'!AZ239*'Equity Price Data'!BC240</f>
        <v>3709.6</v>
      </c>
      <c r="AX239" s="30">
        <f>'Equity Volume Data'!BA239*'Equity Price Data'!BD240</f>
        <v>0</v>
      </c>
      <c r="AY239" s="30">
        <f>'Equity Volume Data'!BB239*'Equity Price Data'!BE240</f>
        <v>43327.56</v>
      </c>
      <c r="AZ239" s="30">
        <f>'Equity Volume Data'!BC239*'Equity Price Data'!BF240</f>
        <v>9715.5</v>
      </c>
      <c r="BA239" s="30">
        <f>'Equity Volume Data'!BD239*'Equity Price Data'!BG240</f>
        <v>4328.2</v>
      </c>
      <c r="BB239" s="30">
        <f>'Equity Volume Data'!BE239*'Equity Price Data'!BH240</f>
        <v>9757.6</v>
      </c>
      <c r="BC239" s="30">
        <f>'Equity Volume Data'!BF239*'Equity Price Data'!BI240</f>
        <v>12654.24</v>
      </c>
      <c r="BD239" s="30">
        <f>'Equity Volume Data'!BG239*'Equity Price Data'!BJ240</f>
        <v>55844.34</v>
      </c>
      <c r="BE239" s="30">
        <f>'Equity Volume Data'!BH239*'Equity Price Data'!BK240</f>
        <v>9813.18</v>
      </c>
      <c r="BF239" s="30">
        <f>'Equity Volume Data'!BI239*'Equity Price Data'!BL240</f>
        <v>7464.4</v>
      </c>
      <c r="BG239" s="30">
        <f>'Equity Volume Data'!BJ239*'Equity Price Data'!BM240</f>
        <v>26182.04</v>
      </c>
      <c r="BH239" s="30">
        <f>'Equity Volume Data'!BK239*'Equity Price Data'!BN240</f>
        <v>0</v>
      </c>
      <c r="BI239" s="30">
        <f>'Equity Volume Data'!BL239*'Equity Price Data'!BO240</f>
        <v>34472</v>
      </c>
      <c r="BJ239" s="30">
        <f>'Equity Volume Data'!BM239*'Equity Price Data'!BP240</f>
        <v>31818.75</v>
      </c>
      <c r="BK239" s="30">
        <f>'Equity Volume Data'!BN239*'Equity Price Data'!BQ240</f>
        <v>90081.98</v>
      </c>
      <c r="BL239" s="30">
        <f>'Equity Volume Data'!BO239*'Equity Price Data'!BR240</f>
        <v>377.41</v>
      </c>
      <c r="BM239" s="30">
        <f>'Equity Volume Data'!BP239*'Equity Price Data'!BS240</f>
        <v>10918.56</v>
      </c>
      <c r="BN239" s="30">
        <f>'Equity Volume Data'!BQ239*'Equity Price Data'!BT240</f>
        <v>16921.88</v>
      </c>
      <c r="BO239" s="30">
        <f>'Equity Volume Data'!BR239*'Equity Price Data'!BU240</f>
        <v>28381</v>
      </c>
    </row>
    <row r="240">
      <c r="A240" s="25">
        <f>'Equity Price Data'!A241</f>
        <v>45772.66667</v>
      </c>
      <c r="B240" s="29">
        <f t="shared" si="1"/>
        <v>1286381.07</v>
      </c>
      <c r="C240" s="30">
        <f>'Equity Volume Data'!F240*'Equity Price Data'!I241</f>
        <v>4780.36</v>
      </c>
      <c r="D240" s="30">
        <f>'Equity Volume Data'!G240*'Equity Price Data'!J241</f>
        <v>49137.4</v>
      </c>
      <c r="E240" s="30">
        <f>'Equity Volume Data'!H240*'Equity Price Data'!K241</f>
        <v>15836.7</v>
      </c>
      <c r="F240" s="30">
        <f>'Equity Volume Data'!I240*'Equity Price Data'!L241</f>
        <v>53575.68</v>
      </c>
      <c r="G240" s="30">
        <f>'Equity Volume Data'!J240*'Equity Price Data'!M241</f>
        <v>12578.65</v>
      </c>
      <c r="H240" s="30">
        <f>'Equity Volume Data'!K240*'Equity Price Data'!N241</f>
        <v>14786.2</v>
      </c>
      <c r="I240" s="30">
        <f>'Equity Volume Data'!L240*'Equity Price Data'!O241</f>
        <v>15820</v>
      </c>
      <c r="J240" s="30">
        <f>'Equity Volume Data'!M240*'Equity Price Data'!P241</f>
        <v>54157.92</v>
      </c>
      <c r="K240" s="30">
        <f>'Equity Volume Data'!N240*'Equity Price Data'!Q241</f>
        <v>9642</v>
      </c>
      <c r="L240" s="30">
        <f>'Equity Volume Data'!O240*'Equity Price Data'!R241</f>
        <v>14379.64</v>
      </c>
      <c r="M240" s="30">
        <f>'Equity Volume Data'!P240*'Equity Price Data'!S241</f>
        <v>0</v>
      </c>
      <c r="N240" s="30">
        <f>'Equity Volume Data'!Q240*'Equity Price Data'!T241</f>
        <v>4804.8</v>
      </c>
      <c r="O240" s="30">
        <f>'Equity Volume Data'!R240*'Equity Price Data'!U241</f>
        <v>45967.5</v>
      </c>
      <c r="P240" s="30">
        <f>'Equity Volume Data'!S240*'Equity Price Data'!V241</f>
        <v>18343.83</v>
      </c>
      <c r="Q240" s="30">
        <f>'Equity Volume Data'!T240*'Equity Price Data'!W241</f>
        <v>24786</v>
      </c>
      <c r="R240" s="30">
        <f>'Equity Volume Data'!U240*'Equity Price Data'!X241</f>
        <v>11098.4</v>
      </c>
      <c r="S240" s="30">
        <f>'Equity Volume Data'!V240*'Equity Price Data'!Y241</f>
        <v>29511.68</v>
      </c>
      <c r="T240" s="30">
        <f>'Equity Volume Data'!W240*'Equity Price Data'!Z241</f>
        <v>9265</v>
      </c>
      <c r="U240" s="30">
        <f>'Equity Volume Data'!X240*'Equity Price Data'!AA241</f>
        <v>18984.24</v>
      </c>
      <c r="V240" s="30">
        <f>'Equity Volume Data'!Y240*'Equity Price Data'!AB241</f>
        <v>17782.45</v>
      </c>
      <c r="W240" s="30">
        <f>'Equity Volume Data'!Z240*'Equity Price Data'!AC241</f>
        <v>11031.72</v>
      </c>
      <c r="X240" s="30">
        <f>'Equity Volume Data'!AA240*'Equity Price Data'!AD241</f>
        <v>0</v>
      </c>
      <c r="Y240" s="30">
        <f>'Equity Volume Data'!AB240*'Equity Price Data'!AE241</f>
        <v>6338.54</v>
      </c>
      <c r="Z240" s="30">
        <f>'Equity Volume Data'!AC240*'Equity Price Data'!AF241</f>
        <v>10174.5</v>
      </c>
      <c r="AA240" s="30">
        <f>'Equity Volume Data'!AD240*'Equity Price Data'!AG241</f>
        <v>18456.9</v>
      </c>
      <c r="AB240" s="30">
        <f>'Equity Volume Data'!AE240*'Equity Price Data'!AH241</f>
        <v>12693.6</v>
      </c>
      <c r="AC240" s="30">
        <f>'Equity Volume Data'!AF240*'Equity Price Data'!AI241</f>
        <v>18432</v>
      </c>
      <c r="AD240" s="30">
        <f>'Equity Volume Data'!AG240*'Equity Price Data'!AJ241</f>
        <v>12238.65</v>
      </c>
      <c r="AE240" s="30">
        <f>'Equity Volume Data'!AH240*'Equity Price Data'!AK241</f>
        <v>0</v>
      </c>
      <c r="AF240" s="30">
        <f>'Equity Volume Data'!AI240*'Equity Price Data'!AL241</f>
        <v>21149.85</v>
      </c>
      <c r="AG240" s="30">
        <f>'Equity Volume Data'!AJ240*'Equity Price Data'!AM241</f>
        <v>32691.6</v>
      </c>
      <c r="AH240" s="30">
        <f>'Equity Volume Data'!AK240*'Equity Price Data'!AN241</f>
        <v>35758</v>
      </c>
      <c r="AI240" s="30">
        <f>'Equity Volume Data'!AL240*'Equity Price Data'!AO241</f>
        <v>23474.5</v>
      </c>
      <c r="AJ240" s="30">
        <f>'Equity Volume Data'!AM240*'Equity Price Data'!AP241</f>
        <v>21219.9</v>
      </c>
      <c r="AK240" s="30">
        <f>'Equity Volume Data'!AN240*'Equity Price Data'!AQ241</f>
        <v>24185.73</v>
      </c>
      <c r="AL240" s="30">
        <f>'Equity Volume Data'!AO240*'Equity Price Data'!AR241</f>
        <v>38968</v>
      </c>
      <c r="AM240" s="30">
        <f>'Equity Volume Data'!AP240*'Equity Price Data'!AS241</f>
        <v>33434.8</v>
      </c>
      <c r="AN240" s="30">
        <f>'Equity Volume Data'!AQ240*'Equity Price Data'!AT241</f>
        <v>0</v>
      </c>
      <c r="AO240" s="30">
        <f>'Equity Volume Data'!AR240*'Equity Price Data'!AU241</f>
        <v>25824.96</v>
      </c>
      <c r="AP240" s="30">
        <f>'Equity Volume Data'!AS240*'Equity Price Data'!AV241</f>
        <v>21040</v>
      </c>
      <c r="AQ240" s="30">
        <f>'Equity Volume Data'!AT240*'Equity Price Data'!AW241</f>
        <v>16541.8</v>
      </c>
      <c r="AR240" s="30">
        <f>'Equity Volume Data'!AU240*'Equity Price Data'!AX241</f>
        <v>10325.43</v>
      </c>
      <c r="AS240" s="30">
        <f>'Equity Volume Data'!AV240*'Equity Price Data'!AY241</f>
        <v>47022</v>
      </c>
      <c r="AT240" s="30">
        <f>'Equity Volume Data'!AW240*'Equity Price Data'!AZ241</f>
        <v>13218</v>
      </c>
      <c r="AU240" s="30">
        <f>'Equity Volume Data'!AX240*'Equity Price Data'!BA241</f>
        <v>0</v>
      </c>
      <c r="AV240" s="30">
        <f>'Equity Volume Data'!AY240*'Equity Price Data'!BB241</f>
        <v>15763.42</v>
      </c>
      <c r="AW240" s="30">
        <f>'Equity Volume Data'!AZ240*'Equity Price Data'!BC241</f>
        <v>3717.2</v>
      </c>
      <c r="AX240" s="30">
        <f>'Equity Volume Data'!BA240*'Equity Price Data'!BD241</f>
        <v>0</v>
      </c>
      <c r="AY240" s="30">
        <f>'Equity Volume Data'!BB240*'Equity Price Data'!BE241</f>
        <v>45337.56</v>
      </c>
      <c r="AZ240" s="30">
        <f>'Equity Volume Data'!BC240*'Equity Price Data'!BF241</f>
        <v>9801</v>
      </c>
      <c r="BA240" s="30">
        <f>'Equity Volume Data'!BD240*'Equity Price Data'!BG241</f>
        <v>4354.8</v>
      </c>
      <c r="BB240" s="30">
        <f>'Equity Volume Data'!BE240*'Equity Price Data'!BH241</f>
        <v>10017.6</v>
      </c>
      <c r="BC240" s="30">
        <f>'Equity Volume Data'!BF240*'Equity Price Data'!BI241</f>
        <v>12716.56</v>
      </c>
      <c r="BD240" s="30">
        <f>'Equity Volume Data'!BG240*'Equity Price Data'!BJ241</f>
        <v>49580.01</v>
      </c>
      <c r="BE240" s="30">
        <f>'Equity Volume Data'!BH240*'Equity Price Data'!BK241</f>
        <v>9757.52</v>
      </c>
      <c r="BF240" s="30">
        <f>'Equity Volume Data'!BI240*'Equity Price Data'!BL241</f>
        <v>7528.4</v>
      </c>
      <c r="BG240" s="30">
        <f>'Equity Volume Data'!BJ240*'Equity Price Data'!BM241</f>
        <v>25993</v>
      </c>
      <c r="BH240" s="30">
        <f>'Equity Volume Data'!BK240*'Equity Price Data'!BN241</f>
        <v>0</v>
      </c>
      <c r="BI240" s="30">
        <f>'Equity Volume Data'!BL240*'Equity Price Data'!BO241</f>
        <v>34126.4</v>
      </c>
      <c r="BJ240" s="30">
        <f>'Equity Volume Data'!BM240*'Equity Price Data'!BP241</f>
        <v>31398</v>
      </c>
      <c r="BK240" s="30">
        <f>'Equity Volume Data'!BN240*'Equity Price Data'!BQ241</f>
        <v>90136.04</v>
      </c>
      <c r="BL240" s="30">
        <f>'Equity Volume Data'!BO240*'Equity Price Data'!BR241</f>
        <v>382.11</v>
      </c>
      <c r="BM240" s="30">
        <f>'Equity Volume Data'!BP240*'Equity Price Data'!BS241</f>
        <v>10958.88</v>
      </c>
      <c r="BN240" s="30">
        <f>'Equity Volume Data'!BQ240*'Equity Price Data'!BT241</f>
        <v>16972.64</v>
      </c>
      <c r="BO240" s="30">
        <f>'Equity Volume Data'!BR240*'Equity Price Data'!BU241</f>
        <v>28381</v>
      </c>
    </row>
    <row r="241">
      <c r="A241" s="25">
        <f>'Equity Price Data'!A242</f>
        <v>45775.66667</v>
      </c>
      <c r="B241" s="29">
        <f t="shared" si="1"/>
        <v>1290616.63</v>
      </c>
      <c r="C241" s="30">
        <f>'Equity Volume Data'!F241*'Equity Price Data'!I242</f>
        <v>4792.06</v>
      </c>
      <c r="D241" s="30">
        <f>'Equity Volume Data'!G241*'Equity Price Data'!J242</f>
        <v>48802</v>
      </c>
      <c r="E241" s="30">
        <f>'Equity Volume Data'!H241*'Equity Price Data'!K242</f>
        <v>15869.7</v>
      </c>
      <c r="F241" s="30">
        <f>'Equity Volume Data'!I241*'Equity Price Data'!L242</f>
        <v>53795.84</v>
      </c>
      <c r="G241" s="30">
        <f>'Equity Volume Data'!J241*'Equity Price Data'!M242</f>
        <v>12515.57</v>
      </c>
      <c r="H241" s="30">
        <f>'Equity Volume Data'!K241*'Equity Price Data'!N242</f>
        <v>14835.08</v>
      </c>
      <c r="I241" s="30">
        <f>'Equity Volume Data'!L241*'Equity Price Data'!O242</f>
        <v>15970</v>
      </c>
      <c r="J241" s="30">
        <f>'Equity Volume Data'!M241*'Equity Price Data'!P242</f>
        <v>54155.88</v>
      </c>
      <c r="K241" s="30">
        <f>'Equity Volume Data'!N241*'Equity Price Data'!Q242</f>
        <v>9684</v>
      </c>
      <c r="L241" s="30">
        <f>'Equity Volume Data'!O241*'Equity Price Data'!R242</f>
        <v>14413.52</v>
      </c>
      <c r="M241" s="30">
        <f>'Equity Volume Data'!P241*'Equity Price Data'!S242</f>
        <v>0</v>
      </c>
      <c r="N241" s="30">
        <f>'Equity Volume Data'!Q241*'Equity Price Data'!T242</f>
        <v>4839.2</v>
      </c>
      <c r="O241" s="30">
        <f>'Equity Volume Data'!R241*'Equity Price Data'!U242</f>
        <v>46059</v>
      </c>
      <c r="P241" s="30">
        <f>'Equity Volume Data'!S241*'Equity Price Data'!V242</f>
        <v>18898.44</v>
      </c>
      <c r="Q241" s="30">
        <f>'Equity Volume Data'!T241*'Equity Price Data'!W242</f>
        <v>25489.2</v>
      </c>
      <c r="R241" s="30">
        <f>'Equity Volume Data'!U241*'Equity Price Data'!X242</f>
        <v>11208</v>
      </c>
      <c r="S241" s="30">
        <f>'Equity Volume Data'!V241*'Equity Price Data'!Y242</f>
        <v>29464.16</v>
      </c>
      <c r="T241" s="30">
        <f>'Equity Volume Data'!W241*'Equity Price Data'!Z242</f>
        <v>9335</v>
      </c>
      <c r="U241" s="30">
        <f>'Equity Volume Data'!X241*'Equity Price Data'!AA242</f>
        <v>18952.56</v>
      </c>
      <c r="V241" s="30">
        <f>'Equity Volume Data'!Y241*'Equity Price Data'!AB242</f>
        <v>17891.93</v>
      </c>
      <c r="W241" s="30">
        <f>'Equity Volume Data'!Z241*'Equity Price Data'!AC242</f>
        <v>11064.15</v>
      </c>
      <c r="X241" s="30">
        <f>'Equity Volume Data'!AA241*'Equity Price Data'!AD242</f>
        <v>0</v>
      </c>
      <c r="Y241" s="30">
        <f>'Equity Volume Data'!AB241*'Equity Price Data'!AE242</f>
        <v>6378.32</v>
      </c>
      <c r="Z241" s="30">
        <f>'Equity Volume Data'!AC241*'Equity Price Data'!AF242</f>
        <v>9948</v>
      </c>
      <c r="AA241" s="30">
        <f>'Equity Volume Data'!AD241*'Equity Price Data'!AG242</f>
        <v>18467.1</v>
      </c>
      <c r="AB241" s="30">
        <f>'Equity Volume Data'!AE241*'Equity Price Data'!AH242</f>
        <v>12690</v>
      </c>
      <c r="AC241" s="30">
        <f>'Equity Volume Data'!AF241*'Equity Price Data'!AI242</f>
        <v>18328</v>
      </c>
      <c r="AD241" s="30">
        <f>'Equity Volume Data'!AG241*'Equity Price Data'!AJ242</f>
        <v>12237.3</v>
      </c>
      <c r="AE241" s="30">
        <f>'Equity Volume Data'!AH241*'Equity Price Data'!AK242</f>
        <v>0</v>
      </c>
      <c r="AF241" s="30">
        <f>'Equity Volume Data'!AI241*'Equity Price Data'!AL242</f>
        <v>21799.7</v>
      </c>
      <c r="AG241" s="30">
        <f>'Equity Volume Data'!AJ241*'Equity Price Data'!AM242</f>
        <v>32784</v>
      </c>
      <c r="AH241" s="30">
        <f>'Equity Volume Data'!AK241*'Equity Price Data'!AN242</f>
        <v>35692</v>
      </c>
      <c r="AI241" s="30">
        <f>'Equity Volume Data'!AL241*'Equity Price Data'!AO242</f>
        <v>23670.5</v>
      </c>
      <c r="AJ241" s="30">
        <f>'Equity Volume Data'!AM241*'Equity Price Data'!AP242</f>
        <v>21252.4</v>
      </c>
      <c r="AK241" s="30">
        <f>'Equity Volume Data'!AN241*'Equity Price Data'!AQ242</f>
        <v>24158.47</v>
      </c>
      <c r="AL241" s="30">
        <f>'Equity Volume Data'!AO241*'Equity Price Data'!AR242</f>
        <v>38915.2</v>
      </c>
      <c r="AM241" s="30">
        <f>'Equity Volume Data'!AP241*'Equity Price Data'!AS242</f>
        <v>33340.3</v>
      </c>
      <c r="AN241" s="30">
        <f>'Equity Volume Data'!AQ241*'Equity Price Data'!AT242</f>
        <v>0</v>
      </c>
      <c r="AO241" s="30">
        <f>'Equity Volume Data'!AR241*'Equity Price Data'!AU242</f>
        <v>26047</v>
      </c>
      <c r="AP241" s="30">
        <f>'Equity Volume Data'!AS241*'Equity Price Data'!AV242</f>
        <v>21010</v>
      </c>
      <c r="AQ241" s="30">
        <f>'Equity Volume Data'!AT241*'Equity Price Data'!AW242</f>
        <v>16706.8</v>
      </c>
      <c r="AR241" s="30">
        <f>'Equity Volume Data'!AU241*'Equity Price Data'!AX242</f>
        <v>10511.55</v>
      </c>
      <c r="AS241" s="30">
        <f>'Equity Volume Data'!AV241*'Equity Price Data'!AY242</f>
        <v>46939.2</v>
      </c>
      <c r="AT241" s="30">
        <f>'Equity Volume Data'!AW241*'Equity Price Data'!AZ242</f>
        <v>13238</v>
      </c>
      <c r="AU241" s="30">
        <f>'Equity Volume Data'!AX241*'Equity Price Data'!BA242</f>
        <v>0</v>
      </c>
      <c r="AV241" s="30">
        <f>'Equity Volume Data'!AY241*'Equity Price Data'!BB242</f>
        <v>15439.66</v>
      </c>
      <c r="AW241" s="30">
        <f>'Equity Volume Data'!AZ241*'Equity Price Data'!BC242</f>
        <v>3746</v>
      </c>
      <c r="AX241" s="30">
        <f>'Equity Volume Data'!BA241*'Equity Price Data'!BD242</f>
        <v>0</v>
      </c>
      <c r="AY241" s="30">
        <f>'Equity Volume Data'!BB241*'Equity Price Data'!BE242</f>
        <v>46089.3</v>
      </c>
      <c r="AZ241" s="30">
        <f>'Equity Volume Data'!BC241*'Equity Price Data'!BF242</f>
        <v>9739.5</v>
      </c>
      <c r="BA241" s="30">
        <f>'Equity Volume Data'!BD241*'Equity Price Data'!BG242</f>
        <v>4379.5</v>
      </c>
      <c r="BB241" s="30">
        <f>'Equity Volume Data'!BE241*'Equity Price Data'!BH242</f>
        <v>9984</v>
      </c>
      <c r="BC241" s="30">
        <f>'Equity Volume Data'!BF241*'Equity Price Data'!BI242</f>
        <v>13602.16</v>
      </c>
      <c r="BD241" s="30">
        <f>'Equity Volume Data'!BG241*'Equity Price Data'!BJ242</f>
        <v>50432.01</v>
      </c>
      <c r="BE241" s="30">
        <f>'Equity Volume Data'!BH241*'Equity Price Data'!BK242</f>
        <v>9690.82</v>
      </c>
      <c r="BF241" s="30">
        <f>'Equity Volume Data'!BI241*'Equity Price Data'!BL242</f>
        <v>7725.2</v>
      </c>
      <c r="BG241" s="30">
        <f>'Equity Volume Data'!BJ241*'Equity Price Data'!BM242</f>
        <v>25072.82</v>
      </c>
      <c r="BH241" s="30">
        <f>'Equity Volume Data'!BK241*'Equity Price Data'!BN242</f>
        <v>0</v>
      </c>
      <c r="BI241" s="30">
        <f>'Equity Volume Data'!BL241*'Equity Price Data'!BO242</f>
        <v>34017.6</v>
      </c>
      <c r="BJ241" s="30">
        <f>'Equity Volume Data'!BM241*'Equity Price Data'!BP242</f>
        <v>31500</v>
      </c>
      <c r="BK241" s="30">
        <f>'Equity Volume Data'!BN241*'Equity Price Data'!BQ242</f>
        <v>90334.26</v>
      </c>
      <c r="BL241" s="30">
        <f>'Equity Volume Data'!BO241*'Equity Price Data'!BR242</f>
        <v>387.75</v>
      </c>
      <c r="BM241" s="30">
        <f>'Equity Volume Data'!BP241*'Equity Price Data'!BS242</f>
        <v>10995.84</v>
      </c>
      <c r="BN241" s="30">
        <f>'Equity Volume Data'!BQ241*'Equity Price Data'!BT242</f>
        <v>16950.08</v>
      </c>
      <c r="BO241" s="30">
        <f>'Equity Volume Data'!BR241*'Equity Price Data'!BU242</f>
        <v>28381</v>
      </c>
    </row>
    <row r="242">
      <c r="A242" s="25">
        <f>'Equity Price Data'!A243</f>
        <v>45776.66667</v>
      </c>
      <c r="B242" s="29">
        <f t="shared" si="1"/>
        <v>1296896.14</v>
      </c>
      <c r="C242" s="30">
        <f>'Equity Volume Data'!F242*'Equity Price Data'!I243</f>
        <v>4822.74</v>
      </c>
      <c r="D242" s="30">
        <f>'Equity Volume Data'!G242*'Equity Price Data'!J243</f>
        <v>48721.4</v>
      </c>
      <c r="E242" s="30">
        <f>'Equity Volume Data'!H242*'Equity Price Data'!K243</f>
        <v>16044.6</v>
      </c>
      <c r="F242" s="30">
        <f>'Equity Volume Data'!I242*'Equity Price Data'!L243</f>
        <v>54069.76</v>
      </c>
      <c r="G242" s="30">
        <f>'Equity Volume Data'!J242*'Equity Price Data'!M243</f>
        <v>12412.65</v>
      </c>
      <c r="H242" s="30">
        <f>'Equity Volume Data'!K242*'Equity Price Data'!N243</f>
        <v>15047.52</v>
      </c>
      <c r="I242" s="30">
        <f>'Equity Volume Data'!L242*'Equity Price Data'!O243</f>
        <v>16130</v>
      </c>
      <c r="J242" s="30">
        <f>'Equity Volume Data'!M242*'Equity Price Data'!P243</f>
        <v>54526.14</v>
      </c>
      <c r="K242" s="30">
        <f>'Equity Volume Data'!N242*'Equity Price Data'!Q243</f>
        <v>9720</v>
      </c>
      <c r="L242" s="30">
        <f>'Equity Volume Data'!O242*'Equity Price Data'!R243</f>
        <v>14540.57</v>
      </c>
      <c r="M242" s="30">
        <f>'Equity Volume Data'!P242*'Equity Price Data'!S243</f>
        <v>0</v>
      </c>
      <c r="N242" s="30">
        <f>'Equity Volume Data'!Q242*'Equity Price Data'!T243</f>
        <v>4865.6</v>
      </c>
      <c r="O242" s="30">
        <f>'Equity Volume Data'!R242*'Equity Price Data'!U243</f>
        <v>46110</v>
      </c>
      <c r="P242" s="30">
        <f>'Equity Volume Data'!S242*'Equity Price Data'!V243</f>
        <v>18940.14</v>
      </c>
      <c r="Q242" s="30">
        <f>'Equity Volume Data'!T242*'Equity Price Data'!W243</f>
        <v>25836</v>
      </c>
      <c r="R242" s="30">
        <f>'Equity Volume Data'!U242*'Equity Price Data'!X243</f>
        <v>11144</v>
      </c>
      <c r="S242" s="30">
        <f>'Equity Volume Data'!V242*'Equity Price Data'!Y243</f>
        <v>29674.48</v>
      </c>
      <c r="T242" s="30">
        <f>'Equity Volume Data'!W242*'Equity Price Data'!Z243</f>
        <v>9387.5</v>
      </c>
      <c r="U242" s="30">
        <f>'Equity Volume Data'!X242*'Equity Price Data'!AA243</f>
        <v>19100.4</v>
      </c>
      <c r="V242" s="30">
        <f>'Equity Volume Data'!Y242*'Equity Price Data'!AB243</f>
        <v>18052.93</v>
      </c>
      <c r="W242" s="30">
        <f>'Equity Volume Data'!Z242*'Equity Price Data'!AC243</f>
        <v>11031.03</v>
      </c>
      <c r="X242" s="30">
        <f>'Equity Volume Data'!AA242*'Equity Price Data'!AD243</f>
        <v>0</v>
      </c>
      <c r="Y242" s="30">
        <f>'Equity Volume Data'!AB242*'Equity Price Data'!AE243</f>
        <v>6414.59</v>
      </c>
      <c r="Z242" s="30">
        <f>'Equity Volume Data'!AC242*'Equity Price Data'!AF243</f>
        <v>10080</v>
      </c>
      <c r="AA242" s="30">
        <f>'Equity Volume Data'!AD242*'Equity Price Data'!AG243</f>
        <v>18421.2</v>
      </c>
      <c r="AB242" s="30">
        <f>'Equity Volume Data'!AE242*'Equity Price Data'!AH243</f>
        <v>12591</v>
      </c>
      <c r="AC242" s="30">
        <f>'Equity Volume Data'!AF242*'Equity Price Data'!AI243</f>
        <v>18509.6</v>
      </c>
      <c r="AD242" s="30">
        <f>'Equity Volume Data'!AG242*'Equity Price Data'!AJ243</f>
        <v>12243.6</v>
      </c>
      <c r="AE242" s="30">
        <f>'Equity Volume Data'!AH242*'Equity Price Data'!AK243</f>
        <v>0</v>
      </c>
      <c r="AF242" s="30">
        <f>'Equity Volume Data'!AI242*'Equity Price Data'!AL243</f>
        <v>21363.05</v>
      </c>
      <c r="AG242" s="30">
        <f>'Equity Volume Data'!AJ242*'Equity Price Data'!AM243</f>
        <v>32935.2</v>
      </c>
      <c r="AH242" s="30">
        <f>'Equity Volume Data'!AK242*'Equity Price Data'!AN243</f>
        <v>35900</v>
      </c>
      <c r="AI242" s="30">
        <f>'Equity Volume Data'!AL242*'Equity Price Data'!AO243</f>
        <v>23789.5</v>
      </c>
      <c r="AJ242" s="30">
        <f>'Equity Volume Data'!AM242*'Equity Price Data'!AP243</f>
        <v>21622.9</v>
      </c>
      <c r="AK242" s="30">
        <f>'Equity Volume Data'!AN242*'Equity Price Data'!AQ243</f>
        <v>24199.83</v>
      </c>
      <c r="AL242" s="30">
        <f>'Equity Volume Data'!AO242*'Equity Price Data'!AR243</f>
        <v>39139.2</v>
      </c>
      <c r="AM242" s="30">
        <f>'Equity Volume Data'!AP242*'Equity Price Data'!AS243</f>
        <v>33311.6</v>
      </c>
      <c r="AN242" s="30">
        <f>'Equity Volume Data'!AQ242*'Equity Price Data'!AT243</f>
        <v>0</v>
      </c>
      <c r="AO242" s="30">
        <f>'Equity Volume Data'!AR242*'Equity Price Data'!AU243</f>
        <v>26226.34</v>
      </c>
      <c r="AP242" s="30">
        <f>'Equity Volume Data'!AS242*'Equity Price Data'!AV243</f>
        <v>21150</v>
      </c>
      <c r="AQ242" s="30">
        <f>'Equity Volume Data'!AT242*'Equity Price Data'!AW243</f>
        <v>16812.4</v>
      </c>
      <c r="AR242" s="30">
        <f>'Equity Volume Data'!AU242*'Equity Price Data'!AX243</f>
        <v>10397.34</v>
      </c>
      <c r="AS242" s="30">
        <f>'Equity Volume Data'!AV242*'Equity Price Data'!AY243</f>
        <v>47284.8</v>
      </c>
      <c r="AT242" s="30">
        <f>'Equity Volume Data'!AW242*'Equity Price Data'!AZ243</f>
        <v>13450</v>
      </c>
      <c r="AU242" s="30">
        <f>'Equity Volume Data'!AX242*'Equity Price Data'!BA243</f>
        <v>0</v>
      </c>
      <c r="AV242" s="30">
        <f>'Equity Volume Data'!AY242*'Equity Price Data'!BB243</f>
        <v>15480.84</v>
      </c>
      <c r="AW242" s="30">
        <f>'Equity Volume Data'!AZ242*'Equity Price Data'!BC243</f>
        <v>3796</v>
      </c>
      <c r="AX242" s="30">
        <f>'Equity Volume Data'!BA242*'Equity Price Data'!BD243</f>
        <v>0</v>
      </c>
      <c r="AY242" s="30">
        <f>'Equity Volume Data'!BB242*'Equity Price Data'!BE243</f>
        <v>46664.16</v>
      </c>
      <c r="AZ242" s="30">
        <f>'Equity Volume Data'!BC242*'Equity Price Data'!BF243</f>
        <v>9948</v>
      </c>
      <c r="BA242" s="30">
        <f>'Equity Volume Data'!BD242*'Equity Price Data'!BG243</f>
        <v>4520.1</v>
      </c>
      <c r="BB242" s="30">
        <f>'Equity Volume Data'!BE242*'Equity Price Data'!BH243</f>
        <v>10058.4</v>
      </c>
      <c r="BC242" s="30">
        <f>'Equity Volume Data'!BF242*'Equity Price Data'!BI243</f>
        <v>13339.76</v>
      </c>
      <c r="BD242" s="30">
        <f>'Equity Volume Data'!BG242*'Equity Price Data'!BJ243</f>
        <v>51458.67</v>
      </c>
      <c r="BE242" s="30">
        <f>'Equity Volume Data'!BH242*'Equity Price Data'!BK243</f>
        <v>9833.19</v>
      </c>
      <c r="BF242" s="30">
        <f>'Equity Volume Data'!BI242*'Equity Price Data'!BL243</f>
        <v>7815.6</v>
      </c>
      <c r="BG242" s="30">
        <f>'Equity Volume Data'!BJ242*'Equity Price Data'!BM243</f>
        <v>25695.54</v>
      </c>
      <c r="BH242" s="30">
        <f>'Equity Volume Data'!BK242*'Equity Price Data'!BN243</f>
        <v>0</v>
      </c>
      <c r="BI242" s="30">
        <f>'Equity Volume Data'!BL242*'Equity Price Data'!BO243</f>
        <v>34326.4</v>
      </c>
      <c r="BJ242" s="30">
        <f>'Equity Volume Data'!BM242*'Equity Price Data'!BP243</f>
        <v>30692.25</v>
      </c>
      <c r="BK242" s="30">
        <f>'Equity Volume Data'!BN242*'Equity Price Data'!BQ243</f>
        <v>90352.28</v>
      </c>
      <c r="BL242" s="30">
        <f>'Equity Volume Data'!BO242*'Equity Price Data'!BR243</f>
        <v>391.98</v>
      </c>
      <c r="BM242" s="30">
        <f>'Equity Volume Data'!BP242*'Equity Price Data'!BS243</f>
        <v>10982.4</v>
      </c>
      <c r="BN242" s="30">
        <f>'Equity Volume Data'!BQ242*'Equity Price Data'!BT243</f>
        <v>17139.96</v>
      </c>
      <c r="BO242" s="30">
        <f>'Equity Volume Data'!BR242*'Equity Price Data'!BU243</f>
        <v>28381</v>
      </c>
    </row>
    <row r="243">
      <c r="A243" s="25">
        <f>'Equity Price Data'!A244</f>
        <v>45777.66667</v>
      </c>
      <c r="B243" s="29">
        <f t="shared" si="1"/>
        <v>1299966.86</v>
      </c>
      <c r="C243" s="30">
        <f>'Equity Volume Data'!F243*'Equity Price Data'!I244</f>
        <v>4874.74</v>
      </c>
      <c r="D243" s="30">
        <f>'Equity Volume Data'!G243*'Equity Price Data'!J244</f>
        <v>47949.2</v>
      </c>
      <c r="E243" s="30">
        <f>'Equity Volume Data'!H243*'Equity Price Data'!K244</f>
        <v>16171.1</v>
      </c>
      <c r="F243" s="30">
        <f>'Equity Volume Data'!I243*'Equity Price Data'!L244</f>
        <v>54400</v>
      </c>
      <c r="G243" s="30">
        <f>'Equity Volume Data'!J243*'Equity Price Data'!M244</f>
        <v>12508.93</v>
      </c>
      <c r="H243" s="30">
        <f>'Equity Volume Data'!K243*'Equity Price Data'!N244</f>
        <v>15117.08</v>
      </c>
      <c r="I243" s="30">
        <f>'Equity Volume Data'!L243*'Equity Price Data'!O244</f>
        <v>16060</v>
      </c>
      <c r="J243" s="30">
        <f>'Equity Volume Data'!M243*'Equity Price Data'!P244</f>
        <v>54391.5</v>
      </c>
      <c r="K243" s="30">
        <f>'Equity Volume Data'!N243*'Equity Price Data'!Q244</f>
        <v>9510</v>
      </c>
      <c r="L243" s="30">
        <f>'Equity Volume Data'!O243*'Equity Price Data'!R244</f>
        <v>14650.68</v>
      </c>
      <c r="M243" s="30">
        <f>'Equity Volume Data'!P243*'Equity Price Data'!S244</f>
        <v>0</v>
      </c>
      <c r="N243" s="30">
        <f>'Equity Volume Data'!Q243*'Equity Price Data'!T244</f>
        <v>5003.2</v>
      </c>
      <c r="O243" s="30">
        <f>'Equity Volume Data'!R243*'Equity Price Data'!U244</f>
        <v>46390.5</v>
      </c>
      <c r="P243" s="30">
        <f>'Equity Volume Data'!S243*'Equity Price Data'!V244</f>
        <v>18827.55</v>
      </c>
      <c r="Q243" s="30">
        <f>'Equity Volume Data'!T243*'Equity Price Data'!W244</f>
        <v>26347.2</v>
      </c>
      <c r="R243" s="30">
        <f>'Equity Volume Data'!U243*'Equity Price Data'!X244</f>
        <v>10884.8</v>
      </c>
      <c r="S243" s="30">
        <f>'Equity Volume Data'!V243*'Equity Price Data'!Y244</f>
        <v>29923.52</v>
      </c>
      <c r="T243" s="30">
        <f>'Equity Volume Data'!W243*'Equity Price Data'!Z244</f>
        <v>9222.5</v>
      </c>
      <c r="U243" s="30">
        <f>'Equity Volume Data'!X243*'Equity Price Data'!AA244</f>
        <v>19153.2</v>
      </c>
      <c r="V243" s="30">
        <f>'Equity Volume Data'!Y243*'Equity Price Data'!AB244</f>
        <v>18152.75</v>
      </c>
      <c r="W243" s="30">
        <f>'Equity Volume Data'!Z243*'Equity Price Data'!AC244</f>
        <v>11077.26</v>
      </c>
      <c r="X243" s="30">
        <f>'Equity Volume Data'!AA243*'Equity Price Data'!AD244</f>
        <v>0</v>
      </c>
      <c r="Y243" s="30">
        <f>'Equity Volume Data'!AB243*'Equity Price Data'!AE244</f>
        <v>6374.81</v>
      </c>
      <c r="Z243" s="30">
        <f>'Equity Volume Data'!AC243*'Equity Price Data'!AF244</f>
        <v>10224</v>
      </c>
      <c r="AA243" s="30">
        <f>'Equity Volume Data'!AD243*'Equity Price Data'!AG244</f>
        <v>17957.1</v>
      </c>
      <c r="AB243" s="30">
        <f>'Equity Volume Data'!AE243*'Equity Price Data'!AH244</f>
        <v>12619.8</v>
      </c>
      <c r="AC243" s="30">
        <f>'Equity Volume Data'!AF243*'Equity Price Data'!AI244</f>
        <v>18471.2</v>
      </c>
      <c r="AD243" s="30">
        <f>'Equity Volume Data'!AG243*'Equity Price Data'!AJ244</f>
        <v>12245.4</v>
      </c>
      <c r="AE243" s="30">
        <f>'Equity Volume Data'!AH243*'Equity Price Data'!AK244</f>
        <v>0</v>
      </c>
      <c r="AF243" s="30">
        <f>'Equity Volume Data'!AI243*'Equity Price Data'!AL244</f>
        <v>21840.7</v>
      </c>
      <c r="AG243" s="30">
        <f>'Equity Volume Data'!AJ243*'Equity Price Data'!AM244</f>
        <v>32853</v>
      </c>
      <c r="AH243" s="30">
        <f>'Equity Volume Data'!AK243*'Equity Price Data'!AN244</f>
        <v>36049</v>
      </c>
      <c r="AI243" s="30">
        <f>'Equity Volume Data'!AL243*'Equity Price Data'!AO244</f>
        <v>23588.25</v>
      </c>
      <c r="AJ243" s="30">
        <f>'Equity Volume Data'!AM243*'Equity Price Data'!AP244</f>
        <v>21836.1</v>
      </c>
      <c r="AK243" s="30">
        <f>'Equity Volume Data'!AN243*'Equity Price Data'!AQ244</f>
        <v>24242.6</v>
      </c>
      <c r="AL243" s="30">
        <f>'Equity Volume Data'!AO243*'Equity Price Data'!AR244</f>
        <v>39139.2</v>
      </c>
      <c r="AM243" s="30">
        <f>'Equity Volume Data'!AP243*'Equity Price Data'!AS244</f>
        <v>33442.5</v>
      </c>
      <c r="AN243" s="30">
        <f>'Equity Volume Data'!AQ243*'Equity Price Data'!AT244</f>
        <v>0</v>
      </c>
      <c r="AO243" s="30">
        <f>'Equity Volume Data'!AR243*'Equity Price Data'!AU244</f>
        <v>26149.48</v>
      </c>
      <c r="AP243" s="30">
        <f>'Equity Volume Data'!AS243*'Equity Price Data'!AV244</f>
        <v>21190</v>
      </c>
      <c r="AQ243" s="30">
        <f>'Equity Volume Data'!AT243*'Equity Price Data'!AW244</f>
        <v>16581.4</v>
      </c>
      <c r="AR243" s="30">
        <f>'Equity Volume Data'!AU243*'Equity Price Data'!AX244</f>
        <v>10346.58</v>
      </c>
      <c r="AS243" s="30">
        <f>'Equity Volume Data'!AV243*'Equity Price Data'!AY244</f>
        <v>47431.2</v>
      </c>
      <c r="AT243" s="30">
        <f>'Equity Volume Data'!AW243*'Equity Price Data'!AZ244</f>
        <v>13376</v>
      </c>
      <c r="AU243" s="30">
        <f>'Equity Volume Data'!AX243*'Equity Price Data'!BA244</f>
        <v>0</v>
      </c>
      <c r="AV243" s="30">
        <f>'Equity Volume Data'!AY243*'Equity Price Data'!BB244</f>
        <v>15466.64</v>
      </c>
      <c r="AW243" s="30">
        <f>'Equity Volume Data'!AZ243*'Equity Price Data'!BC244</f>
        <v>3850.8</v>
      </c>
      <c r="AX243" s="30">
        <f>'Equity Volume Data'!BA243*'Equity Price Data'!BD244</f>
        <v>0</v>
      </c>
      <c r="AY243" s="30">
        <f>'Equity Volume Data'!BB243*'Equity Price Data'!BE244</f>
        <v>47612.88</v>
      </c>
      <c r="AZ243" s="30">
        <f>'Equity Volume Data'!BC243*'Equity Price Data'!BF244</f>
        <v>9876</v>
      </c>
      <c r="BA243" s="30">
        <f>'Equity Volume Data'!BD243*'Equity Price Data'!BG244</f>
        <v>4637.9</v>
      </c>
      <c r="BB243" s="30">
        <f>'Equity Volume Data'!BE243*'Equity Price Data'!BH244</f>
        <v>10090.4</v>
      </c>
      <c r="BC243" s="30">
        <f>'Equity Volume Data'!BF243*'Equity Price Data'!BI244</f>
        <v>13244.64</v>
      </c>
      <c r="BD243" s="30">
        <f>'Equity Volume Data'!BG243*'Equity Price Data'!BJ244</f>
        <v>52600.35</v>
      </c>
      <c r="BE243" s="30">
        <f>'Equity Volume Data'!BH243*'Equity Price Data'!BK244</f>
        <v>9867</v>
      </c>
      <c r="BF243" s="30">
        <f>'Equity Volume Data'!BI243*'Equity Price Data'!BL244</f>
        <v>7648.8</v>
      </c>
      <c r="BG243" s="30">
        <f>'Equity Volume Data'!BJ243*'Equity Price Data'!BM244</f>
        <v>25578.78</v>
      </c>
      <c r="BH243" s="30">
        <f>'Equity Volume Data'!BK243*'Equity Price Data'!BN244</f>
        <v>0</v>
      </c>
      <c r="BI243" s="30">
        <f>'Equity Volume Data'!BL243*'Equity Price Data'!BO244</f>
        <v>34505.6</v>
      </c>
      <c r="BJ243" s="30">
        <f>'Equity Volume Data'!BM243*'Equity Price Data'!BP244</f>
        <v>30858</v>
      </c>
      <c r="BK243" s="30">
        <f>'Equity Volume Data'!BN243*'Equity Price Data'!BQ244</f>
        <v>90478.42</v>
      </c>
      <c r="BL243" s="30">
        <f>'Equity Volume Data'!BO243*'Equity Price Data'!BR244</f>
        <v>395.74</v>
      </c>
      <c r="BM243" s="30">
        <f>'Equity Volume Data'!BP243*'Equity Price Data'!BS244</f>
        <v>11201.28</v>
      </c>
      <c r="BN243" s="30">
        <f>'Equity Volume Data'!BQ243*'Equity Price Data'!BT244</f>
        <v>17098.6</v>
      </c>
      <c r="BO243" s="30">
        <f>'Equity Volume Data'!BR243*'Equity Price Data'!BU244</f>
        <v>28381</v>
      </c>
    </row>
    <row r="244">
      <c r="A244" s="25">
        <f>'Equity Price Data'!A245</f>
        <v>45778.66667</v>
      </c>
      <c r="B244" s="29">
        <f t="shared" si="1"/>
        <v>1303304.56</v>
      </c>
      <c r="C244" s="30">
        <f>'Equity Volume Data'!F244*'Equity Price Data'!I245</f>
        <v>4870.19</v>
      </c>
      <c r="D244" s="30">
        <f>'Equity Volume Data'!G244*'Equity Price Data'!J245</f>
        <v>49452</v>
      </c>
      <c r="E244" s="30">
        <f>'Equity Volume Data'!H244*'Equity Price Data'!K245</f>
        <v>16107.3</v>
      </c>
      <c r="F244" s="30">
        <f>'Equity Volume Data'!I244*'Equity Price Data'!L245</f>
        <v>54609.92</v>
      </c>
      <c r="G244" s="30">
        <f>'Equity Volume Data'!J244*'Equity Price Data'!M245</f>
        <v>12363.68</v>
      </c>
      <c r="H244" s="30">
        <f>'Equity Volume Data'!K244*'Equity Price Data'!N245</f>
        <v>15211.08</v>
      </c>
      <c r="I244" s="30">
        <f>'Equity Volume Data'!L244*'Equity Price Data'!O245</f>
        <v>15820</v>
      </c>
      <c r="J244" s="30">
        <f>'Equity Volume Data'!M244*'Equity Price Data'!P245</f>
        <v>54083.46</v>
      </c>
      <c r="K244" s="30">
        <f>'Equity Volume Data'!N244*'Equity Price Data'!Q245</f>
        <v>9542</v>
      </c>
      <c r="L244" s="30">
        <f>'Equity Volume Data'!O244*'Equity Price Data'!R245</f>
        <v>14632.53</v>
      </c>
      <c r="M244" s="30">
        <f>'Equity Volume Data'!P244*'Equity Price Data'!S245</f>
        <v>0</v>
      </c>
      <c r="N244" s="30">
        <f>'Equity Volume Data'!Q244*'Equity Price Data'!T245</f>
        <v>5584</v>
      </c>
      <c r="O244" s="30">
        <f>'Equity Volume Data'!R244*'Equity Price Data'!U245</f>
        <v>47094</v>
      </c>
      <c r="P244" s="30">
        <f>'Equity Volume Data'!S244*'Equity Price Data'!V245</f>
        <v>18977.67</v>
      </c>
      <c r="Q244" s="30">
        <f>'Equity Volume Data'!T244*'Equity Price Data'!W245</f>
        <v>25683.6</v>
      </c>
      <c r="R244" s="30">
        <f>'Equity Volume Data'!U244*'Equity Price Data'!X245</f>
        <v>10900.8</v>
      </c>
      <c r="S244" s="30">
        <f>'Equity Volume Data'!V244*'Equity Price Data'!Y245</f>
        <v>29495.84</v>
      </c>
      <c r="T244" s="30">
        <f>'Equity Volume Data'!W244*'Equity Price Data'!Z245</f>
        <v>9322.5</v>
      </c>
      <c r="U244" s="30">
        <f>'Equity Volume Data'!X244*'Equity Price Data'!AA245</f>
        <v>18820.56</v>
      </c>
      <c r="V244" s="30">
        <f>'Equity Volume Data'!Y244*'Equity Price Data'!AB245</f>
        <v>18122.16</v>
      </c>
      <c r="W244" s="30">
        <f>'Equity Volume Data'!Z244*'Equity Price Data'!AC245</f>
        <v>11169.72</v>
      </c>
      <c r="X244" s="30">
        <f>'Equity Volume Data'!AA244*'Equity Price Data'!AD245</f>
        <v>0</v>
      </c>
      <c r="Y244" s="30">
        <f>'Equity Volume Data'!AB244*'Equity Price Data'!AE245</f>
        <v>6258.07</v>
      </c>
      <c r="Z244" s="30">
        <f>'Equity Volume Data'!AC244*'Equity Price Data'!AF245</f>
        <v>10150.5</v>
      </c>
      <c r="AA244" s="30">
        <f>'Equity Volume Data'!AD244*'Equity Price Data'!AG245</f>
        <v>17982.6</v>
      </c>
      <c r="AB244" s="30">
        <f>'Equity Volume Data'!AE244*'Equity Price Data'!AH245</f>
        <v>12603.6</v>
      </c>
      <c r="AC244" s="30">
        <f>'Equity Volume Data'!AF244*'Equity Price Data'!AI245</f>
        <v>18404.8</v>
      </c>
      <c r="AD244" s="30">
        <f>'Equity Volume Data'!AG244*'Equity Price Data'!AJ245</f>
        <v>12217.95</v>
      </c>
      <c r="AE244" s="30">
        <f>'Equity Volume Data'!AH244*'Equity Price Data'!AK245</f>
        <v>0</v>
      </c>
      <c r="AF244" s="30">
        <f>'Equity Volume Data'!AI244*'Equity Price Data'!AL245</f>
        <v>21166.25</v>
      </c>
      <c r="AG244" s="30">
        <f>'Equity Volume Data'!AJ244*'Equity Price Data'!AM245</f>
        <v>33229.8</v>
      </c>
      <c r="AH244" s="30">
        <f>'Equity Volume Data'!AK244*'Equity Price Data'!AN245</f>
        <v>35830</v>
      </c>
      <c r="AI244" s="30">
        <f>'Equity Volume Data'!AL244*'Equity Price Data'!AO245</f>
        <v>24661</v>
      </c>
      <c r="AJ244" s="30">
        <f>'Equity Volume Data'!AM244*'Equity Price Data'!AP245</f>
        <v>22209.2</v>
      </c>
      <c r="AK244" s="30">
        <f>'Equity Volume Data'!AN244*'Equity Price Data'!AQ245</f>
        <v>24307.46</v>
      </c>
      <c r="AL244" s="30">
        <f>'Equity Volume Data'!AO244*'Equity Price Data'!AR245</f>
        <v>39502.4</v>
      </c>
      <c r="AM244" s="30">
        <f>'Equity Volume Data'!AP244*'Equity Price Data'!AS245</f>
        <v>33440.4</v>
      </c>
      <c r="AN244" s="30">
        <f>'Equity Volume Data'!AQ244*'Equity Price Data'!AT245</f>
        <v>0</v>
      </c>
      <c r="AO244" s="30">
        <f>'Equity Volume Data'!AR244*'Equity Price Data'!AU245</f>
        <v>26337.36</v>
      </c>
      <c r="AP244" s="30">
        <f>'Equity Volume Data'!AS244*'Equity Price Data'!AV245</f>
        <v>20890</v>
      </c>
      <c r="AQ244" s="30">
        <f>'Equity Volume Data'!AT244*'Equity Price Data'!AW245</f>
        <v>16669.4</v>
      </c>
      <c r="AR244" s="30">
        <f>'Equity Volume Data'!AU244*'Equity Price Data'!AX245</f>
        <v>10295.82</v>
      </c>
      <c r="AS244" s="30">
        <f>'Equity Volume Data'!AV244*'Equity Price Data'!AY245</f>
        <v>51048</v>
      </c>
      <c r="AT244" s="30">
        <f>'Equity Volume Data'!AW244*'Equity Price Data'!AZ245</f>
        <v>13210</v>
      </c>
      <c r="AU244" s="30">
        <f>'Equity Volume Data'!AX244*'Equity Price Data'!BA245</f>
        <v>0</v>
      </c>
      <c r="AV244" s="30">
        <f>'Equity Volume Data'!AY244*'Equity Price Data'!BB245</f>
        <v>15848.62</v>
      </c>
      <c r="AW244" s="30">
        <f>'Equity Volume Data'!AZ244*'Equity Price Data'!BC245</f>
        <v>3855.6</v>
      </c>
      <c r="AX244" s="30">
        <f>'Equity Volume Data'!BA244*'Equity Price Data'!BD245</f>
        <v>0</v>
      </c>
      <c r="AY244" s="30">
        <f>'Equity Volume Data'!BB244*'Equity Price Data'!BE245</f>
        <v>46712.4</v>
      </c>
      <c r="AZ244" s="30">
        <f>'Equity Volume Data'!BC244*'Equity Price Data'!BF245</f>
        <v>9811.5</v>
      </c>
      <c r="BA244" s="30">
        <f>'Equity Volume Data'!BD244*'Equity Price Data'!BG245</f>
        <v>4546.7</v>
      </c>
      <c r="BB244" s="30">
        <f>'Equity Volume Data'!BE244*'Equity Price Data'!BH245</f>
        <v>10192.8</v>
      </c>
      <c r="BC244" s="30">
        <f>'Equity Volume Data'!BF244*'Equity Price Data'!BI245</f>
        <v>13329.92</v>
      </c>
      <c r="BD244" s="30">
        <f>'Equity Volume Data'!BG244*'Equity Price Data'!BJ245</f>
        <v>52611</v>
      </c>
      <c r="BE244" s="30">
        <f>'Equity Volume Data'!BH244*'Equity Price Data'!BK245</f>
        <v>9657.47</v>
      </c>
      <c r="BF244" s="30">
        <f>'Equity Volume Data'!BI244*'Equity Price Data'!BL245</f>
        <v>7623.2</v>
      </c>
      <c r="BG244" s="30">
        <f>'Equity Volume Data'!BJ244*'Equity Price Data'!BM245</f>
        <v>25145.1</v>
      </c>
      <c r="BH244" s="30">
        <f>'Equity Volume Data'!BK244*'Equity Price Data'!BN245</f>
        <v>0</v>
      </c>
      <c r="BI244" s="30">
        <f>'Equity Volume Data'!BL244*'Equity Price Data'!BO245</f>
        <v>34252.8</v>
      </c>
      <c r="BJ244" s="30">
        <f>'Equity Volume Data'!BM244*'Equity Price Data'!BP245</f>
        <v>30051</v>
      </c>
      <c r="BK244" s="30">
        <f>'Equity Volume Data'!BN244*'Equity Price Data'!BQ245</f>
        <v>90334.26</v>
      </c>
      <c r="BL244" s="30">
        <f>'Equity Volume Data'!BO244*'Equity Price Data'!BR245</f>
        <v>398.09</v>
      </c>
      <c r="BM244" s="30">
        <f>'Equity Volume Data'!BP244*'Equity Price Data'!BS245</f>
        <v>11203.2</v>
      </c>
      <c r="BN244" s="30">
        <f>'Equity Volume Data'!BQ244*'Equity Price Data'!BT245</f>
        <v>17072.28</v>
      </c>
      <c r="BO244" s="30">
        <f>'Equity Volume Data'!BR244*'Equity Price Data'!BU245</f>
        <v>28381</v>
      </c>
    </row>
    <row r="245">
      <c r="A245" s="25">
        <f>'Equity Price Data'!A246</f>
        <v>45779.66667</v>
      </c>
      <c r="B245" s="29">
        <f t="shared" si="1"/>
        <v>1320524.5</v>
      </c>
      <c r="C245" s="30">
        <f>'Equity Volume Data'!F245*'Equity Price Data'!I246</f>
        <v>4951.31</v>
      </c>
      <c r="D245" s="30">
        <f>'Equity Volume Data'!G245*'Equity Price Data'!J246</f>
        <v>49394.8</v>
      </c>
      <c r="E245" s="30">
        <f>'Equity Volume Data'!H245*'Equity Price Data'!K246</f>
        <v>16182.1</v>
      </c>
      <c r="F245" s="30">
        <f>'Equity Volume Data'!I245*'Equity Price Data'!L246</f>
        <v>52569.6</v>
      </c>
      <c r="G245" s="30">
        <f>'Equity Volume Data'!J245*'Equity Price Data'!M246</f>
        <v>12873.3</v>
      </c>
      <c r="H245" s="30">
        <f>'Equity Volume Data'!K245*'Equity Price Data'!N246</f>
        <v>15442.32</v>
      </c>
      <c r="I245" s="30">
        <f>'Equity Volume Data'!L245*'Equity Price Data'!O246</f>
        <v>16250</v>
      </c>
      <c r="J245" s="30">
        <f>'Equity Volume Data'!M245*'Equity Price Data'!P246</f>
        <v>55059.6</v>
      </c>
      <c r="K245" s="30">
        <f>'Equity Volume Data'!N245*'Equity Price Data'!Q246</f>
        <v>9766</v>
      </c>
      <c r="L245" s="30">
        <f>'Equity Volume Data'!O245*'Equity Price Data'!R246</f>
        <v>14947.13</v>
      </c>
      <c r="M245" s="30">
        <f>'Equity Volume Data'!P245*'Equity Price Data'!S246</f>
        <v>0</v>
      </c>
      <c r="N245" s="30">
        <f>'Equity Volume Data'!Q245*'Equity Price Data'!T246</f>
        <v>5722.4</v>
      </c>
      <c r="O245" s="30">
        <f>'Equity Volume Data'!R245*'Equity Price Data'!U246</f>
        <v>48552</v>
      </c>
      <c r="P245" s="30">
        <f>'Equity Volume Data'!S245*'Equity Price Data'!V246</f>
        <v>19603.17</v>
      </c>
      <c r="Q245" s="30">
        <f>'Equity Volume Data'!T245*'Equity Price Data'!W246</f>
        <v>26106</v>
      </c>
      <c r="R245" s="30">
        <f>'Equity Volume Data'!U245*'Equity Price Data'!X246</f>
        <v>11080</v>
      </c>
      <c r="S245" s="30">
        <f>'Equity Volume Data'!V245*'Equity Price Data'!Y246</f>
        <v>29458</v>
      </c>
      <c r="T245" s="30">
        <f>'Equity Volume Data'!W245*'Equity Price Data'!Z246</f>
        <v>9662.5</v>
      </c>
      <c r="U245" s="30">
        <f>'Equity Volume Data'!X245*'Equity Price Data'!AA246</f>
        <v>18915.6</v>
      </c>
      <c r="V245" s="30">
        <f>'Equity Volume Data'!Y245*'Equity Price Data'!AB246</f>
        <v>17714.83</v>
      </c>
      <c r="W245" s="30">
        <f>'Equity Volume Data'!Z245*'Equity Price Data'!AC246</f>
        <v>11353.95</v>
      </c>
      <c r="X245" s="30">
        <f>'Equity Volume Data'!AA245*'Equity Price Data'!AD246</f>
        <v>0</v>
      </c>
      <c r="Y245" s="30">
        <f>'Equity Volume Data'!AB245*'Equity Price Data'!AE246</f>
        <v>6299.93</v>
      </c>
      <c r="Z245" s="30">
        <f>'Equity Volume Data'!AC245*'Equity Price Data'!AF246</f>
        <v>10290</v>
      </c>
      <c r="AA245" s="30">
        <f>'Equity Volume Data'!AD245*'Equity Price Data'!AG246</f>
        <v>18055.7</v>
      </c>
      <c r="AB245" s="30">
        <f>'Equity Volume Data'!AE245*'Equity Price Data'!AH246</f>
        <v>13183.2</v>
      </c>
      <c r="AC245" s="30">
        <f>'Equity Volume Data'!AF245*'Equity Price Data'!AI246</f>
        <v>18513.6</v>
      </c>
      <c r="AD245" s="30">
        <f>'Equity Volume Data'!AG245*'Equity Price Data'!AJ246</f>
        <v>12286.35</v>
      </c>
      <c r="AE245" s="30">
        <f>'Equity Volume Data'!AH245*'Equity Price Data'!AK246</f>
        <v>0</v>
      </c>
      <c r="AF245" s="30">
        <f>'Equity Volume Data'!AI245*'Equity Price Data'!AL246</f>
        <v>21254.4</v>
      </c>
      <c r="AG245" s="30">
        <f>'Equity Volume Data'!AJ245*'Equity Price Data'!AM246</f>
        <v>33966</v>
      </c>
      <c r="AH245" s="30">
        <f>'Equity Volume Data'!AK245*'Equity Price Data'!AN246</f>
        <v>36452</v>
      </c>
      <c r="AI245" s="30">
        <f>'Equity Volume Data'!AL245*'Equity Price Data'!AO246</f>
        <v>25788</v>
      </c>
      <c r="AJ245" s="30">
        <f>'Equity Volume Data'!AM245*'Equity Price Data'!AP246</f>
        <v>22548.5</v>
      </c>
      <c r="AK245" s="30">
        <f>'Equity Volume Data'!AN245*'Equity Price Data'!AQ246</f>
        <v>24882.74</v>
      </c>
      <c r="AL245" s="30">
        <f>'Equity Volume Data'!AO245*'Equity Price Data'!AR246</f>
        <v>40401.6</v>
      </c>
      <c r="AM245" s="30">
        <f>'Equity Volume Data'!AP245*'Equity Price Data'!AS246</f>
        <v>33096</v>
      </c>
      <c r="AN245" s="30">
        <f>'Equity Volume Data'!AQ245*'Equity Price Data'!AT246</f>
        <v>0</v>
      </c>
      <c r="AO245" s="30">
        <f>'Equity Volume Data'!AR245*'Equity Price Data'!AU246</f>
        <v>26960.78</v>
      </c>
      <c r="AP245" s="30">
        <f>'Equity Volume Data'!AS245*'Equity Price Data'!AV246</f>
        <v>21212.5</v>
      </c>
      <c r="AQ245" s="30">
        <f>'Equity Volume Data'!AT245*'Equity Price Data'!AW246</f>
        <v>17118.2</v>
      </c>
      <c r="AR245" s="30">
        <f>'Equity Volume Data'!AU245*'Equity Price Data'!AX246</f>
        <v>10579.23</v>
      </c>
      <c r="AS245" s="30">
        <f>'Equity Volume Data'!AV245*'Equity Price Data'!AY246</f>
        <v>52233.6</v>
      </c>
      <c r="AT245" s="30">
        <f>'Equity Volume Data'!AW245*'Equity Price Data'!AZ246</f>
        <v>13418</v>
      </c>
      <c r="AU245" s="30">
        <f>'Equity Volume Data'!AX245*'Equity Price Data'!BA246</f>
        <v>0</v>
      </c>
      <c r="AV245" s="30">
        <f>'Equity Volume Data'!AY245*'Equity Price Data'!BB246</f>
        <v>16259</v>
      </c>
      <c r="AW245" s="30">
        <f>'Equity Volume Data'!AZ245*'Equity Price Data'!BC246</f>
        <v>3892.8</v>
      </c>
      <c r="AX245" s="30">
        <f>'Equity Volume Data'!BA245*'Equity Price Data'!BD246</f>
        <v>0</v>
      </c>
      <c r="AY245" s="30">
        <f>'Equity Volume Data'!BB245*'Equity Price Data'!BE246</f>
        <v>49960.56</v>
      </c>
      <c r="AZ245" s="30">
        <f>'Equity Volume Data'!BC245*'Equity Price Data'!BF246</f>
        <v>10086</v>
      </c>
      <c r="BA245" s="30">
        <f>'Equity Volume Data'!BD245*'Equity Price Data'!BG246</f>
        <v>4598</v>
      </c>
      <c r="BB245" s="30">
        <f>'Equity Volume Data'!BE245*'Equity Price Data'!BH246</f>
        <v>10416.8</v>
      </c>
      <c r="BC245" s="30">
        <f>'Equity Volume Data'!BF245*'Equity Price Data'!BI246</f>
        <v>13356.16</v>
      </c>
      <c r="BD245" s="30">
        <f>'Equity Volume Data'!BG245*'Equity Price Data'!BJ246</f>
        <v>53011.44</v>
      </c>
      <c r="BE245" s="30">
        <f>'Equity Volume Data'!BH245*'Equity Price Data'!BK246</f>
        <v>9741.65</v>
      </c>
      <c r="BF245" s="30">
        <f>'Equity Volume Data'!BI245*'Equity Price Data'!BL246</f>
        <v>7689.6</v>
      </c>
      <c r="BG245" s="30">
        <f>'Equity Volume Data'!BJ245*'Equity Price Data'!BM246</f>
        <v>25014.44</v>
      </c>
      <c r="BH245" s="30">
        <f>'Equity Volume Data'!BK245*'Equity Price Data'!BN246</f>
        <v>0</v>
      </c>
      <c r="BI245" s="30">
        <f>'Equity Volume Data'!BL245*'Equity Price Data'!BO246</f>
        <v>34926.4</v>
      </c>
      <c r="BJ245" s="30">
        <f>'Equity Volume Data'!BM245*'Equity Price Data'!BP246</f>
        <v>29994</v>
      </c>
      <c r="BK245" s="30">
        <f>'Equity Volume Data'!BN245*'Equity Price Data'!BQ246</f>
        <v>90027.92</v>
      </c>
      <c r="BL245" s="30">
        <f>'Equity Volume Data'!BO245*'Equity Price Data'!BR246</f>
        <v>406.55</v>
      </c>
      <c r="BM245" s="30">
        <f>'Equity Volume Data'!BP245*'Equity Price Data'!BS246</f>
        <v>11229.12</v>
      </c>
      <c r="BN245" s="30">
        <f>'Equity Volume Data'!BQ245*'Equity Price Data'!BT246</f>
        <v>17388.12</v>
      </c>
      <c r="BO245" s="30">
        <f>'Equity Volume Data'!BR245*'Equity Price Data'!BU246</f>
        <v>28381</v>
      </c>
    </row>
    <row r="246">
      <c r="A246" s="25">
        <f>'Equity Price Data'!A247</f>
        <v>45782.66667</v>
      </c>
      <c r="B246" s="29">
        <f t="shared" si="1"/>
        <v>1312957.47</v>
      </c>
      <c r="C246" s="30">
        <f>'Equity Volume Data'!F246*'Equity Price Data'!I247</f>
        <v>4953.78</v>
      </c>
      <c r="D246" s="30">
        <f>'Equity Volume Data'!G246*'Equity Price Data'!J247</f>
        <v>48451</v>
      </c>
      <c r="E246" s="30">
        <f>'Equity Volume Data'!H246*'Equity Price Data'!K247</f>
        <v>16296.5</v>
      </c>
      <c r="F246" s="30">
        <f>'Equity Volume Data'!I246*'Equity Price Data'!L247</f>
        <v>50915.84</v>
      </c>
      <c r="G246" s="30">
        <f>'Equity Volume Data'!J246*'Equity Price Data'!M247</f>
        <v>12832.63</v>
      </c>
      <c r="H246" s="30">
        <f>'Equity Volume Data'!K246*'Equity Price Data'!N247</f>
        <v>15449.84</v>
      </c>
      <c r="I246" s="30">
        <f>'Equity Volume Data'!L246*'Equity Price Data'!O247</f>
        <v>16380</v>
      </c>
      <c r="J246" s="30">
        <f>'Equity Volume Data'!M246*'Equity Price Data'!P247</f>
        <v>52239.3</v>
      </c>
      <c r="K246" s="30">
        <f>'Equity Volume Data'!N246*'Equity Price Data'!Q247</f>
        <v>9724</v>
      </c>
      <c r="L246" s="30">
        <f>'Equity Volume Data'!O246*'Equity Price Data'!R247</f>
        <v>14737.8</v>
      </c>
      <c r="M246" s="30">
        <f>'Equity Volume Data'!P246*'Equity Price Data'!S247</f>
        <v>0</v>
      </c>
      <c r="N246" s="30">
        <f>'Equity Volume Data'!Q246*'Equity Price Data'!T247</f>
        <v>5664.8</v>
      </c>
      <c r="O246" s="30">
        <f>'Equity Volume Data'!R246*'Equity Price Data'!U247</f>
        <v>48466.5</v>
      </c>
      <c r="P246" s="30">
        <f>'Equity Volume Data'!S246*'Equity Price Data'!V247</f>
        <v>19352.97</v>
      </c>
      <c r="Q246" s="30">
        <f>'Equity Volume Data'!T246*'Equity Price Data'!W247</f>
        <v>26419.2</v>
      </c>
      <c r="R246" s="30">
        <f>'Equity Volume Data'!U246*'Equity Price Data'!X247</f>
        <v>10840</v>
      </c>
      <c r="S246" s="30">
        <f>'Equity Volume Data'!V246*'Equity Price Data'!Y247</f>
        <v>29304.88</v>
      </c>
      <c r="T246" s="30">
        <f>'Equity Volume Data'!W246*'Equity Price Data'!Z247</f>
        <v>9677.5</v>
      </c>
      <c r="U246" s="30">
        <f>'Equity Volume Data'!X246*'Equity Price Data'!AA247</f>
        <v>18928.8</v>
      </c>
      <c r="V246" s="30">
        <f>'Equity Volume Data'!Y246*'Equity Price Data'!AB247</f>
        <v>17632.72</v>
      </c>
      <c r="W246" s="30">
        <f>'Equity Volume Data'!Z246*'Equity Price Data'!AC247</f>
        <v>11498.16</v>
      </c>
      <c r="X246" s="30">
        <f>'Equity Volume Data'!AA246*'Equity Price Data'!AD247</f>
        <v>0</v>
      </c>
      <c r="Y246" s="30">
        <f>'Equity Volume Data'!AB246*'Equity Price Data'!AE247</f>
        <v>6211.92</v>
      </c>
      <c r="Z246" s="30">
        <f>'Equity Volume Data'!AC246*'Equity Price Data'!AF247</f>
        <v>10546.5</v>
      </c>
      <c r="AA246" s="30">
        <f>'Equity Volume Data'!AD246*'Equity Price Data'!AG247</f>
        <v>17555.9</v>
      </c>
      <c r="AB246" s="30">
        <f>'Equity Volume Data'!AE246*'Equity Price Data'!AH247</f>
        <v>13019.4</v>
      </c>
      <c r="AC246" s="30">
        <f>'Equity Volume Data'!AF246*'Equity Price Data'!AI247</f>
        <v>18658.4</v>
      </c>
      <c r="AD246" s="30">
        <f>'Equity Volume Data'!AG246*'Equity Price Data'!AJ247</f>
        <v>12246.3</v>
      </c>
      <c r="AE246" s="30">
        <f>'Equity Volume Data'!AH246*'Equity Price Data'!AK247</f>
        <v>0</v>
      </c>
      <c r="AF246" s="30">
        <f>'Equity Volume Data'!AI246*'Equity Price Data'!AL247</f>
        <v>21076.05</v>
      </c>
      <c r="AG246" s="30">
        <f>'Equity Volume Data'!AJ246*'Equity Price Data'!AM247</f>
        <v>33573.6</v>
      </c>
      <c r="AH246" s="30">
        <f>'Equity Volume Data'!AK246*'Equity Price Data'!AN247</f>
        <v>36173</v>
      </c>
      <c r="AI246" s="30">
        <f>'Equity Volume Data'!AL246*'Equity Price Data'!AO247</f>
        <v>25954.25</v>
      </c>
      <c r="AJ246" s="30">
        <f>'Equity Volume Data'!AM246*'Equity Price Data'!AP247</f>
        <v>22617.4</v>
      </c>
      <c r="AK246" s="30">
        <f>'Equity Volume Data'!AN246*'Equity Price Data'!AQ247</f>
        <v>24995.54</v>
      </c>
      <c r="AL246" s="30">
        <f>'Equity Volume Data'!AO246*'Equity Price Data'!AR247</f>
        <v>40409.6</v>
      </c>
      <c r="AM246" s="30">
        <f>'Equity Volume Data'!AP246*'Equity Price Data'!AS247</f>
        <v>33009.2</v>
      </c>
      <c r="AN246" s="30">
        <f>'Equity Volume Data'!AQ246*'Equity Price Data'!AT247</f>
        <v>0</v>
      </c>
      <c r="AO246" s="30">
        <f>'Equity Volume Data'!AR246*'Equity Price Data'!AU247</f>
        <v>26738.74</v>
      </c>
      <c r="AP246" s="30">
        <f>'Equity Volume Data'!AS246*'Equity Price Data'!AV247</f>
        <v>20862.5</v>
      </c>
      <c r="AQ246" s="30">
        <f>'Equity Volume Data'!AT246*'Equity Price Data'!AW247</f>
        <v>17030.2</v>
      </c>
      <c r="AR246" s="30">
        <f>'Equity Volume Data'!AU246*'Equity Price Data'!AX247</f>
        <v>10659.6</v>
      </c>
      <c r="AS246" s="30">
        <f>'Equity Volume Data'!AV246*'Equity Price Data'!AY247</f>
        <v>52340.4</v>
      </c>
      <c r="AT246" s="30">
        <f>'Equity Volume Data'!AW246*'Equity Price Data'!AZ247</f>
        <v>13220</v>
      </c>
      <c r="AU246" s="30">
        <f>'Equity Volume Data'!AX246*'Equity Price Data'!BA247</f>
        <v>0</v>
      </c>
      <c r="AV246" s="30">
        <f>'Equity Volume Data'!AY246*'Equity Price Data'!BB247</f>
        <v>16162.44</v>
      </c>
      <c r="AW246" s="30">
        <f>'Equity Volume Data'!AZ246*'Equity Price Data'!BC247</f>
        <v>3896.4</v>
      </c>
      <c r="AX246" s="30">
        <f>'Equity Volume Data'!BA246*'Equity Price Data'!BD247</f>
        <v>0</v>
      </c>
      <c r="AY246" s="30">
        <f>'Equity Volume Data'!BB246*'Equity Price Data'!BE247</f>
        <v>49755.54</v>
      </c>
      <c r="AZ246" s="30">
        <f>'Equity Volume Data'!BC246*'Equity Price Data'!BF247</f>
        <v>10281</v>
      </c>
      <c r="BA246" s="30">
        <f>'Equity Volume Data'!BD246*'Equity Price Data'!BG247</f>
        <v>4535.3</v>
      </c>
      <c r="BB246" s="30">
        <f>'Equity Volume Data'!BE246*'Equity Price Data'!BH247</f>
        <v>10287.2</v>
      </c>
      <c r="BC246" s="30">
        <f>'Equity Volume Data'!BF246*'Equity Price Data'!BI247</f>
        <v>13054.4</v>
      </c>
      <c r="BD246" s="30">
        <f>'Equity Volume Data'!BG246*'Equity Price Data'!BJ247</f>
        <v>52887.9</v>
      </c>
      <c r="BE246" s="30">
        <f>'Equity Volume Data'!BH246*'Equity Price Data'!BK247</f>
        <v>9712.21</v>
      </c>
      <c r="BF246" s="30">
        <f>'Equity Volume Data'!BI246*'Equity Price Data'!BL247</f>
        <v>7699.2</v>
      </c>
      <c r="BG246" s="30">
        <f>'Equity Volume Data'!BJ246*'Equity Price Data'!BM247</f>
        <v>25634.38</v>
      </c>
      <c r="BH246" s="30">
        <f>'Equity Volume Data'!BK246*'Equity Price Data'!BN247</f>
        <v>0</v>
      </c>
      <c r="BI246" s="30">
        <f>'Equity Volume Data'!BL246*'Equity Price Data'!BO247</f>
        <v>34644.8</v>
      </c>
      <c r="BJ246" s="30">
        <f>'Equity Volume Data'!BM246*'Equity Price Data'!BP247</f>
        <v>30360.75</v>
      </c>
      <c r="BK246" s="30">
        <f>'Equity Volume Data'!BN246*'Equity Price Data'!BQ247</f>
        <v>90009.9</v>
      </c>
      <c r="BL246" s="30">
        <f>'Equity Volume Data'!BO246*'Equity Price Data'!BR247</f>
        <v>403.73</v>
      </c>
      <c r="BM246" s="30">
        <f>'Equity Volume Data'!BP246*'Equity Price Data'!BS247</f>
        <v>11269.92</v>
      </c>
      <c r="BN246" s="30">
        <f>'Equity Volume Data'!BQ246*'Equity Price Data'!BT247</f>
        <v>17316.68</v>
      </c>
      <c r="BO246" s="30">
        <f>'Equity Volume Data'!BR246*'Equity Price Data'!BU247</f>
        <v>28381</v>
      </c>
    </row>
    <row r="247">
      <c r="A247" s="25">
        <f>'Equity Price Data'!A248</f>
        <v>45783.66667</v>
      </c>
      <c r="B247" s="29">
        <f t="shared" si="1"/>
        <v>1302112.59</v>
      </c>
      <c r="C247" s="30">
        <f>'Equity Volume Data'!F247*'Equity Price Data'!I248</f>
        <v>4978.74</v>
      </c>
      <c r="D247" s="30">
        <f>'Equity Volume Data'!G247*'Equity Price Data'!J248</f>
        <v>48102.6</v>
      </c>
      <c r="E247" s="30">
        <f>'Equity Volume Data'!H247*'Equity Price Data'!K248</f>
        <v>16412</v>
      </c>
      <c r="F247" s="30">
        <f>'Equity Volume Data'!I247*'Equity Price Data'!L248</f>
        <v>50818.56</v>
      </c>
      <c r="G247" s="30">
        <f>'Equity Volume Data'!J247*'Equity Price Data'!M248</f>
        <v>12701.49</v>
      </c>
      <c r="H247" s="30">
        <f>'Equity Volume Data'!K247*'Equity Price Data'!N248</f>
        <v>15587.08</v>
      </c>
      <c r="I247" s="30">
        <f>'Equity Volume Data'!L247*'Equity Price Data'!O248</f>
        <v>16110</v>
      </c>
      <c r="J247" s="30">
        <f>'Equity Volume Data'!M247*'Equity Price Data'!P248</f>
        <v>52257.66</v>
      </c>
      <c r="K247" s="30">
        <f>'Equity Volume Data'!N247*'Equity Price Data'!Q248</f>
        <v>9766</v>
      </c>
      <c r="L247" s="30">
        <f>'Equity Volume Data'!O247*'Equity Price Data'!R248</f>
        <v>14135.22</v>
      </c>
      <c r="M247" s="30">
        <f>'Equity Volume Data'!P247*'Equity Price Data'!S248</f>
        <v>0</v>
      </c>
      <c r="N247" s="30">
        <f>'Equity Volume Data'!Q247*'Equity Price Data'!T248</f>
        <v>5615.2</v>
      </c>
      <c r="O247" s="30">
        <f>'Equity Volume Data'!R247*'Equity Price Data'!U248</f>
        <v>48133.5</v>
      </c>
      <c r="P247" s="30">
        <f>'Equity Volume Data'!S247*'Equity Price Data'!V248</f>
        <v>20078.55</v>
      </c>
      <c r="Q247" s="30">
        <f>'Equity Volume Data'!T247*'Equity Price Data'!W248</f>
        <v>26500.8</v>
      </c>
      <c r="R247" s="30">
        <f>'Equity Volume Data'!U247*'Equity Price Data'!X248</f>
        <v>10848</v>
      </c>
      <c r="S247" s="30">
        <f>'Equity Volume Data'!V247*'Equity Price Data'!Y248</f>
        <v>29376.16</v>
      </c>
      <c r="T247" s="30">
        <f>'Equity Volume Data'!W247*'Equity Price Data'!Z248</f>
        <v>9550</v>
      </c>
      <c r="U247" s="30">
        <f>'Equity Volume Data'!X247*'Equity Price Data'!AA248</f>
        <v>18934.08</v>
      </c>
      <c r="V247" s="30">
        <f>'Equity Volume Data'!Y247*'Equity Price Data'!AB248</f>
        <v>17785.67</v>
      </c>
      <c r="W247" s="30">
        <f>'Equity Volume Data'!Z247*'Equity Price Data'!AC248</f>
        <v>11497.47</v>
      </c>
      <c r="X247" s="30">
        <f>'Equity Volume Data'!AA247*'Equity Price Data'!AD248</f>
        <v>0</v>
      </c>
      <c r="Y247" s="30">
        <f>'Equity Volume Data'!AB247*'Equity Price Data'!AE248</f>
        <v>6233.37</v>
      </c>
      <c r="Z247" s="30">
        <f>'Equity Volume Data'!AC247*'Equity Price Data'!AF248</f>
        <v>10554</v>
      </c>
      <c r="AA247" s="30">
        <f>'Equity Volume Data'!AD247*'Equity Price Data'!AG248</f>
        <v>17800.7</v>
      </c>
      <c r="AB247" s="30">
        <f>'Equity Volume Data'!AE247*'Equity Price Data'!AH248</f>
        <v>12804.6</v>
      </c>
      <c r="AC247" s="30">
        <f>'Equity Volume Data'!AF247*'Equity Price Data'!AI248</f>
        <v>18965.6</v>
      </c>
      <c r="AD247" s="30">
        <f>'Equity Volume Data'!AG247*'Equity Price Data'!AJ248</f>
        <v>12177.45</v>
      </c>
      <c r="AE247" s="30">
        <f>'Equity Volume Data'!AH247*'Equity Price Data'!AK248</f>
        <v>0</v>
      </c>
      <c r="AF247" s="30">
        <f>'Equity Volume Data'!AI247*'Equity Price Data'!AL248</f>
        <v>20065.4</v>
      </c>
      <c r="AG247" s="30">
        <f>'Equity Volume Data'!AJ247*'Equity Price Data'!AM248</f>
        <v>32961.6</v>
      </c>
      <c r="AH247" s="30">
        <f>'Equity Volume Data'!AK247*'Equity Price Data'!AN248</f>
        <v>35938</v>
      </c>
      <c r="AI247" s="30">
        <f>'Equity Volume Data'!AL247*'Equity Price Data'!AO248</f>
        <v>26122.25</v>
      </c>
      <c r="AJ247" s="30">
        <f>'Equity Volume Data'!AM247*'Equity Price Data'!AP248</f>
        <v>22774.7</v>
      </c>
      <c r="AK247" s="30">
        <f>'Equity Volume Data'!AN247*'Equity Price Data'!AQ248</f>
        <v>24931.62</v>
      </c>
      <c r="AL247" s="30">
        <f>'Equity Volume Data'!AO247*'Equity Price Data'!AR248</f>
        <v>39880</v>
      </c>
      <c r="AM247" s="30">
        <f>'Equity Volume Data'!AP247*'Equity Price Data'!AS248</f>
        <v>32774.7</v>
      </c>
      <c r="AN247" s="30">
        <f>'Equity Volume Data'!AQ247*'Equity Price Data'!AT248</f>
        <v>0</v>
      </c>
      <c r="AO247" s="30">
        <f>'Equity Volume Data'!AR247*'Equity Price Data'!AU248</f>
        <v>26721.66</v>
      </c>
      <c r="AP247" s="30">
        <f>'Equity Volume Data'!AS247*'Equity Price Data'!AV248</f>
        <v>20580</v>
      </c>
      <c r="AQ247" s="30">
        <f>'Equity Volume Data'!AT247*'Equity Price Data'!AW248</f>
        <v>16812.4</v>
      </c>
      <c r="AR247" s="30">
        <f>'Equity Volume Data'!AU247*'Equity Price Data'!AX248</f>
        <v>10443.87</v>
      </c>
      <c r="AS247" s="30">
        <f>'Equity Volume Data'!AV247*'Equity Price Data'!AY248</f>
        <v>51997.2</v>
      </c>
      <c r="AT247" s="30">
        <f>'Equity Volume Data'!AW247*'Equity Price Data'!AZ248</f>
        <v>13308</v>
      </c>
      <c r="AU247" s="30">
        <f>'Equity Volume Data'!AX247*'Equity Price Data'!BA248</f>
        <v>0</v>
      </c>
      <c r="AV247" s="30">
        <f>'Equity Volume Data'!AY247*'Equity Price Data'!BB248</f>
        <v>16122.68</v>
      </c>
      <c r="AW247" s="30">
        <f>'Equity Volume Data'!AZ247*'Equity Price Data'!BC248</f>
        <v>3847.6</v>
      </c>
      <c r="AX247" s="30">
        <f>'Equity Volume Data'!BA247*'Equity Price Data'!BD248</f>
        <v>0</v>
      </c>
      <c r="AY247" s="30">
        <f>'Equity Volume Data'!BB247*'Equity Price Data'!BE248</f>
        <v>43761.72</v>
      </c>
      <c r="AZ247" s="30">
        <f>'Equity Volume Data'!BC247*'Equity Price Data'!BF248</f>
        <v>10207.5</v>
      </c>
      <c r="BA247" s="30">
        <f>'Equity Volume Data'!BD247*'Equity Price Data'!BG248</f>
        <v>4347.2</v>
      </c>
      <c r="BB247" s="30">
        <f>'Equity Volume Data'!BE247*'Equity Price Data'!BH248</f>
        <v>10252.8</v>
      </c>
      <c r="BC247" s="30">
        <f>'Equity Volume Data'!BF247*'Equity Price Data'!BI248</f>
        <v>12280.32</v>
      </c>
      <c r="BD247" s="30">
        <f>'Equity Volume Data'!BG247*'Equity Price Data'!BJ248</f>
        <v>54059.4</v>
      </c>
      <c r="BE247" s="30">
        <f>'Equity Volume Data'!BH247*'Equity Price Data'!BK248</f>
        <v>9361.46</v>
      </c>
      <c r="BF247" s="30">
        <f>'Equity Volume Data'!BI247*'Equity Price Data'!BL248</f>
        <v>7697.2</v>
      </c>
      <c r="BG247" s="30">
        <f>'Equity Volume Data'!BJ247*'Equity Price Data'!BM248</f>
        <v>25959.64</v>
      </c>
      <c r="BH247" s="30">
        <f>'Equity Volume Data'!BK247*'Equity Price Data'!BN248</f>
        <v>0</v>
      </c>
      <c r="BI247" s="30">
        <f>'Equity Volume Data'!BL247*'Equity Price Data'!BO248</f>
        <v>34112</v>
      </c>
      <c r="BJ247" s="30">
        <f>'Equity Volume Data'!BM247*'Equity Price Data'!BP248</f>
        <v>29588.25</v>
      </c>
      <c r="BK247" s="30">
        <f>'Equity Volume Data'!BN247*'Equity Price Data'!BQ248</f>
        <v>90136.04</v>
      </c>
      <c r="BL247" s="30">
        <f>'Equity Volume Data'!BO247*'Equity Price Data'!BR248</f>
        <v>398.56</v>
      </c>
      <c r="BM247" s="30">
        <f>'Equity Volume Data'!BP247*'Equity Price Data'!BS248</f>
        <v>11235.36</v>
      </c>
      <c r="BN247" s="30">
        <f>'Equity Volume Data'!BQ247*'Equity Price Data'!BT248</f>
        <v>17327.96</v>
      </c>
      <c r="BO247" s="30">
        <f>'Equity Volume Data'!BR247*'Equity Price Data'!BU248</f>
        <v>28381</v>
      </c>
    </row>
    <row r="248">
      <c r="A248" s="25">
        <f>'Equity Price Data'!A249</f>
        <v>45784.66667</v>
      </c>
      <c r="B248" s="29">
        <f t="shared" si="1"/>
        <v>1309026.15</v>
      </c>
      <c r="C248" s="30">
        <f>'Equity Volume Data'!F248*'Equity Price Data'!I249</f>
        <v>5004.61</v>
      </c>
      <c r="D248" s="30">
        <f>'Equity Volume Data'!G248*'Equity Price Data'!J249</f>
        <v>49064.6</v>
      </c>
      <c r="E248" s="30">
        <f>'Equity Volume Data'!H248*'Equity Price Data'!K249</f>
        <v>16288.8</v>
      </c>
      <c r="F248" s="30">
        <f>'Equity Volume Data'!I248*'Equity Price Data'!L249</f>
        <v>50240</v>
      </c>
      <c r="G248" s="30">
        <f>'Equity Volume Data'!J248*'Equity Price Data'!M249</f>
        <v>12932.23</v>
      </c>
      <c r="H248" s="30">
        <f>'Equity Volume Data'!K248*'Equity Price Data'!N249</f>
        <v>15782.6</v>
      </c>
      <c r="I248" s="30">
        <f>'Equity Volume Data'!L248*'Equity Price Data'!O249</f>
        <v>15950</v>
      </c>
      <c r="J248" s="30">
        <f>'Equity Volume Data'!M248*'Equity Price Data'!P249</f>
        <v>52858.44</v>
      </c>
      <c r="K248" s="30">
        <f>'Equity Volume Data'!N248*'Equity Price Data'!Q249</f>
        <v>9674</v>
      </c>
      <c r="L248" s="30">
        <f>'Equity Volume Data'!O248*'Equity Price Data'!R249</f>
        <v>14182.41</v>
      </c>
      <c r="M248" s="30">
        <f>'Equity Volume Data'!P248*'Equity Price Data'!S249</f>
        <v>0</v>
      </c>
      <c r="N248" s="30">
        <f>'Equity Volume Data'!Q248*'Equity Price Data'!T249</f>
        <v>5599.2</v>
      </c>
      <c r="O248" s="30">
        <f>'Equity Volume Data'!R248*'Equity Price Data'!U249</f>
        <v>48043.5</v>
      </c>
      <c r="P248" s="30">
        <f>'Equity Volume Data'!S248*'Equity Price Data'!V249</f>
        <v>20741.58</v>
      </c>
      <c r="Q248" s="30">
        <f>'Equity Volume Data'!T248*'Equity Price Data'!W249</f>
        <v>26504.4</v>
      </c>
      <c r="R248" s="30">
        <f>'Equity Volume Data'!U248*'Equity Price Data'!X249</f>
        <v>10863.2</v>
      </c>
      <c r="S248" s="30">
        <f>'Equity Volume Data'!V248*'Equity Price Data'!Y249</f>
        <v>29430.72</v>
      </c>
      <c r="T248" s="30">
        <f>'Equity Volume Data'!W248*'Equity Price Data'!Z249</f>
        <v>9520</v>
      </c>
      <c r="U248" s="30">
        <f>'Equity Volume Data'!X248*'Equity Price Data'!AA249</f>
        <v>19113.6</v>
      </c>
      <c r="V248" s="30">
        <f>'Equity Volume Data'!Y248*'Equity Price Data'!AB249</f>
        <v>17877.44</v>
      </c>
      <c r="W248" s="30">
        <f>'Equity Volume Data'!Z248*'Equity Price Data'!AC249</f>
        <v>11535.42</v>
      </c>
      <c r="X248" s="30">
        <f>'Equity Volume Data'!AA248*'Equity Price Data'!AD249</f>
        <v>0</v>
      </c>
      <c r="Y248" s="30">
        <f>'Equity Volume Data'!AB248*'Equity Price Data'!AE249</f>
        <v>6196.84</v>
      </c>
      <c r="Z248" s="30">
        <f>'Equity Volume Data'!AC248*'Equity Price Data'!AF249</f>
        <v>10464</v>
      </c>
      <c r="AA248" s="30">
        <f>'Equity Volume Data'!AD248*'Equity Price Data'!AG249</f>
        <v>17783.7</v>
      </c>
      <c r="AB248" s="30">
        <f>'Equity Volume Data'!AE248*'Equity Price Data'!AH249</f>
        <v>12933.6</v>
      </c>
      <c r="AC248" s="30">
        <f>'Equity Volume Data'!AF248*'Equity Price Data'!AI249</f>
        <v>19069.6</v>
      </c>
      <c r="AD248" s="30">
        <f>'Equity Volume Data'!AG248*'Equity Price Data'!AJ249</f>
        <v>12125.25</v>
      </c>
      <c r="AE248" s="30">
        <f>'Equity Volume Data'!AH248*'Equity Price Data'!AK249</f>
        <v>0</v>
      </c>
      <c r="AF248" s="30">
        <f>'Equity Volume Data'!AI248*'Equity Price Data'!AL249</f>
        <v>20274.5</v>
      </c>
      <c r="AG248" s="30">
        <f>'Equity Volume Data'!AJ248*'Equity Price Data'!AM249</f>
        <v>33115.2</v>
      </c>
      <c r="AH248" s="30">
        <f>'Equity Volume Data'!AK248*'Equity Price Data'!AN249</f>
        <v>36275</v>
      </c>
      <c r="AI248" s="30">
        <f>'Equity Volume Data'!AL248*'Equity Price Data'!AO249</f>
        <v>26388.25</v>
      </c>
      <c r="AJ248" s="30">
        <f>'Equity Volume Data'!AM248*'Equity Price Data'!AP249</f>
        <v>22948.9</v>
      </c>
      <c r="AK248" s="30">
        <f>'Equity Volume Data'!AN248*'Equity Price Data'!AQ249</f>
        <v>25199.05</v>
      </c>
      <c r="AL248" s="30">
        <f>'Equity Volume Data'!AO248*'Equity Price Data'!AR249</f>
        <v>39902.4</v>
      </c>
      <c r="AM248" s="30">
        <f>'Equity Volume Data'!AP248*'Equity Price Data'!AS249</f>
        <v>32992.4</v>
      </c>
      <c r="AN248" s="30">
        <f>'Equity Volume Data'!AQ248*'Equity Price Data'!AT249</f>
        <v>0</v>
      </c>
      <c r="AO248" s="30">
        <f>'Equity Volume Data'!AR248*'Equity Price Data'!AU249</f>
        <v>26789.98</v>
      </c>
      <c r="AP248" s="30">
        <f>'Equity Volume Data'!AS248*'Equity Price Data'!AV249</f>
        <v>20790</v>
      </c>
      <c r="AQ248" s="30">
        <f>'Equity Volume Data'!AT248*'Equity Price Data'!AW249</f>
        <v>16882.8</v>
      </c>
      <c r="AR248" s="30">
        <f>'Equity Volume Data'!AU248*'Equity Price Data'!AX249</f>
        <v>9991.26</v>
      </c>
      <c r="AS248" s="30">
        <f>'Equity Volume Data'!AV248*'Equity Price Data'!AY249</f>
        <v>52002</v>
      </c>
      <c r="AT248" s="30">
        <f>'Equity Volume Data'!AW248*'Equity Price Data'!AZ249</f>
        <v>13472</v>
      </c>
      <c r="AU248" s="30">
        <f>'Equity Volume Data'!AX248*'Equity Price Data'!BA249</f>
        <v>0</v>
      </c>
      <c r="AV248" s="30">
        <f>'Equity Volume Data'!AY248*'Equity Price Data'!BB249</f>
        <v>16622.52</v>
      </c>
      <c r="AW248" s="30">
        <f>'Equity Volume Data'!AZ248*'Equity Price Data'!BC249</f>
        <v>3892.8</v>
      </c>
      <c r="AX248" s="30">
        <f>'Equity Volume Data'!BA248*'Equity Price Data'!BD249</f>
        <v>0</v>
      </c>
      <c r="AY248" s="30">
        <f>'Equity Volume Data'!BB248*'Equity Price Data'!BE249</f>
        <v>44412.96</v>
      </c>
      <c r="AZ248" s="30">
        <f>'Equity Volume Data'!BC248*'Equity Price Data'!BF249</f>
        <v>10303.5</v>
      </c>
      <c r="BA248" s="30">
        <f>'Equity Volume Data'!BD248*'Equity Price Data'!BG249</f>
        <v>4330.1</v>
      </c>
      <c r="BB248" s="30">
        <f>'Equity Volume Data'!BE248*'Equity Price Data'!BH249</f>
        <v>10200</v>
      </c>
      <c r="BC248" s="30">
        <f>'Equity Volume Data'!BF248*'Equity Price Data'!BI249</f>
        <v>12352.48</v>
      </c>
      <c r="BD248" s="30">
        <f>'Equity Volume Data'!BG248*'Equity Price Data'!BJ249</f>
        <v>53518.38</v>
      </c>
      <c r="BE248" s="30">
        <f>'Equity Volume Data'!BH248*'Equity Price Data'!BK249</f>
        <v>9380.55</v>
      </c>
      <c r="BF248" s="30">
        <f>'Equity Volume Data'!BI248*'Equity Price Data'!BL249</f>
        <v>7556</v>
      </c>
      <c r="BG248" s="30">
        <f>'Equity Volume Data'!BJ248*'Equity Price Data'!BM249</f>
        <v>26635.18</v>
      </c>
      <c r="BH248" s="30">
        <f>'Equity Volume Data'!BK248*'Equity Price Data'!BN249</f>
        <v>0</v>
      </c>
      <c r="BI248" s="30">
        <f>'Equity Volume Data'!BL248*'Equity Price Data'!BO249</f>
        <v>34216</v>
      </c>
      <c r="BJ248" s="30">
        <f>'Equity Volume Data'!BM248*'Equity Price Data'!BP249</f>
        <v>29329.5</v>
      </c>
      <c r="BK248" s="30">
        <f>'Equity Volume Data'!BN248*'Equity Price Data'!BQ249</f>
        <v>90190.1</v>
      </c>
      <c r="BL248" s="30">
        <f>'Equity Volume Data'!BO248*'Equity Price Data'!BR249</f>
        <v>404.2</v>
      </c>
      <c r="BM248" s="30">
        <f>'Equity Volume Data'!BP248*'Equity Price Data'!BS249</f>
        <v>11304.48</v>
      </c>
      <c r="BN248" s="30">
        <f>'Equity Volume Data'!BQ248*'Equity Price Data'!BT249</f>
        <v>19192.92</v>
      </c>
      <c r="BO248" s="30">
        <f>'Equity Volume Data'!BR248*'Equity Price Data'!BU249</f>
        <v>28381</v>
      </c>
    </row>
    <row r="249">
      <c r="A249" s="25">
        <f>'Equity Price Data'!A250</f>
        <v>45785.66667</v>
      </c>
      <c r="B249" s="29">
        <f t="shared" si="1"/>
        <v>1318148.71</v>
      </c>
      <c r="C249" s="30">
        <f>'Equity Volume Data'!F249*'Equity Price Data'!I250</f>
        <v>4991.87</v>
      </c>
      <c r="D249" s="30">
        <f>'Equity Volume Data'!G249*'Equity Price Data'!J250</f>
        <v>49940.8</v>
      </c>
      <c r="E249" s="30">
        <f>'Equity Volume Data'!H249*'Equity Price Data'!K250</f>
        <v>15994</v>
      </c>
      <c r="F249" s="30">
        <f>'Equity Volume Data'!I249*'Equity Price Data'!L250</f>
        <v>50557.44</v>
      </c>
      <c r="G249" s="30">
        <f>'Equity Volume Data'!J249*'Equity Price Data'!M250</f>
        <v>12948</v>
      </c>
      <c r="H249" s="30">
        <f>'Equity Volume Data'!K249*'Equity Price Data'!N250</f>
        <v>16074</v>
      </c>
      <c r="I249" s="30">
        <f>'Equity Volume Data'!L249*'Equity Price Data'!O250</f>
        <v>16350</v>
      </c>
      <c r="J249" s="30">
        <f>'Equity Volume Data'!M249*'Equity Price Data'!P250</f>
        <v>52351.5</v>
      </c>
      <c r="K249" s="30">
        <f>'Equity Volume Data'!N249*'Equity Price Data'!Q250</f>
        <v>9634</v>
      </c>
      <c r="L249" s="30">
        <f>'Equity Volume Data'!O249*'Equity Price Data'!R250</f>
        <v>14325.19</v>
      </c>
      <c r="M249" s="30">
        <f>'Equity Volume Data'!P249*'Equity Price Data'!S250</f>
        <v>0</v>
      </c>
      <c r="N249" s="30">
        <f>'Equity Volume Data'!Q249*'Equity Price Data'!T250</f>
        <v>5640</v>
      </c>
      <c r="O249" s="30">
        <f>'Equity Volume Data'!R249*'Equity Price Data'!U250</f>
        <v>48637.5</v>
      </c>
      <c r="P249" s="30">
        <f>'Equity Volume Data'!S249*'Equity Price Data'!V250</f>
        <v>20533.08</v>
      </c>
      <c r="Q249" s="30">
        <f>'Equity Volume Data'!T249*'Equity Price Data'!W250</f>
        <v>26480.4</v>
      </c>
      <c r="R249" s="30">
        <f>'Equity Volume Data'!U249*'Equity Price Data'!X250</f>
        <v>10963.2</v>
      </c>
      <c r="S249" s="30">
        <f>'Equity Volume Data'!V249*'Equity Price Data'!Y250</f>
        <v>29313.68</v>
      </c>
      <c r="T249" s="30">
        <f>'Equity Volume Data'!W249*'Equity Price Data'!Z250</f>
        <v>9750</v>
      </c>
      <c r="U249" s="30">
        <f>'Equity Volume Data'!X249*'Equity Price Data'!AA250</f>
        <v>18788.88</v>
      </c>
      <c r="V249" s="30">
        <f>'Equity Volume Data'!Y249*'Equity Price Data'!AB250</f>
        <v>17347.75</v>
      </c>
      <c r="W249" s="30">
        <f>'Equity Volume Data'!Z249*'Equity Price Data'!AC250</f>
        <v>11502.3</v>
      </c>
      <c r="X249" s="30">
        <f>'Equity Volume Data'!AA249*'Equity Price Data'!AD250</f>
        <v>0</v>
      </c>
      <c r="Y249" s="30">
        <f>'Equity Volume Data'!AB249*'Equity Price Data'!AE250</f>
        <v>6198.66</v>
      </c>
      <c r="Z249" s="30">
        <f>'Equity Volume Data'!AC249*'Equity Price Data'!AF250</f>
        <v>10584</v>
      </c>
      <c r="AA249" s="30">
        <f>'Equity Volume Data'!AD249*'Equity Price Data'!AG250</f>
        <v>18031.9</v>
      </c>
      <c r="AB249" s="30">
        <f>'Equity Volume Data'!AE249*'Equity Price Data'!AH250</f>
        <v>13152.6</v>
      </c>
      <c r="AC249" s="30">
        <f>'Equity Volume Data'!AF249*'Equity Price Data'!AI250</f>
        <v>19228.4</v>
      </c>
      <c r="AD249" s="30">
        <f>'Equity Volume Data'!AG249*'Equity Price Data'!AJ250</f>
        <v>12239.1</v>
      </c>
      <c r="AE249" s="30">
        <f>'Equity Volume Data'!AH249*'Equity Price Data'!AK250</f>
        <v>0</v>
      </c>
      <c r="AF249" s="30">
        <f>'Equity Volume Data'!AI249*'Equity Price Data'!AL250</f>
        <v>20122.8</v>
      </c>
      <c r="AG249" s="30">
        <f>'Equity Volume Data'!AJ249*'Equity Price Data'!AM250</f>
        <v>33942</v>
      </c>
      <c r="AH249" s="30">
        <f>'Equity Volume Data'!AK249*'Equity Price Data'!AN250</f>
        <v>36486</v>
      </c>
      <c r="AI249" s="30">
        <f>'Equity Volume Data'!AL249*'Equity Price Data'!AO250</f>
        <v>26645.5</v>
      </c>
      <c r="AJ249" s="30">
        <f>'Equity Volume Data'!AM249*'Equity Price Data'!AP250</f>
        <v>22941.1</v>
      </c>
      <c r="AK249" s="30">
        <f>'Equity Volume Data'!AN249*'Equity Price Data'!AQ250</f>
        <v>25293.52</v>
      </c>
      <c r="AL249" s="30">
        <f>'Equity Volume Data'!AO249*'Equity Price Data'!AR250</f>
        <v>40555.2</v>
      </c>
      <c r="AM249" s="30">
        <f>'Equity Volume Data'!AP249*'Equity Price Data'!AS250</f>
        <v>33217.1</v>
      </c>
      <c r="AN249" s="30">
        <f>'Equity Volume Data'!AQ249*'Equity Price Data'!AT250</f>
        <v>0</v>
      </c>
      <c r="AO249" s="30">
        <f>'Equity Volume Data'!AR249*'Equity Price Data'!AU250</f>
        <v>26602.1</v>
      </c>
      <c r="AP249" s="30">
        <f>'Equity Volume Data'!AS249*'Equity Price Data'!AV250</f>
        <v>20905</v>
      </c>
      <c r="AQ249" s="30">
        <f>'Equity Volume Data'!AT249*'Equity Price Data'!AW250</f>
        <v>17069.8</v>
      </c>
      <c r="AR249" s="30">
        <f>'Equity Volume Data'!AU249*'Equity Price Data'!AX250</f>
        <v>10088.55</v>
      </c>
      <c r="AS249" s="30">
        <f>'Equity Volume Data'!AV249*'Equity Price Data'!AY250</f>
        <v>52580.4</v>
      </c>
      <c r="AT249" s="30">
        <f>'Equity Volume Data'!AW249*'Equity Price Data'!AZ250</f>
        <v>13664</v>
      </c>
      <c r="AU249" s="30">
        <f>'Equity Volume Data'!AX249*'Equity Price Data'!BA250</f>
        <v>0</v>
      </c>
      <c r="AV249" s="30">
        <f>'Equity Volume Data'!AY249*'Equity Price Data'!BB250</f>
        <v>16666.54</v>
      </c>
      <c r="AW249" s="30">
        <f>'Equity Volume Data'!AZ249*'Equity Price Data'!BC250</f>
        <v>3892.8</v>
      </c>
      <c r="AX249" s="30">
        <f>'Equity Volume Data'!BA249*'Equity Price Data'!BD250</f>
        <v>0</v>
      </c>
      <c r="AY249" s="30">
        <f>'Equity Volume Data'!BB249*'Equity Price Data'!BE250</f>
        <v>47898.3</v>
      </c>
      <c r="AZ249" s="30">
        <f>'Equity Volume Data'!BC249*'Equity Price Data'!BF250</f>
        <v>10572</v>
      </c>
      <c r="BA249" s="30">
        <f>'Equity Volume Data'!BD249*'Equity Price Data'!BG250</f>
        <v>4364.3</v>
      </c>
      <c r="BB249" s="30">
        <f>'Equity Volume Data'!BE249*'Equity Price Data'!BH250</f>
        <v>10293.6</v>
      </c>
      <c r="BC249" s="30">
        <f>'Equity Volume Data'!BF249*'Equity Price Data'!BI250</f>
        <v>13746.48</v>
      </c>
      <c r="BD249" s="30">
        <f>'Equity Volume Data'!BG249*'Equity Price Data'!BJ250</f>
        <v>52715.37</v>
      </c>
      <c r="BE249" s="30">
        <f>'Equity Volume Data'!BH249*'Equity Price Data'!BK250</f>
        <v>9447.94</v>
      </c>
      <c r="BF249" s="30">
        <f>'Equity Volume Data'!BI249*'Equity Price Data'!BL250</f>
        <v>7516.8</v>
      </c>
      <c r="BG249" s="30">
        <f>'Equity Volume Data'!BJ249*'Equity Price Data'!BM250</f>
        <v>25909.6</v>
      </c>
      <c r="BH249" s="30">
        <f>'Equity Volume Data'!BK249*'Equity Price Data'!BN250</f>
        <v>0</v>
      </c>
      <c r="BI249" s="30">
        <f>'Equity Volume Data'!BL249*'Equity Price Data'!BO250</f>
        <v>34694.4</v>
      </c>
      <c r="BJ249" s="30">
        <f>'Equity Volume Data'!BM249*'Equity Price Data'!BP250</f>
        <v>28916.25</v>
      </c>
      <c r="BK249" s="30">
        <f>'Equity Volume Data'!BN249*'Equity Price Data'!BQ250</f>
        <v>90081.98</v>
      </c>
      <c r="BL249" s="30">
        <f>'Equity Volume Data'!BO249*'Equity Price Data'!BR250</f>
        <v>427.23</v>
      </c>
      <c r="BM249" s="30">
        <f>'Equity Volume Data'!BP249*'Equity Price Data'!BS250</f>
        <v>11190.24</v>
      </c>
      <c r="BN249" s="30">
        <f>'Equity Volume Data'!BQ249*'Equity Price Data'!BT250</f>
        <v>19762.56</v>
      </c>
      <c r="BO249" s="30">
        <f>'Equity Volume Data'!BR249*'Equity Price Data'!BU250</f>
        <v>28381</v>
      </c>
    </row>
    <row r="250">
      <c r="A250" s="25">
        <f>'Equity Price Data'!A251</f>
        <v>45786.66667</v>
      </c>
      <c r="B250" s="29">
        <f t="shared" si="1"/>
        <v>1321060.56</v>
      </c>
      <c r="C250" s="30">
        <f>'Equity Volume Data'!F250*'Equity Price Data'!I251</f>
        <v>4982.64</v>
      </c>
      <c r="D250" s="30">
        <f>'Equity Volume Data'!G250*'Equity Price Data'!J251</f>
        <v>50195.6</v>
      </c>
      <c r="E250" s="30">
        <f>'Equity Volume Data'!H250*'Equity Price Data'!K251</f>
        <v>16163.4</v>
      </c>
      <c r="F250" s="30">
        <f>'Equity Volume Data'!I250*'Equity Price Data'!L251</f>
        <v>50823.68</v>
      </c>
      <c r="G250" s="30">
        <f>'Equity Volume Data'!J250*'Equity Price Data'!M251</f>
        <v>12915.63</v>
      </c>
      <c r="H250" s="30">
        <f>'Equity Volume Data'!K250*'Equity Price Data'!N251</f>
        <v>16151.08</v>
      </c>
      <c r="I250" s="30">
        <f>'Equity Volume Data'!L250*'Equity Price Data'!O251</f>
        <v>16530</v>
      </c>
      <c r="J250" s="30">
        <f>'Equity Volume Data'!M250*'Equity Price Data'!P251</f>
        <v>52401.48</v>
      </c>
      <c r="K250" s="30">
        <f>'Equity Volume Data'!N250*'Equity Price Data'!Q251</f>
        <v>9734</v>
      </c>
      <c r="L250" s="30">
        <f>'Equity Volume Data'!O250*'Equity Price Data'!R251</f>
        <v>14298.57</v>
      </c>
      <c r="M250" s="30">
        <f>'Equity Volume Data'!P250*'Equity Price Data'!S251</f>
        <v>0</v>
      </c>
      <c r="N250" s="30">
        <f>'Equity Volume Data'!Q250*'Equity Price Data'!T251</f>
        <v>5715.2</v>
      </c>
      <c r="O250" s="30">
        <f>'Equity Volume Data'!R250*'Equity Price Data'!U251</f>
        <v>48843</v>
      </c>
      <c r="P250" s="30">
        <f>'Equity Volume Data'!S250*'Equity Price Data'!V251</f>
        <v>21154.41</v>
      </c>
      <c r="Q250" s="30">
        <f>'Equity Volume Data'!T250*'Equity Price Data'!W251</f>
        <v>26199.6</v>
      </c>
      <c r="R250" s="30">
        <f>'Equity Volume Data'!U250*'Equity Price Data'!X251</f>
        <v>11079.2</v>
      </c>
      <c r="S250" s="30">
        <f>'Equity Volume Data'!V250*'Equity Price Data'!Y251</f>
        <v>29344.48</v>
      </c>
      <c r="T250" s="30">
        <f>'Equity Volume Data'!W250*'Equity Price Data'!Z251</f>
        <v>9780</v>
      </c>
      <c r="U250" s="30">
        <f>'Equity Volume Data'!X250*'Equity Price Data'!AA251</f>
        <v>18617.28</v>
      </c>
      <c r="V250" s="30">
        <f>'Equity Volume Data'!Y250*'Equity Price Data'!AB251</f>
        <v>17336.48</v>
      </c>
      <c r="W250" s="30">
        <f>'Equity Volume Data'!Z250*'Equity Price Data'!AC251</f>
        <v>11493.33</v>
      </c>
      <c r="X250" s="30">
        <f>'Equity Volume Data'!AA250*'Equity Price Data'!AD251</f>
        <v>0</v>
      </c>
      <c r="Y250" s="30">
        <f>'Equity Volume Data'!AB250*'Equity Price Data'!AE251</f>
        <v>6225.7</v>
      </c>
      <c r="Z250" s="30">
        <f>'Equity Volume Data'!AC250*'Equity Price Data'!AF251</f>
        <v>10426.5</v>
      </c>
      <c r="AA250" s="30">
        <f>'Equity Volume Data'!AD250*'Equity Price Data'!AG251</f>
        <v>18242.7</v>
      </c>
      <c r="AB250" s="30">
        <f>'Equity Volume Data'!AE250*'Equity Price Data'!AH251</f>
        <v>13069.8</v>
      </c>
      <c r="AC250" s="30">
        <f>'Equity Volume Data'!AF250*'Equity Price Data'!AI251</f>
        <v>19531.2</v>
      </c>
      <c r="AD250" s="30">
        <f>'Equity Volume Data'!AG250*'Equity Price Data'!AJ251</f>
        <v>12220.2</v>
      </c>
      <c r="AE250" s="30">
        <f>'Equity Volume Data'!AH250*'Equity Price Data'!AK251</f>
        <v>0</v>
      </c>
      <c r="AF250" s="30">
        <f>'Equity Volume Data'!AI250*'Equity Price Data'!AL251</f>
        <v>19866.55</v>
      </c>
      <c r="AG250" s="30">
        <f>'Equity Volume Data'!AJ250*'Equity Price Data'!AM251</f>
        <v>34026</v>
      </c>
      <c r="AH250" s="30">
        <f>'Equity Volume Data'!AK250*'Equity Price Data'!AN251</f>
        <v>36271</v>
      </c>
      <c r="AI250" s="30">
        <f>'Equity Volume Data'!AL250*'Equity Price Data'!AO251</f>
        <v>26330.5</v>
      </c>
      <c r="AJ250" s="30">
        <f>'Equity Volume Data'!AM250*'Equity Price Data'!AP251</f>
        <v>23182.9</v>
      </c>
      <c r="AK250" s="30">
        <f>'Equity Volume Data'!AN250*'Equity Price Data'!AQ251</f>
        <v>25215.97</v>
      </c>
      <c r="AL250" s="30">
        <f>'Equity Volume Data'!AO250*'Equity Price Data'!AR251</f>
        <v>40492.8</v>
      </c>
      <c r="AM250" s="30">
        <f>'Equity Volume Data'!AP250*'Equity Price Data'!AS251</f>
        <v>33146.4</v>
      </c>
      <c r="AN250" s="30">
        <f>'Equity Volume Data'!AQ250*'Equity Price Data'!AT251</f>
        <v>0</v>
      </c>
      <c r="AO250" s="30">
        <f>'Equity Volume Data'!AR250*'Equity Price Data'!AU251</f>
        <v>26260.5</v>
      </c>
      <c r="AP250" s="30">
        <f>'Equity Volume Data'!AS250*'Equity Price Data'!AV251</f>
        <v>20870</v>
      </c>
      <c r="AQ250" s="30">
        <f>'Equity Volume Data'!AT250*'Equity Price Data'!AW251</f>
        <v>17127</v>
      </c>
      <c r="AR250" s="30">
        <f>'Equity Volume Data'!AU250*'Equity Price Data'!AX251</f>
        <v>9284.85</v>
      </c>
      <c r="AS250" s="30">
        <f>'Equity Volume Data'!AV250*'Equity Price Data'!AY251</f>
        <v>52647.6</v>
      </c>
      <c r="AT250" s="30">
        <f>'Equity Volume Data'!AW250*'Equity Price Data'!AZ251</f>
        <v>14062</v>
      </c>
      <c r="AU250" s="30">
        <f>'Equity Volume Data'!AX250*'Equity Price Data'!BA251</f>
        <v>0</v>
      </c>
      <c r="AV250" s="30">
        <f>'Equity Volume Data'!AY250*'Equity Price Data'!BB251</f>
        <v>16564.3</v>
      </c>
      <c r="AW250" s="30">
        <f>'Equity Volume Data'!AZ250*'Equity Price Data'!BC251</f>
        <v>3880</v>
      </c>
      <c r="AX250" s="30">
        <f>'Equity Volume Data'!BA250*'Equity Price Data'!BD251</f>
        <v>0</v>
      </c>
      <c r="AY250" s="30">
        <f>'Equity Volume Data'!BB250*'Equity Price Data'!BE251</f>
        <v>47154.6</v>
      </c>
      <c r="AZ250" s="30">
        <f>'Equity Volume Data'!BC250*'Equity Price Data'!BF251</f>
        <v>10539</v>
      </c>
      <c r="BA250" s="30">
        <f>'Equity Volume Data'!BD250*'Equity Price Data'!BG251</f>
        <v>4233.2</v>
      </c>
      <c r="BB250" s="30">
        <f>'Equity Volume Data'!BE250*'Equity Price Data'!BH251</f>
        <v>10293.6</v>
      </c>
      <c r="BC250" s="30">
        <f>'Equity Volume Data'!BF250*'Equity Price Data'!BI251</f>
        <v>13257.76</v>
      </c>
      <c r="BD250" s="30">
        <f>'Equity Volume Data'!BG250*'Equity Price Data'!BJ251</f>
        <v>51931.53</v>
      </c>
      <c r="BE250" s="30">
        <f>'Equity Volume Data'!BH250*'Equity Price Data'!BK251</f>
        <v>9271.99</v>
      </c>
      <c r="BF250" s="30">
        <f>'Equity Volume Data'!BI250*'Equity Price Data'!BL251</f>
        <v>7501.2</v>
      </c>
      <c r="BG250" s="30">
        <f>'Equity Volume Data'!BJ250*'Equity Price Data'!BM251</f>
        <v>30997</v>
      </c>
      <c r="BH250" s="30">
        <f>'Equity Volume Data'!BK250*'Equity Price Data'!BN251</f>
        <v>0</v>
      </c>
      <c r="BI250" s="30">
        <f>'Equity Volume Data'!BL250*'Equity Price Data'!BO251</f>
        <v>34611.2</v>
      </c>
      <c r="BJ250" s="30">
        <f>'Equity Volume Data'!BM250*'Equity Price Data'!BP251</f>
        <v>28548</v>
      </c>
      <c r="BK250" s="30">
        <f>'Equity Volume Data'!BN250*'Equity Price Data'!BQ251</f>
        <v>90136.04</v>
      </c>
      <c r="BL250" s="30">
        <f>'Equity Volume Data'!BO250*'Equity Price Data'!BR251</f>
        <v>412.19</v>
      </c>
      <c r="BM250" s="30">
        <f>'Equity Volume Data'!BP250*'Equity Price Data'!BS251</f>
        <v>11172</v>
      </c>
      <c r="BN250" s="30">
        <f>'Equity Volume Data'!BQ250*'Equity Price Data'!BT251</f>
        <v>19916.72</v>
      </c>
      <c r="BO250" s="30">
        <f>'Equity Volume Data'!BR250*'Equity Price Data'!BU251</f>
        <v>28381</v>
      </c>
    </row>
    <row r="251">
      <c r="A251" s="25">
        <f>'Equity Price Data'!A252</f>
        <v>45789.66667</v>
      </c>
      <c r="B251" s="29">
        <f t="shared" si="1"/>
        <v>1348330.33</v>
      </c>
      <c r="C251" s="30">
        <f>'Equity Volume Data'!F251*'Equity Price Data'!I252</f>
        <v>5147.22</v>
      </c>
      <c r="D251" s="30">
        <f>'Equity Volume Data'!G251*'Equity Price Data'!J252</f>
        <v>54246.4</v>
      </c>
      <c r="E251" s="30">
        <f>'Equity Volume Data'!H251*'Equity Price Data'!K252</f>
        <v>15250.4</v>
      </c>
      <c r="F251" s="30">
        <f>'Equity Volume Data'!I251*'Equity Price Data'!L252</f>
        <v>53962.24</v>
      </c>
      <c r="G251" s="30">
        <f>'Equity Volume Data'!J251*'Equity Price Data'!M252</f>
        <v>13943.17</v>
      </c>
      <c r="H251" s="30">
        <f>'Equity Volume Data'!K251*'Equity Price Data'!N252</f>
        <v>16374.8</v>
      </c>
      <c r="I251" s="30">
        <f>'Equity Volume Data'!L251*'Equity Price Data'!O252</f>
        <v>16700</v>
      </c>
      <c r="J251" s="30">
        <f>'Equity Volume Data'!M251*'Equity Price Data'!P252</f>
        <v>52458.6</v>
      </c>
      <c r="K251" s="30">
        <f>'Equity Volume Data'!N251*'Equity Price Data'!Q252</f>
        <v>9980</v>
      </c>
      <c r="L251" s="30">
        <f>'Equity Volume Data'!O251*'Equity Price Data'!R252</f>
        <v>15052.4</v>
      </c>
      <c r="M251" s="30">
        <f>'Equity Volume Data'!P251*'Equity Price Data'!S252</f>
        <v>0</v>
      </c>
      <c r="N251" s="30">
        <f>'Equity Volume Data'!Q251*'Equity Price Data'!T252</f>
        <v>5875.2</v>
      </c>
      <c r="O251" s="30">
        <f>'Equity Volume Data'!R251*'Equity Price Data'!U252</f>
        <v>51382.5</v>
      </c>
      <c r="P251" s="30">
        <f>'Equity Volume Data'!S251*'Equity Price Data'!V252</f>
        <v>21333.72</v>
      </c>
      <c r="Q251" s="30">
        <f>'Equity Volume Data'!T251*'Equity Price Data'!W252</f>
        <v>26067.6</v>
      </c>
      <c r="R251" s="30">
        <f>'Equity Volume Data'!U251*'Equity Price Data'!X252</f>
        <v>11329.6</v>
      </c>
      <c r="S251" s="30">
        <f>'Equity Volume Data'!V251*'Equity Price Data'!Y252</f>
        <v>27785.12</v>
      </c>
      <c r="T251" s="30">
        <f>'Equity Volume Data'!W251*'Equity Price Data'!Z252</f>
        <v>10397.5</v>
      </c>
      <c r="U251" s="30">
        <f>'Equity Volume Data'!X251*'Equity Price Data'!AA252</f>
        <v>18355.92</v>
      </c>
      <c r="V251" s="30">
        <f>'Equity Volume Data'!Y251*'Equity Price Data'!AB252</f>
        <v>16669.94</v>
      </c>
      <c r="W251" s="30">
        <f>'Equity Volume Data'!Z251*'Equity Price Data'!AC252</f>
        <v>11454</v>
      </c>
      <c r="X251" s="30">
        <f>'Equity Volume Data'!AA251*'Equity Price Data'!AD252</f>
        <v>0</v>
      </c>
      <c r="Y251" s="30">
        <f>'Equity Volume Data'!AB251*'Equity Price Data'!AE252</f>
        <v>6267.43</v>
      </c>
      <c r="Z251" s="30">
        <f>'Equity Volume Data'!AC251*'Equity Price Data'!AF252</f>
        <v>10374</v>
      </c>
      <c r="AA251" s="30">
        <f>'Equity Volume Data'!AD251*'Equity Price Data'!AG252</f>
        <v>18557.2</v>
      </c>
      <c r="AB251" s="30">
        <f>'Equity Volume Data'!AE251*'Equity Price Data'!AH252</f>
        <v>13977</v>
      </c>
      <c r="AC251" s="30">
        <f>'Equity Volume Data'!AF251*'Equity Price Data'!AI252</f>
        <v>19470.4</v>
      </c>
      <c r="AD251" s="30">
        <f>'Equity Volume Data'!AG251*'Equity Price Data'!AJ252</f>
        <v>12430.8</v>
      </c>
      <c r="AE251" s="30">
        <f>'Equity Volume Data'!AH251*'Equity Price Data'!AK252</f>
        <v>0</v>
      </c>
      <c r="AF251" s="30">
        <f>'Equity Volume Data'!AI251*'Equity Price Data'!AL252</f>
        <v>21283.1</v>
      </c>
      <c r="AG251" s="30">
        <f>'Equity Volume Data'!AJ251*'Equity Price Data'!AM252</f>
        <v>35480.4</v>
      </c>
      <c r="AH251" s="30">
        <f>'Equity Volume Data'!AK251*'Equity Price Data'!AN252</f>
        <v>37659</v>
      </c>
      <c r="AI251" s="30">
        <f>'Equity Volume Data'!AL251*'Equity Price Data'!AO252</f>
        <v>26810</v>
      </c>
      <c r="AJ251" s="30">
        <f>'Equity Volume Data'!AM251*'Equity Price Data'!AP252</f>
        <v>22547.2</v>
      </c>
      <c r="AK251" s="30">
        <f>'Equity Volume Data'!AN251*'Equity Price Data'!AQ252</f>
        <v>26387.21</v>
      </c>
      <c r="AL251" s="30">
        <f>'Equity Volume Data'!AO251*'Equity Price Data'!AR252</f>
        <v>41608</v>
      </c>
      <c r="AM251" s="30">
        <f>'Equity Volume Data'!AP251*'Equity Price Data'!AS252</f>
        <v>33121.2</v>
      </c>
      <c r="AN251" s="30">
        <f>'Equity Volume Data'!AQ251*'Equity Price Data'!AT252</f>
        <v>0</v>
      </c>
      <c r="AO251" s="30">
        <f>'Equity Volume Data'!AR251*'Equity Price Data'!AU252</f>
        <v>26986.4</v>
      </c>
      <c r="AP251" s="30">
        <f>'Equity Volume Data'!AS251*'Equity Price Data'!AV252</f>
        <v>21452.5</v>
      </c>
      <c r="AQ251" s="30">
        <f>'Equity Volume Data'!AT251*'Equity Price Data'!AW252</f>
        <v>17740.8</v>
      </c>
      <c r="AR251" s="30">
        <f>'Equity Volume Data'!AU251*'Equity Price Data'!AX252</f>
        <v>8942.22</v>
      </c>
      <c r="AS251" s="30">
        <f>'Equity Volume Data'!AV251*'Equity Price Data'!AY252</f>
        <v>53911.2</v>
      </c>
      <c r="AT251" s="30">
        <f>'Equity Volume Data'!AW251*'Equity Price Data'!AZ252</f>
        <v>13938</v>
      </c>
      <c r="AU251" s="30">
        <f>'Equity Volume Data'!AX251*'Equity Price Data'!BA252</f>
        <v>0</v>
      </c>
      <c r="AV251" s="30">
        <f>'Equity Volume Data'!AY251*'Equity Price Data'!BB252</f>
        <v>17466</v>
      </c>
      <c r="AW251" s="30">
        <f>'Equity Volume Data'!AZ251*'Equity Price Data'!BC252</f>
        <v>3920</v>
      </c>
      <c r="AX251" s="30">
        <f>'Equity Volume Data'!BA251*'Equity Price Data'!BD252</f>
        <v>0</v>
      </c>
      <c r="AY251" s="30">
        <f>'Equity Volume Data'!BB251*'Equity Price Data'!BE252</f>
        <v>47620.92</v>
      </c>
      <c r="AZ251" s="30">
        <f>'Equity Volume Data'!BC251*'Equity Price Data'!BF252</f>
        <v>10846.5</v>
      </c>
      <c r="BA251" s="30">
        <f>'Equity Volume Data'!BD251*'Equity Price Data'!BG252</f>
        <v>4387.1</v>
      </c>
      <c r="BB251" s="30">
        <f>'Equity Volume Data'!BE251*'Equity Price Data'!BH252</f>
        <v>10444.8</v>
      </c>
      <c r="BC251" s="30">
        <f>'Equity Volume Data'!BF251*'Equity Price Data'!BI252</f>
        <v>13736.64</v>
      </c>
      <c r="BD251" s="30">
        <f>'Equity Volume Data'!BG251*'Equity Price Data'!BJ252</f>
        <v>51188.16</v>
      </c>
      <c r="BE251" s="30">
        <f>'Equity Volume Data'!BH251*'Equity Price Data'!BK252</f>
        <v>9949.57</v>
      </c>
      <c r="BF251" s="30">
        <f>'Equity Volume Data'!BI251*'Equity Price Data'!BL252</f>
        <v>7692.8</v>
      </c>
      <c r="BG251" s="30">
        <f>'Equity Volume Data'!BJ251*'Equity Price Data'!BM252</f>
        <v>33006.94</v>
      </c>
      <c r="BH251" s="30">
        <f>'Equity Volume Data'!BK251*'Equity Price Data'!BN252</f>
        <v>0</v>
      </c>
      <c r="BI251" s="30">
        <f>'Equity Volume Data'!BL251*'Equity Price Data'!BO252</f>
        <v>36939.2</v>
      </c>
      <c r="BJ251" s="30">
        <f>'Equity Volume Data'!BM251*'Equity Price Data'!BP252</f>
        <v>28406.25</v>
      </c>
      <c r="BK251" s="30">
        <f>'Equity Volume Data'!BN251*'Equity Price Data'!BQ252</f>
        <v>89613.46</v>
      </c>
      <c r="BL251" s="30">
        <f>'Equity Volume Data'!BO251*'Equity Price Data'!BR252</f>
        <v>421.12</v>
      </c>
      <c r="BM251" s="30">
        <f>'Equity Volume Data'!BP251*'Equity Price Data'!BS252</f>
        <v>10827.36</v>
      </c>
      <c r="BN251" s="30">
        <f>'Equity Volume Data'!BQ251*'Equity Price Data'!BT252</f>
        <v>20772.12</v>
      </c>
      <c r="BO251" s="30">
        <f>'Equity Volume Data'!BR251*'Equity Price Data'!BU252</f>
        <v>28381</v>
      </c>
    </row>
    <row r="252">
      <c r="A252" s="25">
        <f>'Equity Price Data'!A253</f>
        <v>45790.66667</v>
      </c>
      <c r="B252" s="29">
        <f t="shared" si="1"/>
        <v>1348380.26</v>
      </c>
      <c r="C252" s="30">
        <f>'Equity Volume Data'!F252*'Equity Price Data'!I253</f>
        <v>5166.2</v>
      </c>
      <c r="D252" s="30">
        <f>'Equity Volume Data'!G252*'Equity Price Data'!J253</f>
        <v>54956.2</v>
      </c>
      <c r="E252" s="30">
        <f>'Equity Volume Data'!H252*'Equity Price Data'!K253</f>
        <v>14722.4</v>
      </c>
      <c r="F252" s="30">
        <f>'Equity Volume Data'!I252*'Equity Price Data'!L253</f>
        <v>54510.08</v>
      </c>
      <c r="G252" s="30">
        <f>'Equity Volume Data'!J252*'Equity Price Data'!M253</f>
        <v>14361.49</v>
      </c>
      <c r="H252" s="30">
        <f>'Equity Volume Data'!K252*'Equity Price Data'!N253</f>
        <v>16530.84</v>
      </c>
      <c r="I252" s="30">
        <f>'Equity Volume Data'!L252*'Equity Price Data'!O253</f>
        <v>17000</v>
      </c>
      <c r="J252" s="30">
        <f>'Equity Volume Data'!M252*'Equity Price Data'!P253</f>
        <v>52211.76</v>
      </c>
      <c r="K252" s="30">
        <f>'Equity Volume Data'!N252*'Equity Price Data'!Q253</f>
        <v>10162</v>
      </c>
      <c r="L252" s="30">
        <f>'Equity Volume Data'!O252*'Equity Price Data'!R253</f>
        <v>14902.36</v>
      </c>
      <c r="M252" s="30">
        <f>'Equity Volume Data'!P252*'Equity Price Data'!S253</f>
        <v>0</v>
      </c>
      <c r="N252" s="30">
        <f>'Equity Volume Data'!Q252*'Equity Price Data'!T253</f>
        <v>5972</v>
      </c>
      <c r="O252" s="30">
        <f>'Equity Volume Data'!R252*'Equity Price Data'!U253</f>
        <v>52881</v>
      </c>
      <c r="P252" s="30">
        <f>'Equity Volume Data'!S252*'Equity Price Data'!V253</f>
        <v>21667.32</v>
      </c>
      <c r="Q252" s="30">
        <f>'Equity Volume Data'!T252*'Equity Price Data'!W253</f>
        <v>26144.4</v>
      </c>
      <c r="R252" s="30">
        <f>'Equity Volume Data'!U252*'Equity Price Data'!X253</f>
        <v>11388</v>
      </c>
      <c r="S252" s="30">
        <f>'Equity Volume Data'!V252*'Equity Price Data'!Y253</f>
        <v>26566.32</v>
      </c>
      <c r="T252" s="30">
        <f>'Equity Volume Data'!W252*'Equity Price Data'!Z253</f>
        <v>10467.5</v>
      </c>
      <c r="U252" s="30">
        <f>'Equity Volume Data'!X252*'Equity Price Data'!AA253</f>
        <v>18205.44</v>
      </c>
      <c r="V252" s="30">
        <f>'Equity Volume Data'!Y252*'Equity Price Data'!AB253</f>
        <v>16193.38</v>
      </c>
      <c r="W252" s="30">
        <f>'Equity Volume Data'!Z252*'Equity Price Data'!AC253</f>
        <v>11440.2</v>
      </c>
      <c r="X252" s="30">
        <f>'Equity Volume Data'!AA252*'Equity Price Data'!AD253</f>
        <v>0</v>
      </c>
      <c r="Y252" s="30">
        <f>'Equity Volume Data'!AB252*'Equity Price Data'!AE253</f>
        <v>6297.2</v>
      </c>
      <c r="Z252" s="30">
        <f>'Equity Volume Data'!AC252*'Equity Price Data'!AF253</f>
        <v>10375.5</v>
      </c>
      <c r="AA252" s="30">
        <f>'Equity Volume Data'!AD252*'Equity Price Data'!AG253</f>
        <v>18608.2</v>
      </c>
      <c r="AB252" s="30">
        <f>'Equity Volume Data'!AE252*'Equity Price Data'!AH253</f>
        <v>13869</v>
      </c>
      <c r="AC252" s="30">
        <f>'Equity Volume Data'!AF252*'Equity Price Data'!AI253</f>
        <v>19635.2</v>
      </c>
      <c r="AD252" s="30">
        <f>'Equity Volume Data'!AG252*'Equity Price Data'!AJ253</f>
        <v>12285.9</v>
      </c>
      <c r="AE252" s="30">
        <f>'Equity Volume Data'!AH252*'Equity Price Data'!AK253</f>
        <v>0</v>
      </c>
      <c r="AF252" s="30">
        <f>'Equity Volume Data'!AI252*'Equity Price Data'!AL253</f>
        <v>20793.15</v>
      </c>
      <c r="AG252" s="30">
        <f>'Equity Volume Data'!AJ252*'Equity Price Data'!AM253</f>
        <v>36228.6</v>
      </c>
      <c r="AH252" s="30">
        <f>'Equity Volume Data'!AK252*'Equity Price Data'!AN253</f>
        <v>37360</v>
      </c>
      <c r="AI252" s="30">
        <f>'Equity Volume Data'!AL252*'Equity Price Data'!AO253</f>
        <v>26215</v>
      </c>
      <c r="AJ252" s="30">
        <f>'Equity Volume Data'!AM252*'Equity Price Data'!AP253</f>
        <v>22469.2</v>
      </c>
      <c r="AK252" s="30">
        <f>'Equity Volume Data'!AN252*'Equity Price Data'!AQ253</f>
        <v>26505.65</v>
      </c>
      <c r="AL252" s="30">
        <f>'Equity Volume Data'!AO252*'Equity Price Data'!AR253</f>
        <v>42081.6</v>
      </c>
      <c r="AM252" s="30">
        <f>'Equity Volume Data'!AP252*'Equity Price Data'!AS253</f>
        <v>32188.1</v>
      </c>
      <c r="AN252" s="30">
        <f>'Equity Volume Data'!AQ252*'Equity Price Data'!AT253</f>
        <v>0</v>
      </c>
      <c r="AO252" s="30">
        <f>'Equity Volume Data'!AR252*'Equity Price Data'!AU253</f>
        <v>27114.5</v>
      </c>
      <c r="AP252" s="30">
        <f>'Equity Volume Data'!AS252*'Equity Price Data'!AV253</f>
        <v>21277.5</v>
      </c>
      <c r="AQ252" s="30">
        <f>'Equity Volume Data'!AT252*'Equity Price Data'!AW253</f>
        <v>17855.2</v>
      </c>
      <c r="AR252" s="30">
        <f>'Equity Volume Data'!AU252*'Equity Price Data'!AX253</f>
        <v>8785.71</v>
      </c>
      <c r="AS252" s="30">
        <f>'Equity Volume Data'!AV252*'Equity Price Data'!AY253</f>
        <v>53896.8</v>
      </c>
      <c r="AT252" s="30">
        <f>'Equity Volume Data'!AW252*'Equity Price Data'!AZ253</f>
        <v>14422</v>
      </c>
      <c r="AU252" s="30">
        <f>'Equity Volume Data'!AX252*'Equity Price Data'!BA253</f>
        <v>0</v>
      </c>
      <c r="AV252" s="30">
        <f>'Equity Volume Data'!AY252*'Equity Price Data'!BB253</f>
        <v>18450.06</v>
      </c>
      <c r="AW252" s="30">
        <f>'Equity Volume Data'!AZ252*'Equity Price Data'!BC253</f>
        <v>3879.6</v>
      </c>
      <c r="AX252" s="30">
        <f>'Equity Volume Data'!BA252*'Equity Price Data'!BD253</f>
        <v>0</v>
      </c>
      <c r="AY252" s="30">
        <f>'Equity Volume Data'!BB252*'Equity Price Data'!BE253</f>
        <v>51496.2</v>
      </c>
      <c r="AZ252" s="30">
        <f>'Equity Volume Data'!BC252*'Equity Price Data'!BF253</f>
        <v>10843.5</v>
      </c>
      <c r="BA252" s="30">
        <f>'Equity Volume Data'!BD252*'Equity Price Data'!BG253</f>
        <v>4345.3</v>
      </c>
      <c r="BB252" s="30">
        <f>'Equity Volume Data'!BE252*'Equity Price Data'!BH253</f>
        <v>10457.6</v>
      </c>
      <c r="BC252" s="30">
        <f>'Equity Volume Data'!BF252*'Equity Price Data'!BI253</f>
        <v>13103.6</v>
      </c>
      <c r="BD252" s="30">
        <f>'Equity Volume Data'!BG252*'Equity Price Data'!BJ253</f>
        <v>50553.42</v>
      </c>
      <c r="BE252" s="30">
        <f>'Equity Volume Data'!BH252*'Equity Price Data'!BK253</f>
        <v>9865.85</v>
      </c>
      <c r="BF252" s="30">
        <f>'Equity Volume Data'!BI252*'Equity Price Data'!BL253</f>
        <v>7758.8</v>
      </c>
      <c r="BG252" s="30">
        <f>'Equity Volume Data'!BJ252*'Equity Price Data'!BM253</f>
        <v>33946.58</v>
      </c>
      <c r="BH252" s="30">
        <f>'Equity Volume Data'!BK252*'Equity Price Data'!BN253</f>
        <v>0</v>
      </c>
      <c r="BI252" s="30">
        <f>'Equity Volume Data'!BL252*'Equity Price Data'!BO253</f>
        <v>36520</v>
      </c>
      <c r="BJ252" s="30">
        <f>'Equity Volume Data'!BM252*'Equity Price Data'!BP253</f>
        <v>23353.5</v>
      </c>
      <c r="BK252" s="30">
        <f>'Equity Volume Data'!BN252*'Equity Price Data'!BQ253</f>
        <v>89685.54</v>
      </c>
      <c r="BL252" s="30">
        <f>'Equity Volume Data'!BO252*'Equity Price Data'!BR253</f>
        <v>413.13</v>
      </c>
      <c r="BM252" s="30">
        <f>'Equity Volume Data'!BP252*'Equity Price Data'!BS253</f>
        <v>10674.24</v>
      </c>
      <c r="BN252" s="30">
        <f>'Equity Volume Data'!BQ252*'Equity Price Data'!BT253</f>
        <v>20939.44</v>
      </c>
      <c r="BO252" s="30">
        <f>'Equity Volume Data'!BR252*'Equity Price Data'!BU253</f>
        <v>28381</v>
      </c>
    </row>
    <row r="253">
      <c r="A253" s="25">
        <f>'Equity Price Data'!A254</f>
        <v>45791.66667</v>
      </c>
      <c r="B253" s="29">
        <f t="shared" si="1"/>
        <v>1345516.65</v>
      </c>
      <c r="C253" s="30">
        <f>'Equity Volume Data'!F253*'Equity Price Data'!I254</f>
        <v>5193.11</v>
      </c>
      <c r="D253" s="30">
        <f>'Equity Volume Data'!G253*'Equity Price Data'!J254</f>
        <v>54665</v>
      </c>
      <c r="E253" s="30">
        <f>'Equity Volume Data'!H253*'Equity Price Data'!K254</f>
        <v>14720.2</v>
      </c>
      <c r="F253" s="30">
        <f>'Equity Volume Data'!I253*'Equity Price Data'!L254</f>
        <v>54356.48</v>
      </c>
      <c r="G253" s="30">
        <f>'Equity Volume Data'!J253*'Equity Price Data'!M254</f>
        <v>14453.62</v>
      </c>
      <c r="H253" s="30">
        <f>'Equity Volume Data'!K253*'Equity Price Data'!N254</f>
        <v>16532.72</v>
      </c>
      <c r="I253" s="30">
        <f>'Equity Volume Data'!L253*'Equity Price Data'!O254</f>
        <v>17230</v>
      </c>
      <c r="J253" s="30">
        <f>'Equity Volume Data'!M253*'Equity Price Data'!P254</f>
        <v>51346.8</v>
      </c>
      <c r="K253" s="30">
        <f>'Equity Volume Data'!N253*'Equity Price Data'!Q254</f>
        <v>10060</v>
      </c>
      <c r="L253" s="30">
        <f>'Equity Volume Data'!O253*'Equity Price Data'!R254</f>
        <v>14564.77</v>
      </c>
      <c r="M253" s="30">
        <f>'Equity Volume Data'!P253*'Equity Price Data'!S254</f>
        <v>0</v>
      </c>
      <c r="N253" s="30">
        <f>'Equity Volume Data'!Q253*'Equity Price Data'!T254</f>
        <v>5868.8</v>
      </c>
      <c r="O253" s="30">
        <f>'Equity Volume Data'!R253*'Equity Price Data'!U254</f>
        <v>52449</v>
      </c>
      <c r="P253" s="30">
        <f>'Equity Volume Data'!S253*'Equity Price Data'!V254</f>
        <v>22226.1</v>
      </c>
      <c r="Q253" s="30">
        <f>'Equity Volume Data'!T253*'Equity Price Data'!W254</f>
        <v>25738.8</v>
      </c>
      <c r="R253" s="30">
        <f>'Equity Volume Data'!U253*'Equity Price Data'!X254</f>
        <v>11333.6</v>
      </c>
      <c r="S253" s="30">
        <f>'Equity Volume Data'!V253*'Equity Price Data'!Y254</f>
        <v>26694.8</v>
      </c>
      <c r="T253" s="30">
        <f>'Equity Volume Data'!W253*'Equity Price Data'!Z254</f>
        <v>10397.5</v>
      </c>
      <c r="U253" s="30">
        <f>'Equity Volume Data'!X253*'Equity Price Data'!AA254</f>
        <v>18258.24</v>
      </c>
      <c r="V253" s="30">
        <f>'Equity Volume Data'!Y253*'Equity Price Data'!AB254</f>
        <v>15982.47</v>
      </c>
      <c r="W253" s="30">
        <f>'Equity Volume Data'!Z253*'Equity Price Data'!AC254</f>
        <v>11431.23</v>
      </c>
      <c r="X253" s="30">
        <f>'Equity Volume Data'!AA253*'Equity Price Data'!AD254</f>
        <v>0</v>
      </c>
      <c r="Y253" s="30">
        <f>'Equity Volume Data'!AB253*'Equity Price Data'!AE254</f>
        <v>6281.99</v>
      </c>
      <c r="Z253" s="30">
        <f>'Equity Volume Data'!AC253*'Equity Price Data'!AF254</f>
        <v>10372.5</v>
      </c>
      <c r="AA253" s="30">
        <f>'Equity Volume Data'!AD253*'Equity Price Data'!AG254</f>
        <v>18441.6</v>
      </c>
      <c r="AB253" s="30">
        <f>'Equity Volume Data'!AE253*'Equity Price Data'!AH254</f>
        <v>13908</v>
      </c>
      <c r="AC253" s="30">
        <f>'Equity Volume Data'!AF253*'Equity Price Data'!AI254</f>
        <v>19826</v>
      </c>
      <c r="AD253" s="30">
        <f>'Equity Volume Data'!AG253*'Equity Price Data'!AJ254</f>
        <v>12181.05</v>
      </c>
      <c r="AE253" s="30">
        <f>'Equity Volume Data'!AH253*'Equity Price Data'!AK254</f>
        <v>0</v>
      </c>
      <c r="AF253" s="30">
        <f>'Equity Volume Data'!AI253*'Equity Price Data'!AL254</f>
        <v>20167.9</v>
      </c>
      <c r="AG253" s="30">
        <f>'Equity Volume Data'!AJ253*'Equity Price Data'!AM254</f>
        <v>36696</v>
      </c>
      <c r="AH253" s="30">
        <f>'Equity Volume Data'!AK253*'Equity Price Data'!AN254</f>
        <v>37281</v>
      </c>
      <c r="AI253" s="30">
        <f>'Equity Volume Data'!AL253*'Equity Price Data'!AO254</f>
        <v>25644.5</v>
      </c>
      <c r="AJ253" s="30">
        <f>'Equity Volume Data'!AM253*'Equity Price Data'!AP254</f>
        <v>22352.2</v>
      </c>
      <c r="AK253" s="30">
        <f>'Equity Volume Data'!AN253*'Equity Price Data'!AQ254</f>
        <v>26599.18</v>
      </c>
      <c r="AL253" s="30">
        <f>'Equity Volume Data'!AO253*'Equity Price Data'!AR254</f>
        <v>42502.4</v>
      </c>
      <c r="AM253" s="30">
        <f>'Equity Volume Data'!AP253*'Equity Price Data'!AS254</f>
        <v>31442.6</v>
      </c>
      <c r="AN253" s="30">
        <f>'Equity Volume Data'!AQ253*'Equity Price Data'!AT254</f>
        <v>0</v>
      </c>
      <c r="AO253" s="30">
        <f>'Equity Volume Data'!AR253*'Equity Price Data'!AU254</f>
        <v>27105.96</v>
      </c>
      <c r="AP253" s="30">
        <f>'Equity Volume Data'!AS253*'Equity Price Data'!AV254</f>
        <v>21062.5</v>
      </c>
      <c r="AQ253" s="30">
        <f>'Equity Volume Data'!AT253*'Equity Price Data'!AW254</f>
        <v>17589</v>
      </c>
      <c r="AR253" s="30">
        <f>'Equity Volume Data'!AU253*'Equity Price Data'!AX254</f>
        <v>8916.84</v>
      </c>
      <c r="AS253" s="30">
        <f>'Equity Volume Data'!AV253*'Equity Price Data'!AY254</f>
        <v>54352.8</v>
      </c>
      <c r="AT253" s="30">
        <f>'Equity Volume Data'!AW253*'Equity Price Data'!AZ254</f>
        <v>14438</v>
      </c>
      <c r="AU253" s="30">
        <f>'Equity Volume Data'!AX253*'Equity Price Data'!BA254</f>
        <v>0</v>
      </c>
      <c r="AV253" s="30">
        <f>'Equity Volume Data'!AY253*'Equity Price Data'!BB254</f>
        <v>19218.28</v>
      </c>
      <c r="AW253" s="30">
        <f>'Equity Volume Data'!AZ253*'Equity Price Data'!BC254</f>
        <v>3841.6</v>
      </c>
      <c r="AX253" s="30">
        <f>'Equity Volume Data'!BA253*'Equity Price Data'!BD254</f>
        <v>0</v>
      </c>
      <c r="AY253" s="30">
        <f>'Equity Volume Data'!BB253*'Equity Price Data'!BE254</f>
        <v>52332.36</v>
      </c>
      <c r="AZ253" s="30">
        <f>'Equity Volume Data'!BC253*'Equity Price Data'!BF254</f>
        <v>10902</v>
      </c>
      <c r="BA253" s="30">
        <f>'Equity Volume Data'!BD253*'Equity Price Data'!BG254</f>
        <v>4183.8</v>
      </c>
      <c r="BB253" s="30">
        <f>'Equity Volume Data'!BE253*'Equity Price Data'!BH254</f>
        <v>10463.2</v>
      </c>
      <c r="BC253" s="30">
        <f>'Equity Volume Data'!BF253*'Equity Price Data'!BI254</f>
        <v>12949.44</v>
      </c>
      <c r="BD253" s="30">
        <f>'Equity Volume Data'!BG253*'Equity Price Data'!BJ254</f>
        <v>50116.77</v>
      </c>
      <c r="BE253" s="30">
        <f>'Equity Volume Data'!BH253*'Equity Price Data'!BK254</f>
        <v>9339.15</v>
      </c>
      <c r="BF253" s="30">
        <f>'Equity Volume Data'!BI253*'Equity Price Data'!BL254</f>
        <v>7480</v>
      </c>
      <c r="BG253" s="30">
        <f>'Equity Volume Data'!BJ253*'Equity Price Data'!BM254</f>
        <v>34016.08</v>
      </c>
      <c r="BH253" s="30">
        <f>'Equity Volume Data'!BK253*'Equity Price Data'!BN254</f>
        <v>0</v>
      </c>
      <c r="BI253" s="30">
        <f>'Equity Volume Data'!BL253*'Equity Price Data'!BO254</f>
        <v>36534.4</v>
      </c>
      <c r="BJ253" s="30">
        <f>'Equity Volume Data'!BM253*'Equity Price Data'!BP254</f>
        <v>23100.75</v>
      </c>
      <c r="BK253" s="30">
        <f>'Equity Volume Data'!BN253*'Equity Price Data'!BQ254</f>
        <v>89685.54</v>
      </c>
      <c r="BL253" s="30">
        <f>'Equity Volume Data'!BO253*'Equity Price Data'!BR254</f>
        <v>395.74</v>
      </c>
      <c r="BM253" s="30">
        <f>'Equity Volume Data'!BP253*'Equity Price Data'!BS254</f>
        <v>10678.56</v>
      </c>
      <c r="BN253" s="30">
        <f>'Equity Volume Data'!BQ253*'Equity Price Data'!BT254</f>
        <v>21232.72</v>
      </c>
      <c r="BO253" s="30">
        <f>'Equity Volume Data'!BR253*'Equity Price Data'!BU254</f>
        <v>28381</v>
      </c>
    </row>
    <row r="254">
      <c r="A254" s="25">
        <f>'Equity Price Data'!A255</f>
        <v>45792.66667</v>
      </c>
      <c r="B254" s="29">
        <f t="shared" si="1"/>
        <v>1350582.07</v>
      </c>
      <c r="C254" s="30">
        <f>'Equity Volume Data'!F254*'Equity Price Data'!I255</f>
        <v>5260.97</v>
      </c>
      <c r="D254" s="30">
        <f>'Equity Volume Data'!G254*'Equity Price Data'!J255</f>
        <v>53344.2</v>
      </c>
      <c r="E254" s="30">
        <f>'Equity Volume Data'!H254*'Equity Price Data'!K255</f>
        <v>15440.7</v>
      </c>
      <c r="F254" s="30">
        <f>'Equity Volume Data'!I254*'Equity Price Data'!L255</f>
        <v>54131.2</v>
      </c>
      <c r="G254" s="30">
        <f>'Equity Volume Data'!J254*'Equity Price Data'!M255</f>
        <v>14504.25</v>
      </c>
      <c r="H254" s="30">
        <f>'Equity Volume Data'!K254*'Equity Price Data'!N255</f>
        <v>16805.32</v>
      </c>
      <c r="I254" s="30">
        <f>'Equity Volume Data'!L254*'Equity Price Data'!O255</f>
        <v>17340</v>
      </c>
      <c r="J254" s="30">
        <f>'Equity Volume Data'!M254*'Equity Price Data'!P255</f>
        <v>51747.66</v>
      </c>
      <c r="K254" s="30">
        <f>'Equity Volume Data'!N254*'Equity Price Data'!Q255</f>
        <v>10106</v>
      </c>
      <c r="L254" s="30">
        <f>'Equity Volume Data'!O254*'Equity Price Data'!R255</f>
        <v>14967.7</v>
      </c>
      <c r="M254" s="30">
        <f>'Equity Volume Data'!P254*'Equity Price Data'!S255</f>
        <v>0</v>
      </c>
      <c r="N254" s="30">
        <f>'Equity Volume Data'!Q254*'Equity Price Data'!T255</f>
        <v>5878.4</v>
      </c>
      <c r="O254" s="30">
        <f>'Equity Volume Data'!R254*'Equity Price Data'!U255</f>
        <v>52471.5</v>
      </c>
      <c r="P254" s="30">
        <f>'Equity Volume Data'!S254*'Equity Price Data'!V255</f>
        <v>21513.03</v>
      </c>
      <c r="Q254" s="30">
        <f>'Equity Volume Data'!T254*'Equity Price Data'!W255</f>
        <v>25932</v>
      </c>
      <c r="R254" s="30">
        <f>'Equity Volume Data'!U254*'Equity Price Data'!X255</f>
        <v>11380.8</v>
      </c>
      <c r="S254" s="30">
        <f>'Equity Volume Data'!V254*'Equity Price Data'!Y255</f>
        <v>27179.68</v>
      </c>
      <c r="T254" s="30">
        <f>'Equity Volume Data'!W254*'Equity Price Data'!Z255</f>
        <v>10430</v>
      </c>
      <c r="U254" s="30">
        <f>'Equity Volume Data'!X254*'Equity Price Data'!AA255</f>
        <v>18905.04</v>
      </c>
      <c r="V254" s="30">
        <f>'Equity Volume Data'!Y254*'Equity Price Data'!AB255</f>
        <v>16423.61</v>
      </c>
      <c r="W254" s="30">
        <f>'Equity Volume Data'!Z254*'Equity Price Data'!AC255</f>
        <v>11577.51</v>
      </c>
      <c r="X254" s="30">
        <f>'Equity Volume Data'!AA254*'Equity Price Data'!AD255</f>
        <v>0</v>
      </c>
      <c r="Y254" s="30">
        <f>'Equity Volume Data'!AB254*'Equity Price Data'!AE255</f>
        <v>6316.83</v>
      </c>
      <c r="Z254" s="30">
        <f>'Equity Volume Data'!AC254*'Equity Price Data'!AF255</f>
        <v>10590</v>
      </c>
      <c r="AA254" s="30">
        <f>'Equity Volume Data'!AD254*'Equity Price Data'!AG255</f>
        <v>18458.6</v>
      </c>
      <c r="AB254" s="30">
        <f>'Equity Volume Data'!AE254*'Equity Price Data'!AH255</f>
        <v>13866.6</v>
      </c>
      <c r="AC254" s="30">
        <f>'Equity Volume Data'!AF254*'Equity Price Data'!AI255</f>
        <v>19791.6</v>
      </c>
      <c r="AD254" s="30">
        <f>'Equity Volume Data'!AG254*'Equity Price Data'!AJ255</f>
        <v>12532.95</v>
      </c>
      <c r="AE254" s="30">
        <f>'Equity Volume Data'!AH254*'Equity Price Data'!AK255</f>
        <v>0</v>
      </c>
      <c r="AF254" s="30">
        <f>'Equity Volume Data'!AI254*'Equity Price Data'!AL255</f>
        <v>20569.7</v>
      </c>
      <c r="AG254" s="30">
        <f>'Equity Volume Data'!AJ254*'Equity Price Data'!AM255</f>
        <v>36954</v>
      </c>
      <c r="AH254" s="30">
        <f>'Equity Volume Data'!AK254*'Equity Price Data'!AN255</f>
        <v>37863</v>
      </c>
      <c r="AI254" s="30">
        <f>'Equity Volume Data'!AL254*'Equity Price Data'!AO255</f>
        <v>25908.75</v>
      </c>
      <c r="AJ254" s="30">
        <f>'Equity Volume Data'!AM254*'Equity Price Data'!AP255</f>
        <v>22730.5</v>
      </c>
      <c r="AK254" s="30">
        <f>'Equity Volume Data'!AN254*'Equity Price Data'!AQ255</f>
        <v>26333.16</v>
      </c>
      <c r="AL254" s="30">
        <f>'Equity Volume Data'!AO254*'Equity Price Data'!AR255</f>
        <v>42798.4</v>
      </c>
      <c r="AM254" s="30">
        <f>'Equity Volume Data'!AP254*'Equity Price Data'!AS255</f>
        <v>32559.8</v>
      </c>
      <c r="AN254" s="30">
        <f>'Equity Volume Data'!AQ254*'Equity Price Data'!AT255</f>
        <v>0</v>
      </c>
      <c r="AO254" s="30">
        <f>'Equity Volume Data'!AR254*'Equity Price Data'!AU255</f>
        <v>27216.98</v>
      </c>
      <c r="AP254" s="30">
        <f>'Equity Volume Data'!AS254*'Equity Price Data'!AV255</f>
        <v>21527.5</v>
      </c>
      <c r="AQ254" s="30">
        <f>'Equity Volume Data'!AT254*'Equity Price Data'!AW255</f>
        <v>17701.2</v>
      </c>
      <c r="AR254" s="30">
        <f>'Equity Volume Data'!AU254*'Equity Price Data'!AX255</f>
        <v>9018.36</v>
      </c>
      <c r="AS254" s="30">
        <f>'Equity Volume Data'!AV254*'Equity Price Data'!AY255</f>
        <v>54375.6</v>
      </c>
      <c r="AT254" s="30">
        <f>'Equity Volume Data'!AW254*'Equity Price Data'!AZ255</f>
        <v>14910</v>
      </c>
      <c r="AU254" s="30">
        <f>'Equity Volume Data'!AX254*'Equity Price Data'!BA255</f>
        <v>0</v>
      </c>
      <c r="AV254" s="30">
        <f>'Equity Volume Data'!AY254*'Equity Price Data'!BB255</f>
        <v>19145.86</v>
      </c>
      <c r="AW254" s="30">
        <f>'Equity Volume Data'!AZ254*'Equity Price Data'!BC255</f>
        <v>3914.4</v>
      </c>
      <c r="AX254" s="30">
        <f>'Equity Volume Data'!BA254*'Equity Price Data'!BD255</f>
        <v>0</v>
      </c>
      <c r="AY254" s="30">
        <f>'Equity Volume Data'!BB254*'Equity Price Data'!BE255</f>
        <v>51504.24</v>
      </c>
      <c r="AZ254" s="30">
        <f>'Equity Volume Data'!BC254*'Equity Price Data'!BF255</f>
        <v>10735.5</v>
      </c>
      <c r="BA254" s="30">
        <f>'Equity Volume Data'!BD254*'Equity Price Data'!BG255</f>
        <v>4294</v>
      </c>
      <c r="BB254" s="30">
        <f>'Equity Volume Data'!BE254*'Equity Price Data'!BH255</f>
        <v>10841.6</v>
      </c>
      <c r="BC254" s="30">
        <f>'Equity Volume Data'!BF254*'Equity Price Data'!BI255</f>
        <v>12936.32</v>
      </c>
      <c r="BD254" s="30">
        <f>'Equity Volume Data'!BG254*'Equity Price Data'!BJ255</f>
        <v>51154.08</v>
      </c>
      <c r="BE254" s="30">
        <f>'Equity Volume Data'!BH254*'Equity Price Data'!BK255</f>
        <v>9313.39</v>
      </c>
      <c r="BF254" s="30">
        <f>'Equity Volume Data'!BI254*'Equity Price Data'!BL255</f>
        <v>7338</v>
      </c>
      <c r="BG254" s="30">
        <f>'Equity Volume Data'!BJ254*'Equity Price Data'!BM255</f>
        <v>33863.18</v>
      </c>
      <c r="BH254" s="30">
        <f>'Equity Volume Data'!BK254*'Equity Price Data'!BN255</f>
        <v>0</v>
      </c>
      <c r="BI254" s="30">
        <f>'Equity Volume Data'!BL254*'Equity Price Data'!BO255</f>
        <v>36936</v>
      </c>
      <c r="BJ254" s="30">
        <f>'Equity Volume Data'!BM254*'Equity Price Data'!BP255</f>
        <v>20576.25</v>
      </c>
      <c r="BK254" s="30">
        <f>'Equity Volume Data'!BN254*'Equity Price Data'!BQ255</f>
        <v>89829.7</v>
      </c>
      <c r="BL254" s="30">
        <f>'Equity Volume Data'!BO254*'Equity Price Data'!BR255</f>
        <v>413.13</v>
      </c>
      <c r="BM254" s="30">
        <f>'Equity Volume Data'!BP254*'Equity Price Data'!BS255</f>
        <v>10944.96</v>
      </c>
      <c r="BN254" s="30">
        <f>'Equity Volume Data'!BQ254*'Equity Price Data'!BT255</f>
        <v>21097.36</v>
      </c>
      <c r="BO254" s="30">
        <f>'Equity Volume Data'!BR254*'Equity Price Data'!BU255</f>
        <v>28381</v>
      </c>
    </row>
    <row r="255">
      <c r="A255" s="25">
        <f>'Equity Price Data'!A256</f>
        <v>45793.66667</v>
      </c>
      <c r="B255" s="29">
        <f t="shared" si="1"/>
        <v>1360461.23</v>
      </c>
      <c r="C255" s="30">
        <f>'Equity Volume Data'!F255*'Equity Price Data'!I256</f>
        <v>5422.69</v>
      </c>
      <c r="D255" s="30">
        <f>'Equity Volume Data'!G255*'Equity Price Data'!J256</f>
        <v>53453.4</v>
      </c>
      <c r="E255" s="30">
        <f>'Equity Volume Data'!H255*'Equity Price Data'!K256</f>
        <v>15681.6</v>
      </c>
      <c r="F255" s="30">
        <f>'Equity Volume Data'!I255*'Equity Price Data'!L256</f>
        <v>54082.56</v>
      </c>
      <c r="G255" s="30">
        <f>'Equity Volume Data'!J255*'Equity Price Data'!M256</f>
        <v>13742.31</v>
      </c>
      <c r="H255" s="30">
        <f>'Equity Volume Data'!K255*'Equity Price Data'!N256</f>
        <v>16933.16</v>
      </c>
      <c r="I255" s="30">
        <f>'Equity Volume Data'!L255*'Equity Price Data'!O256</f>
        <v>17420</v>
      </c>
      <c r="J255" s="30">
        <f>'Equity Volume Data'!M255*'Equity Price Data'!P256</f>
        <v>52459.62</v>
      </c>
      <c r="K255" s="30">
        <f>'Equity Volume Data'!N255*'Equity Price Data'!Q256</f>
        <v>10102</v>
      </c>
      <c r="L255" s="30">
        <f>'Equity Volume Data'!O255*'Equity Price Data'!R256</f>
        <v>15196.39</v>
      </c>
      <c r="M255" s="30">
        <f>'Equity Volume Data'!P255*'Equity Price Data'!S256</f>
        <v>0</v>
      </c>
      <c r="N255" s="30">
        <f>'Equity Volume Data'!Q255*'Equity Price Data'!T256</f>
        <v>6049.6</v>
      </c>
      <c r="O255" s="30">
        <f>'Equity Volume Data'!R255*'Equity Price Data'!U256</f>
        <v>53037</v>
      </c>
      <c r="P255" s="30">
        <f>'Equity Volume Data'!S255*'Equity Price Data'!V256</f>
        <v>21379.59</v>
      </c>
      <c r="Q255" s="30">
        <f>'Equity Volume Data'!T255*'Equity Price Data'!W256</f>
        <v>26241.6</v>
      </c>
      <c r="R255" s="30">
        <f>'Equity Volume Data'!U255*'Equity Price Data'!X256</f>
        <v>11368</v>
      </c>
      <c r="S255" s="30">
        <f>'Equity Volume Data'!V255*'Equity Price Data'!Y256</f>
        <v>28242.72</v>
      </c>
      <c r="T255" s="30">
        <f>'Equity Volume Data'!W255*'Equity Price Data'!Z256</f>
        <v>10455</v>
      </c>
      <c r="U255" s="30">
        <f>'Equity Volume Data'!X255*'Equity Price Data'!AA256</f>
        <v>19008</v>
      </c>
      <c r="V255" s="30">
        <f>'Equity Volume Data'!Y255*'Equity Price Data'!AB256</f>
        <v>16790.69</v>
      </c>
      <c r="W255" s="30">
        <f>'Equity Volume Data'!Z255*'Equity Price Data'!AC256</f>
        <v>11733.45</v>
      </c>
      <c r="X255" s="30">
        <f>'Equity Volume Data'!AA255*'Equity Price Data'!AD256</f>
        <v>0</v>
      </c>
      <c r="Y255" s="30">
        <f>'Equity Volume Data'!AB255*'Equity Price Data'!AE256</f>
        <v>6435.65</v>
      </c>
      <c r="Z255" s="30">
        <f>'Equity Volume Data'!AC255*'Equity Price Data'!AF256</f>
        <v>10776</v>
      </c>
      <c r="AA255" s="30">
        <f>'Equity Volume Data'!AD255*'Equity Price Data'!AG256</f>
        <v>18392.3</v>
      </c>
      <c r="AB255" s="30">
        <f>'Equity Volume Data'!AE255*'Equity Price Data'!AH256</f>
        <v>13770.6</v>
      </c>
      <c r="AC255" s="30">
        <f>'Equity Volume Data'!AF255*'Equity Price Data'!AI256</f>
        <v>19949.6</v>
      </c>
      <c r="AD255" s="30">
        <f>'Equity Volume Data'!AG255*'Equity Price Data'!AJ256</f>
        <v>12631.95</v>
      </c>
      <c r="AE255" s="30">
        <f>'Equity Volume Data'!AH255*'Equity Price Data'!AK256</f>
        <v>0</v>
      </c>
      <c r="AF255" s="30">
        <f>'Equity Volume Data'!AI255*'Equity Price Data'!AL256</f>
        <v>21012.5</v>
      </c>
      <c r="AG255" s="30">
        <f>'Equity Volume Data'!AJ255*'Equity Price Data'!AM256</f>
        <v>37141.8</v>
      </c>
      <c r="AH255" s="30">
        <f>'Equity Volume Data'!AK255*'Equity Price Data'!AN256</f>
        <v>38078</v>
      </c>
      <c r="AI255" s="30">
        <f>'Equity Volume Data'!AL255*'Equity Price Data'!AO256</f>
        <v>26762.75</v>
      </c>
      <c r="AJ255" s="30">
        <f>'Equity Volume Data'!AM255*'Equity Price Data'!AP256</f>
        <v>22912.5</v>
      </c>
      <c r="AK255" s="30">
        <f>'Equity Volume Data'!AN255*'Equity Price Data'!AQ256</f>
        <v>26489.2</v>
      </c>
      <c r="AL255" s="30">
        <f>'Equity Volume Data'!AO255*'Equity Price Data'!AR256</f>
        <v>42809.6</v>
      </c>
      <c r="AM255" s="30">
        <f>'Equity Volume Data'!AP255*'Equity Price Data'!AS256</f>
        <v>32782.4</v>
      </c>
      <c r="AN255" s="30">
        <f>'Equity Volume Data'!AQ255*'Equity Price Data'!AT256</f>
        <v>0</v>
      </c>
      <c r="AO255" s="30">
        <f>'Equity Volume Data'!AR255*'Equity Price Data'!AU256</f>
        <v>27328</v>
      </c>
      <c r="AP255" s="30">
        <f>'Equity Volume Data'!AS255*'Equity Price Data'!AV256</f>
        <v>21610</v>
      </c>
      <c r="AQ255" s="30">
        <f>'Equity Volume Data'!AT255*'Equity Price Data'!AW256</f>
        <v>17782.6</v>
      </c>
      <c r="AR255" s="30">
        <f>'Equity Volume Data'!AU255*'Equity Price Data'!AX256</f>
        <v>9014.13</v>
      </c>
      <c r="AS255" s="30">
        <f>'Equity Volume Data'!AV255*'Equity Price Data'!AY256</f>
        <v>54512.4</v>
      </c>
      <c r="AT255" s="30">
        <f>'Equity Volume Data'!AW255*'Equity Price Data'!AZ256</f>
        <v>15000</v>
      </c>
      <c r="AU255" s="30">
        <f>'Equity Volume Data'!AX255*'Equity Price Data'!BA256</f>
        <v>0</v>
      </c>
      <c r="AV255" s="30">
        <f>'Equity Volume Data'!AY255*'Equity Price Data'!BB256</f>
        <v>19226.8</v>
      </c>
      <c r="AW255" s="30">
        <f>'Equity Volume Data'!AZ255*'Equity Price Data'!BC256</f>
        <v>3955.6</v>
      </c>
      <c r="AX255" s="30">
        <f>'Equity Volume Data'!BA255*'Equity Price Data'!BD256</f>
        <v>0</v>
      </c>
      <c r="AY255" s="30">
        <f>'Equity Volume Data'!BB255*'Equity Price Data'!BE256</f>
        <v>52067.04</v>
      </c>
      <c r="AZ255" s="30">
        <f>'Equity Volume Data'!BC255*'Equity Price Data'!BF256</f>
        <v>10827</v>
      </c>
      <c r="BA255" s="30">
        <f>'Equity Volume Data'!BD255*'Equity Price Data'!BG256</f>
        <v>4337.7</v>
      </c>
      <c r="BB255" s="30">
        <f>'Equity Volume Data'!BE255*'Equity Price Data'!BH256</f>
        <v>10838.4</v>
      </c>
      <c r="BC255" s="30">
        <f>'Equity Volume Data'!BF255*'Equity Price Data'!BI256</f>
        <v>12969.12</v>
      </c>
      <c r="BD255" s="30">
        <f>'Equity Volume Data'!BG255*'Equity Price Data'!BJ256</f>
        <v>51686.58</v>
      </c>
      <c r="BE255" s="30">
        <f>'Equity Volume Data'!BH255*'Equity Price Data'!BK256</f>
        <v>9477.38</v>
      </c>
      <c r="BF255" s="30">
        <f>'Equity Volume Data'!BI255*'Equity Price Data'!BL256</f>
        <v>7327.6</v>
      </c>
      <c r="BG255" s="30">
        <f>'Equity Volume Data'!BJ255*'Equity Price Data'!BM256</f>
        <v>33799.24</v>
      </c>
      <c r="BH255" s="30">
        <f>'Equity Volume Data'!BK255*'Equity Price Data'!BN256</f>
        <v>0</v>
      </c>
      <c r="BI255" s="30">
        <f>'Equity Volume Data'!BL255*'Equity Price Data'!BO256</f>
        <v>37027.2</v>
      </c>
      <c r="BJ255" s="30">
        <f>'Equity Volume Data'!BM255*'Equity Price Data'!BP256</f>
        <v>21893.25</v>
      </c>
      <c r="BK255" s="30">
        <f>'Equity Volume Data'!BN255*'Equity Price Data'!BQ256</f>
        <v>89883.76</v>
      </c>
      <c r="BL255" s="30">
        <f>'Equity Volume Data'!BO255*'Equity Price Data'!BR256</f>
        <v>415.48</v>
      </c>
      <c r="BM255" s="30">
        <f>'Equity Volume Data'!BP255*'Equity Price Data'!BS256</f>
        <v>11033.76</v>
      </c>
      <c r="BN255" s="30">
        <f>'Equity Volume Data'!BQ255*'Equity Price Data'!BT256</f>
        <v>21322.96</v>
      </c>
      <c r="BO255" s="30">
        <f>'Equity Volume Data'!BR255*'Equity Price Data'!BU256</f>
        <v>28381</v>
      </c>
    </row>
    <row r="256">
      <c r="A256" s="25">
        <f>'Equity Price Data'!A257</f>
        <v>45796.66667</v>
      </c>
      <c r="B256" s="29">
        <f t="shared" si="1"/>
        <v>1361948.79</v>
      </c>
      <c r="C256" s="30">
        <f>'Equity Volume Data'!F256*'Equity Price Data'!I257</f>
        <v>5468.84</v>
      </c>
      <c r="D256" s="30">
        <f>'Equity Volume Data'!G256*'Equity Price Data'!J257</f>
        <v>53601.6</v>
      </c>
      <c r="E256" s="30">
        <f>'Equity Volume Data'!H256*'Equity Price Data'!K257</f>
        <v>15808.1</v>
      </c>
      <c r="F256" s="30">
        <f>'Equity Volume Data'!I256*'Equity Price Data'!L257</f>
        <v>53447.68</v>
      </c>
      <c r="G256" s="30">
        <f>'Equity Volume Data'!J256*'Equity Price Data'!M257</f>
        <v>13773.02</v>
      </c>
      <c r="H256" s="30">
        <f>'Equity Volume Data'!K256*'Equity Price Data'!N257</f>
        <v>16982.04</v>
      </c>
      <c r="I256" s="30">
        <f>'Equity Volume Data'!L256*'Equity Price Data'!O257</f>
        <v>17730</v>
      </c>
      <c r="J256" s="30">
        <f>'Equity Volume Data'!M256*'Equity Price Data'!P257</f>
        <v>52263.78</v>
      </c>
      <c r="K256" s="30">
        <f>'Equity Volume Data'!N256*'Equity Price Data'!Q257</f>
        <v>10070</v>
      </c>
      <c r="L256" s="30">
        <f>'Equity Volume Data'!O256*'Equity Price Data'!R257</f>
        <v>15662.24</v>
      </c>
      <c r="M256" s="30">
        <f>'Equity Volume Data'!P256*'Equity Price Data'!S257</f>
        <v>0</v>
      </c>
      <c r="N256" s="30">
        <f>'Equity Volume Data'!Q256*'Equity Price Data'!T257</f>
        <v>6066.4</v>
      </c>
      <c r="O256" s="30">
        <f>'Equity Volume Data'!R256*'Equity Price Data'!U257</f>
        <v>52885.5</v>
      </c>
      <c r="P256" s="30">
        <f>'Equity Volume Data'!S256*'Equity Price Data'!V257</f>
        <v>21342.06</v>
      </c>
      <c r="Q256" s="30">
        <f>'Equity Volume Data'!T256*'Equity Price Data'!W257</f>
        <v>26269.2</v>
      </c>
      <c r="R256" s="30">
        <f>'Equity Volume Data'!U256*'Equity Price Data'!X257</f>
        <v>11079.2</v>
      </c>
      <c r="S256" s="30">
        <f>'Equity Volume Data'!V256*'Equity Price Data'!Y257</f>
        <v>28332.48</v>
      </c>
      <c r="T256" s="30">
        <f>'Equity Volume Data'!W256*'Equity Price Data'!Z257</f>
        <v>10395</v>
      </c>
      <c r="U256" s="30">
        <f>'Equity Volume Data'!X256*'Equity Price Data'!AA257</f>
        <v>18989.52</v>
      </c>
      <c r="V256" s="30">
        <f>'Equity Volume Data'!Y256*'Equity Price Data'!AB257</f>
        <v>16966.18</v>
      </c>
      <c r="W256" s="30">
        <f>'Equity Volume Data'!Z256*'Equity Price Data'!AC257</f>
        <v>11784.51</v>
      </c>
      <c r="X256" s="30">
        <f>'Equity Volume Data'!AA256*'Equity Price Data'!AD257</f>
        <v>0</v>
      </c>
      <c r="Y256" s="30">
        <f>'Equity Volume Data'!AB256*'Equity Price Data'!AE257</f>
        <v>6467.76</v>
      </c>
      <c r="Z256" s="30">
        <f>'Equity Volume Data'!AC256*'Equity Price Data'!AF257</f>
        <v>10864.5</v>
      </c>
      <c r="AA256" s="30">
        <f>'Equity Volume Data'!AD256*'Equity Price Data'!AG257</f>
        <v>18099.9</v>
      </c>
      <c r="AB256" s="30">
        <f>'Equity Volume Data'!AE256*'Equity Price Data'!AH257</f>
        <v>13567.2</v>
      </c>
      <c r="AC256" s="30">
        <f>'Equity Volume Data'!AF256*'Equity Price Data'!AI257</f>
        <v>19905.2</v>
      </c>
      <c r="AD256" s="30">
        <f>'Equity Volume Data'!AG256*'Equity Price Data'!AJ257</f>
        <v>12661.65</v>
      </c>
      <c r="AE256" s="30">
        <f>'Equity Volume Data'!AH256*'Equity Price Data'!AK257</f>
        <v>0</v>
      </c>
      <c r="AF256" s="30">
        <f>'Equity Volume Data'!AI256*'Equity Price Data'!AL257</f>
        <v>21762.8</v>
      </c>
      <c r="AG256" s="30">
        <f>'Equity Volume Data'!AJ256*'Equity Price Data'!AM257</f>
        <v>36738</v>
      </c>
      <c r="AH256" s="30">
        <f>'Equity Volume Data'!AK256*'Equity Price Data'!AN257</f>
        <v>37938</v>
      </c>
      <c r="AI256" s="30">
        <f>'Equity Volume Data'!AL256*'Equity Price Data'!AO257</f>
        <v>26766.25</v>
      </c>
      <c r="AJ256" s="30">
        <f>'Equity Volume Data'!AM256*'Equity Price Data'!AP257</f>
        <v>22977.5</v>
      </c>
      <c r="AK256" s="30">
        <f>'Equity Volume Data'!AN256*'Equity Price Data'!AQ257</f>
        <v>26396.61</v>
      </c>
      <c r="AL256" s="30">
        <f>'Equity Volume Data'!AO256*'Equity Price Data'!AR257</f>
        <v>42380.8</v>
      </c>
      <c r="AM256" s="30">
        <f>'Equity Volume Data'!AP256*'Equity Price Data'!AS257</f>
        <v>33114.2</v>
      </c>
      <c r="AN256" s="30">
        <f>'Equity Volume Data'!AQ256*'Equity Price Data'!AT257</f>
        <v>0</v>
      </c>
      <c r="AO256" s="30">
        <f>'Equity Volume Data'!AR256*'Equity Price Data'!AU257</f>
        <v>27387.78</v>
      </c>
      <c r="AP256" s="30">
        <f>'Equity Volume Data'!AS256*'Equity Price Data'!AV257</f>
        <v>21742.5</v>
      </c>
      <c r="AQ256" s="30">
        <f>'Equity Volume Data'!AT256*'Equity Price Data'!AW257</f>
        <v>17791.4</v>
      </c>
      <c r="AR256" s="30">
        <f>'Equity Volume Data'!AU256*'Equity Price Data'!AX257</f>
        <v>8988.75</v>
      </c>
      <c r="AS256" s="30">
        <f>'Equity Volume Data'!AV256*'Equity Price Data'!AY257</f>
        <v>55064.4</v>
      </c>
      <c r="AT256" s="30">
        <f>'Equity Volume Data'!AW256*'Equity Price Data'!AZ257</f>
        <v>14772</v>
      </c>
      <c r="AU256" s="30">
        <f>'Equity Volume Data'!AX256*'Equity Price Data'!BA257</f>
        <v>0</v>
      </c>
      <c r="AV256" s="30">
        <f>'Equity Volume Data'!AY256*'Equity Price Data'!BB257</f>
        <v>19250.94</v>
      </c>
      <c r="AW256" s="30">
        <f>'Equity Volume Data'!AZ256*'Equity Price Data'!BC257</f>
        <v>3941.6</v>
      </c>
      <c r="AX256" s="30">
        <f>'Equity Volume Data'!BA256*'Equity Price Data'!BD257</f>
        <v>0</v>
      </c>
      <c r="AY256" s="30">
        <f>'Equity Volume Data'!BB256*'Equity Price Data'!BE257</f>
        <v>50784.66</v>
      </c>
      <c r="AZ256" s="30">
        <f>'Equity Volume Data'!BC256*'Equity Price Data'!BF257</f>
        <v>10848</v>
      </c>
      <c r="BA256" s="30">
        <f>'Equity Volume Data'!BD256*'Equity Price Data'!BG257</f>
        <v>4370</v>
      </c>
      <c r="BB256" s="30">
        <f>'Equity Volume Data'!BE256*'Equity Price Data'!BH257</f>
        <v>10976</v>
      </c>
      <c r="BC256" s="30">
        <f>'Equity Volume Data'!BF256*'Equity Price Data'!BI257</f>
        <v>13097.04</v>
      </c>
      <c r="BD256" s="30">
        <f>'Equity Volume Data'!BG256*'Equity Price Data'!BJ257</f>
        <v>52025.25</v>
      </c>
      <c r="BE256" s="30">
        <f>'Equity Volume Data'!BH256*'Equity Price Data'!BK257</f>
        <v>9520.16</v>
      </c>
      <c r="BF256" s="30">
        <f>'Equity Volume Data'!BI256*'Equity Price Data'!BL257</f>
        <v>7412.8</v>
      </c>
      <c r="BG256" s="30">
        <f>'Equity Volume Data'!BJ256*'Equity Price Data'!BM257</f>
        <v>33943.8</v>
      </c>
      <c r="BH256" s="30">
        <f>'Equity Volume Data'!BK256*'Equity Price Data'!BN257</f>
        <v>0</v>
      </c>
      <c r="BI256" s="30">
        <f>'Equity Volume Data'!BL256*'Equity Price Data'!BO257</f>
        <v>36720</v>
      </c>
      <c r="BJ256" s="30">
        <f>'Equity Volume Data'!BM256*'Equity Price Data'!BP257</f>
        <v>23691.75</v>
      </c>
      <c r="BK256" s="30">
        <f>'Equity Volume Data'!BN256*'Equity Price Data'!BQ257</f>
        <v>89955.84</v>
      </c>
      <c r="BL256" s="30">
        <f>'Equity Volume Data'!BO256*'Equity Price Data'!BR257</f>
        <v>411.72</v>
      </c>
      <c r="BM256" s="30">
        <f>'Equity Volume Data'!BP256*'Equity Price Data'!BS257</f>
        <v>11133.6</v>
      </c>
      <c r="BN256" s="30">
        <f>'Equity Volume Data'!BQ256*'Equity Price Data'!BT257</f>
        <v>21180.08</v>
      </c>
      <c r="BO256" s="30">
        <f>'Equity Volume Data'!BR256*'Equity Price Data'!BU257</f>
        <v>28381</v>
      </c>
    </row>
    <row r="257">
      <c r="A257" s="25">
        <f>'Equity Price Data'!A258</f>
        <v>45797.66667</v>
      </c>
      <c r="B257" s="29">
        <f t="shared" si="1"/>
        <v>1359774.1</v>
      </c>
      <c r="C257" s="30">
        <f>'Equity Volume Data'!F257*'Equity Price Data'!I258</f>
        <v>5428.93</v>
      </c>
      <c r="D257" s="30">
        <f>'Equity Volume Data'!G257*'Equity Price Data'!J258</f>
        <v>53058.2</v>
      </c>
      <c r="E257" s="30">
        <f>'Equity Volume Data'!H257*'Equity Price Data'!K258</f>
        <v>15820.2</v>
      </c>
      <c r="F257" s="30">
        <f>'Equity Volume Data'!I257*'Equity Price Data'!L258</f>
        <v>52956.16</v>
      </c>
      <c r="G257" s="30">
        <f>'Equity Volume Data'!J257*'Equity Price Data'!M258</f>
        <v>13755.59</v>
      </c>
      <c r="H257" s="30">
        <f>'Equity Volume Data'!K257*'Equity Price Data'!N258</f>
        <v>16938.8</v>
      </c>
      <c r="I257" s="30">
        <f>'Equity Volume Data'!L257*'Equity Price Data'!O258</f>
        <v>17850</v>
      </c>
      <c r="J257" s="30">
        <f>'Equity Volume Data'!M257*'Equity Price Data'!P258</f>
        <v>51891.48</v>
      </c>
      <c r="K257" s="30">
        <f>'Equity Volume Data'!N257*'Equity Price Data'!Q258</f>
        <v>9944</v>
      </c>
      <c r="L257" s="30">
        <f>'Equity Volume Data'!O257*'Equity Price Data'!R258</f>
        <v>15796.55</v>
      </c>
      <c r="M257" s="30">
        <f>'Equity Volume Data'!P257*'Equity Price Data'!S258</f>
        <v>0</v>
      </c>
      <c r="N257" s="30">
        <f>'Equity Volume Data'!Q257*'Equity Price Data'!T258</f>
        <v>5996</v>
      </c>
      <c r="O257" s="30">
        <f>'Equity Volume Data'!R257*'Equity Price Data'!U258</f>
        <v>52423.5</v>
      </c>
      <c r="P257" s="30">
        <f>'Equity Volume Data'!S257*'Equity Price Data'!V258</f>
        <v>21850.8</v>
      </c>
      <c r="Q257" s="30">
        <f>'Equity Volume Data'!T257*'Equity Price Data'!W258</f>
        <v>26510.4</v>
      </c>
      <c r="R257" s="30">
        <f>'Equity Volume Data'!U257*'Equity Price Data'!X258</f>
        <v>10981.6</v>
      </c>
      <c r="S257" s="30">
        <f>'Equity Volume Data'!V257*'Equity Price Data'!Y258</f>
        <v>28600</v>
      </c>
      <c r="T257" s="30">
        <f>'Equity Volume Data'!W257*'Equity Price Data'!Z258</f>
        <v>10325</v>
      </c>
      <c r="U257" s="30">
        <f>'Equity Volume Data'!X257*'Equity Price Data'!AA258</f>
        <v>18926.16</v>
      </c>
      <c r="V257" s="30">
        <f>'Equity Volume Data'!Y257*'Equity Price Data'!AB258</f>
        <v>17019.31</v>
      </c>
      <c r="W257" s="30">
        <f>'Equity Volume Data'!Z257*'Equity Price Data'!AC258</f>
        <v>11738.97</v>
      </c>
      <c r="X257" s="30">
        <f>'Equity Volume Data'!AA257*'Equity Price Data'!AD258</f>
        <v>0</v>
      </c>
      <c r="Y257" s="30">
        <f>'Equity Volume Data'!AB257*'Equity Price Data'!AE258</f>
        <v>6409.91</v>
      </c>
      <c r="Z257" s="30">
        <f>'Equity Volume Data'!AC257*'Equity Price Data'!AF258</f>
        <v>10888.5</v>
      </c>
      <c r="AA257" s="30">
        <f>'Equity Volume Data'!AD257*'Equity Price Data'!AG258</f>
        <v>17841.5</v>
      </c>
      <c r="AB257" s="30">
        <f>'Equity Volume Data'!AE257*'Equity Price Data'!AH258</f>
        <v>13268.4</v>
      </c>
      <c r="AC257" s="30">
        <f>'Equity Volume Data'!AF257*'Equity Price Data'!AI258</f>
        <v>19960.8</v>
      </c>
      <c r="AD257" s="30">
        <f>'Equity Volume Data'!AG257*'Equity Price Data'!AJ258</f>
        <v>12670.65</v>
      </c>
      <c r="AE257" s="30">
        <f>'Equity Volume Data'!AH257*'Equity Price Data'!AK258</f>
        <v>0</v>
      </c>
      <c r="AF257" s="30">
        <f>'Equity Volume Data'!AI257*'Equity Price Data'!AL258</f>
        <v>22367.55</v>
      </c>
      <c r="AG257" s="30">
        <f>'Equity Volume Data'!AJ257*'Equity Price Data'!AM258</f>
        <v>36391.2</v>
      </c>
      <c r="AH257" s="30">
        <f>'Equity Volume Data'!AK257*'Equity Price Data'!AN258</f>
        <v>37705</v>
      </c>
      <c r="AI257" s="30">
        <f>'Equity Volume Data'!AL257*'Equity Price Data'!AO258</f>
        <v>26607</v>
      </c>
      <c r="AJ257" s="30">
        <f>'Equity Volume Data'!AM257*'Equity Price Data'!AP258</f>
        <v>22917.7</v>
      </c>
      <c r="AK257" s="30">
        <f>'Equity Volume Data'!AN257*'Equity Price Data'!AQ258</f>
        <v>26186.52</v>
      </c>
      <c r="AL257" s="30">
        <f>'Equity Volume Data'!AO257*'Equity Price Data'!AR258</f>
        <v>42508.8</v>
      </c>
      <c r="AM257" s="30">
        <f>'Equity Volume Data'!AP257*'Equity Price Data'!AS258</f>
        <v>33307.4</v>
      </c>
      <c r="AN257" s="30">
        <f>'Equity Volume Data'!AQ257*'Equity Price Data'!AT258</f>
        <v>0</v>
      </c>
      <c r="AO257" s="30">
        <f>'Equity Volume Data'!AR257*'Equity Price Data'!AU258</f>
        <v>27157.2</v>
      </c>
      <c r="AP257" s="30">
        <f>'Equity Volume Data'!AS257*'Equity Price Data'!AV258</f>
        <v>21592.5</v>
      </c>
      <c r="AQ257" s="30">
        <f>'Equity Volume Data'!AT257*'Equity Price Data'!AW258</f>
        <v>17672.6</v>
      </c>
      <c r="AR257" s="30">
        <f>'Equity Volume Data'!AU257*'Equity Price Data'!AX258</f>
        <v>8730.72</v>
      </c>
      <c r="AS257" s="30">
        <f>'Equity Volume Data'!AV257*'Equity Price Data'!AY258</f>
        <v>54980.4</v>
      </c>
      <c r="AT257" s="30">
        <f>'Equity Volume Data'!AW257*'Equity Price Data'!AZ258</f>
        <v>14882</v>
      </c>
      <c r="AU257" s="30">
        <f>'Equity Volume Data'!AX257*'Equity Price Data'!BA258</f>
        <v>0</v>
      </c>
      <c r="AV257" s="30">
        <f>'Equity Volume Data'!AY257*'Equity Price Data'!BB258</f>
        <v>19081.96</v>
      </c>
      <c r="AW257" s="30">
        <f>'Equity Volume Data'!AZ257*'Equity Price Data'!BC258</f>
        <v>3928.4</v>
      </c>
      <c r="AX257" s="30">
        <f>'Equity Volume Data'!BA257*'Equity Price Data'!BD258</f>
        <v>0</v>
      </c>
      <c r="AY257" s="30">
        <f>'Equity Volume Data'!BB257*'Equity Price Data'!BE258</f>
        <v>50487.18</v>
      </c>
      <c r="AZ257" s="30">
        <f>'Equity Volume Data'!BC257*'Equity Price Data'!BF258</f>
        <v>10891.5</v>
      </c>
      <c r="BA257" s="30">
        <f>'Equity Volume Data'!BD257*'Equity Price Data'!BG258</f>
        <v>4468.8</v>
      </c>
      <c r="BB257" s="30">
        <f>'Equity Volume Data'!BE257*'Equity Price Data'!BH258</f>
        <v>10974.4</v>
      </c>
      <c r="BC257" s="30">
        <f>'Equity Volume Data'!BF257*'Equity Price Data'!BI258</f>
        <v>13274.16</v>
      </c>
      <c r="BD257" s="30">
        <f>'Equity Volume Data'!BG257*'Equity Price Data'!BJ258</f>
        <v>51377.73</v>
      </c>
      <c r="BE257" s="30">
        <f>'Equity Volume Data'!BH257*'Equity Price Data'!BK258</f>
        <v>9516.25</v>
      </c>
      <c r="BF257" s="30">
        <f>'Equity Volume Data'!BI257*'Equity Price Data'!BL258</f>
        <v>7454.4</v>
      </c>
      <c r="BG257" s="30">
        <f>'Equity Volume Data'!BJ257*'Equity Price Data'!BM258</f>
        <v>34669.38</v>
      </c>
      <c r="BH257" s="30">
        <f>'Equity Volume Data'!BK257*'Equity Price Data'!BN258</f>
        <v>0</v>
      </c>
      <c r="BI257" s="30">
        <f>'Equity Volume Data'!BL257*'Equity Price Data'!BO258</f>
        <v>36532.8</v>
      </c>
      <c r="BJ257" s="30">
        <f>'Equity Volume Data'!BM257*'Equity Price Data'!BP258</f>
        <v>24118.5</v>
      </c>
      <c r="BK257" s="30">
        <f>'Equity Volume Data'!BN257*'Equity Price Data'!BQ258</f>
        <v>89991.88</v>
      </c>
      <c r="BL257" s="30">
        <f>'Equity Volume Data'!BO257*'Equity Price Data'!BR258</f>
        <v>417.36</v>
      </c>
      <c r="BM257" s="30">
        <f>'Equity Volume Data'!BP257*'Equity Price Data'!BS258</f>
        <v>11226.72</v>
      </c>
      <c r="BN257" s="30">
        <f>'Equity Volume Data'!BQ257*'Equity Price Data'!BT258</f>
        <v>21123.68</v>
      </c>
      <c r="BO257" s="30">
        <f>'Equity Volume Data'!BR257*'Equity Price Data'!BU258</f>
        <v>28381</v>
      </c>
    </row>
    <row r="258">
      <c r="A258" s="25">
        <f>'Equity Price Data'!A259</f>
        <v>45798.66667</v>
      </c>
      <c r="B258" s="29">
        <f t="shared" si="1"/>
        <v>1337368.77</v>
      </c>
      <c r="C258" s="30">
        <f>'Equity Volume Data'!F258*'Equity Price Data'!I259</f>
        <v>5382.39</v>
      </c>
      <c r="D258" s="30">
        <f>'Equity Volume Data'!G258*'Equity Price Data'!J259</f>
        <v>52291.2</v>
      </c>
      <c r="E258" s="30">
        <f>'Equity Volume Data'!H258*'Equity Price Data'!K259</f>
        <v>15782.8</v>
      </c>
      <c r="F258" s="30">
        <f>'Equity Volume Data'!I258*'Equity Price Data'!L259</f>
        <v>51735.04</v>
      </c>
      <c r="G258" s="30">
        <f>'Equity Volume Data'!J258*'Equity Price Data'!M259</f>
        <v>13465.09</v>
      </c>
      <c r="H258" s="30">
        <f>'Equity Volume Data'!K258*'Equity Price Data'!N259</f>
        <v>16713.2</v>
      </c>
      <c r="I258" s="30">
        <f>'Equity Volume Data'!L258*'Equity Price Data'!O259</f>
        <v>17570</v>
      </c>
      <c r="J258" s="30">
        <f>'Equity Volume Data'!M258*'Equity Price Data'!P259</f>
        <v>51717.06</v>
      </c>
      <c r="K258" s="30">
        <f>'Equity Volume Data'!N258*'Equity Price Data'!Q259</f>
        <v>9868</v>
      </c>
      <c r="L258" s="30">
        <f>'Equity Volume Data'!O258*'Equity Price Data'!R259</f>
        <v>15345.22</v>
      </c>
      <c r="M258" s="30">
        <f>'Equity Volume Data'!P258*'Equity Price Data'!S259</f>
        <v>0</v>
      </c>
      <c r="N258" s="30">
        <f>'Equity Volume Data'!Q258*'Equity Price Data'!T259</f>
        <v>5767.2</v>
      </c>
      <c r="O258" s="30">
        <f>'Equity Volume Data'!R258*'Equity Price Data'!U259</f>
        <v>51376.5</v>
      </c>
      <c r="P258" s="30">
        <f>'Equity Volume Data'!S258*'Equity Price Data'!V259</f>
        <v>21754.89</v>
      </c>
      <c r="Q258" s="30">
        <f>'Equity Volume Data'!T258*'Equity Price Data'!W259</f>
        <v>26514</v>
      </c>
      <c r="R258" s="30">
        <f>'Equity Volume Data'!U258*'Equity Price Data'!X259</f>
        <v>10844.8</v>
      </c>
      <c r="S258" s="30">
        <f>'Equity Volume Data'!V258*'Equity Price Data'!Y259</f>
        <v>27903.92</v>
      </c>
      <c r="T258" s="30">
        <f>'Equity Volume Data'!W258*'Equity Price Data'!Z259</f>
        <v>9910</v>
      </c>
      <c r="U258" s="30">
        <f>'Equity Volume Data'!X258*'Equity Price Data'!AA259</f>
        <v>18968.4</v>
      </c>
      <c r="V258" s="30">
        <f>'Equity Volume Data'!Y258*'Equity Price Data'!AB259</f>
        <v>16940.42</v>
      </c>
      <c r="W258" s="30">
        <f>'Equity Volume Data'!Z258*'Equity Price Data'!AC259</f>
        <v>11543.01</v>
      </c>
      <c r="X258" s="30">
        <f>'Equity Volume Data'!AA258*'Equity Price Data'!AD259</f>
        <v>0</v>
      </c>
      <c r="Y258" s="30">
        <f>'Equity Volume Data'!AB258*'Equity Price Data'!AE259</f>
        <v>6246.37</v>
      </c>
      <c r="Z258" s="30">
        <f>'Equity Volume Data'!AC258*'Equity Price Data'!AF259</f>
        <v>10737</v>
      </c>
      <c r="AA258" s="30">
        <f>'Equity Volume Data'!AD258*'Equity Price Data'!AG259</f>
        <v>17622.2</v>
      </c>
      <c r="AB258" s="30">
        <f>'Equity Volume Data'!AE258*'Equity Price Data'!AH259</f>
        <v>13008.6</v>
      </c>
      <c r="AC258" s="30">
        <f>'Equity Volume Data'!AF258*'Equity Price Data'!AI259</f>
        <v>19844.8</v>
      </c>
      <c r="AD258" s="30">
        <f>'Equity Volume Data'!AG258*'Equity Price Data'!AJ259</f>
        <v>12496.5</v>
      </c>
      <c r="AE258" s="30">
        <f>'Equity Volume Data'!AH258*'Equity Price Data'!AK259</f>
        <v>0</v>
      </c>
      <c r="AF258" s="30">
        <f>'Equity Volume Data'!AI258*'Equity Price Data'!AL259</f>
        <v>22082.6</v>
      </c>
      <c r="AG258" s="30">
        <f>'Equity Volume Data'!AJ258*'Equity Price Data'!AM259</f>
        <v>35607.6</v>
      </c>
      <c r="AH258" s="30">
        <f>'Equity Volume Data'!AK258*'Equity Price Data'!AN259</f>
        <v>37084</v>
      </c>
      <c r="AI258" s="30">
        <f>'Equity Volume Data'!AL258*'Equity Price Data'!AO259</f>
        <v>26332.25</v>
      </c>
      <c r="AJ258" s="30">
        <f>'Equity Volume Data'!AM258*'Equity Price Data'!AP259</f>
        <v>22713.6</v>
      </c>
      <c r="AK258" s="30">
        <f>'Equity Volume Data'!AN258*'Equity Price Data'!AQ259</f>
        <v>25712.29</v>
      </c>
      <c r="AL258" s="30">
        <f>'Equity Volume Data'!AO258*'Equity Price Data'!AR259</f>
        <v>41766.4</v>
      </c>
      <c r="AM258" s="30">
        <f>'Equity Volume Data'!AP258*'Equity Price Data'!AS259</f>
        <v>32919.6</v>
      </c>
      <c r="AN258" s="30">
        <f>'Equity Volume Data'!AQ258*'Equity Price Data'!AT259</f>
        <v>0</v>
      </c>
      <c r="AO258" s="30">
        <f>'Equity Volume Data'!AR258*'Equity Price Data'!AU259</f>
        <v>26277.58</v>
      </c>
      <c r="AP258" s="30">
        <f>'Equity Volume Data'!AS258*'Equity Price Data'!AV259</f>
        <v>21102.5</v>
      </c>
      <c r="AQ258" s="30">
        <f>'Equity Volume Data'!AT258*'Equity Price Data'!AW259</f>
        <v>17138</v>
      </c>
      <c r="AR258" s="30">
        <f>'Equity Volume Data'!AU258*'Equity Price Data'!AX259</f>
        <v>8248.5</v>
      </c>
      <c r="AS258" s="30">
        <f>'Equity Volume Data'!AV258*'Equity Price Data'!AY259</f>
        <v>54308.4</v>
      </c>
      <c r="AT258" s="30">
        <f>'Equity Volume Data'!AW258*'Equity Price Data'!AZ259</f>
        <v>14308</v>
      </c>
      <c r="AU258" s="30">
        <f>'Equity Volume Data'!AX258*'Equity Price Data'!BA259</f>
        <v>0</v>
      </c>
      <c r="AV258" s="30">
        <f>'Equity Volume Data'!AY258*'Equity Price Data'!BB259</f>
        <v>18715.6</v>
      </c>
      <c r="AW258" s="30">
        <f>'Equity Volume Data'!AZ258*'Equity Price Data'!BC259</f>
        <v>3905.2</v>
      </c>
      <c r="AX258" s="30">
        <f>'Equity Volume Data'!BA258*'Equity Price Data'!BD259</f>
        <v>0</v>
      </c>
      <c r="AY258" s="30">
        <f>'Equity Volume Data'!BB258*'Equity Price Data'!BE259</f>
        <v>48473.16</v>
      </c>
      <c r="AZ258" s="30">
        <f>'Equity Volume Data'!BC258*'Equity Price Data'!BF259</f>
        <v>10747.5</v>
      </c>
      <c r="BA258" s="30">
        <f>'Equity Volume Data'!BD258*'Equity Price Data'!BG259</f>
        <v>4377.6</v>
      </c>
      <c r="BB258" s="30">
        <f>'Equity Volume Data'!BE258*'Equity Price Data'!BH259</f>
        <v>10796</v>
      </c>
      <c r="BC258" s="30">
        <f>'Equity Volume Data'!BF258*'Equity Price Data'!BI259</f>
        <v>12706.72</v>
      </c>
      <c r="BD258" s="30">
        <f>'Equity Volume Data'!BG258*'Equity Price Data'!BJ259</f>
        <v>51281.88</v>
      </c>
      <c r="BE258" s="30">
        <f>'Equity Volume Data'!BH258*'Equity Price Data'!BK259</f>
        <v>9160.44</v>
      </c>
      <c r="BF258" s="30">
        <f>'Equity Volume Data'!BI258*'Equity Price Data'!BL259</f>
        <v>7378.8</v>
      </c>
      <c r="BG258" s="30">
        <f>'Equity Volume Data'!BJ258*'Equity Price Data'!BM259</f>
        <v>33724.18</v>
      </c>
      <c r="BH258" s="30">
        <f>'Equity Volume Data'!BK258*'Equity Price Data'!BN259</f>
        <v>0</v>
      </c>
      <c r="BI258" s="30">
        <f>'Equity Volume Data'!BL258*'Equity Price Data'!BO259</f>
        <v>35779.2</v>
      </c>
      <c r="BJ258" s="30">
        <f>'Equity Volume Data'!BM258*'Equity Price Data'!BP259</f>
        <v>22723.5</v>
      </c>
      <c r="BK258" s="30">
        <f>'Equity Volume Data'!BN258*'Equity Price Data'!BQ259</f>
        <v>89865.74</v>
      </c>
      <c r="BL258" s="30">
        <f>'Equity Volume Data'!BO258*'Equity Price Data'!BR259</f>
        <v>398.56</v>
      </c>
      <c r="BM258" s="30">
        <f>'Equity Volume Data'!BP258*'Equity Price Data'!BS259</f>
        <v>11237.28</v>
      </c>
      <c r="BN258" s="30">
        <f>'Equity Volume Data'!BQ258*'Equity Price Data'!BT259</f>
        <v>20766.48</v>
      </c>
      <c r="BO258" s="30">
        <f>'Equity Volume Data'!BR258*'Equity Price Data'!BU259</f>
        <v>28381</v>
      </c>
    </row>
    <row r="259">
      <c r="A259" s="25">
        <f>'Equity Price Data'!A260</f>
        <v>45799.66667</v>
      </c>
      <c r="B259" s="29">
        <f t="shared" si="1"/>
        <v>1338080.81</v>
      </c>
      <c r="C259" s="30">
        <f>'Equity Volume Data'!F259*'Equity Price Data'!I260</f>
        <v>5382.39</v>
      </c>
      <c r="D259" s="30">
        <f>'Equity Volume Data'!G259*'Equity Price Data'!J260</f>
        <v>52291.2</v>
      </c>
      <c r="E259" s="30">
        <f>'Equity Volume Data'!H259*'Equity Price Data'!K260</f>
        <v>15603.5</v>
      </c>
      <c r="F259" s="30">
        <f>'Equity Volume Data'!I259*'Equity Price Data'!L260</f>
        <v>51735.04</v>
      </c>
      <c r="G259" s="30">
        <f>'Equity Volume Data'!J259*'Equity Price Data'!M260</f>
        <v>13465.09</v>
      </c>
      <c r="H259" s="30">
        <f>'Equity Volume Data'!K259*'Equity Price Data'!N260</f>
        <v>16765.84</v>
      </c>
      <c r="I259" s="30">
        <f>'Equity Volume Data'!L259*'Equity Price Data'!O260</f>
        <v>17570</v>
      </c>
      <c r="J259" s="30">
        <f>'Equity Volume Data'!M259*'Equity Price Data'!P260</f>
        <v>51717.06</v>
      </c>
      <c r="K259" s="30">
        <f>'Equity Volume Data'!N259*'Equity Price Data'!Q260</f>
        <v>9830</v>
      </c>
      <c r="L259" s="30">
        <f>'Equity Volume Data'!O259*'Equity Price Data'!R260</f>
        <v>15282.3</v>
      </c>
      <c r="M259" s="30">
        <f>'Equity Volume Data'!P259*'Equity Price Data'!S260</f>
        <v>0</v>
      </c>
      <c r="N259" s="30">
        <f>'Equity Volume Data'!Q259*'Equity Price Data'!T260</f>
        <v>5767.2</v>
      </c>
      <c r="O259" s="30">
        <f>'Equity Volume Data'!R259*'Equity Price Data'!U260</f>
        <v>51376.5</v>
      </c>
      <c r="P259" s="30">
        <f>'Equity Volume Data'!S259*'Equity Price Data'!V260</f>
        <v>22021.77</v>
      </c>
      <c r="Q259" s="30">
        <f>'Equity Volume Data'!T259*'Equity Price Data'!W260</f>
        <v>26983.2</v>
      </c>
      <c r="R259" s="30">
        <f>'Equity Volume Data'!U259*'Equity Price Data'!X260</f>
        <v>10844.8</v>
      </c>
      <c r="S259" s="30">
        <f>'Equity Volume Data'!V259*'Equity Price Data'!Y260</f>
        <v>27903.92</v>
      </c>
      <c r="T259" s="30">
        <f>'Equity Volume Data'!W259*'Equity Price Data'!Z260</f>
        <v>9910</v>
      </c>
      <c r="U259" s="30">
        <f>'Equity Volume Data'!X259*'Equity Price Data'!AA260</f>
        <v>18968.4</v>
      </c>
      <c r="V259" s="30">
        <f>'Equity Volume Data'!Y259*'Equity Price Data'!AB260</f>
        <v>16650.62</v>
      </c>
      <c r="W259" s="30">
        <f>'Equity Volume Data'!Z259*'Equity Price Data'!AC260</f>
        <v>11543.01</v>
      </c>
      <c r="X259" s="30">
        <f>'Equity Volume Data'!AA259*'Equity Price Data'!AD260</f>
        <v>0</v>
      </c>
      <c r="Y259" s="30">
        <f>'Equity Volume Data'!AB259*'Equity Price Data'!AE260</f>
        <v>6269.38</v>
      </c>
      <c r="Z259" s="30">
        <f>'Equity Volume Data'!AC259*'Equity Price Data'!AF260</f>
        <v>10822.5</v>
      </c>
      <c r="AA259" s="30">
        <f>'Equity Volume Data'!AD259*'Equity Price Data'!AG260</f>
        <v>17622.2</v>
      </c>
      <c r="AB259" s="30">
        <f>'Equity Volume Data'!AE259*'Equity Price Data'!AH260</f>
        <v>13128.6</v>
      </c>
      <c r="AC259" s="30">
        <f>'Equity Volume Data'!AF259*'Equity Price Data'!AI260</f>
        <v>19844.8</v>
      </c>
      <c r="AD259" s="30">
        <f>'Equity Volume Data'!AG259*'Equity Price Data'!AJ260</f>
        <v>12496.5</v>
      </c>
      <c r="AE259" s="30">
        <f>'Equity Volume Data'!AH259*'Equity Price Data'!AK260</f>
        <v>0</v>
      </c>
      <c r="AF259" s="30">
        <f>'Equity Volume Data'!AI259*'Equity Price Data'!AL260</f>
        <v>22082.6</v>
      </c>
      <c r="AG259" s="30">
        <f>'Equity Volume Data'!AJ259*'Equity Price Data'!AM260</f>
        <v>35607.6</v>
      </c>
      <c r="AH259" s="30">
        <f>'Equity Volume Data'!AK259*'Equity Price Data'!AN260</f>
        <v>37084</v>
      </c>
      <c r="AI259" s="30">
        <f>'Equity Volume Data'!AL259*'Equity Price Data'!AO260</f>
        <v>26332.25</v>
      </c>
      <c r="AJ259" s="30">
        <f>'Equity Volume Data'!AM259*'Equity Price Data'!AP260</f>
        <v>22620</v>
      </c>
      <c r="AK259" s="30">
        <f>'Equity Volume Data'!AN259*'Equity Price Data'!AQ260</f>
        <v>25712.29</v>
      </c>
      <c r="AL259" s="30">
        <f>'Equity Volume Data'!AO259*'Equity Price Data'!AR260</f>
        <v>41766.4</v>
      </c>
      <c r="AM259" s="30">
        <f>'Equity Volume Data'!AP259*'Equity Price Data'!AS260</f>
        <v>32919.6</v>
      </c>
      <c r="AN259" s="30">
        <f>'Equity Volume Data'!AQ259*'Equity Price Data'!AT260</f>
        <v>0</v>
      </c>
      <c r="AO259" s="30">
        <f>'Equity Volume Data'!AR259*'Equity Price Data'!AU260</f>
        <v>26277.58</v>
      </c>
      <c r="AP259" s="30">
        <f>'Equity Volume Data'!AS259*'Equity Price Data'!AV260</f>
        <v>20227.5</v>
      </c>
      <c r="AQ259" s="30">
        <f>'Equity Volume Data'!AT259*'Equity Price Data'!AW260</f>
        <v>17138</v>
      </c>
      <c r="AR259" s="30">
        <f>'Equity Volume Data'!AU259*'Equity Price Data'!AX260</f>
        <v>8493.84</v>
      </c>
      <c r="AS259" s="30">
        <f>'Equity Volume Data'!AV259*'Equity Price Data'!AY260</f>
        <v>54583.2</v>
      </c>
      <c r="AT259" s="30">
        <f>'Equity Volume Data'!AW259*'Equity Price Data'!AZ260</f>
        <v>14308</v>
      </c>
      <c r="AU259" s="30">
        <f>'Equity Volume Data'!AX259*'Equity Price Data'!BA260</f>
        <v>0</v>
      </c>
      <c r="AV259" s="30">
        <f>'Equity Volume Data'!AY259*'Equity Price Data'!BB260</f>
        <v>18715.6</v>
      </c>
      <c r="AW259" s="30">
        <f>'Equity Volume Data'!AZ259*'Equity Price Data'!BC260</f>
        <v>3905.2</v>
      </c>
      <c r="AX259" s="30">
        <f>'Equity Volume Data'!BA259*'Equity Price Data'!BD260</f>
        <v>0</v>
      </c>
      <c r="AY259" s="30">
        <f>'Equity Volume Data'!BB259*'Equity Price Data'!BE260</f>
        <v>49160.58</v>
      </c>
      <c r="AZ259" s="30">
        <f>'Equity Volume Data'!BC259*'Equity Price Data'!BF260</f>
        <v>10747.5</v>
      </c>
      <c r="BA259" s="30">
        <f>'Equity Volume Data'!BD259*'Equity Price Data'!BG260</f>
        <v>4377.6</v>
      </c>
      <c r="BB259" s="30">
        <f>'Equity Volume Data'!BE259*'Equity Price Data'!BH260</f>
        <v>10796</v>
      </c>
      <c r="BC259" s="30">
        <f>'Equity Volume Data'!BF259*'Equity Price Data'!BI260</f>
        <v>12726.4</v>
      </c>
      <c r="BD259" s="30">
        <f>'Equity Volume Data'!BG259*'Equity Price Data'!BJ260</f>
        <v>51281.88</v>
      </c>
      <c r="BE259" s="30">
        <f>'Equity Volume Data'!BH259*'Equity Price Data'!BK260</f>
        <v>9160.44</v>
      </c>
      <c r="BF259" s="30">
        <f>'Equity Volume Data'!BI259*'Equity Price Data'!BL260</f>
        <v>7378.8</v>
      </c>
      <c r="BG259" s="30">
        <f>'Equity Volume Data'!BJ259*'Equity Price Data'!BM260</f>
        <v>34288.52</v>
      </c>
      <c r="BH259" s="30">
        <f>'Equity Volume Data'!BK259*'Equity Price Data'!BN260</f>
        <v>0</v>
      </c>
      <c r="BI259" s="30">
        <f>'Equity Volume Data'!BL259*'Equity Price Data'!BO260</f>
        <v>35659.2</v>
      </c>
      <c r="BJ259" s="30">
        <f>'Equity Volume Data'!BM259*'Equity Price Data'!BP260</f>
        <v>22250.25</v>
      </c>
      <c r="BK259" s="30">
        <f>'Equity Volume Data'!BN259*'Equity Price Data'!BQ260</f>
        <v>89937.82</v>
      </c>
      <c r="BL259" s="30">
        <f>'Equity Volume Data'!BO259*'Equity Price Data'!BR260</f>
        <v>399.5</v>
      </c>
      <c r="BM259" s="30">
        <f>'Equity Volume Data'!BP259*'Equity Price Data'!BS260</f>
        <v>11199.36</v>
      </c>
      <c r="BN259" s="30">
        <f>'Equity Volume Data'!BQ259*'Equity Price Data'!BT260</f>
        <v>20766.48</v>
      </c>
      <c r="BO259" s="30">
        <f>'Equity Volume Data'!BR259*'Equity Price Data'!BU260</f>
        <v>28381</v>
      </c>
    </row>
    <row r="260">
      <c r="A260" s="25">
        <f>'Equity Price Data'!A261</f>
        <v>45800.66667</v>
      </c>
      <c r="B260" s="29">
        <f t="shared" si="1"/>
        <v>1335752.46</v>
      </c>
      <c r="C260" s="30">
        <f>'Equity Volume Data'!F260*'Equity Price Data'!I261</f>
        <v>5299.97</v>
      </c>
      <c r="D260" s="30">
        <f>'Equity Volume Data'!G260*'Equity Price Data'!J261</f>
        <v>52257.4</v>
      </c>
      <c r="E260" s="30">
        <f>'Equity Volume Data'!H260*'Equity Price Data'!K261</f>
        <v>15797.1</v>
      </c>
      <c r="F260" s="30">
        <f>'Equity Volume Data'!I260*'Equity Price Data'!L261</f>
        <v>49989.12</v>
      </c>
      <c r="G260" s="30">
        <f>'Equity Volume Data'!J260*'Equity Price Data'!M261</f>
        <v>13073.33</v>
      </c>
      <c r="H260" s="30">
        <f>'Equity Volume Data'!K260*'Equity Price Data'!N261</f>
        <v>16748.92</v>
      </c>
      <c r="I260" s="30">
        <f>'Equity Volume Data'!L260*'Equity Price Data'!O261</f>
        <v>17650</v>
      </c>
      <c r="J260" s="30">
        <f>'Equity Volume Data'!M260*'Equity Price Data'!P261</f>
        <v>51352.92</v>
      </c>
      <c r="K260" s="30">
        <f>'Equity Volume Data'!N260*'Equity Price Data'!Q261</f>
        <v>9978</v>
      </c>
      <c r="L260" s="30">
        <f>'Equity Volume Data'!O260*'Equity Price Data'!R261</f>
        <v>15223.01</v>
      </c>
      <c r="M260" s="30">
        <f>'Equity Volume Data'!P260*'Equity Price Data'!S261</f>
        <v>0</v>
      </c>
      <c r="N260" s="30">
        <f>'Equity Volume Data'!Q260*'Equity Price Data'!T261</f>
        <v>5678.4</v>
      </c>
      <c r="O260" s="30">
        <f>'Equity Volume Data'!R260*'Equity Price Data'!U261</f>
        <v>51508.5</v>
      </c>
      <c r="P260" s="30">
        <f>'Equity Volume Data'!S260*'Equity Price Data'!V261</f>
        <v>24473.73</v>
      </c>
      <c r="Q260" s="30">
        <f>'Equity Volume Data'!T260*'Equity Price Data'!W261</f>
        <v>27343.2</v>
      </c>
      <c r="R260" s="30">
        <f>'Equity Volume Data'!U260*'Equity Price Data'!X261</f>
        <v>10923.2</v>
      </c>
      <c r="S260" s="30">
        <f>'Equity Volume Data'!V260*'Equity Price Data'!Y261</f>
        <v>27807.12</v>
      </c>
      <c r="T260" s="30">
        <f>'Equity Volume Data'!W260*'Equity Price Data'!Z261</f>
        <v>9892.5</v>
      </c>
      <c r="U260" s="30">
        <f>'Equity Volume Data'!X260*'Equity Price Data'!AA261</f>
        <v>18947.28</v>
      </c>
      <c r="V260" s="30">
        <f>'Equity Volume Data'!Y260*'Equity Price Data'!AB261</f>
        <v>16760.1</v>
      </c>
      <c r="W260" s="30">
        <f>'Equity Volume Data'!Z260*'Equity Price Data'!AC261</f>
        <v>11600.28</v>
      </c>
      <c r="X260" s="30">
        <f>'Equity Volume Data'!AA260*'Equity Price Data'!AD261</f>
        <v>0</v>
      </c>
      <c r="Y260" s="30">
        <f>'Equity Volume Data'!AB260*'Equity Price Data'!AE261</f>
        <v>6245.59</v>
      </c>
      <c r="Z260" s="30">
        <f>'Equity Volume Data'!AC260*'Equity Price Data'!AF261</f>
        <v>10788</v>
      </c>
      <c r="AA260" s="30">
        <f>'Equity Volume Data'!AD260*'Equity Price Data'!AG261</f>
        <v>17515.1</v>
      </c>
      <c r="AB260" s="30">
        <f>'Equity Volume Data'!AE260*'Equity Price Data'!AH261</f>
        <v>12996.6</v>
      </c>
      <c r="AC260" s="30">
        <f>'Equity Volume Data'!AF260*'Equity Price Data'!AI261</f>
        <v>19048.8</v>
      </c>
      <c r="AD260" s="30">
        <f>'Equity Volume Data'!AG260*'Equity Price Data'!AJ261</f>
        <v>12363.75</v>
      </c>
      <c r="AE260" s="30">
        <f>'Equity Volume Data'!AH260*'Equity Price Data'!AK261</f>
        <v>0</v>
      </c>
      <c r="AF260" s="30">
        <f>'Equity Volume Data'!AI260*'Equity Price Data'!AL261</f>
        <v>22010.85</v>
      </c>
      <c r="AG260" s="30">
        <f>'Equity Volume Data'!AJ260*'Equity Price Data'!AM261</f>
        <v>35912.4</v>
      </c>
      <c r="AH260" s="30">
        <f>'Equity Volume Data'!AK260*'Equity Price Data'!AN261</f>
        <v>36271</v>
      </c>
      <c r="AI260" s="30">
        <f>'Equity Volume Data'!AL260*'Equity Price Data'!AO261</f>
        <v>26068</v>
      </c>
      <c r="AJ260" s="30">
        <f>'Equity Volume Data'!AM260*'Equity Price Data'!AP261</f>
        <v>22895.6</v>
      </c>
      <c r="AK260" s="30">
        <f>'Equity Volume Data'!AN260*'Equity Price Data'!AQ261</f>
        <v>25358.38</v>
      </c>
      <c r="AL260" s="30">
        <f>'Equity Volume Data'!AO260*'Equity Price Data'!AR261</f>
        <v>41713.6</v>
      </c>
      <c r="AM260" s="30">
        <f>'Equity Volume Data'!AP260*'Equity Price Data'!AS261</f>
        <v>32821.6</v>
      </c>
      <c r="AN260" s="30">
        <f>'Equity Volume Data'!AQ260*'Equity Price Data'!AT261</f>
        <v>0</v>
      </c>
      <c r="AO260" s="30">
        <f>'Equity Volume Data'!AR260*'Equity Price Data'!AU261</f>
        <v>26653.34</v>
      </c>
      <c r="AP260" s="30">
        <f>'Equity Volume Data'!AS260*'Equity Price Data'!AV261</f>
        <v>20170</v>
      </c>
      <c r="AQ260" s="30">
        <f>'Equity Volume Data'!AT260*'Equity Price Data'!AW261</f>
        <v>16986.2</v>
      </c>
      <c r="AR260" s="30">
        <f>'Equity Volume Data'!AU260*'Equity Price Data'!AX261</f>
        <v>8328.87</v>
      </c>
      <c r="AS260" s="30">
        <f>'Equity Volume Data'!AV260*'Equity Price Data'!AY261</f>
        <v>54021.6</v>
      </c>
      <c r="AT260" s="30">
        <f>'Equity Volume Data'!AW260*'Equity Price Data'!AZ261</f>
        <v>13552</v>
      </c>
      <c r="AU260" s="30">
        <f>'Equity Volume Data'!AX260*'Equity Price Data'!BA261</f>
        <v>0</v>
      </c>
      <c r="AV260" s="30">
        <f>'Equity Volume Data'!AY260*'Equity Price Data'!BB261</f>
        <v>18643.18</v>
      </c>
      <c r="AW260" s="30">
        <f>'Equity Volume Data'!AZ260*'Equity Price Data'!BC261</f>
        <v>3871.2</v>
      </c>
      <c r="AX260" s="30">
        <f>'Equity Volume Data'!BA260*'Equity Price Data'!BD261</f>
        <v>0</v>
      </c>
      <c r="AY260" s="30">
        <f>'Equity Volume Data'!BB260*'Equity Price Data'!BE261</f>
        <v>49570.62</v>
      </c>
      <c r="AZ260" s="30">
        <f>'Equity Volume Data'!BC260*'Equity Price Data'!BF261</f>
        <v>10477.5</v>
      </c>
      <c r="BA260" s="30">
        <f>'Equity Volume Data'!BD260*'Equity Price Data'!BG261</f>
        <v>4430.8</v>
      </c>
      <c r="BB260" s="30">
        <f>'Equity Volume Data'!BE260*'Equity Price Data'!BH261</f>
        <v>10588</v>
      </c>
      <c r="BC260" s="30">
        <f>'Equity Volume Data'!BF260*'Equity Price Data'!BI261</f>
        <v>13044.56</v>
      </c>
      <c r="BD260" s="30">
        <f>'Equity Volume Data'!BG260*'Equity Price Data'!BJ261</f>
        <v>51733.44</v>
      </c>
      <c r="BE260" s="30">
        <f>'Equity Volume Data'!BH260*'Equity Price Data'!BK261</f>
        <v>9054.18</v>
      </c>
      <c r="BF260" s="30">
        <f>'Equity Volume Data'!BI260*'Equity Price Data'!BL261</f>
        <v>7292</v>
      </c>
      <c r="BG260" s="30">
        <f>'Equity Volume Data'!BJ260*'Equity Price Data'!BM261</f>
        <v>34541.5</v>
      </c>
      <c r="BH260" s="30">
        <f>'Equity Volume Data'!BK260*'Equity Price Data'!BN261</f>
        <v>0</v>
      </c>
      <c r="BI260" s="30">
        <f>'Equity Volume Data'!BL260*'Equity Price Data'!BO261</f>
        <v>35537.6</v>
      </c>
      <c r="BJ260" s="30">
        <f>'Equity Volume Data'!BM260*'Equity Price Data'!BP261</f>
        <v>22167.75</v>
      </c>
      <c r="BK260" s="30">
        <f>'Equity Volume Data'!BN260*'Equity Price Data'!BQ261</f>
        <v>90009.9</v>
      </c>
      <c r="BL260" s="30">
        <f>'Equity Volume Data'!BO260*'Equity Price Data'!BR261</f>
        <v>389.63</v>
      </c>
      <c r="BM260" s="30">
        <f>'Equity Volume Data'!BP260*'Equity Price Data'!BS261</f>
        <v>11366.88</v>
      </c>
      <c r="BN260" s="30">
        <f>'Equity Volume Data'!BQ260*'Equity Price Data'!BT261</f>
        <v>20627.36</v>
      </c>
      <c r="BO260" s="30">
        <f>'Equity Volume Data'!BR260*'Equity Price Data'!BU261</f>
        <v>28381</v>
      </c>
    </row>
    <row r="261">
      <c r="A261" s="25">
        <f>'Equity Price Data'!A262</f>
        <v>45804.66667</v>
      </c>
      <c r="B261" s="29">
        <f t="shared" si="1"/>
        <v>1353304.3</v>
      </c>
      <c r="C261" s="30">
        <f>'Equity Volume Data'!F261*'Equity Price Data'!I262</f>
        <v>5370.3</v>
      </c>
      <c r="D261" s="30">
        <f>'Equity Volume Data'!G261*'Equity Price Data'!J262</f>
        <v>53565.2</v>
      </c>
      <c r="E261" s="30">
        <f>'Equity Volume Data'!H261*'Equity Price Data'!K262</f>
        <v>15745.4</v>
      </c>
      <c r="F261" s="30">
        <f>'Equity Volume Data'!I261*'Equity Price Data'!L262</f>
        <v>51253.76</v>
      </c>
      <c r="G261" s="30">
        <f>'Equity Volume Data'!J261*'Equity Price Data'!M262</f>
        <v>13431.89</v>
      </c>
      <c r="H261" s="30">
        <f>'Equity Volume Data'!K261*'Equity Price Data'!N262</f>
        <v>16963.24</v>
      </c>
      <c r="I261" s="30">
        <f>'Equity Volume Data'!L261*'Equity Price Data'!O262</f>
        <v>17910</v>
      </c>
      <c r="J261" s="30">
        <f>'Equity Volume Data'!M261*'Equity Price Data'!P262</f>
        <v>51934.32</v>
      </c>
      <c r="K261" s="30">
        <f>'Equity Volume Data'!N261*'Equity Price Data'!Q262</f>
        <v>9960</v>
      </c>
      <c r="L261" s="30">
        <f>'Equity Volume Data'!O261*'Equity Price Data'!R262</f>
        <v>15535.19</v>
      </c>
      <c r="M261" s="30">
        <f>'Equity Volume Data'!P261*'Equity Price Data'!S262</f>
        <v>0</v>
      </c>
      <c r="N261" s="30">
        <f>'Equity Volume Data'!Q261*'Equity Price Data'!T262</f>
        <v>5786.4</v>
      </c>
      <c r="O261" s="30">
        <f>'Equity Volume Data'!R261*'Equity Price Data'!U262</f>
        <v>52726.5</v>
      </c>
      <c r="P261" s="30">
        <f>'Equity Volume Data'!S261*'Equity Price Data'!V262</f>
        <v>25215.99</v>
      </c>
      <c r="Q261" s="30">
        <f>'Equity Volume Data'!T261*'Equity Price Data'!W262</f>
        <v>27434.4</v>
      </c>
      <c r="R261" s="30">
        <f>'Equity Volume Data'!U261*'Equity Price Data'!X262</f>
        <v>11026.4</v>
      </c>
      <c r="S261" s="30">
        <f>'Equity Volume Data'!V261*'Equity Price Data'!Y262</f>
        <v>27744.64</v>
      </c>
      <c r="T261" s="30">
        <f>'Equity Volume Data'!W261*'Equity Price Data'!Z262</f>
        <v>10105</v>
      </c>
      <c r="U261" s="30">
        <f>'Equity Volume Data'!X261*'Equity Price Data'!AA262</f>
        <v>18949.92</v>
      </c>
      <c r="V261" s="30">
        <f>'Equity Volume Data'!Y261*'Equity Price Data'!AB262</f>
        <v>16739.17</v>
      </c>
      <c r="W261" s="30">
        <f>'Equity Volume Data'!Z261*'Equity Price Data'!AC262</f>
        <v>11776.92</v>
      </c>
      <c r="X261" s="30">
        <f>'Equity Volume Data'!AA261*'Equity Price Data'!AD262</f>
        <v>0</v>
      </c>
      <c r="Y261" s="30">
        <f>'Equity Volume Data'!AB261*'Equity Price Data'!AE262</f>
        <v>6299.28</v>
      </c>
      <c r="Z261" s="30">
        <f>'Equity Volume Data'!AC261*'Equity Price Data'!AF262</f>
        <v>10866</v>
      </c>
      <c r="AA261" s="30">
        <f>'Equity Volume Data'!AD261*'Equity Price Data'!AG262</f>
        <v>17598.4</v>
      </c>
      <c r="AB261" s="30">
        <f>'Equity Volume Data'!AE261*'Equity Price Data'!AH262</f>
        <v>13185.6</v>
      </c>
      <c r="AC261" s="30">
        <f>'Equity Volume Data'!AF261*'Equity Price Data'!AI262</f>
        <v>19338.8</v>
      </c>
      <c r="AD261" s="30">
        <f>'Equity Volume Data'!AG261*'Equity Price Data'!AJ262</f>
        <v>12565.35</v>
      </c>
      <c r="AE261" s="30">
        <f>'Equity Volume Data'!AH261*'Equity Price Data'!AK262</f>
        <v>0</v>
      </c>
      <c r="AF261" s="30">
        <f>'Equity Volume Data'!AI261*'Equity Price Data'!AL262</f>
        <v>22363.45</v>
      </c>
      <c r="AG261" s="30">
        <f>'Equity Volume Data'!AJ261*'Equity Price Data'!AM262</f>
        <v>36943.8</v>
      </c>
      <c r="AH261" s="30">
        <f>'Equity Volume Data'!AK261*'Equity Price Data'!AN262</f>
        <v>37040</v>
      </c>
      <c r="AI261" s="30">
        <f>'Equity Volume Data'!AL261*'Equity Price Data'!AO262</f>
        <v>26881.75</v>
      </c>
      <c r="AJ261" s="30">
        <f>'Equity Volume Data'!AM261*'Equity Price Data'!AP262</f>
        <v>23210.2</v>
      </c>
      <c r="AK261" s="30">
        <f>'Equity Volume Data'!AN261*'Equity Price Data'!AQ262</f>
        <v>25858.93</v>
      </c>
      <c r="AL261" s="30">
        <f>'Equity Volume Data'!AO261*'Equity Price Data'!AR262</f>
        <v>42446.4</v>
      </c>
      <c r="AM261" s="30">
        <f>'Equity Volume Data'!AP261*'Equity Price Data'!AS262</f>
        <v>33379.5</v>
      </c>
      <c r="AN261" s="30">
        <f>'Equity Volume Data'!AQ261*'Equity Price Data'!AT262</f>
        <v>0</v>
      </c>
      <c r="AO261" s="30">
        <f>'Equity Volume Data'!AR261*'Equity Price Data'!AU262</f>
        <v>27123.04</v>
      </c>
      <c r="AP261" s="30">
        <f>'Equity Volume Data'!AS261*'Equity Price Data'!AV262</f>
        <v>20295</v>
      </c>
      <c r="AQ261" s="30">
        <f>'Equity Volume Data'!AT261*'Equity Price Data'!AW262</f>
        <v>17386.6</v>
      </c>
      <c r="AR261" s="30">
        <f>'Equity Volume Data'!AU261*'Equity Price Data'!AX262</f>
        <v>7939.71</v>
      </c>
      <c r="AS261" s="30">
        <f>'Equity Volume Data'!AV261*'Equity Price Data'!AY262</f>
        <v>55282.8</v>
      </c>
      <c r="AT261" s="30">
        <f>'Equity Volume Data'!AW261*'Equity Price Data'!AZ262</f>
        <v>13608</v>
      </c>
      <c r="AU261" s="30">
        <f>'Equity Volume Data'!AX261*'Equity Price Data'!BA262</f>
        <v>0</v>
      </c>
      <c r="AV261" s="30">
        <f>'Equity Volume Data'!AY261*'Equity Price Data'!BB262</f>
        <v>19241</v>
      </c>
      <c r="AW261" s="30">
        <f>'Equity Volume Data'!AZ261*'Equity Price Data'!BC262</f>
        <v>3883.6</v>
      </c>
      <c r="AX261" s="30">
        <f>'Equity Volume Data'!BA261*'Equity Price Data'!BD262</f>
        <v>0</v>
      </c>
      <c r="AY261" s="30">
        <f>'Equity Volume Data'!BB261*'Equity Price Data'!BE262</f>
        <v>49602.78</v>
      </c>
      <c r="AZ261" s="30">
        <f>'Equity Volume Data'!BC261*'Equity Price Data'!BF262</f>
        <v>10722</v>
      </c>
      <c r="BA261" s="30">
        <f>'Equity Volume Data'!BD261*'Equity Price Data'!BG262</f>
        <v>4485.9</v>
      </c>
      <c r="BB261" s="30">
        <f>'Equity Volume Data'!BE261*'Equity Price Data'!BH262</f>
        <v>10735.2</v>
      </c>
      <c r="BC261" s="30">
        <f>'Equity Volume Data'!BF261*'Equity Price Data'!BI262</f>
        <v>12129.44</v>
      </c>
      <c r="BD261" s="30">
        <f>'Equity Volume Data'!BG261*'Equity Price Data'!BJ262</f>
        <v>51835.68</v>
      </c>
      <c r="BE261" s="30">
        <f>'Equity Volume Data'!BH261*'Equity Price Data'!BK262</f>
        <v>9281.65</v>
      </c>
      <c r="BF261" s="30">
        <f>'Equity Volume Data'!BI261*'Equity Price Data'!BL262</f>
        <v>7467.2</v>
      </c>
      <c r="BG261" s="30">
        <f>'Equity Volume Data'!BJ261*'Equity Price Data'!BM262</f>
        <v>35731.34</v>
      </c>
      <c r="BH261" s="30">
        <f>'Equity Volume Data'!BK261*'Equity Price Data'!BN262</f>
        <v>0</v>
      </c>
      <c r="BI261" s="30">
        <f>'Equity Volume Data'!BL261*'Equity Price Data'!BO262</f>
        <v>35896</v>
      </c>
      <c r="BJ261" s="30">
        <f>'Equity Volume Data'!BM261*'Equity Price Data'!BP262</f>
        <v>22125</v>
      </c>
      <c r="BK261" s="30">
        <f>'Equity Volume Data'!BN261*'Equity Price Data'!BQ262</f>
        <v>90045.94</v>
      </c>
      <c r="BL261" s="30">
        <f>'Equity Volume Data'!BO261*'Equity Price Data'!BR262</f>
        <v>404.2</v>
      </c>
      <c r="BM261" s="30">
        <f>'Equity Volume Data'!BP261*'Equity Price Data'!BS262</f>
        <v>11425.44</v>
      </c>
      <c r="BN261" s="30">
        <f>'Equity Volume Data'!BQ261*'Equity Price Data'!BT262</f>
        <v>21123.68</v>
      </c>
      <c r="BO261" s="30">
        <f>'Equity Volume Data'!BR261*'Equity Price Data'!BU262</f>
        <v>28381</v>
      </c>
    </row>
    <row r="262">
      <c r="A262" s="25">
        <f>'Equity Price Data'!A263</f>
        <v>45805.66667</v>
      </c>
      <c r="B262" s="29">
        <f t="shared" si="1"/>
        <v>1342494.66</v>
      </c>
      <c r="C262" s="30">
        <f>'Equity Volume Data'!F262*'Equity Price Data'!I263</f>
        <v>5358.99</v>
      </c>
      <c r="D262" s="30">
        <f>'Equity Volume Data'!G262*'Equity Price Data'!J263</f>
        <v>53227.2</v>
      </c>
      <c r="E262" s="30">
        <f>'Equity Volume Data'!H262*'Equity Price Data'!K263</f>
        <v>15495.7</v>
      </c>
      <c r="F262" s="30">
        <f>'Equity Volume Data'!I262*'Equity Price Data'!L263</f>
        <v>51307.52</v>
      </c>
      <c r="G262" s="30">
        <f>'Equity Volume Data'!J262*'Equity Price Data'!M263</f>
        <v>13411.97</v>
      </c>
      <c r="H262" s="30">
        <f>'Equity Volume Data'!K262*'Equity Price Data'!N263</f>
        <v>16694.4</v>
      </c>
      <c r="I262" s="30">
        <f>'Equity Volume Data'!L262*'Equity Price Data'!O263</f>
        <v>17650</v>
      </c>
      <c r="J262" s="30">
        <f>'Equity Volume Data'!M262*'Equity Price Data'!P263</f>
        <v>51317.22</v>
      </c>
      <c r="K262" s="30">
        <f>'Equity Volume Data'!N262*'Equity Price Data'!Q263</f>
        <v>9840</v>
      </c>
      <c r="L262" s="30">
        <f>'Equity Volume Data'!O262*'Equity Price Data'!R263</f>
        <v>15431.13</v>
      </c>
      <c r="M262" s="30">
        <f>'Equity Volume Data'!P262*'Equity Price Data'!S263</f>
        <v>0</v>
      </c>
      <c r="N262" s="30">
        <f>'Equity Volume Data'!Q262*'Equity Price Data'!T263</f>
        <v>5683.2</v>
      </c>
      <c r="O262" s="30">
        <f>'Equity Volume Data'!R262*'Equity Price Data'!U263</f>
        <v>52423.5</v>
      </c>
      <c r="P262" s="30">
        <f>'Equity Volume Data'!S262*'Equity Price Data'!V263</f>
        <v>25190.97</v>
      </c>
      <c r="Q262" s="30">
        <f>'Equity Volume Data'!T262*'Equity Price Data'!W263</f>
        <v>26874</v>
      </c>
      <c r="R262" s="30">
        <f>'Equity Volume Data'!U262*'Equity Price Data'!X263</f>
        <v>10881.6</v>
      </c>
      <c r="S262" s="30">
        <f>'Equity Volume Data'!V262*'Equity Price Data'!Y263</f>
        <v>27355.68</v>
      </c>
      <c r="T262" s="30">
        <f>'Equity Volume Data'!W262*'Equity Price Data'!Z263</f>
        <v>9932.5</v>
      </c>
      <c r="U262" s="30">
        <f>'Equity Volume Data'!X262*'Equity Price Data'!AA263</f>
        <v>18783.6</v>
      </c>
      <c r="V262" s="30">
        <f>'Equity Volume Data'!Y262*'Equity Price Data'!AB263</f>
        <v>16439.71</v>
      </c>
      <c r="W262" s="30">
        <f>'Equity Volume Data'!Z262*'Equity Price Data'!AC263</f>
        <v>11701.02</v>
      </c>
      <c r="X262" s="30">
        <f>'Equity Volume Data'!AA262*'Equity Price Data'!AD263</f>
        <v>0</v>
      </c>
      <c r="Y262" s="30">
        <f>'Equity Volume Data'!AB262*'Equity Price Data'!AE263</f>
        <v>6280.43</v>
      </c>
      <c r="Z262" s="30">
        <f>'Equity Volume Data'!AC262*'Equity Price Data'!AF263</f>
        <v>10860</v>
      </c>
      <c r="AA262" s="30">
        <f>'Equity Volume Data'!AD262*'Equity Price Data'!AG263</f>
        <v>17358.7</v>
      </c>
      <c r="AB262" s="30">
        <f>'Equity Volume Data'!AE262*'Equity Price Data'!AH263</f>
        <v>13029</v>
      </c>
      <c r="AC262" s="30">
        <f>'Equity Volume Data'!AF262*'Equity Price Data'!AI263</f>
        <v>19016</v>
      </c>
      <c r="AD262" s="30">
        <f>'Equity Volume Data'!AG262*'Equity Price Data'!AJ263</f>
        <v>12313.8</v>
      </c>
      <c r="AE262" s="30">
        <f>'Equity Volume Data'!AH262*'Equity Price Data'!AK263</f>
        <v>0</v>
      </c>
      <c r="AF262" s="30">
        <f>'Equity Volume Data'!AI262*'Equity Price Data'!AL263</f>
        <v>22230.2</v>
      </c>
      <c r="AG262" s="30">
        <f>'Equity Volume Data'!AJ262*'Equity Price Data'!AM263</f>
        <v>36506.4</v>
      </c>
      <c r="AH262" s="30">
        <f>'Equity Volume Data'!AK262*'Equity Price Data'!AN263</f>
        <v>36806</v>
      </c>
      <c r="AI262" s="30">
        <f>'Equity Volume Data'!AL262*'Equity Price Data'!AO263</f>
        <v>24365.25</v>
      </c>
      <c r="AJ262" s="30">
        <f>'Equity Volume Data'!AM262*'Equity Price Data'!AP263</f>
        <v>23114</v>
      </c>
      <c r="AK262" s="30">
        <f>'Equity Volume Data'!AN262*'Equity Price Data'!AQ263</f>
        <v>25963.27</v>
      </c>
      <c r="AL262" s="30">
        <f>'Equity Volume Data'!AO262*'Equity Price Data'!AR263</f>
        <v>42158.4</v>
      </c>
      <c r="AM262" s="30">
        <f>'Equity Volume Data'!AP262*'Equity Price Data'!AS263</f>
        <v>32898.6</v>
      </c>
      <c r="AN262" s="30">
        <f>'Equity Volume Data'!AQ262*'Equity Price Data'!AT263</f>
        <v>0</v>
      </c>
      <c r="AO262" s="30">
        <f>'Equity Volume Data'!AR262*'Equity Price Data'!AU263</f>
        <v>26909.54</v>
      </c>
      <c r="AP262" s="30">
        <f>'Equity Volume Data'!AS262*'Equity Price Data'!AV263</f>
        <v>20310</v>
      </c>
      <c r="AQ262" s="30">
        <f>'Equity Volume Data'!AT262*'Equity Price Data'!AW263</f>
        <v>17157.8</v>
      </c>
      <c r="AR262" s="30">
        <f>'Equity Volume Data'!AU262*'Equity Price Data'!AX263</f>
        <v>8290.8</v>
      </c>
      <c r="AS262" s="30">
        <f>'Equity Volume Data'!AV262*'Equity Price Data'!AY263</f>
        <v>54883.2</v>
      </c>
      <c r="AT262" s="30">
        <f>'Equity Volume Data'!AW262*'Equity Price Data'!AZ263</f>
        <v>13442</v>
      </c>
      <c r="AU262" s="30">
        <f>'Equity Volume Data'!AX262*'Equity Price Data'!BA263</f>
        <v>0</v>
      </c>
      <c r="AV262" s="30">
        <f>'Equity Volume Data'!AY262*'Equity Price Data'!BB263</f>
        <v>19143.02</v>
      </c>
      <c r="AW262" s="30">
        <f>'Equity Volume Data'!AZ262*'Equity Price Data'!BC263</f>
        <v>3806.4</v>
      </c>
      <c r="AX262" s="30">
        <f>'Equity Volume Data'!BA262*'Equity Price Data'!BD263</f>
        <v>0</v>
      </c>
      <c r="AY262" s="30">
        <f>'Equity Volume Data'!BB262*'Equity Price Data'!BE263</f>
        <v>49751.52</v>
      </c>
      <c r="AZ262" s="30">
        <f>'Equity Volume Data'!BC262*'Equity Price Data'!BF263</f>
        <v>10716</v>
      </c>
      <c r="BA262" s="30">
        <f>'Equity Volume Data'!BD262*'Equity Price Data'!BG263</f>
        <v>4404.2</v>
      </c>
      <c r="BB262" s="30">
        <f>'Equity Volume Data'!BE262*'Equity Price Data'!BH263</f>
        <v>10628</v>
      </c>
      <c r="BC262" s="30">
        <f>'Equity Volume Data'!BF262*'Equity Price Data'!BI263</f>
        <v>12375.44</v>
      </c>
      <c r="BD262" s="30">
        <f>'Equity Volume Data'!BG262*'Equity Price Data'!BJ263</f>
        <v>51441.63</v>
      </c>
      <c r="BE262" s="30">
        <f>'Equity Volume Data'!BH262*'Equity Price Data'!BK263</f>
        <v>9248.99</v>
      </c>
      <c r="BF262" s="30">
        <f>'Equity Volume Data'!BI262*'Equity Price Data'!BL263</f>
        <v>7315.2</v>
      </c>
      <c r="BG262" s="30">
        <f>'Equity Volume Data'!BJ262*'Equity Price Data'!BM263</f>
        <v>35756.36</v>
      </c>
      <c r="BH262" s="30">
        <f>'Equity Volume Data'!BK262*'Equity Price Data'!BN263</f>
        <v>0</v>
      </c>
      <c r="BI262" s="30">
        <f>'Equity Volume Data'!BL262*'Equity Price Data'!BO263</f>
        <v>35548.8</v>
      </c>
      <c r="BJ262" s="30">
        <f>'Equity Volume Data'!BM262*'Equity Price Data'!BP263</f>
        <v>22358.25</v>
      </c>
      <c r="BK262" s="30">
        <f>'Equity Volume Data'!BN262*'Equity Price Data'!BQ263</f>
        <v>89973.86</v>
      </c>
      <c r="BL262" s="30">
        <f>'Equity Volume Data'!BO262*'Equity Price Data'!BR263</f>
        <v>403.73</v>
      </c>
      <c r="BM262" s="30">
        <f>'Equity Volume Data'!BP262*'Equity Price Data'!BS263</f>
        <v>11383.2</v>
      </c>
      <c r="BN262" s="30">
        <f>'Equity Volume Data'!BQ262*'Equity Price Data'!BT263</f>
        <v>20965.76</v>
      </c>
      <c r="BO262" s="30">
        <f>'Equity Volume Data'!BR262*'Equity Price Data'!BU263</f>
        <v>28381</v>
      </c>
    </row>
    <row r="263">
      <c r="A263" s="25">
        <f>'Equity Price Data'!A264</f>
        <v>45806.66667</v>
      </c>
      <c r="B263" s="29">
        <f t="shared" si="1"/>
        <v>1347917.38</v>
      </c>
      <c r="C263" s="30">
        <f>'Equity Volume Data'!F263*'Equity Price Data'!I264</f>
        <v>5373.68</v>
      </c>
      <c r="D263" s="30">
        <f>'Equity Volume Data'!G263*'Equity Price Data'!J264</f>
        <v>53482</v>
      </c>
      <c r="E263" s="30">
        <f>'Equity Volume Data'!H263*'Equity Price Data'!K264</f>
        <v>15569.4</v>
      </c>
      <c r="F263" s="30">
        <f>'Equity Volume Data'!I263*'Equity Price Data'!L264</f>
        <v>51187.2</v>
      </c>
      <c r="G263" s="30">
        <f>'Equity Volume Data'!J263*'Equity Price Data'!M264</f>
        <v>13236.84</v>
      </c>
      <c r="H263" s="30">
        <f>'Equity Volume Data'!K263*'Equity Price Data'!N264</f>
        <v>16745.16</v>
      </c>
      <c r="I263" s="30">
        <f>'Equity Volume Data'!L263*'Equity Price Data'!O264</f>
        <v>17800</v>
      </c>
      <c r="J263" s="30">
        <f>'Equity Volume Data'!M263*'Equity Price Data'!P264</f>
        <v>51630.36</v>
      </c>
      <c r="K263" s="30">
        <f>'Equity Volume Data'!N263*'Equity Price Data'!Q264</f>
        <v>9854</v>
      </c>
      <c r="L263" s="30">
        <f>'Equity Volume Data'!O263*'Equity Price Data'!R264</f>
        <v>16062.75</v>
      </c>
      <c r="M263" s="30">
        <f>'Equity Volume Data'!P263*'Equity Price Data'!S264</f>
        <v>0</v>
      </c>
      <c r="N263" s="30">
        <f>'Equity Volume Data'!Q263*'Equity Price Data'!T264</f>
        <v>5712.8</v>
      </c>
      <c r="O263" s="30">
        <f>'Equity Volume Data'!R263*'Equity Price Data'!U264</f>
        <v>52768.5</v>
      </c>
      <c r="P263" s="30">
        <f>'Equity Volume Data'!S263*'Equity Price Data'!V264</f>
        <v>24665.55</v>
      </c>
      <c r="Q263" s="30">
        <f>'Equity Volume Data'!T263*'Equity Price Data'!W264</f>
        <v>26926.8</v>
      </c>
      <c r="R263" s="30">
        <f>'Equity Volume Data'!U263*'Equity Price Data'!X264</f>
        <v>11032.8</v>
      </c>
      <c r="S263" s="30">
        <f>'Equity Volume Data'!V263*'Equity Price Data'!Y264</f>
        <v>27460.4</v>
      </c>
      <c r="T263" s="30">
        <f>'Equity Volume Data'!W263*'Equity Price Data'!Z264</f>
        <v>10065</v>
      </c>
      <c r="U263" s="30">
        <f>'Equity Volume Data'!X263*'Equity Price Data'!AA264</f>
        <v>18873.36</v>
      </c>
      <c r="V263" s="30">
        <f>'Equity Volume Data'!Y263*'Equity Price Data'!AB264</f>
        <v>16644.18</v>
      </c>
      <c r="W263" s="30">
        <f>'Equity Volume Data'!Z263*'Equity Price Data'!AC264</f>
        <v>11885.94</v>
      </c>
      <c r="X263" s="30">
        <f>'Equity Volume Data'!AA263*'Equity Price Data'!AD264</f>
        <v>0</v>
      </c>
      <c r="Y263" s="30">
        <f>'Equity Volume Data'!AB263*'Equity Price Data'!AE264</f>
        <v>6168.76</v>
      </c>
      <c r="Z263" s="30">
        <f>'Equity Volume Data'!AC263*'Equity Price Data'!AF264</f>
        <v>10911</v>
      </c>
      <c r="AA263" s="30">
        <f>'Equity Volume Data'!AD263*'Equity Price Data'!AG264</f>
        <v>17457.3</v>
      </c>
      <c r="AB263" s="30">
        <f>'Equity Volume Data'!AE263*'Equity Price Data'!AH264</f>
        <v>13215.6</v>
      </c>
      <c r="AC263" s="30">
        <f>'Equity Volume Data'!AF263*'Equity Price Data'!AI264</f>
        <v>19160.8</v>
      </c>
      <c r="AD263" s="30">
        <f>'Equity Volume Data'!AG263*'Equity Price Data'!AJ264</f>
        <v>12384</v>
      </c>
      <c r="AE263" s="30">
        <f>'Equity Volume Data'!AH263*'Equity Price Data'!AK264</f>
        <v>0</v>
      </c>
      <c r="AF263" s="30">
        <f>'Equity Volume Data'!AI263*'Equity Price Data'!AL264</f>
        <v>22777.55</v>
      </c>
      <c r="AG263" s="30">
        <f>'Equity Volume Data'!AJ263*'Equity Price Data'!AM264</f>
        <v>36291.6</v>
      </c>
      <c r="AH263" s="30">
        <f>'Equity Volume Data'!AK263*'Equity Price Data'!AN264</f>
        <v>36829</v>
      </c>
      <c r="AI263" s="30">
        <f>'Equity Volume Data'!AL263*'Equity Price Data'!AO264</f>
        <v>24794</v>
      </c>
      <c r="AJ263" s="30">
        <f>'Equity Volume Data'!AM263*'Equity Price Data'!AP264</f>
        <v>23208.9</v>
      </c>
      <c r="AK263" s="30">
        <f>'Equity Volume Data'!AN263*'Equity Price Data'!AQ264</f>
        <v>26120.25</v>
      </c>
      <c r="AL263" s="30">
        <f>'Equity Volume Data'!AO263*'Equity Price Data'!AR264</f>
        <v>42299.2</v>
      </c>
      <c r="AM263" s="30">
        <f>'Equity Volume Data'!AP263*'Equity Price Data'!AS264</f>
        <v>33158.3</v>
      </c>
      <c r="AN263" s="30">
        <f>'Equity Volume Data'!AQ263*'Equity Price Data'!AT264</f>
        <v>0</v>
      </c>
      <c r="AO263" s="30">
        <f>'Equity Volume Data'!AR263*'Equity Price Data'!AU264</f>
        <v>27105.96</v>
      </c>
      <c r="AP263" s="30">
        <f>'Equity Volume Data'!AS263*'Equity Price Data'!AV264</f>
        <v>20602.5</v>
      </c>
      <c r="AQ263" s="30">
        <f>'Equity Volume Data'!AT263*'Equity Price Data'!AW264</f>
        <v>17349.2</v>
      </c>
      <c r="AR263" s="30">
        <f>'Equity Volume Data'!AU263*'Equity Price Data'!AX264</f>
        <v>8362.71</v>
      </c>
      <c r="AS263" s="30">
        <f>'Equity Volume Data'!AV263*'Equity Price Data'!AY264</f>
        <v>55041.6</v>
      </c>
      <c r="AT263" s="30">
        <f>'Equity Volume Data'!AW263*'Equity Price Data'!AZ264</f>
        <v>13798</v>
      </c>
      <c r="AU263" s="30">
        <f>'Equity Volume Data'!AX263*'Equity Price Data'!BA264</f>
        <v>0</v>
      </c>
      <c r="AV263" s="30">
        <f>'Equity Volume Data'!AY263*'Equity Price Data'!BB264</f>
        <v>19764.98</v>
      </c>
      <c r="AW263" s="30">
        <f>'Equity Volume Data'!AZ263*'Equity Price Data'!BC264</f>
        <v>3806.4</v>
      </c>
      <c r="AX263" s="30">
        <f>'Equity Volume Data'!BA263*'Equity Price Data'!BD264</f>
        <v>0</v>
      </c>
      <c r="AY263" s="30">
        <f>'Equity Volume Data'!BB263*'Equity Price Data'!BE264</f>
        <v>49172.64</v>
      </c>
      <c r="AZ263" s="30">
        <f>'Equity Volume Data'!BC263*'Equity Price Data'!BF264</f>
        <v>10639.5</v>
      </c>
      <c r="BA263" s="30">
        <f>'Equity Volume Data'!BD263*'Equity Price Data'!BG264</f>
        <v>4455.5</v>
      </c>
      <c r="BB263" s="30">
        <f>'Equity Volume Data'!BE263*'Equity Price Data'!BH264</f>
        <v>10784</v>
      </c>
      <c r="BC263" s="30">
        <f>'Equity Volume Data'!BF263*'Equity Price Data'!BI264</f>
        <v>12821.52</v>
      </c>
      <c r="BD263" s="30">
        <f>'Equity Volume Data'!BG263*'Equity Price Data'!BJ264</f>
        <v>50970.9</v>
      </c>
      <c r="BE263" s="30">
        <f>'Equity Volume Data'!BH263*'Equity Price Data'!BK264</f>
        <v>9286.25</v>
      </c>
      <c r="BF263" s="30">
        <f>'Equity Volume Data'!BI263*'Equity Price Data'!BL264</f>
        <v>7444.4</v>
      </c>
      <c r="BG263" s="30">
        <f>'Equity Volume Data'!BJ263*'Equity Price Data'!BM264</f>
        <v>35497.82</v>
      </c>
      <c r="BH263" s="30">
        <f>'Equity Volume Data'!BK263*'Equity Price Data'!BN264</f>
        <v>0</v>
      </c>
      <c r="BI263" s="30">
        <f>'Equity Volume Data'!BL263*'Equity Price Data'!BO264</f>
        <v>35601.6</v>
      </c>
      <c r="BJ263" s="30">
        <f>'Equity Volume Data'!BM263*'Equity Price Data'!BP264</f>
        <v>22362.75</v>
      </c>
      <c r="BK263" s="30">
        <f>'Equity Volume Data'!BN263*'Equity Price Data'!BQ264</f>
        <v>90027.92</v>
      </c>
      <c r="BL263" s="30">
        <f>'Equity Volume Data'!BO263*'Equity Price Data'!BR264</f>
        <v>415.01</v>
      </c>
      <c r="BM263" s="30">
        <f>'Equity Volume Data'!BP263*'Equity Price Data'!BS264</f>
        <v>11412.48</v>
      </c>
      <c r="BN263" s="30">
        <f>'Equity Volume Data'!BQ263*'Equity Price Data'!BT264</f>
        <v>21059.76</v>
      </c>
      <c r="BO263" s="30">
        <f>'Equity Volume Data'!BR263*'Equity Price Data'!BU264</f>
        <v>28381</v>
      </c>
    </row>
    <row r="264">
      <c r="A264" s="25">
        <f>'Equity Price Data'!A265</f>
        <v>45807.66667</v>
      </c>
      <c r="B264" s="29">
        <f t="shared" si="1"/>
        <v>1353964.22</v>
      </c>
      <c r="C264" s="30">
        <f>'Equity Volume Data'!F264*'Equity Price Data'!I265</f>
        <v>5396.17</v>
      </c>
      <c r="D264" s="30">
        <f>'Equity Volume Data'!G264*'Equity Price Data'!J265</f>
        <v>53302.6</v>
      </c>
      <c r="E264" s="30">
        <f>'Equity Volume Data'!H264*'Equity Price Data'!K265</f>
        <v>15726.7</v>
      </c>
      <c r="F264" s="30">
        <f>'Equity Volume Data'!I264*'Equity Price Data'!L265</f>
        <v>51417.6</v>
      </c>
      <c r="G264" s="30">
        <f>'Equity Volume Data'!J264*'Equity Price Data'!M265</f>
        <v>13010.25</v>
      </c>
      <c r="H264" s="30">
        <f>'Equity Volume Data'!K264*'Equity Price Data'!N265</f>
        <v>16658.68</v>
      </c>
      <c r="I264" s="30">
        <f>'Equity Volume Data'!L264*'Equity Price Data'!O265</f>
        <v>17830</v>
      </c>
      <c r="J264" s="30">
        <f>'Equity Volume Data'!M264*'Equity Price Data'!P265</f>
        <v>51403.92</v>
      </c>
      <c r="K264" s="30">
        <f>'Equity Volume Data'!N264*'Equity Price Data'!Q265</f>
        <v>9798</v>
      </c>
      <c r="L264" s="30">
        <f>'Equity Volume Data'!O264*'Equity Price Data'!R265</f>
        <v>15704.59</v>
      </c>
      <c r="M264" s="30">
        <f>'Equity Volume Data'!P264*'Equity Price Data'!S265</f>
        <v>0</v>
      </c>
      <c r="N264" s="30">
        <f>'Equity Volume Data'!Q264*'Equity Price Data'!T265</f>
        <v>5696</v>
      </c>
      <c r="O264" s="30">
        <f>'Equity Volume Data'!R264*'Equity Price Data'!U265</f>
        <v>52204.5</v>
      </c>
      <c r="P264" s="30">
        <f>'Equity Volume Data'!S264*'Equity Price Data'!V265</f>
        <v>24407.01</v>
      </c>
      <c r="Q264" s="30">
        <f>'Equity Volume Data'!T264*'Equity Price Data'!W265</f>
        <v>27465.6</v>
      </c>
      <c r="R264" s="30">
        <f>'Equity Volume Data'!U264*'Equity Price Data'!X265</f>
        <v>10936</v>
      </c>
      <c r="S264" s="30">
        <f>'Equity Volume Data'!V264*'Equity Price Data'!Y265</f>
        <v>27864.32</v>
      </c>
      <c r="T264" s="30">
        <f>'Equity Volume Data'!W264*'Equity Price Data'!Z265</f>
        <v>10087.5</v>
      </c>
      <c r="U264" s="30">
        <f>'Equity Volume Data'!X264*'Equity Price Data'!AA265</f>
        <v>19034.4</v>
      </c>
      <c r="V264" s="30">
        <f>'Equity Volume Data'!Y264*'Equity Price Data'!AB265</f>
        <v>16822.89</v>
      </c>
      <c r="W264" s="30">
        <f>'Equity Volume Data'!Z264*'Equity Price Data'!AC265</f>
        <v>11834.88</v>
      </c>
      <c r="X264" s="30">
        <f>'Equity Volume Data'!AA264*'Equity Price Data'!AD265</f>
        <v>0</v>
      </c>
      <c r="Y264" s="30">
        <f>'Equity Volume Data'!AB264*'Equity Price Data'!AE265</f>
        <v>6159.66</v>
      </c>
      <c r="Z264" s="30">
        <f>'Equity Volume Data'!AC264*'Equity Price Data'!AF265</f>
        <v>10975.5</v>
      </c>
      <c r="AA264" s="30">
        <f>'Equity Volume Data'!AD264*'Equity Price Data'!AG265</f>
        <v>17391</v>
      </c>
      <c r="AB264" s="30">
        <f>'Equity Volume Data'!AE264*'Equity Price Data'!AH265</f>
        <v>13086</v>
      </c>
      <c r="AC264" s="30">
        <f>'Equity Volume Data'!AF264*'Equity Price Data'!AI265</f>
        <v>19150.4</v>
      </c>
      <c r="AD264" s="30">
        <f>'Equity Volume Data'!AG264*'Equity Price Data'!AJ265</f>
        <v>12532.05</v>
      </c>
      <c r="AE264" s="30">
        <f>'Equity Volume Data'!AH264*'Equity Price Data'!AK265</f>
        <v>0</v>
      </c>
      <c r="AF264" s="30">
        <f>'Equity Volume Data'!AI264*'Equity Price Data'!AL265</f>
        <v>22566.4</v>
      </c>
      <c r="AG264" s="30">
        <f>'Equity Volume Data'!AJ264*'Equity Price Data'!AM265</f>
        <v>36027</v>
      </c>
      <c r="AH264" s="30">
        <f>'Equity Volume Data'!AK264*'Equity Price Data'!AN265</f>
        <v>36829</v>
      </c>
      <c r="AI264" s="30">
        <f>'Equity Volume Data'!AL264*'Equity Price Data'!AO265</f>
        <v>24995.25</v>
      </c>
      <c r="AJ264" s="30">
        <f>'Equity Volume Data'!AM264*'Equity Price Data'!AP265</f>
        <v>23374</v>
      </c>
      <c r="AK264" s="30">
        <f>'Equity Volume Data'!AN264*'Equity Price Data'!AQ265</f>
        <v>25959.98</v>
      </c>
      <c r="AL264" s="30">
        <f>'Equity Volume Data'!AO264*'Equity Price Data'!AR265</f>
        <v>42240</v>
      </c>
      <c r="AM264" s="30">
        <f>'Equity Volume Data'!AP264*'Equity Price Data'!AS265</f>
        <v>33766.6</v>
      </c>
      <c r="AN264" s="30">
        <f>'Equity Volume Data'!AQ264*'Equity Price Data'!AT265</f>
        <v>0</v>
      </c>
      <c r="AO264" s="30">
        <f>'Equity Volume Data'!AR264*'Equity Price Data'!AU265</f>
        <v>27191.36</v>
      </c>
      <c r="AP264" s="30">
        <f>'Equity Volume Data'!AS264*'Equity Price Data'!AV265</f>
        <v>20745</v>
      </c>
      <c r="AQ264" s="30">
        <f>'Equity Volume Data'!AT264*'Equity Price Data'!AW265</f>
        <v>17287.6</v>
      </c>
      <c r="AR264" s="30">
        <f>'Equity Volume Data'!AU264*'Equity Price Data'!AX265</f>
        <v>9217.17</v>
      </c>
      <c r="AS264" s="30">
        <f>'Equity Volume Data'!AV264*'Equity Price Data'!AY265</f>
        <v>55243.2</v>
      </c>
      <c r="AT264" s="30">
        <f>'Equity Volume Data'!AW264*'Equity Price Data'!AZ265</f>
        <v>14128</v>
      </c>
      <c r="AU264" s="30">
        <f>'Equity Volume Data'!AX264*'Equity Price Data'!BA265</f>
        <v>0</v>
      </c>
      <c r="AV264" s="30">
        <f>'Equity Volume Data'!AY264*'Equity Price Data'!BB265</f>
        <v>19188.46</v>
      </c>
      <c r="AW264" s="30">
        <f>'Equity Volume Data'!AZ264*'Equity Price Data'!BC265</f>
        <v>3814</v>
      </c>
      <c r="AX264" s="30">
        <f>'Equity Volume Data'!BA264*'Equity Price Data'!BD265</f>
        <v>0</v>
      </c>
      <c r="AY264" s="30">
        <f>'Equity Volume Data'!BB264*'Equity Price Data'!BE265</f>
        <v>52975.56</v>
      </c>
      <c r="AZ264" s="30">
        <f>'Equity Volume Data'!BC264*'Equity Price Data'!BF265</f>
        <v>10542</v>
      </c>
      <c r="BA264" s="30">
        <f>'Equity Volume Data'!BD264*'Equity Price Data'!BG265</f>
        <v>4463.1</v>
      </c>
      <c r="BB264" s="30">
        <f>'Equity Volume Data'!BE264*'Equity Price Data'!BH265</f>
        <v>10918.4</v>
      </c>
      <c r="BC264" s="30">
        <f>'Equity Volume Data'!BF264*'Equity Price Data'!BI265</f>
        <v>12923.2</v>
      </c>
      <c r="BD264" s="30">
        <f>'Equity Volume Data'!BG264*'Equity Price Data'!BJ265</f>
        <v>51588.6</v>
      </c>
      <c r="BE264" s="30">
        <f>'Equity Volume Data'!BH264*'Equity Price Data'!BK265</f>
        <v>9264.86</v>
      </c>
      <c r="BF264" s="30">
        <f>'Equity Volume Data'!BI264*'Equity Price Data'!BL265</f>
        <v>7622.8</v>
      </c>
      <c r="BG264" s="30">
        <f>'Equity Volume Data'!BJ264*'Equity Price Data'!BM265</f>
        <v>35339.36</v>
      </c>
      <c r="BH264" s="30">
        <f>'Equity Volume Data'!BK264*'Equity Price Data'!BN265</f>
        <v>0</v>
      </c>
      <c r="BI264" s="30">
        <f>'Equity Volume Data'!BL264*'Equity Price Data'!BO265</f>
        <v>35465.6</v>
      </c>
      <c r="BJ264" s="30">
        <f>'Equity Volume Data'!BM264*'Equity Price Data'!BP265</f>
        <v>22643.25</v>
      </c>
      <c r="BK264" s="30">
        <f>'Equity Volume Data'!BN264*'Equity Price Data'!BQ265</f>
        <v>90136.04</v>
      </c>
      <c r="BL264" s="30">
        <f>'Equity Volume Data'!BO264*'Equity Price Data'!BR265</f>
        <v>413.13</v>
      </c>
      <c r="BM264" s="30">
        <f>'Equity Volume Data'!BP264*'Equity Price Data'!BS265</f>
        <v>11566.56</v>
      </c>
      <c r="BN264" s="30">
        <f>'Equity Volume Data'!BQ264*'Equity Price Data'!BT265</f>
        <v>21251.52</v>
      </c>
      <c r="BO264" s="30">
        <f>'Equity Volume Data'!BR264*'Equity Price Data'!BU265</f>
        <v>28381</v>
      </c>
    </row>
    <row r="265">
      <c r="A265" s="25">
        <f>'Equity Price Data'!A266</f>
        <v>45810.66667</v>
      </c>
      <c r="B265" s="29">
        <f t="shared" si="1"/>
        <v>1353679.3</v>
      </c>
      <c r="C265" s="30">
        <f>'Equity Volume Data'!F265*'Equity Price Data'!I266</f>
        <v>5244.2</v>
      </c>
      <c r="D265" s="30">
        <f>'Equity Volume Data'!G265*'Equity Price Data'!J266</f>
        <v>53729</v>
      </c>
      <c r="E265" s="30">
        <f>'Equity Volume Data'!H265*'Equity Price Data'!K266</f>
        <v>15666.2</v>
      </c>
      <c r="F265" s="30">
        <f>'Equity Volume Data'!I265*'Equity Price Data'!L266</f>
        <v>51635.2</v>
      </c>
      <c r="G265" s="30">
        <f>'Equity Volume Data'!J265*'Equity Price Data'!M266</f>
        <v>13053.41</v>
      </c>
      <c r="H265" s="30">
        <f>'Equity Volume Data'!K265*'Equity Price Data'!N266</f>
        <v>16728.24</v>
      </c>
      <c r="I265" s="30">
        <f>'Equity Volume Data'!L265*'Equity Price Data'!O266</f>
        <v>17930</v>
      </c>
      <c r="J265" s="30">
        <f>'Equity Volume Data'!M265*'Equity Price Data'!P266</f>
        <v>51286.62</v>
      </c>
      <c r="K265" s="30">
        <f>'Equity Volume Data'!N265*'Equity Price Data'!Q266</f>
        <v>9886</v>
      </c>
      <c r="L265" s="30">
        <f>'Equity Volume Data'!O265*'Equity Price Data'!R266</f>
        <v>15867.94</v>
      </c>
      <c r="M265" s="30">
        <f>'Equity Volume Data'!P265*'Equity Price Data'!S266</f>
        <v>0</v>
      </c>
      <c r="N265" s="30">
        <f>'Equity Volume Data'!Q265*'Equity Price Data'!T266</f>
        <v>5627.2</v>
      </c>
      <c r="O265" s="30">
        <f>'Equity Volume Data'!R265*'Equity Price Data'!U266</f>
        <v>51700.5</v>
      </c>
      <c r="P265" s="30">
        <f>'Equity Volume Data'!S265*'Equity Price Data'!V266</f>
        <v>24261.06</v>
      </c>
      <c r="Q265" s="30">
        <f>'Equity Volume Data'!T265*'Equity Price Data'!W266</f>
        <v>27586.8</v>
      </c>
      <c r="R265" s="30">
        <f>'Equity Volume Data'!U265*'Equity Price Data'!X266</f>
        <v>11027.2</v>
      </c>
      <c r="S265" s="30">
        <f>'Equity Volume Data'!V265*'Equity Price Data'!Y266</f>
        <v>27719.12</v>
      </c>
      <c r="T265" s="30">
        <f>'Equity Volume Data'!W265*'Equity Price Data'!Z266</f>
        <v>10015</v>
      </c>
      <c r="U265" s="30">
        <f>'Equity Volume Data'!X265*'Equity Price Data'!AA266</f>
        <v>19008</v>
      </c>
      <c r="V265" s="30">
        <f>'Equity Volume Data'!Y265*'Equity Price Data'!AB266</f>
        <v>16721.46</v>
      </c>
      <c r="W265" s="30">
        <f>'Equity Volume Data'!Z265*'Equity Price Data'!AC266</f>
        <v>11917.68</v>
      </c>
      <c r="X265" s="30">
        <f>'Equity Volume Data'!AA265*'Equity Price Data'!AD266</f>
        <v>0</v>
      </c>
      <c r="Y265" s="30">
        <f>'Equity Volume Data'!AB265*'Equity Price Data'!AE266</f>
        <v>6058</v>
      </c>
      <c r="Z265" s="30">
        <f>'Equity Volume Data'!AC265*'Equity Price Data'!AF266</f>
        <v>11179.5</v>
      </c>
      <c r="AA265" s="30">
        <f>'Equity Volume Data'!AD265*'Equity Price Data'!AG266</f>
        <v>17518.5</v>
      </c>
      <c r="AB265" s="30">
        <f>'Equity Volume Data'!AE265*'Equity Price Data'!AH266</f>
        <v>13073.4</v>
      </c>
      <c r="AC265" s="30">
        <f>'Equity Volume Data'!AF265*'Equity Price Data'!AI266</f>
        <v>19203.2</v>
      </c>
      <c r="AD265" s="30">
        <f>'Equity Volume Data'!AG265*'Equity Price Data'!AJ266</f>
        <v>12406.95</v>
      </c>
      <c r="AE265" s="30">
        <f>'Equity Volume Data'!AH265*'Equity Price Data'!AK266</f>
        <v>0</v>
      </c>
      <c r="AF265" s="30">
        <f>'Equity Volume Data'!AI265*'Equity Price Data'!AL266</f>
        <v>22326.55</v>
      </c>
      <c r="AG265" s="30">
        <f>'Equity Volume Data'!AJ265*'Equity Price Data'!AM266</f>
        <v>35923.2</v>
      </c>
      <c r="AH265" s="30">
        <f>'Equity Volume Data'!AK265*'Equity Price Data'!AN266</f>
        <v>36796</v>
      </c>
      <c r="AI265" s="30">
        <f>'Equity Volume Data'!AL265*'Equity Price Data'!AO266</f>
        <v>25291</v>
      </c>
      <c r="AJ265" s="30">
        <f>'Equity Volume Data'!AM265*'Equity Price Data'!AP266</f>
        <v>23441.6</v>
      </c>
      <c r="AK265" s="30">
        <f>'Equity Volume Data'!AN265*'Equity Price Data'!AQ266</f>
        <v>26004.63</v>
      </c>
      <c r="AL265" s="30">
        <f>'Equity Volume Data'!AO265*'Equity Price Data'!AR266</f>
        <v>42345.6</v>
      </c>
      <c r="AM265" s="30">
        <f>'Equity Volume Data'!AP265*'Equity Price Data'!AS266</f>
        <v>33517.4</v>
      </c>
      <c r="AN265" s="30">
        <f>'Equity Volume Data'!AQ265*'Equity Price Data'!AT266</f>
        <v>0</v>
      </c>
      <c r="AO265" s="30">
        <f>'Equity Volume Data'!AR265*'Equity Price Data'!AU266</f>
        <v>27302.38</v>
      </c>
      <c r="AP265" s="30">
        <f>'Equity Volume Data'!AS265*'Equity Price Data'!AV266</f>
        <v>20935</v>
      </c>
      <c r="AQ265" s="30">
        <f>'Equity Volume Data'!AT265*'Equity Price Data'!AW266</f>
        <v>17309.6</v>
      </c>
      <c r="AR265" s="30">
        <f>'Equity Volume Data'!AU265*'Equity Price Data'!AX266</f>
        <v>8671.5</v>
      </c>
      <c r="AS265" s="30">
        <f>'Equity Volume Data'!AV265*'Equity Price Data'!AY266</f>
        <v>55436.4</v>
      </c>
      <c r="AT265" s="30">
        <f>'Equity Volume Data'!AW265*'Equity Price Data'!AZ266</f>
        <v>14030</v>
      </c>
      <c r="AU265" s="30">
        <f>'Equity Volume Data'!AX265*'Equity Price Data'!BA266</f>
        <v>0</v>
      </c>
      <c r="AV265" s="30">
        <f>'Equity Volume Data'!AY265*'Equity Price Data'!BB266</f>
        <v>19507.96</v>
      </c>
      <c r="AW265" s="30">
        <f>'Equity Volume Data'!AZ265*'Equity Price Data'!BC266</f>
        <v>3768.4</v>
      </c>
      <c r="AX265" s="30">
        <f>'Equity Volume Data'!BA265*'Equity Price Data'!BD266</f>
        <v>0</v>
      </c>
      <c r="AY265" s="30">
        <f>'Equity Volume Data'!BB265*'Equity Price Data'!BE266</f>
        <v>53080.08</v>
      </c>
      <c r="AZ265" s="30">
        <f>'Equity Volume Data'!BC265*'Equity Price Data'!BF266</f>
        <v>10639.5</v>
      </c>
      <c r="BA265" s="30">
        <f>'Equity Volume Data'!BD265*'Equity Price Data'!BG266</f>
        <v>4457.4</v>
      </c>
      <c r="BB265" s="30">
        <f>'Equity Volume Data'!BE265*'Equity Price Data'!BH266</f>
        <v>10996.8</v>
      </c>
      <c r="BC265" s="30">
        <f>'Equity Volume Data'!BF265*'Equity Price Data'!BI266</f>
        <v>13333.2</v>
      </c>
      <c r="BD265" s="30">
        <f>'Equity Volume Data'!BG265*'Equity Price Data'!BJ266</f>
        <v>51771.78</v>
      </c>
      <c r="BE265" s="30">
        <f>'Equity Volume Data'!BH265*'Equity Price Data'!BK266</f>
        <v>9118.81</v>
      </c>
      <c r="BF265" s="30">
        <f>'Equity Volume Data'!BI265*'Equity Price Data'!BL266</f>
        <v>7565.6</v>
      </c>
      <c r="BG265" s="30">
        <f>'Equity Volume Data'!BJ265*'Equity Price Data'!BM266</f>
        <v>34455.32</v>
      </c>
      <c r="BH265" s="30">
        <f>'Equity Volume Data'!BK265*'Equity Price Data'!BN266</f>
        <v>0</v>
      </c>
      <c r="BI265" s="30">
        <f>'Equity Volume Data'!BL265*'Equity Price Data'!BO266</f>
        <v>35022.4</v>
      </c>
      <c r="BJ265" s="30">
        <f>'Equity Volume Data'!BM265*'Equity Price Data'!BP266</f>
        <v>22854</v>
      </c>
      <c r="BK265" s="30">
        <f>'Equity Volume Data'!BN265*'Equity Price Data'!BQ266</f>
        <v>90081.98</v>
      </c>
      <c r="BL265" s="30">
        <f>'Equity Volume Data'!BO265*'Equity Price Data'!BR266</f>
        <v>408.43</v>
      </c>
      <c r="BM265" s="30">
        <f>'Equity Volume Data'!BP265*'Equity Price Data'!BS266</f>
        <v>11620.8</v>
      </c>
      <c r="BN265" s="30">
        <f>'Equity Volume Data'!BQ265*'Equity Price Data'!BT266</f>
        <v>21234.6</v>
      </c>
      <c r="BO265" s="30">
        <f>'Equity Volume Data'!BR265*'Equity Price Data'!BU266</f>
        <v>28381</v>
      </c>
    </row>
    <row r="266">
      <c r="A266" s="25">
        <f>'Equity Price Data'!A267</f>
        <v>45811.66667</v>
      </c>
      <c r="B266" s="29">
        <f t="shared" si="1"/>
        <v>1360803.21</v>
      </c>
      <c r="C266" s="30">
        <f>'Equity Volume Data'!F266*'Equity Price Data'!I267</f>
        <v>5362.37</v>
      </c>
      <c r="D266" s="30">
        <f>'Equity Volume Data'!G266*'Equity Price Data'!J267</f>
        <v>53484.6</v>
      </c>
      <c r="E266" s="30">
        <f>'Equity Volume Data'!H266*'Equity Price Data'!K267</f>
        <v>15604.6</v>
      </c>
      <c r="F266" s="30">
        <f>'Equity Volume Data'!I266*'Equity Price Data'!L267</f>
        <v>52037.12</v>
      </c>
      <c r="G266" s="30">
        <f>'Equity Volume Data'!J266*'Equity Price Data'!M267</f>
        <v>13424.42</v>
      </c>
      <c r="H266" s="30">
        <f>'Equity Volume Data'!K266*'Equity Price Data'!N267</f>
        <v>16792.16</v>
      </c>
      <c r="I266" s="30">
        <f>'Equity Volume Data'!L266*'Equity Price Data'!O267</f>
        <v>17990</v>
      </c>
      <c r="J266" s="30">
        <f>'Equity Volume Data'!M266*'Equity Price Data'!P267</f>
        <v>50778.66</v>
      </c>
      <c r="K266" s="30">
        <f>'Equity Volume Data'!N266*'Equity Price Data'!Q267</f>
        <v>9720</v>
      </c>
      <c r="L266" s="30">
        <f>'Equity Volume Data'!O266*'Equity Price Data'!R267</f>
        <v>15952.64</v>
      </c>
      <c r="M266" s="30">
        <f>'Equity Volume Data'!P266*'Equity Price Data'!S267</f>
        <v>0</v>
      </c>
      <c r="N266" s="30">
        <f>'Equity Volume Data'!Q266*'Equity Price Data'!T267</f>
        <v>5664</v>
      </c>
      <c r="O266" s="30">
        <f>'Equity Volume Data'!R266*'Equity Price Data'!U267</f>
        <v>52410</v>
      </c>
      <c r="P266" s="30">
        <f>'Equity Volume Data'!S266*'Equity Price Data'!V267</f>
        <v>24886.56</v>
      </c>
      <c r="Q266" s="30">
        <f>'Equity Volume Data'!T266*'Equity Price Data'!W267</f>
        <v>27585.6</v>
      </c>
      <c r="R266" s="30">
        <f>'Equity Volume Data'!U266*'Equity Price Data'!X267</f>
        <v>11164</v>
      </c>
      <c r="S266" s="30">
        <f>'Equity Volume Data'!V266*'Equity Price Data'!Y267</f>
        <v>27426.96</v>
      </c>
      <c r="T266" s="30">
        <f>'Equity Volume Data'!W266*'Equity Price Data'!Z267</f>
        <v>10207.5</v>
      </c>
      <c r="U266" s="30">
        <f>'Equity Volume Data'!X266*'Equity Price Data'!AA267</f>
        <v>18786.24</v>
      </c>
      <c r="V266" s="30">
        <f>'Equity Volume Data'!Y266*'Equity Price Data'!AB267</f>
        <v>16621.64</v>
      </c>
      <c r="W266" s="30">
        <f>'Equity Volume Data'!Z266*'Equity Price Data'!AC267</f>
        <v>11988.06</v>
      </c>
      <c r="X266" s="30">
        <f>'Equity Volume Data'!AA266*'Equity Price Data'!AD267</f>
        <v>0</v>
      </c>
      <c r="Y266" s="30">
        <f>'Equity Volume Data'!AB266*'Equity Price Data'!AE267</f>
        <v>6038.89</v>
      </c>
      <c r="Z266" s="30">
        <f>'Equity Volume Data'!AC266*'Equity Price Data'!AF267</f>
        <v>11392.5</v>
      </c>
      <c r="AA266" s="30">
        <f>'Equity Volume Data'!AD266*'Equity Price Data'!AG267</f>
        <v>17646</v>
      </c>
      <c r="AB266" s="30">
        <f>'Equity Volume Data'!AE266*'Equity Price Data'!AH267</f>
        <v>13186.8</v>
      </c>
      <c r="AC266" s="30">
        <f>'Equity Volume Data'!AF266*'Equity Price Data'!AI267</f>
        <v>19029.6</v>
      </c>
      <c r="AD266" s="30">
        <f>'Equity Volume Data'!AG266*'Equity Price Data'!AJ267</f>
        <v>12421.8</v>
      </c>
      <c r="AE266" s="30">
        <f>'Equity Volume Data'!AH266*'Equity Price Data'!AK267</f>
        <v>0</v>
      </c>
      <c r="AF266" s="30">
        <f>'Equity Volume Data'!AI266*'Equity Price Data'!AL267</f>
        <v>22412.65</v>
      </c>
      <c r="AG266" s="30">
        <f>'Equity Volume Data'!AJ266*'Equity Price Data'!AM267</f>
        <v>36229.8</v>
      </c>
      <c r="AH266" s="30">
        <f>'Equity Volume Data'!AK266*'Equity Price Data'!AN267</f>
        <v>37308</v>
      </c>
      <c r="AI266" s="30">
        <f>'Equity Volume Data'!AL266*'Equity Price Data'!AO267</f>
        <v>25418.75</v>
      </c>
      <c r="AJ266" s="30">
        <f>'Equity Volume Data'!AM266*'Equity Price Data'!AP267</f>
        <v>23314.2</v>
      </c>
      <c r="AK266" s="30">
        <f>'Equity Volume Data'!AN266*'Equity Price Data'!AQ267</f>
        <v>25936.95</v>
      </c>
      <c r="AL266" s="30">
        <f>'Equity Volume Data'!AO266*'Equity Price Data'!AR267</f>
        <v>42603.2</v>
      </c>
      <c r="AM266" s="30">
        <f>'Equity Volume Data'!AP266*'Equity Price Data'!AS267</f>
        <v>33611.9</v>
      </c>
      <c r="AN266" s="30">
        <f>'Equity Volume Data'!AQ266*'Equity Price Data'!AT267</f>
        <v>0</v>
      </c>
      <c r="AO266" s="30">
        <f>'Equity Volume Data'!AR266*'Equity Price Data'!AU267</f>
        <v>27276.76</v>
      </c>
      <c r="AP266" s="30">
        <f>'Equity Volume Data'!AS266*'Equity Price Data'!AV267</f>
        <v>21385</v>
      </c>
      <c r="AQ266" s="30">
        <f>'Equity Volume Data'!AT266*'Equity Price Data'!AW267</f>
        <v>17450.4</v>
      </c>
      <c r="AR266" s="30">
        <f>'Equity Volume Data'!AU266*'Equity Price Data'!AX267</f>
        <v>9306</v>
      </c>
      <c r="AS266" s="30">
        <f>'Equity Volume Data'!AV266*'Equity Price Data'!AY267</f>
        <v>55556.4</v>
      </c>
      <c r="AT266" s="30">
        <f>'Equity Volume Data'!AW266*'Equity Price Data'!AZ267</f>
        <v>14190</v>
      </c>
      <c r="AU266" s="30">
        <f>'Equity Volume Data'!AX266*'Equity Price Data'!BA267</f>
        <v>0</v>
      </c>
      <c r="AV266" s="30">
        <f>'Equity Volume Data'!AY266*'Equity Price Data'!BB267</f>
        <v>20053.24</v>
      </c>
      <c r="AW266" s="30">
        <f>'Equity Volume Data'!AZ266*'Equity Price Data'!BC267</f>
        <v>3795.6</v>
      </c>
      <c r="AX266" s="30">
        <f>'Equity Volume Data'!BA266*'Equity Price Data'!BD267</f>
        <v>0</v>
      </c>
      <c r="AY266" s="30">
        <f>'Equity Volume Data'!BB266*'Equity Price Data'!BE267</f>
        <v>53534.34</v>
      </c>
      <c r="AZ266" s="30">
        <f>'Equity Volume Data'!BC266*'Equity Price Data'!BF267</f>
        <v>10699.5</v>
      </c>
      <c r="BA266" s="30">
        <f>'Equity Volume Data'!BD266*'Equity Price Data'!BG267</f>
        <v>4436.5</v>
      </c>
      <c r="BB266" s="30">
        <f>'Equity Volume Data'!BE266*'Equity Price Data'!BH267</f>
        <v>11000</v>
      </c>
      <c r="BC266" s="30">
        <f>'Equity Volume Data'!BF266*'Equity Price Data'!BI267</f>
        <v>13310.24</v>
      </c>
      <c r="BD266" s="30">
        <f>'Equity Volume Data'!BG266*'Equity Price Data'!BJ267</f>
        <v>51946.44</v>
      </c>
      <c r="BE266" s="30">
        <f>'Equity Volume Data'!BH266*'Equity Price Data'!BK267</f>
        <v>9198.39</v>
      </c>
      <c r="BF266" s="30">
        <f>'Equity Volume Data'!BI266*'Equity Price Data'!BL267</f>
        <v>7656</v>
      </c>
      <c r="BG266" s="30">
        <f>'Equity Volume Data'!BJ266*'Equity Price Data'!BM267</f>
        <v>35789.72</v>
      </c>
      <c r="BH266" s="30">
        <f>'Equity Volume Data'!BK266*'Equity Price Data'!BN267</f>
        <v>0</v>
      </c>
      <c r="BI266" s="30">
        <f>'Equity Volume Data'!BL266*'Equity Price Data'!BO267</f>
        <v>35484.8</v>
      </c>
      <c r="BJ266" s="30">
        <f>'Equity Volume Data'!BM266*'Equity Price Data'!BP267</f>
        <v>22591.5</v>
      </c>
      <c r="BK266" s="30">
        <f>'Equity Volume Data'!BN266*'Equity Price Data'!BQ267</f>
        <v>90027.92</v>
      </c>
      <c r="BL266" s="30">
        <f>'Equity Volume Data'!BO266*'Equity Price Data'!BR267</f>
        <v>409.37</v>
      </c>
      <c r="BM266" s="30">
        <f>'Equity Volume Data'!BP266*'Equity Price Data'!BS267</f>
        <v>11529.12</v>
      </c>
      <c r="BN266" s="30">
        <f>'Equity Volume Data'!BQ266*'Equity Price Data'!BT267</f>
        <v>21356.8</v>
      </c>
      <c r="BO266" s="30">
        <f>'Equity Volume Data'!BR266*'Equity Price Data'!BU267</f>
        <v>28381</v>
      </c>
    </row>
    <row r="267">
      <c r="A267" s="25">
        <f>'Equity Price Data'!A268</f>
        <v>45812.66667</v>
      </c>
      <c r="B267" s="29">
        <f t="shared" si="1"/>
        <v>1358802</v>
      </c>
      <c r="C267" s="30">
        <f>'Equity Volume Data'!F267*'Equity Price Data'!I268</f>
        <v>5380.83</v>
      </c>
      <c r="D267" s="30">
        <f>'Equity Volume Data'!G267*'Equity Price Data'!J268</f>
        <v>53879.8</v>
      </c>
      <c r="E267" s="30">
        <f>'Equity Volume Data'!H267*'Equity Price Data'!K268</f>
        <v>15272.4</v>
      </c>
      <c r="F267" s="30">
        <f>'Equity Volume Data'!I267*'Equity Price Data'!L268</f>
        <v>51921.92</v>
      </c>
      <c r="G267" s="30">
        <f>'Equity Volume Data'!J267*'Equity Price Data'!M268</f>
        <v>13440.19</v>
      </c>
      <c r="H267" s="30">
        <f>'Equity Volume Data'!K267*'Equity Price Data'!N268</f>
        <v>16606.04</v>
      </c>
      <c r="I267" s="30">
        <f>'Equity Volume Data'!L267*'Equity Price Data'!O268</f>
        <v>17690</v>
      </c>
      <c r="J267" s="30">
        <f>'Equity Volume Data'!M267*'Equity Price Data'!P268</f>
        <v>50082</v>
      </c>
      <c r="K267" s="30">
        <f>'Equity Volume Data'!N267*'Equity Price Data'!Q268</f>
        <v>9820</v>
      </c>
      <c r="L267" s="30">
        <f>'Equity Volume Data'!O267*'Equity Price Data'!R268</f>
        <v>15955.06</v>
      </c>
      <c r="M267" s="30">
        <f>'Equity Volume Data'!P267*'Equity Price Data'!S268</f>
        <v>0</v>
      </c>
      <c r="N267" s="30">
        <f>'Equity Volume Data'!Q267*'Equity Price Data'!T268</f>
        <v>5711.2</v>
      </c>
      <c r="O267" s="30">
        <f>'Equity Volume Data'!R267*'Equity Price Data'!U268</f>
        <v>52399.5</v>
      </c>
      <c r="P267" s="30">
        <f>'Equity Volume Data'!S267*'Equity Price Data'!V268</f>
        <v>24999.15</v>
      </c>
      <c r="Q267" s="30">
        <f>'Equity Volume Data'!T267*'Equity Price Data'!W268</f>
        <v>27709.2</v>
      </c>
      <c r="R267" s="30">
        <f>'Equity Volume Data'!U267*'Equity Price Data'!X268</f>
        <v>10989.6</v>
      </c>
      <c r="S267" s="30">
        <f>'Equity Volume Data'!V267*'Equity Price Data'!Y268</f>
        <v>27290.56</v>
      </c>
      <c r="T267" s="30">
        <f>'Equity Volume Data'!W267*'Equity Price Data'!Z268</f>
        <v>10042.5</v>
      </c>
      <c r="U267" s="30">
        <f>'Equity Volume Data'!X267*'Equity Price Data'!AA268</f>
        <v>18841.68</v>
      </c>
      <c r="V267" s="30">
        <f>'Equity Volume Data'!Y267*'Equity Price Data'!AB268</f>
        <v>16455.81</v>
      </c>
      <c r="W267" s="30">
        <f>'Equity Volume Data'!Z267*'Equity Price Data'!AC268</f>
        <v>12144</v>
      </c>
      <c r="X267" s="30">
        <f>'Equity Volume Data'!AA267*'Equity Price Data'!AD268</f>
        <v>0</v>
      </c>
      <c r="Y267" s="30">
        <f>'Equity Volume Data'!AB267*'Equity Price Data'!AE268</f>
        <v>6056.83</v>
      </c>
      <c r="Z267" s="30">
        <f>'Equity Volume Data'!AC267*'Equity Price Data'!AF268</f>
        <v>11565</v>
      </c>
      <c r="AA267" s="30">
        <f>'Equity Volume Data'!AD267*'Equity Price Data'!AG268</f>
        <v>17391</v>
      </c>
      <c r="AB267" s="30">
        <f>'Equity Volume Data'!AE267*'Equity Price Data'!AH268</f>
        <v>13133.4</v>
      </c>
      <c r="AC267" s="30">
        <f>'Equity Volume Data'!AF267*'Equity Price Data'!AI268</f>
        <v>19238.4</v>
      </c>
      <c r="AD267" s="30">
        <f>'Equity Volume Data'!AG267*'Equity Price Data'!AJ268</f>
        <v>12376.35</v>
      </c>
      <c r="AE267" s="30">
        <f>'Equity Volume Data'!AH267*'Equity Price Data'!AK268</f>
        <v>0</v>
      </c>
      <c r="AF267" s="30">
        <f>'Equity Volume Data'!AI267*'Equity Price Data'!AL268</f>
        <v>22349.1</v>
      </c>
      <c r="AG267" s="30">
        <f>'Equity Volume Data'!AJ267*'Equity Price Data'!AM268</f>
        <v>35952.6</v>
      </c>
      <c r="AH267" s="30">
        <f>'Equity Volume Data'!AK267*'Equity Price Data'!AN268</f>
        <v>37240</v>
      </c>
      <c r="AI267" s="30">
        <f>'Equity Volume Data'!AL267*'Equity Price Data'!AO268</f>
        <v>25354</v>
      </c>
      <c r="AJ267" s="30">
        <f>'Equity Volume Data'!AM267*'Equity Price Data'!AP268</f>
        <v>23286.9</v>
      </c>
      <c r="AK267" s="30">
        <f>'Equity Volume Data'!AN267*'Equity Price Data'!AQ268</f>
        <v>26223.65</v>
      </c>
      <c r="AL267" s="30">
        <f>'Equity Volume Data'!AO267*'Equity Price Data'!AR268</f>
        <v>42275.2</v>
      </c>
      <c r="AM267" s="30">
        <f>'Equity Volume Data'!AP267*'Equity Price Data'!AS268</f>
        <v>33754.7</v>
      </c>
      <c r="AN267" s="30">
        <f>'Equity Volume Data'!AQ267*'Equity Price Data'!AT268</f>
        <v>0</v>
      </c>
      <c r="AO267" s="30">
        <f>'Equity Volume Data'!AR267*'Equity Price Data'!AU268</f>
        <v>27276.76</v>
      </c>
      <c r="AP267" s="30">
        <f>'Equity Volume Data'!AS267*'Equity Price Data'!AV268</f>
        <v>21400</v>
      </c>
      <c r="AQ267" s="30">
        <f>'Equity Volume Data'!AT267*'Equity Price Data'!AW268</f>
        <v>17338.2</v>
      </c>
      <c r="AR267" s="30">
        <f>'Equity Volume Data'!AU267*'Equity Price Data'!AX268</f>
        <v>10397.34</v>
      </c>
      <c r="AS267" s="30">
        <f>'Equity Volume Data'!AV267*'Equity Price Data'!AY268</f>
        <v>55664.4</v>
      </c>
      <c r="AT267" s="30">
        <f>'Equity Volume Data'!AW267*'Equity Price Data'!AZ268</f>
        <v>13976</v>
      </c>
      <c r="AU267" s="30">
        <f>'Equity Volume Data'!AX267*'Equity Price Data'!BA268</f>
        <v>0</v>
      </c>
      <c r="AV267" s="30">
        <f>'Equity Volume Data'!AY267*'Equity Price Data'!BB268</f>
        <v>20152.64</v>
      </c>
      <c r="AW267" s="30">
        <f>'Equity Volume Data'!AZ267*'Equity Price Data'!BC268</f>
        <v>3810.8</v>
      </c>
      <c r="AX267" s="30">
        <f>'Equity Volume Data'!BA267*'Equity Price Data'!BD268</f>
        <v>0</v>
      </c>
      <c r="AY267" s="30">
        <f>'Equity Volume Data'!BB267*'Equity Price Data'!BE268</f>
        <v>52264.02</v>
      </c>
      <c r="AZ267" s="30">
        <f>'Equity Volume Data'!BC267*'Equity Price Data'!BF268</f>
        <v>10920</v>
      </c>
      <c r="BA267" s="30">
        <f>'Equity Volume Data'!BD267*'Equity Price Data'!BG268</f>
        <v>4444.1</v>
      </c>
      <c r="BB267" s="30">
        <f>'Equity Volume Data'!BE267*'Equity Price Data'!BH268</f>
        <v>11084</v>
      </c>
      <c r="BC267" s="30">
        <f>'Equity Volume Data'!BF267*'Equity Price Data'!BI268</f>
        <v>13244.64</v>
      </c>
      <c r="BD267" s="30">
        <f>'Equity Volume Data'!BG267*'Equity Price Data'!BJ268</f>
        <v>51537.48</v>
      </c>
      <c r="BE267" s="30">
        <f>'Equity Volume Data'!BH267*'Equity Price Data'!BK268</f>
        <v>9284.18</v>
      </c>
      <c r="BF267" s="30">
        <f>'Equity Volume Data'!BI267*'Equity Price Data'!BL268</f>
        <v>7518.4</v>
      </c>
      <c r="BG267" s="30">
        <f>'Equity Volume Data'!BJ267*'Equity Price Data'!BM268</f>
        <v>36087.18</v>
      </c>
      <c r="BH267" s="30">
        <f>'Equity Volume Data'!BK267*'Equity Price Data'!BN268</f>
        <v>0</v>
      </c>
      <c r="BI267" s="30">
        <f>'Equity Volume Data'!BL267*'Equity Price Data'!BO268</f>
        <v>35339.2</v>
      </c>
      <c r="BJ267" s="30">
        <f>'Equity Volume Data'!BM267*'Equity Price Data'!BP268</f>
        <v>22528.5</v>
      </c>
      <c r="BK267" s="30">
        <f>'Equity Volume Data'!BN267*'Equity Price Data'!BQ268</f>
        <v>90118.02</v>
      </c>
      <c r="BL267" s="30">
        <f>'Equity Volume Data'!BO267*'Equity Price Data'!BR268</f>
        <v>403.73</v>
      </c>
      <c r="BM267" s="30">
        <f>'Equity Volume Data'!BP267*'Equity Price Data'!BS268</f>
        <v>11466.72</v>
      </c>
      <c r="BN267" s="30">
        <f>'Equity Volume Data'!BQ267*'Equity Price Data'!BT268</f>
        <v>21336.12</v>
      </c>
      <c r="BO267" s="30">
        <f>'Equity Volume Data'!BR267*'Equity Price Data'!BU268</f>
        <v>28381</v>
      </c>
    </row>
    <row r="268">
      <c r="A268" s="25">
        <f>'Equity Price Data'!A269</f>
        <v>45813.66667</v>
      </c>
      <c r="B268" s="29">
        <f t="shared" si="1"/>
        <v>1356151.01</v>
      </c>
      <c r="C268" s="30">
        <f>'Equity Volume Data'!F268*'Equity Price Data'!I269</f>
        <v>5397.6</v>
      </c>
      <c r="D268" s="30">
        <f>'Equity Volume Data'!G268*'Equity Price Data'!J269</f>
        <v>54056.6</v>
      </c>
      <c r="E268" s="30">
        <f>'Equity Volume Data'!H268*'Equity Price Data'!K269</f>
        <v>15402.2</v>
      </c>
      <c r="F268" s="30">
        <f>'Equity Volume Data'!I268*'Equity Price Data'!L269</f>
        <v>51361.28</v>
      </c>
      <c r="G268" s="30">
        <f>'Equity Volume Data'!J268*'Equity Price Data'!M269</f>
        <v>13627.77</v>
      </c>
      <c r="H268" s="30">
        <f>'Equity Volume Data'!K268*'Equity Price Data'!N269</f>
        <v>16653.04</v>
      </c>
      <c r="I268" s="30">
        <f>'Equity Volume Data'!L268*'Equity Price Data'!O269</f>
        <v>17870</v>
      </c>
      <c r="J268" s="30">
        <f>'Equity Volume Data'!M268*'Equity Price Data'!P269</f>
        <v>49851.48</v>
      </c>
      <c r="K268" s="30">
        <f>'Equity Volume Data'!N268*'Equity Price Data'!Q269</f>
        <v>9966</v>
      </c>
      <c r="L268" s="30">
        <f>'Equity Volume Data'!O268*'Equity Price Data'!R269</f>
        <v>15773.56</v>
      </c>
      <c r="M268" s="30">
        <f>'Equity Volume Data'!P268*'Equity Price Data'!S269</f>
        <v>0</v>
      </c>
      <c r="N268" s="30">
        <f>'Equity Volume Data'!Q268*'Equity Price Data'!T269</f>
        <v>5712</v>
      </c>
      <c r="O268" s="30">
        <f>'Equity Volume Data'!R268*'Equity Price Data'!U269</f>
        <v>52344</v>
      </c>
      <c r="P268" s="30">
        <f>'Equity Volume Data'!S268*'Equity Price Data'!V269</f>
        <v>25032.51</v>
      </c>
      <c r="Q268" s="30">
        <f>'Equity Volume Data'!T268*'Equity Price Data'!W269</f>
        <v>27733.2</v>
      </c>
      <c r="R268" s="30">
        <f>'Equity Volume Data'!U268*'Equity Price Data'!X269</f>
        <v>10952</v>
      </c>
      <c r="S268" s="30">
        <f>'Equity Volume Data'!V268*'Equity Price Data'!Y269</f>
        <v>27369.76</v>
      </c>
      <c r="T268" s="30">
        <f>'Equity Volume Data'!W268*'Equity Price Data'!Z269</f>
        <v>10067.5</v>
      </c>
      <c r="U268" s="30">
        <f>'Equity Volume Data'!X268*'Equity Price Data'!AA269</f>
        <v>18720.24</v>
      </c>
      <c r="V268" s="30">
        <f>'Equity Volume Data'!Y268*'Equity Price Data'!AB269</f>
        <v>16465.47</v>
      </c>
      <c r="W268" s="30">
        <f>'Equity Volume Data'!Z268*'Equity Price Data'!AC269</f>
        <v>12137.79</v>
      </c>
      <c r="X268" s="30">
        <f>'Equity Volume Data'!AA268*'Equity Price Data'!AD269</f>
        <v>0</v>
      </c>
      <c r="Y268" s="30">
        <f>'Equity Volume Data'!AB268*'Equity Price Data'!AE269</f>
        <v>5980.39</v>
      </c>
      <c r="Z268" s="30">
        <f>'Equity Volume Data'!AC268*'Equity Price Data'!AF269</f>
        <v>11661</v>
      </c>
      <c r="AA268" s="30">
        <f>'Equity Volume Data'!AD268*'Equity Price Data'!AG269</f>
        <v>17311.1</v>
      </c>
      <c r="AB268" s="30">
        <f>'Equity Volume Data'!AE268*'Equity Price Data'!AH269</f>
        <v>13003.8</v>
      </c>
      <c r="AC268" s="30">
        <f>'Equity Volume Data'!AF268*'Equity Price Data'!AI269</f>
        <v>19214.4</v>
      </c>
      <c r="AD268" s="30">
        <f>'Equity Volume Data'!AG268*'Equity Price Data'!AJ269</f>
        <v>12348.9</v>
      </c>
      <c r="AE268" s="30">
        <f>'Equity Volume Data'!AH268*'Equity Price Data'!AK269</f>
        <v>0</v>
      </c>
      <c r="AF268" s="30">
        <f>'Equity Volume Data'!AI268*'Equity Price Data'!AL269</f>
        <v>22644.3</v>
      </c>
      <c r="AG268" s="30">
        <f>'Equity Volume Data'!AJ268*'Equity Price Data'!AM269</f>
        <v>36352.8</v>
      </c>
      <c r="AH268" s="30">
        <f>'Equity Volume Data'!AK268*'Equity Price Data'!AN269</f>
        <v>36928</v>
      </c>
      <c r="AI268" s="30">
        <f>'Equity Volume Data'!AL268*'Equity Price Data'!AO269</f>
        <v>24865.75</v>
      </c>
      <c r="AJ268" s="30">
        <f>'Equity Volume Data'!AM268*'Equity Price Data'!AP269</f>
        <v>23212.8</v>
      </c>
      <c r="AK268" s="30">
        <f>'Equity Volume Data'!AN268*'Equity Price Data'!AQ269</f>
        <v>26228.82</v>
      </c>
      <c r="AL268" s="30">
        <f>'Equity Volume Data'!AO268*'Equity Price Data'!AR269</f>
        <v>41912</v>
      </c>
      <c r="AM268" s="30">
        <f>'Equity Volume Data'!AP268*'Equity Price Data'!AS269</f>
        <v>33462.1</v>
      </c>
      <c r="AN268" s="30">
        <f>'Equity Volume Data'!AQ268*'Equity Price Data'!AT269</f>
        <v>0</v>
      </c>
      <c r="AO268" s="30">
        <f>'Equity Volume Data'!AR268*'Equity Price Data'!AU269</f>
        <v>27370.7</v>
      </c>
      <c r="AP268" s="30">
        <f>'Equity Volume Data'!AS268*'Equity Price Data'!AV269</f>
        <v>21750</v>
      </c>
      <c r="AQ268" s="30">
        <f>'Equity Volume Data'!AT268*'Equity Price Data'!AW269</f>
        <v>17283.2</v>
      </c>
      <c r="AR268" s="30">
        <f>'Equity Volume Data'!AU268*'Equity Price Data'!AX269</f>
        <v>10968.39</v>
      </c>
      <c r="AS268" s="30">
        <f>'Equity Volume Data'!AV268*'Equity Price Data'!AY269</f>
        <v>56121.6</v>
      </c>
      <c r="AT268" s="30">
        <f>'Equity Volume Data'!AW268*'Equity Price Data'!AZ269</f>
        <v>14300</v>
      </c>
      <c r="AU268" s="30">
        <f>'Equity Volume Data'!AX268*'Equity Price Data'!BA269</f>
        <v>0</v>
      </c>
      <c r="AV268" s="30">
        <f>'Equity Volume Data'!AY268*'Equity Price Data'!BB269</f>
        <v>19878.58</v>
      </c>
      <c r="AW268" s="30">
        <f>'Equity Volume Data'!AZ268*'Equity Price Data'!BC269</f>
        <v>3811.2</v>
      </c>
      <c r="AX268" s="30">
        <f>'Equity Volume Data'!BA268*'Equity Price Data'!BD269</f>
        <v>0</v>
      </c>
      <c r="AY268" s="30">
        <f>'Equity Volume Data'!BB268*'Equity Price Data'!BE269</f>
        <v>48203.82</v>
      </c>
      <c r="AZ268" s="30">
        <f>'Equity Volume Data'!BC268*'Equity Price Data'!BF269</f>
        <v>10870.5</v>
      </c>
      <c r="BA268" s="30">
        <f>'Equity Volume Data'!BD268*'Equity Price Data'!BG269</f>
        <v>4392.8</v>
      </c>
      <c r="BB268" s="30">
        <f>'Equity Volume Data'!BE268*'Equity Price Data'!BH269</f>
        <v>11125.6</v>
      </c>
      <c r="BC268" s="30">
        <f>'Equity Volume Data'!BF268*'Equity Price Data'!BI269</f>
        <v>13185.6</v>
      </c>
      <c r="BD268" s="30">
        <f>'Equity Volume Data'!BG268*'Equity Price Data'!BJ269</f>
        <v>52163.7</v>
      </c>
      <c r="BE268" s="30">
        <f>'Equity Volume Data'!BH268*'Equity Price Data'!BK269</f>
        <v>9162.28</v>
      </c>
      <c r="BF268" s="30">
        <f>'Equity Volume Data'!BI268*'Equity Price Data'!BL269</f>
        <v>7376</v>
      </c>
      <c r="BG268" s="30">
        <f>'Equity Volume Data'!BJ268*'Equity Price Data'!BM269</f>
        <v>37694.02</v>
      </c>
      <c r="BH268" s="30">
        <f>'Equity Volume Data'!BK268*'Equity Price Data'!BN269</f>
        <v>0</v>
      </c>
      <c r="BI268" s="30">
        <f>'Equity Volume Data'!BL268*'Equity Price Data'!BO269</f>
        <v>35304</v>
      </c>
      <c r="BJ268" s="30">
        <f>'Equity Volume Data'!BM268*'Equity Price Data'!BP269</f>
        <v>22188</v>
      </c>
      <c r="BK268" s="30">
        <f>'Equity Volume Data'!BN268*'Equity Price Data'!BQ269</f>
        <v>89991.88</v>
      </c>
      <c r="BL268" s="30">
        <f>'Equity Volume Data'!BO268*'Equity Price Data'!BR269</f>
        <v>397.62</v>
      </c>
      <c r="BM268" s="30">
        <f>'Equity Volume Data'!BP268*'Equity Price Data'!BS269</f>
        <v>11454.72</v>
      </c>
      <c r="BN268" s="30">
        <f>'Equity Volume Data'!BQ268*'Equity Price Data'!BT269</f>
        <v>21155.64</v>
      </c>
      <c r="BO268" s="30">
        <f>'Equity Volume Data'!BR268*'Equity Price Data'!BU269</f>
        <v>28381</v>
      </c>
    </row>
    <row r="269">
      <c r="A269" s="25">
        <f>'Equity Price Data'!A270</f>
        <v>45814.66667</v>
      </c>
      <c r="B269" s="29">
        <f t="shared" si="1"/>
        <v>1371903.74</v>
      </c>
      <c r="C269" s="30">
        <f>'Equity Volume Data'!F269*'Equity Price Data'!I270</f>
        <v>5419.96</v>
      </c>
      <c r="D269" s="30">
        <f>'Equity Volume Data'!G269*'Equity Price Data'!J270</f>
        <v>55528.2</v>
      </c>
      <c r="E269" s="30">
        <f>'Equity Volume Data'!H269*'Equity Price Data'!K270</f>
        <v>15405.5</v>
      </c>
      <c r="F269" s="30">
        <f>'Equity Volume Data'!I269*'Equity Price Data'!L270</f>
        <v>52203.52</v>
      </c>
      <c r="G269" s="30">
        <f>'Equity Volume Data'!J269*'Equity Price Data'!M270</f>
        <v>13839.42</v>
      </c>
      <c r="H269" s="30">
        <f>'Equity Volume Data'!K269*'Equity Price Data'!N270</f>
        <v>16980.16</v>
      </c>
      <c r="I269" s="30">
        <f>'Equity Volume Data'!L269*'Equity Price Data'!O270</f>
        <v>18210</v>
      </c>
      <c r="J269" s="30">
        <f>'Equity Volume Data'!M269*'Equity Price Data'!P270</f>
        <v>50340.06</v>
      </c>
      <c r="K269" s="30">
        <f>'Equity Volume Data'!N269*'Equity Price Data'!Q270</f>
        <v>9916</v>
      </c>
      <c r="L269" s="30">
        <f>'Equity Volume Data'!O269*'Equity Price Data'!R270</f>
        <v>16108.73</v>
      </c>
      <c r="M269" s="30">
        <f>'Equity Volume Data'!P269*'Equity Price Data'!S270</f>
        <v>0</v>
      </c>
      <c r="N269" s="30">
        <f>'Equity Volume Data'!Q269*'Equity Price Data'!T270</f>
        <v>5683.2</v>
      </c>
      <c r="O269" s="30">
        <f>'Equity Volume Data'!R269*'Equity Price Data'!U270</f>
        <v>53002.5</v>
      </c>
      <c r="P269" s="30">
        <f>'Equity Volume Data'!S269*'Equity Price Data'!V270</f>
        <v>25195.14</v>
      </c>
      <c r="Q269" s="30">
        <f>'Equity Volume Data'!T269*'Equity Price Data'!W270</f>
        <v>28016.4</v>
      </c>
      <c r="R269" s="30">
        <f>'Equity Volume Data'!U269*'Equity Price Data'!X270</f>
        <v>11216.8</v>
      </c>
      <c r="S269" s="30">
        <f>'Equity Volume Data'!V269*'Equity Price Data'!Y270</f>
        <v>27471.84</v>
      </c>
      <c r="T269" s="30">
        <f>'Equity Volume Data'!W269*'Equity Price Data'!Z270</f>
        <v>10342.5</v>
      </c>
      <c r="U269" s="30">
        <f>'Equity Volume Data'!X269*'Equity Price Data'!AA270</f>
        <v>18836.4</v>
      </c>
      <c r="V269" s="30">
        <f>'Equity Volume Data'!Y269*'Equity Price Data'!AB270</f>
        <v>16359.21</v>
      </c>
      <c r="W269" s="30">
        <f>'Equity Volume Data'!Z269*'Equity Price Data'!AC270</f>
        <v>12201.96</v>
      </c>
      <c r="X269" s="30">
        <f>'Equity Volume Data'!AA269*'Equity Price Data'!AD270</f>
        <v>0</v>
      </c>
      <c r="Y269" s="30">
        <f>'Equity Volume Data'!AB269*'Equity Price Data'!AE270</f>
        <v>6086.73</v>
      </c>
      <c r="Z269" s="30">
        <f>'Equity Volume Data'!AC269*'Equity Price Data'!AF270</f>
        <v>11791.5</v>
      </c>
      <c r="AA269" s="30">
        <f>'Equity Volume Data'!AD269*'Equity Price Data'!AG270</f>
        <v>17725.9</v>
      </c>
      <c r="AB269" s="30">
        <f>'Equity Volume Data'!AE269*'Equity Price Data'!AH270</f>
        <v>13176.6</v>
      </c>
      <c r="AC269" s="30">
        <f>'Equity Volume Data'!AF269*'Equity Price Data'!AI270</f>
        <v>19304.4</v>
      </c>
      <c r="AD269" s="30">
        <f>'Equity Volume Data'!AG269*'Equity Price Data'!AJ270</f>
        <v>12441.6</v>
      </c>
      <c r="AE269" s="30">
        <f>'Equity Volume Data'!AH269*'Equity Price Data'!AK270</f>
        <v>0</v>
      </c>
      <c r="AF269" s="30">
        <f>'Equity Volume Data'!AI269*'Equity Price Data'!AL270</f>
        <v>23054.3</v>
      </c>
      <c r="AG269" s="30">
        <f>'Equity Volume Data'!AJ269*'Equity Price Data'!AM270</f>
        <v>36840</v>
      </c>
      <c r="AH269" s="30">
        <f>'Equity Volume Data'!AK269*'Equity Price Data'!AN270</f>
        <v>36733</v>
      </c>
      <c r="AI269" s="30">
        <f>'Equity Volume Data'!AL269*'Equity Price Data'!AO270</f>
        <v>25021.5</v>
      </c>
      <c r="AJ269" s="30">
        <f>'Equity Volume Data'!AM269*'Equity Price Data'!AP270</f>
        <v>23228.4</v>
      </c>
      <c r="AK269" s="30">
        <f>'Equity Volume Data'!AN269*'Equity Price Data'!AQ270</f>
        <v>26182.76</v>
      </c>
      <c r="AL269" s="30">
        <f>'Equity Volume Data'!AO269*'Equity Price Data'!AR270</f>
        <v>42516.8</v>
      </c>
      <c r="AM269" s="30">
        <f>'Equity Volume Data'!AP269*'Equity Price Data'!AS270</f>
        <v>33718.3</v>
      </c>
      <c r="AN269" s="30">
        <f>'Equity Volume Data'!AQ269*'Equity Price Data'!AT270</f>
        <v>0</v>
      </c>
      <c r="AO269" s="30">
        <f>'Equity Volume Data'!AR269*'Equity Price Data'!AU270</f>
        <v>27703.76</v>
      </c>
      <c r="AP269" s="30">
        <f>'Equity Volume Data'!AS269*'Equity Price Data'!AV270</f>
        <v>21860</v>
      </c>
      <c r="AQ269" s="30">
        <f>'Equity Volume Data'!AT269*'Equity Price Data'!AW270</f>
        <v>17584.6</v>
      </c>
      <c r="AR269" s="30">
        <f>'Equity Volume Data'!AU269*'Equity Price Data'!AX270</f>
        <v>10871.1</v>
      </c>
      <c r="AS269" s="30">
        <f>'Equity Volume Data'!AV269*'Equity Price Data'!AY270</f>
        <v>56445.6</v>
      </c>
      <c r="AT269" s="30">
        <f>'Equity Volume Data'!AW269*'Equity Price Data'!AZ270</f>
        <v>14432</v>
      </c>
      <c r="AU269" s="30">
        <f>'Equity Volume Data'!AX269*'Equity Price Data'!BA270</f>
        <v>0</v>
      </c>
      <c r="AV269" s="30">
        <f>'Equity Volume Data'!AY269*'Equity Price Data'!BB270</f>
        <v>20124.24</v>
      </c>
      <c r="AW269" s="30">
        <f>'Equity Volume Data'!AZ269*'Equity Price Data'!BC270</f>
        <v>3842.4</v>
      </c>
      <c r="AX269" s="30">
        <f>'Equity Volume Data'!BA269*'Equity Price Data'!BD270</f>
        <v>0</v>
      </c>
      <c r="AY269" s="30">
        <f>'Equity Volume Data'!BB269*'Equity Price Data'!BE270</f>
        <v>51343.44</v>
      </c>
      <c r="AZ269" s="30">
        <f>'Equity Volume Data'!BC269*'Equity Price Data'!BF270</f>
        <v>11014.5</v>
      </c>
      <c r="BA269" s="30">
        <f>'Equity Volume Data'!BD269*'Equity Price Data'!BG270</f>
        <v>4436.5</v>
      </c>
      <c r="BB269" s="30">
        <f>'Equity Volume Data'!BE269*'Equity Price Data'!BH270</f>
        <v>11128</v>
      </c>
      <c r="BC269" s="30">
        <f>'Equity Volume Data'!BF269*'Equity Price Data'!BI270</f>
        <v>13477.52</v>
      </c>
      <c r="BD269" s="30">
        <f>'Equity Volume Data'!BG269*'Equity Price Data'!BJ270</f>
        <v>52368.18</v>
      </c>
      <c r="BE269" s="30">
        <f>'Equity Volume Data'!BH269*'Equity Price Data'!BK270</f>
        <v>9243.7</v>
      </c>
      <c r="BF269" s="30">
        <f>'Equity Volume Data'!BI269*'Equity Price Data'!BL270</f>
        <v>7405.6</v>
      </c>
      <c r="BG269" s="30">
        <f>'Equity Volume Data'!BJ269*'Equity Price Data'!BM270</f>
        <v>38655.9</v>
      </c>
      <c r="BH269" s="30">
        <f>'Equity Volume Data'!BK269*'Equity Price Data'!BN270</f>
        <v>0</v>
      </c>
      <c r="BI269" s="30">
        <f>'Equity Volume Data'!BL269*'Equity Price Data'!BO270</f>
        <v>35748.8</v>
      </c>
      <c r="BJ269" s="30">
        <f>'Equity Volume Data'!BM269*'Equity Price Data'!BP270</f>
        <v>22741.5</v>
      </c>
      <c r="BK269" s="30">
        <f>'Equity Volume Data'!BN269*'Equity Price Data'!BQ270</f>
        <v>89829.7</v>
      </c>
      <c r="BL269" s="30">
        <f>'Equity Volume Data'!BO269*'Equity Price Data'!BR270</f>
        <v>409.37</v>
      </c>
      <c r="BM269" s="30">
        <f>'Equity Volume Data'!BP269*'Equity Price Data'!BS270</f>
        <v>11343.84</v>
      </c>
      <c r="BN269" s="30">
        <f>'Equity Volume Data'!BQ269*'Equity Price Data'!BT270</f>
        <v>21413.2</v>
      </c>
      <c r="BO269" s="30">
        <f>'Equity Volume Data'!BR269*'Equity Price Data'!BU270</f>
        <v>28381</v>
      </c>
    </row>
    <row r="270">
      <c r="A270" s="25">
        <f>'Equity Price Data'!A271</f>
        <v>45817.66667</v>
      </c>
      <c r="B270" s="29">
        <f t="shared" si="1"/>
        <v>1374925.08</v>
      </c>
      <c r="C270" s="30">
        <f>'Equity Volume Data'!F270*'Equity Price Data'!I271</f>
        <v>5411.38</v>
      </c>
      <c r="D270" s="30">
        <f>'Equity Volume Data'!G270*'Equity Price Data'!J271</f>
        <v>56414.8</v>
      </c>
      <c r="E270" s="30">
        <f>'Equity Volume Data'!H270*'Equity Price Data'!K271</f>
        <v>15379.1</v>
      </c>
      <c r="F270" s="30">
        <f>'Equity Volume Data'!I270*'Equity Price Data'!L271</f>
        <v>51571.2</v>
      </c>
      <c r="G270" s="30">
        <f>'Equity Volume Data'!J270*'Equity Price Data'!M271</f>
        <v>14092.57</v>
      </c>
      <c r="H270" s="30">
        <f>'Equity Volume Data'!K270*'Equity Price Data'!N271</f>
        <v>16921.88</v>
      </c>
      <c r="I270" s="30">
        <f>'Equity Volume Data'!L270*'Equity Price Data'!O271</f>
        <v>18130</v>
      </c>
      <c r="J270" s="30">
        <f>'Equity Volume Data'!M270*'Equity Price Data'!P271</f>
        <v>50319.66</v>
      </c>
      <c r="K270" s="30">
        <f>'Equity Volume Data'!N270*'Equity Price Data'!Q271</f>
        <v>10036</v>
      </c>
      <c r="L270" s="30">
        <f>'Equity Volume Data'!O270*'Equity Price Data'!R271</f>
        <v>16232.15</v>
      </c>
      <c r="M270" s="30">
        <f>'Equity Volume Data'!P270*'Equity Price Data'!S271</f>
        <v>0</v>
      </c>
      <c r="N270" s="30">
        <f>'Equity Volume Data'!Q270*'Equity Price Data'!T271</f>
        <v>5732</v>
      </c>
      <c r="O270" s="30">
        <f>'Equity Volume Data'!R270*'Equity Price Data'!U271</f>
        <v>53710.5</v>
      </c>
      <c r="P270" s="30">
        <f>'Equity Volume Data'!S270*'Equity Price Data'!V271</f>
        <v>27901.47</v>
      </c>
      <c r="Q270" s="30">
        <f>'Equity Volume Data'!T270*'Equity Price Data'!W271</f>
        <v>27336</v>
      </c>
      <c r="R270" s="30">
        <f>'Equity Volume Data'!U270*'Equity Price Data'!X271</f>
        <v>11260.8</v>
      </c>
      <c r="S270" s="30">
        <f>'Equity Volume Data'!V270*'Equity Price Data'!Y271</f>
        <v>27403.2</v>
      </c>
      <c r="T270" s="30">
        <f>'Equity Volume Data'!W270*'Equity Price Data'!Z271</f>
        <v>10337.5</v>
      </c>
      <c r="U270" s="30">
        <f>'Equity Volume Data'!X270*'Equity Price Data'!AA271</f>
        <v>18947.28</v>
      </c>
      <c r="V270" s="30">
        <f>'Equity Volume Data'!Y270*'Equity Price Data'!AB271</f>
        <v>16278.71</v>
      </c>
      <c r="W270" s="30">
        <f>'Equity Volume Data'!Z270*'Equity Price Data'!AC271</f>
        <v>12190.92</v>
      </c>
      <c r="X270" s="30">
        <f>'Equity Volume Data'!AA270*'Equity Price Data'!AD271</f>
        <v>0</v>
      </c>
      <c r="Y270" s="30">
        <f>'Equity Volume Data'!AB270*'Equity Price Data'!AE271</f>
        <v>6083.35</v>
      </c>
      <c r="Z270" s="30">
        <f>'Equity Volume Data'!AC270*'Equity Price Data'!AF271</f>
        <v>11904</v>
      </c>
      <c r="AA270" s="30">
        <f>'Equity Volume Data'!AD270*'Equity Price Data'!AG271</f>
        <v>17844.9</v>
      </c>
      <c r="AB270" s="30">
        <f>'Equity Volume Data'!AE270*'Equity Price Data'!AH271</f>
        <v>13330.8</v>
      </c>
      <c r="AC270" s="30">
        <f>'Equity Volume Data'!AF270*'Equity Price Data'!AI271</f>
        <v>19164.8</v>
      </c>
      <c r="AD270" s="30">
        <f>'Equity Volume Data'!AG270*'Equity Price Data'!AJ271</f>
        <v>12478.95</v>
      </c>
      <c r="AE270" s="30">
        <f>'Equity Volume Data'!AH270*'Equity Price Data'!AK271</f>
        <v>0</v>
      </c>
      <c r="AF270" s="30">
        <f>'Equity Volume Data'!AI270*'Equity Price Data'!AL271</f>
        <v>23165</v>
      </c>
      <c r="AG270" s="30">
        <f>'Equity Volume Data'!AJ270*'Equity Price Data'!AM271</f>
        <v>36811.2</v>
      </c>
      <c r="AH270" s="30">
        <f>'Equity Volume Data'!AK270*'Equity Price Data'!AN271</f>
        <v>36520</v>
      </c>
      <c r="AI270" s="30">
        <f>'Equity Volume Data'!AL270*'Equity Price Data'!AO271</f>
        <v>24503.5</v>
      </c>
      <c r="AJ270" s="30">
        <f>'Equity Volume Data'!AM270*'Equity Price Data'!AP271</f>
        <v>22876.1</v>
      </c>
      <c r="AK270" s="30">
        <f>'Equity Volume Data'!AN270*'Equity Price Data'!AQ271</f>
        <v>24729.05</v>
      </c>
      <c r="AL270" s="30">
        <f>'Equity Volume Data'!AO270*'Equity Price Data'!AR271</f>
        <v>42678.4</v>
      </c>
      <c r="AM270" s="30">
        <f>'Equity Volume Data'!AP270*'Equity Price Data'!AS271</f>
        <v>33658.1</v>
      </c>
      <c r="AN270" s="30">
        <f>'Equity Volume Data'!AQ270*'Equity Price Data'!AT271</f>
        <v>0</v>
      </c>
      <c r="AO270" s="30">
        <f>'Equity Volume Data'!AR270*'Equity Price Data'!AU271</f>
        <v>27609.82</v>
      </c>
      <c r="AP270" s="30">
        <f>'Equity Volume Data'!AS270*'Equity Price Data'!AV271</f>
        <v>21862.5</v>
      </c>
      <c r="AQ270" s="30">
        <f>'Equity Volume Data'!AT270*'Equity Price Data'!AW271</f>
        <v>17516.4</v>
      </c>
      <c r="AR270" s="30">
        <f>'Equity Volume Data'!AU270*'Equity Price Data'!AX271</f>
        <v>11712.87</v>
      </c>
      <c r="AS270" s="30">
        <f>'Equity Volume Data'!AV270*'Equity Price Data'!AY271</f>
        <v>56730</v>
      </c>
      <c r="AT270" s="30">
        <f>'Equity Volume Data'!AW270*'Equity Price Data'!AZ271</f>
        <v>14380</v>
      </c>
      <c r="AU270" s="30">
        <f>'Equity Volume Data'!AX270*'Equity Price Data'!BA271</f>
        <v>0</v>
      </c>
      <c r="AV270" s="30">
        <f>'Equity Volume Data'!AY270*'Equity Price Data'!BB271</f>
        <v>20253.46</v>
      </c>
      <c r="AW270" s="30">
        <f>'Equity Volume Data'!AZ270*'Equity Price Data'!BC271</f>
        <v>3812.8</v>
      </c>
      <c r="AX270" s="30">
        <f>'Equity Volume Data'!BA270*'Equity Price Data'!BD271</f>
        <v>0</v>
      </c>
      <c r="AY270" s="30">
        <f>'Equity Volume Data'!BB270*'Equity Price Data'!BE271</f>
        <v>53088.12</v>
      </c>
      <c r="AZ270" s="30">
        <f>'Equity Volume Data'!BC270*'Equity Price Data'!BF271</f>
        <v>11032.5</v>
      </c>
      <c r="BA270" s="30">
        <f>'Equity Volume Data'!BD270*'Equity Price Data'!BG271</f>
        <v>4554.3</v>
      </c>
      <c r="BB270" s="30">
        <f>'Equity Volume Data'!BE270*'Equity Price Data'!BH271</f>
        <v>11278.4</v>
      </c>
      <c r="BC270" s="30">
        <f>'Equity Volume Data'!BF270*'Equity Price Data'!BI271</f>
        <v>13310.24</v>
      </c>
      <c r="BD270" s="30">
        <f>'Equity Volume Data'!BG270*'Equity Price Data'!BJ271</f>
        <v>50683.35</v>
      </c>
      <c r="BE270" s="30">
        <f>'Equity Volume Data'!BH270*'Equity Price Data'!BK271</f>
        <v>9396.19</v>
      </c>
      <c r="BF270" s="30">
        <f>'Equity Volume Data'!BI270*'Equity Price Data'!BL271</f>
        <v>7357.6</v>
      </c>
      <c r="BG270" s="30">
        <f>'Equity Volume Data'!BJ270*'Equity Price Data'!BM271</f>
        <v>38753.2</v>
      </c>
      <c r="BH270" s="30">
        <f>'Equity Volume Data'!BK270*'Equity Price Data'!BN271</f>
        <v>0</v>
      </c>
      <c r="BI270" s="30">
        <f>'Equity Volume Data'!BL270*'Equity Price Data'!BO271</f>
        <v>35862.4</v>
      </c>
      <c r="BJ270" s="30">
        <f>'Equity Volume Data'!BM270*'Equity Price Data'!BP271</f>
        <v>22739.25</v>
      </c>
      <c r="BK270" s="30">
        <f>'Equity Volume Data'!BN270*'Equity Price Data'!BQ271</f>
        <v>89865.74</v>
      </c>
      <c r="BL270" s="30">
        <f>'Equity Volume Data'!BO270*'Equity Price Data'!BR271</f>
        <v>414.07</v>
      </c>
      <c r="BM270" s="30">
        <f>'Equity Volume Data'!BP270*'Equity Price Data'!BS271</f>
        <v>11231.52</v>
      </c>
      <c r="BN270" s="30">
        <f>'Equity Volume Data'!BQ270*'Equity Price Data'!BT271</f>
        <v>21744.08</v>
      </c>
      <c r="BO270" s="30">
        <f>'Equity Volume Data'!BR270*'Equity Price Data'!BU271</f>
        <v>28381</v>
      </c>
    </row>
    <row r="271">
      <c r="A271" s="25">
        <f>'Equity Price Data'!A272</f>
        <v>45818.66667</v>
      </c>
      <c r="B271" s="29">
        <f t="shared" si="1"/>
        <v>1378101.38</v>
      </c>
      <c r="C271" s="30">
        <f>'Equity Volume Data'!F271*'Equity Price Data'!I272</f>
        <v>5408.78</v>
      </c>
      <c r="D271" s="30">
        <f>'Equity Volume Data'!G271*'Equity Price Data'!J272</f>
        <v>56578.6</v>
      </c>
      <c r="E271" s="30">
        <f>'Equity Volume Data'!H271*'Equity Price Data'!K272</f>
        <v>15539.7</v>
      </c>
      <c r="F271" s="30">
        <f>'Equity Volume Data'!I271*'Equity Price Data'!L272</f>
        <v>51883.52</v>
      </c>
      <c r="G271" s="30">
        <f>'Equity Volume Data'!J271*'Equity Price Data'!M272</f>
        <v>14422.91</v>
      </c>
      <c r="H271" s="30">
        <f>'Equity Volume Data'!K271*'Equity Price Data'!N272</f>
        <v>16920</v>
      </c>
      <c r="I271" s="30">
        <f>'Equity Volume Data'!L271*'Equity Price Data'!O272</f>
        <v>17580</v>
      </c>
      <c r="J271" s="30">
        <f>'Equity Volume Data'!M271*'Equity Price Data'!P272</f>
        <v>50095.26</v>
      </c>
      <c r="K271" s="30">
        <f>'Equity Volume Data'!N271*'Equity Price Data'!Q272</f>
        <v>10176</v>
      </c>
      <c r="L271" s="30">
        <f>'Equity Volume Data'!O271*'Equity Price Data'!R272</f>
        <v>16394.29</v>
      </c>
      <c r="M271" s="30">
        <f>'Equity Volume Data'!P271*'Equity Price Data'!S272</f>
        <v>0</v>
      </c>
      <c r="N271" s="30">
        <f>'Equity Volume Data'!Q271*'Equity Price Data'!T272</f>
        <v>5740</v>
      </c>
      <c r="O271" s="30">
        <f>'Equity Volume Data'!R271*'Equity Price Data'!U272</f>
        <v>53785.5</v>
      </c>
      <c r="P271" s="30">
        <f>'Equity Volume Data'!S271*'Equity Price Data'!V272</f>
        <v>26617.11</v>
      </c>
      <c r="Q271" s="30">
        <f>'Equity Volume Data'!T271*'Equity Price Data'!W272</f>
        <v>27558</v>
      </c>
      <c r="R271" s="30">
        <f>'Equity Volume Data'!U271*'Equity Price Data'!X272</f>
        <v>11468</v>
      </c>
      <c r="S271" s="30">
        <f>'Equity Volume Data'!V271*'Equity Price Data'!Y272</f>
        <v>27598.56</v>
      </c>
      <c r="T271" s="30">
        <f>'Equity Volume Data'!W271*'Equity Price Data'!Z272</f>
        <v>10492.5</v>
      </c>
      <c r="U271" s="30">
        <f>'Equity Volume Data'!X271*'Equity Price Data'!AA272</f>
        <v>19100.4</v>
      </c>
      <c r="V271" s="30">
        <f>'Equity Volume Data'!Y271*'Equity Price Data'!AB272</f>
        <v>16486.4</v>
      </c>
      <c r="W271" s="30">
        <f>'Equity Volume Data'!Z271*'Equity Price Data'!AC272</f>
        <v>12260.61</v>
      </c>
      <c r="X271" s="30">
        <f>'Equity Volume Data'!AA271*'Equity Price Data'!AD272</f>
        <v>0</v>
      </c>
      <c r="Y271" s="30">
        <f>'Equity Volume Data'!AB271*'Equity Price Data'!AE272</f>
        <v>5921.37</v>
      </c>
      <c r="Z271" s="30">
        <f>'Equity Volume Data'!AC271*'Equity Price Data'!AF272</f>
        <v>11815.5</v>
      </c>
      <c r="AA271" s="30">
        <f>'Equity Volume Data'!AD271*'Equity Price Data'!AG272</f>
        <v>18227.4</v>
      </c>
      <c r="AB271" s="30">
        <f>'Equity Volume Data'!AE271*'Equity Price Data'!AH272</f>
        <v>13677.6</v>
      </c>
      <c r="AC271" s="30">
        <f>'Equity Volume Data'!AF271*'Equity Price Data'!AI272</f>
        <v>19455.6</v>
      </c>
      <c r="AD271" s="30">
        <f>'Equity Volume Data'!AG271*'Equity Price Data'!AJ272</f>
        <v>12481.65</v>
      </c>
      <c r="AE271" s="30">
        <f>'Equity Volume Data'!AH271*'Equity Price Data'!AK272</f>
        <v>0</v>
      </c>
      <c r="AF271" s="30">
        <f>'Equity Volume Data'!AI271*'Equity Price Data'!AL272</f>
        <v>22568.45</v>
      </c>
      <c r="AG271" s="30">
        <f>'Equity Volume Data'!AJ271*'Equity Price Data'!AM272</f>
        <v>36892.2</v>
      </c>
      <c r="AH271" s="30">
        <f>'Equity Volume Data'!AK271*'Equity Price Data'!AN272</f>
        <v>36791</v>
      </c>
      <c r="AI271" s="30">
        <f>'Equity Volume Data'!AL271*'Equity Price Data'!AO272</f>
        <v>24515.75</v>
      </c>
      <c r="AJ271" s="30">
        <f>'Equity Volume Data'!AM271*'Equity Price Data'!AP272</f>
        <v>22818.9</v>
      </c>
      <c r="AK271" s="30">
        <f>'Equity Volume Data'!AN271*'Equity Price Data'!AQ272</f>
        <v>24891.2</v>
      </c>
      <c r="AL271" s="30">
        <f>'Equity Volume Data'!AO271*'Equity Price Data'!AR272</f>
        <v>42976</v>
      </c>
      <c r="AM271" s="30">
        <f>'Equity Volume Data'!AP271*'Equity Price Data'!AS272</f>
        <v>33383</v>
      </c>
      <c r="AN271" s="30">
        <f>'Equity Volume Data'!AQ271*'Equity Price Data'!AT272</f>
        <v>0</v>
      </c>
      <c r="AO271" s="30">
        <f>'Equity Volume Data'!AR271*'Equity Price Data'!AU272</f>
        <v>27370.7</v>
      </c>
      <c r="AP271" s="30">
        <f>'Equity Volume Data'!AS271*'Equity Price Data'!AV272</f>
        <v>21990</v>
      </c>
      <c r="AQ271" s="30">
        <f>'Equity Volume Data'!AT271*'Equity Price Data'!AW272</f>
        <v>17474.6</v>
      </c>
      <c r="AR271" s="30">
        <f>'Equity Volume Data'!AU271*'Equity Price Data'!AX272</f>
        <v>11518.29</v>
      </c>
      <c r="AS271" s="30">
        <f>'Equity Volume Data'!AV271*'Equity Price Data'!AY272</f>
        <v>56510.4</v>
      </c>
      <c r="AT271" s="30">
        <f>'Equity Volume Data'!AW271*'Equity Price Data'!AZ272</f>
        <v>14562</v>
      </c>
      <c r="AU271" s="30">
        <f>'Equity Volume Data'!AX271*'Equity Price Data'!BA272</f>
        <v>0</v>
      </c>
      <c r="AV271" s="30">
        <f>'Equity Volume Data'!AY271*'Equity Price Data'!BB272</f>
        <v>20442.32</v>
      </c>
      <c r="AW271" s="30">
        <f>'Equity Volume Data'!AZ271*'Equity Price Data'!BC272</f>
        <v>3812.8</v>
      </c>
      <c r="AX271" s="30">
        <f>'Equity Volume Data'!BA271*'Equity Price Data'!BD272</f>
        <v>0</v>
      </c>
      <c r="AY271" s="30">
        <f>'Equity Volume Data'!BB271*'Equity Price Data'!BE272</f>
        <v>53389.62</v>
      </c>
      <c r="AZ271" s="30">
        <f>'Equity Volume Data'!BC271*'Equity Price Data'!BF272</f>
        <v>11214</v>
      </c>
      <c r="BA271" s="30">
        <f>'Equity Volume Data'!BD271*'Equity Price Data'!BG272</f>
        <v>4617</v>
      </c>
      <c r="BB271" s="30">
        <f>'Equity Volume Data'!BE271*'Equity Price Data'!BH272</f>
        <v>11081.6</v>
      </c>
      <c r="BC271" s="30">
        <f>'Equity Volume Data'!BF271*'Equity Price Data'!BI272</f>
        <v>13769.44</v>
      </c>
      <c r="BD271" s="30">
        <f>'Equity Volume Data'!BG271*'Equity Price Data'!BJ272</f>
        <v>50476.74</v>
      </c>
      <c r="BE271" s="30">
        <f>'Equity Volume Data'!BH271*'Equity Price Data'!BK272</f>
        <v>9534.42</v>
      </c>
      <c r="BF271" s="30">
        <f>'Equity Volume Data'!BI271*'Equity Price Data'!BL272</f>
        <v>7410</v>
      </c>
      <c r="BG271" s="30">
        <f>'Equity Volume Data'!BJ271*'Equity Price Data'!BM272</f>
        <v>39159.08</v>
      </c>
      <c r="BH271" s="30">
        <f>'Equity Volume Data'!BK271*'Equity Price Data'!BN272</f>
        <v>0</v>
      </c>
      <c r="BI271" s="30">
        <f>'Equity Volume Data'!BL271*'Equity Price Data'!BO272</f>
        <v>36256</v>
      </c>
      <c r="BJ271" s="30">
        <f>'Equity Volume Data'!BM271*'Equity Price Data'!BP272</f>
        <v>22784.25</v>
      </c>
      <c r="BK271" s="30">
        <f>'Equity Volume Data'!BN271*'Equity Price Data'!BQ272</f>
        <v>89847.72</v>
      </c>
      <c r="BL271" s="30">
        <f>'Equity Volume Data'!BO271*'Equity Price Data'!BR272</f>
        <v>424.88</v>
      </c>
      <c r="BM271" s="30">
        <f>'Equity Volume Data'!BP271*'Equity Price Data'!BS272</f>
        <v>11231.52</v>
      </c>
      <c r="BN271" s="30">
        <f>'Equity Volume Data'!BQ271*'Equity Price Data'!BT272</f>
        <v>22321.24</v>
      </c>
      <c r="BO271" s="30">
        <f>'Equity Volume Data'!BR271*'Equity Price Data'!BU272</f>
        <v>28381</v>
      </c>
    </row>
    <row r="272">
      <c r="A272" s="25">
        <f>'Equity Price Data'!A273</f>
        <v>45819.66667</v>
      </c>
      <c r="B272" s="29">
        <f t="shared" si="1"/>
        <v>1372638.36</v>
      </c>
      <c r="C272" s="30">
        <f>'Equity Volume Data'!F272*'Equity Price Data'!I273</f>
        <v>5366.92</v>
      </c>
      <c r="D272" s="30">
        <f>'Equity Volume Data'!G272*'Equity Price Data'!J273</f>
        <v>55432</v>
      </c>
      <c r="E272" s="30">
        <f>'Equity Volume Data'!H272*'Equity Price Data'!K273</f>
        <v>15467.1</v>
      </c>
      <c r="F272" s="30">
        <f>'Equity Volume Data'!I272*'Equity Price Data'!L273</f>
        <v>50887.68</v>
      </c>
      <c r="G272" s="30">
        <f>'Equity Volume Data'!J272*'Equity Price Data'!M273</f>
        <v>14341.57</v>
      </c>
      <c r="H272" s="30">
        <f>'Equity Volume Data'!K272*'Equity Price Data'!N273</f>
        <v>16837.28</v>
      </c>
      <c r="I272" s="30">
        <f>'Equity Volume Data'!L272*'Equity Price Data'!O273</f>
        <v>17550</v>
      </c>
      <c r="J272" s="30">
        <f>'Equity Volume Data'!M272*'Equity Price Data'!P273</f>
        <v>49790.28</v>
      </c>
      <c r="K272" s="30">
        <f>'Equity Volume Data'!N272*'Equity Price Data'!Q273</f>
        <v>10122</v>
      </c>
      <c r="L272" s="30">
        <f>'Equity Volume Data'!O272*'Equity Price Data'!R273</f>
        <v>16100.26</v>
      </c>
      <c r="M272" s="30">
        <f>'Equity Volume Data'!P272*'Equity Price Data'!S273</f>
        <v>0</v>
      </c>
      <c r="N272" s="30">
        <f>'Equity Volume Data'!Q272*'Equity Price Data'!T273</f>
        <v>5798.4</v>
      </c>
      <c r="O272" s="30">
        <f>'Equity Volume Data'!R272*'Equity Price Data'!U273</f>
        <v>54471</v>
      </c>
      <c r="P272" s="30">
        <f>'Equity Volume Data'!S272*'Equity Price Data'!V273</f>
        <v>27659.61</v>
      </c>
      <c r="Q272" s="30">
        <f>'Equity Volume Data'!T272*'Equity Price Data'!W273</f>
        <v>26720.4</v>
      </c>
      <c r="R272" s="30">
        <f>'Equity Volume Data'!U272*'Equity Price Data'!X273</f>
        <v>11582.4</v>
      </c>
      <c r="S272" s="30">
        <f>'Equity Volume Data'!V272*'Equity Price Data'!Y273</f>
        <v>27297.6</v>
      </c>
      <c r="T272" s="30">
        <f>'Equity Volume Data'!W272*'Equity Price Data'!Z273</f>
        <v>10350</v>
      </c>
      <c r="U272" s="30">
        <f>'Equity Volume Data'!X272*'Equity Price Data'!AA273</f>
        <v>19026.48</v>
      </c>
      <c r="V272" s="30">
        <f>'Equity Volume Data'!Y272*'Equity Price Data'!AB273</f>
        <v>16510.55</v>
      </c>
      <c r="W272" s="30">
        <f>'Equity Volume Data'!Z272*'Equity Price Data'!AC273</f>
        <v>12132.96</v>
      </c>
      <c r="X272" s="30">
        <f>'Equity Volume Data'!AA272*'Equity Price Data'!AD273</f>
        <v>0</v>
      </c>
      <c r="Y272" s="30">
        <f>'Equity Volume Data'!AB272*'Equity Price Data'!AE273</f>
        <v>5809.7</v>
      </c>
      <c r="Z272" s="30">
        <f>'Equity Volume Data'!AC272*'Equity Price Data'!AF273</f>
        <v>11682</v>
      </c>
      <c r="AA272" s="30">
        <f>'Equity Volume Data'!AD272*'Equity Price Data'!AG273</f>
        <v>18582.7</v>
      </c>
      <c r="AB272" s="30">
        <f>'Equity Volume Data'!AE272*'Equity Price Data'!AH273</f>
        <v>13440</v>
      </c>
      <c r="AC272" s="30">
        <f>'Equity Volume Data'!AF272*'Equity Price Data'!AI273</f>
        <v>19295.6</v>
      </c>
      <c r="AD272" s="30">
        <f>'Equity Volume Data'!AG272*'Equity Price Data'!AJ273</f>
        <v>12412.35</v>
      </c>
      <c r="AE272" s="30">
        <f>'Equity Volume Data'!AH272*'Equity Price Data'!AK273</f>
        <v>0</v>
      </c>
      <c r="AF272" s="30">
        <f>'Equity Volume Data'!AI272*'Equity Price Data'!AL273</f>
        <v>22406.5</v>
      </c>
      <c r="AG272" s="30">
        <f>'Equity Volume Data'!AJ272*'Equity Price Data'!AM273</f>
        <v>37450.2</v>
      </c>
      <c r="AH272" s="30">
        <f>'Equity Volume Data'!AK272*'Equity Price Data'!AN273</f>
        <v>36046</v>
      </c>
      <c r="AI272" s="30">
        <f>'Equity Volume Data'!AL272*'Equity Price Data'!AO273</f>
        <v>23618</v>
      </c>
      <c r="AJ272" s="30">
        <f>'Equity Volume Data'!AM272*'Equity Price Data'!AP273</f>
        <v>23075</v>
      </c>
      <c r="AK272" s="30">
        <f>'Equity Volume Data'!AN272*'Equity Price Data'!AQ273</f>
        <v>24553.27</v>
      </c>
      <c r="AL272" s="30">
        <f>'Equity Volume Data'!AO272*'Equity Price Data'!AR273</f>
        <v>42904</v>
      </c>
      <c r="AM272" s="30">
        <f>'Equity Volume Data'!AP272*'Equity Price Data'!AS273</f>
        <v>31962</v>
      </c>
      <c r="AN272" s="30">
        <f>'Equity Volume Data'!AQ272*'Equity Price Data'!AT273</f>
        <v>0</v>
      </c>
      <c r="AO272" s="30">
        <f>'Equity Volume Data'!AR272*'Equity Price Data'!AU273</f>
        <v>27336.54</v>
      </c>
      <c r="AP272" s="30">
        <f>'Equity Volume Data'!AS272*'Equity Price Data'!AV273</f>
        <v>22015</v>
      </c>
      <c r="AQ272" s="30">
        <f>'Equity Volume Data'!AT272*'Equity Price Data'!AW273</f>
        <v>17360.2</v>
      </c>
      <c r="AR272" s="30">
        <f>'Equity Volume Data'!AU272*'Equity Price Data'!AX273</f>
        <v>10845.72</v>
      </c>
      <c r="AS272" s="30">
        <f>'Equity Volume Data'!AV272*'Equity Price Data'!AY273</f>
        <v>56714.4</v>
      </c>
      <c r="AT272" s="30">
        <f>'Equity Volume Data'!AW272*'Equity Price Data'!AZ273</f>
        <v>14600</v>
      </c>
      <c r="AU272" s="30">
        <f>'Equity Volume Data'!AX272*'Equity Price Data'!BA273</f>
        <v>0</v>
      </c>
      <c r="AV272" s="30">
        <f>'Equity Volume Data'!AY272*'Equity Price Data'!BB273</f>
        <v>20281.86</v>
      </c>
      <c r="AW272" s="30">
        <f>'Equity Volume Data'!AZ272*'Equity Price Data'!BC273</f>
        <v>3816</v>
      </c>
      <c r="AX272" s="30">
        <f>'Equity Volume Data'!BA272*'Equity Price Data'!BD273</f>
        <v>0</v>
      </c>
      <c r="AY272" s="30">
        <f>'Equity Volume Data'!BB272*'Equity Price Data'!BE273</f>
        <v>54828.78</v>
      </c>
      <c r="AZ272" s="30">
        <f>'Equity Volume Data'!BC272*'Equity Price Data'!BF273</f>
        <v>11191.5</v>
      </c>
      <c r="BA272" s="30">
        <f>'Equity Volume Data'!BD272*'Equity Price Data'!BG273</f>
        <v>4651.2</v>
      </c>
      <c r="BB272" s="30">
        <f>'Equity Volume Data'!BE272*'Equity Price Data'!BH273</f>
        <v>11344.8</v>
      </c>
      <c r="BC272" s="30">
        <f>'Equity Volume Data'!BF272*'Equity Price Data'!BI273</f>
        <v>13379.12</v>
      </c>
      <c r="BD272" s="30">
        <f>'Equity Volume Data'!BG272*'Equity Price Data'!BJ273</f>
        <v>49190.22</v>
      </c>
      <c r="BE272" s="30">
        <f>'Equity Volume Data'!BH272*'Equity Price Data'!BK273</f>
        <v>9548.45</v>
      </c>
      <c r="BF272" s="30">
        <f>'Equity Volume Data'!BI272*'Equity Price Data'!BL273</f>
        <v>7304.4</v>
      </c>
      <c r="BG272" s="30">
        <f>'Equity Volume Data'!BJ272*'Equity Price Data'!BM273</f>
        <v>39720.64</v>
      </c>
      <c r="BH272" s="30">
        <f>'Equity Volume Data'!BK272*'Equity Price Data'!BN273</f>
        <v>0</v>
      </c>
      <c r="BI272" s="30">
        <f>'Equity Volume Data'!BL272*'Equity Price Data'!BO273</f>
        <v>36115.2</v>
      </c>
      <c r="BJ272" s="30">
        <f>'Equity Volume Data'!BM272*'Equity Price Data'!BP273</f>
        <v>23292</v>
      </c>
      <c r="BK272" s="30">
        <f>'Equity Volume Data'!BN272*'Equity Price Data'!BQ273</f>
        <v>89901.78</v>
      </c>
      <c r="BL272" s="30">
        <f>'Equity Volume Data'!BO272*'Equity Price Data'!BR273</f>
        <v>422.06</v>
      </c>
      <c r="BM272" s="30">
        <f>'Equity Volume Data'!BP272*'Equity Price Data'!BS273</f>
        <v>11245.92</v>
      </c>
      <c r="BN272" s="30">
        <f>'Equity Volume Data'!BQ272*'Equity Price Data'!BT273</f>
        <v>22469.76</v>
      </c>
      <c r="BO272" s="30">
        <f>'Equity Volume Data'!BR272*'Equity Price Data'!BU273</f>
        <v>28381</v>
      </c>
    </row>
    <row r="273">
      <c r="A273" s="25">
        <f>'Equity Price Data'!A274</f>
        <v>45820.66667</v>
      </c>
      <c r="B273" s="29">
        <f t="shared" si="1"/>
        <v>1378132.02</v>
      </c>
      <c r="C273" s="30">
        <f>'Equity Volume Data'!F273*'Equity Price Data'!I274</f>
        <v>5377.84</v>
      </c>
      <c r="D273" s="30">
        <f>'Equity Volume Data'!G273*'Equity Price Data'!J274</f>
        <v>55442.4</v>
      </c>
      <c r="E273" s="30">
        <f>'Equity Volume Data'!H273*'Equity Price Data'!K274</f>
        <v>15545.2</v>
      </c>
      <c r="F273" s="30">
        <f>'Equity Volume Data'!I273*'Equity Price Data'!L274</f>
        <v>50995.2</v>
      </c>
      <c r="G273" s="30">
        <f>'Equity Volume Data'!J273*'Equity Price Data'!M274</f>
        <v>14525</v>
      </c>
      <c r="H273" s="30">
        <f>'Equity Volume Data'!K273*'Equity Price Data'!N274</f>
        <v>16865.48</v>
      </c>
      <c r="I273" s="30">
        <f>'Equity Volume Data'!L273*'Equity Price Data'!O274</f>
        <v>17760</v>
      </c>
      <c r="J273" s="30">
        <f>'Equity Volume Data'!M273*'Equity Price Data'!P274</f>
        <v>50014.68</v>
      </c>
      <c r="K273" s="30">
        <f>'Equity Volume Data'!N273*'Equity Price Data'!Q274</f>
        <v>9962</v>
      </c>
      <c r="L273" s="30">
        <f>'Equity Volume Data'!O273*'Equity Price Data'!R274</f>
        <v>16009.51</v>
      </c>
      <c r="M273" s="30">
        <f>'Equity Volume Data'!P273*'Equity Price Data'!S274</f>
        <v>0</v>
      </c>
      <c r="N273" s="30">
        <f>'Equity Volume Data'!Q273*'Equity Price Data'!T274</f>
        <v>5798.4</v>
      </c>
      <c r="O273" s="30">
        <f>'Equity Volume Data'!R273*'Equity Price Data'!U274</f>
        <v>54144</v>
      </c>
      <c r="P273" s="30">
        <f>'Equity Volume Data'!S273*'Equity Price Data'!V274</f>
        <v>27580.38</v>
      </c>
      <c r="Q273" s="30">
        <f>'Equity Volume Data'!T273*'Equity Price Data'!W274</f>
        <v>26754</v>
      </c>
      <c r="R273" s="30">
        <f>'Equity Volume Data'!U273*'Equity Price Data'!X274</f>
        <v>11597.6</v>
      </c>
      <c r="S273" s="30">
        <f>'Equity Volume Data'!V273*'Equity Price Data'!Y274</f>
        <v>27752.56</v>
      </c>
      <c r="T273" s="30">
        <f>'Equity Volume Data'!W273*'Equity Price Data'!Z274</f>
        <v>10292.5</v>
      </c>
      <c r="U273" s="30">
        <f>'Equity Volume Data'!X273*'Equity Price Data'!AA274</f>
        <v>19071.36</v>
      </c>
      <c r="V273" s="30">
        <f>'Equity Volume Data'!Y273*'Equity Price Data'!AB274</f>
        <v>16705.36</v>
      </c>
      <c r="W273" s="30">
        <f>'Equity Volume Data'!Z273*'Equity Price Data'!AC274</f>
        <v>12180.57</v>
      </c>
      <c r="X273" s="30">
        <f>'Equity Volume Data'!AA273*'Equity Price Data'!AD274</f>
        <v>0</v>
      </c>
      <c r="Y273" s="30">
        <f>'Equity Volume Data'!AB273*'Equity Price Data'!AE274</f>
        <v>5863</v>
      </c>
      <c r="Z273" s="30">
        <f>'Equity Volume Data'!AC273*'Equity Price Data'!AF274</f>
        <v>11616</v>
      </c>
      <c r="AA273" s="30">
        <f>'Equity Volume Data'!AD273*'Equity Price Data'!AG274</f>
        <v>18654.1</v>
      </c>
      <c r="AB273" s="30">
        <f>'Equity Volume Data'!AE273*'Equity Price Data'!AH274</f>
        <v>13500</v>
      </c>
      <c r="AC273" s="30">
        <f>'Equity Volume Data'!AF273*'Equity Price Data'!AI274</f>
        <v>18906.4</v>
      </c>
      <c r="AD273" s="30">
        <f>'Equity Volume Data'!AG273*'Equity Price Data'!AJ274</f>
        <v>12596.85</v>
      </c>
      <c r="AE273" s="30">
        <f>'Equity Volume Data'!AH273*'Equity Price Data'!AK274</f>
        <v>0</v>
      </c>
      <c r="AF273" s="30">
        <f>'Equity Volume Data'!AI273*'Equity Price Data'!AL274</f>
        <v>22970.25</v>
      </c>
      <c r="AG273" s="30">
        <f>'Equity Volume Data'!AJ273*'Equity Price Data'!AM274</f>
        <v>37506.6</v>
      </c>
      <c r="AH273" s="30">
        <f>'Equity Volume Data'!AK273*'Equity Price Data'!AN274</f>
        <v>36316</v>
      </c>
      <c r="AI273" s="30">
        <f>'Equity Volume Data'!AL273*'Equity Price Data'!AO274</f>
        <v>23898</v>
      </c>
      <c r="AJ273" s="30">
        <f>'Equity Volume Data'!AM273*'Equity Price Data'!AP274</f>
        <v>23280.4</v>
      </c>
      <c r="AK273" s="30">
        <f>'Equity Volume Data'!AN273*'Equity Price Data'!AQ274</f>
        <v>24111</v>
      </c>
      <c r="AL273" s="30">
        <f>'Equity Volume Data'!AO273*'Equity Price Data'!AR274</f>
        <v>42918.4</v>
      </c>
      <c r="AM273" s="30">
        <f>'Equity Volume Data'!AP273*'Equity Price Data'!AS274</f>
        <v>32848.9</v>
      </c>
      <c r="AN273" s="30">
        <f>'Equity Volume Data'!AQ273*'Equity Price Data'!AT274</f>
        <v>0</v>
      </c>
      <c r="AO273" s="30">
        <f>'Equity Volume Data'!AR273*'Equity Price Data'!AU274</f>
        <v>27447.56</v>
      </c>
      <c r="AP273" s="30">
        <f>'Equity Volume Data'!AS273*'Equity Price Data'!AV274</f>
        <v>22122.5</v>
      </c>
      <c r="AQ273" s="30">
        <f>'Equity Volume Data'!AT273*'Equity Price Data'!AW274</f>
        <v>17377.8</v>
      </c>
      <c r="AR273" s="30">
        <f>'Equity Volume Data'!AU273*'Equity Price Data'!AX274</f>
        <v>12351.6</v>
      </c>
      <c r="AS273" s="30">
        <f>'Equity Volume Data'!AV273*'Equity Price Data'!AY274</f>
        <v>57464.4</v>
      </c>
      <c r="AT273" s="30">
        <f>'Equity Volume Data'!AW273*'Equity Price Data'!AZ274</f>
        <v>14768</v>
      </c>
      <c r="AU273" s="30">
        <f>'Equity Volume Data'!AX273*'Equity Price Data'!BA274</f>
        <v>0</v>
      </c>
      <c r="AV273" s="30">
        <f>'Equity Volume Data'!AY273*'Equity Price Data'!BB274</f>
        <v>20590</v>
      </c>
      <c r="AW273" s="30">
        <f>'Equity Volume Data'!AZ273*'Equity Price Data'!BC274</f>
        <v>3878</v>
      </c>
      <c r="AX273" s="30">
        <f>'Equity Volume Data'!BA273*'Equity Price Data'!BD274</f>
        <v>0</v>
      </c>
      <c r="AY273" s="30">
        <f>'Equity Volume Data'!BB273*'Equity Price Data'!BE274</f>
        <v>54346.38</v>
      </c>
      <c r="AZ273" s="30">
        <f>'Equity Volume Data'!BC273*'Equity Price Data'!BF274</f>
        <v>11221.5</v>
      </c>
      <c r="BA273" s="30">
        <f>'Equity Volume Data'!BD273*'Equity Price Data'!BG274</f>
        <v>4719.6</v>
      </c>
      <c r="BB273" s="30">
        <f>'Equity Volume Data'!BE273*'Equity Price Data'!BH274</f>
        <v>11278.4</v>
      </c>
      <c r="BC273" s="30">
        <f>'Equity Volume Data'!BF273*'Equity Price Data'!BI274</f>
        <v>13484.08</v>
      </c>
      <c r="BD273" s="30">
        <f>'Equity Volume Data'!BG273*'Equity Price Data'!BJ274</f>
        <v>48713.1</v>
      </c>
      <c r="BE273" s="30">
        <f>'Equity Volume Data'!BH273*'Equity Price Data'!BK274</f>
        <v>9552.59</v>
      </c>
      <c r="BF273" s="30">
        <f>'Equity Volume Data'!BI273*'Equity Price Data'!BL274</f>
        <v>7279.6</v>
      </c>
      <c r="BG273" s="30">
        <f>'Equity Volume Data'!BJ273*'Equity Price Data'!BM274</f>
        <v>39765.12</v>
      </c>
      <c r="BH273" s="30">
        <f>'Equity Volume Data'!BK273*'Equity Price Data'!BN274</f>
        <v>0</v>
      </c>
      <c r="BI273" s="30">
        <f>'Equity Volume Data'!BL273*'Equity Price Data'!BO274</f>
        <v>36078.4</v>
      </c>
      <c r="BJ273" s="30">
        <f>'Equity Volume Data'!BM273*'Equity Price Data'!BP274</f>
        <v>23887.5</v>
      </c>
      <c r="BK273" s="30">
        <f>'Equity Volume Data'!BN273*'Equity Price Data'!BQ274</f>
        <v>89955.84</v>
      </c>
      <c r="BL273" s="30">
        <f>'Equity Volume Data'!BO273*'Equity Price Data'!BR274</f>
        <v>427.23</v>
      </c>
      <c r="BM273" s="30">
        <f>'Equity Volume Data'!BP273*'Equity Price Data'!BS274</f>
        <v>11383.2</v>
      </c>
      <c r="BN273" s="30">
        <f>'Equity Volume Data'!BQ273*'Equity Price Data'!BT274</f>
        <v>22298.68</v>
      </c>
      <c r="BO273" s="30">
        <f>'Equity Volume Data'!BR273*'Equity Price Data'!BU274</f>
        <v>28381</v>
      </c>
    </row>
    <row r="274">
      <c r="A274" s="25">
        <f>'Equity Price Data'!A275</f>
        <v>45821.66667</v>
      </c>
      <c r="B274" s="29">
        <f t="shared" si="1"/>
        <v>1369562.1</v>
      </c>
      <c r="C274" s="30">
        <f>'Equity Volume Data'!F274*'Equity Price Data'!I275</f>
        <v>5091.84</v>
      </c>
      <c r="D274" s="30">
        <f>'Equity Volume Data'!G274*'Equity Price Data'!J275</f>
        <v>55146</v>
      </c>
      <c r="E274" s="30">
        <f>'Equity Volume Data'!H274*'Equity Price Data'!K275</f>
        <v>15558.4</v>
      </c>
      <c r="F274" s="30">
        <f>'Equity Volume Data'!I274*'Equity Price Data'!L275</f>
        <v>50291.2</v>
      </c>
      <c r="G274" s="30">
        <f>'Equity Volume Data'!J274*'Equity Price Data'!M275</f>
        <v>14158.97</v>
      </c>
      <c r="H274" s="30">
        <f>'Equity Volume Data'!K274*'Equity Price Data'!N275</f>
        <v>16656.8</v>
      </c>
      <c r="I274" s="30">
        <f>'Equity Volume Data'!L274*'Equity Price Data'!O275</f>
        <v>17380</v>
      </c>
      <c r="J274" s="30">
        <f>'Equity Volume Data'!M274*'Equity Price Data'!P275</f>
        <v>49729.08</v>
      </c>
      <c r="K274" s="30">
        <f>'Equity Volume Data'!N274*'Equity Price Data'!Q275</f>
        <v>9710</v>
      </c>
      <c r="L274" s="30">
        <f>'Equity Volume Data'!O274*'Equity Price Data'!R275</f>
        <v>15808.65</v>
      </c>
      <c r="M274" s="30">
        <f>'Equity Volume Data'!P274*'Equity Price Data'!S275</f>
        <v>0</v>
      </c>
      <c r="N274" s="30">
        <f>'Equity Volume Data'!Q274*'Equity Price Data'!T275</f>
        <v>5699.2</v>
      </c>
      <c r="O274" s="30">
        <f>'Equity Volume Data'!R274*'Equity Price Data'!U275</f>
        <v>53557.5</v>
      </c>
      <c r="P274" s="30">
        <f>'Equity Volume Data'!S274*'Equity Price Data'!V275</f>
        <v>27797.22</v>
      </c>
      <c r="Q274" s="30">
        <f>'Equity Volume Data'!T274*'Equity Price Data'!W275</f>
        <v>26271.6</v>
      </c>
      <c r="R274" s="30">
        <f>'Equity Volume Data'!U274*'Equity Price Data'!X275</f>
        <v>11672.8</v>
      </c>
      <c r="S274" s="30">
        <f>'Equity Volume Data'!V274*'Equity Price Data'!Y275</f>
        <v>27931.2</v>
      </c>
      <c r="T274" s="30">
        <f>'Equity Volume Data'!W274*'Equity Price Data'!Z275</f>
        <v>10082.5</v>
      </c>
      <c r="U274" s="30">
        <f>'Equity Volume Data'!X274*'Equity Price Data'!AA275</f>
        <v>18749.28</v>
      </c>
      <c r="V274" s="30">
        <f>'Equity Volume Data'!Y274*'Equity Price Data'!AB275</f>
        <v>16737.56</v>
      </c>
      <c r="W274" s="30">
        <f>'Equity Volume Data'!Z274*'Equity Price Data'!AC275</f>
        <v>12038.43</v>
      </c>
      <c r="X274" s="30">
        <f>'Equity Volume Data'!AA274*'Equity Price Data'!AD275</f>
        <v>0</v>
      </c>
      <c r="Y274" s="30">
        <f>'Equity Volume Data'!AB274*'Equity Price Data'!AE275</f>
        <v>5877.95</v>
      </c>
      <c r="Z274" s="30">
        <f>'Equity Volume Data'!AC274*'Equity Price Data'!AF275</f>
        <v>11604</v>
      </c>
      <c r="AA274" s="30">
        <f>'Equity Volume Data'!AD274*'Equity Price Data'!AG275</f>
        <v>19060.4</v>
      </c>
      <c r="AB274" s="30">
        <f>'Equity Volume Data'!AE274*'Equity Price Data'!AH275</f>
        <v>13462.8</v>
      </c>
      <c r="AC274" s="30">
        <f>'Equity Volume Data'!AF274*'Equity Price Data'!AI275</f>
        <v>18537.6</v>
      </c>
      <c r="AD274" s="30">
        <f>'Equity Volume Data'!AG274*'Equity Price Data'!AJ275</f>
        <v>12735</v>
      </c>
      <c r="AE274" s="30">
        <f>'Equity Volume Data'!AH274*'Equity Price Data'!AK275</f>
        <v>0</v>
      </c>
      <c r="AF274" s="30">
        <f>'Equity Volume Data'!AI274*'Equity Price Data'!AL275</f>
        <v>22545.9</v>
      </c>
      <c r="AG274" s="30">
        <f>'Equity Volume Data'!AJ274*'Equity Price Data'!AM275</f>
        <v>36812.4</v>
      </c>
      <c r="AH274" s="30">
        <f>'Equity Volume Data'!AK274*'Equity Price Data'!AN275</f>
        <v>35466</v>
      </c>
      <c r="AI274" s="30">
        <f>'Equity Volume Data'!AL274*'Equity Price Data'!AO275</f>
        <v>23572.5</v>
      </c>
      <c r="AJ274" s="30">
        <f>'Equity Volume Data'!AM274*'Equity Price Data'!AP275</f>
        <v>23197.2</v>
      </c>
      <c r="AK274" s="30">
        <f>'Equity Volume Data'!AN274*'Equity Price Data'!AQ275</f>
        <v>24072.46</v>
      </c>
      <c r="AL274" s="30">
        <f>'Equity Volume Data'!AO274*'Equity Price Data'!AR275</f>
        <v>42392</v>
      </c>
      <c r="AM274" s="30">
        <f>'Equity Volume Data'!AP274*'Equity Price Data'!AS275</f>
        <v>34051.5</v>
      </c>
      <c r="AN274" s="30">
        <f>'Equity Volume Data'!AQ274*'Equity Price Data'!AT275</f>
        <v>0</v>
      </c>
      <c r="AO274" s="30">
        <f>'Equity Volume Data'!AR274*'Equity Price Data'!AU275</f>
        <v>26627.72</v>
      </c>
      <c r="AP274" s="30">
        <f>'Equity Volume Data'!AS274*'Equity Price Data'!AV275</f>
        <v>21817.5</v>
      </c>
      <c r="AQ274" s="30">
        <f>'Equity Volume Data'!AT274*'Equity Price Data'!AW275</f>
        <v>17017</v>
      </c>
      <c r="AR274" s="30">
        <f>'Equity Volume Data'!AU274*'Equity Price Data'!AX275</f>
        <v>12922.65</v>
      </c>
      <c r="AS274" s="30">
        <f>'Equity Volume Data'!AV274*'Equity Price Data'!AY275</f>
        <v>56995.2</v>
      </c>
      <c r="AT274" s="30">
        <f>'Equity Volume Data'!AW274*'Equity Price Data'!AZ275</f>
        <v>14956</v>
      </c>
      <c r="AU274" s="30">
        <f>'Equity Volume Data'!AX274*'Equity Price Data'!BA275</f>
        <v>0</v>
      </c>
      <c r="AV274" s="30">
        <f>'Equity Volume Data'!AY274*'Equity Price Data'!BB275</f>
        <v>20159.74</v>
      </c>
      <c r="AW274" s="30">
        <f>'Equity Volume Data'!AZ274*'Equity Price Data'!BC275</f>
        <v>3832.8</v>
      </c>
      <c r="AX274" s="30">
        <f>'Equity Volume Data'!BA274*'Equity Price Data'!BD275</f>
        <v>0</v>
      </c>
      <c r="AY274" s="30">
        <f>'Equity Volume Data'!BB274*'Equity Price Data'!BE275</f>
        <v>55234.8</v>
      </c>
      <c r="AZ274" s="30">
        <f>'Equity Volume Data'!BC274*'Equity Price Data'!BF275</f>
        <v>10624.5</v>
      </c>
      <c r="BA274" s="30">
        <f>'Equity Volume Data'!BD274*'Equity Price Data'!BG275</f>
        <v>4662.6</v>
      </c>
      <c r="BB274" s="30">
        <f>'Equity Volume Data'!BE274*'Equity Price Data'!BH275</f>
        <v>11655.2</v>
      </c>
      <c r="BC274" s="30">
        <f>'Equity Volume Data'!BF274*'Equity Price Data'!BI275</f>
        <v>13313.52</v>
      </c>
      <c r="BD274" s="30">
        <f>'Equity Volume Data'!BG274*'Equity Price Data'!BJ275</f>
        <v>48564</v>
      </c>
      <c r="BE274" s="30">
        <f>'Equity Volume Data'!BH274*'Equity Price Data'!BK275</f>
        <v>9263.48</v>
      </c>
      <c r="BF274" s="30">
        <f>'Equity Volume Data'!BI274*'Equity Price Data'!BL275</f>
        <v>7150</v>
      </c>
      <c r="BG274" s="30">
        <f>'Equity Volume Data'!BJ274*'Equity Price Data'!BM275</f>
        <v>39720.64</v>
      </c>
      <c r="BH274" s="30">
        <f>'Equity Volume Data'!BK274*'Equity Price Data'!BN275</f>
        <v>0</v>
      </c>
      <c r="BI274" s="30">
        <f>'Equity Volume Data'!BL274*'Equity Price Data'!BO275</f>
        <v>35739.2</v>
      </c>
      <c r="BJ274" s="30">
        <f>'Equity Volume Data'!BM274*'Equity Price Data'!BP275</f>
        <v>23514.75</v>
      </c>
      <c r="BK274" s="30">
        <f>'Equity Volume Data'!BN274*'Equity Price Data'!BQ275</f>
        <v>90009.9</v>
      </c>
      <c r="BL274" s="30">
        <f>'Equity Volume Data'!BO274*'Equity Price Data'!BR275</f>
        <v>419.24</v>
      </c>
      <c r="BM274" s="30">
        <f>'Equity Volume Data'!BP274*'Equity Price Data'!BS275</f>
        <v>11352</v>
      </c>
      <c r="BN274" s="30">
        <f>'Equity Volume Data'!BQ274*'Equity Price Data'!BT275</f>
        <v>22172.72</v>
      </c>
      <c r="BO274" s="30">
        <f>'Equity Volume Data'!BR274*'Equity Price Data'!BU275</f>
        <v>28381</v>
      </c>
    </row>
    <row r="275">
      <c r="A275" s="25">
        <f>'Equity Price Data'!A276</f>
        <v>45824.66667</v>
      </c>
      <c r="B275" s="29">
        <f t="shared" si="1"/>
        <v>1380448.66</v>
      </c>
      <c r="C275" s="30">
        <f>'Equity Volume Data'!F275*'Equity Price Data'!I276</f>
        <v>5222.49</v>
      </c>
      <c r="D275" s="30">
        <f>'Equity Volume Data'!G275*'Equity Price Data'!J276</f>
        <v>56186</v>
      </c>
      <c r="E275" s="30">
        <f>'Equity Volume Data'!H275*'Equity Price Data'!K276</f>
        <v>15451.7</v>
      </c>
      <c r="F275" s="30">
        <f>'Equity Volume Data'!I275*'Equity Price Data'!L276</f>
        <v>50795.52</v>
      </c>
      <c r="G275" s="30">
        <f>'Equity Volume Data'!J275*'Equity Price Data'!M276</f>
        <v>14653.65</v>
      </c>
      <c r="H275" s="30">
        <f>'Equity Volume Data'!K275*'Equity Price Data'!N276</f>
        <v>17012.12</v>
      </c>
      <c r="I275" s="30">
        <f>'Equity Volume Data'!L275*'Equity Price Data'!O276</f>
        <v>17730</v>
      </c>
      <c r="J275" s="30">
        <f>'Equity Volume Data'!M275*'Equity Price Data'!P276</f>
        <v>50003.46</v>
      </c>
      <c r="K275" s="30">
        <f>'Equity Volume Data'!N275*'Equity Price Data'!Q276</f>
        <v>9780</v>
      </c>
      <c r="L275" s="30">
        <f>'Equity Volume Data'!O275*'Equity Price Data'!R276</f>
        <v>15855.84</v>
      </c>
      <c r="M275" s="30">
        <f>'Equity Volume Data'!P275*'Equity Price Data'!S276</f>
        <v>0</v>
      </c>
      <c r="N275" s="30">
        <f>'Equity Volume Data'!Q275*'Equity Price Data'!T276</f>
        <v>5683.2</v>
      </c>
      <c r="O275" s="30">
        <f>'Equity Volume Data'!R275*'Equity Price Data'!U276</f>
        <v>54366</v>
      </c>
      <c r="P275" s="30">
        <f>'Equity Volume Data'!S275*'Equity Price Data'!V276</f>
        <v>28923.12</v>
      </c>
      <c r="Q275" s="30">
        <f>'Equity Volume Data'!T275*'Equity Price Data'!W276</f>
        <v>26546.4</v>
      </c>
      <c r="R275" s="30">
        <f>'Equity Volume Data'!U275*'Equity Price Data'!X276</f>
        <v>11682.4</v>
      </c>
      <c r="S275" s="30">
        <f>'Equity Volume Data'!V275*'Equity Price Data'!Y276</f>
        <v>27670.72</v>
      </c>
      <c r="T275" s="30">
        <f>'Equity Volume Data'!W275*'Equity Price Data'!Z276</f>
        <v>10252.5</v>
      </c>
      <c r="U275" s="30">
        <f>'Equity Volume Data'!X275*'Equity Price Data'!AA276</f>
        <v>18617.28</v>
      </c>
      <c r="V275" s="30">
        <f>'Equity Volume Data'!Y275*'Equity Price Data'!AB276</f>
        <v>16362.43</v>
      </c>
      <c r="W275" s="30">
        <f>'Equity Volume Data'!Z275*'Equity Price Data'!AC276</f>
        <v>12148.14</v>
      </c>
      <c r="X275" s="30">
        <f>'Equity Volume Data'!AA275*'Equity Price Data'!AD276</f>
        <v>0</v>
      </c>
      <c r="Y275" s="30">
        <f>'Equity Volume Data'!AB275*'Equity Price Data'!AE276</f>
        <v>5907.85</v>
      </c>
      <c r="Z275" s="30">
        <f>'Equity Volume Data'!AC275*'Equity Price Data'!AF276</f>
        <v>11656.5</v>
      </c>
      <c r="AA275" s="30">
        <f>'Equity Volume Data'!AD275*'Equity Price Data'!AG276</f>
        <v>19121.6</v>
      </c>
      <c r="AB275" s="30">
        <f>'Equity Volume Data'!AE275*'Equity Price Data'!AH276</f>
        <v>13606.2</v>
      </c>
      <c r="AC275" s="30">
        <f>'Equity Volume Data'!AF275*'Equity Price Data'!AI276</f>
        <v>18592.4</v>
      </c>
      <c r="AD275" s="30">
        <f>'Equity Volume Data'!AG275*'Equity Price Data'!AJ276</f>
        <v>12568.05</v>
      </c>
      <c r="AE275" s="30">
        <f>'Equity Volume Data'!AH275*'Equity Price Data'!AK276</f>
        <v>0</v>
      </c>
      <c r="AF275" s="30">
        <f>'Equity Volume Data'!AI275*'Equity Price Data'!AL276</f>
        <v>22720.15</v>
      </c>
      <c r="AG275" s="30">
        <f>'Equity Volume Data'!AJ275*'Equity Price Data'!AM276</f>
        <v>37671</v>
      </c>
      <c r="AH275" s="30">
        <f>'Equity Volume Data'!AK275*'Equity Price Data'!AN276</f>
        <v>35356</v>
      </c>
      <c r="AI275" s="30">
        <f>'Equity Volume Data'!AL275*'Equity Price Data'!AO276</f>
        <v>23696.75</v>
      </c>
      <c r="AJ275" s="30">
        <f>'Equity Volume Data'!AM275*'Equity Price Data'!AP276</f>
        <v>23374</v>
      </c>
      <c r="AK275" s="30">
        <f>'Equity Volume Data'!AN275*'Equity Price Data'!AQ276</f>
        <v>24394.88</v>
      </c>
      <c r="AL275" s="30">
        <f>'Equity Volume Data'!AO275*'Equity Price Data'!AR276</f>
        <v>43257.6</v>
      </c>
      <c r="AM275" s="30">
        <f>'Equity Volume Data'!AP275*'Equity Price Data'!AS276</f>
        <v>32694.2</v>
      </c>
      <c r="AN275" s="30">
        <f>'Equity Volume Data'!AQ275*'Equity Price Data'!AT276</f>
        <v>0</v>
      </c>
      <c r="AO275" s="30">
        <f>'Equity Volume Data'!AR275*'Equity Price Data'!AU276</f>
        <v>26670.42</v>
      </c>
      <c r="AP275" s="30">
        <f>'Equity Volume Data'!AS275*'Equity Price Data'!AV276</f>
        <v>21980</v>
      </c>
      <c r="AQ275" s="30">
        <f>'Equity Volume Data'!AT275*'Equity Price Data'!AW276</f>
        <v>17248</v>
      </c>
      <c r="AR275" s="30">
        <f>'Equity Volume Data'!AU275*'Equity Price Data'!AX276</f>
        <v>14656.95</v>
      </c>
      <c r="AS275" s="30">
        <f>'Equity Volume Data'!AV275*'Equity Price Data'!AY276</f>
        <v>57496.8</v>
      </c>
      <c r="AT275" s="30">
        <f>'Equity Volume Data'!AW275*'Equity Price Data'!AZ276</f>
        <v>14756</v>
      </c>
      <c r="AU275" s="30">
        <f>'Equity Volume Data'!AX275*'Equity Price Data'!BA276</f>
        <v>0</v>
      </c>
      <c r="AV275" s="30">
        <f>'Equity Volume Data'!AY275*'Equity Price Data'!BB276</f>
        <v>20545.98</v>
      </c>
      <c r="AW275" s="30">
        <f>'Equity Volume Data'!AZ275*'Equity Price Data'!BC276</f>
        <v>3858</v>
      </c>
      <c r="AX275" s="30">
        <f>'Equity Volume Data'!BA275*'Equity Price Data'!BD276</f>
        <v>0</v>
      </c>
      <c r="AY275" s="30">
        <f>'Equity Volume Data'!BB275*'Equity Price Data'!BE276</f>
        <v>56846.82</v>
      </c>
      <c r="AZ275" s="30">
        <f>'Equity Volume Data'!BC275*'Equity Price Data'!BF276</f>
        <v>10839</v>
      </c>
      <c r="BA275" s="30">
        <f>'Equity Volume Data'!BD275*'Equity Price Data'!BG276</f>
        <v>4636</v>
      </c>
      <c r="BB275" s="30">
        <f>'Equity Volume Data'!BE275*'Equity Price Data'!BH276</f>
        <v>11716.8</v>
      </c>
      <c r="BC275" s="30">
        <f>'Equity Volume Data'!BF275*'Equity Price Data'!BI276</f>
        <v>13044.56</v>
      </c>
      <c r="BD275" s="30">
        <f>'Equity Volume Data'!BG275*'Equity Price Data'!BJ276</f>
        <v>49200.87</v>
      </c>
      <c r="BE275" s="30">
        <f>'Equity Volume Data'!BH275*'Equity Price Data'!BK276</f>
        <v>9316.84</v>
      </c>
      <c r="BF275" s="30">
        <f>'Equity Volume Data'!BI275*'Equity Price Data'!BL276</f>
        <v>7106.8</v>
      </c>
      <c r="BG275" s="30">
        <f>'Equity Volume Data'!BJ275*'Equity Price Data'!BM276</f>
        <v>39464.88</v>
      </c>
      <c r="BH275" s="30">
        <f>'Equity Volume Data'!BK275*'Equity Price Data'!BN276</f>
        <v>0</v>
      </c>
      <c r="BI275" s="30">
        <f>'Equity Volume Data'!BL275*'Equity Price Data'!BO276</f>
        <v>35944</v>
      </c>
      <c r="BJ275" s="30">
        <f>'Equity Volume Data'!BM275*'Equity Price Data'!BP276</f>
        <v>23074.5</v>
      </c>
      <c r="BK275" s="30">
        <f>'Equity Volume Data'!BN275*'Equity Price Data'!BQ276</f>
        <v>89955.84</v>
      </c>
      <c r="BL275" s="30">
        <f>'Equity Volume Data'!BO275*'Equity Price Data'!BR276</f>
        <v>422.53</v>
      </c>
      <c r="BM275" s="30">
        <f>'Equity Volume Data'!BP275*'Equity Price Data'!BS276</f>
        <v>11263.68</v>
      </c>
      <c r="BN275" s="30">
        <f>'Equity Volume Data'!BQ275*'Equity Price Data'!BT276</f>
        <v>22462.24</v>
      </c>
      <c r="BO275" s="30">
        <f>'Equity Volume Data'!BR275*'Equity Price Data'!BU276</f>
        <v>28381</v>
      </c>
    </row>
    <row r="276">
      <c r="A276" s="25">
        <f>'Equity Price Data'!A277</f>
        <v>45825.66667</v>
      </c>
      <c r="B276" s="29">
        <f t="shared" si="1"/>
        <v>1367489.08</v>
      </c>
      <c r="C276" s="30">
        <f>'Equity Volume Data'!F276*'Equity Price Data'!I277</f>
        <v>4974.84</v>
      </c>
      <c r="D276" s="30">
        <f>'Equity Volume Data'!G276*'Equity Price Data'!J277</f>
        <v>55853.2</v>
      </c>
      <c r="E276" s="30">
        <f>'Equity Volume Data'!H276*'Equity Price Data'!K277</f>
        <v>15501.2</v>
      </c>
      <c r="F276" s="30">
        <f>'Equity Volume Data'!I276*'Equity Price Data'!L277</f>
        <v>50083.84</v>
      </c>
      <c r="G276" s="30">
        <f>'Equity Volume Data'!J276*'Equity Price Data'!M277</f>
        <v>14449.47</v>
      </c>
      <c r="H276" s="30">
        <f>'Equity Volume Data'!K276*'Equity Price Data'!N277</f>
        <v>16876.76</v>
      </c>
      <c r="I276" s="30">
        <f>'Equity Volume Data'!L276*'Equity Price Data'!O277</f>
        <v>17500</v>
      </c>
      <c r="J276" s="30">
        <f>'Equity Volume Data'!M276*'Equity Price Data'!P277</f>
        <v>49314.96</v>
      </c>
      <c r="K276" s="30">
        <f>'Equity Volume Data'!N276*'Equity Price Data'!Q277</f>
        <v>9556</v>
      </c>
      <c r="L276" s="30">
        <f>'Equity Volume Data'!O276*'Equity Price Data'!R277</f>
        <v>15313.76</v>
      </c>
      <c r="M276" s="30">
        <f>'Equity Volume Data'!P276*'Equity Price Data'!S277</f>
        <v>0</v>
      </c>
      <c r="N276" s="30">
        <f>'Equity Volume Data'!Q276*'Equity Price Data'!T277</f>
        <v>5582.4</v>
      </c>
      <c r="O276" s="30">
        <f>'Equity Volume Data'!R276*'Equity Price Data'!U277</f>
        <v>53652</v>
      </c>
      <c r="P276" s="30">
        <f>'Equity Volume Data'!S276*'Equity Price Data'!V277</f>
        <v>28877.25</v>
      </c>
      <c r="Q276" s="30">
        <f>'Equity Volume Data'!T276*'Equity Price Data'!W277</f>
        <v>26307.6</v>
      </c>
      <c r="R276" s="30">
        <f>'Equity Volume Data'!U276*'Equity Price Data'!X277</f>
        <v>11908</v>
      </c>
      <c r="S276" s="30">
        <f>'Equity Volume Data'!V276*'Equity Price Data'!Y277</f>
        <v>27500.88</v>
      </c>
      <c r="T276" s="30">
        <f>'Equity Volume Data'!W276*'Equity Price Data'!Z277</f>
        <v>10112.5</v>
      </c>
      <c r="U276" s="30">
        <f>'Equity Volume Data'!X276*'Equity Price Data'!AA277</f>
        <v>18379.68</v>
      </c>
      <c r="V276" s="30">
        <f>'Equity Volume Data'!Y276*'Equity Price Data'!AB277</f>
        <v>16317.35</v>
      </c>
      <c r="W276" s="30">
        <f>'Equity Volume Data'!Z276*'Equity Price Data'!AC277</f>
        <v>12148.14</v>
      </c>
      <c r="X276" s="30">
        <f>'Equity Volume Data'!AA276*'Equity Price Data'!AD277</f>
        <v>0</v>
      </c>
      <c r="Y276" s="30">
        <f>'Equity Volume Data'!AB276*'Equity Price Data'!AE277</f>
        <v>5964.14</v>
      </c>
      <c r="Z276" s="30">
        <f>'Equity Volume Data'!AC276*'Equity Price Data'!AF277</f>
        <v>11610</v>
      </c>
      <c r="AA276" s="30">
        <f>'Equity Volume Data'!AD276*'Equity Price Data'!AG277</f>
        <v>19380</v>
      </c>
      <c r="AB276" s="30">
        <f>'Equity Volume Data'!AE276*'Equity Price Data'!AH277</f>
        <v>13351.8</v>
      </c>
      <c r="AC276" s="30">
        <f>'Equity Volume Data'!AF276*'Equity Price Data'!AI277</f>
        <v>18426</v>
      </c>
      <c r="AD276" s="30">
        <f>'Equity Volume Data'!AG276*'Equity Price Data'!AJ277</f>
        <v>12658.5</v>
      </c>
      <c r="AE276" s="30">
        <f>'Equity Volume Data'!AH276*'Equity Price Data'!AK277</f>
        <v>0</v>
      </c>
      <c r="AF276" s="30">
        <f>'Equity Volume Data'!AI276*'Equity Price Data'!AL277</f>
        <v>22140</v>
      </c>
      <c r="AG276" s="30">
        <f>'Equity Volume Data'!AJ276*'Equity Price Data'!AM277</f>
        <v>37478.4</v>
      </c>
      <c r="AH276" s="30">
        <f>'Equity Volume Data'!AK276*'Equity Price Data'!AN277</f>
        <v>34878</v>
      </c>
      <c r="AI276" s="30">
        <f>'Equity Volume Data'!AL276*'Equity Price Data'!AO277</f>
        <v>23814</v>
      </c>
      <c r="AJ276" s="30">
        <f>'Equity Volume Data'!AM276*'Equity Price Data'!AP277</f>
        <v>23528.7</v>
      </c>
      <c r="AK276" s="30">
        <f>'Equity Volume Data'!AN276*'Equity Price Data'!AQ277</f>
        <v>24069.17</v>
      </c>
      <c r="AL276" s="30">
        <f>'Equity Volume Data'!AO276*'Equity Price Data'!AR277</f>
        <v>43123.2</v>
      </c>
      <c r="AM276" s="30">
        <f>'Equity Volume Data'!AP276*'Equity Price Data'!AS277</f>
        <v>33553.8</v>
      </c>
      <c r="AN276" s="30">
        <f>'Equity Volume Data'!AQ276*'Equity Price Data'!AT277</f>
        <v>0</v>
      </c>
      <c r="AO276" s="30">
        <f>'Equity Volume Data'!AR276*'Equity Price Data'!AU277</f>
        <v>26371.52</v>
      </c>
      <c r="AP276" s="30">
        <f>'Equity Volume Data'!AS276*'Equity Price Data'!AV277</f>
        <v>21542.5</v>
      </c>
      <c r="AQ276" s="30">
        <f>'Equity Volume Data'!AT276*'Equity Price Data'!AW277</f>
        <v>17127</v>
      </c>
      <c r="AR276" s="30">
        <f>'Equity Volume Data'!AU276*'Equity Price Data'!AX277</f>
        <v>15008.04</v>
      </c>
      <c r="AS276" s="30">
        <f>'Equity Volume Data'!AV276*'Equity Price Data'!AY277</f>
        <v>57364.8</v>
      </c>
      <c r="AT276" s="30">
        <f>'Equity Volume Data'!AW276*'Equity Price Data'!AZ277</f>
        <v>14372</v>
      </c>
      <c r="AU276" s="30">
        <f>'Equity Volume Data'!AX276*'Equity Price Data'!BA277</f>
        <v>0</v>
      </c>
      <c r="AV276" s="30">
        <f>'Equity Volume Data'!AY276*'Equity Price Data'!BB277</f>
        <v>20465.04</v>
      </c>
      <c r="AW276" s="30">
        <f>'Equity Volume Data'!AZ276*'Equity Price Data'!BC277</f>
        <v>3814</v>
      </c>
      <c r="AX276" s="30">
        <f>'Equity Volume Data'!BA276*'Equity Price Data'!BD277</f>
        <v>0</v>
      </c>
      <c r="AY276" s="30">
        <f>'Equity Volume Data'!BB276*'Equity Price Data'!BE277</f>
        <v>55556.4</v>
      </c>
      <c r="AZ276" s="30">
        <f>'Equity Volume Data'!BC276*'Equity Price Data'!BF277</f>
        <v>10600.5</v>
      </c>
      <c r="BA276" s="30">
        <f>'Equity Volume Data'!BD276*'Equity Price Data'!BG277</f>
        <v>4560</v>
      </c>
      <c r="BB276" s="30">
        <f>'Equity Volume Data'!BE276*'Equity Price Data'!BH277</f>
        <v>11878.4</v>
      </c>
      <c r="BC276" s="30">
        <f>'Equity Volume Data'!BF276*'Equity Price Data'!BI277</f>
        <v>12837.92</v>
      </c>
      <c r="BD276" s="30">
        <f>'Equity Volume Data'!BG276*'Equity Price Data'!BJ277</f>
        <v>47164.59</v>
      </c>
      <c r="BE276" s="30">
        <f>'Equity Volume Data'!BH276*'Equity Price Data'!BK277</f>
        <v>8975.98</v>
      </c>
      <c r="BF276" s="30">
        <f>'Equity Volume Data'!BI276*'Equity Price Data'!BL277</f>
        <v>6958</v>
      </c>
      <c r="BG276" s="30">
        <f>'Equity Volume Data'!BJ276*'Equity Price Data'!BM277</f>
        <v>37863.6</v>
      </c>
      <c r="BH276" s="30">
        <f>'Equity Volume Data'!BK276*'Equity Price Data'!BN277</f>
        <v>0</v>
      </c>
      <c r="BI276" s="30">
        <f>'Equity Volume Data'!BL276*'Equity Price Data'!BO277</f>
        <v>35294.4</v>
      </c>
      <c r="BJ276" s="30">
        <f>'Equity Volume Data'!BM276*'Equity Price Data'!BP277</f>
        <v>23165.25</v>
      </c>
      <c r="BK276" s="30">
        <f>'Equity Volume Data'!BN276*'Equity Price Data'!BQ277</f>
        <v>90136.04</v>
      </c>
      <c r="BL276" s="30">
        <f>'Equity Volume Data'!BO276*'Equity Price Data'!BR277</f>
        <v>411.72</v>
      </c>
      <c r="BM276" s="30">
        <f>'Equity Volume Data'!BP276*'Equity Price Data'!BS277</f>
        <v>11246.4</v>
      </c>
      <c r="BN276" s="30">
        <f>'Equity Volume Data'!BQ276*'Equity Price Data'!BT277</f>
        <v>22208.44</v>
      </c>
      <c r="BO276" s="30">
        <f>'Equity Volume Data'!BR276*'Equity Price Data'!BU277</f>
        <v>28381</v>
      </c>
    </row>
    <row r="277">
      <c r="A277" s="25">
        <f>'Equity Price Data'!A278</f>
        <v>45826.66667</v>
      </c>
      <c r="B277" s="29">
        <f t="shared" si="1"/>
        <v>1365504.92</v>
      </c>
      <c r="C277" s="30">
        <f>'Equity Volume Data'!F277*'Equity Price Data'!I278</f>
        <v>4914.52</v>
      </c>
      <c r="D277" s="30">
        <f>'Equity Volume Data'!G277*'Equity Price Data'!J278</f>
        <v>55255.2</v>
      </c>
      <c r="E277" s="30">
        <f>'Equity Volume Data'!H277*'Equity Price Data'!K278</f>
        <v>15521</v>
      </c>
      <c r="F277" s="30">
        <f>'Equity Volume Data'!I277*'Equity Price Data'!L278</f>
        <v>50324.48</v>
      </c>
      <c r="G277" s="30">
        <f>'Equity Volume Data'!J277*'Equity Price Data'!M278</f>
        <v>14345.72</v>
      </c>
      <c r="H277" s="30">
        <f>'Equity Volume Data'!K277*'Equity Price Data'!N278</f>
        <v>17220.8</v>
      </c>
      <c r="I277" s="30">
        <f>'Equity Volume Data'!L277*'Equity Price Data'!O278</f>
        <v>17660</v>
      </c>
      <c r="J277" s="30">
        <f>'Equity Volume Data'!M277*'Equity Price Data'!P278</f>
        <v>49484.28</v>
      </c>
      <c r="K277" s="30">
        <f>'Equity Volume Data'!N277*'Equity Price Data'!Q278</f>
        <v>9524</v>
      </c>
      <c r="L277" s="30">
        <f>'Equity Volume Data'!O277*'Equity Price Data'!R278</f>
        <v>15311.34</v>
      </c>
      <c r="M277" s="30">
        <f>'Equity Volume Data'!P277*'Equity Price Data'!S278</f>
        <v>0</v>
      </c>
      <c r="N277" s="30">
        <f>'Equity Volume Data'!Q277*'Equity Price Data'!T278</f>
        <v>5588.8</v>
      </c>
      <c r="O277" s="30">
        <f>'Equity Volume Data'!R277*'Equity Price Data'!U278</f>
        <v>53970</v>
      </c>
      <c r="P277" s="30">
        <f>'Equity Volume Data'!S277*'Equity Price Data'!V278</f>
        <v>29052.39</v>
      </c>
      <c r="Q277" s="30">
        <f>'Equity Volume Data'!T277*'Equity Price Data'!W278</f>
        <v>26210.4</v>
      </c>
      <c r="R277" s="30">
        <f>'Equity Volume Data'!U277*'Equity Price Data'!X278</f>
        <v>11855.2</v>
      </c>
      <c r="S277" s="30">
        <f>'Equity Volume Data'!V277*'Equity Price Data'!Y278</f>
        <v>27667.2</v>
      </c>
      <c r="T277" s="30">
        <f>'Equity Volume Data'!W277*'Equity Price Data'!Z278</f>
        <v>10330</v>
      </c>
      <c r="U277" s="30">
        <f>'Equity Volume Data'!X277*'Equity Price Data'!AA278</f>
        <v>18271.44</v>
      </c>
      <c r="V277" s="30">
        <f>'Equity Volume Data'!Y277*'Equity Price Data'!AB278</f>
        <v>16217.53</v>
      </c>
      <c r="W277" s="30">
        <f>'Equity Volume Data'!Z277*'Equity Price Data'!AC278</f>
        <v>12185.4</v>
      </c>
      <c r="X277" s="30">
        <f>'Equity Volume Data'!AA277*'Equity Price Data'!AD278</f>
        <v>0</v>
      </c>
      <c r="Y277" s="30">
        <f>'Equity Volume Data'!AB277*'Equity Price Data'!AE278</f>
        <v>5808.01</v>
      </c>
      <c r="Z277" s="30">
        <f>'Equity Volume Data'!AC277*'Equity Price Data'!AF278</f>
        <v>11629.5</v>
      </c>
      <c r="AA277" s="30">
        <f>'Equity Volume Data'!AD277*'Equity Price Data'!AG278</f>
        <v>19242.3</v>
      </c>
      <c r="AB277" s="30">
        <f>'Equity Volume Data'!AE277*'Equity Price Data'!AH278</f>
        <v>13398</v>
      </c>
      <c r="AC277" s="30">
        <f>'Equity Volume Data'!AF277*'Equity Price Data'!AI278</f>
        <v>18420.4</v>
      </c>
      <c r="AD277" s="30">
        <f>'Equity Volume Data'!AG277*'Equity Price Data'!AJ278</f>
        <v>12533.85</v>
      </c>
      <c r="AE277" s="30">
        <f>'Equity Volume Data'!AH277*'Equity Price Data'!AK278</f>
        <v>0</v>
      </c>
      <c r="AF277" s="30">
        <f>'Equity Volume Data'!AI277*'Equity Price Data'!AL278</f>
        <v>22140</v>
      </c>
      <c r="AG277" s="30">
        <f>'Equity Volume Data'!AJ277*'Equity Price Data'!AM278</f>
        <v>38114.4</v>
      </c>
      <c r="AH277" s="30">
        <f>'Equity Volume Data'!AK277*'Equity Price Data'!AN278</f>
        <v>34703</v>
      </c>
      <c r="AI277" s="30">
        <f>'Equity Volume Data'!AL277*'Equity Price Data'!AO278</f>
        <v>23266.25</v>
      </c>
      <c r="AJ277" s="30">
        <f>'Equity Volume Data'!AM277*'Equity Price Data'!AP278</f>
        <v>23368.8</v>
      </c>
      <c r="AK277" s="30">
        <f>'Equity Volume Data'!AN277*'Equity Price Data'!AQ278</f>
        <v>23946.03</v>
      </c>
      <c r="AL277" s="30">
        <f>'Equity Volume Data'!AO277*'Equity Price Data'!AR278</f>
        <v>43833.6</v>
      </c>
      <c r="AM277" s="30">
        <f>'Equity Volume Data'!AP277*'Equity Price Data'!AS278</f>
        <v>32802</v>
      </c>
      <c r="AN277" s="30">
        <f>'Equity Volume Data'!AQ277*'Equity Price Data'!AT278</f>
        <v>0</v>
      </c>
      <c r="AO277" s="30">
        <f>'Equity Volume Data'!AR277*'Equity Price Data'!AU278</f>
        <v>26158.02</v>
      </c>
      <c r="AP277" s="30">
        <f>'Equity Volume Data'!AS277*'Equity Price Data'!AV278</f>
        <v>21432.5</v>
      </c>
      <c r="AQ277" s="30">
        <f>'Equity Volume Data'!AT277*'Equity Price Data'!AW278</f>
        <v>17281</v>
      </c>
      <c r="AR277" s="30">
        <f>'Equity Volume Data'!AU277*'Equity Price Data'!AX278</f>
        <v>15744.06</v>
      </c>
      <c r="AS277" s="30">
        <f>'Equity Volume Data'!AV277*'Equity Price Data'!AY278</f>
        <v>57628.8</v>
      </c>
      <c r="AT277" s="30">
        <f>'Equity Volume Data'!AW277*'Equity Price Data'!AZ278</f>
        <v>14314</v>
      </c>
      <c r="AU277" s="30">
        <f>'Equity Volume Data'!AX277*'Equity Price Data'!BA278</f>
        <v>0</v>
      </c>
      <c r="AV277" s="30">
        <f>'Equity Volume Data'!AY277*'Equity Price Data'!BB278</f>
        <v>20658.16</v>
      </c>
      <c r="AW277" s="30">
        <f>'Equity Volume Data'!AZ277*'Equity Price Data'!BC278</f>
        <v>3826.8</v>
      </c>
      <c r="AX277" s="30">
        <f>'Equity Volume Data'!BA277*'Equity Price Data'!BD278</f>
        <v>0</v>
      </c>
      <c r="AY277" s="30">
        <f>'Equity Volume Data'!BB277*'Equity Price Data'!BE278</f>
        <v>56263.92</v>
      </c>
      <c r="AZ277" s="30">
        <f>'Equity Volume Data'!BC277*'Equity Price Data'!BF278</f>
        <v>10285.5</v>
      </c>
      <c r="BA277" s="30">
        <f>'Equity Volume Data'!BD277*'Equity Price Data'!BG278</f>
        <v>4537.2</v>
      </c>
      <c r="BB277" s="30">
        <f>'Equity Volume Data'!BE277*'Equity Price Data'!BH278</f>
        <v>11669.6</v>
      </c>
      <c r="BC277" s="30">
        <f>'Equity Volume Data'!BF277*'Equity Price Data'!BI278</f>
        <v>13097.04</v>
      </c>
      <c r="BD277" s="30">
        <f>'Equity Volume Data'!BG277*'Equity Price Data'!BJ278</f>
        <v>47070.87</v>
      </c>
      <c r="BE277" s="30">
        <f>'Equity Volume Data'!BH277*'Equity Price Data'!BK278</f>
        <v>9028.88</v>
      </c>
      <c r="BF277" s="30">
        <f>'Equity Volume Data'!BI277*'Equity Price Data'!BL278</f>
        <v>7023.6</v>
      </c>
      <c r="BG277" s="30">
        <f>'Equity Volume Data'!BJ277*'Equity Price Data'!BM278</f>
        <v>34472</v>
      </c>
      <c r="BH277" s="30">
        <f>'Equity Volume Data'!BK277*'Equity Price Data'!BN278</f>
        <v>0</v>
      </c>
      <c r="BI277" s="30">
        <f>'Equity Volume Data'!BL277*'Equity Price Data'!BO278</f>
        <v>35521.6</v>
      </c>
      <c r="BJ277" s="30">
        <f>'Equity Volume Data'!BM277*'Equity Price Data'!BP278</f>
        <v>23040</v>
      </c>
      <c r="BK277" s="30">
        <f>'Equity Volume Data'!BN277*'Equity Price Data'!BQ278</f>
        <v>90190.1</v>
      </c>
      <c r="BL277" s="30">
        <f>'Equity Volume Data'!BO277*'Equity Price Data'!BR278</f>
        <v>412.19</v>
      </c>
      <c r="BM277" s="30">
        <f>'Equity Volume Data'!BP277*'Equity Price Data'!BS278</f>
        <v>11194.56</v>
      </c>
      <c r="BN277" s="30">
        <f>'Equity Volume Data'!BQ277*'Equity Price Data'!BT278</f>
        <v>22157.68</v>
      </c>
      <c r="BO277" s="30">
        <f>'Equity Volume Data'!BR277*'Equity Price Data'!BU278</f>
        <v>28381</v>
      </c>
    </row>
    <row r="278">
      <c r="A278" s="25">
        <f>'Equity Price Data'!A279</f>
        <v>45828.66667</v>
      </c>
      <c r="B278" s="29">
        <f t="shared" si="1"/>
        <v>1364715.4</v>
      </c>
      <c r="C278" s="30">
        <f>'Equity Volume Data'!F278*'Equity Price Data'!I279</f>
        <v>4899.96</v>
      </c>
      <c r="D278" s="30">
        <f>'Equity Volume Data'!G278*'Equity Price Data'!J279</f>
        <v>54519.4</v>
      </c>
      <c r="E278" s="30">
        <f>'Equity Volume Data'!H278*'Equity Price Data'!K279</f>
        <v>15537.5</v>
      </c>
      <c r="F278" s="30">
        <f>'Equity Volume Data'!I278*'Equity Price Data'!L279</f>
        <v>51456</v>
      </c>
      <c r="G278" s="30">
        <f>'Equity Volume Data'!J278*'Equity Price Data'!M279</f>
        <v>14065.18</v>
      </c>
      <c r="H278" s="30">
        <f>'Equity Volume Data'!K278*'Equity Price Data'!N279</f>
        <v>17224.56</v>
      </c>
      <c r="I278" s="30">
        <f>'Equity Volume Data'!L278*'Equity Price Data'!O279</f>
        <v>17580</v>
      </c>
      <c r="J278" s="30">
        <f>'Equity Volume Data'!M278*'Equity Price Data'!P279</f>
        <v>49454.7</v>
      </c>
      <c r="K278" s="30">
        <f>'Equity Volume Data'!N278*'Equity Price Data'!Q279</f>
        <v>9228</v>
      </c>
      <c r="L278" s="30">
        <f>'Equity Volume Data'!O278*'Equity Price Data'!R279</f>
        <v>15371.84</v>
      </c>
      <c r="M278" s="30">
        <f>'Equity Volume Data'!P278*'Equity Price Data'!S279</f>
        <v>0</v>
      </c>
      <c r="N278" s="30">
        <f>'Equity Volume Data'!Q278*'Equity Price Data'!T279</f>
        <v>5637.6</v>
      </c>
      <c r="O278" s="30">
        <f>'Equity Volume Data'!R278*'Equity Price Data'!U279</f>
        <v>54078</v>
      </c>
      <c r="P278" s="30">
        <f>'Equity Volume Data'!S278*'Equity Price Data'!V279</f>
        <v>28468.59</v>
      </c>
      <c r="Q278" s="30">
        <f>'Equity Volume Data'!T278*'Equity Price Data'!W279</f>
        <v>26185.2</v>
      </c>
      <c r="R278" s="30">
        <f>'Equity Volume Data'!U278*'Equity Price Data'!X279</f>
        <v>11964</v>
      </c>
      <c r="S278" s="30">
        <f>'Equity Volume Data'!V278*'Equity Price Data'!Y279</f>
        <v>27662.8</v>
      </c>
      <c r="T278" s="30">
        <f>'Equity Volume Data'!W278*'Equity Price Data'!Z279</f>
        <v>10427.5</v>
      </c>
      <c r="U278" s="30">
        <f>'Equity Volume Data'!X278*'Equity Price Data'!AA279</f>
        <v>18173.76</v>
      </c>
      <c r="V278" s="30">
        <f>'Equity Volume Data'!Y278*'Equity Price Data'!AB279</f>
        <v>16256.17</v>
      </c>
      <c r="W278" s="30">
        <f>'Equity Volume Data'!Z278*'Equity Price Data'!AC279</f>
        <v>12103.98</v>
      </c>
      <c r="X278" s="30">
        <f>'Equity Volume Data'!AA278*'Equity Price Data'!AD279</f>
        <v>0</v>
      </c>
      <c r="Y278" s="30">
        <f>'Equity Volume Data'!AB278*'Equity Price Data'!AE279</f>
        <v>5814.64</v>
      </c>
      <c r="Z278" s="30">
        <f>'Equity Volume Data'!AC278*'Equity Price Data'!AF279</f>
        <v>11643</v>
      </c>
      <c r="AA278" s="30">
        <f>'Equity Volume Data'!AD278*'Equity Price Data'!AG279</f>
        <v>19499</v>
      </c>
      <c r="AB278" s="30">
        <f>'Equity Volume Data'!AE278*'Equity Price Data'!AH279</f>
        <v>13562.4</v>
      </c>
      <c r="AC278" s="30">
        <f>'Equity Volume Data'!AF278*'Equity Price Data'!AI279</f>
        <v>18362</v>
      </c>
      <c r="AD278" s="30">
        <f>'Equity Volume Data'!AG278*'Equity Price Data'!AJ279</f>
        <v>12545.1</v>
      </c>
      <c r="AE278" s="30">
        <f>'Equity Volume Data'!AH278*'Equity Price Data'!AK279</f>
        <v>0</v>
      </c>
      <c r="AF278" s="30">
        <f>'Equity Volume Data'!AI278*'Equity Price Data'!AL279</f>
        <v>22242.5</v>
      </c>
      <c r="AG278" s="30">
        <f>'Equity Volume Data'!AJ278*'Equity Price Data'!AM279</f>
        <v>38448</v>
      </c>
      <c r="AH278" s="30">
        <f>'Equity Volume Data'!AK278*'Equity Price Data'!AN279</f>
        <v>34962</v>
      </c>
      <c r="AI278" s="30">
        <f>'Equity Volume Data'!AL278*'Equity Price Data'!AO279</f>
        <v>23124.5</v>
      </c>
      <c r="AJ278" s="30">
        <f>'Equity Volume Data'!AM278*'Equity Price Data'!AP279</f>
        <v>23195.9</v>
      </c>
      <c r="AK278" s="30">
        <f>'Equity Volume Data'!AN278*'Equity Price Data'!AQ279</f>
        <v>23939.92</v>
      </c>
      <c r="AL278" s="30">
        <f>'Equity Volume Data'!AO278*'Equity Price Data'!AR279</f>
        <v>44000</v>
      </c>
      <c r="AM278" s="30">
        <f>'Equity Volume Data'!AP278*'Equity Price Data'!AS279</f>
        <v>32939.2</v>
      </c>
      <c r="AN278" s="30">
        <f>'Equity Volume Data'!AQ278*'Equity Price Data'!AT279</f>
        <v>0</v>
      </c>
      <c r="AO278" s="30">
        <f>'Equity Volume Data'!AR278*'Equity Price Data'!AU279</f>
        <v>26192.18</v>
      </c>
      <c r="AP278" s="30">
        <f>'Equity Volume Data'!AS278*'Equity Price Data'!AV279</f>
        <v>21585</v>
      </c>
      <c r="AQ278" s="30">
        <f>'Equity Volume Data'!AT278*'Equity Price Data'!AW279</f>
        <v>17426.2</v>
      </c>
      <c r="AR278" s="30">
        <f>'Equity Volume Data'!AU278*'Equity Price Data'!AX279</f>
        <v>15964.02</v>
      </c>
      <c r="AS278" s="30">
        <f>'Equity Volume Data'!AV278*'Equity Price Data'!AY279</f>
        <v>57288</v>
      </c>
      <c r="AT278" s="30">
        <f>'Equity Volume Data'!AW278*'Equity Price Data'!AZ279</f>
        <v>14306</v>
      </c>
      <c r="AU278" s="30">
        <f>'Equity Volume Data'!AX278*'Equity Price Data'!BA279</f>
        <v>0</v>
      </c>
      <c r="AV278" s="30">
        <f>'Equity Volume Data'!AY278*'Equity Price Data'!BB279</f>
        <v>20426.7</v>
      </c>
      <c r="AW278" s="30">
        <f>'Equity Volume Data'!AZ278*'Equity Price Data'!BC279</f>
        <v>3763.6</v>
      </c>
      <c r="AX278" s="30">
        <f>'Equity Volume Data'!BA278*'Equity Price Data'!BD279</f>
        <v>0</v>
      </c>
      <c r="AY278" s="30">
        <f>'Equity Volume Data'!BB278*'Equity Price Data'!BE279</f>
        <v>55194.6</v>
      </c>
      <c r="AZ278" s="30">
        <f>'Equity Volume Data'!BC278*'Equity Price Data'!BF279</f>
        <v>10507.5</v>
      </c>
      <c r="BA278" s="30">
        <f>'Equity Volume Data'!BD278*'Equity Price Data'!BG279</f>
        <v>4554.3</v>
      </c>
      <c r="BB278" s="30">
        <f>'Equity Volume Data'!BE278*'Equity Price Data'!BH279</f>
        <v>11731.2</v>
      </c>
      <c r="BC278" s="30">
        <f>'Equity Volume Data'!BF278*'Equity Price Data'!BI279</f>
        <v>13008.48</v>
      </c>
      <c r="BD278" s="30">
        <f>'Equity Volume Data'!BG278*'Equity Price Data'!BJ279</f>
        <v>47183.76</v>
      </c>
      <c r="BE278" s="30">
        <f>'Equity Volume Data'!BH278*'Equity Price Data'!BK279</f>
        <v>9151.24</v>
      </c>
      <c r="BF278" s="30">
        <f>'Equity Volume Data'!BI278*'Equity Price Data'!BL279</f>
        <v>6896</v>
      </c>
      <c r="BG278" s="30">
        <f>'Equity Volume Data'!BJ278*'Equity Price Data'!BM279</f>
        <v>34349.68</v>
      </c>
      <c r="BH278" s="30">
        <f>'Equity Volume Data'!BK278*'Equity Price Data'!BN279</f>
        <v>0</v>
      </c>
      <c r="BI278" s="30">
        <f>'Equity Volume Data'!BL278*'Equity Price Data'!BO279</f>
        <v>35601.6</v>
      </c>
      <c r="BJ278" s="30">
        <f>'Equity Volume Data'!BM278*'Equity Price Data'!BP279</f>
        <v>22650.75</v>
      </c>
      <c r="BK278" s="30">
        <f>'Equity Volume Data'!BN278*'Equity Price Data'!BQ279</f>
        <v>90316.24</v>
      </c>
      <c r="BL278" s="30">
        <f>'Equity Volume Data'!BO278*'Equity Price Data'!BR279</f>
        <v>416.89</v>
      </c>
      <c r="BM278" s="30">
        <f>'Equity Volume Data'!BP278*'Equity Price Data'!BS279</f>
        <v>11133.12</v>
      </c>
      <c r="BN278" s="30">
        <f>'Equity Volume Data'!BQ278*'Equity Price Data'!BT279</f>
        <v>22114.44</v>
      </c>
      <c r="BO278" s="30">
        <f>'Equity Volume Data'!BR278*'Equity Price Data'!BU279</f>
        <v>28381</v>
      </c>
    </row>
    <row r="279">
      <c r="A279" s="25">
        <f>'Equity Price Data'!A280</f>
        <v>45831.66667</v>
      </c>
      <c r="B279" s="29">
        <f t="shared" si="1"/>
        <v>1375031.39</v>
      </c>
      <c r="C279" s="30">
        <f>'Equity Volume Data'!F279*'Equity Price Data'!I280</f>
        <v>4941.56</v>
      </c>
      <c r="D279" s="30">
        <f>'Equity Volume Data'!G279*'Equity Price Data'!J280</f>
        <v>54202.2</v>
      </c>
      <c r="E279" s="30">
        <f>'Equity Volume Data'!H279*'Equity Price Data'!K280</f>
        <v>15838.9</v>
      </c>
      <c r="F279" s="30">
        <f>'Equity Volume Data'!I279*'Equity Price Data'!L280</f>
        <v>51584</v>
      </c>
      <c r="G279" s="30">
        <f>'Equity Volume Data'!J279*'Equity Price Data'!M280</f>
        <v>14272.68</v>
      </c>
      <c r="H279" s="30">
        <f>'Equity Volume Data'!K279*'Equity Price Data'!N280</f>
        <v>16850.44</v>
      </c>
      <c r="I279" s="30">
        <f>'Equity Volume Data'!L279*'Equity Price Data'!O280</f>
        <v>17600</v>
      </c>
      <c r="J279" s="30">
        <f>'Equity Volume Data'!M279*'Equity Price Data'!P280</f>
        <v>49752.54</v>
      </c>
      <c r="K279" s="30">
        <f>'Equity Volume Data'!N279*'Equity Price Data'!Q280</f>
        <v>9366</v>
      </c>
      <c r="L279" s="30">
        <f>'Equity Volume Data'!O279*'Equity Price Data'!R280</f>
        <v>15095.96</v>
      </c>
      <c r="M279" s="30">
        <f>'Equity Volume Data'!P279*'Equity Price Data'!S280</f>
        <v>0</v>
      </c>
      <c r="N279" s="30">
        <f>'Equity Volume Data'!Q279*'Equity Price Data'!T280</f>
        <v>5742.4</v>
      </c>
      <c r="O279" s="30">
        <f>'Equity Volume Data'!R279*'Equity Price Data'!U280</f>
        <v>54934.5</v>
      </c>
      <c r="P279" s="30">
        <f>'Equity Volume Data'!S279*'Equity Price Data'!V280</f>
        <v>29073.24</v>
      </c>
      <c r="Q279" s="30">
        <f>'Equity Volume Data'!T279*'Equity Price Data'!W280</f>
        <v>26804.4</v>
      </c>
      <c r="R279" s="30">
        <f>'Equity Volume Data'!U279*'Equity Price Data'!X280</f>
        <v>11748.8</v>
      </c>
      <c r="S279" s="30">
        <f>'Equity Volume Data'!V279*'Equity Price Data'!Y280</f>
        <v>27893.36</v>
      </c>
      <c r="T279" s="30">
        <f>'Equity Volume Data'!W279*'Equity Price Data'!Z280</f>
        <v>10625</v>
      </c>
      <c r="U279" s="30">
        <f>'Equity Volume Data'!X279*'Equity Price Data'!AA280</f>
        <v>18411.36</v>
      </c>
      <c r="V279" s="30">
        <f>'Equity Volume Data'!Y279*'Equity Price Data'!AB280</f>
        <v>16285.15</v>
      </c>
      <c r="W279" s="30">
        <f>'Equity Volume Data'!Z279*'Equity Price Data'!AC280</f>
        <v>12236.46</v>
      </c>
      <c r="X279" s="30">
        <f>'Equity Volume Data'!AA279*'Equity Price Data'!AD280</f>
        <v>0</v>
      </c>
      <c r="Y279" s="30">
        <f>'Equity Volume Data'!AB279*'Equity Price Data'!AE280</f>
        <v>5948.93</v>
      </c>
      <c r="Z279" s="30">
        <f>'Equity Volume Data'!AC279*'Equity Price Data'!AF280</f>
        <v>11529</v>
      </c>
      <c r="AA279" s="30">
        <f>'Equity Volume Data'!AD279*'Equity Price Data'!AG280</f>
        <v>18995.8</v>
      </c>
      <c r="AB279" s="30">
        <f>'Equity Volume Data'!AE279*'Equity Price Data'!AH280</f>
        <v>13753.8</v>
      </c>
      <c r="AC279" s="30">
        <f>'Equity Volume Data'!AF279*'Equity Price Data'!AI280</f>
        <v>18443.2</v>
      </c>
      <c r="AD279" s="30">
        <f>'Equity Volume Data'!AG279*'Equity Price Data'!AJ280</f>
        <v>12704.4</v>
      </c>
      <c r="AE279" s="30">
        <f>'Equity Volume Data'!AH279*'Equity Price Data'!AK280</f>
        <v>0</v>
      </c>
      <c r="AF279" s="30">
        <f>'Equity Volume Data'!AI279*'Equity Price Data'!AL280</f>
        <v>21768.95</v>
      </c>
      <c r="AG279" s="30">
        <f>'Equity Volume Data'!AJ279*'Equity Price Data'!AM280</f>
        <v>38812.8</v>
      </c>
      <c r="AH279" s="30">
        <f>'Equity Volume Data'!AK279*'Equity Price Data'!AN280</f>
        <v>35696</v>
      </c>
      <c r="AI279" s="30">
        <f>'Equity Volume Data'!AL279*'Equity Price Data'!AO280</f>
        <v>23427.25</v>
      </c>
      <c r="AJ279" s="30">
        <f>'Equity Volume Data'!AM279*'Equity Price Data'!AP280</f>
        <v>23364.9</v>
      </c>
      <c r="AK279" s="30">
        <f>'Equity Volume Data'!AN279*'Equity Price Data'!AQ280</f>
        <v>24209.23</v>
      </c>
      <c r="AL279" s="30">
        <f>'Equity Volume Data'!AO279*'Equity Price Data'!AR280</f>
        <v>44523.2</v>
      </c>
      <c r="AM279" s="30">
        <f>'Equity Volume Data'!AP279*'Equity Price Data'!AS280</f>
        <v>33072.2</v>
      </c>
      <c r="AN279" s="30">
        <f>'Equity Volume Data'!AQ279*'Equity Price Data'!AT280</f>
        <v>0</v>
      </c>
      <c r="AO279" s="30">
        <f>'Equity Volume Data'!AR279*'Equity Price Data'!AU280</f>
        <v>26738.74</v>
      </c>
      <c r="AP279" s="30">
        <f>'Equity Volume Data'!AS279*'Equity Price Data'!AV280</f>
        <v>21490</v>
      </c>
      <c r="AQ279" s="30">
        <f>'Equity Volume Data'!AT279*'Equity Price Data'!AW280</f>
        <v>17518.6</v>
      </c>
      <c r="AR279" s="30">
        <f>'Equity Volume Data'!AU279*'Equity Price Data'!AX280</f>
        <v>15464.88</v>
      </c>
      <c r="AS279" s="30">
        <f>'Equity Volume Data'!AV279*'Equity Price Data'!AY280</f>
        <v>58320</v>
      </c>
      <c r="AT279" s="30">
        <f>'Equity Volume Data'!AW279*'Equity Price Data'!AZ280</f>
        <v>14146</v>
      </c>
      <c r="AU279" s="30">
        <f>'Equity Volume Data'!AX279*'Equity Price Data'!BA280</f>
        <v>0</v>
      </c>
      <c r="AV279" s="30">
        <f>'Equity Volume Data'!AY279*'Equity Price Data'!BB280</f>
        <v>20472.14</v>
      </c>
      <c r="AW279" s="30">
        <f>'Equity Volume Data'!AZ279*'Equity Price Data'!BC280</f>
        <v>3839.2</v>
      </c>
      <c r="AX279" s="30">
        <f>'Equity Volume Data'!BA279*'Equity Price Data'!BD280</f>
        <v>0</v>
      </c>
      <c r="AY279" s="30">
        <f>'Equity Volume Data'!BB279*'Equity Price Data'!BE280</f>
        <v>56247.84</v>
      </c>
      <c r="AZ279" s="30">
        <f>'Equity Volume Data'!BC279*'Equity Price Data'!BF280</f>
        <v>10801.5</v>
      </c>
      <c r="BA279" s="30">
        <f>'Equity Volume Data'!BD279*'Equity Price Data'!BG280</f>
        <v>4565.7</v>
      </c>
      <c r="BB279" s="30">
        <f>'Equity Volume Data'!BE279*'Equity Price Data'!BH280</f>
        <v>11664.8</v>
      </c>
      <c r="BC279" s="30">
        <f>'Equity Volume Data'!BF279*'Equity Price Data'!BI280</f>
        <v>13133.12</v>
      </c>
      <c r="BD279" s="30">
        <f>'Equity Volume Data'!BG279*'Equity Price Data'!BJ280</f>
        <v>48346.74</v>
      </c>
      <c r="BE279" s="30">
        <f>'Equity Volume Data'!BH279*'Equity Price Data'!BK280</f>
        <v>9204.83</v>
      </c>
      <c r="BF279" s="30">
        <f>'Equity Volume Data'!BI279*'Equity Price Data'!BL280</f>
        <v>6835.2</v>
      </c>
      <c r="BG279" s="30">
        <f>'Equity Volume Data'!BJ279*'Equity Price Data'!BM280</f>
        <v>35453.34</v>
      </c>
      <c r="BH279" s="30">
        <f>'Equity Volume Data'!BK279*'Equity Price Data'!BN280</f>
        <v>0</v>
      </c>
      <c r="BI279" s="30">
        <f>'Equity Volume Data'!BL279*'Equity Price Data'!BO280</f>
        <v>36140.8</v>
      </c>
      <c r="BJ279" s="30">
        <f>'Equity Volume Data'!BM279*'Equity Price Data'!BP280</f>
        <v>22551</v>
      </c>
      <c r="BK279" s="30">
        <f>'Equity Volume Data'!BN279*'Equity Price Data'!BQ280</f>
        <v>90388.32</v>
      </c>
      <c r="BL279" s="30">
        <f>'Equity Volume Data'!BO279*'Equity Price Data'!BR280</f>
        <v>415.95</v>
      </c>
      <c r="BM279" s="30">
        <f>'Equity Volume Data'!BP279*'Equity Price Data'!BS280</f>
        <v>11266.08</v>
      </c>
      <c r="BN279" s="30">
        <f>'Equity Volume Data'!BQ279*'Equity Price Data'!BT280</f>
        <v>22137</v>
      </c>
      <c r="BO279" s="30">
        <f>'Equity Volume Data'!BR279*'Equity Price Data'!BU280</f>
        <v>28381</v>
      </c>
    </row>
    <row r="280">
      <c r="A280" s="25">
        <f>'Equity Price Data'!A281</f>
        <v>45832.66667</v>
      </c>
      <c r="B280" s="29">
        <f t="shared" si="1"/>
        <v>1385969.48</v>
      </c>
      <c r="C280" s="30">
        <f>'Equity Volume Data'!F280*'Equity Price Data'!I281</f>
        <v>4970.42</v>
      </c>
      <c r="D280" s="30">
        <f>'Equity Volume Data'!G280*'Equity Price Data'!J281</f>
        <v>55320.2</v>
      </c>
      <c r="E280" s="30">
        <f>'Equity Volume Data'!H280*'Equity Price Data'!K281</f>
        <v>15639.8</v>
      </c>
      <c r="F280" s="30">
        <f>'Equity Volume Data'!I280*'Equity Price Data'!L281</f>
        <v>51276.8</v>
      </c>
      <c r="G280" s="30">
        <f>'Equity Volume Data'!J280*'Equity Price Data'!M281</f>
        <v>14954.94</v>
      </c>
      <c r="H280" s="30">
        <f>'Equity Volume Data'!K280*'Equity Price Data'!N281</f>
        <v>17145.6</v>
      </c>
      <c r="I280" s="30">
        <f>'Equity Volume Data'!L280*'Equity Price Data'!O281</f>
        <v>18260</v>
      </c>
      <c r="J280" s="30">
        <f>'Equity Volume Data'!M280*'Equity Price Data'!P281</f>
        <v>50334.96</v>
      </c>
      <c r="K280" s="30">
        <f>'Equity Volume Data'!N280*'Equity Price Data'!Q281</f>
        <v>9458</v>
      </c>
      <c r="L280" s="30">
        <f>'Equity Volume Data'!O280*'Equity Price Data'!R281</f>
        <v>15283.51</v>
      </c>
      <c r="M280" s="30">
        <f>'Equity Volume Data'!P280*'Equity Price Data'!S281</f>
        <v>0</v>
      </c>
      <c r="N280" s="30">
        <f>'Equity Volume Data'!Q280*'Equity Price Data'!T281</f>
        <v>5796.8</v>
      </c>
      <c r="O280" s="30">
        <f>'Equity Volume Data'!R280*'Equity Price Data'!U281</f>
        <v>55953</v>
      </c>
      <c r="P280" s="30">
        <f>'Equity Volume Data'!S280*'Equity Price Data'!V281</f>
        <v>30165.78</v>
      </c>
      <c r="Q280" s="30">
        <f>'Equity Volume Data'!T280*'Equity Price Data'!W281</f>
        <v>26347.2</v>
      </c>
      <c r="R280" s="30">
        <f>'Equity Volume Data'!U280*'Equity Price Data'!X281</f>
        <v>11484</v>
      </c>
      <c r="S280" s="30">
        <f>'Equity Volume Data'!V280*'Equity Price Data'!Y281</f>
        <v>27881.04</v>
      </c>
      <c r="T280" s="30">
        <f>'Equity Volume Data'!W280*'Equity Price Data'!Z281</f>
        <v>10730</v>
      </c>
      <c r="U280" s="30">
        <f>'Equity Volume Data'!X280*'Equity Price Data'!AA281</f>
        <v>18535.44</v>
      </c>
      <c r="V280" s="30">
        <f>'Equity Volume Data'!Y280*'Equity Price Data'!AB281</f>
        <v>16130.59</v>
      </c>
      <c r="W280" s="30">
        <f>'Equity Volume Data'!Z280*'Equity Price Data'!AC281</f>
        <v>12258.54</v>
      </c>
      <c r="X280" s="30">
        <f>'Equity Volume Data'!AA280*'Equity Price Data'!AD281</f>
        <v>0</v>
      </c>
      <c r="Y280" s="30">
        <f>'Equity Volume Data'!AB280*'Equity Price Data'!AE281</f>
        <v>5979.61</v>
      </c>
      <c r="Z280" s="30">
        <f>'Equity Volume Data'!AC280*'Equity Price Data'!AF281</f>
        <v>11152.5</v>
      </c>
      <c r="AA280" s="30">
        <f>'Equity Volume Data'!AD280*'Equity Price Data'!AG281</f>
        <v>18417.8</v>
      </c>
      <c r="AB280" s="30">
        <f>'Equity Volume Data'!AE280*'Equity Price Data'!AH281</f>
        <v>13770.6</v>
      </c>
      <c r="AC280" s="30">
        <f>'Equity Volume Data'!AF280*'Equity Price Data'!AI281</f>
        <v>18896.8</v>
      </c>
      <c r="AD280" s="30">
        <f>'Equity Volume Data'!AG280*'Equity Price Data'!AJ281</f>
        <v>12647.25</v>
      </c>
      <c r="AE280" s="30">
        <f>'Equity Volume Data'!AH280*'Equity Price Data'!AK281</f>
        <v>0</v>
      </c>
      <c r="AF280" s="30">
        <f>'Equity Volume Data'!AI280*'Equity Price Data'!AL281</f>
        <v>21976</v>
      </c>
      <c r="AG280" s="30">
        <f>'Equity Volume Data'!AJ280*'Equity Price Data'!AM281</f>
        <v>39726.6</v>
      </c>
      <c r="AH280" s="30">
        <f>'Equity Volume Data'!AK280*'Equity Price Data'!AN281</f>
        <v>36042</v>
      </c>
      <c r="AI280" s="30">
        <f>'Equity Volume Data'!AL280*'Equity Price Data'!AO281</f>
        <v>23577.75</v>
      </c>
      <c r="AJ280" s="30">
        <f>'Equity Volume Data'!AM280*'Equity Price Data'!AP281</f>
        <v>23510.5</v>
      </c>
      <c r="AK280" s="30">
        <f>'Equity Volume Data'!AN280*'Equity Price Data'!AQ281</f>
        <v>24584.76</v>
      </c>
      <c r="AL280" s="30">
        <f>'Equity Volume Data'!AO280*'Equity Price Data'!AR281</f>
        <v>45001.6</v>
      </c>
      <c r="AM280" s="30">
        <f>'Equity Volume Data'!AP280*'Equity Price Data'!AS281</f>
        <v>32214</v>
      </c>
      <c r="AN280" s="30">
        <f>'Equity Volume Data'!AQ280*'Equity Price Data'!AT281</f>
        <v>0</v>
      </c>
      <c r="AO280" s="30">
        <f>'Equity Volume Data'!AR280*'Equity Price Data'!AU281</f>
        <v>26918.08</v>
      </c>
      <c r="AP280" s="30">
        <f>'Equity Volume Data'!AS280*'Equity Price Data'!AV281</f>
        <v>21520</v>
      </c>
      <c r="AQ280" s="30">
        <f>'Equity Volume Data'!AT280*'Equity Price Data'!AW281</f>
        <v>17525.2</v>
      </c>
      <c r="AR280" s="30">
        <f>'Equity Volume Data'!AU280*'Equity Price Data'!AX281</f>
        <v>14766.93</v>
      </c>
      <c r="AS280" s="30">
        <f>'Equity Volume Data'!AV280*'Equity Price Data'!AY281</f>
        <v>58813.2</v>
      </c>
      <c r="AT280" s="30">
        <f>'Equity Volume Data'!AW280*'Equity Price Data'!AZ281</f>
        <v>14280</v>
      </c>
      <c r="AU280" s="30">
        <f>'Equity Volume Data'!AX280*'Equity Price Data'!BA281</f>
        <v>0</v>
      </c>
      <c r="AV280" s="30">
        <f>'Equity Volume Data'!AY280*'Equity Price Data'!BB281</f>
        <v>21001.8</v>
      </c>
      <c r="AW280" s="30">
        <f>'Equity Volume Data'!AZ280*'Equity Price Data'!BC281</f>
        <v>3896.4</v>
      </c>
      <c r="AX280" s="30">
        <f>'Equity Volume Data'!BA280*'Equity Price Data'!BD281</f>
        <v>0</v>
      </c>
      <c r="AY280" s="30">
        <f>'Equity Volume Data'!BB280*'Equity Price Data'!BE281</f>
        <v>57578.46</v>
      </c>
      <c r="AZ280" s="30">
        <f>'Equity Volume Data'!BC280*'Equity Price Data'!BF281</f>
        <v>11037</v>
      </c>
      <c r="BA280" s="30">
        <f>'Equity Volume Data'!BD280*'Equity Price Data'!BG281</f>
        <v>4618.9</v>
      </c>
      <c r="BB280" s="30">
        <f>'Equity Volume Data'!BE280*'Equity Price Data'!BH281</f>
        <v>11348</v>
      </c>
      <c r="BC280" s="30">
        <f>'Equity Volume Data'!BF280*'Equity Price Data'!BI281</f>
        <v>13129.84</v>
      </c>
      <c r="BD280" s="30">
        <f>'Equity Volume Data'!BG280*'Equity Price Data'!BJ281</f>
        <v>48951.66</v>
      </c>
      <c r="BE280" s="30">
        <f>'Equity Volume Data'!BH280*'Equity Price Data'!BK281</f>
        <v>9300.51</v>
      </c>
      <c r="BF280" s="30">
        <f>'Equity Volume Data'!BI280*'Equity Price Data'!BL281</f>
        <v>6863.2</v>
      </c>
      <c r="BG280" s="30">
        <f>'Equity Volume Data'!BJ280*'Equity Price Data'!BM281</f>
        <v>36873.92</v>
      </c>
      <c r="BH280" s="30">
        <f>'Equity Volume Data'!BK280*'Equity Price Data'!BN281</f>
        <v>0</v>
      </c>
      <c r="BI280" s="30">
        <f>'Equity Volume Data'!BL280*'Equity Price Data'!BO281</f>
        <v>36465.6</v>
      </c>
      <c r="BJ280" s="30">
        <f>'Equity Volume Data'!BM280*'Equity Price Data'!BP281</f>
        <v>22921.5</v>
      </c>
      <c r="BK280" s="30">
        <f>'Equity Volume Data'!BN280*'Equity Price Data'!BQ281</f>
        <v>90388.32</v>
      </c>
      <c r="BL280" s="30">
        <f>'Equity Volume Data'!BO280*'Equity Price Data'!BR281</f>
        <v>420.65</v>
      </c>
      <c r="BM280" s="30">
        <f>'Equity Volume Data'!BP280*'Equity Price Data'!BS281</f>
        <v>11238.72</v>
      </c>
      <c r="BN280" s="30">
        <f>'Equity Volume Data'!BQ280*'Equity Price Data'!BT281</f>
        <v>22306.2</v>
      </c>
      <c r="BO280" s="30">
        <f>'Equity Volume Data'!BR280*'Equity Price Data'!BU281</f>
        <v>28381</v>
      </c>
    </row>
    <row r="281">
      <c r="A281" s="25">
        <f>'Equity Price Data'!A282</f>
        <v>45833.66667</v>
      </c>
      <c r="B281" s="29">
        <f t="shared" si="1"/>
        <v>1382219.28</v>
      </c>
      <c r="C281" s="30">
        <f>'Equity Volume Data'!F281*'Equity Price Data'!I282</f>
        <v>5038.15</v>
      </c>
      <c r="D281" s="30">
        <f>'Equity Volume Data'!G281*'Equity Price Data'!J282</f>
        <v>55117.4</v>
      </c>
      <c r="E281" s="30">
        <f>'Equity Volume Data'!H281*'Equity Price Data'!K282</f>
        <v>15405.5</v>
      </c>
      <c r="F281" s="30">
        <f>'Equity Volume Data'!I281*'Equity Price Data'!L282</f>
        <v>51599.36</v>
      </c>
      <c r="G281" s="30">
        <f>'Equity Volume Data'!J281*'Equity Price Data'!M282</f>
        <v>15194.81</v>
      </c>
      <c r="H281" s="30">
        <f>'Equity Volume Data'!K281*'Equity Price Data'!N282</f>
        <v>16920</v>
      </c>
      <c r="I281" s="30">
        <f>'Equity Volume Data'!L281*'Equity Price Data'!O282</f>
        <v>18170</v>
      </c>
      <c r="J281" s="30">
        <f>'Equity Volume Data'!M281*'Equity Price Data'!P282</f>
        <v>49593.42</v>
      </c>
      <c r="K281" s="30">
        <f>'Equity Volume Data'!N281*'Equity Price Data'!Q282</f>
        <v>9348</v>
      </c>
      <c r="L281" s="30">
        <f>'Equity Volume Data'!O281*'Equity Price Data'!R282</f>
        <v>15404.51</v>
      </c>
      <c r="M281" s="30">
        <f>'Equity Volume Data'!P281*'Equity Price Data'!S282</f>
        <v>0</v>
      </c>
      <c r="N281" s="30">
        <f>'Equity Volume Data'!Q281*'Equity Price Data'!T282</f>
        <v>5794.4</v>
      </c>
      <c r="O281" s="30">
        <f>'Equity Volume Data'!R281*'Equity Price Data'!U282</f>
        <v>55737</v>
      </c>
      <c r="P281" s="30">
        <f>'Equity Volume Data'!S281*'Equity Price Data'!V282</f>
        <v>29786.31</v>
      </c>
      <c r="Q281" s="30">
        <f>'Equity Volume Data'!T281*'Equity Price Data'!W282</f>
        <v>26271.6</v>
      </c>
      <c r="R281" s="30">
        <f>'Equity Volume Data'!U281*'Equity Price Data'!X282</f>
        <v>11458.4</v>
      </c>
      <c r="S281" s="30">
        <f>'Equity Volume Data'!V281*'Equity Price Data'!Y282</f>
        <v>27808</v>
      </c>
      <c r="T281" s="30">
        <f>'Equity Volume Data'!W281*'Equity Price Data'!Z282</f>
        <v>10780</v>
      </c>
      <c r="U281" s="30">
        <f>'Equity Volume Data'!X281*'Equity Price Data'!AA282</f>
        <v>18382.32</v>
      </c>
      <c r="V281" s="30">
        <f>'Equity Volume Data'!Y281*'Equity Price Data'!AB282</f>
        <v>15786.05</v>
      </c>
      <c r="W281" s="30">
        <f>'Equity Volume Data'!Z281*'Equity Price Data'!AC282</f>
        <v>11885.25</v>
      </c>
      <c r="X281" s="30">
        <f>'Equity Volume Data'!AA281*'Equity Price Data'!AD282</f>
        <v>0</v>
      </c>
      <c r="Y281" s="30">
        <f>'Equity Volume Data'!AB281*'Equity Price Data'!AE282</f>
        <v>5890.69</v>
      </c>
      <c r="Z281" s="30">
        <f>'Equity Volume Data'!AC281*'Equity Price Data'!AF282</f>
        <v>11178</v>
      </c>
      <c r="AA281" s="30">
        <f>'Equity Volume Data'!AD281*'Equity Price Data'!AG282</f>
        <v>18422.9</v>
      </c>
      <c r="AB281" s="30">
        <f>'Equity Volume Data'!AE281*'Equity Price Data'!AH282</f>
        <v>13320</v>
      </c>
      <c r="AC281" s="30">
        <f>'Equity Volume Data'!AF281*'Equity Price Data'!AI282</f>
        <v>19004.8</v>
      </c>
      <c r="AD281" s="30">
        <f>'Equity Volume Data'!AG281*'Equity Price Data'!AJ282</f>
        <v>12865.95</v>
      </c>
      <c r="AE281" s="30">
        <f>'Equity Volume Data'!AH281*'Equity Price Data'!AK282</f>
        <v>0</v>
      </c>
      <c r="AF281" s="30">
        <f>'Equity Volume Data'!AI281*'Equity Price Data'!AL282</f>
        <v>21715.65</v>
      </c>
      <c r="AG281" s="30">
        <f>'Equity Volume Data'!AJ281*'Equity Price Data'!AM282</f>
        <v>40192.2</v>
      </c>
      <c r="AH281" s="30">
        <f>'Equity Volume Data'!AK281*'Equity Price Data'!AN282</f>
        <v>36186</v>
      </c>
      <c r="AI281" s="30">
        <f>'Equity Volume Data'!AL281*'Equity Price Data'!AO282</f>
        <v>23289</v>
      </c>
      <c r="AJ281" s="30">
        <f>'Equity Volume Data'!AM281*'Equity Price Data'!AP282</f>
        <v>23468.9</v>
      </c>
      <c r="AK281" s="30">
        <f>'Equity Volume Data'!AN281*'Equity Price Data'!AQ282</f>
        <v>24516.61</v>
      </c>
      <c r="AL281" s="30">
        <f>'Equity Volume Data'!AO281*'Equity Price Data'!AR282</f>
        <v>45449.6</v>
      </c>
      <c r="AM281" s="30">
        <f>'Equity Volume Data'!AP281*'Equity Price Data'!AS282</f>
        <v>32087.3</v>
      </c>
      <c r="AN281" s="30">
        <f>'Equity Volume Data'!AQ281*'Equity Price Data'!AT282</f>
        <v>0</v>
      </c>
      <c r="AO281" s="30">
        <f>'Equity Volume Data'!AR281*'Equity Price Data'!AU282</f>
        <v>26713.12</v>
      </c>
      <c r="AP281" s="30">
        <f>'Equity Volume Data'!AS281*'Equity Price Data'!AV282</f>
        <v>21492.5</v>
      </c>
      <c r="AQ281" s="30">
        <f>'Equity Volume Data'!AT281*'Equity Price Data'!AW282</f>
        <v>17404.2</v>
      </c>
      <c r="AR281" s="30">
        <f>'Equity Volume Data'!AU281*'Equity Price Data'!AX282</f>
        <v>14974.2</v>
      </c>
      <c r="AS281" s="30">
        <f>'Equity Volume Data'!AV281*'Equity Price Data'!AY282</f>
        <v>59072.4</v>
      </c>
      <c r="AT281" s="30">
        <f>'Equity Volume Data'!AW281*'Equity Price Data'!AZ282</f>
        <v>14068</v>
      </c>
      <c r="AU281" s="30">
        <f>'Equity Volume Data'!AX281*'Equity Price Data'!BA282</f>
        <v>0</v>
      </c>
      <c r="AV281" s="30">
        <f>'Equity Volume Data'!AY281*'Equity Price Data'!BB282</f>
        <v>21912.02</v>
      </c>
      <c r="AW281" s="30">
        <f>'Equity Volume Data'!AZ281*'Equity Price Data'!BC282</f>
        <v>3865.2</v>
      </c>
      <c r="AX281" s="30">
        <f>'Equity Volume Data'!BA281*'Equity Price Data'!BD282</f>
        <v>0</v>
      </c>
      <c r="AY281" s="30">
        <f>'Equity Volume Data'!BB281*'Equity Price Data'!BE282</f>
        <v>57445.8</v>
      </c>
      <c r="AZ281" s="30">
        <f>'Equity Volume Data'!BC281*'Equity Price Data'!BF282</f>
        <v>10960.5</v>
      </c>
      <c r="BA281" s="30">
        <f>'Equity Volume Data'!BD281*'Equity Price Data'!BG282</f>
        <v>4609.4</v>
      </c>
      <c r="BB281" s="30">
        <f>'Equity Volume Data'!BE281*'Equity Price Data'!BH282</f>
        <v>11310.4</v>
      </c>
      <c r="BC281" s="30">
        <f>'Equity Volume Data'!BF281*'Equity Price Data'!BI282</f>
        <v>12598.48</v>
      </c>
      <c r="BD281" s="30">
        <f>'Equity Volume Data'!BG281*'Equity Price Data'!BJ282</f>
        <v>49181.7</v>
      </c>
      <c r="BE281" s="30">
        <f>'Equity Volume Data'!BH281*'Equity Price Data'!BK282</f>
        <v>9444.95</v>
      </c>
      <c r="BF281" s="30">
        <f>'Equity Volume Data'!BI281*'Equity Price Data'!BL282</f>
        <v>6766</v>
      </c>
      <c r="BG281" s="30">
        <f>'Equity Volume Data'!BJ281*'Equity Price Data'!BM282</f>
        <v>35745.24</v>
      </c>
      <c r="BH281" s="30">
        <f>'Equity Volume Data'!BK281*'Equity Price Data'!BN282</f>
        <v>0</v>
      </c>
      <c r="BI281" s="30">
        <f>'Equity Volume Data'!BL281*'Equity Price Data'!BO282</f>
        <v>36289.6</v>
      </c>
      <c r="BJ281" s="30">
        <f>'Equity Volume Data'!BM281*'Equity Price Data'!BP282</f>
        <v>22651.5</v>
      </c>
      <c r="BK281" s="30">
        <f>'Equity Volume Data'!BN281*'Equity Price Data'!BQ282</f>
        <v>90424.36</v>
      </c>
      <c r="BL281" s="30">
        <f>'Equity Volume Data'!BO281*'Equity Price Data'!BR282</f>
        <v>417.83</v>
      </c>
      <c r="BM281" s="30">
        <f>'Equity Volume Data'!BP281*'Equity Price Data'!BS282</f>
        <v>10971.84</v>
      </c>
      <c r="BN281" s="30">
        <f>'Equity Volume Data'!BQ281*'Equity Price Data'!BT282</f>
        <v>22450.96</v>
      </c>
      <c r="BO281" s="30">
        <f>'Equity Volume Data'!BR281*'Equity Price Data'!BU282</f>
        <v>28381</v>
      </c>
    </row>
    <row r="282">
      <c r="A282" s="25">
        <f>'Equity Price Data'!A283</f>
        <v>45834.66667</v>
      </c>
      <c r="B282" s="29">
        <f t="shared" si="1"/>
        <v>1395258.13</v>
      </c>
      <c r="C282" s="30">
        <f>'Equity Volume Data'!F282*'Equity Price Data'!I283</f>
        <v>5004.35</v>
      </c>
      <c r="D282" s="30">
        <f>'Equity Volume Data'!G282*'Equity Price Data'!J283</f>
        <v>56451.2</v>
      </c>
      <c r="E282" s="30">
        <f>'Equity Volume Data'!H282*'Equity Price Data'!K283</f>
        <v>15226.2</v>
      </c>
      <c r="F282" s="30">
        <f>'Equity Volume Data'!I282*'Equity Price Data'!L283</f>
        <v>51456</v>
      </c>
      <c r="G282" s="30">
        <f>'Equity Volume Data'!J282*'Equity Price Data'!M283</f>
        <v>15232.16</v>
      </c>
      <c r="H282" s="30">
        <f>'Equity Volume Data'!K282*'Equity Price Data'!N283</f>
        <v>16927.52</v>
      </c>
      <c r="I282" s="30">
        <f>'Equity Volume Data'!L282*'Equity Price Data'!O283</f>
        <v>18330</v>
      </c>
      <c r="J282" s="30">
        <f>'Equity Volume Data'!M282*'Equity Price Data'!P283</f>
        <v>49475.1</v>
      </c>
      <c r="K282" s="30">
        <f>'Equity Volume Data'!N282*'Equity Price Data'!Q283</f>
        <v>9668</v>
      </c>
      <c r="L282" s="30">
        <f>'Equity Volume Data'!O282*'Equity Price Data'!R283</f>
        <v>15357.32</v>
      </c>
      <c r="M282" s="30">
        <f>'Equity Volume Data'!P282*'Equity Price Data'!S283</f>
        <v>0</v>
      </c>
      <c r="N282" s="30">
        <f>'Equity Volume Data'!Q282*'Equity Price Data'!T283</f>
        <v>5807.2</v>
      </c>
      <c r="O282" s="30">
        <f>'Equity Volume Data'!R282*'Equity Price Data'!U283</f>
        <v>57282</v>
      </c>
      <c r="P282" s="30">
        <f>'Equity Volume Data'!S282*'Equity Price Data'!V283</f>
        <v>31049.82</v>
      </c>
      <c r="Q282" s="30">
        <f>'Equity Volume Data'!T282*'Equity Price Data'!W283</f>
        <v>26265.6</v>
      </c>
      <c r="R282" s="30">
        <f>'Equity Volume Data'!U282*'Equity Price Data'!X283</f>
        <v>11555.2</v>
      </c>
      <c r="S282" s="30">
        <f>'Equity Volume Data'!V282*'Equity Price Data'!Y283</f>
        <v>29040</v>
      </c>
      <c r="T282" s="30">
        <f>'Equity Volume Data'!W282*'Equity Price Data'!Z283</f>
        <v>11030</v>
      </c>
      <c r="U282" s="30">
        <f>'Equity Volume Data'!X282*'Equity Price Data'!AA283</f>
        <v>18340.08</v>
      </c>
      <c r="V282" s="30">
        <f>'Equity Volume Data'!Y282*'Equity Price Data'!AB283</f>
        <v>15844.01</v>
      </c>
      <c r="W282" s="30">
        <f>'Equity Volume Data'!Z282*'Equity Price Data'!AC283</f>
        <v>11701.71</v>
      </c>
      <c r="X282" s="30">
        <f>'Equity Volume Data'!AA282*'Equity Price Data'!AD283</f>
        <v>0</v>
      </c>
      <c r="Y282" s="30">
        <f>'Equity Volume Data'!AB282*'Equity Price Data'!AE283</f>
        <v>5911.36</v>
      </c>
      <c r="Z282" s="30">
        <f>'Equity Volume Data'!AC282*'Equity Price Data'!AF283</f>
        <v>11052</v>
      </c>
      <c r="AA282" s="30">
        <f>'Equity Volume Data'!AD282*'Equity Price Data'!AG283</f>
        <v>18698.3</v>
      </c>
      <c r="AB282" s="30">
        <f>'Equity Volume Data'!AE282*'Equity Price Data'!AH283</f>
        <v>13264.2</v>
      </c>
      <c r="AC282" s="30">
        <f>'Equity Volume Data'!AF282*'Equity Price Data'!AI283</f>
        <v>19101.6</v>
      </c>
      <c r="AD282" s="30">
        <f>'Equity Volume Data'!AG282*'Equity Price Data'!AJ283</f>
        <v>13112.55</v>
      </c>
      <c r="AE282" s="30">
        <f>'Equity Volume Data'!AH282*'Equity Price Data'!AK283</f>
        <v>0</v>
      </c>
      <c r="AF282" s="30">
        <f>'Equity Volume Data'!AI282*'Equity Price Data'!AL283</f>
        <v>22062.1</v>
      </c>
      <c r="AG282" s="30">
        <f>'Equity Volume Data'!AJ282*'Equity Price Data'!AM283</f>
        <v>41229.6</v>
      </c>
      <c r="AH282" s="30">
        <f>'Equity Volume Data'!AK282*'Equity Price Data'!AN283</f>
        <v>36350</v>
      </c>
      <c r="AI282" s="30">
        <f>'Equity Volume Data'!AL282*'Equity Price Data'!AO283</f>
        <v>23483.25</v>
      </c>
      <c r="AJ282" s="30">
        <f>'Equity Volume Data'!AM282*'Equity Price Data'!AP283</f>
        <v>23504</v>
      </c>
      <c r="AK282" s="30">
        <f>'Equity Volume Data'!AN282*'Equity Price Data'!AQ283</f>
        <v>25106.93</v>
      </c>
      <c r="AL282" s="30">
        <f>'Equity Volume Data'!AO282*'Equity Price Data'!AR283</f>
        <v>46200</v>
      </c>
      <c r="AM282" s="30">
        <f>'Equity Volume Data'!AP282*'Equity Price Data'!AS283</f>
        <v>32053</v>
      </c>
      <c r="AN282" s="30">
        <f>'Equity Volume Data'!AQ282*'Equity Price Data'!AT283</f>
        <v>0</v>
      </c>
      <c r="AO282" s="30">
        <f>'Equity Volume Data'!AR282*'Equity Price Data'!AU283</f>
        <v>27396.32</v>
      </c>
      <c r="AP282" s="30">
        <f>'Equity Volume Data'!AS282*'Equity Price Data'!AV283</f>
        <v>21545</v>
      </c>
      <c r="AQ282" s="30">
        <f>'Equity Volume Data'!AT282*'Equity Price Data'!AW283</f>
        <v>17591.2</v>
      </c>
      <c r="AR282" s="30">
        <f>'Equity Volume Data'!AU282*'Equity Price Data'!AX283</f>
        <v>15223.77</v>
      </c>
      <c r="AS282" s="30">
        <f>'Equity Volume Data'!AV282*'Equity Price Data'!AY283</f>
        <v>59694</v>
      </c>
      <c r="AT282" s="30">
        <f>'Equity Volume Data'!AW282*'Equity Price Data'!AZ283</f>
        <v>14198</v>
      </c>
      <c r="AU282" s="30">
        <f>'Equity Volume Data'!AX282*'Equity Price Data'!BA283</f>
        <v>0</v>
      </c>
      <c r="AV282" s="30">
        <f>'Equity Volume Data'!AY282*'Equity Price Data'!BB283</f>
        <v>22012.84</v>
      </c>
      <c r="AW282" s="30">
        <f>'Equity Volume Data'!AZ282*'Equity Price Data'!BC283</f>
        <v>3900.8</v>
      </c>
      <c r="AX282" s="30">
        <f>'Equity Volume Data'!BA282*'Equity Price Data'!BD283</f>
        <v>0</v>
      </c>
      <c r="AY282" s="30">
        <f>'Equity Volume Data'!BB282*'Equity Price Data'!BE283</f>
        <v>57988.5</v>
      </c>
      <c r="AZ282" s="30">
        <f>'Equity Volume Data'!BC282*'Equity Price Data'!BF283</f>
        <v>10975.5</v>
      </c>
      <c r="BA282" s="30">
        <f>'Equity Volume Data'!BD282*'Equity Price Data'!BG283</f>
        <v>4605.6</v>
      </c>
      <c r="BB282" s="30">
        <f>'Equity Volume Data'!BE282*'Equity Price Data'!BH283</f>
        <v>11413.6</v>
      </c>
      <c r="BC282" s="30">
        <f>'Equity Volume Data'!BF282*'Equity Price Data'!BI283</f>
        <v>12293.44</v>
      </c>
      <c r="BD282" s="30">
        <f>'Equity Volume Data'!BG282*'Equity Price Data'!BJ283</f>
        <v>49292.46</v>
      </c>
      <c r="BE282" s="30">
        <f>'Equity Volume Data'!BH282*'Equity Price Data'!BK283</f>
        <v>9478.76</v>
      </c>
      <c r="BF282" s="30">
        <f>'Equity Volume Data'!BI282*'Equity Price Data'!BL283</f>
        <v>6825.2</v>
      </c>
      <c r="BG282" s="30">
        <f>'Equity Volume Data'!BJ282*'Equity Price Data'!BM283</f>
        <v>36156.68</v>
      </c>
      <c r="BH282" s="30">
        <f>'Equity Volume Data'!BK282*'Equity Price Data'!BN283</f>
        <v>0</v>
      </c>
      <c r="BI282" s="30">
        <f>'Equity Volume Data'!BL282*'Equity Price Data'!BO283</f>
        <v>36702.4</v>
      </c>
      <c r="BJ282" s="30">
        <f>'Equity Volume Data'!BM282*'Equity Price Data'!BP283</f>
        <v>22696.5</v>
      </c>
      <c r="BK282" s="30">
        <f>'Equity Volume Data'!BN282*'Equity Price Data'!BQ283</f>
        <v>90568.52</v>
      </c>
      <c r="BL282" s="30">
        <f>'Equity Volume Data'!BO282*'Equity Price Data'!BR283</f>
        <v>428.64</v>
      </c>
      <c r="BM282" s="30">
        <f>'Equity Volume Data'!BP282*'Equity Price Data'!BS283</f>
        <v>10882.56</v>
      </c>
      <c r="BN282" s="30">
        <f>'Equity Volume Data'!BQ282*'Equity Price Data'!BT283</f>
        <v>22834.48</v>
      </c>
      <c r="BO282" s="30">
        <f>'Equity Volume Data'!BR282*'Equity Price Data'!BU283</f>
        <v>28381</v>
      </c>
    </row>
    <row r="283">
      <c r="A283" s="25">
        <f>'Equity Price Data'!A284</f>
        <v>45835.66667</v>
      </c>
      <c r="B283" s="29">
        <f t="shared" si="1"/>
        <v>1395082.39</v>
      </c>
      <c r="C283" s="30">
        <f>'Equity Volume Data'!F283*'Equity Price Data'!I284</f>
        <v>5015.79</v>
      </c>
      <c r="D283" s="30">
        <f>'Equity Volume Data'!G283*'Equity Price Data'!J284</f>
        <v>58058</v>
      </c>
      <c r="E283" s="30">
        <f>'Equity Volume Data'!H283*'Equity Price Data'!K284</f>
        <v>15171.2</v>
      </c>
      <c r="F283" s="30">
        <f>'Equity Volume Data'!I283*'Equity Price Data'!L284</f>
        <v>51476.48</v>
      </c>
      <c r="G283" s="30">
        <f>'Equity Volume Data'!J283*'Equity Price Data'!M284</f>
        <v>15206.43</v>
      </c>
      <c r="H283" s="30">
        <f>'Equity Volume Data'!K283*'Equity Price Data'!N284</f>
        <v>17141.84</v>
      </c>
      <c r="I283" s="30">
        <f>'Equity Volume Data'!L283*'Equity Price Data'!O284</f>
        <v>18610</v>
      </c>
      <c r="J283" s="30">
        <f>'Equity Volume Data'!M283*'Equity Price Data'!P284</f>
        <v>49539.36</v>
      </c>
      <c r="K283" s="30">
        <f>'Equity Volume Data'!N283*'Equity Price Data'!Q284</f>
        <v>9724</v>
      </c>
      <c r="L283" s="30">
        <f>'Equity Volume Data'!O283*'Equity Price Data'!R284</f>
        <v>15255.68</v>
      </c>
      <c r="M283" s="30">
        <f>'Equity Volume Data'!P283*'Equity Price Data'!S284</f>
        <v>0</v>
      </c>
      <c r="N283" s="30">
        <f>'Equity Volume Data'!Q283*'Equity Price Data'!T284</f>
        <v>5893.6</v>
      </c>
      <c r="O283" s="30">
        <f>'Equity Volume Data'!R283*'Equity Price Data'!U284</f>
        <v>57706.5</v>
      </c>
      <c r="P283" s="30">
        <f>'Equity Volume Data'!S283*'Equity Price Data'!V284</f>
        <v>30553.59</v>
      </c>
      <c r="Q283" s="30">
        <f>'Equity Volume Data'!T283*'Equity Price Data'!W284</f>
        <v>25974</v>
      </c>
      <c r="R283" s="30">
        <f>'Equity Volume Data'!U283*'Equity Price Data'!X284</f>
        <v>11503.2</v>
      </c>
      <c r="S283" s="30">
        <f>'Equity Volume Data'!V283*'Equity Price Data'!Y284</f>
        <v>28715.28</v>
      </c>
      <c r="T283" s="30">
        <f>'Equity Volume Data'!W283*'Equity Price Data'!Z284</f>
        <v>11107.5</v>
      </c>
      <c r="U283" s="30">
        <f>'Equity Volume Data'!X283*'Equity Price Data'!AA284</f>
        <v>18567.12</v>
      </c>
      <c r="V283" s="30">
        <f>'Equity Volume Data'!Y283*'Equity Price Data'!AB284</f>
        <v>15802.15</v>
      </c>
      <c r="W283" s="30">
        <f>'Equity Volume Data'!Z283*'Equity Price Data'!AC284</f>
        <v>11823.84</v>
      </c>
      <c r="X283" s="30">
        <f>'Equity Volume Data'!AA283*'Equity Price Data'!AD284</f>
        <v>0</v>
      </c>
      <c r="Y283" s="30">
        <f>'Equity Volume Data'!AB283*'Equity Price Data'!AE284</f>
        <v>5803.07</v>
      </c>
      <c r="Z283" s="30">
        <f>'Equity Volume Data'!AC283*'Equity Price Data'!AF284</f>
        <v>11064</v>
      </c>
      <c r="AA283" s="30">
        <f>'Equity Volume Data'!AD283*'Equity Price Data'!AG284</f>
        <v>18594.6</v>
      </c>
      <c r="AB283" s="30">
        <f>'Equity Volume Data'!AE283*'Equity Price Data'!AH284</f>
        <v>13734.6</v>
      </c>
      <c r="AC283" s="30">
        <f>'Equity Volume Data'!AF283*'Equity Price Data'!AI284</f>
        <v>19644</v>
      </c>
      <c r="AD283" s="30">
        <f>'Equity Volume Data'!AG283*'Equity Price Data'!AJ284</f>
        <v>13083.3</v>
      </c>
      <c r="AE283" s="30">
        <f>'Equity Volume Data'!AH283*'Equity Price Data'!AK284</f>
        <v>0</v>
      </c>
      <c r="AF283" s="30">
        <f>'Equity Volume Data'!AI283*'Equity Price Data'!AL284</f>
        <v>22687.35</v>
      </c>
      <c r="AG283" s="30">
        <f>'Equity Volume Data'!AJ283*'Equity Price Data'!AM284</f>
        <v>41448.6</v>
      </c>
      <c r="AH283" s="30">
        <f>'Equity Volume Data'!AK283*'Equity Price Data'!AN284</f>
        <v>36874</v>
      </c>
      <c r="AI283" s="30">
        <f>'Equity Volume Data'!AL283*'Equity Price Data'!AO284</f>
        <v>23700.25</v>
      </c>
      <c r="AJ283" s="30">
        <f>'Equity Volume Data'!AM283*'Equity Price Data'!AP284</f>
        <v>23627.5</v>
      </c>
      <c r="AK283" s="30">
        <f>'Equity Volume Data'!AN283*'Equity Price Data'!AQ284</f>
        <v>25084.37</v>
      </c>
      <c r="AL283" s="30">
        <f>'Equity Volume Data'!AO283*'Equity Price Data'!AR284</f>
        <v>45937.6</v>
      </c>
      <c r="AM283" s="30">
        <f>'Equity Volume Data'!AP283*'Equity Price Data'!AS284</f>
        <v>32101.3</v>
      </c>
      <c r="AN283" s="30">
        <f>'Equity Volume Data'!AQ283*'Equity Price Data'!AT284</f>
        <v>0</v>
      </c>
      <c r="AO283" s="30">
        <f>'Equity Volume Data'!AR283*'Equity Price Data'!AU284</f>
        <v>27319.46</v>
      </c>
      <c r="AP283" s="30">
        <f>'Equity Volume Data'!AS283*'Equity Price Data'!AV284</f>
        <v>21505</v>
      </c>
      <c r="AQ283" s="30">
        <f>'Equity Volume Data'!AT283*'Equity Price Data'!AW284</f>
        <v>17681.4</v>
      </c>
      <c r="AR283" s="30">
        <f>'Equity Volume Data'!AU283*'Equity Price Data'!AX284</f>
        <v>13916.7</v>
      </c>
      <c r="AS283" s="30">
        <f>'Equity Volume Data'!AV283*'Equity Price Data'!AY284</f>
        <v>59512.8</v>
      </c>
      <c r="AT283" s="30">
        <f>'Equity Volume Data'!AW283*'Equity Price Data'!AZ284</f>
        <v>14178</v>
      </c>
      <c r="AU283" s="30">
        <f>'Equity Volume Data'!AX283*'Equity Price Data'!BA284</f>
        <v>0</v>
      </c>
      <c r="AV283" s="30">
        <f>'Equity Volume Data'!AY283*'Equity Price Data'!BB284</f>
        <v>22400.5</v>
      </c>
      <c r="AW283" s="30">
        <f>'Equity Volume Data'!AZ283*'Equity Price Data'!BC284</f>
        <v>3904</v>
      </c>
      <c r="AX283" s="30">
        <f>'Equity Volume Data'!BA283*'Equity Price Data'!BD284</f>
        <v>0</v>
      </c>
      <c r="AY283" s="30">
        <f>'Equity Volume Data'!BB283*'Equity Price Data'!BE284</f>
        <v>52557.48</v>
      </c>
      <c r="AZ283" s="30">
        <f>'Equity Volume Data'!BC283*'Equity Price Data'!BF284</f>
        <v>11046</v>
      </c>
      <c r="BA283" s="30">
        <f>'Equity Volume Data'!BD283*'Equity Price Data'!BG284</f>
        <v>4596.1</v>
      </c>
      <c r="BB283" s="30">
        <f>'Equity Volume Data'!BE283*'Equity Price Data'!BH284</f>
        <v>11572.8</v>
      </c>
      <c r="BC283" s="30">
        <f>'Equity Volume Data'!BF283*'Equity Price Data'!BI284</f>
        <v>12106.48</v>
      </c>
      <c r="BD283" s="30">
        <f>'Equity Volume Data'!BG283*'Equity Price Data'!BJ284</f>
        <v>50108.25</v>
      </c>
      <c r="BE283" s="30">
        <f>'Equity Volume Data'!BH283*'Equity Price Data'!BK284</f>
        <v>9390.44</v>
      </c>
      <c r="BF283" s="30">
        <f>'Equity Volume Data'!BI283*'Equity Price Data'!BL284</f>
        <v>7029.6</v>
      </c>
      <c r="BG283" s="30">
        <f>'Equity Volume Data'!BJ283*'Equity Price Data'!BM284</f>
        <v>36543.1</v>
      </c>
      <c r="BH283" s="30">
        <f>'Equity Volume Data'!BK283*'Equity Price Data'!BN284</f>
        <v>0</v>
      </c>
      <c r="BI283" s="30">
        <f>'Equity Volume Data'!BL283*'Equity Price Data'!BO284</f>
        <v>37025.6</v>
      </c>
      <c r="BJ283" s="30">
        <f>'Equity Volume Data'!BM283*'Equity Price Data'!BP284</f>
        <v>23183.25</v>
      </c>
      <c r="BK283" s="30">
        <f>'Equity Volume Data'!BN283*'Equity Price Data'!BQ284</f>
        <v>90514.46</v>
      </c>
      <c r="BL283" s="30">
        <f>'Equity Volume Data'!BO283*'Equity Price Data'!BR284</f>
        <v>423.47</v>
      </c>
      <c r="BM283" s="30">
        <f>'Equity Volume Data'!BP283*'Equity Price Data'!BS284</f>
        <v>10956.48</v>
      </c>
      <c r="BN283" s="30">
        <f>'Equity Volume Data'!BQ283*'Equity Price Data'!BT284</f>
        <v>22999.92</v>
      </c>
      <c r="BO283" s="30">
        <f>'Equity Volume Data'!BR283*'Equity Price Data'!BU284</f>
        <v>28381</v>
      </c>
    </row>
    <row r="284">
      <c r="A284" s="25">
        <f>'Equity Price Data'!A285</f>
        <v>45838.66667</v>
      </c>
      <c r="B284" s="29">
        <f t="shared" si="1"/>
        <v>1404468.34</v>
      </c>
      <c r="C284" s="30">
        <f>'Equity Volume Data'!F284*'Equity Price Data'!I285</f>
        <v>5029.44</v>
      </c>
      <c r="D284" s="30">
        <f>'Equity Volume Data'!G284*'Equity Price Data'!J285</f>
        <v>57041.4</v>
      </c>
      <c r="E284" s="30">
        <f>'Equity Volume Data'!H284*'Equity Price Data'!K285</f>
        <v>15302.1</v>
      </c>
      <c r="F284" s="30">
        <f>'Equity Volume Data'!I284*'Equity Price Data'!L285</f>
        <v>52523.52</v>
      </c>
      <c r="G284" s="30">
        <f>'Equity Volume Data'!J284*'Equity Price Data'!M285</f>
        <v>15194.81</v>
      </c>
      <c r="H284" s="30">
        <f>'Equity Volume Data'!K284*'Equity Price Data'!N285</f>
        <v>17128.68</v>
      </c>
      <c r="I284" s="30">
        <f>'Equity Volume Data'!L284*'Equity Price Data'!O285</f>
        <v>18590</v>
      </c>
      <c r="J284" s="30">
        <f>'Equity Volume Data'!M284*'Equity Price Data'!P285</f>
        <v>49548.54</v>
      </c>
      <c r="K284" s="30">
        <f>'Equity Volume Data'!N284*'Equity Price Data'!Q285</f>
        <v>9618</v>
      </c>
      <c r="L284" s="30">
        <f>'Equity Volume Data'!O284*'Equity Price Data'!R285</f>
        <v>15196.39</v>
      </c>
      <c r="M284" s="30">
        <f>'Equity Volume Data'!P284*'Equity Price Data'!S285</f>
        <v>0</v>
      </c>
      <c r="N284" s="30">
        <f>'Equity Volume Data'!Q284*'Equity Price Data'!T285</f>
        <v>5855.2</v>
      </c>
      <c r="O284" s="30">
        <f>'Equity Volume Data'!R284*'Equity Price Data'!U285</f>
        <v>58231.5</v>
      </c>
      <c r="P284" s="30">
        <f>'Equity Volume Data'!S284*'Equity Price Data'!V285</f>
        <v>30953.91</v>
      </c>
      <c r="Q284" s="30">
        <f>'Equity Volume Data'!T284*'Equity Price Data'!W285</f>
        <v>26550</v>
      </c>
      <c r="R284" s="30">
        <f>'Equity Volume Data'!U284*'Equity Price Data'!X285</f>
        <v>11455.2</v>
      </c>
      <c r="S284" s="30">
        <f>'Equity Volume Data'!V284*'Equity Price Data'!Y285</f>
        <v>29091.04</v>
      </c>
      <c r="T284" s="30">
        <f>'Equity Volume Data'!W284*'Equity Price Data'!Z285</f>
        <v>11187.5</v>
      </c>
      <c r="U284" s="30">
        <f>'Equity Volume Data'!X284*'Equity Price Data'!AA285</f>
        <v>18678</v>
      </c>
      <c r="V284" s="30">
        <f>'Equity Volume Data'!Y284*'Equity Price Data'!AB285</f>
        <v>16156.35</v>
      </c>
      <c r="W284" s="30">
        <f>'Equity Volume Data'!Z284*'Equity Price Data'!AC285</f>
        <v>12028.77</v>
      </c>
      <c r="X284" s="30">
        <f>'Equity Volume Data'!AA284*'Equity Price Data'!AD285</f>
        <v>0</v>
      </c>
      <c r="Y284" s="30">
        <f>'Equity Volume Data'!AB284*'Equity Price Data'!AE285</f>
        <v>5857.8</v>
      </c>
      <c r="Z284" s="30">
        <f>'Equity Volume Data'!AC284*'Equity Price Data'!AF285</f>
        <v>11169</v>
      </c>
      <c r="AA284" s="30">
        <f>'Equity Volume Data'!AD284*'Equity Price Data'!AG285</f>
        <v>18326</v>
      </c>
      <c r="AB284" s="30">
        <f>'Equity Volume Data'!AE284*'Equity Price Data'!AH285</f>
        <v>13638.6</v>
      </c>
      <c r="AC284" s="30">
        <f>'Equity Volume Data'!AF284*'Equity Price Data'!AI285</f>
        <v>19629.6</v>
      </c>
      <c r="AD284" s="30">
        <f>'Equity Volume Data'!AG284*'Equity Price Data'!AJ285</f>
        <v>13124.7</v>
      </c>
      <c r="AE284" s="30">
        <f>'Equity Volume Data'!AH284*'Equity Price Data'!AK285</f>
        <v>0</v>
      </c>
      <c r="AF284" s="30">
        <f>'Equity Volume Data'!AI284*'Equity Price Data'!AL285</f>
        <v>22728.35</v>
      </c>
      <c r="AG284" s="30">
        <f>'Equity Volume Data'!AJ284*'Equity Price Data'!AM285</f>
        <v>42465</v>
      </c>
      <c r="AH284" s="30">
        <f>'Equity Volume Data'!AK284*'Equity Price Data'!AN285</f>
        <v>36664</v>
      </c>
      <c r="AI284" s="30">
        <f>'Equity Volume Data'!AL284*'Equity Price Data'!AO285</f>
        <v>24069.5</v>
      </c>
      <c r="AJ284" s="30">
        <f>'Equity Volume Data'!AM284*'Equity Price Data'!AP285</f>
        <v>23851.1</v>
      </c>
      <c r="AK284" s="30">
        <f>'Equity Volume Data'!AN284*'Equity Price Data'!AQ285</f>
        <v>25540.27</v>
      </c>
      <c r="AL284" s="30">
        <f>'Equity Volume Data'!AO284*'Equity Price Data'!AR285</f>
        <v>46385.6</v>
      </c>
      <c r="AM284" s="30">
        <f>'Equity Volume Data'!AP284*'Equity Price Data'!AS285</f>
        <v>32419.8</v>
      </c>
      <c r="AN284" s="30">
        <f>'Equity Volume Data'!AQ284*'Equity Price Data'!AT285</f>
        <v>0</v>
      </c>
      <c r="AO284" s="30">
        <f>'Equity Volume Data'!AR284*'Equity Price Data'!AU285</f>
        <v>27293.84</v>
      </c>
      <c r="AP284" s="30">
        <f>'Equity Volume Data'!AS284*'Equity Price Data'!AV285</f>
        <v>21792.5</v>
      </c>
      <c r="AQ284" s="30">
        <f>'Equity Volume Data'!AT284*'Equity Price Data'!AW285</f>
        <v>17692.4</v>
      </c>
      <c r="AR284" s="30">
        <f>'Equity Volume Data'!AU284*'Equity Price Data'!AX285</f>
        <v>14073.21</v>
      </c>
      <c r="AS284" s="30">
        <f>'Equity Volume Data'!AV284*'Equity Price Data'!AY285</f>
        <v>59689.2</v>
      </c>
      <c r="AT284" s="30">
        <f>'Equity Volume Data'!AW284*'Equity Price Data'!AZ285</f>
        <v>13884</v>
      </c>
      <c r="AU284" s="30">
        <f>'Equity Volume Data'!AX284*'Equity Price Data'!BA285</f>
        <v>0</v>
      </c>
      <c r="AV284" s="30">
        <f>'Equity Volume Data'!AY284*'Equity Price Data'!BB285</f>
        <v>22434.58</v>
      </c>
      <c r="AW284" s="30">
        <f>'Equity Volume Data'!AZ284*'Equity Price Data'!BC285</f>
        <v>3960.8</v>
      </c>
      <c r="AX284" s="30">
        <f>'Equity Volume Data'!BA284*'Equity Price Data'!BD285</f>
        <v>0</v>
      </c>
      <c r="AY284" s="30">
        <f>'Equity Volume Data'!BB284*'Equity Price Data'!BE285</f>
        <v>54800.64</v>
      </c>
      <c r="AZ284" s="30">
        <f>'Equity Volume Data'!BC284*'Equity Price Data'!BF285</f>
        <v>11148</v>
      </c>
      <c r="BA284" s="30">
        <f>'Equity Volume Data'!BD284*'Equity Price Data'!BG285</f>
        <v>4605.6</v>
      </c>
      <c r="BB284" s="30">
        <f>'Equity Volume Data'!BE284*'Equity Price Data'!BH285</f>
        <v>11681.6</v>
      </c>
      <c r="BC284" s="30">
        <f>'Equity Volume Data'!BF284*'Equity Price Data'!BI285</f>
        <v>12067.12</v>
      </c>
      <c r="BD284" s="30">
        <f>'Equity Volume Data'!BG284*'Equity Price Data'!BJ285</f>
        <v>50749.38</v>
      </c>
      <c r="BE284" s="30">
        <f>'Equity Volume Data'!BH284*'Equity Price Data'!BK285</f>
        <v>9325.58</v>
      </c>
      <c r="BF284" s="30">
        <f>'Equity Volume Data'!BI284*'Equity Price Data'!BL285</f>
        <v>6890.4</v>
      </c>
      <c r="BG284" s="30">
        <f>'Equity Volume Data'!BJ284*'Equity Price Data'!BM285</f>
        <v>37254.78</v>
      </c>
      <c r="BH284" s="30">
        <f>'Equity Volume Data'!BK284*'Equity Price Data'!BN285</f>
        <v>0</v>
      </c>
      <c r="BI284" s="30">
        <f>'Equity Volume Data'!BL284*'Equity Price Data'!BO285</f>
        <v>36812.8</v>
      </c>
      <c r="BJ284" s="30">
        <f>'Equity Volume Data'!BM284*'Equity Price Data'!BP285</f>
        <v>23397.75</v>
      </c>
      <c r="BK284" s="30">
        <f>'Equity Volume Data'!BN284*'Equity Price Data'!BQ285</f>
        <v>90586.54</v>
      </c>
      <c r="BL284" s="30">
        <f>'Equity Volume Data'!BO284*'Equity Price Data'!BR285</f>
        <v>419.71</v>
      </c>
      <c r="BM284" s="30">
        <f>'Equity Volume Data'!BP284*'Equity Price Data'!BS285</f>
        <v>10983.36</v>
      </c>
      <c r="BN284" s="30">
        <f>'Equity Volume Data'!BQ284*'Equity Price Data'!BT285</f>
        <v>23313.88</v>
      </c>
      <c r="BO284" s="30">
        <f>'Equity Volume Data'!BR284*'Equity Price Data'!BU285</f>
        <v>28381</v>
      </c>
    </row>
    <row r="285">
      <c r="A285" s="25">
        <f>'Equity Price Data'!A286</f>
        <v>45839.66667</v>
      </c>
      <c r="B285" s="29">
        <f t="shared" si="1"/>
        <v>1406793.49</v>
      </c>
      <c r="C285" s="30">
        <f>'Equity Volume Data'!F285*'Equity Price Data'!I286</f>
        <v>5097.3</v>
      </c>
      <c r="D285" s="30">
        <f>'Equity Volume Data'!G285*'Equity Price Data'!J286</f>
        <v>57319.6</v>
      </c>
      <c r="E285" s="30">
        <f>'Equity Volume Data'!H285*'Equity Price Data'!K286</f>
        <v>15681.6</v>
      </c>
      <c r="F285" s="30">
        <f>'Equity Volume Data'!I285*'Equity Price Data'!L286</f>
        <v>53201.92</v>
      </c>
      <c r="G285" s="30">
        <f>'Equity Volume Data'!J285*'Equity Price Data'!M286</f>
        <v>15252.08</v>
      </c>
      <c r="H285" s="30">
        <f>'Equity Volume Data'!K285*'Equity Price Data'!N286</f>
        <v>17042.2</v>
      </c>
      <c r="I285" s="30">
        <f>'Equity Volume Data'!L285*'Equity Price Data'!O286</f>
        <v>18330</v>
      </c>
      <c r="J285" s="30">
        <f>'Equity Volume Data'!M285*'Equity Price Data'!P286</f>
        <v>49940.22</v>
      </c>
      <c r="K285" s="30">
        <f>'Equity Volume Data'!N285*'Equity Price Data'!Q286</f>
        <v>9734</v>
      </c>
      <c r="L285" s="30">
        <f>'Equity Volume Data'!O285*'Equity Price Data'!R286</f>
        <v>15738.47</v>
      </c>
      <c r="M285" s="30">
        <f>'Equity Volume Data'!P285*'Equity Price Data'!S286</f>
        <v>0</v>
      </c>
      <c r="N285" s="30">
        <f>'Equity Volume Data'!Q285*'Equity Price Data'!T286</f>
        <v>5944</v>
      </c>
      <c r="O285" s="30">
        <f>'Equity Volume Data'!R285*'Equity Price Data'!U286</f>
        <v>58638</v>
      </c>
      <c r="P285" s="30">
        <f>'Equity Volume Data'!S285*'Equity Price Data'!V286</f>
        <v>29886.39</v>
      </c>
      <c r="Q285" s="30">
        <f>'Equity Volume Data'!T285*'Equity Price Data'!W286</f>
        <v>26529.6</v>
      </c>
      <c r="R285" s="30">
        <f>'Equity Volume Data'!U285*'Equity Price Data'!X286</f>
        <v>11645.6</v>
      </c>
      <c r="S285" s="30">
        <f>'Equity Volume Data'!V285*'Equity Price Data'!Y286</f>
        <v>29426.32</v>
      </c>
      <c r="T285" s="30">
        <f>'Equity Volume Data'!W285*'Equity Price Data'!Z286</f>
        <v>11525</v>
      </c>
      <c r="U285" s="30">
        <f>'Equity Volume Data'!X285*'Equity Price Data'!AA286</f>
        <v>18920.88</v>
      </c>
      <c r="V285" s="30">
        <f>'Equity Volume Data'!Y285*'Equity Price Data'!AB286</f>
        <v>16225.58</v>
      </c>
      <c r="W285" s="30">
        <f>'Equity Volume Data'!Z285*'Equity Price Data'!AC286</f>
        <v>11816.25</v>
      </c>
      <c r="X285" s="30">
        <f>'Equity Volume Data'!AA285*'Equity Price Data'!AD286</f>
        <v>0</v>
      </c>
      <c r="Y285" s="30">
        <f>'Equity Volume Data'!AB285*'Equity Price Data'!AE286</f>
        <v>5947.89</v>
      </c>
      <c r="Z285" s="30">
        <f>'Equity Volume Data'!AC285*'Equity Price Data'!AF286</f>
        <v>11415</v>
      </c>
      <c r="AA285" s="30">
        <f>'Equity Volume Data'!AD285*'Equity Price Data'!AG286</f>
        <v>18570.8</v>
      </c>
      <c r="AB285" s="30">
        <f>'Equity Volume Data'!AE285*'Equity Price Data'!AH286</f>
        <v>14059.8</v>
      </c>
      <c r="AC285" s="30">
        <f>'Equity Volume Data'!AF285*'Equity Price Data'!AI286</f>
        <v>19574.8</v>
      </c>
      <c r="AD285" s="30">
        <f>'Equity Volume Data'!AG285*'Equity Price Data'!AJ286</f>
        <v>13247.1</v>
      </c>
      <c r="AE285" s="30">
        <f>'Equity Volume Data'!AH285*'Equity Price Data'!AK286</f>
        <v>0</v>
      </c>
      <c r="AF285" s="30">
        <f>'Equity Volume Data'!AI285*'Equity Price Data'!AL286</f>
        <v>22904.65</v>
      </c>
      <c r="AG285" s="30">
        <f>'Equity Volume Data'!AJ285*'Equity Price Data'!AM286</f>
        <v>42387.6</v>
      </c>
      <c r="AH285" s="30">
        <f>'Equity Volume Data'!AK285*'Equity Price Data'!AN286</f>
        <v>37316</v>
      </c>
      <c r="AI285" s="30">
        <f>'Equity Volume Data'!AL285*'Equity Price Data'!AO286</f>
        <v>24024</v>
      </c>
      <c r="AJ285" s="30">
        <f>'Equity Volume Data'!AM285*'Equity Price Data'!AP286</f>
        <v>23641.8</v>
      </c>
      <c r="AK285" s="30">
        <f>'Equity Volume Data'!AN285*'Equity Price Data'!AQ286</f>
        <v>25285.53</v>
      </c>
      <c r="AL285" s="30">
        <f>'Equity Volume Data'!AO285*'Equity Price Data'!AR286</f>
        <v>46465.6</v>
      </c>
      <c r="AM285" s="30">
        <f>'Equity Volume Data'!AP285*'Equity Price Data'!AS286</f>
        <v>32615.8</v>
      </c>
      <c r="AN285" s="30">
        <f>'Equity Volume Data'!AQ285*'Equity Price Data'!AT286</f>
        <v>0</v>
      </c>
      <c r="AO285" s="30">
        <f>'Equity Volume Data'!AR285*'Equity Price Data'!AU286</f>
        <v>27328</v>
      </c>
      <c r="AP285" s="30">
        <f>'Equity Volume Data'!AS285*'Equity Price Data'!AV286</f>
        <v>22187.5</v>
      </c>
      <c r="AQ285" s="30">
        <f>'Equity Volume Data'!AT285*'Equity Price Data'!AW286</f>
        <v>17839.8</v>
      </c>
      <c r="AR285" s="30">
        <f>'Equity Volume Data'!AU285*'Equity Price Data'!AX286</f>
        <v>13320.27</v>
      </c>
      <c r="AS285" s="30">
        <f>'Equity Volume Data'!AV285*'Equity Price Data'!AY286</f>
        <v>59046</v>
      </c>
      <c r="AT285" s="30">
        <f>'Equity Volume Data'!AW285*'Equity Price Data'!AZ286</f>
        <v>14612</v>
      </c>
      <c r="AU285" s="30">
        <f>'Equity Volume Data'!AX285*'Equity Price Data'!BA286</f>
        <v>0</v>
      </c>
      <c r="AV285" s="30">
        <f>'Equity Volume Data'!AY285*'Equity Price Data'!BB286</f>
        <v>21768.6</v>
      </c>
      <c r="AW285" s="30">
        <f>'Equity Volume Data'!AZ285*'Equity Price Data'!BC286</f>
        <v>4017.2</v>
      </c>
      <c r="AX285" s="30">
        <f>'Equity Volume Data'!BA285*'Equity Price Data'!BD286</f>
        <v>0</v>
      </c>
      <c r="AY285" s="30">
        <f>'Equity Volume Data'!BB285*'Equity Price Data'!BE286</f>
        <v>52533.36</v>
      </c>
      <c r="AZ285" s="30">
        <f>'Equity Volume Data'!BC285*'Equity Price Data'!BF286</f>
        <v>11293.5</v>
      </c>
      <c r="BA285" s="30">
        <f>'Equity Volume Data'!BD285*'Equity Price Data'!BG286</f>
        <v>4757.6</v>
      </c>
      <c r="BB285" s="30">
        <f>'Equity Volume Data'!BE285*'Equity Price Data'!BH286</f>
        <v>11535.2</v>
      </c>
      <c r="BC285" s="30">
        <f>'Equity Volume Data'!BF285*'Equity Price Data'!BI286</f>
        <v>12099.92</v>
      </c>
      <c r="BD285" s="30">
        <f>'Equity Volume Data'!BG285*'Equity Price Data'!BJ286</f>
        <v>51441.63</v>
      </c>
      <c r="BE285" s="30">
        <f>'Equity Volume Data'!BH285*'Equity Price Data'!BK286</f>
        <v>9693.81</v>
      </c>
      <c r="BF285" s="30">
        <f>'Equity Volume Data'!BI285*'Equity Price Data'!BL286</f>
        <v>6861.6</v>
      </c>
      <c r="BG285" s="30">
        <f>'Equity Volume Data'!BJ285*'Equity Price Data'!BM286</f>
        <v>36167.8</v>
      </c>
      <c r="BH285" s="30">
        <f>'Equity Volume Data'!BK285*'Equity Price Data'!BN286</f>
        <v>0</v>
      </c>
      <c r="BI285" s="30">
        <f>'Equity Volume Data'!BL285*'Equity Price Data'!BO286</f>
        <v>37691.2</v>
      </c>
      <c r="BJ285" s="30">
        <f>'Equity Volume Data'!BM285*'Equity Price Data'!BP286</f>
        <v>24460.5</v>
      </c>
      <c r="BK285" s="30">
        <f>'Equity Volume Data'!BN285*'Equity Price Data'!BQ286</f>
        <v>89775.64</v>
      </c>
      <c r="BL285" s="30">
        <f>'Equity Volume Data'!BO285*'Equity Price Data'!BR286</f>
        <v>431.46</v>
      </c>
      <c r="BM285" s="30">
        <f>'Equity Volume Data'!BP285*'Equity Price Data'!BS286</f>
        <v>10982.4</v>
      </c>
      <c r="BN285" s="30">
        <f>'Equity Volume Data'!BQ285*'Equity Price Data'!BT286</f>
        <v>23216.12</v>
      </c>
      <c r="BO285" s="30">
        <f>'Equity Volume Data'!BR285*'Equity Price Data'!BU286</f>
        <v>28381</v>
      </c>
    </row>
    <row r="286">
      <c r="A286" s="25">
        <f>'Equity Price Data'!A287</f>
        <v>45840.66667</v>
      </c>
      <c r="B286" s="29">
        <f t="shared" si="1"/>
        <v>1406870.66</v>
      </c>
      <c r="C286" s="30">
        <f>'Equity Volume Data'!F286*'Equity Price Data'!I287</f>
        <v>4920.11</v>
      </c>
      <c r="D286" s="30">
        <f>'Equity Volume Data'!G286*'Equity Price Data'!J287</f>
        <v>57179.2</v>
      </c>
      <c r="E286" s="30">
        <f>'Equity Volume Data'!H286*'Equity Price Data'!K287</f>
        <v>15434.1</v>
      </c>
      <c r="F286" s="30">
        <f>'Equity Volume Data'!I286*'Equity Price Data'!L287</f>
        <v>54384.64</v>
      </c>
      <c r="G286" s="30">
        <f>'Equity Volume Data'!J286*'Equity Price Data'!M287</f>
        <v>15770.83</v>
      </c>
      <c r="H286" s="30">
        <f>'Equity Volume Data'!K286*'Equity Price Data'!N287</f>
        <v>17312.92</v>
      </c>
      <c r="I286" s="30">
        <f>'Equity Volume Data'!L286*'Equity Price Data'!O287</f>
        <v>17880</v>
      </c>
      <c r="J286" s="30">
        <f>'Equity Volume Data'!M286*'Equity Price Data'!P287</f>
        <v>49008.96</v>
      </c>
      <c r="K286" s="30">
        <f>'Equity Volume Data'!N286*'Equity Price Data'!Q287</f>
        <v>10146</v>
      </c>
      <c r="L286" s="30">
        <f>'Equity Volume Data'!O286*'Equity Price Data'!R287</f>
        <v>16115.99</v>
      </c>
      <c r="M286" s="30">
        <f>'Equity Volume Data'!P286*'Equity Price Data'!S287</f>
        <v>0</v>
      </c>
      <c r="N286" s="30">
        <f>'Equity Volume Data'!Q286*'Equity Price Data'!T287</f>
        <v>6020.8</v>
      </c>
      <c r="O286" s="30">
        <f>'Equity Volume Data'!R286*'Equity Price Data'!U287</f>
        <v>59764.5</v>
      </c>
      <c r="P286" s="30">
        <f>'Equity Volume Data'!S286*'Equity Price Data'!V287</f>
        <v>29882.22</v>
      </c>
      <c r="Q286" s="30">
        <f>'Equity Volume Data'!T286*'Equity Price Data'!W287</f>
        <v>26326.8</v>
      </c>
      <c r="R286" s="30">
        <f>'Equity Volume Data'!U286*'Equity Price Data'!X287</f>
        <v>11838.4</v>
      </c>
      <c r="S286" s="30">
        <f>'Equity Volume Data'!V286*'Equity Price Data'!Y287</f>
        <v>28194.32</v>
      </c>
      <c r="T286" s="30">
        <f>'Equity Volume Data'!W286*'Equity Price Data'!Z287</f>
        <v>11757.5</v>
      </c>
      <c r="U286" s="30">
        <f>'Equity Volume Data'!X286*'Equity Price Data'!AA287</f>
        <v>18720.24</v>
      </c>
      <c r="V286" s="30">
        <f>'Equity Volume Data'!Y286*'Equity Price Data'!AB287</f>
        <v>16087.12</v>
      </c>
      <c r="W286" s="30">
        <f>'Equity Volume Data'!Z286*'Equity Price Data'!AC287</f>
        <v>11879.04</v>
      </c>
      <c r="X286" s="30">
        <f>'Equity Volume Data'!AA286*'Equity Price Data'!AD287</f>
        <v>0</v>
      </c>
      <c r="Y286" s="30">
        <f>'Equity Volume Data'!AB286*'Equity Price Data'!AE287</f>
        <v>5901.22</v>
      </c>
      <c r="Z286" s="30">
        <f>'Equity Volume Data'!AC286*'Equity Price Data'!AF287</f>
        <v>11367</v>
      </c>
      <c r="AA286" s="30">
        <f>'Equity Volume Data'!AD286*'Equity Price Data'!AG287</f>
        <v>18878.5</v>
      </c>
      <c r="AB286" s="30">
        <f>'Equity Volume Data'!AE286*'Equity Price Data'!AH287</f>
        <v>14348.4</v>
      </c>
      <c r="AC286" s="30">
        <f>'Equity Volume Data'!AF286*'Equity Price Data'!AI287</f>
        <v>19662.4</v>
      </c>
      <c r="AD286" s="30">
        <f>'Equity Volume Data'!AG286*'Equity Price Data'!AJ287</f>
        <v>13226.4</v>
      </c>
      <c r="AE286" s="30">
        <f>'Equity Volume Data'!AH286*'Equity Price Data'!AK287</f>
        <v>0</v>
      </c>
      <c r="AF286" s="30">
        <f>'Equity Volume Data'!AI286*'Equity Price Data'!AL287</f>
        <v>22859.55</v>
      </c>
      <c r="AG286" s="30">
        <f>'Equity Volume Data'!AJ286*'Equity Price Data'!AM287</f>
        <v>42953.4</v>
      </c>
      <c r="AH286" s="30">
        <f>'Equity Volume Data'!AK286*'Equity Price Data'!AN287</f>
        <v>37185</v>
      </c>
      <c r="AI286" s="30">
        <f>'Equity Volume Data'!AL286*'Equity Price Data'!AO287</f>
        <v>24218.25</v>
      </c>
      <c r="AJ286" s="30">
        <f>'Equity Volume Data'!AM286*'Equity Price Data'!AP287</f>
        <v>23626.2</v>
      </c>
      <c r="AK286" s="30">
        <f>'Equity Volume Data'!AN286*'Equity Price Data'!AQ287</f>
        <v>25408.2</v>
      </c>
      <c r="AL286" s="30">
        <f>'Equity Volume Data'!AO286*'Equity Price Data'!AR287</f>
        <v>46720</v>
      </c>
      <c r="AM286" s="30">
        <f>'Equity Volume Data'!AP286*'Equity Price Data'!AS287</f>
        <v>32378.5</v>
      </c>
      <c r="AN286" s="30">
        <f>'Equity Volume Data'!AQ286*'Equity Price Data'!AT287</f>
        <v>0</v>
      </c>
      <c r="AO286" s="30">
        <f>'Equity Volume Data'!AR286*'Equity Price Data'!AU287</f>
        <v>26858.3</v>
      </c>
      <c r="AP286" s="30">
        <f>'Equity Volume Data'!AS286*'Equity Price Data'!AV287</f>
        <v>22070</v>
      </c>
      <c r="AQ286" s="30">
        <f>'Equity Volume Data'!AT286*'Equity Price Data'!AW287</f>
        <v>17633</v>
      </c>
      <c r="AR286" s="30">
        <f>'Equity Volume Data'!AU286*'Equity Price Data'!AX287</f>
        <v>13692.51</v>
      </c>
      <c r="AS286" s="30">
        <f>'Equity Volume Data'!AV286*'Equity Price Data'!AY287</f>
        <v>58930.8</v>
      </c>
      <c r="AT286" s="30">
        <f>'Equity Volume Data'!AW286*'Equity Price Data'!AZ287</f>
        <v>14604</v>
      </c>
      <c r="AU286" s="30">
        <f>'Equity Volume Data'!AX286*'Equity Price Data'!BA287</f>
        <v>0</v>
      </c>
      <c r="AV286" s="30">
        <f>'Equity Volume Data'!AY286*'Equity Price Data'!BB287</f>
        <v>22329.5</v>
      </c>
      <c r="AW286" s="30">
        <f>'Equity Volume Data'!AZ286*'Equity Price Data'!BC287</f>
        <v>3992</v>
      </c>
      <c r="AX286" s="30">
        <f>'Equity Volume Data'!BA286*'Equity Price Data'!BD287</f>
        <v>0</v>
      </c>
      <c r="AY286" s="30">
        <f>'Equity Volume Data'!BB286*'Equity Price Data'!BE287</f>
        <v>53112.24</v>
      </c>
      <c r="AZ286" s="30">
        <f>'Equity Volume Data'!BC286*'Equity Price Data'!BF287</f>
        <v>11446.5</v>
      </c>
      <c r="BA286" s="30">
        <f>'Equity Volume Data'!BD286*'Equity Price Data'!BG287</f>
        <v>4810.8</v>
      </c>
      <c r="BB286" s="30">
        <f>'Equity Volume Data'!BE286*'Equity Price Data'!BH287</f>
        <v>11561.6</v>
      </c>
      <c r="BC286" s="30">
        <f>'Equity Volume Data'!BF286*'Equity Price Data'!BI287</f>
        <v>12198.32</v>
      </c>
      <c r="BD286" s="30">
        <f>'Equity Volume Data'!BG286*'Equity Price Data'!BJ287</f>
        <v>50570.46</v>
      </c>
      <c r="BE286" s="30">
        <f>'Equity Volume Data'!BH286*'Equity Price Data'!BK287</f>
        <v>9838.48</v>
      </c>
      <c r="BF286" s="30">
        <f>'Equity Volume Data'!BI286*'Equity Price Data'!BL287</f>
        <v>6880.4</v>
      </c>
      <c r="BG286" s="30">
        <f>'Equity Volume Data'!BJ286*'Equity Price Data'!BM287</f>
        <v>35497.82</v>
      </c>
      <c r="BH286" s="30">
        <f>'Equity Volume Data'!BK286*'Equity Price Data'!BN287</f>
        <v>0</v>
      </c>
      <c r="BI286" s="30">
        <f>'Equity Volume Data'!BL286*'Equity Price Data'!BO287</f>
        <v>37945.6</v>
      </c>
      <c r="BJ286" s="30">
        <f>'Equity Volume Data'!BM286*'Equity Price Data'!BP287</f>
        <v>23067</v>
      </c>
      <c r="BK286" s="30">
        <f>'Equity Volume Data'!BN286*'Equity Price Data'!BQ287</f>
        <v>89811.68</v>
      </c>
      <c r="BL286" s="30">
        <f>'Equity Volume Data'!BO286*'Equity Price Data'!BR287</f>
        <v>438.98</v>
      </c>
      <c r="BM286" s="30">
        <f>'Equity Volume Data'!BP286*'Equity Price Data'!BS287</f>
        <v>10722.72</v>
      </c>
      <c r="BN286" s="30">
        <f>'Equity Volume Data'!BQ286*'Equity Price Data'!BT287</f>
        <v>23120.24</v>
      </c>
      <c r="BO286" s="30">
        <f>'Equity Volume Data'!BR286*'Equity Price Data'!BU287</f>
        <v>28381</v>
      </c>
    </row>
    <row r="287">
      <c r="A287" s="25">
        <f>'Equity Price Data'!A288</f>
        <v>45841.54514</v>
      </c>
      <c r="B287" s="29">
        <f t="shared" si="1"/>
        <v>1417006.99</v>
      </c>
      <c r="C287" s="30">
        <f>'Equity Volume Data'!F287*'Equity Price Data'!I288</f>
        <v>4931.03</v>
      </c>
      <c r="D287" s="30">
        <f>'Equity Volume Data'!G287*'Equity Price Data'!J288</f>
        <v>58086.6</v>
      </c>
      <c r="E287" s="30">
        <f>'Equity Volume Data'!H287*'Equity Price Data'!K288</f>
        <v>15405.5</v>
      </c>
      <c r="F287" s="30">
        <f>'Equity Volume Data'!I287*'Equity Price Data'!L288</f>
        <v>54668.8</v>
      </c>
      <c r="G287" s="30">
        <f>'Equity Volume Data'!J287*'Equity Price Data'!M288</f>
        <v>15857.15</v>
      </c>
      <c r="H287" s="30">
        <f>'Equity Volume Data'!K287*'Equity Price Data'!N288</f>
        <v>17376.84</v>
      </c>
      <c r="I287" s="30">
        <f>'Equity Volume Data'!L287*'Equity Price Data'!O288</f>
        <v>18260</v>
      </c>
      <c r="J287" s="30">
        <f>'Equity Volume Data'!M287*'Equity Price Data'!P288</f>
        <v>49470</v>
      </c>
      <c r="K287" s="30">
        <f>'Equity Volume Data'!N287*'Equity Price Data'!Q288</f>
        <v>10104</v>
      </c>
      <c r="L287" s="30">
        <f>'Equity Volume Data'!O287*'Equity Price Data'!R288</f>
        <v>16077.27</v>
      </c>
      <c r="M287" s="30">
        <f>'Equity Volume Data'!P287*'Equity Price Data'!S288</f>
        <v>0</v>
      </c>
      <c r="N287" s="30">
        <f>'Equity Volume Data'!Q287*'Equity Price Data'!T288</f>
        <v>6052</v>
      </c>
      <c r="O287" s="30">
        <f>'Equity Volume Data'!R287*'Equity Price Data'!U288</f>
        <v>59679</v>
      </c>
      <c r="P287" s="30">
        <f>'Equity Volume Data'!S287*'Equity Price Data'!V288</f>
        <v>30628.65</v>
      </c>
      <c r="Q287" s="30">
        <f>'Equity Volume Data'!T287*'Equity Price Data'!W288</f>
        <v>26835.6</v>
      </c>
      <c r="R287" s="30">
        <f>'Equity Volume Data'!U287*'Equity Price Data'!X288</f>
        <v>11869.6</v>
      </c>
      <c r="S287" s="30">
        <f>'Equity Volume Data'!V287*'Equity Price Data'!Y288</f>
        <v>28138</v>
      </c>
      <c r="T287" s="30">
        <f>'Equity Volume Data'!W287*'Equity Price Data'!Z288</f>
        <v>11930</v>
      </c>
      <c r="U287" s="30">
        <f>'Equity Volume Data'!X287*'Equity Price Data'!AA288</f>
        <v>18836.4</v>
      </c>
      <c r="V287" s="30">
        <f>'Equity Volume Data'!Y287*'Equity Price Data'!AB288</f>
        <v>16149.91</v>
      </c>
      <c r="W287" s="30">
        <f>'Equity Volume Data'!Z287*'Equity Price Data'!AC288</f>
        <v>11909.4</v>
      </c>
      <c r="X287" s="30">
        <f>'Equity Volume Data'!AA287*'Equity Price Data'!AD288</f>
        <v>0</v>
      </c>
      <c r="Y287" s="30">
        <f>'Equity Volume Data'!AB287*'Equity Price Data'!AE288</f>
        <v>5878.34</v>
      </c>
      <c r="Z287" s="30">
        <f>'Equity Volume Data'!AC287*'Equity Price Data'!AF288</f>
        <v>11454</v>
      </c>
      <c r="AA287" s="30">
        <f>'Equity Volume Data'!AD287*'Equity Price Data'!AG288</f>
        <v>19074</v>
      </c>
      <c r="AB287" s="30">
        <f>'Equity Volume Data'!AE287*'Equity Price Data'!AH288</f>
        <v>14473.8</v>
      </c>
      <c r="AC287" s="30">
        <f>'Equity Volume Data'!AF287*'Equity Price Data'!AI288</f>
        <v>19608</v>
      </c>
      <c r="AD287" s="30">
        <f>'Equity Volume Data'!AG287*'Equity Price Data'!AJ288</f>
        <v>13264.2</v>
      </c>
      <c r="AE287" s="30">
        <f>'Equity Volume Data'!AH287*'Equity Price Data'!AK288</f>
        <v>0</v>
      </c>
      <c r="AF287" s="30">
        <f>'Equity Volume Data'!AI287*'Equity Price Data'!AL288</f>
        <v>22908.75</v>
      </c>
      <c r="AG287" s="30">
        <f>'Equity Volume Data'!AJ287*'Equity Price Data'!AM288</f>
        <v>43420.8</v>
      </c>
      <c r="AH287" s="30">
        <f>'Equity Volume Data'!AK287*'Equity Price Data'!AN288</f>
        <v>37168</v>
      </c>
      <c r="AI287" s="30">
        <f>'Equity Volume Data'!AL287*'Equity Price Data'!AO288</f>
        <v>24431.75</v>
      </c>
      <c r="AJ287" s="30">
        <f>'Equity Volume Data'!AM287*'Equity Price Data'!AP288</f>
        <v>23804.3</v>
      </c>
      <c r="AK287" s="30">
        <f>'Equity Volume Data'!AN287*'Equity Price Data'!AQ288</f>
        <v>25590.09</v>
      </c>
      <c r="AL287" s="30">
        <f>'Equity Volume Data'!AO287*'Equity Price Data'!AR288</f>
        <v>47360</v>
      </c>
      <c r="AM287" s="30">
        <f>'Equity Volume Data'!AP287*'Equity Price Data'!AS288</f>
        <v>32376.4</v>
      </c>
      <c r="AN287" s="30">
        <f>'Equity Volume Data'!AQ287*'Equity Price Data'!AT288</f>
        <v>0</v>
      </c>
      <c r="AO287" s="30">
        <f>'Equity Volume Data'!AR287*'Equity Price Data'!AU288</f>
        <v>27225.52</v>
      </c>
      <c r="AP287" s="30">
        <f>'Equity Volume Data'!AS287*'Equity Price Data'!AV288</f>
        <v>22097.5</v>
      </c>
      <c r="AQ287" s="30">
        <f>'Equity Volume Data'!AT287*'Equity Price Data'!AW288</f>
        <v>17743</v>
      </c>
      <c r="AR287" s="30">
        <f>'Equity Volume Data'!AU287*'Equity Price Data'!AX288</f>
        <v>13468.32</v>
      </c>
      <c r="AS287" s="30">
        <f>'Equity Volume Data'!AV287*'Equity Price Data'!AY288</f>
        <v>59860.8</v>
      </c>
      <c r="AT287" s="30">
        <f>'Equity Volume Data'!AW287*'Equity Price Data'!AZ288</f>
        <v>14776</v>
      </c>
      <c r="AU287" s="30">
        <f>'Equity Volume Data'!AX287*'Equity Price Data'!BA288</f>
        <v>0</v>
      </c>
      <c r="AV287" s="30">
        <f>'Equity Volume Data'!AY287*'Equity Price Data'!BB288</f>
        <v>22626.28</v>
      </c>
      <c r="AW287" s="30">
        <f>'Equity Volume Data'!AZ287*'Equity Price Data'!BC288</f>
        <v>3980.4</v>
      </c>
      <c r="AX287" s="30">
        <f>'Equity Volume Data'!BA287*'Equity Price Data'!BD288</f>
        <v>0</v>
      </c>
      <c r="AY287" s="30">
        <f>'Equity Volume Data'!BB287*'Equity Price Data'!BE288</f>
        <v>54012.72</v>
      </c>
      <c r="AZ287" s="30">
        <f>'Equity Volume Data'!BC287*'Equity Price Data'!BF288</f>
        <v>11488.5</v>
      </c>
      <c r="BA287" s="30">
        <f>'Equity Volume Data'!BD287*'Equity Price Data'!BG288</f>
        <v>4822.2</v>
      </c>
      <c r="BB287" s="30">
        <f>'Equity Volume Data'!BE287*'Equity Price Data'!BH288</f>
        <v>11660</v>
      </c>
      <c r="BC287" s="30">
        <f>'Equity Volume Data'!BF287*'Equity Price Data'!BI288</f>
        <v>12421.36</v>
      </c>
      <c r="BD287" s="30">
        <f>'Equity Volume Data'!BG287*'Equity Price Data'!BJ288</f>
        <v>51279.75</v>
      </c>
      <c r="BE287" s="30">
        <f>'Equity Volume Data'!BH287*'Equity Price Data'!BK288</f>
        <v>9874.59</v>
      </c>
      <c r="BF287" s="30">
        <f>'Equity Volume Data'!BI287*'Equity Price Data'!BL288</f>
        <v>6995.6</v>
      </c>
      <c r="BG287" s="30">
        <f>'Equity Volume Data'!BJ287*'Equity Price Data'!BM288</f>
        <v>35914.82</v>
      </c>
      <c r="BH287" s="30">
        <f>'Equity Volume Data'!BK287*'Equity Price Data'!BN288</f>
        <v>0</v>
      </c>
      <c r="BI287" s="30">
        <f>'Equity Volume Data'!BL287*'Equity Price Data'!BO288</f>
        <v>37804.8</v>
      </c>
      <c r="BJ287" s="30">
        <f>'Equity Volume Data'!BM287*'Equity Price Data'!BP288</f>
        <v>23141.25</v>
      </c>
      <c r="BK287" s="30">
        <f>'Equity Volume Data'!BN287*'Equity Price Data'!BQ288</f>
        <v>89703.56</v>
      </c>
      <c r="BL287" s="30">
        <f>'Equity Volume Data'!BO287*'Equity Price Data'!BR288</f>
        <v>438.04</v>
      </c>
      <c r="BM287" s="30">
        <f>'Equity Volume Data'!BP287*'Equity Price Data'!BS288</f>
        <v>10900.8</v>
      </c>
      <c r="BN287" s="30">
        <f>'Equity Volume Data'!BQ287*'Equity Price Data'!BT288</f>
        <v>23312</v>
      </c>
      <c r="BO287" s="30">
        <f>'Equity Volume Data'!BR287*'Equity Price Data'!BU288</f>
        <v>28381</v>
      </c>
    </row>
    <row r="288">
      <c r="A288" s="25">
        <f>'Equity Price Data'!A289</f>
        <v>45845.66667</v>
      </c>
      <c r="B288" s="29">
        <f t="shared" si="1"/>
        <v>1407280.08</v>
      </c>
      <c r="C288" s="30">
        <f>'Equity Volume Data'!F288*'Equity Price Data'!I289</f>
        <v>4900.09</v>
      </c>
      <c r="D288" s="30">
        <f>'Equity Volume Data'!G288*'Equity Price Data'!J289</f>
        <v>58102.2</v>
      </c>
      <c r="E288" s="30">
        <f>'Equity Volume Data'!H288*'Equity Price Data'!K289</f>
        <v>15395.6</v>
      </c>
      <c r="F288" s="30">
        <f>'Equity Volume Data'!I288*'Equity Price Data'!L289</f>
        <v>53747.2</v>
      </c>
      <c r="G288" s="30">
        <f>'Equity Volume Data'!J288*'Equity Price Data'!M289</f>
        <v>15834.74</v>
      </c>
      <c r="H288" s="30">
        <f>'Equity Volume Data'!K288*'Equity Price Data'!N289</f>
        <v>17531</v>
      </c>
      <c r="I288" s="30">
        <f>'Equity Volume Data'!L288*'Equity Price Data'!O289</f>
        <v>18190</v>
      </c>
      <c r="J288" s="30">
        <f>'Equity Volume Data'!M288*'Equity Price Data'!P289</f>
        <v>48759.06</v>
      </c>
      <c r="K288" s="30">
        <f>'Equity Volume Data'!N288*'Equity Price Data'!Q289</f>
        <v>9878</v>
      </c>
      <c r="L288" s="30">
        <f>'Equity Volume Data'!O288*'Equity Price Data'!R289</f>
        <v>15745.73</v>
      </c>
      <c r="M288" s="30">
        <f>'Equity Volume Data'!P288*'Equity Price Data'!S289</f>
        <v>0</v>
      </c>
      <c r="N288" s="30">
        <f>'Equity Volume Data'!Q288*'Equity Price Data'!T289</f>
        <v>5971.2</v>
      </c>
      <c r="O288" s="30">
        <f>'Equity Volume Data'!R288*'Equity Price Data'!U289</f>
        <v>58726.5</v>
      </c>
      <c r="P288" s="30">
        <f>'Equity Volume Data'!S288*'Equity Price Data'!V289</f>
        <v>31354.23</v>
      </c>
      <c r="Q288" s="30">
        <f>'Equity Volume Data'!T288*'Equity Price Data'!W289</f>
        <v>26758.8</v>
      </c>
      <c r="R288" s="30">
        <f>'Equity Volume Data'!U288*'Equity Price Data'!X289</f>
        <v>11792</v>
      </c>
      <c r="S288" s="30">
        <f>'Equity Volume Data'!V288*'Equity Price Data'!Y289</f>
        <v>27599.44</v>
      </c>
      <c r="T288" s="30">
        <f>'Equity Volume Data'!W288*'Equity Price Data'!Z289</f>
        <v>11765</v>
      </c>
      <c r="U288" s="30">
        <f>'Equity Volume Data'!X288*'Equity Price Data'!AA289</f>
        <v>18746.64</v>
      </c>
      <c r="V288" s="30">
        <f>'Equity Volume Data'!Y288*'Equity Price Data'!AB289</f>
        <v>16053.31</v>
      </c>
      <c r="W288" s="30">
        <f>'Equity Volume Data'!Z288*'Equity Price Data'!AC289</f>
        <v>11843.16</v>
      </c>
      <c r="X288" s="30">
        <f>'Equity Volume Data'!AA288*'Equity Price Data'!AD289</f>
        <v>0</v>
      </c>
      <c r="Y288" s="30">
        <f>'Equity Volume Data'!AB288*'Equity Price Data'!AE289</f>
        <v>5891.86</v>
      </c>
      <c r="Z288" s="30">
        <f>'Equity Volume Data'!AC288*'Equity Price Data'!AF289</f>
        <v>11386.5</v>
      </c>
      <c r="AA288" s="30">
        <f>'Equity Volume Data'!AD288*'Equity Price Data'!AG289</f>
        <v>18888.7</v>
      </c>
      <c r="AB288" s="30">
        <f>'Equity Volume Data'!AE288*'Equity Price Data'!AH289</f>
        <v>14105.4</v>
      </c>
      <c r="AC288" s="30">
        <f>'Equity Volume Data'!AF288*'Equity Price Data'!AI289</f>
        <v>19452.8</v>
      </c>
      <c r="AD288" s="30">
        <f>'Equity Volume Data'!AG288*'Equity Price Data'!AJ289</f>
        <v>13259.25</v>
      </c>
      <c r="AE288" s="30">
        <f>'Equity Volume Data'!AH288*'Equity Price Data'!AK289</f>
        <v>0</v>
      </c>
      <c r="AF288" s="30">
        <f>'Equity Volume Data'!AI288*'Equity Price Data'!AL289</f>
        <v>22914.9</v>
      </c>
      <c r="AG288" s="30">
        <f>'Equity Volume Data'!AJ288*'Equity Price Data'!AM289</f>
        <v>42655.8</v>
      </c>
      <c r="AH288" s="30">
        <f>'Equity Volume Data'!AK288*'Equity Price Data'!AN289</f>
        <v>36764</v>
      </c>
      <c r="AI288" s="30">
        <f>'Equity Volume Data'!AL288*'Equity Price Data'!AO289</f>
        <v>24260.25</v>
      </c>
      <c r="AJ288" s="30">
        <f>'Equity Volume Data'!AM288*'Equity Price Data'!AP289</f>
        <v>23801.7</v>
      </c>
      <c r="AK288" s="30">
        <f>'Equity Volume Data'!AN288*'Equity Price Data'!AQ289</f>
        <v>25131.37</v>
      </c>
      <c r="AL288" s="30">
        <f>'Equity Volume Data'!AO288*'Equity Price Data'!AR289</f>
        <v>46715.2</v>
      </c>
      <c r="AM288" s="30">
        <f>'Equity Volume Data'!AP288*'Equity Price Data'!AS289</f>
        <v>32834.2</v>
      </c>
      <c r="AN288" s="30">
        <f>'Equity Volume Data'!AQ288*'Equity Price Data'!AT289</f>
        <v>0</v>
      </c>
      <c r="AO288" s="30">
        <f>'Equity Volume Data'!AR288*'Equity Price Data'!AU289</f>
        <v>26166.56</v>
      </c>
      <c r="AP288" s="30">
        <f>'Equity Volume Data'!AS288*'Equity Price Data'!AV289</f>
        <v>21917.5</v>
      </c>
      <c r="AQ288" s="30">
        <f>'Equity Volume Data'!AT288*'Equity Price Data'!AW289</f>
        <v>17419.6</v>
      </c>
      <c r="AR288" s="30">
        <f>'Equity Volume Data'!AU288*'Equity Price Data'!AX289</f>
        <v>13134.15</v>
      </c>
      <c r="AS288" s="30">
        <f>'Equity Volume Data'!AV288*'Equity Price Data'!AY289</f>
        <v>59726.4</v>
      </c>
      <c r="AT288" s="30">
        <f>'Equity Volume Data'!AW288*'Equity Price Data'!AZ289</f>
        <v>14950</v>
      </c>
      <c r="AU288" s="30">
        <f>'Equity Volume Data'!AX288*'Equity Price Data'!BA289</f>
        <v>0</v>
      </c>
      <c r="AV288" s="30">
        <f>'Equity Volume Data'!AY288*'Equity Price Data'!BB289</f>
        <v>22470.08</v>
      </c>
      <c r="AW288" s="30">
        <f>'Equity Volume Data'!AZ288*'Equity Price Data'!BC289</f>
        <v>3991.2</v>
      </c>
      <c r="AX288" s="30">
        <f>'Equity Volume Data'!BA288*'Equity Price Data'!BD289</f>
        <v>0</v>
      </c>
      <c r="AY288" s="30">
        <f>'Equity Volume Data'!BB288*'Equity Price Data'!BE289</f>
        <v>55926.24</v>
      </c>
      <c r="AZ288" s="30">
        <f>'Equity Volume Data'!BC288*'Equity Price Data'!BF289</f>
        <v>11427</v>
      </c>
      <c r="BA288" s="30">
        <f>'Equity Volume Data'!BD288*'Equity Price Data'!BG289</f>
        <v>4795.6</v>
      </c>
      <c r="BB288" s="30">
        <f>'Equity Volume Data'!BE288*'Equity Price Data'!BH289</f>
        <v>11673.6</v>
      </c>
      <c r="BC288" s="30">
        <f>'Equity Volume Data'!BF288*'Equity Price Data'!BI289</f>
        <v>12027.76</v>
      </c>
      <c r="BD288" s="30">
        <f>'Equity Volume Data'!BG288*'Equity Price Data'!BJ289</f>
        <v>50615.19</v>
      </c>
      <c r="BE288" s="30">
        <f>'Equity Volume Data'!BH288*'Equity Price Data'!BK289</f>
        <v>9630.1</v>
      </c>
      <c r="BF288" s="30">
        <f>'Equity Volume Data'!BI288*'Equity Price Data'!BL289</f>
        <v>6714.4</v>
      </c>
      <c r="BG288" s="30">
        <f>'Equity Volume Data'!BJ288*'Equity Price Data'!BM289</f>
        <v>34797.26</v>
      </c>
      <c r="BH288" s="30">
        <f>'Equity Volume Data'!BK288*'Equity Price Data'!BN289</f>
        <v>0</v>
      </c>
      <c r="BI288" s="30">
        <f>'Equity Volume Data'!BL288*'Equity Price Data'!BO289</f>
        <v>37656</v>
      </c>
      <c r="BJ288" s="30">
        <f>'Equity Volume Data'!BM288*'Equity Price Data'!BP289</f>
        <v>22778.25</v>
      </c>
      <c r="BK288" s="30">
        <f>'Equity Volume Data'!BN288*'Equity Price Data'!BQ289</f>
        <v>89847.72</v>
      </c>
      <c r="BL288" s="30">
        <f>'Equity Volume Data'!BO288*'Equity Price Data'!BR289</f>
        <v>432.4</v>
      </c>
      <c r="BM288" s="30">
        <f>'Equity Volume Data'!BP288*'Equity Price Data'!BS289</f>
        <v>10892.16</v>
      </c>
      <c r="BN288" s="30">
        <f>'Equity Volume Data'!BQ288*'Equity Price Data'!BT289</f>
        <v>23154.08</v>
      </c>
      <c r="BO288" s="30">
        <f>'Equity Volume Data'!BR288*'Equity Price Data'!BU289</f>
        <v>28381</v>
      </c>
    </row>
    <row r="289">
      <c r="A289" s="25">
        <f>'Equity Price Data'!A290</f>
        <v>45846.66667</v>
      </c>
      <c r="B289" s="29">
        <f t="shared" si="1"/>
        <v>1403708.65</v>
      </c>
      <c r="C289" s="30">
        <f>'Equity Volume Data'!F289*'Equity Price Data'!I290</f>
        <v>4969.12</v>
      </c>
      <c r="D289" s="30">
        <f>'Equity Volume Data'!G289*'Equity Price Data'!J290</f>
        <v>57033.6</v>
      </c>
      <c r="E289" s="30">
        <f>'Equity Volume Data'!H289*'Equity Price Data'!K290</f>
        <v>15512.2</v>
      </c>
      <c r="F289" s="30">
        <f>'Equity Volume Data'!I289*'Equity Price Data'!L290</f>
        <v>53762.56</v>
      </c>
      <c r="G289" s="30">
        <f>'Equity Volume Data'!J289*'Equity Price Data'!M290</f>
        <v>16184.17</v>
      </c>
      <c r="H289" s="30">
        <f>'Equity Volume Data'!K289*'Equity Price Data'!N290</f>
        <v>17425.72</v>
      </c>
      <c r="I289" s="30">
        <f>'Equity Volume Data'!L289*'Equity Price Data'!O290</f>
        <v>18310</v>
      </c>
      <c r="J289" s="30">
        <f>'Equity Volume Data'!M289*'Equity Price Data'!P290</f>
        <v>48701.94</v>
      </c>
      <c r="K289" s="30">
        <f>'Equity Volume Data'!N289*'Equity Price Data'!Q290</f>
        <v>9872</v>
      </c>
      <c r="L289" s="30">
        <f>'Equity Volume Data'!O289*'Equity Price Data'!R290</f>
        <v>16269.66</v>
      </c>
      <c r="M289" s="30">
        <f>'Equity Volume Data'!P289*'Equity Price Data'!S290</f>
        <v>0</v>
      </c>
      <c r="N289" s="30">
        <f>'Equity Volume Data'!Q289*'Equity Price Data'!T290</f>
        <v>5992</v>
      </c>
      <c r="O289" s="30">
        <f>'Equity Volume Data'!R289*'Equity Price Data'!U290</f>
        <v>59143.5</v>
      </c>
      <c r="P289" s="30">
        <f>'Equity Volume Data'!S289*'Equity Price Data'!V290</f>
        <v>29998.98</v>
      </c>
      <c r="Q289" s="30">
        <f>'Equity Volume Data'!T289*'Equity Price Data'!W290</f>
        <v>27142.8</v>
      </c>
      <c r="R289" s="30">
        <f>'Equity Volume Data'!U289*'Equity Price Data'!X290</f>
        <v>12259.2</v>
      </c>
      <c r="S289" s="30">
        <f>'Equity Volume Data'!V289*'Equity Price Data'!Y290</f>
        <v>27456</v>
      </c>
      <c r="T289" s="30">
        <f>'Equity Volume Data'!W289*'Equity Price Data'!Z290</f>
        <v>11882.5</v>
      </c>
      <c r="U289" s="30">
        <f>'Equity Volume Data'!X289*'Equity Price Data'!AA290</f>
        <v>18543.36</v>
      </c>
      <c r="V289" s="30">
        <f>'Equity Volume Data'!Y289*'Equity Price Data'!AB290</f>
        <v>15988.91</v>
      </c>
      <c r="W289" s="30">
        <f>'Equity Volume Data'!Z289*'Equity Price Data'!AC290</f>
        <v>11785.2</v>
      </c>
      <c r="X289" s="30">
        <f>'Equity Volume Data'!AA289*'Equity Price Data'!AD290</f>
        <v>0</v>
      </c>
      <c r="Y289" s="30">
        <f>'Equity Volume Data'!AB289*'Equity Price Data'!AE290</f>
        <v>5972.59</v>
      </c>
      <c r="Z289" s="30">
        <f>'Equity Volume Data'!AC289*'Equity Price Data'!AF290</f>
        <v>11299.5</v>
      </c>
      <c r="AA289" s="30">
        <f>'Equity Volume Data'!AD289*'Equity Price Data'!AG290</f>
        <v>19412.3</v>
      </c>
      <c r="AB289" s="30">
        <f>'Equity Volume Data'!AE289*'Equity Price Data'!AH290</f>
        <v>14322.6</v>
      </c>
      <c r="AC289" s="30">
        <f>'Equity Volume Data'!AF289*'Equity Price Data'!AI290</f>
        <v>19561.2</v>
      </c>
      <c r="AD289" s="30">
        <f>'Equity Volume Data'!AG289*'Equity Price Data'!AJ290</f>
        <v>13349.25</v>
      </c>
      <c r="AE289" s="30">
        <f>'Equity Volume Data'!AH289*'Equity Price Data'!AK290</f>
        <v>0</v>
      </c>
      <c r="AF289" s="30">
        <f>'Equity Volume Data'!AI289*'Equity Price Data'!AL290</f>
        <v>22767.3</v>
      </c>
      <c r="AG289" s="30">
        <f>'Equity Volume Data'!AJ289*'Equity Price Data'!AM290</f>
        <v>41836.8</v>
      </c>
      <c r="AH289" s="30">
        <f>'Equity Volume Data'!AK289*'Equity Price Data'!AN290</f>
        <v>36750</v>
      </c>
      <c r="AI289" s="30">
        <f>'Equity Volume Data'!AL289*'Equity Price Data'!AO290</f>
        <v>23908.5</v>
      </c>
      <c r="AJ289" s="30">
        <f>'Equity Volume Data'!AM289*'Equity Price Data'!AP290</f>
        <v>23527.4</v>
      </c>
      <c r="AK289" s="30">
        <f>'Equity Volume Data'!AN289*'Equity Price Data'!AQ290</f>
        <v>24783.1</v>
      </c>
      <c r="AL289" s="30">
        <f>'Equity Volume Data'!AO289*'Equity Price Data'!AR290</f>
        <v>45244.8</v>
      </c>
      <c r="AM289" s="30">
        <f>'Equity Volume Data'!AP289*'Equity Price Data'!AS290</f>
        <v>32410.7</v>
      </c>
      <c r="AN289" s="30">
        <f>'Equity Volume Data'!AQ289*'Equity Price Data'!AT290</f>
        <v>0</v>
      </c>
      <c r="AO289" s="30">
        <f>'Equity Volume Data'!AR289*'Equity Price Data'!AU290</f>
        <v>26047</v>
      </c>
      <c r="AP289" s="30">
        <f>'Equity Volume Data'!AS289*'Equity Price Data'!AV290</f>
        <v>22145</v>
      </c>
      <c r="AQ289" s="30">
        <f>'Equity Volume Data'!AT289*'Equity Price Data'!AW290</f>
        <v>17525.2</v>
      </c>
      <c r="AR289" s="30">
        <f>'Equity Volume Data'!AU289*'Equity Price Data'!AX290</f>
        <v>13193.37</v>
      </c>
      <c r="AS289" s="30">
        <f>'Equity Volume Data'!AV289*'Equity Price Data'!AY290</f>
        <v>59594.4</v>
      </c>
      <c r="AT289" s="30">
        <f>'Equity Volume Data'!AW289*'Equity Price Data'!AZ290</f>
        <v>14492</v>
      </c>
      <c r="AU289" s="30">
        <f>'Equity Volume Data'!AX289*'Equity Price Data'!BA290</f>
        <v>0</v>
      </c>
      <c r="AV289" s="30">
        <f>'Equity Volume Data'!AY289*'Equity Price Data'!BB290</f>
        <v>22720</v>
      </c>
      <c r="AW289" s="30">
        <f>'Equity Volume Data'!AZ289*'Equity Price Data'!BC290</f>
        <v>3987.2</v>
      </c>
      <c r="AX289" s="30">
        <f>'Equity Volume Data'!BA289*'Equity Price Data'!BD290</f>
        <v>0</v>
      </c>
      <c r="AY289" s="30">
        <f>'Equity Volume Data'!BB289*'Equity Price Data'!BE290</f>
        <v>56163.42</v>
      </c>
      <c r="AZ289" s="30">
        <f>'Equity Volume Data'!BC289*'Equity Price Data'!BF290</f>
        <v>11254.5</v>
      </c>
      <c r="BA289" s="30">
        <f>'Equity Volume Data'!BD289*'Equity Price Data'!BG290</f>
        <v>4867.8</v>
      </c>
      <c r="BB289" s="30">
        <f>'Equity Volume Data'!BE289*'Equity Price Data'!BH290</f>
        <v>11592.8</v>
      </c>
      <c r="BC289" s="30">
        <f>'Equity Volume Data'!BF289*'Equity Price Data'!BI290</f>
        <v>11952.32</v>
      </c>
      <c r="BD289" s="30">
        <f>'Equity Volume Data'!BG289*'Equity Price Data'!BJ290</f>
        <v>50261.61</v>
      </c>
      <c r="BE289" s="30">
        <f>'Equity Volume Data'!BH289*'Equity Price Data'!BK290</f>
        <v>9801.91</v>
      </c>
      <c r="BF289" s="30">
        <f>'Equity Volume Data'!BI289*'Equity Price Data'!BL290</f>
        <v>6808</v>
      </c>
      <c r="BG289" s="30">
        <f>'Equity Volume Data'!BJ289*'Equity Price Data'!BM290</f>
        <v>34674.94</v>
      </c>
      <c r="BH289" s="30">
        <f>'Equity Volume Data'!BK289*'Equity Price Data'!BN290</f>
        <v>0</v>
      </c>
      <c r="BI289" s="30">
        <f>'Equity Volume Data'!BL289*'Equity Price Data'!BO290</f>
        <v>37846.4</v>
      </c>
      <c r="BJ289" s="30">
        <f>'Equity Volume Data'!BM289*'Equity Price Data'!BP290</f>
        <v>23077.5</v>
      </c>
      <c r="BK289" s="30">
        <f>'Equity Volume Data'!BN289*'Equity Price Data'!BQ290</f>
        <v>89811.68</v>
      </c>
      <c r="BL289" s="30">
        <f>'Equity Volume Data'!BO289*'Equity Price Data'!BR290</f>
        <v>435.22</v>
      </c>
      <c r="BM289" s="30">
        <f>'Equity Volume Data'!BP289*'Equity Price Data'!BS290</f>
        <v>10793.76</v>
      </c>
      <c r="BN289" s="30">
        <f>'Equity Volume Data'!BQ289*'Equity Price Data'!BT290</f>
        <v>22902.16</v>
      </c>
      <c r="BO289" s="30">
        <f>'Equity Volume Data'!BR289*'Equity Price Data'!BU290</f>
        <v>28381</v>
      </c>
    </row>
    <row r="290">
      <c r="A290" s="25">
        <f>'Equity Price Data'!A291</f>
        <v>45847.66667</v>
      </c>
      <c r="B290" s="29">
        <f t="shared" si="1"/>
        <v>1410017.59</v>
      </c>
      <c r="C290" s="30">
        <f>'Equity Volume Data'!F290*'Equity Price Data'!I291</f>
        <v>4853.94</v>
      </c>
      <c r="D290" s="30">
        <f>'Equity Volume Data'!G290*'Equity Price Data'!J291</f>
        <v>57860.4</v>
      </c>
      <c r="E290" s="30">
        <f>'Equity Volume Data'!H290*'Equity Price Data'!K291</f>
        <v>15598</v>
      </c>
      <c r="F290" s="30">
        <f>'Equity Volume Data'!I290*'Equity Price Data'!L291</f>
        <v>54051.84</v>
      </c>
      <c r="G290" s="30">
        <f>'Equity Volume Data'!J290*'Equity Price Data'!M291</f>
        <v>16217.37</v>
      </c>
      <c r="H290" s="30">
        <f>'Equity Volume Data'!K290*'Equity Price Data'!N291</f>
        <v>17493.4</v>
      </c>
      <c r="I290" s="30">
        <f>'Equity Volume Data'!L290*'Equity Price Data'!O291</f>
        <v>18630</v>
      </c>
      <c r="J290" s="30">
        <f>'Equity Volume Data'!M290*'Equity Price Data'!P291</f>
        <v>48848.82</v>
      </c>
      <c r="K290" s="30">
        <f>'Equity Volume Data'!N290*'Equity Price Data'!Q291</f>
        <v>9922</v>
      </c>
      <c r="L290" s="30">
        <f>'Equity Volume Data'!O290*'Equity Price Data'!R291</f>
        <v>16095.42</v>
      </c>
      <c r="M290" s="30">
        <f>'Equity Volume Data'!P290*'Equity Price Data'!S291</f>
        <v>0</v>
      </c>
      <c r="N290" s="30">
        <f>'Equity Volume Data'!Q290*'Equity Price Data'!T291</f>
        <v>6071.2</v>
      </c>
      <c r="O290" s="30">
        <f>'Equity Volume Data'!R290*'Equity Price Data'!U291</f>
        <v>60327</v>
      </c>
      <c r="P290" s="30">
        <f>'Equity Volume Data'!S290*'Equity Price Data'!V291</f>
        <v>29836.35</v>
      </c>
      <c r="Q290" s="30">
        <f>'Equity Volume Data'!T290*'Equity Price Data'!W291</f>
        <v>27747.6</v>
      </c>
      <c r="R290" s="30">
        <f>'Equity Volume Data'!U290*'Equity Price Data'!X291</f>
        <v>12241.6</v>
      </c>
      <c r="S290" s="30">
        <f>'Equity Volume Data'!V290*'Equity Price Data'!Y291</f>
        <v>27260.64</v>
      </c>
      <c r="T290" s="30">
        <f>'Equity Volume Data'!W290*'Equity Price Data'!Z291</f>
        <v>11845</v>
      </c>
      <c r="U290" s="30">
        <f>'Equity Volume Data'!X290*'Equity Price Data'!AA291</f>
        <v>18342.72</v>
      </c>
      <c r="V290" s="30">
        <f>'Equity Volume Data'!Y290*'Equity Price Data'!AB291</f>
        <v>16095.17</v>
      </c>
      <c r="W290" s="30">
        <f>'Equity Volume Data'!Z290*'Equity Price Data'!AC291</f>
        <v>11811.42</v>
      </c>
      <c r="X290" s="30">
        <f>'Equity Volume Data'!AA290*'Equity Price Data'!AD291</f>
        <v>0</v>
      </c>
      <c r="Y290" s="30">
        <f>'Equity Volume Data'!AB290*'Equity Price Data'!AE291</f>
        <v>6025.24</v>
      </c>
      <c r="Z290" s="30">
        <f>'Equity Volume Data'!AC290*'Equity Price Data'!AF291</f>
        <v>11448</v>
      </c>
      <c r="AA290" s="30">
        <f>'Equity Volume Data'!AD290*'Equity Price Data'!AG291</f>
        <v>19346</v>
      </c>
      <c r="AB290" s="30">
        <f>'Equity Volume Data'!AE290*'Equity Price Data'!AH291</f>
        <v>14190.6</v>
      </c>
      <c r="AC290" s="30">
        <f>'Equity Volume Data'!AF290*'Equity Price Data'!AI291</f>
        <v>19640.4</v>
      </c>
      <c r="AD290" s="30">
        <f>'Equity Volume Data'!AG290*'Equity Price Data'!AJ291</f>
        <v>13498.2</v>
      </c>
      <c r="AE290" s="30">
        <f>'Equity Volume Data'!AH290*'Equity Price Data'!AK291</f>
        <v>0</v>
      </c>
      <c r="AF290" s="30">
        <f>'Equity Volume Data'!AI290*'Equity Price Data'!AL291</f>
        <v>23214.2</v>
      </c>
      <c r="AG290" s="30">
        <f>'Equity Volume Data'!AJ290*'Equity Price Data'!AM291</f>
        <v>41793.6</v>
      </c>
      <c r="AH290" s="30">
        <f>'Equity Volume Data'!AK290*'Equity Price Data'!AN291</f>
        <v>37104</v>
      </c>
      <c r="AI290" s="30">
        <f>'Equity Volume Data'!AL290*'Equity Price Data'!AO291</f>
        <v>24127.25</v>
      </c>
      <c r="AJ290" s="30">
        <f>'Equity Volume Data'!AM290*'Equity Price Data'!AP291</f>
        <v>23680.8</v>
      </c>
      <c r="AK290" s="30">
        <f>'Equity Volume Data'!AN290*'Equity Price Data'!AQ291</f>
        <v>24822.11</v>
      </c>
      <c r="AL290" s="30">
        <f>'Equity Volume Data'!AO290*'Equity Price Data'!AR291</f>
        <v>45305.6</v>
      </c>
      <c r="AM290" s="30">
        <f>'Equity Volume Data'!AP290*'Equity Price Data'!AS291</f>
        <v>32414.2</v>
      </c>
      <c r="AN290" s="30">
        <f>'Equity Volume Data'!AQ290*'Equity Price Data'!AT291</f>
        <v>0</v>
      </c>
      <c r="AO290" s="30">
        <f>'Equity Volume Data'!AR290*'Equity Price Data'!AU291</f>
        <v>26021.38</v>
      </c>
      <c r="AP290" s="30">
        <f>'Equity Volume Data'!AS290*'Equity Price Data'!AV291</f>
        <v>22250</v>
      </c>
      <c r="AQ290" s="30">
        <f>'Equity Volume Data'!AT290*'Equity Price Data'!AW291</f>
        <v>17212.8</v>
      </c>
      <c r="AR290" s="30">
        <f>'Equity Volume Data'!AU290*'Equity Price Data'!AX291</f>
        <v>12702.69</v>
      </c>
      <c r="AS290" s="30">
        <f>'Equity Volume Data'!AV290*'Equity Price Data'!AY291</f>
        <v>60421.2</v>
      </c>
      <c r="AT290" s="30">
        <f>'Equity Volume Data'!AW290*'Equity Price Data'!AZ291</f>
        <v>14730</v>
      </c>
      <c r="AU290" s="30">
        <f>'Equity Volume Data'!AX290*'Equity Price Data'!BA291</f>
        <v>0</v>
      </c>
      <c r="AV290" s="30">
        <f>'Equity Volume Data'!AY290*'Equity Price Data'!BB291</f>
        <v>23128.96</v>
      </c>
      <c r="AW290" s="30">
        <f>'Equity Volume Data'!AZ290*'Equity Price Data'!BC291</f>
        <v>3973.6</v>
      </c>
      <c r="AX290" s="30">
        <f>'Equity Volume Data'!BA290*'Equity Price Data'!BD291</f>
        <v>0</v>
      </c>
      <c r="AY290" s="30">
        <f>'Equity Volume Data'!BB290*'Equity Price Data'!BE291</f>
        <v>57538.26</v>
      </c>
      <c r="AZ290" s="30">
        <f>'Equity Volume Data'!BC290*'Equity Price Data'!BF291</f>
        <v>11224.5</v>
      </c>
      <c r="BA290" s="30">
        <f>'Equity Volume Data'!BD290*'Equity Price Data'!BG291</f>
        <v>4856.4</v>
      </c>
      <c r="BB290" s="30">
        <f>'Equity Volume Data'!BE290*'Equity Price Data'!BH291</f>
        <v>11694.4</v>
      </c>
      <c r="BC290" s="30">
        <f>'Equity Volume Data'!BF290*'Equity Price Data'!BI291</f>
        <v>12634.56</v>
      </c>
      <c r="BD290" s="30">
        <f>'Equity Volume Data'!BG290*'Equity Price Data'!BJ291</f>
        <v>49482.03</v>
      </c>
      <c r="BE290" s="30">
        <f>'Equity Volume Data'!BH290*'Equity Price Data'!BK291</f>
        <v>9657.24</v>
      </c>
      <c r="BF290" s="30">
        <f>'Equity Volume Data'!BI290*'Equity Price Data'!BL291</f>
        <v>6821.6</v>
      </c>
      <c r="BG290" s="30">
        <f>'Equity Volume Data'!BJ290*'Equity Price Data'!BM291</f>
        <v>35141.98</v>
      </c>
      <c r="BH290" s="30">
        <f>'Equity Volume Data'!BK290*'Equity Price Data'!BN291</f>
        <v>0</v>
      </c>
      <c r="BI290" s="30">
        <f>'Equity Volume Data'!BL290*'Equity Price Data'!BO291</f>
        <v>37838.4</v>
      </c>
      <c r="BJ290" s="30">
        <f>'Equity Volume Data'!BM290*'Equity Price Data'!BP291</f>
        <v>22718.25</v>
      </c>
      <c r="BK290" s="30">
        <f>'Equity Volume Data'!BN290*'Equity Price Data'!BQ291</f>
        <v>89883.76</v>
      </c>
      <c r="BL290" s="30">
        <f>'Equity Volume Data'!BO290*'Equity Price Data'!BR291</f>
        <v>433.81</v>
      </c>
      <c r="BM290" s="30">
        <f>'Equity Volume Data'!BP290*'Equity Price Data'!BS291</f>
        <v>10836</v>
      </c>
      <c r="BN290" s="30">
        <f>'Equity Volume Data'!BQ290*'Equity Price Data'!BT291</f>
        <v>22674.68</v>
      </c>
      <c r="BO290" s="30">
        <f>'Equity Volume Data'!BR290*'Equity Price Data'!BU291</f>
        <v>28381</v>
      </c>
    </row>
    <row r="291">
      <c r="A291" s="25">
        <f>'Equity Price Data'!A292</f>
        <v>45848.66667</v>
      </c>
      <c r="B291" s="29">
        <f t="shared" si="1"/>
        <v>1419538.04</v>
      </c>
      <c r="C291" s="30">
        <f>'Equity Volume Data'!F291*'Equity Price Data'!I292</f>
        <v>4828.59</v>
      </c>
      <c r="D291" s="30">
        <f>'Equity Volume Data'!G291*'Equity Price Data'!J292</f>
        <v>57787.6</v>
      </c>
      <c r="E291" s="30">
        <f>'Equity Volume Data'!H291*'Equity Price Data'!K292</f>
        <v>15694.8</v>
      </c>
      <c r="F291" s="30">
        <f>'Equity Volume Data'!I291*'Equity Price Data'!L292</f>
        <v>54376.96</v>
      </c>
      <c r="G291" s="30">
        <f>'Equity Volume Data'!J291*'Equity Price Data'!M292</f>
        <v>16436.49</v>
      </c>
      <c r="H291" s="30">
        <f>'Equity Volume Data'!K291*'Equity Price Data'!N292</f>
        <v>17608.08</v>
      </c>
      <c r="I291" s="30">
        <f>'Equity Volume Data'!L291*'Equity Price Data'!O292</f>
        <v>18810</v>
      </c>
      <c r="J291" s="30">
        <f>'Equity Volume Data'!M291*'Equity Price Data'!P292</f>
        <v>48783.54</v>
      </c>
      <c r="K291" s="30">
        <f>'Equity Volume Data'!N291*'Equity Price Data'!Q292</f>
        <v>10302</v>
      </c>
      <c r="L291" s="30">
        <f>'Equity Volume Data'!O291*'Equity Price Data'!R292</f>
        <v>16374.93</v>
      </c>
      <c r="M291" s="30">
        <f>'Equity Volume Data'!P291*'Equity Price Data'!S292</f>
        <v>0</v>
      </c>
      <c r="N291" s="30">
        <f>'Equity Volume Data'!Q291*'Equity Price Data'!T292</f>
        <v>6141.6</v>
      </c>
      <c r="O291" s="30">
        <f>'Equity Volume Data'!R291*'Equity Price Data'!U292</f>
        <v>61249.5</v>
      </c>
      <c r="P291" s="30">
        <f>'Equity Volume Data'!S291*'Equity Price Data'!V292</f>
        <v>29531.94</v>
      </c>
      <c r="Q291" s="30">
        <f>'Equity Volume Data'!T291*'Equity Price Data'!W292</f>
        <v>26551.2</v>
      </c>
      <c r="R291" s="30">
        <f>'Equity Volume Data'!U291*'Equity Price Data'!X292</f>
        <v>12333.6</v>
      </c>
      <c r="S291" s="30">
        <f>'Equity Volume Data'!V291*'Equity Price Data'!Y292</f>
        <v>27172.64</v>
      </c>
      <c r="T291" s="30">
        <f>'Equity Volume Data'!W291*'Equity Price Data'!Z292</f>
        <v>11975</v>
      </c>
      <c r="U291" s="30">
        <f>'Equity Volume Data'!X291*'Equity Price Data'!AA292</f>
        <v>18419.28</v>
      </c>
      <c r="V291" s="30">
        <f>'Equity Volume Data'!Y291*'Equity Price Data'!AB292</f>
        <v>16272.27</v>
      </c>
      <c r="W291" s="30">
        <f>'Equity Volume Data'!Z291*'Equity Price Data'!AC292</f>
        <v>11763.12</v>
      </c>
      <c r="X291" s="30">
        <f>'Equity Volume Data'!AA291*'Equity Price Data'!AD292</f>
        <v>0</v>
      </c>
      <c r="Y291" s="30">
        <f>'Equity Volume Data'!AB291*'Equity Price Data'!AE292</f>
        <v>6108.96</v>
      </c>
      <c r="Z291" s="30">
        <f>'Equity Volume Data'!AC291*'Equity Price Data'!AF292</f>
        <v>11583</v>
      </c>
      <c r="AA291" s="30">
        <f>'Equity Volume Data'!AD291*'Equity Price Data'!AG292</f>
        <v>19538.1</v>
      </c>
      <c r="AB291" s="30">
        <f>'Equity Volume Data'!AE291*'Equity Price Data'!AH292</f>
        <v>14323.8</v>
      </c>
      <c r="AC291" s="30">
        <f>'Equity Volume Data'!AF291*'Equity Price Data'!AI292</f>
        <v>19917.6</v>
      </c>
      <c r="AD291" s="30">
        <f>'Equity Volume Data'!AG291*'Equity Price Data'!AJ292</f>
        <v>13652.1</v>
      </c>
      <c r="AE291" s="30">
        <f>'Equity Volume Data'!AH291*'Equity Price Data'!AK292</f>
        <v>0</v>
      </c>
      <c r="AF291" s="30">
        <f>'Equity Volume Data'!AI291*'Equity Price Data'!AL292</f>
        <v>23480.7</v>
      </c>
      <c r="AG291" s="30">
        <f>'Equity Volume Data'!AJ291*'Equity Price Data'!AM292</f>
        <v>42547.2</v>
      </c>
      <c r="AH291" s="30">
        <f>'Equity Volume Data'!AK291*'Equity Price Data'!AN292</f>
        <v>37330</v>
      </c>
      <c r="AI291" s="30">
        <f>'Equity Volume Data'!AL291*'Equity Price Data'!AO292</f>
        <v>23653</v>
      </c>
      <c r="AJ291" s="30">
        <f>'Equity Volume Data'!AM291*'Equity Price Data'!AP292</f>
        <v>23636.6</v>
      </c>
      <c r="AK291" s="30">
        <f>'Equity Volume Data'!AN291*'Equity Price Data'!AQ292</f>
        <v>24724.35</v>
      </c>
      <c r="AL291" s="30">
        <f>'Equity Volume Data'!AO291*'Equity Price Data'!AR292</f>
        <v>46110.4</v>
      </c>
      <c r="AM291" s="30">
        <f>'Equity Volume Data'!AP291*'Equity Price Data'!AS292</f>
        <v>32501.7</v>
      </c>
      <c r="AN291" s="30">
        <f>'Equity Volume Data'!AQ291*'Equity Price Data'!AT292</f>
        <v>0</v>
      </c>
      <c r="AO291" s="30">
        <f>'Equity Volume Data'!AR291*'Equity Price Data'!AU292</f>
        <v>26234.88</v>
      </c>
      <c r="AP291" s="30">
        <f>'Equity Volume Data'!AS291*'Equity Price Data'!AV292</f>
        <v>22350</v>
      </c>
      <c r="AQ291" s="30">
        <f>'Equity Volume Data'!AT291*'Equity Price Data'!AW292</f>
        <v>17241.4</v>
      </c>
      <c r="AR291" s="30">
        <f>'Equity Volume Data'!AU291*'Equity Price Data'!AX292</f>
        <v>19132.29</v>
      </c>
      <c r="AS291" s="30">
        <f>'Equity Volume Data'!AV291*'Equity Price Data'!AY292</f>
        <v>60177.6</v>
      </c>
      <c r="AT291" s="30">
        <f>'Equity Volume Data'!AW291*'Equity Price Data'!AZ292</f>
        <v>14928</v>
      </c>
      <c r="AU291" s="30">
        <f>'Equity Volume Data'!AX291*'Equity Price Data'!BA292</f>
        <v>0</v>
      </c>
      <c r="AV291" s="30">
        <f>'Equity Volume Data'!AY291*'Equity Price Data'!BB292</f>
        <v>23302.2</v>
      </c>
      <c r="AW291" s="30">
        <f>'Equity Volume Data'!AZ291*'Equity Price Data'!BC292</f>
        <v>3998.4</v>
      </c>
      <c r="AX291" s="30">
        <f>'Equity Volume Data'!BA291*'Equity Price Data'!BD292</f>
        <v>0</v>
      </c>
      <c r="AY291" s="30">
        <f>'Equity Volume Data'!BB291*'Equity Price Data'!BE292</f>
        <v>57285</v>
      </c>
      <c r="AZ291" s="30">
        <f>'Equity Volume Data'!BC291*'Equity Price Data'!BF292</f>
        <v>11355</v>
      </c>
      <c r="BA291" s="30">
        <f>'Equity Volume Data'!BD291*'Equity Price Data'!BG292</f>
        <v>4898.2</v>
      </c>
      <c r="BB291" s="30">
        <f>'Equity Volume Data'!BE291*'Equity Price Data'!BH292</f>
        <v>11712</v>
      </c>
      <c r="BC291" s="30">
        <f>'Equity Volume Data'!BF291*'Equity Price Data'!BI292</f>
        <v>12628</v>
      </c>
      <c r="BD291" s="30">
        <f>'Equity Volume Data'!BG291*'Equity Price Data'!BJ292</f>
        <v>48595.95</v>
      </c>
      <c r="BE291" s="30">
        <f>'Equity Volume Data'!BH291*'Equity Price Data'!BK292</f>
        <v>9906.79</v>
      </c>
      <c r="BF291" s="30">
        <f>'Equity Volume Data'!BI291*'Equity Price Data'!BL292</f>
        <v>6815.6</v>
      </c>
      <c r="BG291" s="30">
        <f>'Equity Volume Data'!BJ291*'Equity Price Data'!BM292</f>
        <v>34688.84</v>
      </c>
      <c r="BH291" s="30">
        <f>'Equity Volume Data'!BK291*'Equity Price Data'!BN292</f>
        <v>0</v>
      </c>
      <c r="BI291" s="30">
        <f>'Equity Volume Data'!BL291*'Equity Price Data'!BO292</f>
        <v>37920</v>
      </c>
      <c r="BJ291" s="30">
        <f>'Equity Volume Data'!BM291*'Equity Price Data'!BP292</f>
        <v>22463.25</v>
      </c>
      <c r="BK291" s="30">
        <f>'Equity Volume Data'!BN291*'Equity Price Data'!BQ292</f>
        <v>89883.76</v>
      </c>
      <c r="BL291" s="30">
        <f>'Equity Volume Data'!BO291*'Equity Price Data'!BR292</f>
        <v>434.75</v>
      </c>
      <c r="BM291" s="30">
        <f>'Equity Volume Data'!BP291*'Equity Price Data'!BS292</f>
        <v>10831.2</v>
      </c>
      <c r="BN291" s="30">
        <f>'Equity Volume Data'!BQ291*'Equity Price Data'!BT292</f>
        <v>22853.28</v>
      </c>
      <c r="BO291" s="30">
        <f>'Equity Volume Data'!BR291*'Equity Price Data'!BU292</f>
        <v>28381</v>
      </c>
    </row>
    <row r="292">
      <c r="A292" s="25">
        <f>'Equity Price Data'!A293</f>
        <v>45849.66667</v>
      </c>
      <c r="B292" s="29">
        <f t="shared" si="1"/>
        <v>1410253.82</v>
      </c>
      <c r="C292" s="30">
        <f>'Equity Volume Data'!F292*'Equity Price Data'!I293</f>
        <v>4723.55</v>
      </c>
      <c r="D292" s="30">
        <f>'Equity Volume Data'!G292*'Equity Price Data'!J293</f>
        <v>58505.2</v>
      </c>
      <c r="E292" s="30">
        <f>'Equity Volume Data'!H292*'Equity Price Data'!K293</f>
        <v>15651.9</v>
      </c>
      <c r="F292" s="30">
        <f>'Equity Volume Data'!I292*'Equity Price Data'!L293</f>
        <v>54056.96</v>
      </c>
      <c r="G292" s="30">
        <f>'Equity Volume Data'!J292*'Equity Price Data'!M293</f>
        <v>16428.19</v>
      </c>
      <c r="H292" s="30">
        <f>'Equity Volume Data'!K292*'Equity Price Data'!N293</f>
        <v>17619.36</v>
      </c>
      <c r="I292" s="30">
        <f>'Equity Volume Data'!L292*'Equity Price Data'!O293</f>
        <v>18400</v>
      </c>
      <c r="J292" s="30">
        <f>'Equity Volume Data'!M292*'Equity Price Data'!P293</f>
        <v>48537.72</v>
      </c>
      <c r="K292" s="30">
        <f>'Equity Volume Data'!N292*'Equity Price Data'!Q293</f>
        <v>10416</v>
      </c>
      <c r="L292" s="30">
        <f>'Equity Volume Data'!O292*'Equity Price Data'!R293</f>
        <v>16239.41</v>
      </c>
      <c r="M292" s="30">
        <f>'Equity Volume Data'!P292*'Equity Price Data'!S293</f>
        <v>0</v>
      </c>
      <c r="N292" s="30">
        <f>'Equity Volume Data'!Q292*'Equity Price Data'!T293</f>
        <v>6129.6</v>
      </c>
      <c r="O292" s="30">
        <f>'Equity Volume Data'!R292*'Equity Price Data'!U293</f>
        <v>60888</v>
      </c>
      <c r="P292" s="30">
        <f>'Equity Volume Data'!S292*'Equity Price Data'!V293</f>
        <v>30315.9</v>
      </c>
      <c r="Q292" s="30">
        <f>'Equity Volume Data'!T292*'Equity Price Data'!W293</f>
        <v>25860</v>
      </c>
      <c r="R292" s="30">
        <f>'Equity Volume Data'!U292*'Equity Price Data'!X293</f>
        <v>12424.8</v>
      </c>
      <c r="S292" s="30">
        <f>'Equity Volume Data'!V292*'Equity Price Data'!Y293</f>
        <v>26687.76</v>
      </c>
      <c r="T292" s="30">
        <f>'Equity Volume Data'!W292*'Equity Price Data'!Z293</f>
        <v>11917.5</v>
      </c>
      <c r="U292" s="30">
        <f>'Equity Volume Data'!X292*'Equity Price Data'!AA293</f>
        <v>18445.68</v>
      </c>
      <c r="V292" s="30">
        <f>'Equity Volume Data'!Y292*'Equity Price Data'!AB293</f>
        <v>16194.99</v>
      </c>
      <c r="W292" s="30">
        <f>'Equity Volume Data'!Z292*'Equity Price Data'!AC293</f>
        <v>11624.43</v>
      </c>
      <c r="X292" s="30">
        <f>'Equity Volume Data'!AA292*'Equity Price Data'!AD293</f>
        <v>0</v>
      </c>
      <c r="Y292" s="30">
        <f>'Equity Volume Data'!AB292*'Equity Price Data'!AE293</f>
        <v>6038.24</v>
      </c>
      <c r="Z292" s="30">
        <f>'Equity Volume Data'!AC292*'Equity Price Data'!AF293</f>
        <v>11566.5</v>
      </c>
      <c r="AA292" s="30">
        <f>'Equity Volume Data'!AD292*'Equity Price Data'!AG293</f>
        <v>19623.1</v>
      </c>
      <c r="AB292" s="30">
        <f>'Equity Volume Data'!AE292*'Equity Price Data'!AH293</f>
        <v>14163.6</v>
      </c>
      <c r="AC292" s="30">
        <f>'Equity Volume Data'!AF292*'Equity Price Data'!AI293</f>
        <v>19626.4</v>
      </c>
      <c r="AD292" s="30">
        <f>'Equity Volume Data'!AG292*'Equity Price Data'!AJ293</f>
        <v>13599</v>
      </c>
      <c r="AE292" s="30">
        <f>'Equity Volume Data'!AH292*'Equity Price Data'!AK293</f>
        <v>0</v>
      </c>
      <c r="AF292" s="30">
        <f>'Equity Volume Data'!AI292*'Equity Price Data'!AL293</f>
        <v>22476.2</v>
      </c>
      <c r="AG292" s="30">
        <f>'Equity Volume Data'!AJ292*'Equity Price Data'!AM293</f>
        <v>42297</v>
      </c>
      <c r="AH292" s="30">
        <f>'Equity Volume Data'!AK292*'Equity Price Data'!AN293</f>
        <v>37007</v>
      </c>
      <c r="AI292" s="30">
        <f>'Equity Volume Data'!AL292*'Equity Price Data'!AO293</f>
        <v>23187.5</v>
      </c>
      <c r="AJ292" s="30">
        <f>'Equity Volume Data'!AM292*'Equity Price Data'!AP293</f>
        <v>23466.3</v>
      </c>
      <c r="AK292" s="30">
        <f>'Equity Volume Data'!AN292*'Equity Price Data'!AQ293</f>
        <v>24066.82</v>
      </c>
      <c r="AL292" s="30">
        <f>'Equity Volume Data'!AO292*'Equity Price Data'!AR293</f>
        <v>45897.6</v>
      </c>
      <c r="AM292" s="30">
        <f>'Equity Volume Data'!AP292*'Equity Price Data'!AS293</f>
        <v>32725.7</v>
      </c>
      <c r="AN292" s="30">
        <f>'Equity Volume Data'!AQ292*'Equity Price Data'!AT293</f>
        <v>0</v>
      </c>
      <c r="AO292" s="30">
        <f>'Equity Volume Data'!AR292*'Equity Price Data'!AU293</f>
        <v>26029.92</v>
      </c>
      <c r="AP292" s="30">
        <f>'Equity Volume Data'!AS292*'Equity Price Data'!AV293</f>
        <v>22480</v>
      </c>
      <c r="AQ292" s="30">
        <f>'Equity Volume Data'!AT292*'Equity Price Data'!AW293</f>
        <v>17094</v>
      </c>
      <c r="AR292" s="30">
        <f>'Equity Volume Data'!AU292*'Equity Price Data'!AX293</f>
        <v>19081.53</v>
      </c>
      <c r="AS292" s="30">
        <f>'Equity Volume Data'!AV292*'Equity Price Data'!AY293</f>
        <v>60398.4</v>
      </c>
      <c r="AT292" s="30">
        <f>'Equity Volume Data'!AW292*'Equity Price Data'!AZ293</f>
        <v>14880</v>
      </c>
      <c r="AU292" s="30">
        <f>'Equity Volume Data'!AX292*'Equity Price Data'!BA293</f>
        <v>0</v>
      </c>
      <c r="AV292" s="30">
        <f>'Equity Volume Data'!AY292*'Equity Price Data'!BB293</f>
        <v>23418.64</v>
      </c>
      <c r="AW292" s="30">
        <f>'Equity Volume Data'!AZ292*'Equity Price Data'!BC293</f>
        <v>3979.6</v>
      </c>
      <c r="AX292" s="30">
        <f>'Equity Volume Data'!BA292*'Equity Price Data'!BD293</f>
        <v>0</v>
      </c>
      <c r="AY292" s="30">
        <f>'Equity Volume Data'!BB292*'Equity Price Data'!BE293</f>
        <v>57124.2</v>
      </c>
      <c r="AZ292" s="30">
        <f>'Equity Volume Data'!BC292*'Equity Price Data'!BF293</f>
        <v>10704</v>
      </c>
      <c r="BA292" s="30">
        <f>'Equity Volume Data'!BD292*'Equity Price Data'!BG293</f>
        <v>4873.5</v>
      </c>
      <c r="BB292" s="30">
        <f>'Equity Volume Data'!BE292*'Equity Price Data'!BH293</f>
        <v>11749.6</v>
      </c>
      <c r="BC292" s="30">
        <f>'Equity Volume Data'!BF292*'Equity Price Data'!BI293</f>
        <v>12470.56</v>
      </c>
      <c r="BD292" s="30">
        <f>'Equity Volume Data'!BG292*'Equity Price Data'!BJ293</f>
        <v>48512.88</v>
      </c>
      <c r="BE292" s="30">
        <f>'Equity Volume Data'!BH292*'Equity Price Data'!BK293</f>
        <v>10001.78</v>
      </c>
      <c r="BF292" s="30">
        <f>'Equity Volume Data'!BI292*'Equity Price Data'!BL293</f>
        <v>6810.4</v>
      </c>
      <c r="BG292" s="30">
        <f>'Equity Volume Data'!BJ292*'Equity Price Data'!BM293</f>
        <v>31263.88</v>
      </c>
      <c r="BH292" s="30">
        <f>'Equity Volume Data'!BK292*'Equity Price Data'!BN293</f>
        <v>0</v>
      </c>
      <c r="BI292" s="30">
        <f>'Equity Volume Data'!BL292*'Equity Price Data'!BO293</f>
        <v>37616</v>
      </c>
      <c r="BJ292" s="30">
        <f>'Equity Volume Data'!BM292*'Equity Price Data'!BP293</f>
        <v>22807.5</v>
      </c>
      <c r="BK292" s="30">
        <f>'Equity Volume Data'!BN292*'Equity Price Data'!BQ293</f>
        <v>89955.84</v>
      </c>
      <c r="BL292" s="30">
        <f>'Equity Volume Data'!BO292*'Equity Price Data'!BR293</f>
        <v>428.64</v>
      </c>
      <c r="BM292" s="30">
        <f>'Equity Volume Data'!BP292*'Equity Price Data'!BS293</f>
        <v>10848.48</v>
      </c>
      <c r="BN292" s="30">
        <f>'Equity Volume Data'!BQ292*'Equity Price Data'!BT293</f>
        <v>22535.56</v>
      </c>
      <c r="BO292" s="30">
        <f>'Equity Volume Data'!BR292*'Equity Price Data'!BU293</f>
        <v>28381</v>
      </c>
    </row>
    <row r="293">
      <c r="A293" s="25">
        <f>'Equity Price Data'!A294</f>
        <v>45852.66667</v>
      </c>
      <c r="B293" s="29">
        <f t="shared" si="1"/>
        <v>1419612.75</v>
      </c>
      <c r="C293" s="30">
        <f>'Equity Volume Data'!F293*'Equity Price Data'!I294</f>
        <v>4770.87</v>
      </c>
      <c r="D293" s="30">
        <f>'Equity Volume Data'!G293*'Equity Price Data'!J294</f>
        <v>58679.4</v>
      </c>
      <c r="E293" s="30">
        <f>'Equity Volume Data'!H293*'Equity Price Data'!K294</f>
        <v>15768.5</v>
      </c>
      <c r="F293" s="30">
        <f>'Equity Volume Data'!I293*'Equity Price Data'!L294</f>
        <v>53406.72</v>
      </c>
      <c r="G293" s="30">
        <f>'Equity Volume Data'!J293*'Equity Price Data'!M294</f>
        <v>16359.3</v>
      </c>
      <c r="H293" s="30">
        <f>'Equity Volume Data'!K293*'Equity Price Data'!N294</f>
        <v>17907</v>
      </c>
      <c r="I293" s="30">
        <f>'Equity Volume Data'!L293*'Equity Price Data'!O294</f>
        <v>18640</v>
      </c>
      <c r="J293" s="30">
        <f>'Equity Volume Data'!M293*'Equity Price Data'!P294</f>
        <v>48583.62</v>
      </c>
      <c r="K293" s="30">
        <f>'Equity Volume Data'!N293*'Equity Price Data'!Q294</f>
        <v>10384</v>
      </c>
      <c r="L293" s="30">
        <f>'Equity Volume Data'!O293*'Equity Price Data'!R294</f>
        <v>16106.31</v>
      </c>
      <c r="M293" s="30">
        <f>'Equity Volume Data'!P293*'Equity Price Data'!S294</f>
        <v>0</v>
      </c>
      <c r="N293" s="30">
        <f>'Equity Volume Data'!Q293*'Equity Price Data'!T294</f>
        <v>6128.8</v>
      </c>
      <c r="O293" s="30">
        <f>'Equity Volume Data'!R293*'Equity Price Data'!U294</f>
        <v>60865.5</v>
      </c>
      <c r="P293" s="30">
        <f>'Equity Volume Data'!S293*'Equity Price Data'!V294</f>
        <v>31333.38</v>
      </c>
      <c r="Q293" s="30">
        <f>'Equity Volume Data'!T293*'Equity Price Data'!W294</f>
        <v>26481.6</v>
      </c>
      <c r="R293" s="30">
        <f>'Equity Volume Data'!U293*'Equity Price Data'!X294</f>
        <v>12132</v>
      </c>
      <c r="S293" s="30">
        <f>'Equity Volume Data'!V293*'Equity Price Data'!Y294</f>
        <v>26669.28</v>
      </c>
      <c r="T293" s="30">
        <f>'Equity Volume Data'!W293*'Equity Price Data'!Z294</f>
        <v>11970</v>
      </c>
      <c r="U293" s="30">
        <f>'Equity Volume Data'!X293*'Equity Price Data'!AA294</f>
        <v>18340.08</v>
      </c>
      <c r="V293" s="30">
        <f>'Equity Volume Data'!Y293*'Equity Price Data'!AB294</f>
        <v>16262.61</v>
      </c>
      <c r="W293" s="30">
        <f>'Equity Volume Data'!Z293*'Equity Price Data'!AC294</f>
        <v>11794.17</v>
      </c>
      <c r="X293" s="30">
        <f>'Equity Volume Data'!AA293*'Equity Price Data'!AD294</f>
        <v>0</v>
      </c>
      <c r="Y293" s="30">
        <f>'Equity Volume Data'!AB293*'Equity Price Data'!AE294</f>
        <v>6148.22</v>
      </c>
      <c r="Z293" s="30">
        <f>'Equity Volume Data'!AC293*'Equity Price Data'!AF294</f>
        <v>11644.5</v>
      </c>
      <c r="AA293" s="30">
        <f>'Equity Volume Data'!AD293*'Equity Price Data'!AG294</f>
        <v>19366.4</v>
      </c>
      <c r="AB293" s="30">
        <f>'Equity Volume Data'!AE293*'Equity Price Data'!AH294</f>
        <v>14038.8</v>
      </c>
      <c r="AC293" s="30">
        <f>'Equity Volume Data'!AF293*'Equity Price Data'!AI294</f>
        <v>19531.6</v>
      </c>
      <c r="AD293" s="30">
        <f>'Equity Volume Data'!AG293*'Equity Price Data'!AJ294</f>
        <v>13718.25</v>
      </c>
      <c r="AE293" s="30">
        <f>'Equity Volume Data'!AH293*'Equity Price Data'!AK294</f>
        <v>0</v>
      </c>
      <c r="AF293" s="30">
        <f>'Equity Volume Data'!AI293*'Equity Price Data'!AL294</f>
        <v>22978.45</v>
      </c>
      <c r="AG293" s="30">
        <f>'Equity Volume Data'!AJ293*'Equity Price Data'!AM294</f>
        <v>42798</v>
      </c>
      <c r="AH293" s="30">
        <f>'Equity Volume Data'!AK293*'Equity Price Data'!AN294</f>
        <v>37011</v>
      </c>
      <c r="AI293" s="30">
        <f>'Equity Volume Data'!AL293*'Equity Price Data'!AO294</f>
        <v>23369.5</v>
      </c>
      <c r="AJ293" s="30">
        <f>'Equity Volume Data'!AM293*'Equity Price Data'!AP294</f>
        <v>23636.6</v>
      </c>
      <c r="AK293" s="30">
        <f>'Equity Volume Data'!AN293*'Equity Price Data'!AQ294</f>
        <v>24272.68</v>
      </c>
      <c r="AL293" s="30">
        <f>'Equity Volume Data'!AO293*'Equity Price Data'!AR294</f>
        <v>46192</v>
      </c>
      <c r="AM293" s="30">
        <f>'Equity Volume Data'!AP293*'Equity Price Data'!AS294</f>
        <v>33149.9</v>
      </c>
      <c r="AN293" s="30">
        <f>'Equity Volume Data'!AQ293*'Equity Price Data'!AT294</f>
        <v>0</v>
      </c>
      <c r="AO293" s="30">
        <f>'Equity Volume Data'!AR293*'Equity Price Data'!AU294</f>
        <v>26029.92</v>
      </c>
      <c r="AP293" s="30">
        <f>'Equity Volume Data'!AS293*'Equity Price Data'!AV294</f>
        <v>22432.5</v>
      </c>
      <c r="AQ293" s="30">
        <f>'Equity Volume Data'!AT293*'Equity Price Data'!AW294</f>
        <v>17138</v>
      </c>
      <c r="AR293" s="30">
        <f>'Equity Volume Data'!AU293*'Equity Price Data'!AX294</f>
        <v>20523.96</v>
      </c>
      <c r="AS293" s="30">
        <f>'Equity Volume Data'!AV293*'Equity Price Data'!AY294</f>
        <v>60362.4</v>
      </c>
      <c r="AT293" s="30">
        <f>'Equity Volume Data'!AW293*'Equity Price Data'!AZ294</f>
        <v>15008</v>
      </c>
      <c r="AU293" s="30">
        <f>'Equity Volume Data'!AX293*'Equity Price Data'!BA294</f>
        <v>0</v>
      </c>
      <c r="AV293" s="30">
        <f>'Equity Volume Data'!AY293*'Equity Price Data'!BB294</f>
        <v>23297.94</v>
      </c>
      <c r="AW293" s="30">
        <f>'Equity Volume Data'!AZ293*'Equity Price Data'!BC294</f>
        <v>4001.6</v>
      </c>
      <c r="AX293" s="30">
        <f>'Equity Volume Data'!BA293*'Equity Price Data'!BD294</f>
        <v>0</v>
      </c>
      <c r="AY293" s="30">
        <f>'Equity Volume Data'!BB293*'Equity Price Data'!BE294</f>
        <v>59958.3</v>
      </c>
      <c r="AZ293" s="30">
        <f>'Equity Volume Data'!BC293*'Equity Price Data'!BF294</f>
        <v>11083.5</v>
      </c>
      <c r="BA293" s="30">
        <f>'Equity Volume Data'!BD293*'Equity Price Data'!BG294</f>
        <v>4816.5</v>
      </c>
      <c r="BB293" s="30">
        <f>'Equity Volume Data'!BE293*'Equity Price Data'!BH294</f>
        <v>11942.4</v>
      </c>
      <c r="BC293" s="30">
        <f>'Equity Volume Data'!BF293*'Equity Price Data'!BI294</f>
        <v>12585.36</v>
      </c>
      <c r="BD293" s="30">
        <f>'Equity Volume Data'!BG293*'Equity Price Data'!BJ294</f>
        <v>48595.95</v>
      </c>
      <c r="BE293" s="30">
        <f>'Equity Volume Data'!BH293*'Equity Price Data'!BK294</f>
        <v>9782.82</v>
      </c>
      <c r="BF293" s="30">
        <f>'Equity Volume Data'!BI293*'Equity Price Data'!BL294</f>
        <v>6885.6</v>
      </c>
      <c r="BG293" s="30">
        <f>'Equity Volume Data'!BJ293*'Equity Price Data'!BM294</f>
        <v>32492.64</v>
      </c>
      <c r="BH293" s="30">
        <f>'Equity Volume Data'!BK293*'Equity Price Data'!BN294</f>
        <v>0</v>
      </c>
      <c r="BI293" s="30">
        <f>'Equity Volume Data'!BL293*'Equity Price Data'!BO294</f>
        <v>37329.6</v>
      </c>
      <c r="BJ293" s="30">
        <f>'Equity Volume Data'!BM293*'Equity Price Data'!BP294</f>
        <v>22543.5</v>
      </c>
      <c r="BK293" s="30">
        <f>'Equity Volume Data'!BN293*'Equity Price Data'!BQ294</f>
        <v>89991.88</v>
      </c>
      <c r="BL293" s="30">
        <f>'Equity Volume Data'!BO293*'Equity Price Data'!BR294</f>
        <v>429.58</v>
      </c>
      <c r="BM293" s="30">
        <f>'Equity Volume Data'!BP293*'Equity Price Data'!BS294</f>
        <v>11006.4</v>
      </c>
      <c r="BN293" s="30">
        <f>'Equity Volume Data'!BQ293*'Equity Price Data'!BT294</f>
        <v>22554.36</v>
      </c>
      <c r="BO293" s="30">
        <f>'Equity Volume Data'!BR293*'Equity Price Data'!BU294</f>
        <v>28381</v>
      </c>
    </row>
    <row r="294">
      <c r="A294" s="25">
        <f>'Equity Price Data'!A295</f>
        <v>45853.66667</v>
      </c>
      <c r="B294" s="29">
        <f t="shared" si="1"/>
        <v>1414067.53</v>
      </c>
      <c r="C294" s="30">
        <f>'Equity Volume Data'!F294*'Equity Price Data'!I295</f>
        <v>4734.34</v>
      </c>
      <c r="D294" s="30">
        <f>'Equity Volume Data'!G294*'Equity Price Data'!J295</f>
        <v>58851</v>
      </c>
      <c r="E294" s="30">
        <f>'Equity Volume Data'!H294*'Equity Price Data'!K295</f>
        <v>15491.3</v>
      </c>
      <c r="F294" s="30">
        <f>'Equity Volume Data'!I294*'Equity Price Data'!L295</f>
        <v>53532.16</v>
      </c>
      <c r="G294" s="30">
        <f>'Equity Volume Data'!J294*'Equity Price Data'!M295</f>
        <v>16541.07</v>
      </c>
      <c r="H294" s="30">
        <f>'Equity Volume Data'!K294*'Equity Price Data'!N295</f>
        <v>17890.08</v>
      </c>
      <c r="I294" s="30">
        <f>'Equity Volume Data'!L294*'Equity Price Data'!O295</f>
        <v>18480</v>
      </c>
      <c r="J294" s="30">
        <f>'Equity Volume Data'!M294*'Equity Price Data'!P295</f>
        <v>47953.26</v>
      </c>
      <c r="K294" s="30">
        <f>'Equity Volume Data'!N294*'Equity Price Data'!Q295</f>
        <v>10074</v>
      </c>
      <c r="L294" s="30">
        <f>'Equity Volume Data'!O294*'Equity Price Data'!R295</f>
        <v>15427.5</v>
      </c>
      <c r="M294" s="30">
        <f>'Equity Volume Data'!P294*'Equity Price Data'!S295</f>
        <v>0</v>
      </c>
      <c r="N294" s="30">
        <f>'Equity Volume Data'!Q294*'Equity Price Data'!T295</f>
        <v>6030.4</v>
      </c>
      <c r="O294" s="30">
        <f>'Equity Volume Data'!R294*'Equity Price Data'!U295</f>
        <v>60696</v>
      </c>
      <c r="P294" s="30">
        <f>'Equity Volume Data'!S294*'Equity Price Data'!V295</f>
        <v>31608.6</v>
      </c>
      <c r="Q294" s="30">
        <f>'Equity Volume Data'!T294*'Equity Price Data'!W295</f>
        <v>26253.6</v>
      </c>
      <c r="R294" s="30">
        <f>'Equity Volume Data'!U294*'Equity Price Data'!X295</f>
        <v>12055.2</v>
      </c>
      <c r="S294" s="30">
        <f>'Equity Volume Data'!V294*'Equity Price Data'!Y295</f>
        <v>26614.72</v>
      </c>
      <c r="T294" s="30">
        <f>'Equity Volume Data'!W294*'Equity Price Data'!Z295</f>
        <v>11672.5</v>
      </c>
      <c r="U294" s="30">
        <f>'Equity Volume Data'!X294*'Equity Price Data'!AA295</f>
        <v>18311.04</v>
      </c>
      <c r="V294" s="30">
        <f>'Equity Volume Data'!Y294*'Equity Price Data'!AB295</f>
        <v>16091.95</v>
      </c>
      <c r="W294" s="30">
        <f>'Equity Volume Data'!Z294*'Equity Price Data'!AC295</f>
        <v>11807.97</v>
      </c>
      <c r="X294" s="30">
        <f>'Equity Volume Data'!AA294*'Equity Price Data'!AD295</f>
        <v>0</v>
      </c>
      <c r="Y294" s="30">
        <f>'Equity Volume Data'!AB294*'Equity Price Data'!AE295</f>
        <v>6050.07</v>
      </c>
      <c r="Z294" s="30">
        <f>'Equity Volume Data'!AC294*'Equity Price Data'!AF295</f>
        <v>11583</v>
      </c>
      <c r="AA294" s="30">
        <f>'Equity Volume Data'!AD294*'Equity Price Data'!AG295</f>
        <v>19194.7</v>
      </c>
      <c r="AB294" s="30">
        <f>'Equity Volume Data'!AE294*'Equity Price Data'!AH295</f>
        <v>13839.6</v>
      </c>
      <c r="AC294" s="30">
        <f>'Equity Volume Data'!AF294*'Equity Price Data'!AI295</f>
        <v>19484.4</v>
      </c>
      <c r="AD294" s="30">
        <f>'Equity Volume Data'!AG294*'Equity Price Data'!AJ295</f>
        <v>13538.25</v>
      </c>
      <c r="AE294" s="30">
        <f>'Equity Volume Data'!AH294*'Equity Price Data'!AK295</f>
        <v>0</v>
      </c>
      <c r="AF294" s="30">
        <f>'Equity Volume Data'!AI294*'Equity Price Data'!AL295</f>
        <v>22357.3</v>
      </c>
      <c r="AG294" s="30">
        <f>'Equity Volume Data'!AJ294*'Equity Price Data'!AM295</f>
        <v>42150.6</v>
      </c>
      <c r="AH294" s="30">
        <f>'Equity Volume Data'!AK294*'Equity Price Data'!AN295</f>
        <v>35864</v>
      </c>
      <c r="AI294" s="30">
        <f>'Equity Volume Data'!AL294*'Equity Price Data'!AO295</f>
        <v>23131.5</v>
      </c>
      <c r="AJ294" s="30">
        <f>'Equity Volume Data'!AM294*'Equity Price Data'!AP295</f>
        <v>23372.7</v>
      </c>
      <c r="AK294" s="30">
        <f>'Equity Volume Data'!AN294*'Equity Price Data'!AQ295</f>
        <v>24074.81</v>
      </c>
      <c r="AL294" s="30">
        <f>'Equity Volume Data'!AO294*'Equity Price Data'!AR295</f>
        <v>45848</v>
      </c>
      <c r="AM294" s="30">
        <f>'Equity Volume Data'!AP294*'Equity Price Data'!AS295</f>
        <v>32908.4</v>
      </c>
      <c r="AN294" s="30">
        <f>'Equity Volume Data'!AQ294*'Equity Price Data'!AT295</f>
        <v>0</v>
      </c>
      <c r="AO294" s="30">
        <f>'Equity Volume Data'!AR294*'Equity Price Data'!AU295</f>
        <v>25833.5</v>
      </c>
      <c r="AP294" s="30">
        <f>'Equity Volume Data'!AS294*'Equity Price Data'!AV295</f>
        <v>22305</v>
      </c>
      <c r="AQ294" s="30">
        <f>'Equity Volume Data'!AT294*'Equity Price Data'!AW295</f>
        <v>16766.2</v>
      </c>
      <c r="AR294" s="30">
        <f>'Equity Volume Data'!AU294*'Equity Price Data'!AX295</f>
        <v>24627.06</v>
      </c>
      <c r="AS294" s="30">
        <f>'Equity Volume Data'!AV294*'Equity Price Data'!AY295</f>
        <v>60698.4</v>
      </c>
      <c r="AT294" s="30">
        <f>'Equity Volume Data'!AW294*'Equity Price Data'!AZ295</f>
        <v>14940</v>
      </c>
      <c r="AU294" s="30">
        <f>'Equity Volume Data'!AX294*'Equity Price Data'!BA295</f>
        <v>0</v>
      </c>
      <c r="AV294" s="30">
        <f>'Equity Volume Data'!AY294*'Equity Price Data'!BB295</f>
        <v>24239.4</v>
      </c>
      <c r="AW294" s="30">
        <f>'Equity Volume Data'!AZ294*'Equity Price Data'!BC295</f>
        <v>3975.2</v>
      </c>
      <c r="AX294" s="30">
        <f>'Equity Volume Data'!BA294*'Equity Price Data'!BD295</f>
        <v>0</v>
      </c>
      <c r="AY294" s="30">
        <f>'Equity Volume Data'!BB294*'Equity Price Data'!BE295</f>
        <v>59729.16</v>
      </c>
      <c r="AZ294" s="30">
        <f>'Equity Volume Data'!BC294*'Equity Price Data'!BF295</f>
        <v>10944</v>
      </c>
      <c r="BA294" s="30">
        <f>'Equity Volume Data'!BD294*'Equity Price Data'!BG295</f>
        <v>4675.9</v>
      </c>
      <c r="BB294" s="30">
        <f>'Equity Volume Data'!BE294*'Equity Price Data'!BH295</f>
        <v>11894.4</v>
      </c>
      <c r="BC294" s="30">
        <f>'Equity Volume Data'!BF294*'Equity Price Data'!BI295</f>
        <v>12401.68</v>
      </c>
      <c r="BD294" s="30">
        <f>'Equity Volume Data'!BG294*'Equity Price Data'!BJ295</f>
        <v>48142.26</v>
      </c>
      <c r="BE294" s="30">
        <f>'Equity Volume Data'!BH294*'Equity Price Data'!BK295</f>
        <v>9613.77</v>
      </c>
      <c r="BF294" s="30">
        <f>'Equity Volume Data'!BI294*'Equity Price Data'!BL295</f>
        <v>6800.8</v>
      </c>
      <c r="BG294" s="30">
        <f>'Equity Volume Data'!BJ294*'Equity Price Data'!BM295</f>
        <v>32159.04</v>
      </c>
      <c r="BH294" s="30">
        <f>'Equity Volume Data'!BK294*'Equity Price Data'!BN295</f>
        <v>0</v>
      </c>
      <c r="BI294" s="30">
        <f>'Equity Volume Data'!BL294*'Equity Price Data'!BO295</f>
        <v>36982.4</v>
      </c>
      <c r="BJ294" s="30">
        <f>'Equity Volume Data'!BM294*'Equity Price Data'!BP295</f>
        <v>21878.25</v>
      </c>
      <c r="BK294" s="30">
        <f>'Equity Volume Data'!BN294*'Equity Price Data'!BQ295</f>
        <v>89937.82</v>
      </c>
      <c r="BL294" s="30">
        <f>'Equity Volume Data'!BO294*'Equity Price Data'!BR295</f>
        <v>419.71</v>
      </c>
      <c r="BM294" s="30">
        <f>'Equity Volume Data'!BP294*'Equity Price Data'!BS295</f>
        <v>10840.32</v>
      </c>
      <c r="BN294" s="30">
        <f>'Equity Volume Data'!BQ294*'Equity Price Data'!BT295</f>
        <v>22368.24</v>
      </c>
      <c r="BO294" s="30">
        <f>'Equity Volume Data'!BR294*'Equity Price Data'!BU295</f>
        <v>28381</v>
      </c>
    </row>
    <row r="295">
      <c r="A295" s="25">
        <f>'Equity Price Data'!A296</f>
        <v>45854.66667</v>
      </c>
      <c r="B295" s="29">
        <f t="shared" si="1"/>
        <v>1418920.11</v>
      </c>
      <c r="C295" s="30">
        <f>'Equity Volume Data'!F295*'Equity Price Data'!I296</f>
        <v>4703.01</v>
      </c>
      <c r="D295" s="30">
        <f>'Equity Volume Data'!G295*'Equity Price Data'!J296</f>
        <v>58029.4</v>
      </c>
      <c r="E295" s="30">
        <f>'Equity Volume Data'!H295*'Equity Price Data'!K296</f>
        <v>15589.2</v>
      </c>
      <c r="F295" s="30">
        <f>'Equity Volume Data'!I295*'Equity Price Data'!L296</f>
        <v>53800.96</v>
      </c>
      <c r="G295" s="30">
        <f>'Equity Volume Data'!J295*'Equity Price Data'!M296</f>
        <v>16169.23</v>
      </c>
      <c r="H295" s="30">
        <f>'Equity Volume Data'!K295*'Equity Price Data'!N296</f>
        <v>17952.12</v>
      </c>
      <c r="I295" s="30">
        <f>'Equity Volume Data'!L295*'Equity Price Data'!O296</f>
        <v>18730</v>
      </c>
      <c r="J295" s="30">
        <f>'Equity Volume Data'!M295*'Equity Price Data'!P296</f>
        <v>48073.62</v>
      </c>
      <c r="K295" s="30">
        <f>'Equity Volume Data'!N295*'Equity Price Data'!Q296</f>
        <v>10234</v>
      </c>
      <c r="L295" s="30">
        <f>'Equity Volume Data'!O295*'Equity Price Data'!R296</f>
        <v>15543.66</v>
      </c>
      <c r="M295" s="30">
        <f>'Equity Volume Data'!P295*'Equity Price Data'!S296</f>
        <v>0</v>
      </c>
      <c r="N295" s="30">
        <f>'Equity Volume Data'!Q295*'Equity Price Data'!T296</f>
        <v>6034.4</v>
      </c>
      <c r="O295" s="30">
        <f>'Equity Volume Data'!R295*'Equity Price Data'!U296</f>
        <v>61932</v>
      </c>
      <c r="P295" s="30">
        <f>'Equity Volume Data'!S295*'Equity Price Data'!V296</f>
        <v>31771.23</v>
      </c>
      <c r="Q295" s="30">
        <f>'Equity Volume Data'!T295*'Equity Price Data'!W296</f>
        <v>26168.4</v>
      </c>
      <c r="R295" s="30">
        <f>'Equity Volume Data'!U295*'Equity Price Data'!X296</f>
        <v>11993.6</v>
      </c>
      <c r="S295" s="30">
        <f>'Equity Volume Data'!V295*'Equity Price Data'!Y296</f>
        <v>26912.16</v>
      </c>
      <c r="T295" s="30">
        <f>'Equity Volume Data'!W295*'Equity Price Data'!Z296</f>
        <v>11742.5</v>
      </c>
      <c r="U295" s="30">
        <f>'Equity Volume Data'!X295*'Equity Price Data'!AA296</f>
        <v>18287.28</v>
      </c>
      <c r="V295" s="30">
        <f>'Equity Volume Data'!Y295*'Equity Price Data'!AB296</f>
        <v>16174.06</v>
      </c>
      <c r="W295" s="30">
        <f>'Equity Volume Data'!Z295*'Equity Price Data'!AC296</f>
        <v>11935.62</v>
      </c>
      <c r="X295" s="30">
        <f>'Equity Volume Data'!AA295*'Equity Price Data'!AD296</f>
        <v>0</v>
      </c>
      <c r="Y295" s="30">
        <f>'Equity Volume Data'!AB295*'Equity Price Data'!AE296</f>
        <v>6048.9</v>
      </c>
      <c r="Z295" s="30">
        <f>'Equity Volume Data'!AC295*'Equity Price Data'!AF296</f>
        <v>11538</v>
      </c>
      <c r="AA295" s="30">
        <f>'Equity Volume Data'!AD295*'Equity Price Data'!AG296</f>
        <v>19079.1</v>
      </c>
      <c r="AB295" s="30">
        <f>'Equity Volume Data'!AE295*'Equity Price Data'!AH296</f>
        <v>13725</v>
      </c>
      <c r="AC295" s="30">
        <f>'Equity Volume Data'!AF295*'Equity Price Data'!AI296</f>
        <v>20212</v>
      </c>
      <c r="AD295" s="30">
        <f>'Equity Volume Data'!AG295*'Equity Price Data'!AJ296</f>
        <v>13500</v>
      </c>
      <c r="AE295" s="30">
        <f>'Equity Volume Data'!AH295*'Equity Price Data'!AK296</f>
        <v>0</v>
      </c>
      <c r="AF295" s="30">
        <f>'Equity Volume Data'!AI295*'Equity Price Data'!AL296</f>
        <v>22519.25</v>
      </c>
      <c r="AG295" s="30">
        <f>'Equity Volume Data'!AJ295*'Equity Price Data'!AM296</f>
        <v>42529.2</v>
      </c>
      <c r="AH295" s="30">
        <f>'Equity Volume Data'!AK295*'Equity Price Data'!AN296</f>
        <v>35740</v>
      </c>
      <c r="AI295" s="30">
        <f>'Equity Volume Data'!AL295*'Equity Price Data'!AO296</f>
        <v>23159.5</v>
      </c>
      <c r="AJ295" s="30">
        <f>'Equity Volume Data'!AM295*'Equity Price Data'!AP296</f>
        <v>23504</v>
      </c>
      <c r="AK295" s="30">
        <f>'Equity Volume Data'!AN295*'Equity Price Data'!AQ296</f>
        <v>24094.08</v>
      </c>
      <c r="AL295" s="30">
        <f>'Equity Volume Data'!AO295*'Equity Price Data'!AR296</f>
        <v>45731.2</v>
      </c>
      <c r="AM295" s="30">
        <f>'Equity Volume Data'!AP295*'Equity Price Data'!AS296</f>
        <v>33002.9</v>
      </c>
      <c r="AN295" s="30">
        <f>'Equity Volume Data'!AQ295*'Equity Price Data'!AT296</f>
        <v>0</v>
      </c>
      <c r="AO295" s="30">
        <f>'Equity Volume Data'!AR295*'Equity Price Data'!AU296</f>
        <v>26012.84</v>
      </c>
      <c r="AP295" s="30">
        <f>'Equity Volume Data'!AS295*'Equity Price Data'!AV296</f>
        <v>22445</v>
      </c>
      <c r="AQ295" s="30">
        <f>'Equity Volume Data'!AT295*'Equity Price Data'!AW296</f>
        <v>16849.8</v>
      </c>
      <c r="AR295" s="30">
        <f>'Equity Volume Data'!AU295*'Equity Price Data'!AX296</f>
        <v>24766.65</v>
      </c>
      <c r="AS295" s="30">
        <f>'Equity Volume Data'!AV295*'Equity Price Data'!AY296</f>
        <v>60674.4</v>
      </c>
      <c r="AT295" s="30">
        <f>'Equity Volume Data'!AW295*'Equity Price Data'!AZ296</f>
        <v>14954</v>
      </c>
      <c r="AU295" s="30">
        <f>'Equity Volume Data'!AX295*'Equity Price Data'!BA296</f>
        <v>0</v>
      </c>
      <c r="AV295" s="30">
        <f>'Equity Volume Data'!AY295*'Equity Price Data'!BB296</f>
        <v>24334.54</v>
      </c>
      <c r="AW295" s="30">
        <f>'Equity Volume Data'!AZ295*'Equity Price Data'!BC296</f>
        <v>4013.6</v>
      </c>
      <c r="AX295" s="30">
        <f>'Equity Volume Data'!BA295*'Equity Price Data'!BD296</f>
        <v>0</v>
      </c>
      <c r="AY295" s="30">
        <f>'Equity Volume Data'!BB295*'Equity Price Data'!BE296</f>
        <v>60665.82</v>
      </c>
      <c r="AZ295" s="30">
        <f>'Equity Volume Data'!BC295*'Equity Price Data'!BF296</f>
        <v>10945.5</v>
      </c>
      <c r="BA295" s="30">
        <f>'Equity Volume Data'!BD295*'Equity Price Data'!BG296</f>
        <v>4675.9</v>
      </c>
      <c r="BB295" s="30">
        <f>'Equity Volume Data'!BE295*'Equity Price Data'!BH296</f>
        <v>12013.6</v>
      </c>
      <c r="BC295" s="30">
        <f>'Equity Volume Data'!BF295*'Equity Price Data'!BI296</f>
        <v>12595.2</v>
      </c>
      <c r="BD295" s="30">
        <f>'Equity Volume Data'!BG295*'Equity Price Data'!BJ296</f>
        <v>48721.62</v>
      </c>
      <c r="BE295" s="30">
        <f>'Equity Volume Data'!BH295*'Equity Price Data'!BK296</f>
        <v>9575.13</v>
      </c>
      <c r="BF295" s="30">
        <f>'Equity Volume Data'!BI295*'Equity Price Data'!BL296</f>
        <v>6795.2</v>
      </c>
      <c r="BG295" s="30">
        <f>'Equity Volume Data'!BJ295*'Equity Price Data'!BM296</f>
        <v>31502.96</v>
      </c>
      <c r="BH295" s="30">
        <f>'Equity Volume Data'!BK295*'Equity Price Data'!BN296</f>
        <v>0</v>
      </c>
      <c r="BI295" s="30">
        <f>'Equity Volume Data'!BL295*'Equity Price Data'!BO296</f>
        <v>36988.8</v>
      </c>
      <c r="BJ295" s="30">
        <f>'Equity Volume Data'!BM295*'Equity Price Data'!BP296</f>
        <v>21936.75</v>
      </c>
      <c r="BK295" s="30">
        <f>'Equity Volume Data'!BN295*'Equity Price Data'!BQ296</f>
        <v>90118.02</v>
      </c>
      <c r="BL295" s="30">
        <f>'Equity Volume Data'!BO295*'Equity Price Data'!BR296</f>
        <v>426.76</v>
      </c>
      <c r="BM295" s="30">
        <f>'Equity Volume Data'!BP295*'Equity Price Data'!BS296</f>
        <v>10841.28</v>
      </c>
      <c r="BN295" s="30">
        <f>'Equity Volume Data'!BQ295*'Equity Price Data'!BT296</f>
        <v>22526.16</v>
      </c>
      <c r="BO295" s="30">
        <f>'Equity Volume Data'!BR295*'Equity Price Data'!BU296</f>
        <v>28381</v>
      </c>
    </row>
    <row r="296">
      <c r="A296" s="25">
        <f>'Equity Price Data'!A297</f>
        <v>45855.66667</v>
      </c>
      <c r="B296" s="29">
        <f t="shared" si="1"/>
        <v>1425844.06</v>
      </c>
      <c r="C296" s="30">
        <f>'Equity Volume Data'!F296*'Equity Price Data'!I297</f>
        <v>4763.85</v>
      </c>
      <c r="D296" s="30">
        <f>'Equity Volume Data'!G296*'Equity Price Data'!J297</f>
        <v>58208.8</v>
      </c>
      <c r="E296" s="30">
        <f>'Equity Volume Data'!H296*'Equity Price Data'!K297</f>
        <v>15643.1</v>
      </c>
      <c r="F296" s="30">
        <f>'Equity Volume Data'!I296*'Equity Price Data'!L297</f>
        <v>53765.12</v>
      </c>
      <c r="G296" s="30">
        <f>'Equity Volume Data'!J296*'Equity Price Data'!M297</f>
        <v>15979.16</v>
      </c>
      <c r="H296" s="30">
        <f>'Equity Volume Data'!K296*'Equity Price Data'!N297</f>
        <v>18408.96</v>
      </c>
      <c r="I296" s="30">
        <f>'Equity Volume Data'!L296*'Equity Price Data'!O297</f>
        <v>19010</v>
      </c>
      <c r="J296" s="30">
        <f>'Equity Volume Data'!M296*'Equity Price Data'!P297</f>
        <v>48286.8</v>
      </c>
      <c r="K296" s="30">
        <f>'Equity Volume Data'!N296*'Equity Price Data'!Q297</f>
        <v>10338</v>
      </c>
      <c r="L296" s="30">
        <f>'Equity Volume Data'!O296*'Equity Price Data'!R297</f>
        <v>15571.49</v>
      </c>
      <c r="M296" s="30">
        <f>'Equity Volume Data'!P296*'Equity Price Data'!S297</f>
        <v>0</v>
      </c>
      <c r="N296" s="30">
        <f>'Equity Volume Data'!Q296*'Equity Price Data'!T297</f>
        <v>6154.4</v>
      </c>
      <c r="O296" s="30">
        <f>'Equity Volume Data'!R296*'Equity Price Data'!U297</f>
        <v>62710.5</v>
      </c>
      <c r="P296" s="30">
        <f>'Equity Volume Data'!S296*'Equity Price Data'!V297</f>
        <v>32488.47</v>
      </c>
      <c r="Q296" s="30">
        <f>'Equity Volume Data'!T296*'Equity Price Data'!W297</f>
        <v>26096.4</v>
      </c>
      <c r="R296" s="30">
        <f>'Equity Volume Data'!U296*'Equity Price Data'!X297</f>
        <v>12110.4</v>
      </c>
      <c r="S296" s="30">
        <f>'Equity Volume Data'!V296*'Equity Price Data'!Y297</f>
        <v>26248.64</v>
      </c>
      <c r="T296" s="30">
        <f>'Equity Volume Data'!W296*'Equity Price Data'!Z297</f>
        <v>12205</v>
      </c>
      <c r="U296" s="30">
        <f>'Equity Volume Data'!X296*'Equity Price Data'!AA297</f>
        <v>18635.76</v>
      </c>
      <c r="V296" s="30">
        <f>'Equity Volume Data'!Y296*'Equity Price Data'!AB297</f>
        <v>16196.6</v>
      </c>
      <c r="W296" s="30">
        <f>'Equity Volume Data'!Z296*'Equity Price Data'!AC297</f>
        <v>12196.44</v>
      </c>
      <c r="X296" s="30">
        <f>'Equity Volume Data'!AA296*'Equity Price Data'!AD297</f>
        <v>0</v>
      </c>
      <c r="Y296" s="30">
        <f>'Equity Volume Data'!AB296*'Equity Price Data'!AE297</f>
        <v>6093.23</v>
      </c>
      <c r="Z296" s="30">
        <f>'Equity Volume Data'!AC296*'Equity Price Data'!AF297</f>
        <v>11518.5</v>
      </c>
      <c r="AA296" s="30">
        <f>'Equity Volume Data'!AD296*'Equity Price Data'!AG297</f>
        <v>18982.2</v>
      </c>
      <c r="AB296" s="30">
        <f>'Equity Volume Data'!AE296*'Equity Price Data'!AH297</f>
        <v>13702.2</v>
      </c>
      <c r="AC296" s="30">
        <f>'Equity Volume Data'!AF296*'Equity Price Data'!AI297</f>
        <v>20247.6</v>
      </c>
      <c r="AD296" s="30">
        <f>'Equity Volume Data'!AG296*'Equity Price Data'!AJ297</f>
        <v>13504.05</v>
      </c>
      <c r="AE296" s="30">
        <f>'Equity Volume Data'!AH296*'Equity Price Data'!AK297</f>
        <v>0</v>
      </c>
      <c r="AF296" s="30">
        <f>'Equity Volume Data'!AI296*'Equity Price Data'!AL297</f>
        <v>22304</v>
      </c>
      <c r="AG296" s="30">
        <f>'Equity Volume Data'!AJ296*'Equity Price Data'!AM297</f>
        <v>42350.4</v>
      </c>
      <c r="AH296" s="30">
        <f>'Equity Volume Data'!AK296*'Equity Price Data'!AN297</f>
        <v>35904</v>
      </c>
      <c r="AI296" s="30">
        <f>'Equity Volume Data'!AL296*'Equity Price Data'!AO297</f>
        <v>23152.5</v>
      </c>
      <c r="AJ296" s="30">
        <f>'Equity Volume Data'!AM296*'Equity Price Data'!AP297</f>
        <v>23652.2</v>
      </c>
      <c r="AK296" s="30">
        <f>'Equity Volume Data'!AN296*'Equity Price Data'!AQ297</f>
        <v>24259.52</v>
      </c>
      <c r="AL296" s="30">
        <f>'Equity Volume Data'!AO296*'Equity Price Data'!AR297</f>
        <v>46384</v>
      </c>
      <c r="AM296" s="30">
        <f>'Equity Volume Data'!AP296*'Equity Price Data'!AS297</f>
        <v>32844</v>
      </c>
      <c r="AN296" s="30">
        <f>'Equity Volume Data'!AQ296*'Equity Price Data'!AT297</f>
        <v>0</v>
      </c>
      <c r="AO296" s="30">
        <f>'Equity Volume Data'!AR296*'Equity Price Data'!AU297</f>
        <v>26397.14</v>
      </c>
      <c r="AP296" s="30">
        <f>'Equity Volume Data'!AS296*'Equity Price Data'!AV297</f>
        <v>22382.5</v>
      </c>
      <c r="AQ296" s="30">
        <f>'Equity Volume Data'!AT296*'Equity Price Data'!AW297</f>
        <v>17012.6</v>
      </c>
      <c r="AR296" s="30">
        <f>'Equity Volume Data'!AU296*'Equity Price Data'!AX297</f>
        <v>25489.98</v>
      </c>
      <c r="AS296" s="30">
        <f>'Equity Volume Data'!AV296*'Equity Price Data'!AY297</f>
        <v>61404</v>
      </c>
      <c r="AT296" s="30">
        <f>'Equity Volume Data'!AW296*'Equity Price Data'!AZ297</f>
        <v>15036</v>
      </c>
      <c r="AU296" s="30">
        <f>'Equity Volume Data'!AX296*'Equity Price Data'!BA297</f>
        <v>0</v>
      </c>
      <c r="AV296" s="30">
        <f>'Equity Volume Data'!AY296*'Equity Price Data'!BB297</f>
        <v>24566</v>
      </c>
      <c r="AW296" s="30">
        <f>'Equity Volume Data'!AZ296*'Equity Price Data'!BC297</f>
        <v>4042.8</v>
      </c>
      <c r="AX296" s="30">
        <f>'Equity Volume Data'!BA296*'Equity Price Data'!BD297</f>
        <v>0</v>
      </c>
      <c r="AY296" s="30">
        <f>'Equity Volume Data'!BB296*'Equity Price Data'!BE297</f>
        <v>61903.98</v>
      </c>
      <c r="AZ296" s="30">
        <f>'Equity Volume Data'!BC296*'Equity Price Data'!BF297</f>
        <v>11079</v>
      </c>
      <c r="BA296" s="30">
        <f>'Equity Volume Data'!BD296*'Equity Price Data'!BG297</f>
        <v>4670.2</v>
      </c>
      <c r="BB296" s="30">
        <f>'Equity Volume Data'!BE296*'Equity Price Data'!BH297</f>
        <v>12120</v>
      </c>
      <c r="BC296" s="30">
        <f>'Equity Volume Data'!BF296*'Equity Price Data'!BI297</f>
        <v>12808.4</v>
      </c>
      <c r="BD296" s="30">
        <f>'Equity Volume Data'!BG296*'Equity Price Data'!BJ297</f>
        <v>48357.39</v>
      </c>
      <c r="BE296" s="30">
        <f>'Equity Volume Data'!BH296*'Equity Price Data'!BK297</f>
        <v>9774.54</v>
      </c>
      <c r="BF296" s="30">
        <f>'Equity Volume Data'!BI296*'Equity Price Data'!BL297</f>
        <v>6819.2</v>
      </c>
      <c r="BG296" s="30">
        <f>'Equity Volume Data'!BJ296*'Equity Price Data'!BM297</f>
        <v>31280.56</v>
      </c>
      <c r="BH296" s="30">
        <f>'Equity Volume Data'!BK296*'Equity Price Data'!BN297</f>
        <v>0</v>
      </c>
      <c r="BI296" s="30">
        <f>'Equity Volume Data'!BL296*'Equity Price Data'!BO297</f>
        <v>36398.4</v>
      </c>
      <c r="BJ296" s="30">
        <f>'Equity Volume Data'!BM296*'Equity Price Data'!BP297</f>
        <v>21605.25</v>
      </c>
      <c r="BK296" s="30">
        <f>'Equity Volume Data'!BN296*'Equity Price Data'!BQ297</f>
        <v>90154.06</v>
      </c>
      <c r="BL296" s="30">
        <f>'Equity Volume Data'!BO296*'Equity Price Data'!BR297</f>
        <v>435.69</v>
      </c>
      <c r="BM296" s="30">
        <f>'Equity Volume Data'!BP296*'Equity Price Data'!BS297</f>
        <v>10833.6</v>
      </c>
      <c r="BN296" s="30">
        <f>'Equity Volume Data'!BQ296*'Equity Price Data'!BT297</f>
        <v>22975.48</v>
      </c>
      <c r="BO296" s="30">
        <f>'Equity Volume Data'!BR296*'Equity Price Data'!BU297</f>
        <v>28381</v>
      </c>
    </row>
    <row r="297">
      <c r="A297" s="25">
        <f>'Equity Price Data'!A298</f>
        <v>45856.66667</v>
      </c>
      <c r="B297" s="29">
        <f t="shared" si="1"/>
        <v>1422927.58</v>
      </c>
      <c r="C297" s="30">
        <f>'Equity Volume Data'!F297*'Equity Price Data'!I298</f>
        <v>4755.27</v>
      </c>
      <c r="D297" s="30">
        <f>'Equity Volume Data'!G297*'Equity Price Data'!J298</f>
        <v>58793.8</v>
      </c>
      <c r="E297" s="30">
        <f>'Equity Volume Data'!H297*'Equity Price Data'!K298</f>
        <v>15720.1</v>
      </c>
      <c r="F297" s="30">
        <f>'Equity Volume Data'!I297*'Equity Price Data'!L298</f>
        <v>54062.08</v>
      </c>
      <c r="G297" s="30">
        <f>'Equity Volume Data'!J297*'Equity Price Data'!M298</f>
        <v>15806.52</v>
      </c>
      <c r="H297" s="30">
        <f>'Equity Volume Data'!K297*'Equity Price Data'!N298</f>
        <v>18581.92</v>
      </c>
      <c r="I297" s="30">
        <f>'Equity Volume Data'!L297*'Equity Price Data'!O298</f>
        <v>18880</v>
      </c>
      <c r="J297" s="30">
        <f>'Equity Volume Data'!M297*'Equity Price Data'!P298</f>
        <v>48327.6</v>
      </c>
      <c r="K297" s="30">
        <f>'Equity Volume Data'!N297*'Equity Price Data'!Q298</f>
        <v>10368</v>
      </c>
      <c r="L297" s="30">
        <f>'Equity Volume Data'!O297*'Equity Price Data'!R298</f>
        <v>15123.79</v>
      </c>
      <c r="M297" s="30">
        <f>'Equity Volume Data'!P297*'Equity Price Data'!S298</f>
        <v>0</v>
      </c>
      <c r="N297" s="30">
        <f>'Equity Volume Data'!Q297*'Equity Price Data'!T298</f>
        <v>6130.4</v>
      </c>
      <c r="O297" s="30">
        <f>'Equity Volume Data'!R297*'Equity Price Data'!U298</f>
        <v>62056.5</v>
      </c>
      <c r="P297" s="30">
        <f>'Equity Volume Data'!S297*'Equity Price Data'!V298</f>
        <v>32930.49</v>
      </c>
      <c r="Q297" s="30">
        <f>'Equity Volume Data'!T297*'Equity Price Data'!W298</f>
        <v>25857.6</v>
      </c>
      <c r="R297" s="30">
        <f>'Equity Volume Data'!U297*'Equity Price Data'!X298</f>
        <v>12003.2</v>
      </c>
      <c r="S297" s="30">
        <f>'Equity Volume Data'!V297*'Equity Price Data'!Y298</f>
        <v>26022.48</v>
      </c>
      <c r="T297" s="30">
        <f>'Equity Volume Data'!W297*'Equity Price Data'!Z298</f>
        <v>12145</v>
      </c>
      <c r="U297" s="30">
        <f>'Equity Volume Data'!X297*'Equity Price Data'!AA298</f>
        <v>18440.4</v>
      </c>
      <c r="V297" s="30">
        <f>'Equity Volume Data'!Y297*'Equity Price Data'!AB298</f>
        <v>16273.88</v>
      </c>
      <c r="W297" s="30">
        <f>'Equity Volume Data'!Z297*'Equity Price Data'!AC298</f>
        <v>12280.62</v>
      </c>
      <c r="X297" s="30">
        <f>'Equity Volume Data'!AA297*'Equity Price Data'!AD298</f>
        <v>0</v>
      </c>
      <c r="Y297" s="30">
        <f>'Equity Volume Data'!AB297*'Equity Price Data'!AE298</f>
        <v>6057.35</v>
      </c>
      <c r="Z297" s="30">
        <f>'Equity Volume Data'!AC297*'Equity Price Data'!AF298</f>
        <v>11721</v>
      </c>
      <c r="AA297" s="30">
        <f>'Equity Volume Data'!AD297*'Equity Price Data'!AG298</f>
        <v>18320.9</v>
      </c>
      <c r="AB297" s="30">
        <f>'Equity Volume Data'!AE297*'Equity Price Data'!AH298</f>
        <v>13597.2</v>
      </c>
      <c r="AC297" s="30">
        <f>'Equity Volume Data'!AF297*'Equity Price Data'!AI298</f>
        <v>20216</v>
      </c>
      <c r="AD297" s="30">
        <f>'Equity Volume Data'!AG297*'Equity Price Data'!AJ298</f>
        <v>13454.1</v>
      </c>
      <c r="AE297" s="30">
        <f>'Equity Volume Data'!AH297*'Equity Price Data'!AK298</f>
        <v>0</v>
      </c>
      <c r="AF297" s="30">
        <f>'Equity Volume Data'!AI297*'Equity Price Data'!AL298</f>
        <v>22185.1</v>
      </c>
      <c r="AG297" s="30">
        <f>'Equity Volume Data'!AJ297*'Equity Price Data'!AM298</f>
        <v>42495.6</v>
      </c>
      <c r="AH297" s="30">
        <f>'Equity Volume Data'!AK297*'Equity Price Data'!AN298</f>
        <v>35940</v>
      </c>
      <c r="AI297" s="30">
        <f>'Equity Volume Data'!AL297*'Equity Price Data'!AO298</f>
        <v>22797.25</v>
      </c>
      <c r="AJ297" s="30">
        <f>'Equity Volume Data'!AM297*'Equity Price Data'!AP298</f>
        <v>23493.6</v>
      </c>
      <c r="AK297" s="30">
        <f>'Equity Volume Data'!AN297*'Equity Price Data'!AQ298</f>
        <v>24375.14</v>
      </c>
      <c r="AL297" s="30">
        <f>'Equity Volume Data'!AO297*'Equity Price Data'!AR298</f>
        <v>46603.2</v>
      </c>
      <c r="AM297" s="30">
        <f>'Equity Volume Data'!AP297*'Equity Price Data'!AS298</f>
        <v>32477.2</v>
      </c>
      <c r="AN297" s="30">
        <f>'Equity Volume Data'!AQ297*'Equity Price Data'!AT298</f>
        <v>0</v>
      </c>
      <c r="AO297" s="30">
        <f>'Equity Volume Data'!AR297*'Equity Price Data'!AU298</f>
        <v>26320.28</v>
      </c>
      <c r="AP297" s="30">
        <f>'Equity Volume Data'!AS297*'Equity Price Data'!AV298</f>
        <v>22402.5</v>
      </c>
      <c r="AQ297" s="30">
        <f>'Equity Volume Data'!AT297*'Equity Price Data'!AW298</f>
        <v>16973</v>
      </c>
      <c r="AR297" s="30">
        <f>'Equity Volume Data'!AU297*'Equity Price Data'!AX298</f>
        <v>26742.06</v>
      </c>
      <c r="AS297" s="30">
        <f>'Equity Volume Data'!AV297*'Equity Price Data'!AY298</f>
        <v>61206</v>
      </c>
      <c r="AT297" s="30">
        <f>'Equity Volume Data'!AW297*'Equity Price Data'!AZ298</f>
        <v>15190</v>
      </c>
      <c r="AU297" s="30">
        <f>'Equity Volume Data'!AX297*'Equity Price Data'!BA298</f>
        <v>0</v>
      </c>
      <c r="AV297" s="30">
        <f>'Equity Volume Data'!AY297*'Equity Price Data'!BB298</f>
        <v>24482.22</v>
      </c>
      <c r="AW297" s="30">
        <f>'Equity Volume Data'!AZ297*'Equity Price Data'!BC298</f>
        <v>3977.6</v>
      </c>
      <c r="AX297" s="30">
        <f>'Equity Volume Data'!BA297*'Equity Price Data'!BD298</f>
        <v>0</v>
      </c>
      <c r="AY297" s="30">
        <f>'Equity Volume Data'!BB297*'Equity Price Data'!BE298</f>
        <v>61715.04</v>
      </c>
      <c r="AZ297" s="30">
        <f>'Equity Volume Data'!BC297*'Equity Price Data'!BF298</f>
        <v>11125.5</v>
      </c>
      <c r="BA297" s="30">
        <f>'Equity Volume Data'!BD297*'Equity Price Data'!BG298</f>
        <v>4649.3</v>
      </c>
      <c r="BB297" s="30">
        <f>'Equity Volume Data'!BE297*'Equity Price Data'!BH298</f>
        <v>12120</v>
      </c>
      <c r="BC297" s="30">
        <f>'Equity Volume Data'!BF297*'Equity Price Data'!BI298</f>
        <v>12562.4</v>
      </c>
      <c r="BD297" s="30">
        <f>'Equity Volume Data'!BG297*'Equity Price Data'!BJ298</f>
        <v>48395.73</v>
      </c>
      <c r="BE297" s="30">
        <f>'Equity Volume Data'!BH297*'Equity Price Data'!BK298</f>
        <v>9539.25</v>
      </c>
      <c r="BF297" s="30">
        <f>'Equity Volume Data'!BI297*'Equity Price Data'!BL298</f>
        <v>6746</v>
      </c>
      <c r="BG297" s="30">
        <f>'Equity Volume Data'!BJ297*'Equity Price Data'!BM298</f>
        <v>30546.64</v>
      </c>
      <c r="BH297" s="30">
        <f>'Equity Volume Data'!BK297*'Equity Price Data'!BN298</f>
        <v>0</v>
      </c>
      <c r="BI297" s="30">
        <f>'Equity Volume Data'!BL297*'Equity Price Data'!BO298</f>
        <v>35979.2</v>
      </c>
      <c r="BJ297" s="30">
        <f>'Equity Volume Data'!BM297*'Equity Price Data'!BP298</f>
        <v>21198.75</v>
      </c>
      <c r="BK297" s="30">
        <f>'Equity Volume Data'!BN297*'Equity Price Data'!BQ298</f>
        <v>90226.14</v>
      </c>
      <c r="BL297" s="30">
        <f>'Equity Volume Data'!BO297*'Equity Price Data'!BR298</f>
        <v>417.36</v>
      </c>
      <c r="BM297" s="30">
        <f>'Equity Volume Data'!BP297*'Equity Price Data'!BS298</f>
        <v>10911.36</v>
      </c>
      <c r="BN297" s="30">
        <f>'Equity Volume Data'!BQ297*'Equity Price Data'!BT298</f>
        <v>22826.96</v>
      </c>
      <c r="BO297" s="30">
        <f>'Equity Volume Data'!BR297*'Equity Price Data'!BU298</f>
        <v>28381</v>
      </c>
    </row>
    <row r="298">
      <c r="A298" s="25">
        <f>'Equity Price Data'!A299</f>
        <v>45859.66667</v>
      </c>
      <c r="B298" s="29">
        <f t="shared" si="1"/>
        <v>1420259.83</v>
      </c>
      <c r="C298" s="30">
        <f>'Equity Volume Data'!F298*'Equity Price Data'!I299</f>
        <v>4779.84</v>
      </c>
      <c r="D298" s="30">
        <f>'Equity Volume Data'!G298*'Equity Price Data'!J299</f>
        <v>59618</v>
      </c>
      <c r="E298" s="30">
        <f>'Equity Volume Data'!H298*'Equity Price Data'!K299</f>
        <v>15712.4</v>
      </c>
      <c r="F298" s="30">
        <f>'Equity Volume Data'!I298*'Equity Price Data'!L299</f>
        <v>54394.88</v>
      </c>
      <c r="G298" s="30">
        <f>'Equity Volume Data'!J298*'Equity Price Data'!M299</f>
        <v>15986.63</v>
      </c>
      <c r="H298" s="30">
        <f>'Equity Volume Data'!K298*'Equity Price Data'!N299</f>
        <v>18536.8</v>
      </c>
      <c r="I298" s="30">
        <f>'Equity Volume Data'!L298*'Equity Price Data'!O299</f>
        <v>19030</v>
      </c>
      <c r="J298" s="30">
        <f>'Equity Volume Data'!M298*'Equity Price Data'!P299</f>
        <v>48389.82</v>
      </c>
      <c r="K298" s="30">
        <f>'Equity Volume Data'!N298*'Equity Price Data'!Q299</f>
        <v>10636</v>
      </c>
      <c r="L298" s="30">
        <f>'Equity Volume Data'!O298*'Equity Price Data'!R299</f>
        <v>14844.28</v>
      </c>
      <c r="M298" s="30">
        <f>'Equity Volume Data'!P298*'Equity Price Data'!S299</f>
        <v>0</v>
      </c>
      <c r="N298" s="30">
        <f>'Equity Volume Data'!Q298*'Equity Price Data'!T299</f>
        <v>6077.6</v>
      </c>
      <c r="O298" s="30">
        <f>'Equity Volume Data'!R298*'Equity Price Data'!U299</f>
        <v>61510.5</v>
      </c>
      <c r="P298" s="30">
        <f>'Equity Volume Data'!S298*'Equity Price Data'!V299</f>
        <v>32142.36</v>
      </c>
      <c r="Q298" s="30">
        <f>'Equity Volume Data'!T298*'Equity Price Data'!W299</f>
        <v>26716.8</v>
      </c>
      <c r="R298" s="30">
        <f>'Equity Volume Data'!U298*'Equity Price Data'!X299</f>
        <v>11974.4</v>
      </c>
      <c r="S298" s="30">
        <f>'Equity Volume Data'!V298*'Equity Price Data'!Y299</f>
        <v>25942.4</v>
      </c>
      <c r="T298" s="30">
        <f>'Equity Volume Data'!W298*'Equity Price Data'!Z299</f>
        <v>12150</v>
      </c>
      <c r="U298" s="30">
        <f>'Equity Volume Data'!X298*'Equity Price Data'!AA299</f>
        <v>18498.48</v>
      </c>
      <c r="V298" s="30">
        <f>'Equity Volume Data'!Y298*'Equity Price Data'!AB299</f>
        <v>16433.27</v>
      </c>
      <c r="W298" s="30">
        <f>'Equity Volume Data'!Z298*'Equity Price Data'!AC299</f>
        <v>12220.59</v>
      </c>
      <c r="X298" s="30">
        <f>'Equity Volume Data'!AA298*'Equity Price Data'!AD299</f>
        <v>0</v>
      </c>
      <c r="Y298" s="30">
        <f>'Equity Volume Data'!AB298*'Equity Price Data'!AE299</f>
        <v>6009.12</v>
      </c>
      <c r="Z298" s="30">
        <f>'Equity Volume Data'!AC298*'Equity Price Data'!AF299</f>
        <v>11854.5</v>
      </c>
      <c r="AA298" s="30">
        <f>'Equity Volume Data'!AD298*'Equity Price Data'!AG299</f>
        <v>18368.5</v>
      </c>
      <c r="AB298" s="30">
        <f>'Equity Volume Data'!AE298*'Equity Price Data'!AH299</f>
        <v>13543.8</v>
      </c>
      <c r="AC298" s="30">
        <f>'Equity Volume Data'!AF298*'Equity Price Data'!AI299</f>
        <v>20293.6</v>
      </c>
      <c r="AD298" s="30">
        <f>'Equity Volume Data'!AG298*'Equity Price Data'!AJ299</f>
        <v>13367.25</v>
      </c>
      <c r="AE298" s="30">
        <f>'Equity Volume Data'!AH298*'Equity Price Data'!AK299</f>
        <v>0</v>
      </c>
      <c r="AF298" s="30">
        <f>'Equity Volume Data'!AI298*'Equity Price Data'!AL299</f>
        <v>22197.4</v>
      </c>
      <c r="AG298" s="30">
        <f>'Equity Volume Data'!AJ298*'Equity Price Data'!AM299</f>
        <v>42360</v>
      </c>
      <c r="AH298" s="30">
        <f>'Equity Volume Data'!AK298*'Equity Price Data'!AN299</f>
        <v>36404</v>
      </c>
      <c r="AI298" s="30">
        <f>'Equity Volume Data'!AL298*'Equity Price Data'!AO299</f>
        <v>22788.5</v>
      </c>
      <c r="AJ298" s="30">
        <f>'Equity Volume Data'!AM298*'Equity Price Data'!AP299</f>
        <v>23505.3</v>
      </c>
      <c r="AK298" s="30">
        <f>'Equity Volume Data'!AN298*'Equity Price Data'!AQ299</f>
        <v>24257.64</v>
      </c>
      <c r="AL298" s="30">
        <f>'Equity Volume Data'!AO298*'Equity Price Data'!AR299</f>
        <v>46555.2</v>
      </c>
      <c r="AM298" s="30">
        <f>'Equity Volume Data'!AP298*'Equity Price Data'!AS299</f>
        <v>32237.1</v>
      </c>
      <c r="AN298" s="30">
        <f>'Equity Volume Data'!AQ298*'Equity Price Data'!AT299</f>
        <v>0</v>
      </c>
      <c r="AO298" s="30">
        <f>'Equity Volume Data'!AR298*'Equity Price Data'!AU299</f>
        <v>26055.54</v>
      </c>
      <c r="AP298" s="30">
        <f>'Equity Volume Data'!AS298*'Equity Price Data'!AV299</f>
        <v>22425</v>
      </c>
      <c r="AQ298" s="30">
        <f>'Equity Volume Data'!AT298*'Equity Price Data'!AW299</f>
        <v>16792.6</v>
      </c>
      <c r="AR298" s="30">
        <f>'Equity Volume Data'!AU298*'Equity Price Data'!AX299</f>
        <v>24961.23</v>
      </c>
      <c r="AS298" s="30">
        <f>'Equity Volume Data'!AV298*'Equity Price Data'!AY299</f>
        <v>61207.2</v>
      </c>
      <c r="AT298" s="30">
        <f>'Equity Volume Data'!AW298*'Equity Price Data'!AZ299</f>
        <v>15234</v>
      </c>
      <c r="AU298" s="30">
        <f>'Equity Volume Data'!AX298*'Equity Price Data'!BA299</f>
        <v>0</v>
      </c>
      <c r="AV298" s="30">
        <f>'Equity Volume Data'!AY298*'Equity Price Data'!BB299</f>
        <v>24335.96</v>
      </c>
      <c r="AW298" s="30">
        <f>'Equity Volume Data'!AZ298*'Equity Price Data'!BC299</f>
        <v>3940</v>
      </c>
      <c r="AX298" s="30">
        <f>'Equity Volume Data'!BA298*'Equity Price Data'!BD299</f>
        <v>0</v>
      </c>
      <c r="AY298" s="30">
        <f>'Equity Volume Data'!BB298*'Equity Price Data'!BE299</f>
        <v>61019.58</v>
      </c>
      <c r="AZ298" s="30">
        <f>'Equity Volume Data'!BC298*'Equity Price Data'!BF299</f>
        <v>11223</v>
      </c>
      <c r="BA298" s="30">
        <f>'Equity Volume Data'!BD298*'Equity Price Data'!BG299</f>
        <v>4609.4</v>
      </c>
      <c r="BB298" s="30">
        <f>'Equity Volume Data'!BE298*'Equity Price Data'!BH299</f>
        <v>12124.8</v>
      </c>
      <c r="BC298" s="30">
        <f>'Equity Volume Data'!BF298*'Equity Price Data'!BI299</f>
        <v>12601.76</v>
      </c>
      <c r="BD298" s="30">
        <f>'Equity Volume Data'!BG298*'Equity Price Data'!BJ299</f>
        <v>49548.06</v>
      </c>
      <c r="BE298" s="30">
        <f>'Equity Volume Data'!BH298*'Equity Price Data'!BK299</f>
        <v>9313.62</v>
      </c>
      <c r="BF298" s="30">
        <f>'Equity Volume Data'!BI298*'Equity Price Data'!BL299</f>
        <v>6801.2</v>
      </c>
      <c r="BG298" s="30">
        <f>'Equity Volume Data'!BJ298*'Equity Price Data'!BM299</f>
        <v>28803.58</v>
      </c>
      <c r="BH298" s="30">
        <f>'Equity Volume Data'!BK298*'Equity Price Data'!BN299</f>
        <v>0</v>
      </c>
      <c r="BI298" s="30">
        <f>'Equity Volume Data'!BL298*'Equity Price Data'!BO299</f>
        <v>36136</v>
      </c>
      <c r="BJ298" s="30">
        <f>'Equity Volume Data'!BM298*'Equity Price Data'!BP299</f>
        <v>21160.5</v>
      </c>
      <c r="BK298" s="30">
        <f>'Equity Volume Data'!BN298*'Equity Price Data'!BQ299</f>
        <v>90298.22</v>
      </c>
      <c r="BL298" s="30">
        <f>'Equity Volume Data'!BO298*'Equity Price Data'!BR299</f>
        <v>418.3</v>
      </c>
      <c r="BM298" s="30">
        <f>'Equity Volume Data'!BP298*'Equity Price Data'!BS299</f>
        <v>10814.4</v>
      </c>
      <c r="BN298" s="30">
        <f>'Equity Volume Data'!BQ298*'Equity Price Data'!BT299</f>
        <v>22717.92</v>
      </c>
      <c r="BO298" s="30">
        <f>'Equity Volume Data'!BR298*'Equity Price Data'!BU299</f>
        <v>28381</v>
      </c>
    </row>
    <row r="299">
      <c r="A299" s="25">
        <f>'Equity Price Data'!A300</f>
        <v>45860.66667</v>
      </c>
      <c r="B299" s="29">
        <f t="shared" si="1"/>
        <v>1423755.14</v>
      </c>
      <c r="C299" s="30">
        <f>'Equity Volume Data'!F299*'Equity Price Data'!I300</f>
        <v>4847.31</v>
      </c>
      <c r="D299" s="30">
        <f>'Equity Volume Data'!G299*'Equity Price Data'!J300</f>
        <v>59142.2</v>
      </c>
      <c r="E299" s="30">
        <f>'Equity Volume Data'!H299*'Equity Price Data'!K300</f>
        <v>15940.1</v>
      </c>
      <c r="F299" s="30">
        <f>'Equity Volume Data'!I299*'Equity Price Data'!L300</f>
        <v>54886.4</v>
      </c>
      <c r="G299" s="30">
        <f>'Equity Volume Data'!J299*'Equity Price Data'!M300</f>
        <v>15532.62</v>
      </c>
      <c r="H299" s="30">
        <f>'Equity Volume Data'!K299*'Equity Price Data'!N300</f>
        <v>18593.2</v>
      </c>
      <c r="I299" s="30">
        <f>'Equity Volume Data'!L299*'Equity Price Data'!O300</f>
        <v>18940</v>
      </c>
      <c r="J299" s="30">
        <f>'Equity Volume Data'!M299*'Equity Price Data'!P300</f>
        <v>48769.26</v>
      </c>
      <c r="K299" s="30">
        <f>'Equity Volume Data'!N299*'Equity Price Data'!Q300</f>
        <v>11012</v>
      </c>
      <c r="L299" s="30">
        <f>'Equity Volume Data'!O299*'Equity Price Data'!R300</f>
        <v>15469.85</v>
      </c>
      <c r="M299" s="30">
        <f>'Equity Volume Data'!P299*'Equity Price Data'!S300</f>
        <v>0</v>
      </c>
      <c r="N299" s="30">
        <f>'Equity Volume Data'!Q299*'Equity Price Data'!T300</f>
        <v>6113.6</v>
      </c>
      <c r="O299" s="30">
        <f>'Equity Volume Data'!R299*'Equity Price Data'!U300</f>
        <v>62578.5</v>
      </c>
      <c r="P299" s="30">
        <f>'Equity Volume Data'!S299*'Equity Price Data'!V300</f>
        <v>32484.3</v>
      </c>
      <c r="Q299" s="30">
        <f>'Equity Volume Data'!T299*'Equity Price Data'!W300</f>
        <v>26746.8</v>
      </c>
      <c r="R299" s="30">
        <f>'Equity Volume Data'!U299*'Equity Price Data'!X300</f>
        <v>12003.2</v>
      </c>
      <c r="S299" s="30">
        <f>'Equity Volume Data'!V299*'Equity Price Data'!Y300</f>
        <v>26404.4</v>
      </c>
      <c r="T299" s="30">
        <f>'Equity Volume Data'!W299*'Equity Price Data'!Z300</f>
        <v>12282.5</v>
      </c>
      <c r="U299" s="30">
        <f>'Equity Volume Data'!X299*'Equity Price Data'!AA300</f>
        <v>18390.24</v>
      </c>
      <c r="V299" s="30">
        <f>'Equity Volume Data'!Y299*'Equity Price Data'!AB300</f>
        <v>16677.99</v>
      </c>
      <c r="W299" s="30">
        <f>'Equity Volume Data'!Z299*'Equity Price Data'!AC300</f>
        <v>12374.46</v>
      </c>
      <c r="X299" s="30">
        <f>'Equity Volume Data'!AA299*'Equity Price Data'!AD300</f>
        <v>0</v>
      </c>
      <c r="Y299" s="30">
        <f>'Equity Volume Data'!AB299*'Equity Price Data'!AE300</f>
        <v>6252.61</v>
      </c>
      <c r="Z299" s="30">
        <f>'Equity Volume Data'!AC299*'Equity Price Data'!AF300</f>
        <v>12264</v>
      </c>
      <c r="AA299" s="30">
        <f>'Equity Volume Data'!AD299*'Equity Price Data'!AG300</f>
        <v>18451.8</v>
      </c>
      <c r="AB299" s="30">
        <f>'Equity Volume Data'!AE299*'Equity Price Data'!AH300</f>
        <v>13902</v>
      </c>
      <c r="AC299" s="30">
        <f>'Equity Volume Data'!AF299*'Equity Price Data'!AI300</f>
        <v>20032.4</v>
      </c>
      <c r="AD299" s="30">
        <f>'Equity Volume Data'!AG299*'Equity Price Data'!AJ300</f>
        <v>13392</v>
      </c>
      <c r="AE299" s="30">
        <f>'Equity Volume Data'!AH299*'Equity Price Data'!AK300</f>
        <v>0</v>
      </c>
      <c r="AF299" s="30">
        <f>'Equity Volume Data'!AI299*'Equity Price Data'!AL300</f>
        <v>22584.85</v>
      </c>
      <c r="AG299" s="30">
        <f>'Equity Volume Data'!AJ299*'Equity Price Data'!AM300</f>
        <v>42024.6</v>
      </c>
      <c r="AH299" s="30">
        <f>'Equity Volume Data'!AK299*'Equity Price Data'!AN300</f>
        <v>37101</v>
      </c>
      <c r="AI299" s="30">
        <f>'Equity Volume Data'!AL299*'Equity Price Data'!AO300</f>
        <v>22944.25</v>
      </c>
      <c r="AJ299" s="30">
        <f>'Equity Volume Data'!AM299*'Equity Price Data'!AP300</f>
        <v>23504</v>
      </c>
      <c r="AK299" s="30">
        <f>'Equity Volume Data'!AN299*'Equity Price Data'!AQ300</f>
        <v>24017</v>
      </c>
      <c r="AL299" s="30">
        <f>'Equity Volume Data'!AO299*'Equity Price Data'!AR300</f>
        <v>46628.8</v>
      </c>
      <c r="AM299" s="30">
        <f>'Equity Volume Data'!AP299*'Equity Price Data'!AS300</f>
        <v>28751.8</v>
      </c>
      <c r="AN299" s="30">
        <f>'Equity Volume Data'!AQ299*'Equity Price Data'!AT300</f>
        <v>0</v>
      </c>
      <c r="AO299" s="30">
        <f>'Equity Volume Data'!AR299*'Equity Price Data'!AU300</f>
        <v>26303.2</v>
      </c>
      <c r="AP299" s="30">
        <f>'Equity Volume Data'!AS299*'Equity Price Data'!AV300</f>
        <v>22912.5</v>
      </c>
      <c r="AQ299" s="30">
        <f>'Equity Volume Data'!AT299*'Equity Price Data'!AW300</f>
        <v>17052.2</v>
      </c>
      <c r="AR299" s="30">
        <f>'Equity Volume Data'!AU299*'Equity Price Data'!AX300</f>
        <v>25413.84</v>
      </c>
      <c r="AS299" s="30">
        <f>'Equity Volume Data'!AV299*'Equity Price Data'!AY300</f>
        <v>60632.4</v>
      </c>
      <c r="AT299" s="30">
        <f>'Equity Volume Data'!AW299*'Equity Price Data'!AZ300</f>
        <v>15508</v>
      </c>
      <c r="AU299" s="30">
        <f>'Equity Volume Data'!AX299*'Equity Price Data'!BA300</f>
        <v>0</v>
      </c>
      <c r="AV299" s="30">
        <f>'Equity Volume Data'!AY299*'Equity Price Data'!BB300</f>
        <v>23718.26</v>
      </c>
      <c r="AW299" s="30">
        <f>'Equity Volume Data'!AZ299*'Equity Price Data'!BC300</f>
        <v>4039.6</v>
      </c>
      <c r="AX299" s="30">
        <f>'Equity Volume Data'!BA299*'Equity Price Data'!BD300</f>
        <v>0</v>
      </c>
      <c r="AY299" s="30">
        <f>'Equity Volume Data'!BB299*'Equity Price Data'!BE300</f>
        <v>59926.14</v>
      </c>
      <c r="AZ299" s="30">
        <f>'Equity Volume Data'!BC299*'Equity Price Data'!BF300</f>
        <v>11400</v>
      </c>
      <c r="BA299" s="30">
        <f>'Equity Volume Data'!BD299*'Equity Price Data'!BG300</f>
        <v>4776.6</v>
      </c>
      <c r="BB299" s="30">
        <f>'Equity Volume Data'!BE299*'Equity Price Data'!BH300</f>
        <v>11933.6</v>
      </c>
      <c r="BC299" s="30">
        <f>'Equity Volume Data'!BF299*'Equity Price Data'!BI300</f>
        <v>12552.56</v>
      </c>
      <c r="BD299" s="30">
        <f>'Equity Volume Data'!BG299*'Equity Price Data'!BJ300</f>
        <v>49682.25</v>
      </c>
      <c r="BE299" s="30">
        <f>'Equity Volume Data'!BH299*'Equity Price Data'!BK300</f>
        <v>9835.26</v>
      </c>
      <c r="BF299" s="30">
        <f>'Equity Volume Data'!BI299*'Equity Price Data'!BL300</f>
        <v>6799.6</v>
      </c>
      <c r="BG299" s="30">
        <f>'Equity Volume Data'!BJ299*'Equity Price Data'!BM300</f>
        <v>29356.8</v>
      </c>
      <c r="BH299" s="30">
        <f>'Equity Volume Data'!BK299*'Equity Price Data'!BN300</f>
        <v>0</v>
      </c>
      <c r="BI299" s="30">
        <f>'Equity Volume Data'!BL299*'Equity Price Data'!BO300</f>
        <v>36678.4</v>
      </c>
      <c r="BJ299" s="30">
        <f>'Equity Volume Data'!BM299*'Equity Price Data'!BP300</f>
        <v>21384.75</v>
      </c>
      <c r="BK299" s="30">
        <f>'Equity Volume Data'!BN299*'Equity Price Data'!BQ300</f>
        <v>90334.26</v>
      </c>
      <c r="BL299" s="30">
        <f>'Equity Volume Data'!BO299*'Equity Price Data'!BR300</f>
        <v>434.28</v>
      </c>
      <c r="BM299" s="30">
        <f>'Equity Volume Data'!BP299*'Equity Price Data'!BS300</f>
        <v>10900.32</v>
      </c>
      <c r="BN299" s="30">
        <f>'Equity Volume Data'!BQ299*'Equity Price Data'!BT300</f>
        <v>22759.28</v>
      </c>
      <c r="BO299" s="30">
        <f>'Equity Volume Data'!BR299*'Equity Price Data'!BU300</f>
        <v>28381</v>
      </c>
    </row>
    <row r="300">
      <c r="A300" s="25">
        <f>'Equity Price Data'!A301</f>
        <v>45861.66667</v>
      </c>
      <c r="B300" s="29">
        <f t="shared" si="1"/>
        <v>1441023.69</v>
      </c>
      <c r="C300" s="30">
        <f>'Equity Volume Data'!F300*'Equity Price Data'!I301</f>
        <v>4841.98</v>
      </c>
      <c r="D300" s="30">
        <f>'Equity Volume Data'!G300*'Equity Price Data'!J301</f>
        <v>59355.4</v>
      </c>
      <c r="E300" s="30">
        <f>'Equity Volume Data'!H300*'Equity Price Data'!K301</f>
        <v>15606.8</v>
      </c>
      <c r="F300" s="30">
        <f>'Equity Volume Data'!I300*'Equity Price Data'!L301</f>
        <v>54822.4</v>
      </c>
      <c r="G300" s="30">
        <f>'Equity Volume Data'!J300*'Equity Price Data'!M301</f>
        <v>15521.83</v>
      </c>
      <c r="H300" s="30">
        <f>'Equity Volume Data'!K300*'Equity Price Data'!N301</f>
        <v>18730.44</v>
      </c>
      <c r="I300" s="30">
        <f>'Equity Volume Data'!L300*'Equity Price Data'!O301</f>
        <v>19460</v>
      </c>
      <c r="J300" s="30">
        <f>'Equity Volume Data'!M300*'Equity Price Data'!P301</f>
        <v>49228.26</v>
      </c>
      <c r="K300" s="30">
        <f>'Equity Volume Data'!N300*'Equity Price Data'!Q301</f>
        <v>11062</v>
      </c>
      <c r="L300" s="30">
        <f>'Equity Volume Data'!O300*'Equity Price Data'!R301</f>
        <v>15848.58</v>
      </c>
      <c r="M300" s="30">
        <f>'Equity Volume Data'!P300*'Equity Price Data'!S301</f>
        <v>0</v>
      </c>
      <c r="N300" s="30">
        <f>'Equity Volume Data'!Q300*'Equity Price Data'!T301</f>
        <v>6368.8</v>
      </c>
      <c r="O300" s="30">
        <f>'Equity Volume Data'!R300*'Equity Price Data'!U301</f>
        <v>64138.5</v>
      </c>
      <c r="P300" s="30">
        <f>'Equity Volume Data'!S300*'Equity Price Data'!V301</f>
        <v>33005.55</v>
      </c>
      <c r="Q300" s="30">
        <f>'Equity Volume Data'!T300*'Equity Price Data'!W301</f>
        <v>26760</v>
      </c>
      <c r="R300" s="30">
        <f>'Equity Volume Data'!U300*'Equity Price Data'!X301</f>
        <v>12249.6</v>
      </c>
      <c r="S300" s="30">
        <f>'Equity Volume Data'!V300*'Equity Price Data'!Y301</f>
        <v>26781.92</v>
      </c>
      <c r="T300" s="30">
        <f>'Equity Volume Data'!W300*'Equity Price Data'!Z301</f>
        <v>12470</v>
      </c>
      <c r="U300" s="30">
        <f>'Equity Volume Data'!X300*'Equity Price Data'!AA301</f>
        <v>18258.24</v>
      </c>
      <c r="V300" s="30">
        <f>'Equity Volume Data'!Y300*'Equity Price Data'!AB301</f>
        <v>16510.55</v>
      </c>
      <c r="W300" s="30">
        <f>'Equity Volume Data'!Z300*'Equity Price Data'!AC301</f>
        <v>12367.56</v>
      </c>
      <c r="X300" s="30">
        <f>'Equity Volume Data'!AA300*'Equity Price Data'!AD301</f>
        <v>0</v>
      </c>
      <c r="Y300" s="30">
        <f>'Equity Volume Data'!AB300*'Equity Price Data'!AE301</f>
        <v>6214.65</v>
      </c>
      <c r="Z300" s="30">
        <f>'Equity Volume Data'!AC300*'Equity Price Data'!AF301</f>
        <v>12289.5</v>
      </c>
      <c r="AA300" s="30">
        <f>'Equity Volume Data'!AD300*'Equity Price Data'!AG301</f>
        <v>18688.1</v>
      </c>
      <c r="AB300" s="30">
        <f>'Equity Volume Data'!AE300*'Equity Price Data'!AH301</f>
        <v>14274</v>
      </c>
      <c r="AC300" s="30">
        <f>'Equity Volume Data'!AF300*'Equity Price Data'!AI301</f>
        <v>20702.4</v>
      </c>
      <c r="AD300" s="30">
        <f>'Equity Volume Data'!AG300*'Equity Price Data'!AJ301</f>
        <v>14262.3</v>
      </c>
      <c r="AE300" s="30">
        <f>'Equity Volume Data'!AH300*'Equity Price Data'!AK301</f>
        <v>0</v>
      </c>
      <c r="AF300" s="30">
        <f>'Equity Volume Data'!AI300*'Equity Price Data'!AL301</f>
        <v>23279.8</v>
      </c>
      <c r="AG300" s="30">
        <f>'Equity Volume Data'!AJ300*'Equity Price Data'!AM301</f>
        <v>43051.2</v>
      </c>
      <c r="AH300" s="30">
        <f>'Equity Volume Data'!AK300*'Equity Price Data'!AN301</f>
        <v>37635</v>
      </c>
      <c r="AI300" s="30">
        <f>'Equity Volume Data'!AL300*'Equity Price Data'!AO301</f>
        <v>23247</v>
      </c>
      <c r="AJ300" s="30">
        <f>'Equity Volume Data'!AM300*'Equity Price Data'!AP301</f>
        <v>23530</v>
      </c>
      <c r="AK300" s="30">
        <f>'Equity Volume Data'!AN300*'Equity Price Data'!AQ301</f>
        <v>23591.65</v>
      </c>
      <c r="AL300" s="30">
        <f>'Equity Volume Data'!AO300*'Equity Price Data'!AR301</f>
        <v>47481.6</v>
      </c>
      <c r="AM300" s="30">
        <f>'Equity Volume Data'!AP300*'Equity Price Data'!AS301</f>
        <v>29357.3</v>
      </c>
      <c r="AN300" s="30">
        <f>'Equity Volume Data'!AQ300*'Equity Price Data'!AT301</f>
        <v>0</v>
      </c>
      <c r="AO300" s="30">
        <f>'Equity Volume Data'!AR300*'Equity Price Data'!AU301</f>
        <v>26764.36</v>
      </c>
      <c r="AP300" s="30">
        <f>'Equity Volume Data'!AS300*'Equity Price Data'!AV301</f>
        <v>23002.5</v>
      </c>
      <c r="AQ300" s="30">
        <f>'Equity Volume Data'!AT300*'Equity Price Data'!AW301</f>
        <v>17256.8</v>
      </c>
      <c r="AR300" s="30">
        <f>'Equity Volume Data'!AU300*'Equity Price Data'!AX301</f>
        <v>25862.22</v>
      </c>
      <c r="AS300" s="30">
        <f>'Equity Volume Data'!AV300*'Equity Price Data'!AY301</f>
        <v>60704.4</v>
      </c>
      <c r="AT300" s="30">
        <f>'Equity Volume Data'!AW300*'Equity Price Data'!AZ301</f>
        <v>14564</v>
      </c>
      <c r="AU300" s="30">
        <f>'Equity Volume Data'!AX300*'Equity Price Data'!BA301</f>
        <v>0</v>
      </c>
      <c r="AV300" s="30">
        <f>'Equity Volume Data'!AY300*'Equity Price Data'!BB301</f>
        <v>24250.76</v>
      </c>
      <c r="AW300" s="30">
        <f>'Equity Volume Data'!AZ300*'Equity Price Data'!BC301</f>
        <v>3539.6</v>
      </c>
      <c r="AX300" s="30">
        <f>'Equity Volume Data'!BA300*'Equity Price Data'!BD301</f>
        <v>0</v>
      </c>
      <c r="AY300" s="30">
        <f>'Equity Volume Data'!BB300*'Equity Price Data'!BE301</f>
        <v>62161.26</v>
      </c>
      <c r="AZ300" s="30">
        <f>'Equity Volume Data'!BC300*'Equity Price Data'!BF301</f>
        <v>11499</v>
      </c>
      <c r="BA300" s="30">
        <f>'Equity Volume Data'!BD300*'Equity Price Data'!BG301</f>
        <v>4818.4</v>
      </c>
      <c r="BB300" s="30">
        <f>'Equity Volume Data'!BE300*'Equity Price Data'!BH301</f>
        <v>12519.2</v>
      </c>
      <c r="BC300" s="30">
        <f>'Equity Volume Data'!BF300*'Equity Price Data'!BI301</f>
        <v>12309.84</v>
      </c>
      <c r="BD300" s="30">
        <f>'Equity Volume Data'!BG300*'Equity Price Data'!BJ301</f>
        <v>49827.09</v>
      </c>
      <c r="BE300" s="30">
        <f>'Equity Volume Data'!BH300*'Equity Price Data'!BK301</f>
        <v>10734.33</v>
      </c>
      <c r="BF300" s="30">
        <f>'Equity Volume Data'!BI300*'Equity Price Data'!BL301</f>
        <v>7727.2</v>
      </c>
      <c r="BG300" s="30">
        <f>'Equity Volume Data'!BJ300*'Equity Price Data'!BM301</f>
        <v>30571.66</v>
      </c>
      <c r="BH300" s="30">
        <f>'Equity Volume Data'!BK300*'Equity Price Data'!BN301</f>
        <v>0</v>
      </c>
      <c r="BI300" s="30">
        <f>'Equity Volume Data'!BL300*'Equity Price Data'!BO301</f>
        <v>36960</v>
      </c>
      <c r="BJ300" s="30">
        <f>'Equity Volume Data'!BM300*'Equity Price Data'!BP301</f>
        <v>21938.25</v>
      </c>
      <c r="BK300" s="30">
        <f>'Equity Volume Data'!BN300*'Equity Price Data'!BQ301</f>
        <v>90136.04</v>
      </c>
      <c r="BL300" s="30">
        <f>'Equity Volume Data'!BO300*'Equity Price Data'!BR301</f>
        <v>440.39</v>
      </c>
      <c r="BM300" s="30">
        <f>'Equity Volume Data'!BP300*'Equity Price Data'!BS301</f>
        <v>10949.76</v>
      </c>
      <c r="BN300" s="30">
        <f>'Equity Volume Data'!BQ300*'Equity Price Data'!BT301</f>
        <v>23112.72</v>
      </c>
      <c r="BO300" s="30">
        <f>'Equity Volume Data'!BR300*'Equity Price Data'!BU301</f>
        <v>28381</v>
      </c>
    </row>
    <row r="301">
      <c r="A301" s="25">
        <f>'Equity Price Data'!A302</f>
        <v>45862.66667</v>
      </c>
      <c r="B301" s="29">
        <f t="shared" si="1"/>
        <v>1440795.64</v>
      </c>
      <c r="C301" s="30">
        <f>'Equity Volume Data'!F301*'Equity Price Data'!I302</f>
        <v>4831.97</v>
      </c>
      <c r="D301" s="30">
        <f>'Equity Volume Data'!G301*'Equity Price Data'!J302</f>
        <v>60379.8</v>
      </c>
      <c r="E301" s="30">
        <f>'Equity Volume Data'!H301*'Equity Price Data'!K302</f>
        <v>15456.1</v>
      </c>
      <c r="F301" s="30">
        <f>'Equity Volume Data'!I301*'Equity Price Data'!L302</f>
        <v>54722.56</v>
      </c>
      <c r="G301" s="30">
        <f>'Equity Volume Data'!J301*'Equity Price Data'!M302</f>
        <v>15613.96</v>
      </c>
      <c r="H301" s="30">
        <f>'Equity Volume Data'!K301*'Equity Price Data'!N302</f>
        <v>18794.36</v>
      </c>
      <c r="I301" s="30">
        <f>'Equity Volume Data'!L301*'Equity Price Data'!O302</f>
        <v>19400</v>
      </c>
      <c r="J301" s="30">
        <f>'Equity Volume Data'!M301*'Equity Price Data'!P302</f>
        <v>49021.2</v>
      </c>
      <c r="K301" s="30">
        <f>'Equity Volume Data'!N301*'Equity Price Data'!Q302</f>
        <v>10816</v>
      </c>
      <c r="L301" s="30">
        <f>'Equity Volume Data'!O301*'Equity Price Data'!R302</f>
        <v>16043.39</v>
      </c>
      <c r="M301" s="30">
        <f>'Equity Volume Data'!P301*'Equity Price Data'!S302</f>
        <v>0</v>
      </c>
      <c r="N301" s="30">
        <f>'Equity Volume Data'!Q301*'Equity Price Data'!T302</f>
        <v>6355.2</v>
      </c>
      <c r="O301" s="30">
        <f>'Equity Volume Data'!R301*'Equity Price Data'!U302</f>
        <v>64428</v>
      </c>
      <c r="P301" s="30">
        <f>'Equity Volume Data'!S301*'Equity Price Data'!V302</f>
        <v>33326.64</v>
      </c>
      <c r="Q301" s="30">
        <f>'Equity Volume Data'!T301*'Equity Price Data'!W302</f>
        <v>26641.2</v>
      </c>
      <c r="R301" s="30">
        <f>'Equity Volume Data'!U301*'Equity Price Data'!X302</f>
        <v>12466.4</v>
      </c>
      <c r="S301" s="30">
        <f>'Equity Volume Data'!V301*'Equity Price Data'!Y302</f>
        <v>25865.84</v>
      </c>
      <c r="T301" s="30">
        <f>'Equity Volume Data'!W301*'Equity Price Data'!Z302</f>
        <v>12320</v>
      </c>
      <c r="U301" s="30">
        <f>'Equity Volume Data'!X301*'Equity Price Data'!AA302</f>
        <v>18242.4</v>
      </c>
      <c r="V301" s="30">
        <f>'Equity Volume Data'!Y301*'Equity Price Data'!AB302</f>
        <v>16430.05</v>
      </c>
      <c r="W301" s="30">
        <f>'Equity Volume Data'!Z301*'Equity Price Data'!AC302</f>
        <v>12421.38</v>
      </c>
      <c r="X301" s="30">
        <f>'Equity Volume Data'!AA301*'Equity Price Data'!AD302</f>
        <v>0</v>
      </c>
      <c r="Y301" s="30">
        <f>'Equity Volume Data'!AB301*'Equity Price Data'!AE302</f>
        <v>6192.42</v>
      </c>
      <c r="Z301" s="30">
        <f>'Equity Volume Data'!AC301*'Equity Price Data'!AF302</f>
        <v>12367.5</v>
      </c>
      <c r="AA301" s="30">
        <f>'Equity Volume Data'!AD301*'Equity Price Data'!AG302</f>
        <v>18834.3</v>
      </c>
      <c r="AB301" s="30">
        <f>'Equity Volume Data'!AE301*'Equity Price Data'!AH302</f>
        <v>14190.6</v>
      </c>
      <c r="AC301" s="30">
        <f>'Equity Volume Data'!AF301*'Equity Price Data'!AI302</f>
        <v>20648</v>
      </c>
      <c r="AD301" s="30">
        <f>'Equity Volume Data'!AG301*'Equity Price Data'!AJ302</f>
        <v>14140.8</v>
      </c>
      <c r="AE301" s="30">
        <f>'Equity Volume Data'!AH301*'Equity Price Data'!AK302</f>
        <v>0</v>
      </c>
      <c r="AF301" s="30">
        <f>'Equity Volume Data'!AI301*'Equity Price Data'!AL302</f>
        <v>23206</v>
      </c>
      <c r="AG301" s="30">
        <f>'Equity Volume Data'!AJ301*'Equity Price Data'!AM302</f>
        <v>43150.8</v>
      </c>
      <c r="AH301" s="30">
        <f>'Equity Volume Data'!AK301*'Equity Price Data'!AN302</f>
        <v>37309</v>
      </c>
      <c r="AI301" s="30">
        <f>'Equity Volume Data'!AL301*'Equity Price Data'!AO302</f>
        <v>23184</v>
      </c>
      <c r="AJ301" s="30">
        <f>'Equity Volume Data'!AM301*'Equity Price Data'!AP302</f>
        <v>23865.4</v>
      </c>
      <c r="AK301" s="30">
        <f>'Equity Volume Data'!AN301*'Equity Price Data'!AQ302</f>
        <v>22964.67</v>
      </c>
      <c r="AL301" s="30">
        <f>'Equity Volume Data'!AO301*'Equity Price Data'!AR302</f>
        <v>47448</v>
      </c>
      <c r="AM301" s="30">
        <f>'Equity Volume Data'!AP301*'Equity Price Data'!AS302</f>
        <v>29438.5</v>
      </c>
      <c r="AN301" s="30">
        <f>'Equity Volume Data'!AQ301*'Equity Price Data'!AT302</f>
        <v>0</v>
      </c>
      <c r="AO301" s="30">
        <f>'Equity Volume Data'!AR301*'Equity Price Data'!AU302</f>
        <v>26593.56</v>
      </c>
      <c r="AP301" s="30">
        <f>'Equity Volume Data'!AS301*'Equity Price Data'!AV302</f>
        <v>23080</v>
      </c>
      <c r="AQ301" s="30">
        <f>'Equity Volume Data'!AT301*'Equity Price Data'!AW302</f>
        <v>17113.8</v>
      </c>
      <c r="AR301" s="30">
        <f>'Equity Volume Data'!AU301*'Equity Price Data'!AX302</f>
        <v>26039.88</v>
      </c>
      <c r="AS301" s="30">
        <f>'Equity Volume Data'!AV301*'Equity Price Data'!AY302</f>
        <v>61305.6</v>
      </c>
      <c r="AT301" s="30">
        <f>'Equity Volume Data'!AW301*'Equity Price Data'!AZ302</f>
        <v>14394</v>
      </c>
      <c r="AU301" s="30">
        <f>'Equity Volume Data'!AX301*'Equity Price Data'!BA302</f>
        <v>0</v>
      </c>
      <c r="AV301" s="30">
        <f>'Equity Volume Data'!AY301*'Equity Price Data'!BB302</f>
        <v>24671.08</v>
      </c>
      <c r="AW301" s="30">
        <f>'Equity Volume Data'!AZ301*'Equity Price Data'!BC302</f>
        <v>3568</v>
      </c>
      <c r="AX301" s="30">
        <f>'Equity Volume Data'!BA301*'Equity Price Data'!BD302</f>
        <v>0</v>
      </c>
      <c r="AY301" s="30">
        <f>'Equity Volume Data'!BB301*'Equity Price Data'!BE302</f>
        <v>62253.72</v>
      </c>
      <c r="AZ301" s="30">
        <f>'Equity Volume Data'!BC301*'Equity Price Data'!BF302</f>
        <v>11673</v>
      </c>
      <c r="BA301" s="30">
        <f>'Equity Volume Data'!BD301*'Equity Price Data'!BG302</f>
        <v>4816.5</v>
      </c>
      <c r="BB301" s="30">
        <f>'Equity Volume Data'!BE301*'Equity Price Data'!BH302</f>
        <v>12417.6</v>
      </c>
      <c r="BC301" s="30">
        <f>'Equity Volume Data'!BF301*'Equity Price Data'!BI302</f>
        <v>12208.16</v>
      </c>
      <c r="BD301" s="30">
        <f>'Equity Volume Data'!BG301*'Equity Price Data'!BJ302</f>
        <v>52717.5</v>
      </c>
      <c r="BE301" s="30">
        <f>'Equity Volume Data'!BH301*'Equity Price Data'!BK302</f>
        <v>10925.69</v>
      </c>
      <c r="BF301" s="30">
        <f>'Equity Volume Data'!BI301*'Equity Price Data'!BL302</f>
        <v>7666.4</v>
      </c>
      <c r="BG301" s="30">
        <f>'Equity Volume Data'!BJ301*'Equity Price Data'!BM302</f>
        <v>29687.62</v>
      </c>
      <c r="BH301" s="30">
        <f>'Equity Volume Data'!BK301*'Equity Price Data'!BN302</f>
        <v>0</v>
      </c>
      <c r="BI301" s="30">
        <f>'Equity Volume Data'!BL301*'Equity Price Data'!BO302</f>
        <v>35283.2</v>
      </c>
      <c r="BJ301" s="30">
        <f>'Equity Volume Data'!BM301*'Equity Price Data'!BP302</f>
        <v>20893.5</v>
      </c>
      <c r="BK301" s="30">
        <f>'Equity Volume Data'!BN301*'Equity Price Data'!BQ302</f>
        <v>90154.06</v>
      </c>
      <c r="BL301" s="30">
        <f>'Equity Volume Data'!BO301*'Equity Price Data'!BR302</f>
        <v>439.45</v>
      </c>
      <c r="BM301" s="30">
        <f>'Equity Volume Data'!BP301*'Equity Price Data'!BS302</f>
        <v>11069.28</v>
      </c>
      <c r="BN301" s="30">
        <f>'Equity Volume Data'!BQ301*'Equity Price Data'!BT302</f>
        <v>22926.6</v>
      </c>
      <c r="BO301" s="30">
        <f>'Equity Volume Data'!BR301*'Equity Price Data'!BU302</f>
        <v>28381</v>
      </c>
    </row>
    <row r="302">
      <c r="A302" s="25">
        <f>'Equity Price Data'!A303</f>
        <v>45863.66667</v>
      </c>
      <c r="B302" s="29">
        <f t="shared" si="1"/>
        <v>1447145.36</v>
      </c>
      <c r="C302" s="30">
        <f>'Equity Volume Data'!F302*'Equity Price Data'!I303</f>
        <v>4819.62</v>
      </c>
      <c r="D302" s="30">
        <f>'Equity Volume Data'!G302*'Equity Price Data'!J303</f>
        <v>60174.4</v>
      </c>
      <c r="E302" s="30">
        <f>'Equity Volume Data'!H302*'Equity Price Data'!K303</f>
        <v>15435.2</v>
      </c>
      <c r="F302" s="30">
        <f>'Equity Volume Data'!I302*'Equity Price Data'!L303</f>
        <v>54753.28</v>
      </c>
      <c r="G302" s="30">
        <f>'Equity Volume Data'!J302*'Equity Price Data'!M303</f>
        <v>15412.27</v>
      </c>
      <c r="H302" s="30">
        <f>'Equity Volume Data'!K302*'Equity Price Data'!N303</f>
        <v>18972.96</v>
      </c>
      <c r="I302" s="30">
        <f>'Equity Volume Data'!L302*'Equity Price Data'!O303</f>
        <v>19620</v>
      </c>
      <c r="J302" s="30">
        <f>'Equity Volume Data'!M302*'Equity Price Data'!P303</f>
        <v>49375.14</v>
      </c>
      <c r="K302" s="30">
        <f>'Equity Volume Data'!N302*'Equity Price Data'!Q303</f>
        <v>10630</v>
      </c>
      <c r="L302" s="30">
        <f>'Equity Volume Data'!O302*'Equity Price Data'!R303</f>
        <v>15913.92</v>
      </c>
      <c r="M302" s="30">
        <f>'Equity Volume Data'!P302*'Equity Price Data'!S303</f>
        <v>0</v>
      </c>
      <c r="N302" s="30">
        <f>'Equity Volume Data'!Q302*'Equity Price Data'!T303</f>
        <v>6458.4</v>
      </c>
      <c r="O302" s="30">
        <f>'Equity Volume Data'!R302*'Equity Price Data'!U303</f>
        <v>65062.5</v>
      </c>
      <c r="P302" s="30">
        <f>'Equity Volume Data'!S302*'Equity Price Data'!V303</f>
        <v>33193.2</v>
      </c>
      <c r="Q302" s="30">
        <f>'Equity Volume Data'!T302*'Equity Price Data'!W303</f>
        <v>26413.2</v>
      </c>
      <c r="R302" s="30">
        <f>'Equity Volume Data'!U302*'Equity Price Data'!X303</f>
        <v>12387.2</v>
      </c>
      <c r="S302" s="30">
        <f>'Equity Volume Data'!V302*'Equity Price Data'!Y303</f>
        <v>26080.56</v>
      </c>
      <c r="T302" s="30">
        <f>'Equity Volume Data'!W302*'Equity Price Data'!Z303</f>
        <v>12372.5</v>
      </c>
      <c r="U302" s="30">
        <f>'Equity Volume Data'!X302*'Equity Price Data'!AA303</f>
        <v>18260.88</v>
      </c>
      <c r="V302" s="30">
        <f>'Equity Volume Data'!Y302*'Equity Price Data'!AB303</f>
        <v>16463.86</v>
      </c>
      <c r="W302" s="30">
        <f>'Equity Volume Data'!Z302*'Equity Price Data'!AC303</f>
        <v>12275.79</v>
      </c>
      <c r="X302" s="30">
        <f>'Equity Volume Data'!AA302*'Equity Price Data'!AD303</f>
        <v>0</v>
      </c>
      <c r="Y302" s="30">
        <f>'Equity Volume Data'!AB302*'Equity Price Data'!AE303</f>
        <v>6311.89</v>
      </c>
      <c r="Z302" s="30">
        <f>'Equity Volume Data'!AC302*'Equity Price Data'!AF303</f>
        <v>12214.5</v>
      </c>
      <c r="AA302" s="30">
        <f>'Equity Volume Data'!AD302*'Equity Price Data'!AG303</f>
        <v>18768</v>
      </c>
      <c r="AB302" s="30">
        <f>'Equity Volume Data'!AE302*'Equity Price Data'!AH303</f>
        <v>14592</v>
      </c>
      <c r="AC302" s="30">
        <f>'Equity Volume Data'!AF302*'Equity Price Data'!AI303</f>
        <v>20706</v>
      </c>
      <c r="AD302" s="30">
        <f>'Equity Volume Data'!AG302*'Equity Price Data'!AJ303</f>
        <v>14130.9</v>
      </c>
      <c r="AE302" s="30">
        <f>'Equity Volume Data'!AH302*'Equity Price Data'!AK303</f>
        <v>0</v>
      </c>
      <c r="AF302" s="30">
        <f>'Equity Volume Data'!AI302*'Equity Price Data'!AL303</f>
        <v>23821</v>
      </c>
      <c r="AG302" s="30">
        <f>'Equity Volume Data'!AJ302*'Equity Price Data'!AM303</f>
        <v>43738.8</v>
      </c>
      <c r="AH302" s="30">
        <f>'Equity Volume Data'!AK302*'Equity Price Data'!AN303</f>
        <v>37534</v>
      </c>
      <c r="AI302" s="30">
        <f>'Equity Volume Data'!AL302*'Equity Price Data'!AO303</f>
        <v>23360.75</v>
      </c>
      <c r="AJ302" s="30">
        <f>'Equity Volume Data'!AM302*'Equity Price Data'!AP303</f>
        <v>23977.2</v>
      </c>
      <c r="AK302" s="30">
        <f>'Equity Volume Data'!AN302*'Equity Price Data'!AQ303</f>
        <v>23305.42</v>
      </c>
      <c r="AL302" s="30">
        <f>'Equity Volume Data'!AO302*'Equity Price Data'!AR303</f>
        <v>47779.2</v>
      </c>
      <c r="AM302" s="30">
        <f>'Equity Volume Data'!AP302*'Equity Price Data'!AS303</f>
        <v>29481.9</v>
      </c>
      <c r="AN302" s="30">
        <f>'Equity Volume Data'!AQ302*'Equity Price Data'!AT303</f>
        <v>0</v>
      </c>
      <c r="AO302" s="30">
        <f>'Equity Volume Data'!AR302*'Equity Price Data'!AU303</f>
        <v>26747.28</v>
      </c>
      <c r="AP302" s="30">
        <f>'Equity Volume Data'!AS302*'Equity Price Data'!AV303</f>
        <v>23235</v>
      </c>
      <c r="AQ302" s="30">
        <f>'Equity Volume Data'!AT302*'Equity Price Data'!AW303</f>
        <v>17283.2</v>
      </c>
      <c r="AR302" s="30">
        <f>'Equity Volume Data'!AU302*'Equity Price Data'!AX303</f>
        <v>26259.84</v>
      </c>
      <c r="AS302" s="30">
        <f>'Equity Volume Data'!AV302*'Equity Price Data'!AY303</f>
        <v>61645.2</v>
      </c>
      <c r="AT302" s="30">
        <f>'Equity Volume Data'!AW302*'Equity Price Data'!AZ303</f>
        <v>14370</v>
      </c>
      <c r="AU302" s="30">
        <f>'Equity Volume Data'!AX302*'Equity Price Data'!BA303</f>
        <v>0</v>
      </c>
      <c r="AV302" s="30">
        <f>'Equity Volume Data'!AY302*'Equity Price Data'!BB303</f>
        <v>24637</v>
      </c>
      <c r="AW302" s="30">
        <f>'Equity Volume Data'!AZ302*'Equity Price Data'!BC303</f>
        <v>3591.6</v>
      </c>
      <c r="AX302" s="30">
        <f>'Equity Volume Data'!BA302*'Equity Price Data'!BD303</f>
        <v>0</v>
      </c>
      <c r="AY302" s="30">
        <f>'Equity Volume Data'!BB302*'Equity Price Data'!BE303</f>
        <v>63837.6</v>
      </c>
      <c r="AZ302" s="30">
        <f>'Equity Volume Data'!BC302*'Equity Price Data'!BF303</f>
        <v>11697</v>
      </c>
      <c r="BA302" s="30">
        <f>'Equity Volume Data'!BD302*'Equity Price Data'!BG303</f>
        <v>4710.1</v>
      </c>
      <c r="BB302" s="30">
        <f>'Equity Volume Data'!BE302*'Equity Price Data'!BH303</f>
        <v>12550.4</v>
      </c>
      <c r="BC302" s="30">
        <f>'Equity Volume Data'!BF302*'Equity Price Data'!BI303</f>
        <v>12434.48</v>
      </c>
      <c r="BD302" s="30">
        <f>'Equity Volume Data'!BG302*'Equity Price Data'!BJ303</f>
        <v>51876.15</v>
      </c>
      <c r="BE302" s="30">
        <f>'Equity Volume Data'!BH302*'Equity Price Data'!BK303</f>
        <v>11001.36</v>
      </c>
      <c r="BF302" s="30">
        <f>'Equity Volume Data'!BI302*'Equity Price Data'!BL303</f>
        <v>7539.6</v>
      </c>
      <c r="BG302" s="30">
        <f>'Equity Volume Data'!BJ302*'Equity Price Data'!BM303</f>
        <v>30057.36</v>
      </c>
      <c r="BH302" s="30">
        <f>'Equity Volume Data'!BK302*'Equity Price Data'!BN303</f>
        <v>0</v>
      </c>
      <c r="BI302" s="30">
        <f>'Equity Volume Data'!BL302*'Equity Price Data'!BO303</f>
        <v>35958.4</v>
      </c>
      <c r="BJ302" s="30">
        <f>'Equity Volume Data'!BM302*'Equity Price Data'!BP303</f>
        <v>21079.5</v>
      </c>
      <c r="BK302" s="30">
        <f>'Equity Volume Data'!BN302*'Equity Price Data'!BQ303</f>
        <v>90154.06</v>
      </c>
      <c r="BL302" s="30">
        <f>'Equity Volume Data'!BO302*'Equity Price Data'!BR303</f>
        <v>442.27</v>
      </c>
      <c r="BM302" s="30">
        <f>'Equity Volume Data'!BP302*'Equity Price Data'!BS303</f>
        <v>11024.16</v>
      </c>
      <c r="BN302" s="30">
        <f>'Equity Volume Data'!BQ302*'Equity Price Data'!BT303</f>
        <v>22836.36</v>
      </c>
      <c r="BO302" s="30">
        <f>'Equity Volume Data'!BR302*'Equity Price Data'!BU303</f>
        <v>28381</v>
      </c>
    </row>
    <row r="303">
      <c r="A303" s="25">
        <f>'Equity Price Data'!A304</f>
        <v>45866.66667</v>
      </c>
      <c r="B303" s="29">
        <f t="shared" si="1"/>
        <v>1442038.91</v>
      </c>
      <c r="C303" s="30">
        <f>'Equity Volume Data'!F303*'Equity Price Data'!I304</f>
        <v>4803.11</v>
      </c>
      <c r="D303" s="30">
        <f>'Equity Volume Data'!G303*'Equity Price Data'!J304</f>
        <v>60525.4</v>
      </c>
      <c r="E303" s="30">
        <f>'Equity Volume Data'!H303*'Equity Price Data'!K304</f>
        <v>15258.1</v>
      </c>
      <c r="F303" s="30">
        <f>'Equity Volume Data'!I303*'Equity Price Data'!L304</f>
        <v>54796.8</v>
      </c>
      <c r="G303" s="30">
        <f>'Equity Volume Data'!J303*'Equity Price Data'!M304</f>
        <v>15792.41</v>
      </c>
      <c r="H303" s="30">
        <f>'Equity Volume Data'!K303*'Equity Price Data'!N304</f>
        <v>18918.44</v>
      </c>
      <c r="I303" s="30">
        <f>'Equity Volume Data'!L303*'Equity Price Data'!O304</f>
        <v>19410</v>
      </c>
      <c r="J303" s="30">
        <f>'Equity Volume Data'!M303*'Equity Price Data'!P304</f>
        <v>49133.4</v>
      </c>
      <c r="K303" s="30">
        <f>'Equity Volume Data'!N303*'Equity Price Data'!Q304</f>
        <v>10456</v>
      </c>
      <c r="L303" s="30">
        <f>'Equity Volume Data'!O303*'Equity Price Data'!R304</f>
        <v>15642.88</v>
      </c>
      <c r="M303" s="30">
        <f>'Equity Volume Data'!P303*'Equity Price Data'!S304</f>
        <v>0</v>
      </c>
      <c r="N303" s="30">
        <f>'Equity Volume Data'!Q303*'Equity Price Data'!T304</f>
        <v>6414.4</v>
      </c>
      <c r="O303" s="30">
        <f>'Equity Volume Data'!R303*'Equity Price Data'!U304</f>
        <v>64941</v>
      </c>
      <c r="P303" s="30">
        <f>'Equity Volume Data'!S303*'Equity Price Data'!V304</f>
        <v>33001.38</v>
      </c>
      <c r="Q303" s="30">
        <f>'Equity Volume Data'!T303*'Equity Price Data'!W304</f>
        <v>26194.8</v>
      </c>
      <c r="R303" s="30">
        <f>'Equity Volume Data'!U303*'Equity Price Data'!X304</f>
        <v>12502.4</v>
      </c>
      <c r="S303" s="30">
        <f>'Equity Volume Data'!V303*'Equity Price Data'!Y304</f>
        <v>25730.32</v>
      </c>
      <c r="T303" s="30">
        <f>'Equity Volume Data'!W303*'Equity Price Data'!Z304</f>
        <v>12332.5</v>
      </c>
      <c r="U303" s="30">
        <f>'Equity Volume Data'!X303*'Equity Price Data'!AA304</f>
        <v>17975.76</v>
      </c>
      <c r="V303" s="30">
        <f>'Equity Volume Data'!Y303*'Equity Price Data'!AB304</f>
        <v>16257.78</v>
      </c>
      <c r="W303" s="30">
        <f>'Equity Volume Data'!Z303*'Equity Price Data'!AC304</f>
        <v>12124.68</v>
      </c>
      <c r="X303" s="30">
        <f>'Equity Volume Data'!AA303*'Equity Price Data'!AD304</f>
        <v>0</v>
      </c>
      <c r="Y303" s="30">
        <f>'Equity Volume Data'!AB303*'Equity Price Data'!AE304</f>
        <v>6166.16</v>
      </c>
      <c r="Z303" s="30">
        <f>'Equity Volume Data'!AC303*'Equity Price Data'!AF304</f>
        <v>11850</v>
      </c>
      <c r="AA303" s="30">
        <f>'Equity Volume Data'!AD303*'Equity Price Data'!AG304</f>
        <v>18944.8</v>
      </c>
      <c r="AB303" s="30">
        <f>'Equity Volume Data'!AE303*'Equity Price Data'!AH304</f>
        <v>14544.6</v>
      </c>
      <c r="AC303" s="30">
        <f>'Equity Volume Data'!AF303*'Equity Price Data'!AI304</f>
        <v>20292.4</v>
      </c>
      <c r="AD303" s="30">
        <f>'Equity Volume Data'!AG303*'Equity Price Data'!AJ304</f>
        <v>14089.5</v>
      </c>
      <c r="AE303" s="30">
        <f>'Equity Volume Data'!AH303*'Equity Price Data'!AK304</f>
        <v>0</v>
      </c>
      <c r="AF303" s="30">
        <f>'Equity Volume Data'!AI303*'Equity Price Data'!AL304</f>
        <v>23171.15</v>
      </c>
      <c r="AG303" s="30">
        <f>'Equity Volume Data'!AJ303*'Equity Price Data'!AM304</f>
        <v>43419</v>
      </c>
      <c r="AH303" s="30">
        <f>'Equity Volume Data'!AK303*'Equity Price Data'!AN304</f>
        <v>37723</v>
      </c>
      <c r="AI303" s="30">
        <f>'Equity Volume Data'!AL303*'Equity Price Data'!AO304</f>
        <v>23430.75</v>
      </c>
      <c r="AJ303" s="30">
        <f>'Equity Volume Data'!AM303*'Equity Price Data'!AP304</f>
        <v>23762.7</v>
      </c>
      <c r="AK303" s="30">
        <f>'Equity Volume Data'!AN303*'Equity Price Data'!AQ304</f>
        <v>23215.65</v>
      </c>
      <c r="AL303" s="30">
        <f>'Equity Volume Data'!AO303*'Equity Price Data'!AR304</f>
        <v>47724.8</v>
      </c>
      <c r="AM303" s="30">
        <f>'Equity Volume Data'!AP303*'Equity Price Data'!AS304</f>
        <v>29493.8</v>
      </c>
      <c r="AN303" s="30">
        <f>'Equity Volume Data'!AQ303*'Equity Price Data'!AT304</f>
        <v>0</v>
      </c>
      <c r="AO303" s="30">
        <f>'Equity Volume Data'!AR303*'Equity Price Data'!AU304</f>
        <v>26866.84</v>
      </c>
      <c r="AP303" s="30">
        <f>'Equity Volume Data'!AS303*'Equity Price Data'!AV304</f>
        <v>22992.5</v>
      </c>
      <c r="AQ303" s="30">
        <f>'Equity Volume Data'!AT303*'Equity Price Data'!AW304</f>
        <v>17085.2</v>
      </c>
      <c r="AR303" s="30">
        <f>'Equity Volume Data'!AU303*'Equity Price Data'!AX304</f>
        <v>27118.53</v>
      </c>
      <c r="AS303" s="30">
        <f>'Equity Volume Data'!AV303*'Equity Price Data'!AY304</f>
        <v>61500</v>
      </c>
      <c r="AT303" s="30">
        <f>'Equity Volume Data'!AW303*'Equity Price Data'!AZ304</f>
        <v>14268</v>
      </c>
      <c r="AU303" s="30">
        <f>'Equity Volume Data'!AX303*'Equity Price Data'!BA304</f>
        <v>0</v>
      </c>
      <c r="AV303" s="30">
        <f>'Equity Volume Data'!AY303*'Equity Price Data'!BB304</f>
        <v>25098.5</v>
      </c>
      <c r="AW303" s="30">
        <f>'Equity Volume Data'!AZ303*'Equity Price Data'!BC304</f>
        <v>3516</v>
      </c>
      <c r="AX303" s="30">
        <f>'Equity Volume Data'!BA303*'Equity Price Data'!BD304</f>
        <v>0</v>
      </c>
      <c r="AY303" s="30">
        <f>'Equity Volume Data'!BB303*'Equity Price Data'!BE304</f>
        <v>63467.76</v>
      </c>
      <c r="AZ303" s="30">
        <f>'Equity Volume Data'!BC303*'Equity Price Data'!BF304</f>
        <v>11733</v>
      </c>
      <c r="BA303" s="30">
        <f>'Equity Volume Data'!BD303*'Equity Price Data'!BG304</f>
        <v>4618.9</v>
      </c>
      <c r="BB303" s="30">
        <f>'Equity Volume Data'!BE303*'Equity Price Data'!BH304</f>
        <v>12485.6</v>
      </c>
      <c r="BC303" s="30">
        <f>'Equity Volume Data'!BF303*'Equity Price Data'!BI304</f>
        <v>12221.28</v>
      </c>
      <c r="BD303" s="30">
        <f>'Equity Volume Data'!BG303*'Equity Price Data'!BJ304</f>
        <v>50734.47</v>
      </c>
      <c r="BE303" s="30">
        <f>'Equity Volume Data'!BH303*'Equity Price Data'!BK304</f>
        <v>11154.08</v>
      </c>
      <c r="BF303" s="30">
        <f>'Equity Volume Data'!BI303*'Equity Price Data'!BL304</f>
        <v>7487.2</v>
      </c>
      <c r="BG303" s="30">
        <f>'Equity Volume Data'!BJ303*'Equity Price Data'!BM304</f>
        <v>29256.72</v>
      </c>
      <c r="BH303" s="30">
        <f>'Equity Volume Data'!BK303*'Equity Price Data'!BN304</f>
        <v>0</v>
      </c>
      <c r="BI303" s="30">
        <f>'Equity Volume Data'!BL303*'Equity Price Data'!BO304</f>
        <v>36678.4</v>
      </c>
      <c r="BJ303" s="30">
        <f>'Equity Volume Data'!BM303*'Equity Price Data'!BP304</f>
        <v>21159</v>
      </c>
      <c r="BK303" s="30">
        <f>'Equity Volume Data'!BN303*'Equity Price Data'!BQ304</f>
        <v>90172.08</v>
      </c>
      <c r="BL303" s="30">
        <f>'Equity Volume Data'!BO303*'Equity Price Data'!BR304</f>
        <v>435.22</v>
      </c>
      <c r="BM303" s="30">
        <f>'Equity Volume Data'!BP303*'Equity Price Data'!BS304</f>
        <v>10939.2</v>
      </c>
      <c r="BN303" s="30">
        <f>'Equity Volume Data'!BQ303*'Equity Price Data'!BT304</f>
        <v>22629.56</v>
      </c>
      <c r="BO303" s="30">
        <f>'Equity Volume Data'!BR303*'Equity Price Data'!BU304</f>
        <v>28381</v>
      </c>
    </row>
    <row r="304">
      <c r="A304" s="25">
        <f>'Equity Price Data'!A305</f>
        <v>45867.66667</v>
      </c>
      <c r="B304" s="29">
        <f t="shared" si="1"/>
        <v>1435835.18</v>
      </c>
      <c r="C304" s="30">
        <f>'Equity Volume Data'!F304*'Equity Price Data'!I305</f>
        <v>4819.1</v>
      </c>
      <c r="D304" s="30">
        <f>'Equity Volume Data'!G304*'Equity Price Data'!J305</f>
        <v>60062.6</v>
      </c>
      <c r="E304" s="30">
        <f>'Equity Volume Data'!H304*'Equity Price Data'!K305</f>
        <v>15504.5</v>
      </c>
      <c r="F304" s="30">
        <f>'Equity Volume Data'!I304*'Equity Price Data'!L305</f>
        <v>54085.12</v>
      </c>
      <c r="G304" s="30">
        <f>'Equity Volume Data'!J304*'Equity Price Data'!M305</f>
        <v>15638.03</v>
      </c>
      <c r="H304" s="30">
        <f>'Equity Volume Data'!K304*'Equity Price Data'!N305</f>
        <v>19151.56</v>
      </c>
      <c r="I304" s="30">
        <f>'Equity Volume Data'!L304*'Equity Price Data'!O305</f>
        <v>20050</v>
      </c>
      <c r="J304" s="30">
        <f>'Equity Volume Data'!M304*'Equity Price Data'!P305</f>
        <v>48609.12</v>
      </c>
      <c r="K304" s="30">
        <f>'Equity Volume Data'!N304*'Equity Price Data'!Q305</f>
        <v>10542</v>
      </c>
      <c r="L304" s="30">
        <f>'Equity Volume Data'!O304*'Equity Price Data'!R305</f>
        <v>15475.9</v>
      </c>
      <c r="M304" s="30">
        <f>'Equity Volume Data'!P304*'Equity Price Data'!S305</f>
        <v>0</v>
      </c>
      <c r="N304" s="30">
        <f>'Equity Volume Data'!Q304*'Equity Price Data'!T305</f>
        <v>5733.6</v>
      </c>
      <c r="O304" s="30">
        <f>'Equity Volume Data'!R304*'Equity Price Data'!U305</f>
        <v>64507.5</v>
      </c>
      <c r="P304" s="30">
        <f>'Equity Volume Data'!S304*'Equity Price Data'!V305</f>
        <v>32813.73</v>
      </c>
      <c r="Q304" s="30">
        <f>'Equity Volume Data'!T304*'Equity Price Data'!W305</f>
        <v>26199.6</v>
      </c>
      <c r="R304" s="30">
        <f>'Equity Volume Data'!U304*'Equity Price Data'!X305</f>
        <v>12562.4</v>
      </c>
      <c r="S304" s="30">
        <f>'Equity Volume Data'!V304*'Equity Price Data'!Y305</f>
        <v>25710.96</v>
      </c>
      <c r="T304" s="30">
        <f>'Equity Volume Data'!W304*'Equity Price Data'!Z305</f>
        <v>12272.5</v>
      </c>
      <c r="U304" s="30">
        <f>'Equity Volume Data'!X304*'Equity Price Data'!AA305</f>
        <v>18316.32</v>
      </c>
      <c r="V304" s="30">
        <f>'Equity Volume Data'!Y304*'Equity Price Data'!AB305</f>
        <v>16460.64</v>
      </c>
      <c r="W304" s="30">
        <f>'Equity Volume Data'!Z304*'Equity Price Data'!AC305</f>
        <v>12302.7</v>
      </c>
      <c r="X304" s="30">
        <f>'Equity Volume Data'!AA304*'Equity Price Data'!AD305</f>
        <v>0</v>
      </c>
      <c r="Y304" s="30">
        <f>'Equity Volume Data'!AB304*'Equity Price Data'!AE305</f>
        <v>6110.65</v>
      </c>
      <c r="Z304" s="30">
        <f>'Equity Volume Data'!AC304*'Equity Price Data'!AF305</f>
        <v>11775</v>
      </c>
      <c r="AA304" s="30">
        <f>'Equity Volume Data'!AD304*'Equity Price Data'!AG305</f>
        <v>19189.6</v>
      </c>
      <c r="AB304" s="30">
        <f>'Equity Volume Data'!AE304*'Equity Price Data'!AH305</f>
        <v>14072.4</v>
      </c>
      <c r="AC304" s="30">
        <f>'Equity Volume Data'!AF304*'Equity Price Data'!AI305</f>
        <v>20216.8</v>
      </c>
      <c r="AD304" s="30">
        <f>'Equity Volume Data'!AG304*'Equity Price Data'!AJ305</f>
        <v>14161.5</v>
      </c>
      <c r="AE304" s="30">
        <f>'Equity Volume Data'!AH304*'Equity Price Data'!AK305</f>
        <v>0</v>
      </c>
      <c r="AF304" s="30">
        <f>'Equity Volume Data'!AI304*'Equity Price Data'!AL305</f>
        <v>23417.15</v>
      </c>
      <c r="AG304" s="30">
        <f>'Equity Volume Data'!AJ304*'Equity Price Data'!AM305</f>
        <v>43918.8</v>
      </c>
      <c r="AH304" s="30">
        <f>'Equity Volume Data'!AK304*'Equity Price Data'!AN305</f>
        <v>37734</v>
      </c>
      <c r="AI304" s="30">
        <f>'Equity Volume Data'!AL304*'Equity Price Data'!AO305</f>
        <v>23474.5</v>
      </c>
      <c r="AJ304" s="30">
        <f>'Equity Volume Data'!AM304*'Equity Price Data'!AP305</f>
        <v>24012.3</v>
      </c>
      <c r="AK304" s="30">
        <f>'Equity Volume Data'!AN304*'Equity Price Data'!AQ305</f>
        <v>23352.89</v>
      </c>
      <c r="AL304" s="30">
        <f>'Equity Volume Data'!AO304*'Equity Price Data'!AR305</f>
        <v>47526.4</v>
      </c>
      <c r="AM304" s="30">
        <f>'Equity Volume Data'!AP304*'Equity Price Data'!AS305</f>
        <v>29409.1</v>
      </c>
      <c r="AN304" s="30">
        <f>'Equity Volume Data'!AQ304*'Equity Price Data'!AT305</f>
        <v>0</v>
      </c>
      <c r="AO304" s="30">
        <f>'Equity Volume Data'!AR304*'Equity Price Data'!AU305</f>
        <v>26883.92</v>
      </c>
      <c r="AP304" s="30">
        <f>'Equity Volume Data'!AS304*'Equity Price Data'!AV305</f>
        <v>23110</v>
      </c>
      <c r="AQ304" s="30">
        <f>'Equity Volume Data'!AT304*'Equity Price Data'!AW305</f>
        <v>17089.6</v>
      </c>
      <c r="AR304" s="30">
        <f>'Equity Volume Data'!AU304*'Equity Price Data'!AX305</f>
        <v>25489.98</v>
      </c>
      <c r="AS304" s="30">
        <f>'Equity Volume Data'!AV304*'Equity Price Data'!AY305</f>
        <v>61508.4</v>
      </c>
      <c r="AT304" s="30">
        <f>'Equity Volume Data'!AW304*'Equity Price Data'!AZ305</f>
        <v>14390</v>
      </c>
      <c r="AU304" s="30">
        <f>'Equity Volume Data'!AX304*'Equity Price Data'!BA305</f>
        <v>0</v>
      </c>
      <c r="AV304" s="30">
        <f>'Equity Volume Data'!AY304*'Equity Price Data'!BB305</f>
        <v>24922.42</v>
      </c>
      <c r="AW304" s="30">
        <f>'Equity Volume Data'!AZ304*'Equity Price Data'!BC305</f>
        <v>3492</v>
      </c>
      <c r="AX304" s="30">
        <f>'Equity Volume Data'!BA304*'Equity Price Data'!BD305</f>
        <v>0</v>
      </c>
      <c r="AY304" s="30">
        <f>'Equity Volume Data'!BB304*'Equity Price Data'!BE305</f>
        <v>62808.48</v>
      </c>
      <c r="AZ304" s="30">
        <f>'Equity Volume Data'!BC304*'Equity Price Data'!BF305</f>
        <v>10717.5</v>
      </c>
      <c r="BA304" s="30">
        <f>'Equity Volume Data'!BD304*'Equity Price Data'!BG305</f>
        <v>4617</v>
      </c>
      <c r="BB304" s="30">
        <f>'Equity Volume Data'!BE304*'Equity Price Data'!BH305</f>
        <v>12569.6</v>
      </c>
      <c r="BC304" s="30">
        <f>'Equity Volume Data'!BF304*'Equity Price Data'!BI305</f>
        <v>12139.28</v>
      </c>
      <c r="BD304" s="30">
        <f>'Equity Volume Data'!BG304*'Equity Price Data'!BJ305</f>
        <v>50960.25</v>
      </c>
      <c r="BE304" s="30">
        <f>'Equity Volume Data'!BH304*'Equity Price Data'!BK305</f>
        <v>11089.68</v>
      </c>
      <c r="BF304" s="30">
        <f>'Equity Volume Data'!BI304*'Equity Price Data'!BL305</f>
        <v>7370.8</v>
      </c>
      <c r="BG304" s="30">
        <f>'Equity Volume Data'!BJ304*'Equity Price Data'!BM305</f>
        <v>29142.74</v>
      </c>
      <c r="BH304" s="30">
        <f>'Equity Volume Data'!BK304*'Equity Price Data'!BN305</f>
        <v>0</v>
      </c>
      <c r="BI304" s="30">
        <f>'Equity Volume Data'!BL304*'Equity Price Data'!BO305</f>
        <v>35803.2</v>
      </c>
      <c r="BJ304" s="30">
        <f>'Equity Volume Data'!BM304*'Equity Price Data'!BP305</f>
        <v>19580.25</v>
      </c>
      <c r="BK304" s="30">
        <f>'Equity Volume Data'!BN304*'Equity Price Data'!BQ305</f>
        <v>90298.22</v>
      </c>
      <c r="BL304" s="30">
        <f>'Equity Volume Data'!BO304*'Equity Price Data'!BR305</f>
        <v>431.93</v>
      </c>
      <c r="BM304" s="30">
        <f>'Equity Volume Data'!BP304*'Equity Price Data'!BS305</f>
        <v>11306.88</v>
      </c>
      <c r="BN304" s="30">
        <f>'Equity Volume Data'!BQ304*'Equity Price Data'!BT305</f>
        <v>22543.08</v>
      </c>
      <c r="BO304" s="30">
        <f>'Equity Volume Data'!BR304*'Equity Price Data'!BU305</f>
        <v>28381</v>
      </c>
    </row>
    <row r="305">
      <c r="A305" s="25">
        <f>'Equity Price Data'!A306</f>
        <v>45868.66667</v>
      </c>
      <c r="B305" s="29">
        <f t="shared" si="1"/>
        <v>1430002.26</v>
      </c>
      <c r="C305" s="30">
        <f>'Equity Volume Data'!F305*'Equity Price Data'!I306</f>
        <v>4732</v>
      </c>
      <c r="D305" s="30">
        <f>'Equity Volume Data'!G305*'Equity Price Data'!J306</f>
        <v>59849.4</v>
      </c>
      <c r="E305" s="30">
        <f>'Equity Volume Data'!H305*'Equity Price Data'!K306</f>
        <v>15361.5</v>
      </c>
      <c r="F305" s="30">
        <f>'Equity Volume Data'!I305*'Equity Price Data'!L306</f>
        <v>53516.8</v>
      </c>
      <c r="G305" s="30">
        <f>'Equity Volume Data'!J305*'Equity Price Data'!M306</f>
        <v>15719.37</v>
      </c>
      <c r="H305" s="30">
        <f>'Equity Volume Data'!K305*'Equity Price Data'!N306</f>
        <v>19232.4</v>
      </c>
      <c r="I305" s="30">
        <f>'Equity Volume Data'!L305*'Equity Price Data'!O306</f>
        <v>19860</v>
      </c>
      <c r="J305" s="30">
        <f>'Equity Volume Data'!M305*'Equity Price Data'!P306</f>
        <v>48552</v>
      </c>
      <c r="K305" s="30">
        <f>'Equity Volume Data'!N305*'Equity Price Data'!Q306</f>
        <v>10130</v>
      </c>
      <c r="L305" s="30">
        <f>'Equity Volume Data'!O305*'Equity Price Data'!R306</f>
        <v>15323.44</v>
      </c>
      <c r="M305" s="30">
        <f>'Equity Volume Data'!P305*'Equity Price Data'!S306</f>
        <v>0</v>
      </c>
      <c r="N305" s="30">
        <f>'Equity Volume Data'!Q305*'Equity Price Data'!T306</f>
        <v>5456</v>
      </c>
      <c r="O305" s="30">
        <f>'Equity Volume Data'!R305*'Equity Price Data'!U306</f>
        <v>65118</v>
      </c>
      <c r="P305" s="30">
        <f>'Equity Volume Data'!S305*'Equity Price Data'!V306</f>
        <v>32421.75</v>
      </c>
      <c r="Q305" s="30">
        <f>'Equity Volume Data'!T305*'Equity Price Data'!W306</f>
        <v>22400.4</v>
      </c>
      <c r="R305" s="30">
        <f>'Equity Volume Data'!U305*'Equity Price Data'!X306</f>
        <v>12284.8</v>
      </c>
      <c r="S305" s="30">
        <f>'Equity Volume Data'!V305*'Equity Price Data'!Y306</f>
        <v>26211.68</v>
      </c>
      <c r="T305" s="30">
        <f>'Equity Volume Data'!W305*'Equity Price Data'!Z306</f>
        <v>12172.5</v>
      </c>
      <c r="U305" s="30">
        <f>'Equity Volume Data'!X305*'Equity Price Data'!AA306</f>
        <v>18150</v>
      </c>
      <c r="V305" s="30">
        <f>'Equity Volume Data'!Y305*'Equity Price Data'!AB306</f>
        <v>16516.99</v>
      </c>
      <c r="W305" s="30">
        <f>'Equity Volume Data'!Z305*'Equity Price Data'!AC306</f>
        <v>12233.7</v>
      </c>
      <c r="X305" s="30">
        <f>'Equity Volume Data'!AA305*'Equity Price Data'!AD306</f>
        <v>0</v>
      </c>
      <c r="Y305" s="30">
        <f>'Equity Volume Data'!AB305*'Equity Price Data'!AE306</f>
        <v>6179.94</v>
      </c>
      <c r="Z305" s="30">
        <f>'Equity Volume Data'!AC305*'Equity Price Data'!AF306</f>
        <v>11634</v>
      </c>
      <c r="AA305" s="30">
        <f>'Equity Volume Data'!AD305*'Equity Price Data'!AG306</f>
        <v>19023</v>
      </c>
      <c r="AB305" s="30">
        <f>'Equity Volume Data'!AE305*'Equity Price Data'!AH306</f>
        <v>13431.6</v>
      </c>
      <c r="AC305" s="30">
        <f>'Equity Volume Data'!AF305*'Equity Price Data'!AI306</f>
        <v>19951.6</v>
      </c>
      <c r="AD305" s="30">
        <f>'Equity Volume Data'!AG305*'Equity Price Data'!AJ306</f>
        <v>14048.1</v>
      </c>
      <c r="AE305" s="30">
        <f>'Equity Volume Data'!AH305*'Equity Price Data'!AK306</f>
        <v>0</v>
      </c>
      <c r="AF305" s="30">
        <f>'Equity Volume Data'!AI305*'Equity Price Data'!AL306</f>
        <v>23525.8</v>
      </c>
      <c r="AG305" s="30">
        <f>'Equity Volume Data'!AJ305*'Equity Price Data'!AM306</f>
        <v>43845</v>
      </c>
      <c r="AH305" s="30">
        <f>'Equity Volume Data'!AK305*'Equity Price Data'!AN306</f>
        <v>37208</v>
      </c>
      <c r="AI305" s="30">
        <f>'Equity Volume Data'!AL305*'Equity Price Data'!AO306</f>
        <v>23087.75</v>
      </c>
      <c r="AJ305" s="30">
        <f>'Equity Volume Data'!AM305*'Equity Price Data'!AP306</f>
        <v>24146.2</v>
      </c>
      <c r="AK305" s="30">
        <f>'Equity Volume Data'!AN305*'Equity Price Data'!AQ306</f>
        <v>23523.97</v>
      </c>
      <c r="AL305" s="30">
        <f>'Equity Volume Data'!AO305*'Equity Price Data'!AR306</f>
        <v>47940.8</v>
      </c>
      <c r="AM305" s="30">
        <f>'Equity Volume Data'!AP305*'Equity Price Data'!AS306</f>
        <v>29307.6</v>
      </c>
      <c r="AN305" s="30">
        <f>'Equity Volume Data'!AQ305*'Equity Price Data'!AT306</f>
        <v>0</v>
      </c>
      <c r="AO305" s="30">
        <f>'Equity Volume Data'!AR305*'Equity Price Data'!AU306</f>
        <v>26217.8</v>
      </c>
      <c r="AP305" s="30">
        <f>'Equity Volume Data'!AS305*'Equity Price Data'!AV306</f>
        <v>22910</v>
      </c>
      <c r="AQ305" s="30">
        <f>'Equity Volume Data'!AT305*'Equity Price Data'!AW306</f>
        <v>16453.8</v>
      </c>
      <c r="AR305" s="30">
        <f>'Equity Volume Data'!AU305*'Equity Price Data'!AX306</f>
        <v>25739.55</v>
      </c>
      <c r="AS305" s="30">
        <f>'Equity Volume Data'!AV305*'Equity Price Data'!AY306</f>
        <v>61588.8</v>
      </c>
      <c r="AT305" s="30">
        <f>'Equity Volume Data'!AW305*'Equity Price Data'!AZ306</f>
        <v>14198</v>
      </c>
      <c r="AU305" s="30">
        <f>'Equity Volume Data'!AX305*'Equity Price Data'!BA306</f>
        <v>0</v>
      </c>
      <c r="AV305" s="30">
        <f>'Equity Volume Data'!AY305*'Equity Price Data'!BB306</f>
        <v>25456.34</v>
      </c>
      <c r="AW305" s="30">
        <f>'Equity Volume Data'!AZ305*'Equity Price Data'!BC306</f>
        <v>3457.2</v>
      </c>
      <c r="AX305" s="30">
        <f>'Equity Volume Data'!BA305*'Equity Price Data'!BD306</f>
        <v>0</v>
      </c>
      <c r="AY305" s="30">
        <f>'Equity Volume Data'!BB305*'Equity Price Data'!BE306</f>
        <v>63761.22</v>
      </c>
      <c r="AZ305" s="30">
        <f>'Equity Volume Data'!BC305*'Equity Price Data'!BF306</f>
        <v>10456.5</v>
      </c>
      <c r="BA305" s="30">
        <f>'Equity Volume Data'!BD305*'Equity Price Data'!BG306</f>
        <v>4523.9</v>
      </c>
      <c r="BB305" s="30">
        <f>'Equity Volume Data'!BE305*'Equity Price Data'!BH306</f>
        <v>12672</v>
      </c>
      <c r="BC305" s="30">
        <f>'Equity Volume Data'!BF305*'Equity Price Data'!BI306</f>
        <v>12142.56</v>
      </c>
      <c r="BD305" s="30">
        <f>'Equity Volume Data'!BG305*'Equity Price Data'!BJ306</f>
        <v>51456.54</v>
      </c>
      <c r="BE305" s="30">
        <f>'Equity Volume Data'!BH305*'Equity Price Data'!BK306</f>
        <v>10977.44</v>
      </c>
      <c r="BF305" s="30">
        <f>'Equity Volume Data'!BI305*'Equity Price Data'!BL306</f>
        <v>7310</v>
      </c>
      <c r="BG305" s="30">
        <f>'Equity Volume Data'!BJ305*'Equity Price Data'!BM306</f>
        <v>29940.6</v>
      </c>
      <c r="BH305" s="30">
        <f>'Equity Volume Data'!BK305*'Equity Price Data'!BN306</f>
        <v>0</v>
      </c>
      <c r="BI305" s="30">
        <f>'Equity Volume Data'!BL305*'Equity Price Data'!BO306</f>
        <v>36044.8</v>
      </c>
      <c r="BJ305" s="30">
        <f>'Equity Volume Data'!BM305*'Equity Price Data'!BP306</f>
        <v>19953</v>
      </c>
      <c r="BK305" s="30">
        <f>'Equity Volume Data'!BN305*'Equity Price Data'!BQ306</f>
        <v>90208.12</v>
      </c>
      <c r="BL305" s="30">
        <f>'Equity Volume Data'!BO305*'Equity Price Data'!BR306</f>
        <v>423</v>
      </c>
      <c r="BM305" s="30">
        <f>'Equity Volume Data'!BP305*'Equity Price Data'!BS306</f>
        <v>11160.48</v>
      </c>
      <c r="BN305" s="30">
        <f>'Equity Volume Data'!BQ305*'Equity Price Data'!BT306</f>
        <v>22473.52</v>
      </c>
      <c r="BO305" s="30">
        <f>'Equity Volume Data'!BR305*'Equity Price Data'!BU306</f>
        <v>28381</v>
      </c>
    </row>
    <row r="306">
      <c r="A306" s="25">
        <f>'Equity Price Data'!A307</f>
        <v>45869.66667</v>
      </c>
      <c r="B306" s="29">
        <f t="shared" si="1"/>
        <v>1424497.77</v>
      </c>
      <c r="C306" s="30">
        <f>'Equity Volume Data'!F306*'Equity Price Data'!I307</f>
        <v>4649.97</v>
      </c>
      <c r="D306" s="30">
        <f>'Equity Volume Data'!G306*'Equity Price Data'!J307</f>
        <v>60868.6</v>
      </c>
      <c r="E306" s="30">
        <f>'Equity Volume Data'!H306*'Equity Price Data'!K307</f>
        <v>15426.4</v>
      </c>
      <c r="F306" s="30">
        <f>'Equity Volume Data'!I306*'Equity Price Data'!L307</f>
        <v>53137.92</v>
      </c>
      <c r="G306" s="30">
        <f>'Equity Volume Data'!J306*'Equity Price Data'!M307</f>
        <v>14944.98</v>
      </c>
      <c r="H306" s="30">
        <f>'Equity Volume Data'!K306*'Equity Price Data'!N307</f>
        <v>19072.6</v>
      </c>
      <c r="I306" s="30">
        <f>'Equity Volume Data'!L306*'Equity Price Data'!O307</f>
        <v>19620</v>
      </c>
      <c r="J306" s="30">
        <f>'Equity Volume Data'!M306*'Equity Price Data'!P307</f>
        <v>48131.76</v>
      </c>
      <c r="K306" s="30">
        <f>'Equity Volume Data'!N306*'Equity Price Data'!Q307</f>
        <v>10134</v>
      </c>
      <c r="L306" s="30">
        <f>'Equity Volume Data'!O306*'Equity Price Data'!R307</f>
        <v>15488</v>
      </c>
      <c r="M306" s="30">
        <f>'Equity Volume Data'!P306*'Equity Price Data'!S307</f>
        <v>0</v>
      </c>
      <c r="N306" s="30">
        <f>'Equity Volume Data'!Q306*'Equity Price Data'!T307</f>
        <v>5489.6</v>
      </c>
      <c r="O306" s="30">
        <f>'Equity Volume Data'!R306*'Equity Price Data'!U307</f>
        <v>65703</v>
      </c>
      <c r="P306" s="30">
        <f>'Equity Volume Data'!S306*'Equity Price Data'!V307</f>
        <v>31245.81</v>
      </c>
      <c r="Q306" s="30">
        <f>'Equity Volume Data'!T306*'Equity Price Data'!W307</f>
        <v>22344</v>
      </c>
      <c r="R306" s="30">
        <f>'Equity Volume Data'!U306*'Equity Price Data'!X307</f>
        <v>12131.2</v>
      </c>
      <c r="S306" s="30">
        <f>'Equity Volume Data'!V306*'Equity Price Data'!Y307</f>
        <v>23529.44</v>
      </c>
      <c r="T306" s="30">
        <f>'Equity Volume Data'!W306*'Equity Price Data'!Z307</f>
        <v>11930</v>
      </c>
      <c r="U306" s="30">
        <f>'Equity Volume Data'!X306*'Equity Price Data'!AA307</f>
        <v>17922.96</v>
      </c>
      <c r="V306" s="30">
        <f>'Equity Volume Data'!Y306*'Equity Price Data'!AB307</f>
        <v>16663.5</v>
      </c>
      <c r="W306" s="30">
        <f>'Equity Volume Data'!Z306*'Equity Price Data'!AC307</f>
        <v>12174.36</v>
      </c>
      <c r="X306" s="30">
        <f>'Equity Volume Data'!AA306*'Equity Price Data'!AD307</f>
        <v>0</v>
      </c>
      <c r="Y306" s="30">
        <f>'Equity Volume Data'!AB306*'Equity Price Data'!AE307</f>
        <v>6021.73</v>
      </c>
      <c r="Z306" s="30">
        <f>'Equity Volume Data'!AC306*'Equity Price Data'!AF307</f>
        <v>13762.5</v>
      </c>
      <c r="AA306" s="30">
        <f>'Equity Volume Data'!AD306*'Equity Price Data'!AG307</f>
        <v>18978.8</v>
      </c>
      <c r="AB306" s="30">
        <f>'Equity Volume Data'!AE306*'Equity Price Data'!AH307</f>
        <v>13409.4</v>
      </c>
      <c r="AC306" s="30">
        <f>'Equity Volume Data'!AF306*'Equity Price Data'!AI307</f>
        <v>17735.6</v>
      </c>
      <c r="AD306" s="30">
        <f>'Equity Volume Data'!AG306*'Equity Price Data'!AJ307</f>
        <v>14022.45</v>
      </c>
      <c r="AE306" s="30">
        <f>'Equity Volume Data'!AH306*'Equity Price Data'!AK307</f>
        <v>0</v>
      </c>
      <c r="AF306" s="30">
        <f>'Equity Volume Data'!AI306*'Equity Price Data'!AL307</f>
        <v>23019.45</v>
      </c>
      <c r="AG306" s="30">
        <f>'Equity Volume Data'!AJ306*'Equity Price Data'!AM307</f>
        <v>43415.4</v>
      </c>
      <c r="AH306" s="30">
        <f>'Equity Volume Data'!AK306*'Equity Price Data'!AN307</f>
        <v>36751</v>
      </c>
      <c r="AI306" s="30">
        <f>'Equity Volume Data'!AL306*'Equity Price Data'!AO307</f>
        <v>23114</v>
      </c>
      <c r="AJ306" s="30">
        <f>'Equity Volume Data'!AM306*'Equity Price Data'!AP307</f>
        <v>24027.9</v>
      </c>
      <c r="AK306" s="30">
        <f>'Equity Volume Data'!AN306*'Equity Price Data'!AQ307</f>
        <v>22611.23</v>
      </c>
      <c r="AL306" s="30">
        <f>'Equity Volume Data'!AO306*'Equity Price Data'!AR307</f>
        <v>47398.4</v>
      </c>
      <c r="AM306" s="30">
        <f>'Equity Volume Data'!AP306*'Equity Price Data'!AS307</f>
        <v>29468.6</v>
      </c>
      <c r="AN306" s="30">
        <f>'Equity Volume Data'!AQ306*'Equity Price Data'!AT307</f>
        <v>0</v>
      </c>
      <c r="AO306" s="30">
        <f>'Equity Volume Data'!AR306*'Equity Price Data'!AU307</f>
        <v>26439.84</v>
      </c>
      <c r="AP306" s="30">
        <f>'Equity Volume Data'!AS306*'Equity Price Data'!AV307</f>
        <v>22560</v>
      </c>
      <c r="AQ306" s="30">
        <f>'Equity Volume Data'!AT306*'Equity Price Data'!AW307</f>
        <v>16709</v>
      </c>
      <c r="AR306" s="30">
        <f>'Equity Volume Data'!AU306*'Equity Price Data'!AX307</f>
        <v>26014.5</v>
      </c>
      <c r="AS306" s="30">
        <f>'Equity Volume Data'!AV306*'Equity Price Data'!AY307</f>
        <v>64020</v>
      </c>
      <c r="AT306" s="30">
        <f>'Equity Volume Data'!AW306*'Equity Price Data'!AZ307</f>
        <v>14212</v>
      </c>
      <c r="AU306" s="30">
        <f>'Equity Volume Data'!AX306*'Equity Price Data'!BA307</f>
        <v>0</v>
      </c>
      <c r="AV306" s="30">
        <f>'Equity Volume Data'!AY306*'Equity Price Data'!BB307</f>
        <v>25257.54</v>
      </c>
      <c r="AW306" s="30">
        <f>'Equity Volume Data'!AZ306*'Equity Price Data'!BC307</f>
        <v>3427.6</v>
      </c>
      <c r="AX306" s="30">
        <f>'Equity Volume Data'!BA306*'Equity Price Data'!BD307</f>
        <v>0</v>
      </c>
      <c r="AY306" s="30">
        <f>'Equity Volume Data'!BB306*'Equity Price Data'!BE307</f>
        <v>63656.7</v>
      </c>
      <c r="AZ306" s="30">
        <f>'Equity Volume Data'!BC306*'Equity Price Data'!BF307</f>
        <v>10314</v>
      </c>
      <c r="BA306" s="30">
        <f>'Equity Volume Data'!BD306*'Equity Price Data'!BG307</f>
        <v>4425.1</v>
      </c>
      <c r="BB306" s="30">
        <f>'Equity Volume Data'!BE306*'Equity Price Data'!BH307</f>
        <v>12605.6</v>
      </c>
      <c r="BC306" s="30">
        <f>'Equity Volume Data'!BF306*'Equity Price Data'!BI307</f>
        <v>12224.56</v>
      </c>
      <c r="BD306" s="30">
        <f>'Equity Volume Data'!BG306*'Equity Price Data'!BJ307</f>
        <v>50781.33</v>
      </c>
      <c r="BE306" s="30">
        <f>'Equity Volume Data'!BH306*'Equity Price Data'!BK307</f>
        <v>10756.64</v>
      </c>
      <c r="BF306" s="30">
        <f>'Equity Volume Data'!BI306*'Equity Price Data'!BL307</f>
        <v>7158.8</v>
      </c>
      <c r="BG306" s="30">
        <f>'Equity Volume Data'!BJ306*'Equity Price Data'!BM307</f>
        <v>33073.66</v>
      </c>
      <c r="BH306" s="30">
        <f>'Equity Volume Data'!BK306*'Equity Price Data'!BN307</f>
        <v>0</v>
      </c>
      <c r="BI306" s="30">
        <f>'Equity Volume Data'!BL306*'Equity Price Data'!BO307</f>
        <v>35515.2</v>
      </c>
      <c r="BJ306" s="30">
        <f>'Equity Volume Data'!BM306*'Equity Price Data'!BP307</f>
        <v>18717</v>
      </c>
      <c r="BK306" s="30">
        <f>'Equity Volume Data'!BN306*'Equity Price Data'!BQ307</f>
        <v>90100</v>
      </c>
      <c r="BL306" s="30">
        <f>'Equity Volume Data'!BO306*'Equity Price Data'!BR307</f>
        <v>410.78</v>
      </c>
      <c r="BM306" s="30">
        <f>'Equity Volume Data'!BP306*'Equity Price Data'!BS307</f>
        <v>10999.68</v>
      </c>
      <c r="BN306" s="30">
        <f>'Equity Volume Data'!BQ306*'Equity Price Data'!BT307</f>
        <v>22392.68</v>
      </c>
      <c r="BO306" s="30">
        <f>'Equity Volume Data'!BR306*'Equity Price Data'!BU307</f>
        <v>28381</v>
      </c>
    </row>
    <row r="307">
      <c r="A307" s="25">
        <f>'Equity Price Data'!A308</f>
        <v>45870.66667</v>
      </c>
      <c r="B307" s="29">
        <f t="shared" si="1"/>
        <v>1406368.12</v>
      </c>
      <c r="C307" s="30">
        <f>'Equity Volume Data'!F307*'Equity Price Data'!I308</f>
        <v>4521.4</v>
      </c>
      <c r="D307" s="30">
        <f>'Equity Volume Data'!G307*'Equity Price Data'!J308</f>
        <v>55835</v>
      </c>
      <c r="E307" s="30">
        <f>'Equity Volume Data'!H307*'Equity Price Data'!K308</f>
        <v>16029.2</v>
      </c>
      <c r="F307" s="30">
        <f>'Equity Volume Data'!I307*'Equity Price Data'!L308</f>
        <v>51809.28</v>
      </c>
      <c r="G307" s="30">
        <f>'Equity Volume Data'!J307*'Equity Price Data'!M308</f>
        <v>14939.17</v>
      </c>
      <c r="H307" s="30">
        <f>'Equity Volume Data'!K307*'Equity Price Data'!N308</f>
        <v>18764.28</v>
      </c>
      <c r="I307" s="30">
        <f>'Equity Volume Data'!L307*'Equity Price Data'!O308</f>
        <v>19100</v>
      </c>
      <c r="J307" s="30">
        <f>'Equity Volume Data'!M307*'Equity Price Data'!P308</f>
        <v>48229.68</v>
      </c>
      <c r="K307" s="30">
        <f>'Equity Volume Data'!N307*'Equity Price Data'!Q308</f>
        <v>10146</v>
      </c>
      <c r="L307" s="30">
        <f>'Equity Volume Data'!O307*'Equity Price Data'!R308</f>
        <v>15965.95</v>
      </c>
      <c r="M307" s="30">
        <f>'Equity Volume Data'!P307*'Equity Price Data'!S308</f>
        <v>0</v>
      </c>
      <c r="N307" s="30">
        <f>'Equity Volume Data'!Q307*'Equity Price Data'!T308</f>
        <v>5353.6</v>
      </c>
      <c r="O307" s="30">
        <f>'Equity Volume Data'!R307*'Equity Price Data'!U308</f>
        <v>64303.5</v>
      </c>
      <c r="P307" s="30">
        <f>'Equity Volume Data'!S307*'Equity Price Data'!V308</f>
        <v>30411.81</v>
      </c>
      <c r="Q307" s="30">
        <f>'Equity Volume Data'!T307*'Equity Price Data'!W308</f>
        <v>22629.6</v>
      </c>
      <c r="R307" s="30">
        <f>'Equity Volume Data'!U307*'Equity Price Data'!X308</f>
        <v>12112</v>
      </c>
      <c r="S307" s="30">
        <f>'Equity Volume Data'!V307*'Equity Price Data'!Y308</f>
        <v>23076.24</v>
      </c>
      <c r="T307" s="30">
        <f>'Equity Volume Data'!W307*'Equity Price Data'!Z308</f>
        <v>11705</v>
      </c>
      <c r="U307" s="30">
        <f>'Equity Volume Data'!X307*'Equity Price Data'!AA308</f>
        <v>18179.04</v>
      </c>
      <c r="V307" s="30">
        <f>'Equity Volume Data'!Y307*'Equity Price Data'!AB308</f>
        <v>16814.84</v>
      </c>
      <c r="W307" s="30">
        <f>'Equity Volume Data'!Z307*'Equity Price Data'!AC308</f>
        <v>11882.49</v>
      </c>
      <c r="X307" s="30">
        <f>'Equity Volume Data'!AA307*'Equity Price Data'!AD308</f>
        <v>0</v>
      </c>
      <c r="Y307" s="30">
        <f>'Equity Volume Data'!AB307*'Equity Price Data'!AE308</f>
        <v>6060.21</v>
      </c>
      <c r="Z307" s="30">
        <f>'Equity Volume Data'!AC307*'Equity Price Data'!AF308</f>
        <v>13761</v>
      </c>
      <c r="AA307" s="30">
        <f>'Equity Volume Data'!AD307*'Equity Price Data'!AG308</f>
        <v>18638.8</v>
      </c>
      <c r="AB307" s="30">
        <f>'Equity Volume Data'!AE307*'Equity Price Data'!AH308</f>
        <v>13026</v>
      </c>
      <c r="AC307" s="30">
        <f>'Equity Volume Data'!AF307*'Equity Price Data'!AI308</f>
        <v>17449.6</v>
      </c>
      <c r="AD307" s="30">
        <f>'Equity Volume Data'!AG307*'Equity Price Data'!AJ308</f>
        <v>13983.3</v>
      </c>
      <c r="AE307" s="30">
        <f>'Equity Volume Data'!AH307*'Equity Price Data'!AK308</f>
        <v>0</v>
      </c>
      <c r="AF307" s="30">
        <f>'Equity Volume Data'!AI307*'Equity Price Data'!AL308</f>
        <v>23201.9</v>
      </c>
      <c r="AG307" s="30">
        <f>'Equity Volume Data'!AJ307*'Equity Price Data'!AM308</f>
        <v>42574.2</v>
      </c>
      <c r="AH307" s="30">
        <f>'Equity Volume Data'!AK307*'Equity Price Data'!AN308</f>
        <v>37366</v>
      </c>
      <c r="AI307" s="30">
        <f>'Equity Volume Data'!AL307*'Equity Price Data'!AO308</f>
        <v>21346.5</v>
      </c>
      <c r="AJ307" s="30">
        <f>'Equity Volume Data'!AM307*'Equity Price Data'!AP308</f>
        <v>23998</v>
      </c>
      <c r="AK307" s="30">
        <f>'Equity Volume Data'!AN307*'Equity Price Data'!AQ308</f>
        <v>22706.64</v>
      </c>
      <c r="AL307" s="30">
        <f>'Equity Volume Data'!AO307*'Equity Price Data'!AR308</f>
        <v>46299.2</v>
      </c>
      <c r="AM307" s="30">
        <f>'Equity Volume Data'!AP307*'Equity Price Data'!AS308</f>
        <v>29470.7</v>
      </c>
      <c r="AN307" s="30">
        <f>'Equity Volume Data'!AQ307*'Equity Price Data'!AT308</f>
        <v>0</v>
      </c>
      <c r="AO307" s="30">
        <f>'Equity Volume Data'!AR307*'Equity Price Data'!AU308</f>
        <v>26004.3</v>
      </c>
      <c r="AP307" s="30">
        <f>'Equity Volume Data'!AS307*'Equity Price Data'!AV308</f>
        <v>22335</v>
      </c>
      <c r="AQ307" s="30">
        <f>'Equity Volume Data'!AT307*'Equity Price Data'!AW308</f>
        <v>16282.2</v>
      </c>
      <c r="AR307" s="30">
        <f>'Equity Volume Data'!AU307*'Equity Price Data'!AX308</f>
        <v>26940.87</v>
      </c>
      <c r="AS307" s="30">
        <f>'Equity Volume Data'!AV307*'Equity Price Data'!AY308</f>
        <v>62893.2</v>
      </c>
      <c r="AT307" s="30">
        <f>'Equity Volume Data'!AW307*'Equity Price Data'!AZ308</f>
        <v>14080</v>
      </c>
      <c r="AU307" s="30">
        <f>'Equity Volume Data'!AX307*'Equity Price Data'!BA308</f>
        <v>0</v>
      </c>
      <c r="AV307" s="30">
        <f>'Equity Volume Data'!AY307*'Equity Price Data'!BB308</f>
        <v>24668.24</v>
      </c>
      <c r="AW307" s="30">
        <f>'Equity Volume Data'!AZ307*'Equity Price Data'!BC308</f>
        <v>3397.2</v>
      </c>
      <c r="AX307" s="30">
        <f>'Equity Volume Data'!BA307*'Equity Price Data'!BD308</f>
        <v>0</v>
      </c>
      <c r="AY307" s="30">
        <f>'Equity Volume Data'!BB307*'Equity Price Data'!BE308</f>
        <v>62016.54</v>
      </c>
      <c r="AZ307" s="30">
        <f>'Equity Volume Data'!BC307*'Equity Price Data'!BF308</f>
        <v>10066.5</v>
      </c>
      <c r="BA307" s="30">
        <f>'Equity Volume Data'!BD307*'Equity Price Data'!BG308</f>
        <v>4463.1</v>
      </c>
      <c r="BB307" s="30">
        <f>'Equity Volume Data'!BE307*'Equity Price Data'!BH308</f>
        <v>12544.8</v>
      </c>
      <c r="BC307" s="30">
        <f>'Equity Volume Data'!BF307*'Equity Price Data'!BI308</f>
        <v>12014.64</v>
      </c>
      <c r="BD307" s="30">
        <f>'Equity Volume Data'!BG307*'Equity Price Data'!BJ308</f>
        <v>50523.6</v>
      </c>
      <c r="BE307" s="30">
        <f>'Equity Volume Data'!BH307*'Equity Price Data'!BK308</f>
        <v>10649.92</v>
      </c>
      <c r="BF307" s="30">
        <f>'Equity Volume Data'!BI307*'Equity Price Data'!BL308</f>
        <v>7187.6</v>
      </c>
      <c r="BG307" s="30">
        <f>'Equity Volume Data'!BJ307*'Equity Price Data'!BM308</f>
        <v>33512.9</v>
      </c>
      <c r="BH307" s="30">
        <f>'Equity Volume Data'!BK307*'Equity Price Data'!BN308</f>
        <v>0</v>
      </c>
      <c r="BI307" s="30">
        <f>'Equity Volume Data'!BL307*'Equity Price Data'!BO308</f>
        <v>35104</v>
      </c>
      <c r="BJ307" s="30">
        <f>'Equity Volume Data'!BM307*'Equity Price Data'!BP308</f>
        <v>17832.75</v>
      </c>
      <c r="BK307" s="30">
        <f>'Equity Volume Data'!BN307*'Equity Price Data'!BQ308</f>
        <v>90460.4</v>
      </c>
      <c r="BL307" s="30">
        <f>'Equity Volume Data'!BO307*'Equity Price Data'!BR308</f>
        <v>414.07</v>
      </c>
      <c r="BM307" s="30">
        <f>'Equity Volume Data'!BP307*'Equity Price Data'!BS308</f>
        <v>10986.24</v>
      </c>
      <c r="BN307" s="30">
        <f>'Equity Volume Data'!BQ307*'Equity Price Data'!BT308</f>
        <v>21918.92</v>
      </c>
      <c r="BO307" s="30">
        <f>'Equity Volume Data'!BR307*'Equity Price Data'!BU308</f>
        <v>28381</v>
      </c>
    </row>
    <row r="308">
      <c r="A308" s="25">
        <f>'Equity Price Data'!A309</f>
        <v>45873.66667</v>
      </c>
      <c r="B308" s="29">
        <f t="shared" si="1"/>
        <v>1429561.46</v>
      </c>
      <c r="C308" s="30">
        <f>'Equity Volume Data'!F308*'Equity Price Data'!I309</f>
        <v>4405.05</v>
      </c>
      <c r="D308" s="30">
        <f>'Equity Volume Data'!G308*'Equity Price Data'!J309</f>
        <v>55029</v>
      </c>
      <c r="E308" s="30">
        <f>'Equity Volume Data'!H308*'Equity Price Data'!K309</f>
        <v>16170</v>
      </c>
      <c r="F308" s="30">
        <f>'Equity Volume Data'!I308*'Equity Price Data'!L309</f>
        <v>52057.6</v>
      </c>
      <c r="G308" s="30">
        <f>'Equity Volume Data'!J308*'Equity Price Data'!M309</f>
        <v>15174.06</v>
      </c>
      <c r="H308" s="30">
        <f>'Equity Volume Data'!K308*'Equity Price Data'!N309</f>
        <v>19065.08</v>
      </c>
      <c r="I308" s="30">
        <f>'Equity Volume Data'!L308*'Equity Price Data'!O309</f>
        <v>19320</v>
      </c>
      <c r="J308" s="30">
        <f>'Equity Volume Data'!M308*'Equity Price Data'!P309</f>
        <v>46829.22</v>
      </c>
      <c r="K308" s="30">
        <f>'Equity Volume Data'!N308*'Equity Price Data'!Q309</f>
        <v>10326</v>
      </c>
      <c r="L308" s="30">
        <f>'Equity Volume Data'!O308*'Equity Price Data'!R309</f>
        <v>15996.2</v>
      </c>
      <c r="M308" s="30">
        <f>'Equity Volume Data'!P308*'Equity Price Data'!S309</f>
        <v>0</v>
      </c>
      <c r="N308" s="30">
        <f>'Equity Volume Data'!Q308*'Equity Price Data'!T309</f>
        <v>5323.2</v>
      </c>
      <c r="O308" s="30">
        <f>'Equity Volume Data'!R308*'Equity Price Data'!U309</f>
        <v>65055</v>
      </c>
      <c r="P308" s="30">
        <f>'Equity Volume Data'!S308*'Equity Price Data'!V309</f>
        <v>31383.42</v>
      </c>
      <c r="Q308" s="30">
        <f>'Equity Volume Data'!T308*'Equity Price Data'!W309</f>
        <v>23131.2</v>
      </c>
      <c r="R308" s="30">
        <f>'Equity Volume Data'!U308*'Equity Price Data'!X309</f>
        <v>12083.2</v>
      </c>
      <c r="S308" s="30">
        <f>'Equity Volume Data'!V308*'Equity Price Data'!Y309</f>
        <v>23459.92</v>
      </c>
      <c r="T308" s="30">
        <f>'Equity Volume Data'!W308*'Equity Price Data'!Z309</f>
        <v>11895</v>
      </c>
      <c r="U308" s="30">
        <f>'Equity Volume Data'!X308*'Equity Price Data'!AA309</f>
        <v>18205.44</v>
      </c>
      <c r="V308" s="30">
        <f>'Equity Volume Data'!Y308*'Equity Price Data'!AB309</f>
        <v>16962.96</v>
      </c>
      <c r="W308" s="30">
        <f>'Equity Volume Data'!Z308*'Equity Price Data'!AC309</f>
        <v>11930.79</v>
      </c>
      <c r="X308" s="30">
        <f>'Equity Volume Data'!AA308*'Equity Price Data'!AD309</f>
        <v>0</v>
      </c>
      <c r="Y308" s="30">
        <f>'Equity Volume Data'!AB308*'Equity Price Data'!AE309</f>
        <v>6083.74</v>
      </c>
      <c r="Z308" s="30">
        <f>'Equity Volume Data'!AC308*'Equity Price Data'!AF309</f>
        <v>13929</v>
      </c>
      <c r="AA308" s="30">
        <f>'Equity Volume Data'!AD308*'Equity Price Data'!AG309</f>
        <v>18252.9</v>
      </c>
      <c r="AB308" s="30">
        <f>'Equity Volume Data'!AE308*'Equity Price Data'!AH309</f>
        <v>13049.4</v>
      </c>
      <c r="AC308" s="30">
        <f>'Equity Volume Data'!AF308*'Equity Price Data'!AI309</f>
        <v>17532.8</v>
      </c>
      <c r="AD308" s="30">
        <f>'Equity Volume Data'!AG308*'Equity Price Data'!AJ309</f>
        <v>14075.1</v>
      </c>
      <c r="AE308" s="30">
        <f>'Equity Volume Data'!AH308*'Equity Price Data'!AK309</f>
        <v>0</v>
      </c>
      <c r="AF308" s="30">
        <f>'Equity Volume Data'!AI308*'Equity Price Data'!AL309</f>
        <v>23474.55</v>
      </c>
      <c r="AG308" s="30">
        <f>'Equity Volume Data'!AJ308*'Equity Price Data'!AM309</f>
        <v>43561.8</v>
      </c>
      <c r="AH308" s="30">
        <f>'Equity Volume Data'!AK308*'Equity Price Data'!AN309</f>
        <v>38082</v>
      </c>
      <c r="AI308" s="30">
        <f>'Equity Volume Data'!AL308*'Equity Price Data'!AO309</f>
        <v>22146.25</v>
      </c>
      <c r="AJ308" s="30">
        <f>'Equity Volume Data'!AM308*'Equity Price Data'!AP309</f>
        <v>24498.5</v>
      </c>
      <c r="AK308" s="30">
        <f>'Equity Volume Data'!AN308*'Equity Price Data'!AQ309</f>
        <v>22717.92</v>
      </c>
      <c r="AL308" s="30">
        <f>'Equity Volume Data'!AO308*'Equity Price Data'!AR309</f>
        <v>47081.6</v>
      </c>
      <c r="AM308" s="30">
        <f>'Equity Volume Data'!AP308*'Equity Price Data'!AS309</f>
        <v>29659</v>
      </c>
      <c r="AN308" s="30">
        <f>'Equity Volume Data'!AQ308*'Equity Price Data'!AT309</f>
        <v>0</v>
      </c>
      <c r="AO308" s="30">
        <f>'Equity Volume Data'!AR308*'Equity Price Data'!AU309</f>
        <v>26362.98</v>
      </c>
      <c r="AP308" s="30">
        <f>'Equity Volume Data'!AS308*'Equity Price Data'!AV309</f>
        <v>22410</v>
      </c>
      <c r="AQ308" s="30">
        <f>'Equity Volume Data'!AT308*'Equity Price Data'!AW309</f>
        <v>16462.6</v>
      </c>
      <c r="AR308" s="30">
        <f>'Equity Volume Data'!AU308*'Equity Price Data'!AX309</f>
        <v>27672.66</v>
      </c>
      <c r="AS308" s="30">
        <f>'Equity Volume Data'!AV308*'Equity Price Data'!AY309</f>
        <v>64276.8</v>
      </c>
      <c r="AT308" s="30">
        <f>'Equity Volume Data'!AW308*'Equity Price Data'!AZ309</f>
        <v>14106</v>
      </c>
      <c r="AU308" s="30">
        <f>'Equity Volume Data'!AX308*'Equity Price Data'!BA309</f>
        <v>0</v>
      </c>
      <c r="AV308" s="30">
        <f>'Equity Volume Data'!AY308*'Equity Price Data'!BB309</f>
        <v>25560</v>
      </c>
      <c r="AW308" s="30">
        <f>'Equity Volume Data'!AZ308*'Equity Price Data'!BC309</f>
        <v>3416.4</v>
      </c>
      <c r="AX308" s="30">
        <f>'Equity Volume Data'!BA308*'Equity Price Data'!BD309</f>
        <v>0</v>
      </c>
      <c r="AY308" s="30">
        <f>'Equity Volume Data'!BB308*'Equity Price Data'!BE309</f>
        <v>64585.32</v>
      </c>
      <c r="AZ308" s="30">
        <f>'Equity Volume Data'!BC308*'Equity Price Data'!BF309</f>
        <v>10201.5</v>
      </c>
      <c r="BA308" s="30">
        <f>'Equity Volume Data'!BD308*'Equity Price Data'!BG309</f>
        <v>4470.7</v>
      </c>
      <c r="BB308" s="30">
        <f>'Equity Volume Data'!BE308*'Equity Price Data'!BH309</f>
        <v>12590.4</v>
      </c>
      <c r="BC308" s="30">
        <f>'Equity Volume Data'!BF308*'Equity Price Data'!BI309</f>
        <v>12195.04</v>
      </c>
      <c r="BD308" s="30">
        <f>'Equity Volume Data'!BG308*'Equity Price Data'!BJ309</f>
        <v>51335.13</v>
      </c>
      <c r="BE308" s="30">
        <f>'Equity Volume Data'!BH308*'Equity Price Data'!BK309</f>
        <v>10731.11</v>
      </c>
      <c r="BF308" s="30">
        <f>'Equity Volume Data'!BI308*'Equity Price Data'!BL309</f>
        <v>7292.4</v>
      </c>
      <c r="BG308" s="30">
        <f>'Equity Volume Data'!BJ308*'Equity Price Data'!BM309</f>
        <v>35723</v>
      </c>
      <c r="BH308" s="30">
        <f>'Equity Volume Data'!BK308*'Equity Price Data'!BN309</f>
        <v>0</v>
      </c>
      <c r="BI308" s="30">
        <f>'Equity Volume Data'!BL308*'Equity Price Data'!BO309</f>
        <v>35529.6</v>
      </c>
      <c r="BJ308" s="30">
        <f>'Equity Volume Data'!BM308*'Equity Price Data'!BP309</f>
        <v>18073.5</v>
      </c>
      <c r="BK308" s="30">
        <f>'Equity Volume Data'!BN308*'Equity Price Data'!BQ309</f>
        <v>90568.52</v>
      </c>
      <c r="BL308" s="30">
        <f>'Equity Volume Data'!BO308*'Equity Price Data'!BR309</f>
        <v>420.18</v>
      </c>
      <c r="BM308" s="30">
        <f>'Equity Volume Data'!BP308*'Equity Price Data'!BS309</f>
        <v>11065.92</v>
      </c>
      <c r="BN308" s="30">
        <f>'Equity Volume Data'!BQ308*'Equity Price Data'!BT309</f>
        <v>22437.8</v>
      </c>
      <c r="BO308" s="30">
        <f>'Equity Volume Data'!BR308*'Equity Price Data'!BU309</f>
        <v>34127</v>
      </c>
    </row>
    <row r="309">
      <c r="A309" s="25">
        <f>'Equity Price Data'!A310</f>
        <v>45874.66667</v>
      </c>
      <c r="B309" s="29">
        <f t="shared" si="1"/>
        <v>1433573.76</v>
      </c>
      <c r="C309" s="30">
        <f>'Equity Volume Data'!F309*'Equity Price Data'!I310</f>
        <v>4403.62</v>
      </c>
      <c r="D309" s="30">
        <f>'Equity Volume Data'!G309*'Equity Price Data'!J310</f>
        <v>55575</v>
      </c>
      <c r="E309" s="30">
        <f>'Equity Volume Data'!H309*'Equity Price Data'!K310</f>
        <v>15565</v>
      </c>
      <c r="F309" s="30">
        <f>'Equity Volume Data'!I309*'Equity Price Data'!L310</f>
        <v>51947.52</v>
      </c>
      <c r="G309" s="30">
        <f>'Equity Volume Data'!J309*'Equity Price Data'!M310</f>
        <v>14869.45</v>
      </c>
      <c r="H309" s="30">
        <f>'Equity Volume Data'!K309*'Equity Price Data'!N310</f>
        <v>18924.08</v>
      </c>
      <c r="I309" s="30">
        <f>'Equity Volume Data'!L309*'Equity Price Data'!O310</f>
        <v>19390</v>
      </c>
      <c r="J309" s="30">
        <f>'Equity Volume Data'!M309*'Equity Price Data'!P310</f>
        <v>47347.38</v>
      </c>
      <c r="K309" s="30">
        <f>'Equity Volume Data'!N309*'Equity Price Data'!Q310</f>
        <v>10226</v>
      </c>
      <c r="L309" s="30">
        <f>'Equity Volume Data'!O309*'Equity Price Data'!R310</f>
        <v>16079.69</v>
      </c>
      <c r="M309" s="30">
        <f>'Equity Volume Data'!P309*'Equity Price Data'!S310</f>
        <v>0</v>
      </c>
      <c r="N309" s="30">
        <f>'Equity Volume Data'!Q309*'Equity Price Data'!T310</f>
        <v>5310.4</v>
      </c>
      <c r="O309" s="30">
        <f>'Equity Volume Data'!R309*'Equity Price Data'!U310</f>
        <v>65134.5</v>
      </c>
      <c r="P309" s="30">
        <f>'Equity Volume Data'!S309*'Equity Price Data'!V310</f>
        <v>31104.03</v>
      </c>
      <c r="Q309" s="30">
        <f>'Equity Volume Data'!T309*'Equity Price Data'!W310</f>
        <v>22668</v>
      </c>
      <c r="R309" s="30">
        <f>'Equity Volume Data'!U309*'Equity Price Data'!X310</f>
        <v>12243.2</v>
      </c>
      <c r="S309" s="30">
        <f>'Equity Volume Data'!V309*'Equity Price Data'!Y310</f>
        <v>23825.12</v>
      </c>
      <c r="T309" s="30">
        <f>'Equity Volume Data'!W309*'Equity Price Data'!Z310</f>
        <v>11825</v>
      </c>
      <c r="U309" s="30">
        <f>'Equity Volume Data'!X309*'Equity Price Data'!AA310</f>
        <v>18229.2</v>
      </c>
      <c r="V309" s="30">
        <f>'Equity Volume Data'!Y309*'Equity Price Data'!AB310</f>
        <v>16772.98</v>
      </c>
      <c r="W309" s="30">
        <f>'Equity Volume Data'!Z309*'Equity Price Data'!AC310</f>
        <v>11879.73</v>
      </c>
      <c r="X309" s="30">
        <f>'Equity Volume Data'!AA309*'Equity Price Data'!AD310</f>
        <v>0</v>
      </c>
      <c r="Y309" s="30">
        <f>'Equity Volume Data'!AB309*'Equity Price Data'!AE310</f>
        <v>5812.69</v>
      </c>
      <c r="Z309" s="30">
        <f>'Equity Volume Data'!AC309*'Equity Price Data'!AF310</f>
        <v>13692</v>
      </c>
      <c r="AA309" s="30">
        <f>'Equity Volume Data'!AD309*'Equity Price Data'!AG310</f>
        <v>18230.8</v>
      </c>
      <c r="AB309" s="30">
        <f>'Equity Volume Data'!AE309*'Equity Price Data'!AH310</f>
        <v>13344.6</v>
      </c>
      <c r="AC309" s="30">
        <f>'Equity Volume Data'!AF309*'Equity Price Data'!AI310</f>
        <v>17671.6</v>
      </c>
      <c r="AD309" s="30">
        <f>'Equity Volume Data'!AG309*'Equity Price Data'!AJ310</f>
        <v>14119.2</v>
      </c>
      <c r="AE309" s="30">
        <f>'Equity Volume Data'!AH309*'Equity Price Data'!AK310</f>
        <v>0</v>
      </c>
      <c r="AF309" s="30">
        <f>'Equity Volume Data'!AI309*'Equity Price Data'!AL310</f>
        <v>23054.3</v>
      </c>
      <c r="AG309" s="30">
        <f>'Equity Volume Data'!AJ309*'Equity Price Data'!AM310</f>
        <v>43254.6</v>
      </c>
      <c r="AH309" s="30">
        <f>'Equity Volume Data'!AK309*'Equity Price Data'!AN310</f>
        <v>38541</v>
      </c>
      <c r="AI309" s="30">
        <f>'Equity Volume Data'!AL309*'Equity Price Data'!AO310</f>
        <v>22380.75</v>
      </c>
      <c r="AJ309" s="30">
        <f>'Equity Volume Data'!AM309*'Equity Price Data'!AP310</f>
        <v>24362</v>
      </c>
      <c r="AK309" s="30">
        <f>'Equity Volume Data'!AN309*'Equity Price Data'!AQ310</f>
        <v>22419</v>
      </c>
      <c r="AL309" s="30">
        <f>'Equity Volume Data'!AO309*'Equity Price Data'!AR310</f>
        <v>46619.2</v>
      </c>
      <c r="AM309" s="30">
        <f>'Equity Volume Data'!AP309*'Equity Price Data'!AS310</f>
        <v>29976.8</v>
      </c>
      <c r="AN309" s="30">
        <f>'Equity Volume Data'!AQ309*'Equity Price Data'!AT310</f>
        <v>0</v>
      </c>
      <c r="AO309" s="30">
        <f>'Equity Volume Data'!AR309*'Equity Price Data'!AU310</f>
        <v>26320.28</v>
      </c>
      <c r="AP309" s="30">
        <f>'Equity Volume Data'!AS309*'Equity Price Data'!AV310</f>
        <v>22417.5</v>
      </c>
      <c r="AQ309" s="30">
        <f>'Equity Volume Data'!AT309*'Equity Price Data'!AW310</f>
        <v>16475.8</v>
      </c>
      <c r="AR309" s="30">
        <f>'Equity Volume Data'!AU309*'Equity Price Data'!AX310</f>
        <v>28928.97</v>
      </c>
      <c r="AS309" s="30">
        <f>'Equity Volume Data'!AV309*'Equity Price Data'!AY310</f>
        <v>63330</v>
      </c>
      <c r="AT309" s="30">
        <f>'Equity Volume Data'!AW309*'Equity Price Data'!AZ310</f>
        <v>14236</v>
      </c>
      <c r="AU309" s="30">
        <f>'Equity Volume Data'!AX309*'Equity Price Data'!BA310</f>
        <v>0</v>
      </c>
      <c r="AV309" s="30">
        <f>'Equity Volume Data'!AY309*'Equity Price Data'!BB310</f>
        <v>25312.92</v>
      </c>
      <c r="AW309" s="30">
        <f>'Equity Volume Data'!AZ309*'Equity Price Data'!BC310</f>
        <v>3451.2</v>
      </c>
      <c r="AX309" s="30">
        <f>'Equity Volume Data'!BA309*'Equity Price Data'!BD310</f>
        <v>0</v>
      </c>
      <c r="AY309" s="30">
        <f>'Equity Volume Data'!BB309*'Equity Price Data'!BE310</f>
        <v>69654.54</v>
      </c>
      <c r="AZ309" s="30">
        <f>'Equity Volume Data'!BC309*'Equity Price Data'!BF310</f>
        <v>10174.5</v>
      </c>
      <c r="BA309" s="30">
        <f>'Equity Volume Data'!BD309*'Equity Price Data'!BG310</f>
        <v>4702.5</v>
      </c>
      <c r="BB309" s="30">
        <f>'Equity Volume Data'!BE309*'Equity Price Data'!BH310</f>
        <v>12506.4</v>
      </c>
      <c r="BC309" s="30">
        <f>'Equity Volume Data'!BF309*'Equity Price Data'!BI310</f>
        <v>12591.92</v>
      </c>
      <c r="BD309" s="30">
        <f>'Equity Volume Data'!BG309*'Equity Price Data'!BJ310</f>
        <v>50892.09</v>
      </c>
      <c r="BE309" s="30">
        <f>'Equity Volume Data'!BH309*'Equity Price Data'!BK310</f>
        <v>10727.66</v>
      </c>
      <c r="BF309" s="30">
        <f>'Equity Volume Data'!BI309*'Equity Price Data'!BL310</f>
        <v>7260</v>
      </c>
      <c r="BG309" s="30">
        <f>'Equity Volume Data'!BJ309*'Equity Price Data'!BM310</f>
        <v>34955.72</v>
      </c>
      <c r="BH309" s="30">
        <f>'Equity Volume Data'!BK309*'Equity Price Data'!BN310</f>
        <v>0</v>
      </c>
      <c r="BI309" s="30">
        <f>'Equity Volume Data'!BL309*'Equity Price Data'!BO310</f>
        <v>35675.2</v>
      </c>
      <c r="BJ309" s="30">
        <f>'Equity Volume Data'!BM309*'Equity Price Data'!BP310</f>
        <v>18825</v>
      </c>
      <c r="BK309" s="30">
        <f>'Equity Volume Data'!BN309*'Equity Price Data'!BQ310</f>
        <v>90514.46</v>
      </c>
      <c r="BL309" s="30">
        <f>'Equity Volume Data'!BO309*'Equity Price Data'!BR310</f>
        <v>422.06</v>
      </c>
      <c r="BM309" s="30">
        <f>'Equity Volume Data'!BP309*'Equity Price Data'!BS310</f>
        <v>11029.44</v>
      </c>
      <c r="BN309" s="30">
        <f>'Equity Volume Data'!BQ309*'Equity Price Data'!BT310</f>
        <v>22244.16</v>
      </c>
      <c r="BO309" s="30">
        <f>'Equity Volume Data'!BR309*'Equity Price Data'!BU310</f>
        <v>34127</v>
      </c>
    </row>
    <row r="310">
      <c r="A310" s="25">
        <f>'Equity Price Data'!A311</f>
        <v>45875.66667</v>
      </c>
      <c r="B310" s="29">
        <f t="shared" si="1"/>
        <v>1438661.85</v>
      </c>
      <c r="C310" s="30">
        <f>'Equity Volume Data'!F310*'Equity Price Data'!I311</f>
        <v>4493.06</v>
      </c>
      <c r="D310" s="30">
        <f>'Equity Volume Data'!G310*'Equity Price Data'!J311</f>
        <v>57800.6</v>
      </c>
      <c r="E310" s="30">
        <f>'Equity Volume Data'!H310*'Equity Price Data'!K311</f>
        <v>15610.1</v>
      </c>
      <c r="F310" s="30">
        <f>'Equity Volume Data'!I310*'Equity Price Data'!L311</f>
        <v>54592</v>
      </c>
      <c r="G310" s="30">
        <f>'Equity Volume Data'!J310*'Equity Price Data'!M311</f>
        <v>14785.62</v>
      </c>
      <c r="H310" s="30">
        <f>'Equity Volume Data'!K310*'Equity Price Data'!N311</f>
        <v>19230.52</v>
      </c>
      <c r="I310" s="30">
        <f>'Equity Volume Data'!L310*'Equity Price Data'!O311</f>
        <v>19560</v>
      </c>
      <c r="J310" s="30">
        <f>'Equity Volume Data'!M310*'Equity Price Data'!P311</f>
        <v>47828.82</v>
      </c>
      <c r="K310" s="30">
        <f>'Equity Volume Data'!N310*'Equity Price Data'!Q311</f>
        <v>10308</v>
      </c>
      <c r="L310" s="30">
        <f>'Equity Volume Data'!O310*'Equity Price Data'!R311</f>
        <v>15650.14</v>
      </c>
      <c r="M310" s="30">
        <f>'Equity Volume Data'!P310*'Equity Price Data'!S311</f>
        <v>0</v>
      </c>
      <c r="N310" s="30">
        <f>'Equity Volume Data'!Q310*'Equity Price Data'!T311</f>
        <v>5288.8</v>
      </c>
      <c r="O310" s="30">
        <f>'Equity Volume Data'!R310*'Equity Price Data'!U311</f>
        <v>64158</v>
      </c>
      <c r="P310" s="30">
        <f>'Equity Volume Data'!S310*'Equity Price Data'!V311</f>
        <v>31921.35</v>
      </c>
      <c r="Q310" s="30">
        <f>'Equity Volume Data'!T310*'Equity Price Data'!W311</f>
        <v>22585.2</v>
      </c>
      <c r="R310" s="30">
        <f>'Equity Volume Data'!U310*'Equity Price Data'!X311</f>
        <v>12222.4</v>
      </c>
      <c r="S310" s="30">
        <f>'Equity Volume Data'!V310*'Equity Price Data'!Y311</f>
        <v>23756.48</v>
      </c>
      <c r="T310" s="30">
        <f>'Equity Volume Data'!W310*'Equity Price Data'!Z311</f>
        <v>11732.5</v>
      </c>
      <c r="U310" s="30">
        <f>'Equity Volume Data'!X310*'Equity Price Data'!AA311</f>
        <v>18350.64</v>
      </c>
      <c r="V310" s="30">
        <f>'Equity Volume Data'!Y310*'Equity Price Data'!AB311</f>
        <v>16768.15</v>
      </c>
      <c r="W310" s="30">
        <f>'Equity Volume Data'!Z310*'Equity Price Data'!AC311</f>
        <v>11694.81</v>
      </c>
      <c r="X310" s="30">
        <f>'Equity Volume Data'!AA310*'Equity Price Data'!AD311</f>
        <v>0</v>
      </c>
      <c r="Y310" s="30">
        <f>'Equity Volume Data'!AB310*'Equity Price Data'!AE311</f>
        <v>5769.14</v>
      </c>
      <c r="Z310" s="30">
        <f>'Equity Volume Data'!AC310*'Equity Price Data'!AF311</f>
        <v>13881</v>
      </c>
      <c r="AA310" s="30">
        <f>'Equity Volume Data'!AD310*'Equity Price Data'!AG311</f>
        <v>18106.7</v>
      </c>
      <c r="AB310" s="30">
        <f>'Equity Volume Data'!AE310*'Equity Price Data'!AH311</f>
        <v>13587</v>
      </c>
      <c r="AC310" s="30">
        <f>'Equity Volume Data'!AF310*'Equity Price Data'!AI311</f>
        <v>17716.8</v>
      </c>
      <c r="AD310" s="30">
        <f>'Equity Volume Data'!AG310*'Equity Price Data'!AJ311</f>
        <v>14174.55</v>
      </c>
      <c r="AE310" s="30">
        <f>'Equity Volume Data'!AH310*'Equity Price Data'!AK311</f>
        <v>0</v>
      </c>
      <c r="AF310" s="30">
        <f>'Equity Volume Data'!AI310*'Equity Price Data'!AL311</f>
        <v>22607.4</v>
      </c>
      <c r="AG310" s="30">
        <f>'Equity Volume Data'!AJ310*'Equity Price Data'!AM311</f>
        <v>43484.4</v>
      </c>
      <c r="AH310" s="30">
        <f>'Equity Volume Data'!AK310*'Equity Price Data'!AN311</f>
        <v>38680</v>
      </c>
      <c r="AI310" s="30">
        <f>'Equity Volume Data'!AL310*'Equity Price Data'!AO311</f>
        <v>22559.25</v>
      </c>
      <c r="AJ310" s="30">
        <f>'Equity Volume Data'!AM310*'Equity Price Data'!AP311</f>
        <v>24446.5</v>
      </c>
      <c r="AK310" s="30">
        <f>'Equity Volume Data'!AN310*'Equity Price Data'!AQ311</f>
        <v>22280.82</v>
      </c>
      <c r="AL310" s="30">
        <f>'Equity Volume Data'!AO310*'Equity Price Data'!AR311</f>
        <v>46616</v>
      </c>
      <c r="AM310" s="30">
        <f>'Equity Volume Data'!AP310*'Equity Price Data'!AS311</f>
        <v>30439.5</v>
      </c>
      <c r="AN310" s="30">
        <f>'Equity Volume Data'!AQ310*'Equity Price Data'!AT311</f>
        <v>0</v>
      </c>
      <c r="AO310" s="30">
        <f>'Equity Volume Data'!AR310*'Equity Price Data'!AU311</f>
        <v>26696.04</v>
      </c>
      <c r="AP310" s="30">
        <f>'Equity Volume Data'!AS310*'Equity Price Data'!AV311</f>
        <v>22340</v>
      </c>
      <c r="AQ310" s="30">
        <f>'Equity Volume Data'!AT310*'Equity Price Data'!AW311</f>
        <v>16709</v>
      </c>
      <c r="AR310" s="30">
        <f>'Equity Volume Data'!AU310*'Equity Price Data'!AX311</f>
        <v>28556.73</v>
      </c>
      <c r="AS310" s="30">
        <f>'Equity Volume Data'!AV310*'Equity Price Data'!AY311</f>
        <v>62992.8</v>
      </c>
      <c r="AT310" s="30">
        <f>'Equity Volume Data'!AW310*'Equity Price Data'!AZ311</f>
        <v>14108</v>
      </c>
      <c r="AU310" s="30">
        <f>'Equity Volume Data'!AX310*'Equity Price Data'!BA311</f>
        <v>0</v>
      </c>
      <c r="AV310" s="30">
        <f>'Equity Volume Data'!AY310*'Equity Price Data'!BB311</f>
        <v>25477.64</v>
      </c>
      <c r="AW310" s="30">
        <f>'Equity Volume Data'!AZ310*'Equity Price Data'!BC311</f>
        <v>3478.8</v>
      </c>
      <c r="AX310" s="30">
        <f>'Equity Volume Data'!BA310*'Equity Price Data'!BD311</f>
        <v>0</v>
      </c>
      <c r="AY310" s="30">
        <f>'Equity Volume Data'!BB310*'Equity Price Data'!BE311</f>
        <v>72175.08</v>
      </c>
      <c r="AZ310" s="30">
        <f>'Equity Volume Data'!BC310*'Equity Price Data'!BF311</f>
        <v>10413</v>
      </c>
      <c r="BA310" s="30">
        <f>'Equity Volume Data'!BD310*'Equity Price Data'!BG311</f>
        <v>4546.7</v>
      </c>
      <c r="BB310" s="30">
        <f>'Equity Volume Data'!BE310*'Equity Price Data'!BH311</f>
        <v>12460</v>
      </c>
      <c r="BC310" s="30">
        <f>'Equity Volume Data'!BF310*'Equity Price Data'!BI311</f>
        <v>12027.76</v>
      </c>
      <c r="BD310" s="30">
        <f>'Equity Volume Data'!BG310*'Equity Price Data'!BJ311</f>
        <v>50953.86</v>
      </c>
      <c r="BE310" s="30">
        <f>'Equity Volume Data'!BH310*'Equity Price Data'!BK311</f>
        <v>10325.62</v>
      </c>
      <c r="BF310" s="30">
        <f>'Equity Volume Data'!BI310*'Equity Price Data'!BL311</f>
        <v>7359.6</v>
      </c>
      <c r="BG310" s="30">
        <f>'Equity Volume Data'!BJ310*'Equity Price Data'!BM311</f>
        <v>33026.4</v>
      </c>
      <c r="BH310" s="30">
        <f>'Equity Volume Data'!BK310*'Equity Price Data'!BN311</f>
        <v>0</v>
      </c>
      <c r="BI310" s="30">
        <f>'Equity Volume Data'!BL310*'Equity Price Data'!BO311</f>
        <v>36073.6</v>
      </c>
      <c r="BJ310" s="30">
        <f>'Equity Volume Data'!BM310*'Equity Price Data'!BP311</f>
        <v>18433.5</v>
      </c>
      <c r="BK310" s="30">
        <f>'Equity Volume Data'!BN310*'Equity Price Data'!BQ311</f>
        <v>90514.46</v>
      </c>
      <c r="BL310" s="30">
        <f>'Equity Volume Data'!BO310*'Equity Price Data'!BR311</f>
        <v>411.25</v>
      </c>
      <c r="BM310" s="30">
        <f>'Equity Volume Data'!BP310*'Equity Price Data'!BS311</f>
        <v>11116.8</v>
      </c>
      <c r="BN310" s="30">
        <f>'Equity Volume Data'!BQ310*'Equity Price Data'!BT311</f>
        <v>21651.96</v>
      </c>
      <c r="BO310" s="30">
        <f>'Equity Volume Data'!BR310*'Equity Price Data'!BU311</f>
        <v>34127</v>
      </c>
    </row>
    <row r="311">
      <c r="A311" s="25">
        <f>'Equity Price Data'!A312</f>
        <v>45876.66667</v>
      </c>
      <c r="B311" s="29">
        <f t="shared" si="1"/>
        <v>1438219.34</v>
      </c>
      <c r="C311" s="30">
        <f>'Equity Volume Data'!F311*'Equity Price Data'!I312</f>
        <v>4397.51</v>
      </c>
      <c r="D311" s="30">
        <f>'Equity Volume Data'!G311*'Equity Price Data'!J312</f>
        <v>58013.8</v>
      </c>
      <c r="E311" s="30">
        <f>'Equity Volume Data'!H311*'Equity Price Data'!K312</f>
        <v>15886.2</v>
      </c>
      <c r="F311" s="30">
        <f>'Equity Volume Data'!I311*'Equity Price Data'!L312</f>
        <v>56327.68</v>
      </c>
      <c r="G311" s="30">
        <f>'Equity Volume Data'!J311*'Equity Price Data'!M312</f>
        <v>15201.45</v>
      </c>
      <c r="H311" s="30">
        <f>'Equity Volume Data'!K311*'Equity Price Data'!N312</f>
        <v>19215.48</v>
      </c>
      <c r="I311" s="30">
        <f>'Equity Volume Data'!L311*'Equity Price Data'!O312</f>
        <v>19750</v>
      </c>
      <c r="J311" s="30">
        <f>'Equity Volume Data'!M311*'Equity Price Data'!P312</f>
        <v>47069.94</v>
      </c>
      <c r="K311" s="30">
        <f>'Equity Volume Data'!N311*'Equity Price Data'!Q312</f>
        <v>10422</v>
      </c>
      <c r="L311" s="30">
        <f>'Equity Volume Data'!O311*'Equity Price Data'!R312</f>
        <v>15457.75</v>
      </c>
      <c r="M311" s="30">
        <f>'Equity Volume Data'!P311*'Equity Price Data'!S312</f>
        <v>0</v>
      </c>
      <c r="N311" s="30">
        <f>'Equity Volume Data'!Q311*'Equity Price Data'!T312</f>
        <v>5308.8</v>
      </c>
      <c r="O311" s="30">
        <f>'Equity Volume Data'!R311*'Equity Price Data'!U312</f>
        <v>62568</v>
      </c>
      <c r="P311" s="30">
        <f>'Equity Volume Data'!S311*'Equity Price Data'!V312</f>
        <v>31846.29</v>
      </c>
      <c r="Q311" s="30">
        <f>'Equity Volume Data'!T311*'Equity Price Data'!W312</f>
        <v>22203.6</v>
      </c>
      <c r="R311" s="30">
        <f>'Equity Volume Data'!U311*'Equity Price Data'!X312</f>
        <v>12252.8</v>
      </c>
      <c r="S311" s="30">
        <f>'Equity Volume Data'!V311*'Equity Price Data'!Y312</f>
        <v>23848</v>
      </c>
      <c r="T311" s="30">
        <f>'Equity Volume Data'!W311*'Equity Price Data'!Z312</f>
        <v>11660</v>
      </c>
      <c r="U311" s="30">
        <f>'Equity Volume Data'!X311*'Equity Price Data'!AA312</f>
        <v>18593.52</v>
      </c>
      <c r="V311" s="30">
        <f>'Equity Volume Data'!Y311*'Equity Price Data'!AB312</f>
        <v>16905</v>
      </c>
      <c r="W311" s="30">
        <f>'Equity Volume Data'!Z311*'Equity Price Data'!AC312</f>
        <v>11814.87</v>
      </c>
      <c r="X311" s="30">
        <f>'Equity Volume Data'!AA311*'Equity Price Data'!AD312</f>
        <v>0</v>
      </c>
      <c r="Y311" s="30">
        <f>'Equity Volume Data'!AB311*'Equity Price Data'!AE312</f>
        <v>5751.46</v>
      </c>
      <c r="Z311" s="30">
        <f>'Equity Volume Data'!AC311*'Equity Price Data'!AF312</f>
        <v>13953</v>
      </c>
      <c r="AA311" s="30">
        <f>'Equity Volume Data'!AD311*'Equity Price Data'!AG312</f>
        <v>18011.5</v>
      </c>
      <c r="AB311" s="30">
        <f>'Equity Volume Data'!AE311*'Equity Price Data'!AH312</f>
        <v>13479.6</v>
      </c>
      <c r="AC311" s="30">
        <f>'Equity Volume Data'!AF311*'Equity Price Data'!AI312</f>
        <v>17947.2</v>
      </c>
      <c r="AD311" s="30">
        <f>'Equity Volume Data'!AG311*'Equity Price Data'!AJ312</f>
        <v>14072.85</v>
      </c>
      <c r="AE311" s="30">
        <f>'Equity Volume Data'!AH311*'Equity Price Data'!AK312</f>
        <v>0</v>
      </c>
      <c r="AF311" s="30">
        <f>'Equity Volume Data'!AI311*'Equity Price Data'!AL312</f>
        <v>22607.4</v>
      </c>
      <c r="AG311" s="30">
        <f>'Equity Volume Data'!AJ311*'Equity Price Data'!AM312</f>
        <v>43184.4</v>
      </c>
      <c r="AH311" s="30">
        <f>'Equity Volume Data'!AK311*'Equity Price Data'!AN312</f>
        <v>38617</v>
      </c>
      <c r="AI311" s="30">
        <f>'Equity Volume Data'!AL311*'Equity Price Data'!AO312</f>
        <v>23052.75</v>
      </c>
      <c r="AJ311" s="30">
        <f>'Equity Volume Data'!AM311*'Equity Price Data'!AP312</f>
        <v>24442.6</v>
      </c>
      <c r="AK311" s="30">
        <f>'Equity Volume Data'!AN311*'Equity Price Data'!AQ312</f>
        <v>22081.07</v>
      </c>
      <c r="AL311" s="30">
        <f>'Equity Volume Data'!AO311*'Equity Price Data'!AR312</f>
        <v>45910.4</v>
      </c>
      <c r="AM311" s="30">
        <f>'Equity Volume Data'!AP311*'Equity Price Data'!AS312</f>
        <v>30152.5</v>
      </c>
      <c r="AN311" s="30">
        <f>'Equity Volume Data'!AQ311*'Equity Price Data'!AT312</f>
        <v>0</v>
      </c>
      <c r="AO311" s="30">
        <f>'Equity Volume Data'!AR311*'Equity Price Data'!AU312</f>
        <v>25679.78</v>
      </c>
      <c r="AP311" s="30">
        <f>'Equity Volume Data'!AS311*'Equity Price Data'!AV312</f>
        <v>22810</v>
      </c>
      <c r="AQ311" s="30">
        <f>'Equity Volume Data'!AT311*'Equity Price Data'!AW312</f>
        <v>16240.4</v>
      </c>
      <c r="AR311" s="30">
        <f>'Equity Volume Data'!AU311*'Equity Price Data'!AX312</f>
        <v>30062.61</v>
      </c>
      <c r="AS311" s="30">
        <f>'Equity Volume Data'!AV311*'Equity Price Data'!AY312</f>
        <v>62500.8</v>
      </c>
      <c r="AT311" s="30">
        <f>'Equity Volume Data'!AW311*'Equity Price Data'!AZ312</f>
        <v>14516</v>
      </c>
      <c r="AU311" s="30">
        <f>'Equity Volume Data'!AX311*'Equity Price Data'!BA312</f>
        <v>0</v>
      </c>
      <c r="AV311" s="30">
        <f>'Equity Volume Data'!AY311*'Equity Price Data'!BB312</f>
        <v>25669.34</v>
      </c>
      <c r="AW311" s="30">
        <f>'Equity Volume Data'!AZ311*'Equity Price Data'!BC312</f>
        <v>3493.2</v>
      </c>
      <c r="AX311" s="30">
        <f>'Equity Volume Data'!BA311*'Equity Price Data'!BD312</f>
        <v>0</v>
      </c>
      <c r="AY311" s="30">
        <f>'Equity Volume Data'!BB311*'Equity Price Data'!BE312</f>
        <v>73244.4</v>
      </c>
      <c r="AZ311" s="30">
        <f>'Equity Volume Data'!BC311*'Equity Price Data'!BF312</f>
        <v>10233</v>
      </c>
      <c r="BA311" s="30">
        <f>'Equity Volume Data'!BD311*'Equity Price Data'!BG312</f>
        <v>4603.7</v>
      </c>
      <c r="BB311" s="30">
        <f>'Equity Volume Data'!BE311*'Equity Price Data'!BH312</f>
        <v>12460.8</v>
      </c>
      <c r="BC311" s="30">
        <f>'Equity Volume Data'!BF311*'Equity Price Data'!BI312</f>
        <v>11463.6</v>
      </c>
      <c r="BD311" s="30">
        <f>'Equity Volume Data'!BG311*'Equity Price Data'!BJ312</f>
        <v>51744.09</v>
      </c>
      <c r="BE311" s="30">
        <f>'Equity Volume Data'!BH311*'Equity Price Data'!BK312</f>
        <v>10459.02</v>
      </c>
      <c r="BF311" s="30">
        <f>'Equity Volume Data'!BI311*'Equity Price Data'!BL312</f>
        <v>7259.6</v>
      </c>
      <c r="BG311" s="30">
        <f>'Equity Volume Data'!BJ311*'Equity Price Data'!BM312</f>
        <v>32261.9</v>
      </c>
      <c r="BH311" s="30">
        <f>'Equity Volume Data'!BK311*'Equity Price Data'!BN312</f>
        <v>0</v>
      </c>
      <c r="BI311" s="30">
        <f>'Equity Volume Data'!BL311*'Equity Price Data'!BO312</f>
        <v>35625.6</v>
      </c>
      <c r="BJ311" s="30">
        <f>'Equity Volume Data'!BM311*'Equity Price Data'!BP312</f>
        <v>18350.25</v>
      </c>
      <c r="BK311" s="30">
        <f>'Equity Volume Data'!BN311*'Equity Price Data'!BQ312</f>
        <v>90550.5</v>
      </c>
      <c r="BL311" s="30">
        <f>'Equity Volume Data'!BO311*'Equity Price Data'!BR312</f>
        <v>441.33</v>
      </c>
      <c r="BM311" s="30">
        <f>'Equity Volume Data'!BP311*'Equity Price Data'!BS312</f>
        <v>11194.56</v>
      </c>
      <c r="BN311" s="30">
        <f>'Equity Volume Data'!BQ311*'Equity Price Data'!BT312</f>
        <v>21221.44</v>
      </c>
      <c r="BO311" s="30">
        <f>'Equity Volume Data'!BR311*'Equity Price Data'!BU312</f>
        <v>34127</v>
      </c>
    </row>
    <row r="312">
      <c r="A312" s="25">
        <f>'Equity Price Data'!A313</f>
        <v>45877.66667</v>
      </c>
      <c r="B312" s="29">
        <f t="shared" si="1"/>
        <v>1450139.89</v>
      </c>
      <c r="C312" s="30">
        <f>'Equity Volume Data'!F312*'Equity Price Data'!I313</f>
        <v>4433.65</v>
      </c>
      <c r="D312" s="30">
        <f>'Equity Volume Data'!G312*'Equity Price Data'!J313</f>
        <v>57899.4</v>
      </c>
      <c r="E312" s="30">
        <f>'Equity Volume Data'!H312*'Equity Price Data'!K313</f>
        <v>15989.6</v>
      </c>
      <c r="F312" s="30">
        <f>'Equity Volume Data'!I312*'Equity Price Data'!L313</f>
        <v>58713.6</v>
      </c>
      <c r="G312" s="30">
        <f>'Equity Volume Data'!J312*'Equity Price Data'!M313</f>
        <v>15344.21</v>
      </c>
      <c r="H312" s="30">
        <f>'Equity Volume Data'!K312*'Equity Price Data'!N313</f>
        <v>19380.92</v>
      </c>
      <c r="I312" s="30">
        <f>'Equity Volume Data'!L312*'Equity Price Data'!O313</f>
        <v>19940</v>
      </c>
      <c r="J312" s="30">
        <f>'Equity Volume Data'!M312*'Equity Price Data'!P313</f>
        <v>47470.8</v>
      </c>
      <c r="K312" s="30">
        <f>'Equity Volume Data'!N312*'Equity Price Data'!Q313</f>
        <v>10572</v>
      </c>
      <c r="L312" s="30">
        <f>'Equity Volume Data'!O312*'Equity Price Data'!R313</f>
        <v>15811.07</v>
      </c>
      <c r="M312" s="30">
        <f>'Equity Volume Data'!P312*'Equity Price Data'!S313</f>
        <v>0</v>
      </c>
      <c r="N312" s="30">
        <f>'Equity Volume Data'!Q312*'Equity Price Data'!T313</f>
        <v>5282.4</v>
      </c>
      <c r="O312" s="30">
        <f>'Equity Volume Data'!R312*'Equity Price Data'!U313</f>
        <v>62478</v>
      </c>
      <c r="P312" s="30">
        <f>'Equity Volume Data'!S312*'Equity Price Data'!V313</f>
        <v>32075.64</v>
      </c>
      <c r="Q312" s="30">
        <f>'Equity Volume Data'!T312*'Equity Price Data'!W313</f>
        <v>21998.4</v>
      </c>
      <c r="R312" s="30">
        <f>'Equity Volume Data'!U312*'Equity Price Data'!X313</f>
        <v>12400.8</v>
      </c>
      <c r="S312" s="30">
        <f>'Equity Volume Data'!V312*'Equity Price Data'!Y313</f>
        <v>24191.2</v>
      </c>
      <c r="T312" s="30">
        <f>'Equity Volume Data'!W312*'Equity Price Data'!Z313</f>
        <v>11820</v>
      </c>
      <c r="U312" s="30">
        <f>'Equity Volume Data'!X312*'Equity Price Data'!AA313</f>
        <v>18569.76</v>
      </c>
      <c r="V312" s="30">
        <f>'Equity Volume Data'!Y312*'Equity Price Data'!AB313</f>
        <v>16821.28</v>
      </c>
      <c r="W312" s="30">
        <f>'Equity Volume Data'!Z312*'Equity Price Data'!AC313</f>
        <v>11723.79</v>
      </c>
      <c r="X312" s="30">
        <f>'Equity Volume Data'!AA312*'Equity Price Data'!AD313</f>
        <v>0</v>
      </c>
      <c r="Y312" s="30">
        <f>'Equity Volume Data'!AB312*'Equity Price Data'!AE313</f>
        <v>5720.52</v>
      </c>
      <c r="Z312" s="30">
        <f>'Equity Volume Data'!AC312*'Equity Price Data'!AF313</f>
        <v>13971</v>
      </c>
      <c r="AA312" s="30">
        <f>'Equity Volume Data'!AD312*'Equity Price Data'!AG313</f>
        <v>18156</v>
      </c>
      <c r="AB312" s="30">
        <f>'Equity Volume Data'!AE312*'Equity Price Data'!AH313</f>
        <v>13683</v>
      </c>
      <c r="AC312" s="30">
        <f>'Equity Volume Data'!AF312*'Equity Price Data'!AI313</f>
        <v>17753.6</v>
      </c>
      <c r="AD312" s="30">
        <f>'Equity Volume Data'!AG312*'Equity Price Data'!AJ313</f>
        <v>14135.85</v>
      </c>
      <c r="AE312" s="30">
        <f>'Equity Volume Data'!AH312*'Equity Price Data'!AK313</f>
        <v>0</v>
      </c>
      <c r="AF312" s="30">
        <f>'Equity Volume Data'!AI312*'Equity Price Data'!AL313</f>
        <v>24479.05</v>
      </c>
      <c r="AG312" s="30">
        <f>'Equity Volume Data'!AJ312*'Equity Price Data'!AM313</f>
        <v>43276.2</v>
      </c>
      <c r="AH312" s="30">
        <f>'Equity Volume Data'!AK312*'Equity Price Data'!AN313</f>
        <v>38785</v>
      </c>
      <c r="AI312" s="30">
        <f>'Equity Volume Data'!AL312*'Equity Price Data'!AO313</f>
        <v>23275</v>
      </c>
      <c r="AJ312" s="30">
        <f>'Equity Volume Data'!AM312*'Equity Price Data'!AP313</f>
        <v>24232</v>
      </c>
      <c r="AK312" s="30">
        <f>'Equity Volume Data'!AN312*'Equity Price Data'!AQ313</f>
        <v>22093.76</v>
      </c>
      <c r="AL312" s="30">
        <f>'Equity Volume Data'!AO312*'Equity Price Data'!AR313</f>
        <v>46201.6</v>
      </c>
      <c r="AM312" s="30">
        <f>'Equity Volume Data'!AP312*'Equity Price Data'!AS313</f>
        <v>29794.1</v>
      </c>
      <c r="AN312" s="30">
        <f>'Equity Volume Data'!AQ312*'Equity Price Data'!AT313</f>
        <v>0</v>
      </c>
      <c r="AO312" s="30">
        <f>'Equity Volume Data'!AR312*'Equity Price Data'!AU313</f>
        <v>25696.86</v>
      </c>
      <c r="AP312" s="30">
        <f>'Equity Volume Data'!AS312*'Equity Price Data'!AV313</f>
        <v>23220</v>
      </c>
      <c r="AQ312" s="30">
        <f>'Equity Volume Data'!AT312*'Equity Price Data'!AW313</f>
        <v>16779.4</v>
      </c>
      <c r="AR312" s="30">
        <f>'Equity Volume Data'!AU312*'Equity Price Data'!AX313</f>
        <v>31437.36</v>
      </c>
      <c r="AS312" s="30">
        <f>'Equity Volume Data'!AV312*'Equity Price Data'!AY313</f>
        <v>62644.8</v>
      </c>
      <c r="AT312" s="30">
        <f>'Equity Volume Data'!AW312*'Equity Price Data'!AZ313</f>
        <v>14482</v>
      </c>
      <c r="AU312" s="30">
        <f>'Equity Volume Data'!AX312*'Equity Price Data'!BA313</f>
        <v>0</v>
      </c>
      <c r="AV312" s="30">
        <f>'Equity Volume Data'!AY312*'Equity Price Data'!BB313</f>
        <v>25943.4</v>
      </c>
      <c r="AW312" s="30">
        <f>'Equity Volume Data'!AZ312*'Equity Price Data'!BC313</f>
        <v>3498.8</v>
      </c>
      <c r="AX312" s="30">
        <f>'Equity Volume Data'!BA312*'Equity Price Data'!BD313</f>
        <v>0</v>
      </c>
      <c r="AY312" s="30">
        <f>'Equity Volume Data'!BB312*'Equity Price Data'!BE313</f>
        <v>75157.92</v>
      </c>
      <c r="AZ312" s="30">
        <f>'Equity Volume Data'!BC312*'Equity Price Data'!BF313</f>
        <v>10147.5</v>
      </c>
      <c r="BA312" s="30">
        <f>'Equity Volume Data'!BD312*'Equity Price Data'!BG313</f>
        <v>4670.2</v>
      </c>
      <c r="BB312" s="30">
        <f>'Equity Volume Data'!BE312*'Equity Price Data'!BH313</f>
        <v>12388.8</v>
      </c>
      <c r="BC312" s="30">
        <f>'Equity Volume Data'!BF312*'Equity Price Data'!BI313</f>
        <v>11480</v>
      </c>
      <c r="BD312" s="30">
        <f>'Equity Volume Data'!BG312*'Equity Price Data'!BJ313</f>
        <v>52180.74</v>
      </c>
      <c r="BE312" s="30">
        <f>'Equity Volume Data'!BH312*'Equity Price Data'!BK313</f>
        <v>10596.56</v>
      </c>
      <c r="BF312" s="30">
        <f>'Equity Volume Data'!BI312*'Equity Price Data'!BL313</f>
        <v>7545.6</v>
      </c>
      <c r="BG312" s="30">
        <f>'Equity Volume Data'!BJ312*'Equity Price Data'!BM313</f>
        <v>31831</v>
      </c>
      <c r="BH312" s="30">
        <f>'Equity Volume Data'!BK312*'Equity Price Data'!BN313</f>
        <v>0</v>
      </c>
      <c r="BI312" s="30">
        <f>'Equity Volume Data'!BL312*'Equity Price Data'!BO313</f>
        <v>35558.4</v>
      </c>
      <c r="BJ312" s="30">
        <f>'Equity Volume Data'!BM312*'Equity Price Data'!BP313</f>
        <v>18816.75</v>
      </c>
      <c r="BK312" s="30">
        <f>'Equity Volume Data'!BN312*'Equity Price Data'!BQ313</f>
        <v>90586.54</v>
      </c>
      <c r="BL312" s="30">
        <f>'Equity Volume Data'!BO312*'Equity Price Data'!BR313</f>
        <v>455.9</v>
      </c>
      <c r="BM312" s="30">
        <f>'Equity Volume Data'!BP312*'Equity Price Data'!BS313</f>
        <v>11284.32</v>
      </c>
      <c r="BN312" s="30">
        <f>'Equity Volume Data'!BQ312*'Equity Price Data'!BT313</f>
        <v>21136.84</v>
      </c>
      <c r="BO312" s="30">
        <f>'Equity Volume Data'!BR312*'Equity Price Data'!BU313</f>
        <v>34127</v>
      </c>
    </row>
    <row r="313">
      <c r="A313" s="25">
        <f>'Equity Price Data'!A314</f>
        <v>45880.66667</v>
      </c>
      <c r="B313" s="29">
        <f t="shared" si="1"/>
        <v>1448536.55</v>
      </c>
      <c r="C313" s="30">
        <f>'Equity Volume Data'!F313*'Equity Price Data'!I314</f>
        <v>4337.45</v>
      </c>
      <c r="D313" s="30">
        <f>'Equity Volume Data'!G313*'Equity Price Data'!J314</f>
        <v>57538</v>
      </c>
      <c r="E313" s="30">
        <f>'Equity Volume Data'!H313*'Equity Price Data'!K314</f>
        <v>16010.5</v>
      </c>
      <c r="F313" s="30">
        <f>'Equity Volume Data'!I313*'Equity Price Data'!L314</f>
        <v>58158.08</v>
      </c>
      <c r="G313" s="30">
        <f>'Equity Volume Data'!J313*'Equity Price Data'!M314</f>
        <v>15303.54</v>
      </c>
      <c r="H313" s="30">
        <f>'Equity Volume Data'!K313*'Equity Price Data'!N314</f>
        <v>19414.76</v>
      </c>
      <c r="I313" s="30">
        <f>'Equity Volume Data'!L313*'Equity Price Data'!O314</f>
        <v>20050</v>
      </c>
      <c r="J313" s="30">
        <f>'Equity Volume Data'!M313*'Equity Price Data'!P314</f>
        <v>47402.46</v>
      </c>
      <c r="K313" s="30">
        <f>'Equity Volume Data'!N313*'Equity Price Data'!Q314</f>
        <v>10662</v>
      </c>
      <c r="L313" s="30">
        <f>'Equity Volume Data'!O313*'Equity Price Data'!R314</f>
        <v>15488</v>
      </c>
      <c r="M313" s="30">
        <f>'Equity Volume Data'!P313*'Equity Price Data'!S314</f>
        <v>0</v>
      </c>
      <c r="N313" s="30">
        <f>'Equity Volume Data'!Q313*'Equity Price Data'!T314</f>
        <v>5190.4</v>
      </c>
      <c r="O313" s="30">
        <f>'Equity Volume Data'!R313*'Equity Price Data'!U314</f>
        <v>61281</v>
      </c>
      <c r="P313" s="30">
        <f>'Equity Volume Data'!S313*'Equity Price Data'!V314</f>
        <v>32388.39</v>
      </c>
      <c r="Q313" s="30">
        <f>'Equity Volume Data'!T313*'Equity Price Data'!W314</f>
        <v>21687.6</v>
      </c>
      <c r="R313" s="30">
        <f>'Equity Volume Data'!U313*'Equity Price Data'!X314</f>
        <v>12276</v>
      </c>
      <c r="S313" s="30">
        <f>'Equity Volume Data'!V313*'Equity Price Data'!Y314</f>
        <v>24379.52</v>
      </c>
      <c r="T313" s="30">
        <f>'Equity Volume Data'!W313*'Equity Price Data'!Z314</f>
        <v>11732.5</v>
      </c>
      <c r="U313" s="30">
        <f>'Equity Volume Data'!X313*'Equity Price Data'!AA314</f>
        <v>18678</v>
      </c>
      <c r="V313" s="30">
        <f>'Equity Volume Data'!Y313*'Equity Price Data'!AB314</f>
        <v>16763.32</v>
      </c>
      <c r="W313" s="30">
        <f>'Equity Volume Data'!Z313*'Equity Price Data'!AC314</f>
        <v>11642.37</v>
      </c>
      <c r="X313" s="30">
        <f>'Equity Volume Data'!AA313*'Equity Price Data'!AD314</f>
        <v>0</v>
      </c>
      <c r="Y313" s="30">
        <f>'Equity Volume Data'!AB313*'Equity Price Data'!AE314</f>
        <v>5727.02</v>
      </c>
      <c r="Z313" s="30">
        <f>'Equity Volume Data'!AC313*'Equity Price Data'!AF314</f>
        <v>14295</v>
      </c>
      <c r="AA313" s="30">
        <f>'Equity Volume Data'!AD313*'Equity Price Data'!AG314</f>
        <v>17991.1</v>
      </c>
      <c r="AB313" s="30">
        <f>'Equity Volume Data'!AE313*'Equity Price Data'!AH314</f>
        <v>13476.6</v>
      </c>
      <c r="AC313" s="30">
        <f>'Equity Volume Data'!AF313*'Equity Price Data'!AI314</f>
        <v>17654</v>
      </c>
      <c r="AD313" s="30">
        <f>'Equity Volume Data'!AG313*'Equity Price Data'!AJ314</f>
        <v>14171.85</v>
      </c>
      <c r="AE313" s="30">
        <f>'Equity Volume Data'!AH313*'Equity Price Data'!AK314</f>
        <v>0</v>
      </c>
      <c r="AF313" s="30">
        <f>'Equity Volume Data'!AI313*'Equity Price Data'!AL314</f>
        <v>24696.35</v>
      </c>
      <c r="AG313" s="30">
        <f>'Equity Volume Data'!AJ313*'Equity Price Data'!AM314</f>
        <v>43154.4</v>
      </c>
      <c r="AH313" s="30">
        <f>'Equity Volume Data'!AK313*'Equity Price Data'!AN314</f>
        <v>38753</v>
      </c>
      <c r="AI313" s="30">
        <f>'Equity Volume Data'!AL313*'Equity Price Data'!AO314</f>
        <v>22958.25</v>
      </c>
      <c r="AJ313" s="30">
        <f>'Equity Volume Data'!AM313*'Equity Price Data'!AP314</f>
        <v>24170.9</v>
      </c>
      <c r="AK313" s="30">
        <f>'Equity Volume Data'!AN313*'Equity Price Data'!AQ314</f>
        <v>22176.95</v>
      </c>
      <c r="AL313" s="30">
        <f>'Equity Volume Data'!AO313*'Equity Price Data'!AR314</f>
        <v>46329.6</v>
      </c>
      <c r="AM313" s="30">
        <f>'Equity Volume Data'!AP313*'Equity Price Data'!AS314</f>
        <v>29838.2</v>
      </c>
      <c r="AN313" s="30">
        <f>'Equity Volume Data'!AQ313*'Equity Price Data'!AT314</f>
        <v>0</v>
      </c>
      <c r="AO313" s="30">
        <f>'Equity Volume Data'!AR313*'Equity Price Data'!AU314</f>
        <v>25534.6</v>
      </c>
      <c r="AP313" s="30">
        <f>'Equity Volume Data'!AS313*'Equity Price Data'!AV314</f>
        <v>23185</v>
      </c>
      <c r="AQ313" s="30">
        <f>'Equity Volume Data'!AT313*'Equity Price Data'!AW314</f>
        <v>16566</v>
      </c>
      <c r="AR313" s="30">
        <f>'Equity Volume Data'!AU313*'Equity Price Data'!AX314</f>
        <v>30747.87</v>
      </c>
      <c r="AS313" s="30">
        <f>'Equity Volume Data'!AV313*'Equity Price Data'!AY314</f>
        <v>62612.4</v>
      </c>
      <c r="AT313" s="30">
        <f>'Equity Volume Data'!AW313*'Equity Price Data'!AZ314</f>
        <v>14490</v>
      </c>
      <c r="AU313" s="30">
        <f>'Equity Volume Data'!AX313*'Equity Price Data'!BA314</f>
        <v>0</v>
      </c>
      <c r="AV313" s="30">
        <f>'Equity Volume Data'!AY313*'Equity Price Data'!BB314</f>
        <v>25852.52</v>
      </c>
      <c r="AW313" s="30">
        <f>'Equity Volume Data'!AZ313*'Equity Price Data'!BC314</f>
        <v>3441.2</v>
      </c>
      <c r="AX313" s="30">
        <f>'Equity Volume Data'!BA313*'Equity Price Data'!BD314</f>
        <v>0</v>
      </c>
      <c r="AY313" s="30">
        <f>'Equity Volume Data'!BB313*'Equity Price Data'!BE314</f>
        <v>73437.36</v>
      </c>
      <c r="AZ313" s="30">
        <f>'Equity Volume Data'!BC313*'Equity Price Data'!BF314</f>
        <v>10062</v>
      </c>
      <c r="BA313" s="30">
        <f>'Equity Volume Data'!BD313*'Equity Price Data'!BG314</f>
        <v>4670.2</v>
      </c>
      <c r="BB313" s="30">
        <f>'Equity Volume Data'!BE313*'Equity Price Data'!BH314</f>
        <v>12384</v>
      </c>
      <c r="BC313" s="30">
        <f>'Equity Volume Data'!BF313*'Equity Price Data'!BI314</f>
        <v>11381.6</v>
      </c>
      <c r="BD313" s="30">
        <f>'Equity Volume Data'!BG313*'Equity Price Data'!BJ314</f>
        <v>53009.31</v>
      </c>
      <c r="BE313" s="30">
        <f>'Equity Volume Data'!BH313*'Equity Price Data'!BK314</f>
        <v>10634.97</v>
      </c>
      <c r="BF313" s="30">
        <f>'Equity Volume Data'!BI313*'Equity Price Data'!BL314</f>
        <v>7565.2</v>
      </c>
      <c r="BG313" s="30">
        <f>'Equity Volume Data'!BJ313*'Equity Price Data'!BM314</f>
        <v>35378.28</v>
      </c>
      <c r="BH313" s="30">
        <f>'Equity Volume Data'!BK313*'Equity Price Data'!BN314</f>
        <v>0</v>
      </c>
      <c r="BI313" s="30">
        <f>'Equity Volume Data'!BL313*'Equity Price Data'!BO314</f>
        <v>35144</v>
      </c>
      <c r="BJ313" s="30">
        <f>'Equity Volume Data'!BM313*'Equity Price Data'!BP314</f>
        <v>18927.75</v>
      </c>
      <c r="BK313" s="30">
        <f>'Equity Volume Data'!BN313*'Equity Price Data'!BQ314</f>
        <v>90604.56</v>
      </c>
      <c r="BL313" s="30">
        <f>'Equity Volume Data'!BO313*'Equity Price Data'!BR314</f>
        <v>463.42</v>
      </c>
      <c r="BM313" s="30">
        <f>'Equity Volume Data'!BP313*'Equity Price Data'!BS314</f>
        <v>11380.8</v>
      </c>
      <c r="BN313" s="30">
        <f>'Equity Volume Data'!BQ313*'Equity Price Data'!BT314</f>
        <v>21159.4</v>
      </c>
      <c r="BO313" s="30">
        <f>'Equity Volume Data'!BR313*'Equity Price Data'!BU314</f>
        <v>34127</v>
      </c>
    </row>
    <row r="314">
      <c r="A314" s="25">
        <f>'Equity Price Data'!A315</f>
        <v>45881.66667</v>
      </c>
      <c r="B314" s="29">
        <f t="shared" si="1"/>
        <v>1463488.62</v>
      </c>
      <c r="C314" s="30">
        <f>'Equity Volume Data'!F314*'Equity Price Data'!I315</f>
        <v>4399.59</v>
      </c>
      <c r="D314" s="30">
        <f>'Equity Volume Data'!G314*'Equity Price Data'!J315</f>
        <v>57582.2</v>
      </c>
      <c r="E314" s="30">
        <f>'Equity Volume Data'!H314*'Equity Price Data'!K315</f>
        <v>15629.9</v>
      </c>
      <c r="F314" s="30">
        <f>'Equity Volume Data'!I314*'Equity Price Data'!L315</f>
        <v>58790.4</v>
      </c>
      <c r="G314" s="30">
        <f>'Equity Volume Data'!J314*'Equity Price Data'!M315</f>
        <v>15641.35</v>
      </c>
      <c r="H314" s="30">
        <f>'Equity Volume Data'!K314*'Equity Price Data'!N315</f>
        <v>19478.68</v>
      </c>
      <c r="I314" s="30">
        <f>'Equity Volume Data'!L314*'Equity Price Data'!O315</f>
        <v>20410</v>
      </c>
      <c r="J314" s="30">
        <f>'Equity Volume Data'!M314*'Equity Price Data'!P315</f>
        <v>47979.78</v>
      </c>
      <c r="K314" s="30">
        <f>'Equity Volume Data'!N314*'Equity Price Data'!Q315</f>
        <v>10808</v>
      </c>
      <c r="L314" s="30">
        <f>'Equity Volume Data'!O314*'Equity Price Data'!R315</f>
        <v>15600.53</v>
      </c>
      <c r="M314" s="30">
        <f>'Equity Volume Data'!P314*'Equity Price Data'!S315</f>
        <v>0</v>
      </c>
      <c r="N314" s="30">
        <f>'Equity Volume Data'!Q314*'Equity Price Data'!T315</f>
        <v>5258.4</v>
      </c>
      <c r="O314" s="30">
        <f>'Equity Volume Data'!R314*'Equity Price Data'!U315</f>
        <v>61906.5</v>
      </c>
      <c r="P314" s="30">
        <f>'Equity Volume Data'!S314*'Equity Price Data'!V315</f>
        <v>32705.31</v>
      </c>
      <c r="Q314" s="30">
        <f>'Equity Volume Data'!T314*'Equity Price Data'!W315</f>
        <v>21744</v>
      </c>
      <c r="R314" s="30">
        <f>'Equity Volume Data'!U314*'Equity Price Data'!X315</f>
        <v>12355.2</v>
      </c>
      <c r="S314" s="30">
        <f>'Equity Volume Data'!V314*'Equity Price Data'!Y315</f>
        <v>24681.36</v>
      </c>
      <c r="T314" s="30">
        <f>'Equity Volume Data'!W314*'Equity Price Data'!Z315</f>
        <v>12035</v>
      </c>
      <c r="U314" s="30">
        <f>'Equity Volume Data'!X314*'Equity Price Data'!AA315</f>
        <v>18667.44</v>
      </c>
      <c r="V314" s="30">
        <f>'Equity Volume Data'!Y314*'Equity Price Data'!AB315</f>
        <v>16694.09</v>
      </c>
      <c r="W314" s="30">
        <f>'Equity Volume Data'!Z314*'Equity Price Data'!AC315</f>
        <v>11679.63</v>
      </c>
      <c r="X314" s="30">
        <f>'Equity Volume Data'!AA314*'Equity Price Data'!AD315</f>
        <v>0</v>
      </c>
      <c r="Y314" s="30">
        <f>'Equity Volume Data'!AB314*'Equity Price Data'!AE315</f>
        <v>5735.47</v>
      </c>
      <c r="Z314" s="30">
        <f>'Equity Volume Data'!AC314*'Equity Price Data'!AF315</f>
        <v>14559</v>
      </c>
      <c r="AA314" s="30">
        <f>'Equity Volume Data'!AD314*'Equity Price Data'!AG315</f>
        <v>18042.1</v>
      </c>
      <c r="AB314" s="30">
        <f>'Equity Volume Data'!AE314*'Equity Price Data'!AH315</f>
        <v>13825.2</v>
      </c>
      <c r="AC314" s="30">
        <f>'Equity Volume Data'!AF314*'Equity Price Data'!AI315</f>
        <v>17846.4</v>
      </c>
      <c r="AD314" s="30">
        <f>'Equity Volume Data'!AG314*'Equity Price Data'!AJ315</f>
        <v>14130.45</v>
      </c>
      <c r="AE314" s="30">
        <f>'Equity Volume Data'!AH314*'Equity Price Data'!AK315</f>
        <v>0</v>
      </c>
      <c r="AF314" s="30">
        <f>'Equity Volume Data'!AI314*'Equity Price Data'!AL315</f>
        <v>24604.1</v>
      </c>
      <c r="AG314" s="30">
        <f>'Equity Volume Data'!AJ314*'Equity Price Data'!AM315</f>
        <v>44602.8</v>
      </c>
      <c r="AH314" s="30">
        <f>'Equity Volume Data'!AK314*'Equity Price Data'!AN315</f>
        <v>39600</v>
      </c>
      <c r="AI314" s="30">
        <f>'Equity Volume Data'!AL314*'Equity Price Data'!AO315</f>
        <v>23135</v>
      </c>
      <c r="AJ314" s="30">
        <f>'Equity Volume Data'!AM314*'Equity Price Data'!AP315</f>
        <v>23756.2</v>
      </c>
      <c r="AK314" s="30">
        <f>'Equity Volume Data'!AN314*'Equity Price Data'!AQ315</f>
        <v>22474.93</v>
      </c>
      <c r="AL314" s="30">
        <f>'Equity Volume Data'!AO314*'Equity Price Data'!AR315</f>
        <v>46856</v>
      </c>
      <c r="AM314" s="30">
        <f>'Equity Volume Data'!AP314*'Equity Price Data'!AS315</f>
        <v>30209.2</v>
      </c>
      <c r="AN314" s="30">
        <f>'Equity Volume Data'!AQ314*'Equity Price Data'!AT315</f>
        <v>0</v>
      </c>
      <c r="AO314" s="30">
        <f>'Equity Volume Data'!AR314*'Equity Price Data'!AU315</f>
        <v>25748.1</v>
      </c>
      <c r="AP314" s="30">
        <f>'Equity Volume Data'!AS314*'Equity Price Data'!AV315</f>
        <v>23020</v>
      </c>
      <c r="AQ314" s="30">
        <f>'Equity Volume Data'!AT314*'Equity Price Data'!AW315</f>
        <v>16843.2</v>
      </c>
      <c r="AR314" s="30">
        <f>'Equity Volume Data'!AU314*'Equity Price Data'!AX315</f>
        <v>31703.85</v>
      </c>
      <c r="AS314" s="30">
        <f>'Equity Volume Data'!AV314*'Equity Price Data'!AY315</f>
        <v>63508.8</v>
      </c>
      <c r="AT314" s="30">
        <f>'Equity Volume Data'!AW314*'Equity Price Data'!AZ315</f>
        <v>14372</v>
      </c>
      <c r="AU314" s="30">
        <f>'Equity Volume Data'!AX314*'Equity Price Data'!BA315</f>
        <v>0</v>
      </c>
      <c r="AV314" s="30">
        <f>'Equity Volume Data'!AY314*'Equity Price Data'!BB315</f>
        <v>26008.72</v>
      </c>
      <c r="AW314" s="30">
        <f>'Equity Volume Data'!AZ314*'Equity Price Data'!BC315</f>
        <v>3526</v>
      </c>
      <c r="AX314" s="30">
        <f>'Equity Volume Data'!BA314*'Equity Price Data'!BD315</f>
        <v>0</v>
      </c>
      <c r="AY314" s="30">
        <f>'Equity Volume Data'!BB314*'Equity Price Data'!BE315</f>
        <v>75161.94</v>
      </c>
      <c r="AZ314" s="30">
        <f>'Equity Volume Data'!BC314*'Equity Price Data'!BF315</f>
        <v>10195.5</v>
      </c>
      <c r="BA314" s="30">
        <f>'Equity Volume Data'!BD314*'Equity Price Data'!BG315</f>
        <v>4683.5</v>
      </c>
      <c r="BB314" s="30">
        <f>'Equity Volume Data'!BE314*'Equity Price Data'!BH315</f>
        <v>12439.2</v>
      </c>
      <c r="BC314" s="30">
        <f>'Equity Volume Data'!BF314*'Equity Price Data'!BI315</f>
        <v>11565.28</v>
      </c>
      <c r="BD314" s="30">
        <f>'Equity Volume Data'!BG314*'Equity Price Data'!BJ315</f>
        <v>53735.64</v>
      </c>
      <c r="BE314" s="30">
        <f>'Equity Volume Data'!BH314*'Equity Price Data'!BK315</f>
        <v>10980.43</v>
      </c>
      <c r="BF314" s="30">
        <f>'Equity Volume Data'!BI314*'Equity Price Data'!BL315</f>
        <v>7758.8</v>
      </c>
      <c r="BG314" s="30">
        <f>'Equity Volume Data'!BJ314*'Equity Price Data'!BM315</f>
        <v>36454.14</v>
      </c>
      <c r="BH314" s="30">
        <f>'Equity Volume Data'!BK314*'Equity Price Data'!BN315</f>
        <v>0</v>
      </c>
      <c r="BI314" s="30">
        <f>'Equity Volume Data'!BL314*'Equity Price Data'!BO315</f>
        <v>35008</v>
      </c>
      <c r="BJ314" s="30">
        <f>'Equity Volume Data'!BM314*'Equity Price Data'!BP315</f>
        <v>19617.75</v>
      </c>
      <c r="BK314" s="30">
        <f>'Equity Volume Data'!BN314*'Equity Price Data'!BQ315</f>
        <v>90568.52</v>
      </c>
      <c r="BL314" s="30">
        <f>'Equity Volume Data'!BO314*'Equity Price Data'!BR315</f>
        <v>475.64</v>
      </c>
      <c r="BM314" s="30">
        <f>'Equity Volume Data'!BP314*'Equity Price Data'!BS315</f>
        <v>11183.04</v>
      </c>
      <c r="BN314" s="30">
        <f>'Equity Volume Data'!BQ314*'Equity Price Data'!BT315</f>
        <v>21379.36</v>
      </c>
      <c r="BO314" s="30">
        <f>'Equity Volume Data'!BR314*'Equity Price Data'!BU315</f>
        <v>34127</v>
      </c>
    </row>
    <row r="315">
      <c r="A315" s="25">
        <f>'Equity Price Data'!A316</f>
        <v>45882.66667</v>
      </c>
      <c r="B315" s="29">
        <f t="shared" si="1"/>
        <v>1473017.96</v>
      </c>
      <c r="C315" s="30">
        <f>'Equity Volume Data'!F315*'Equity Price Data'!I316</f>
        <v>4563.91</v>
      </c>
      <c r="D315" s="30">
        <f>'Equity Volume Data'!G315*'Equity Price Data'!J316</f>
        <v>58385.6</v>
      </c>
      <c r="E315" s="30">
        <f>'Equity Volume Data'!H315*'Equity Price Data'!K316</f>
        <v>15810.3</v>
      </c>
      <c r="F315" s="30">
        <f>'Equity Volume Data'!I315*'Equity Price Data'!L316</f>
        <v>59732.48</v>
      </c>
      <c r="G315" s="30">
        <f>'Equity Volume Data'!J315*'Equity Price Data'!M316</f>
        <v>15772.49</v>
      </c>
      <c r="H315" s="30">
        <f>'Equity Volume Data'!K315*'Equity Price Data'!N316</f>
        <v>19159.08</v>
      </c>
      <c r="I315" s="30">
        <f>'Equity Volume Data'!L315*'Equity Price Data'!O316</f>
        <v>20450</v>
      </c>
      <c r="J315" s="30">
        <f>'Equity Volume Data'!M315*'Equity Price Data'!P316</f>
        <v>48685.62</v>
      </c>
      <c r="K315" s="30">
        <f>'Equity Volume Data'!N315*'Equity Price Data'!Q316</f>
        <v>10946</v>
      </c>
      <c r="L315" s="30">
        <f>'Equity Volume Data'!O315*'Equity Price Data'!R316</f>
        <v>16357.99</v>
      </c>
      <c r="M315" s="30">
        <f>'Equity Volume Data'!P315*'Equity Price Data'!S316</f>
        <v>0</v>
      </c>
      <c r="N315" s="30">
        <f>'Equity Volume Data'!Q315*'Equity Price Data'!T316</f>
        <v>5364</v>
      </c>
      <c r="O315" s="30">
        <f>'Equity Volume Data'!R315*'Equity Price Data'!U316</f>
        <v>62055</v>
      </c>
      <c r="P315" s="30">
        <f>'Equity Volume Data'!S315*'Equity Price Data'!V316</f>
        <v>31525.2</v>
      </c>
      <c r="Q315" s="30">
        <f>'Equity Volume Data'!T315*'Equity Price Data'!W316</f>
        <v>22574.4</v>
      </c>
      <c r="R315" s="30">
        <f>'Equity Volume Data'!U315*'Equity Price Data'!X316</f>
        <v>12469.6</v>
      </c>
      <c r="S315" s="30">
        <f>'Equity Volume Data'!V315*'Equity Price Data'!Y316</f>
        <v>25264.8</v>
      </c>
      <c r="T315" s="30">
        <f>'Equity Volume Data'!W315*'Equity Price Data'!Z316</f>
        <v>12137.5</v>
      </c>
      <c r="U315" s="30">
        <f>'Equity Volume Data'!X315*'Equity Price Data'!AA316</f>
        <v>18601.44</v>
      </c>
      <c r="V315" s="30">
        <f>'Equity Volume Data'!Y315*'Equity Price Data'!AB316</f>
        <v>16689.26</v>
      </c>
      <c r="W315" s="30">
        <f>'Equity Volume Data'!Z315*'Equity Price Data'!AC316</f>
        <v>11632.02</v>
      </c>
      <c r="X315" s="30">
        <f>'Equity Volume Data'!AA315*'Equity Price Data'!AD316</f>
        <v>0</v>
      </c>
      <c r="Y315" s="30">
        <f>'Equity Volume Data'!AB315*'Equity Price Data'!AE316</f>
        <v>5862.74</v>
      </c>
      <c r="Z315" s="30">
        <f>'Equity Volume Data'!AC315*'Equity Price Data'!AF316</f>
        <v>15115.5</v>
      </c>
      <c r="AA315" s="30">
        <f>'Equity Volume Data'!AD315*'Equity Price Data'!AG316</f>
        <v>18292</v>
      </c>
      <c r="AB315" s="30">
        <f>'Equity Volume Data'!AE315*'Equity Price Data'!AH316</f>
        <v>13830</v>
      </c>
      <c r="AC315" s="30">
        <f>'Equity Volume Data'!AF315*'Equity Price Data'!AI316</f>
        <v>18048.4</v>
      </c>
      <c r="AD315" s="30">
        <f>'Equity Volume Data'!AG315*'Equity Price Data'!AJ316</f>
        <v>14287.05</v>
      </c>
      <c r="AE315" s="30">
        <f>'Equity Volume Data'!AH315*'Equity Price Data'!AK316</f>
        <v>0</v>
      </c>
      <c r="AF315" s="30">
        <f>'Equity Volume Data'!AI315*'Equity Price Data'!AL316</f>
        <v>24628.7</v>
      </c>
      <c r="AG315" s="30">
        <f>'Equity Volume Data'!AJ315*'Equity Price Data'!AM316</f>
        <v>44681.4</v>
      </c>
      <c r="AH315" s="30">
        <f>'Equity Volume Data'!AK315*'Equity Price Data'!AN316</f>
        <v>40718</v>
      </c>
      <c r="AI315" s="30">
        <f>'Equity Volume Data'!AL315*'Equity Price Data'!AO316</f>
        <v>23975</v>
      </c>
      <c r="AJ315" s="30">
        <f>'Equity Volume Data'!AM315*'Equity Price Data'!AP316</f>
        <v>23583.3</v>
      </c>
      <c r="AK315" s="30">
        <f>'Equity Volume Data'!AN315*'Equity Price Data'!AQ316</f>
        <v>22670.45</v>
      </c>
      <c r="AL315" s="30">
        <f>'Equity Volume Data'!AO315*'Equity Price Data'!AR316</f>
        <v>46484.8</v>
      </c>
      <c r="AM315" s="30">
        <f>'Equity Volume Data'!AP315*'Equity Price Data'!AS316</f>
        <v>30979.9</v>
      </c>
      <c r="AN315" s="30">
        <f>'Equity Volume Data'!AQ315*'Equity Price Data'!AT316</f>
        <v>0</v>
      </c>
      <c r="AO315" s="30">
        <f>'Equity Volume Data'!AR315*'Equity Price Data'!AU316</f>
        <v>26029.92</v>
      </c>
      <c r="AP315" s="30">
        <f>'Equity Volume Data'!AS315*'Equity Price Data'!AV316</f>
        <v>23227.5</v>
      </c>
      <c r="AQ315" s="30">
        <f>'Equity Volume Data'!AT315*'Equity Price Data'!AW316</f>
        <v>17019.2</v>
      </c>
      <c r="AR315" s="30">
        <f>'Equity Volume Data'!AU315*'Equity Price Data'!AX316</f>
        <v>31894.2</v>
      </c>
      <c r="AS315" s="30">
        <f>'Equity Volume Data'!AV315*'Equity Price Data'!AY316</f>
        <v>62469.6</v>
      </c>
      <c r="AT315" s="30">
        <f>'Equity Volume Data'!AW315*'Equity Price Data'!AZ316</f>
        <v>14460</v>
      </c>
      <c r="AU315" s="30">
        <f>'Equity Volume Data'!AX315*'Equity Price Data'!BA316</f>
        <v>0</v>
      </c>
      <c r="AV315" s="30">
        <f>'Equity Volume Data'!AY315*'Equity Price Data'!BB316</f>
        <v>25785.78</v>
      </c>
      <c r="AW315" s="30">
        <f>'Equity Volume Data'!AZ315*'Equity Price Data'!BC316</f>
        <v>3569.2</v>
      </c>
      <c r="AX315" s="30">
        <f>'Equity Volume Data'!BA315*'Equity Price Data'!BD316</f>
        <v>0</v>
      </c>
      <c r="AY315" s="30">
        <f>'Equity Volume Data'!BB315*'Equity Price Data'!BE316</f>
        <v>74116.74</v>
      </c>
      <c r="AZ315" s="30">
        <f>'Equity Volume Data'!BC315*'Equity Price Data'!BF316</f>
        <v>10594.5</v>
      </c>
      <c r="BA315" s="30">
        <f>'Equity Volume Data'!BD315*'Equity Price Data'!BG316</f>
        <v>4780.4</v>
      </c>
      <c r="BB315" s="30">
        <f>'Equity Volume Data'!BE315*'Equity Price Data'!BH316</f>
        <v>12456.8</v>
      </c>
      <c r="BC315" s="30">
        <f>'Equity Volume Data'!BF315*'Equity Price Data'!BI316</f>
        <v>11830.96</v>
      </c>
      <c r="BD315" s="30">
        <f>'Equity Volume Data'!BG315*'Equity Price Data'!BJ316</f>
        <v>53428.92</v>
      </c>
      <c r="BE315" s="30">
        <f>'Equity Volume Data'!BH315*'Equity Price Data'!BK316</f>
        <v>11150.17</v>
      </c>
      <c r="BF315" s="30">
        <f>'Equity Volume Data'!BI315*'Equity Price Data'!BL316</f>
        <v>7776</v>
      </c>
      <c r="BG315" s="30">
        <f>'Equity Volume Data'!BJ315*'Equity Price Data'!BM316</f>
        <v>36707.12</v>
      </c>
      <c r="BH315" s="30">
        <f>'Equity Volume Data'!BK315*'Equity Price Data'!BN316</f>
        <v>0</v>
      </c>
      <c r="BI315" s="30">
        <f>'Equity Volume Data'!BL315*'Equity Price Data'!BO316</f>
        <v>35708.8</v>
      </c>
      <c r="BJ315" s="30">
        <f>'Equity Volume Data'!BM315*'Equity Price Data'!BP316</f>
        <v>20385.75</v>
      </c>
      <c r="BK315" s="30">
        <f>'Equity Volume Data'!BN315*'Equity Price Data'!BQ316</f>
        <v>90712.68</v>
      </c>
      <c r="BL315" s="30">
        <f>'Equity Volume Data'!BO315*'Equity Price Data'!BR316</f>
        <v>489.27</v>
      </c>
      <c r="BM315" s="30">
        <f>'Equity Volume Data'!BP315*'Equity Price Data'!BS316</f>
        <v>11035.2</v>
      </c>
      <c r="BN315" s="30">
        <f>'Equity Volume Data'!BQ315*'Equity Price Data'!BT316</f>
        <v>21928.32</v>
      </c>
      <c r="BO315" s="30">
        <f>'Equity Volume Data'!BR315*'Equity Price Data'!BU316</f>
        <v>34127</v>
      </c>
    </row>
    <row r="316">
      <c r="A316" s="25">
        <f>'Equity Price Data'!A317</f>
        <v>45883.66667</v>
      </c>
      <c r="B316" s="29">
        <f t="shared" si="1"/>
        <v>1471093.63</v>
      </c>
      <c r="C316" s="30">
        <f>'Equity Volume Data'!F316*'Equity Price Data'!I317</f>
        <v>4531.54</v>
      </c>
      <c r="D316" s="30">
        <f>'Equity Volume Data'!G316*'Equity Price Data'!J317</f>
        <v>60054.8</v>
      </c>
      <c r="E316" s="30">
        <f>'Equity Volume Data'!H316*'Equity Price Data'!K317</f>
        <v>15775.1</v>
      </c>
      <c r="F316" s="30">
        <f>'Equity Volume Data'!I316*'Equity Price Data'!L317</f>
        <v>59591.68</v>
      </c>
      <c r="G316" s="30">
        <f>'Equity Volume Data'!J316*'Equity Price Data'!M317</f>
        <v>15623.92</v>
      </c>
      <c r="H316" s="30">
        <f>'Equity Volume Data'!K316*'Equity Price Data'!N317</f>
        <v>19429.8</v>
      </c>
      <c r="I316" s="30">
        <f>'Equity Volume Data'!L316*'Equity Price Data'!O317</f>
        <v>20550</v>
      </c>
      <c r="J316" s="30">
        <f>'Equity Volume Data'!M316*'Equity Price Data'!P317</f>
        <v>48880.44</v>
      </c>
      <c r="K316" s="30">
        <f>'Equity Volume Data'!N316*'Equity Price Data'!Q317</f>
        <v>10764</v>
      </c>
      <c r="L316" s="30">
        <f>'Equity Volume Data'!O316*'Equity Price Data'!R317</f>
        <v>16327.74</v>
      </c>
      <c r="M316" s="30">
        <f>'Equity Volume Data'!P316*'Equity Price Data'!S317</f>
        <v>0</v>
      </c>
      <c r="N316" s="30">
        <f>'Equity Volume Data'!Q316*'Equity Price Data'!T317</f>
        <v>5260.8</v>
      </c>
      <c r="O316" s="30">
        <f>'Equity Volume Data'!R316*'Equity Price Data'!U317</f>
        <v>62625</v>
      </c>
      <c r="P316" s="30">
        <f>'Equity Volume Data'!S316*'Equity Price Data'!V317</f>
        <v>31504.35</v>
      </c>
      <c r="Q316" s="30">
        <f>'Equity Volume Data'!T316*'Equity Price Data'!W317</f>
        <v>22238.4</v>
      </c>
      <c r="R316" s="30">
        <f>'Equity Volume Data'!U316*'Equity Price Data'!X317</f>
        <v>12412.8</v>
      </c>
      <c r="S316" s="30">
        <f>'Equity Volume Data'!V316*'Equity Price Data'!Y317</f>
        <v>25550.8</v>
      </c>
      <c r="T316" s="30">
        <f>'Equity Volume Data'!W316*'Equity Price Data'!Z317</f>
        <v>12302.5</v>
      </c>
      <c r="U316" s="30">
        <f>'Equity Volume Data'!X316*'Equity Price Data'!AA317</f>
        <v>18361.2</v>
      </c>
      <c r="V316" s="30">
        <f>'Equity Volume Data'!Y316*'Equity Price Data'!AB317</f>
        <v>16560.46</v>
      </c>
      <c r="W316" s="30">
        <f>'Equity Volume Data'!Z316*'Equity Price Data'!AC317</f>
        <v>11469.18</v>
      </c>
      <c r="X316" s="30">
        <f>'Equity Volume Data'!AA316*'Equity Price Data'!AD317</f>
        <v>0</v>
      </c>
      <c r="Y316" s="30">
        <f>'Equity Volume Data'!AB316*'Equity Price Data'!AE317</f>
        <v>5857.67</v>
      </c>
      <c r="Z316" s="30">
        <f>'Equity Volume Data'!AC316*'Equity Price Data'!AF317</f>
        <v>14772</v>
      </c>
      <c r="AA316" s="30">
        <f>'Equity Volume Data'!AD316*'Equity Price Data'!AG317</f>
        <v>18254.6</v>
      </c>
      <c r="AB316" s="30">
        <f>'Equity Volume Data'!AE316*'Equity Price Data'!AH317</f>
        <v>13864.2</v>
      </c>
      <c r="AC316" s="30">
        <f>'Equity Volume Data'!AF316*'Equity Price Data'!AI317</f>
        <v>18577.2</v>
      </c>
      <c r="AD316" s="30">
        <f>'Equity Volume Data'!AG316*'Equity Price Data'!AJ317</f>
        <v>14212.8</v>
      </c>
      <c r="AE316" s="30">
        <f>'Equity Volume Data'!AH316*'Equity Price Data'!AK317</f>
        <v>0</v>
      </c>
      <c r="AF316" s="30">
        <f>'Equity Volume Data'!AI316*'Equity Price Data'!AL317</f>
        <v>24399.1</v>
      </c>
      <c r="AG316" s="30">
        <f>'Equity Volume Data'!AJ316*'Equity Price Data'!AM317</f>
        <v>44832</v>
      </c>
      <c r="AH316" s="30">
        <f>'Equity Volume Data'!AK316*'Equity Price Data'!AN317</f>
        <v>40032</v>
      </c>
      <c r="AI316" s="30">
        <f>'Equity Volume Data'!AL316*'Equity Price Data'!AO317</f>
        <v>23257.5</v>
      </c>
      <c r="AJ316" s="30">
        <f>'Equity Volume Data'!AM316*'Equity Price Data'!AP317</f>
        <v>23748.4</v>
      </c>
      <c r="AK316" s="30">
        <f>'Equity Volume Data'!AN316*'Equity Price Data'!AQ317</f>
        <v>22422.76</v>
      </c>
      <c r="AL316" s="30">
        <f>'Equity Volume Data'!AO316*'Equity Price Data'!AR317</f>
        <v>47065.6</v>
      </c>
      <c r="AM316" s="30">
        <f>'Equity Volume Data'!AP316*'Equity Price Data'!AS317</f>
        <v>30612.4</v>
      </c>
      <c r="AN316" s="30">
        <f>'Equity Volume Data'!AQ316*'Equity Price Data'!AT317</f>
        <v>0</v>
      </c>
      <c r="AO316" s="30">
        <f>'Equity Volume Data'!AR316*'Equity Price Data'!AU317</f>
        <v>26123.86</v>
      </c>
      <c r="AP316" s="30">
        <f>'Equity Volume Data'!AS316*'Equity Price Data'!AV317</f>
        <v>22995</v>
      </c>
      <c r="AQ316" s="30">
        <f>'Equity Volume Data'!AT316*'Equity Price Data'!AW317</f>
        <v>17142.4</v>
      </c>
      <c r="AR316" s="30">
        <f>'Equity Volume Data'!AU316*'Equity Price Data'!AX317</f>
        <v>32393.34</v>
      </c>
      <c r="AS316" s="30">
        <f>'Equity Volume Data'!AV316*'Equity Price Data'!AY317</f>
        <v>62697.6</v>
      </c>
      <c r="AT316" s="30">
        <f>'Equity Volume Data'!AW316*'Equity Price Data'!AZ317</f>
        <v>14448</v>
      </c>
      <c r="AU316" s="30">
        <f>'Equity Volume Data'!AX316*'Equity Price Data'!BA317</f>
        <v>0</v>
      </c>
      <c r="AV316" s="30">
        <f>'Equity Volume Data'!AY316*'Equity Price Data'!BB317</f>
        <v>25846.84</v>
      </c>
      <c r="AW316" s="30">
        <f>'Equity Volume Data'!AZ316*'Equity Price Data'!BC317</f>
        <v>3501.6</v>
      </c>
      <c r="AX316" s="30">
        <f>'Equity Volume Data'!BA316*'Equity Price Data'!BD317</f>
        <v>0</v>
      </c>
      <c r="AY316" s="30">
        <f>'Equity Volume Data'!BB316*'Equity Price Data'!BE317</f>
        <v>72770.04</v>
      </c>
      <c r="AZ316" s="30">
        <f>'Equity Volume Data'!BC316*'Equity Price Data'!BF317</f>
        <v>10407</v>
      </c>
      <c r="BA316" s="30">
        <f>'Equity Volume Data'!BD316*'Equity Price Data'!BG317</f>
        <v>4770.9</v>
      </c>
      <c r="BB316" s="30">
        <f>'Equity Volume Data'!BE316*'Equity Price Data'!BH317</f>
        <v>12406.4</v>
      </c>
      <c r="BC316" s="30">
        <f>'Equity Volume Data'!BF316*'Equity Price Data'!BI317</f>
        <v>11814.56</v>
      </c>
      <c r="BD316" s="30">
        <f>'Equity Volume Data'!BG316*'Equity Price Data'!BJ317</f>
        <v>53316.03</v>
      </c>
      <c r="BE316" s="30">
        <f>'Equity Volume Data'!BH316*'Equity Price Data'!BK317</f>
        <v>11155.92</v>
      </c>
      <c r="BF316" s="30">
        <f>'Equity Volume Data'!BI316*'Equity Price Data'!BL317</f>
        <v>7699.2</v>
      </c>
      <c r="BG316" s="30">
        <f>'Equity Volume Data'!BJ316*'Equity Price Data'!BM317</f>
        <v>36067.72</v>
      </c>
      <c r="BH316" s="30">
        <f>'Equity Volume Data'!BK316*'Equity Price Data'!BN317</f>
        <v>0</v>
      </c>
      <c r="BI316" s="30">
        <f>'Equity Volume Data'!BL316*'Equity Price Data'!BO317</f>
        <v>35443.2</v>
      </c>
      <c r="BJ316" s="30">
        <f>'Equity Volume Data'!BM316*'Equity Price Data'!BP317</f>
        <v>20361.75</v>
      </c>
      <c r="BK316" s="30">
        <f>'Equity Volume Data'!BN316*'Equity Price Data'!BQ317</f>
        <v>90658.62</v>
      </c>
      <c r="BL316" s="30">
        <f>'Equity Volume Data'!BO316*'Equity Price Data'!BR317</f>
        <v>502.43</v>
      </c>
      <c r="BM316" s="30">
        <f>'Equity Volume Data'!BP316*'Equity Price Data'!BS317</f>
        <v>10855.2</v>
      </c>
      <c r="BN316" s="30">
        <f>'Equity Volume Data'!BQ316*'Equity Price Data'!BT317</f>
        <v>21866.28</v>
      </c>
      <c r="BO316" s="30">
        <f>'Equity Volume Data'!BR316*'Equity Price Data'!BU317</f>
        <v>34127</v>
      </c>
    </row>
    <row r="317">
      <c r="A317" s="25">
        <f>'Equity Price Data'!A318</f>
        <v>45884.66667</v>
      </c>
      <c r="B317" s="29">
        <f t="shared" si="1"/>
        <v>1465910.44</v>
      </c>
      <c r="C317" s="30">
        <f>'Equity Volume Data'!F317*'Equity Price Data'!I318</f>
        <v>4613.05</v>
      </c>
      <c r="D317" s="30">
        <f>'Equity Volume Data'!G317*'Equity Price Data'!J318</f>
        <v>60067.8</v>
      </c>
      <c r="E317" s="30">
        <f>'Equity Volume Data'!H317*'Equity Price Data'!K318</f>
        <v>15831.2</v>
      </c>
      <c r="F317" s="30">
        <f>'Equity Volume Data'!I317*'Equity Price Data'!L318</f>
        <v>59287.04</v>
      </c>
      <c r="G317" s="30">
        <f>'Equity Volume Data'!J317*'Equity Price Data'!M318</f>
        <v>13426.08</v>
      </c>
      <c r="H317" s="30">
        <f>'Equity Volume Data'!K317*'Equity Price Data'!N318</f>
        <v>18988</v>
      </c>
      <c r="I317" s="30">
        <f>'Equity Volume Data'!L317*'Equity Price Data'!O318</f>
        <v>20270</v>
      </c>
      <c r="J317" s="30">
        <f>'Equity Volume Data'!M317*'Equity Price Data'!P318</f>
        <v>48674.4</v>
      </c>
      <c r="K317" s="30">
        <f>'Equity Volume Data'!N317*'Equity Price Data'!Q318</f>
        <v>10830</v>
      </c>
      <c r="L317" s="30">
        <f>'Equity Volume Data'!O317*'Equity Price Data'!R318</f>
        <v>16770.6</v>
      </c>
      <c r="M317" s="30">
        <f>'Equity Volume Data'!P317*'Equity Price Data'!S318</f>
        <v>0</v>
      </c>
      <c r="N317" s="30">
        <f>'Equity Volume Data'!Q317*'Equity Price Data'!T318</f>
        <v>5232</v>
      </c>
      <c r="O317" s="30">
        <f>'Equity Volume Data'!R317*'Equity Price Data'!U318</f>
        <v>61168.5</v>
      </c>
      <c r="P317" s="30">
        <f>'Equity Volume Data'!S317*'Equity Price Data'!V318</f>
        <v>31525.2</v>
      </c>
      <c r="Q317" s="30">
        <f>'Equity Volume Data'!T317*'Equity Price Data'!W318</f>
        <v>22670.4</v>
      </c>
      <c r="R317" s="30">
        <f>'Equity Volume Data'!U317*'Equity Price Data'!X318</f>
        <v>12524</v>
      </c>
      <c r="S317" s="30">
        <f>'Equity Volume Data'!V317*'Equity Price Data'!Y318</f>
        <v>26123.68</v>
      </c>
      <c r="T317" s="30">
        <f>'Equity Volume Data'!W317*'Equity Price Data'!Z318</f>
        <v>12070</v>
      </c>
      <c r="U317" s="30">
        <f>'Equity Volume Data'!X317*'Equity Price Data'!AA318</f>
        <v>18458.88</v>
      </c>
      <c r="V317" s="30">
        <f>'Equity Volume Data'!Y317*'Equity Price Data'!AB318</f>
        <v>16223.97</v>
      </c>
      <c r="W317" s="30">
        <f>'Equity Volume Data'!Z317*'Equity Price Data'!AC318</f>
        <v>11516.1</v>
      </c>
      <c r="X317" s="30">
        <f>'Equity Volume Data'!AA317*'Equity Price Data'!AD318</f>
        <v>0</v>
      </c>
      <c r="Y317" s="30">
        <f>'Equity Volume Data'!AB317*'Equity Price Data'!AE318</f>
        <v>5866.38</v>
      </c>
      <c r="Z317" s="30">
        <f>'Equity Volume Data'!AC317*'Equity Price Data'!AF318</f>
        <v>15105</v>
      </c>
      <c r="AA317" s="30">
        <f>'Equity Volume Data'!AD317*'Equity Price Data'!AG318</f>
        <v>18103.3</v>
      </c>
      <c r="AB317" s="30">
        <f>'Equity Volume Data'!AE317*'Equity Price Data'!AH318</f>
        <v>13635.6</v>
      </c>
      <c r="AC317" s="30">
        <f>'Equity Volume Data'!AF317*'Equity Price Data'!AI318</f>
        <v>18422</v>
      </c>
      <c r="AD317" s="30">
        <f>'Equity Volume Data'!AG317*'Equity Price Data'!AJ318</f>
        <v>14116.05</v>
      </c>
      <c r="AE317" s="30">
        <f>'Equity Volume Data'!AH317*'Equity Price Data'!AK318</f>
        <v>0</v>
      </c>
      <c r="AF317" s="30">
        <f>'Equity Volume Data'!AI317*'Equity Price Data'!AL318</f>
        <v>24265.85</v>
      </c>
      <c r="AG317" s="30">
        <f>'Equity Volume Data'!AJ317*'Equity Price Data'!AM318</f>
        <v>43843.2</v>
      </c>
      <c r="AH317" s="30">
        <f>'Equity Volume Data'!AK317*'Equity Price Data'!AN318</f>
        <v>39938</v>
      </c>
      <c r="AI317" s="30">
        <f>'Equity Volume Data'!AL317*'Equity Price Data'!AO318</f>
        <v>23304.75</v>
      </c>
      <c r="AJ317" s="30">
        <f>'Equity Volume Data'!AM317*'Equity Price Data'!AP318</f>
        <v>23556</v>
      </c>
      <c r="AK317" s="30">
        <f>'Equity Volume Data'!AN317*'Equity Price Data'!AQ318</f>
        <v>22572.22</v>
      </c>
      <c r="AL317" s="30">
        <f>'Equity Volume Data'!AO317*'Equity Price Data'!AR318</f>
        <v>46478.4</v>
      </c>
      <c r="AM317" s="30">
        <f>'Equity Volume Data'!AP317*'Equity Price Data'!AS318</f>
        <v>30629.2</v>
      </c>
      <c r="AN317" s="30">
        <f>'Equity Volume Data'!AQ317*'Equity Price Data'!AT318</f>
        <v>0</v>
      </c>
      <c r="AO317" s="30">
        <f>'Equity Volume Data'!AR317*'Equity Price Data'!AU318</f>
        <v>25944.52</v>
      </c>
      <c r="AP317" s="30">
        <f>'Equity Volume Data'!AS317*'Equity Price Data'!AV318</f>
        <v>23255</v>
      </c>
      <c r="AQ317" s="30">
        <f>'Equity Volume Data'!AT317*'Equity Price Data'!AW318</f>
        <v>17012.6</v>
      </c>
      <c r="AR317" s="30">
        <f>'Equity Volume Data'!AU317*'Equity Price Data'!AX318</f>
        <v>31737.69</v>
      </c>
      <c r="AS317" s="30">
        <f>'Equity Volume Data'!AV317*'Equity Price Data'!AY318</f>
        <v>62420.4</v>
      </c>
      <c r="AT317" s="30">
        <f>'Equity Volume Data'!AW317*'Equity Price Data'!AZ318</f>
        <v>15082</v>
      </c>
      <c r="AU317" s="30">
        <f>'Equity Volume Data'!AX317*'Equity Price Data'!BA318</f>
        <v>0</v>
      </c>
      <c r="AV317" s="30">
        <f>'Equity Volume Data'!AY317*'Equity Price Data'!BB318</f>
        <v>25623.9</v>
      </c>
      <c r="AW317" s="30">
        <f>'Equity Volume Data'!AZ317*'Equity Price Data'!BC318</f>
        <v>3497.2</v>
      </c>
      <c r="AX317" s="30">
        <f>'Equity Volume Data'!BA317*'Equity Price Data'!BD318</f>
        <v>0</v>
      </c>
      <c r="AY317" s="30">
        <f>'Equity Volume Data'!BB317*'Equity Price Data'!BE318</f>
        <v>71222.34</v>
      </c>
      <c r="AZ317" s="30">
        <f>'Equity Volume Data'!BC317*'Equity Price Data'!BF318</f>
        <v>10384.5</v>
      </c>
      <c r="BA317" s="30">
        <f>'Equity Volume Data'!BD317*'Equity Price Data'!BG318</f>
        <v>4776.6</v>
      </c>
      <c r="BB317" s="30">
        <f>'Equity Volume Data'!BE317*'Equity Price Data'!BH318</f>
        <v>12327.2</v>
      </c>
      <c r="BC317" s="30">
        <f>'Equity Volume Data'!BF317*'Equity Price Data'!BI318</f>
        <v>11912.96</v>
      </c>
      <c r="BD317" s="30">
        <f>'Equity Volume Data'!BG317*'Equity Price Data'!BJ318</f>
        <v>54236.19</v>
      </c>
      <c r="BE317" s="30">
        <f>'Equity Volume Data'!BH317*'Equity Price Data'!BK318</f>
        <v>11247.23</v>
      </c>
      <c r="BF317" s="30">
        <f>'Equity Volume Data'!BI317*'Equity Price Data'!BL318</f>
        <v>7746.4</v>
      </c>
      <c r="BG317" s="30">
        <f>'Equity Volume Data'!BJ317*'Equity Price Data'!BM318</f>
        <v>35458.9</v>
      </c>
      <c r="BH317" s="30">
        <f>'Equity Volume Data'!BK317*'Equity Price Data'!BN318</f>
        <v>0</v>
      </c>
      <c r="BI317" s="30">
        <f>'Equity Volume Data'!BL317*'Equity Price Data'!BO318</f>
        <v>35324.8</v>
      </c>
      <c r="BJ317" s="30">
        <f>'Equity Volume Data'!BM317*'Equity Price Data'!BP318</f>
        <v>22800.75</v>
      </c>
      <c r="BK317" s="30">
        <f>'Equity Volume Data'!BN317*'Equity Price Data'!BQ318</f>
        <v>90586.54</v>
      </c>
      <c r="BL317" s="30">
        <f>'Equity Volume Data'!BO317*'Equity Price Data'!BR318</f>
        <v>498.67</v>
      </c>
      <c r="BM317" s="30">
        <f>'Equity Volume Data'!BP317*'Equity Price Data'!BS318</f>
        <v>10886.88</v>
      </c>
      <c r="BN317" s="30">
        <f>'Equity Volume Data'!BQ317*'Equity Price Data'!BT318</f>
        <v>21693.32</v>
      </c>
      <c r="BO317" s="30">
        <f>'Equity Volume Data'!BR317*'Equity Price Data'!BU318</f>
        <v>34127</v>
      </c>
    </row>
    <row r="318">
      <c r="A318" s="25">
        <f>'Equity Price Data'!A319</f>
        <v>45887.66667</v>
      </c>
      <c r="B318" s="29">
        <f t="shared" si="1"/>
        <v>1464123.11</v>
      </c>
      <c r="C318" s="30">
        <f>'Equity Volume Data'!F318*'Equity Price Data'!I319</f>
        <v>4644.12</v>
      </c>
      <c r="D318" s="30">
        <f>'Equity Volume Data'!G318*'Equity Price Data'!J319</f>
        <v>60187.4</v>
      </c>
      <c r="E318" s="30">
        <f>'Equity Volume Data'!H318*'Equity Price Data'!K319</f>
        <v>15692.6</v>
      </c>
      <c r="F318" s="30">
        <f>'Equity Volume Data'!I318*'Equity Price Data'!L319</f>
        <v>59107.84</v>
      </c>
      <c r="G318" s="30">
        <f>'Equity Volume Data'!J318*'Equity Price Data'!M319</f>
        <v>13572.99</v>
      </c>
      <c r="H318" s="30">
        <f>'Equity Volume Data'!K318*'Equity Price Data'!N319</f>
        <v>19127.12</v>
      </c>
      <c r="I318" s="30">
        <f>'Equity Volume Data'!L318*'Equity Price Data'!O319</f>
        <v>20290</v>
      </c>
      <c r="J318" s="30">
        <f>'Equity Volume Data'!M318*'Equity Price Data'!P319</f>
        <v>48809.04</v>
      </c>
      <c r="K318" s="30">
        <f>'Equity Volume Data'!N318*'Equity Price Data'!Q319</f>
        <v>10686</v>
      </c>
      <c r="L318" s="30">
        <f>'Equity Volume Data'!O318*'Equity Price Data'!R319</f>
        <v>16445.11</v>
      </c>
      <c r="M318" s="30">
        <f>'Equity Volume Data'!P318*'Equity Price Data'!S319</f>
        <v>0</v>
      </c>
      <c r="N318" s="30">
        <f>'Equity Volume Data'!Q318*'Equity Price Data'!T319</f>
        <v>5319.2</v>
      </c>
      <c r="O318" s="30">
        <f>'Equity Volume Data'!R318*'Equity Price Data'!U319</f>
        <v>61896</v>
      </c>
      <c r="P318" s="30">
        <f>'Equity Volume Data'!S318*'Equity Price Data'!V319</f>
        <v>32033.94</v>
      </c>
      <c r="Q318" s="30">
        <f>'Equity Volume Data'!T318*'Equity Price Data'!W319</f>
        <v>22636.8</v>
      </c>
      <c r="R318" s="30">
        <f>'Equity Volume Data'!U318*'Equity Price Data'!X319</f>
        <v>12425.6</v>
      </c>
      <c r="S318" s="30">
        <f>'Equity Volume Data'!V318*'Equity Price Data'!Y319</f>
        <v>26252.16</v>
      </c>
      <c r="T318" s="30">
        <f>'Equity Volume Data'!W318*'Equity Price Data'!Z319</f>
        <v>12135</v>
      </c>
      <c r="U318" s="30">
        <f>'Equity Volume Data'!X318*'Equity Price Data'!AA319</f>
        <v>18250.32</v>
      </c>
      <c r="V318" s="30">
        <f>'Equity Volume Data'!Y318*'Equity Price Data'!AB319</f>
        <v>16058.14</v>
      </c>
      <c r="W318" s="30">
        <f>'Equity Volume Data'!Z318*'Equity Price Data'!AC319</f>
        <v>11386.38</v>
      </c>
      <c r="X318" s="30">
        <f>'Equity Volume Data'!AA318*'Equity Price Data'!AD319</f>
        <v>0</v>
      </c>
      <c r="Y318" s="30">
        <f>'Equity Volume Data'!AB318*'Equity Price Data'!AE319</f>
        <v>5783.05</v>
      </c>
      <c r="Z318" s="30">
        <f>'Equity Volume Data'!AC318*'Equity Price Data'!AF319</f>
        <v>14854.5</v>
      </c>
      <c r="AA318" s="30">
        <f>'Equity Volume Data'!AD318*'Equity Price Data'!AG319</f>
        <v>18142.4</v>
      </c>
      <c r="AB318" s="30">
        <f>'Equity Volume Data'!AE318*'Equity Price Data'!AH319</f>
        <v>13663.2</v>
      </c>
      <c r="AC318" s="30">
        <f>'Equity Volume Data'!AF318*'Equity Price Data'!AI319</f>
        <v>18526.8</v>
      </c>
      <c r="AD318" s="30">
        <f>'Equity Volume Data'!AG318*'Equity Price Data'!AJ319</f>
        <v>14111.1</v>
      </c>
      <c r="AE318" s="30">
        <f>'Equity Volume Data'!AH318*'Equity Price Data'!AK319</f>
        <v>0</v>
      </c>
      <c r="AF318" s="30">
        <f>'Equity Volume Data'!AI318*'Equity Price Data'!AL319</f>
        <v>24187.95</v>
      </c>
      <c r="AG318" s="30">
        <f>'Equity Volume Data'!AJ318*'Equity Price Data'!AM319</f>
        <v>43857.6</v>
      </c>
      <c r="AH318" s="30">
        <f>'Equity Volume Data'!AK318*'Equity Price Data'!AN319</f>
        <v>39470</v>
      </c>
      <c r="AI318" s="30">
        <f>'Equity Volume Data'!AL318*'Equity Price Data'!AO319</f>
        <v>23607.5</v>
      </c>
      <c r="AJ318" s="30">
        <f>'Equity Volume Data'!AM318*'Equity Price Data'!AP319</f>
        <v>23132.2</v>
      </c>
      <c r="AK318" s="30">
        <f>'Equity Volume Data'!AN318*'Equity Price Data'!AQ319</f>
        <v>22620.16</v>
      </c>
      <c r="AL318" s="30">
        <f>'Equity Volume Data'!AO318*'Equity Price Data'!AR319</f>
        <v>46644.8</v>
      </c>
      <c r="AM318" s="30">
        <f>'Equity Volume Data'!AP318*'Equity Price Data'!AS319</f>
        <v>30844.8</v>
      </c>
      <c r="AN318" s="30">
        <f>'Equity Volume Data'!AQ318*'Equity Price Data'!AT319</f>
        <v>0</v>
      </c>
      <c r="AO318" s="30">
        <f>'Equity Volume Data'!AR318*'Equity Price Data'!AU319</f>
        <v>26166.56</v>
      </c>
      <c r="AP318" s="30">
        <f>'Equity Volume Data'!AS318*'Equity Price Data'!AV319</f>
        <v>23202.5</v>
      </c>
      <c r="AQ318" s="30">
        <f>'Equity Volume Data'!AT318*'Equity Price Data'!AW319</f>
        <v>17102.8</v>
      </c>
      <c r="AR318" s="30">
        <f>'Equity Volume Data'!AU318*'Equity Price Data'!AX319</f>
        <v>30544.83</v>
      </c>
      <c r="AS318" s="30">
        <f>'Equity Volume Data'!AV318*'Equity Price Data'!AY319</f>
        <v>62052</v>
      </c>
      <c r="AT318" s="30">
        <f>'Equity Volume Data'!AW318*'Equity Price Data'!AZ319</f>
        <v>15144</v>
      </c>
      <c r="AU318" s="30">
        <f>'Equity Volume Data'!AX318*'Equity Price Data'!BA319</f>
        <v>0</v>
      </c>
      <c r="AV318" s="30">
        <f>'Equity Volume Data'!AY318*'Equity Price Data'!BB319</f>
        <v>25845.42</v>
      </c>
      <c r="AW318" s="30">
        <f>'Equity Volume Data'!AZ318*'Equity Price Data'!BC319</f>
        <v>3504.4</v>
      </c>
      <c r="AX318" s="30">
        <f>'Equity Volume Data'!BA318*'Equity Price Data'!BD319</f>
        <v>0</v>
      </c>
      <c r="AY318" s="30">
        <f>'Equity Volume Data'!BB318*'Equity Price Data'!BE319</f>
        <v>69960.06</v>
      </c>
      <c r="AZ318" s="30">
        <f>'Equity Volume Data'!BC318*'Equity Price Data'!BF319</f>
        <v>10429.5</v>
      </c>
      <c r="BA318" s="30">
        <f>'Equity Volume Data'!BD318*'Equity Price Data'!BG319</f>
        <v>4763.3</v>
      </c>
      <c r="BB318" s="30">
        <f>'Equity Volume Data'!BE318*'Equity Price Data'!BH319</f>
        <v>12440</v>
      </c>
      <c r="BC318" s="30">
        <f>'Equity Volume Data'!BF318*'Equity Price Data'!BI319</f>
        <v>11955.6</v>
      </c>
      <c r="BD318" s="30">
        <f>'Equity Volume Data'!BG318*'Equity Price Data'!BJ319</f>
        <v>54353.34</v>
      </c>
      <c r="BE318" s="30">
        <f>'Equity Volume Data'!BH318*'Equity Price Data'!BK319</f>
        <v>11213.42</v>
      </c>
      <c r="BF318" s="30">
        <f>'Equity Volume Data'!BI318*'Equity Price Data'!BL319</f>
        <v>7913.2</v>
      </c>
      <c r="BG318" s="30">
        <f>'Equity Volume Data'!BJ318*'Equity Price Data'!BM319</f>
        <v>34930.7</v>
      </c>
      <c r="BH318" s="30">
        <f>'Equity Volume Data'!BK318*'Equity Price Data'!BN319</f>
        <v>0</v>
      </c>
      <c r="BI318" s="30">
        <f>'Equity Volume Data'!BL318*'Equity Price Data'!BO319</f>
        <v>35212.8</v>
      </c>
      <c r="BJ318" s="30">
        <f>'Equity Volume Data'!BM318*'Equity Price Data'!BP319</f>
        <v>23136.75</v>
      </c>
      <c r="BK318" s="30">
        <f>'Equity Volume Data'!BN318*'Equity Price Data'!BQ319</f>
        <v>90550.5</v>
      </c>
      <c r="BL318" s="30">
        <f>'Equity Volume Data'!BO318*'Equity Price Data'!BR319</f>
        <v>499.61</v>
      </c>
      <c r="BM318" s="30">
        <f>'Equity Volume Data'!BP318*'Equity Price Data'!BS319</f>
        <v>10761.6</v>
      </c>
      <c r="BN318" s="30">
        <f>'Equity Volume Data'!BQ318*'Equity Price Data'!BT319</f>
        <v>21911.4</v>
      </c>
      <c r="BO318" s="30">
        <f>'Equity Volume Data'!BR318*'Equity Price Data'!BU319</f>
        <v>34127</v>
      </c>
    </row>
    <row r="319">
      <c r="A319" s="25">
        <f>'Equity Price Data'!A320</f>
        <v>45888.66667</v>
      </c>
      <c r="B319" s="29">
        <f t="shared" si="1"/>
        <v>1456162.63</v>
      </c>
      <c r="C319" s="30">
        <f>'Equity Volume Data'!F319*'Equity Price Data'!I320</f>
        <v>4693.39</v>
      </c>
      <c r="D319" s="30">
        <f>'Equity Volume Data'!G319*'Equity Price Data'!J320</f>
        <v>59282.6</v>
      </c>
      <c r="E319" s="30">
        <f>'Equity Volume Data'!H319*'Equity Price Data'!K320</f>
        <v>15973.1</v>
      </c>
      <c r="F319" s="30">
        <f>'Equity Volume Data'!I319*'Equity Price Data'!L320</f>
        <v>59023.36</v>
      </c>
      <c r="G319" s="30">
        <f>'Equity Volume Data'!J319*'Equity Price Data'!M320</f>
        <v>13464.26</v>
      </c>
      <c r="H319" s="30">
        <f>'Equity Volume Data'!K319*'Equity Price Data'!N320</f>
        <v>19003.04</v>
      </c>
      <c r="I319" s="30">
        <f>'Equity Volume Data'!L319*'Equity Price Data'!O320</f>
        <v>20120</v>
      </c>
      <c r="J319" s="30">
        <f>'Equity Volume Data'!M319*'Equity Price Data'!P320</f>
        <v>49501.62</v>
      </c>
      <c r="K319" s="30">
        <f>'Equity Volume Data'!N319*'Equity Price Data'!Q320</f>
        <v>10740</v>
      </c>
      <c r="L319" s="30">
        <f>'Equity Volume Data'!O319*'Equity Price Data'!R320</f>
        <v>16802.06</v>
      </c>
      <c r="M319" s="30">
        <f>'Equity Volume Data'!P319*'Equity Price Data'!S320</f>
        <v>0</v>
      </c>
      <c r="N319" s="30">
        <f>'Equity Volume Data'!Q319*'Equity Price Data'!T320</f>
        <v>5358.4</v>
      </c>
      <c r="O319" s="30">
        <f>'Equity Volume Data'!R319*'Equity Price Data'!U320</f>
        <v>62413.5</v>
      </c>
      <c r="P319" s="30">
        <f>'Equity Volume Data'!S319*'Equity Price Data'!V320</f>
        <v>30782.94</v>
      </c>
      <c r="Q319" s="30">
        <f>'Equity Volume Data'!T319*'Equity Price Data'!W320</f>
        <v>22560</v>
      </c>
      <c r="R319" s="30">
        <f>'Equity Volume Data'!U319*'Equity Price Data'!X320</f>
        <v>12160</v>
      </c>
      <c r="S319" s="30">
        <f>'Equity Volume Data'!V319*'Equity Price Data'!Y320</f>
        <v>26585.68</v>
      </c>
      <c r="T319" s="30">
        <f>'Equity Volume Data'!W319*'Equity Price Data'!Z320</f>
        <v>12097.5</v>
      </c>
      <c r="U319" s="30">
        <f>'Equity Volume Data'!X319*'Equity Price Data'!AA320</f>
        <v>18514.32</v>
      </c>
      <c r="V319" s="30">
        <f>'Equity Volume Data'!Y319*'Equity Price Data'!AB320</f>
        <v>16277.1</v>
      </c>
      <c r="W319" s="30">
        <f>'Equity Volume Data'!Z319*'Equity Price Data'!AC320</f>
        <v>11493.33</v>
      </c>
      <c r="X319" s="30">
        <f>'Equity Volume Data'!AA319*'Equity Price Data'!AD320</f>
        <v>0</v>
      </c>
      <c r="Y319" s="30">
        <f>'Equity Volume Data'!AB319*'Equity Price Data'!AE320</f>
        <v>5857.28</v>
      </c>
      <c r="Z319" s="30">
        <f>'Equity Volume Data'!AC319*'Equity Price Data'!AF320</f>
        <v>14983.5</v>
      </c>
      <c r="AA319" s="30">
        <f>'Equity Volume Data'!AD319*'Equity Price Data'!AG320</f>
        <v>18261.4</v>
      </c>
      <c r="AB319" s="30">
        <f>'Equity Volume Data'!AE319*'Equity Price Data'!AH320</f>
        <v>13987.8</v>
      </c>
      <c r="AC319" s="30">
        <f>'Equity Volume Data'!AF319*'Equity Price Data'!AI320</f>
        <v>18860</v>
      </c>
      <c r="AD319" s="30">
        <f>'Equity Volume Data'!AG319*'Equity Price Data'!AJ320</f>
        <v>14238</v>
      </c>
      <c r="AE319" s="30">
        <f>'Equity Volume Data'!AH319*'Equity Price Data'!AK320</f>
        <v>0</v>
      </c>
      <c r="AF319" s="30">
        <f>'Equity Volume Data'!AI319*'Equity Price Data'!AL320</f>
        <v>24185.9</v>
      </c>
      <c r="AG319" s="30">
        <f>'Equity Volume Data'!AJ319*'Equity Price Data'!AM320</f>
        <v>43282.8</v>
      </c>
      <c r="AH319" s="30">
        <f>'Equity Volume Data'!AK319*'Equity Price Data'!AN320</f>
        <v>40720</v>
      </c>
      <c r="AI319" s="30">
        <f>'Equity Volume Data'!AL319*'Equity Price Data'!AO320</f>
        <v>23756.25</v>
      </c>
      <c r="AJ319" s="30">
        <f>'Equity Volume Data'!AM319*'Equity Price Data'!AP320</f>
        <v>23175.1</v>
      </c>
      <c r="AK319" s="30">
        <f>'Equity Volume Data'!AN319*'Equity Price Data'!AQ320</f>
        <v>22522.4</v>
      </c>
      <c r="AL319" s="30">
        <f>'Equity Volume Data'!AO319*'Equity Price Data'!AR320</f>
        <v>46505.6</v>
      </c>
      <c r="AM319" s="30">
        <f>'Equity Volume Data'!AP319*'Equity Price Data'!AS320</f>
        <v>30877</v>
      </c>
      <c r="AN319" s="30">
        <f>'Equity Volume Data'!AQ319*'Equity Price Data'!AT320</f>
        <v>0</v>
      </c>
      <c r="AO319" s="30">
        <f>'Equity Volume Data'!AR319*'Equity Price Data'!AU320</f>
        <v>25970.14</v>
      </c>
      <c r="AP319" s="30">
        <f>'Equity Volume Data'!AS319*'Equity Price Data'!AV320</f>
        <v>22475</v>
      </c>
      <c r="AQ319" s="30">
        <f>'Equity Volume Data'!AT319*'Equity Price Data'!AW320</f>
        <v>17318.4</v>
      </c>
      <c r="AR319" s="30">
        <f>'Equity Volume Data'!AU319*'Equity Price Data'!AX320</f>
        <v>29309.67</v>
      </c>
      <c r="AS319" s="30">
        <f>'Equity Volume Data'!AV319*'Equity Price Data'!AY320</f>
        <v>61172.4</v>
      </c>
      <c r="AT319" s="30">
        <f>'Equity Volume Data'!AW319*'Equity Price Data'!AZ320</f>
        <v>15302</v>
      </c>
      <c r="AU319" s="30">
        <f>'Equity Volume Data'!AX319*'Equity Price Data'!BA320</f>
        <v>0</v>
      </c>
      <c r="AV319" s="30">
        <f>'Equity Volume Data'!AY319*'Equity Price Data'!BB320</f>
        <v>24940.88</v>
      </c>
      <c r="AW319" s="30">
        <f>'Equity Volume Data'!AZ319*'Equity Price Data'!BC320</f>
        <v>3543.6</v>
      </c>
      <c r="AX319" s="30">
        <f>'Equity Volume Data'!BA319*'Equity Price Data'!BD320</f>
        <v>0</v>
      </c>
      <c r="AY319" s="30">
        <f>'Equity Volume Data'!BB319*'Equity Price Data'!BE320</f>
        <v>63415.5</v>
      </c>
      <c r="AZ319" s="30">
        <f>'Equity Volume Data'!BC319*'Equity Price Data'!BF320</f>
        <v>10357.5</v>
      </c>
      <c r="BA319" s="30">
        <f>'Equity Volume Data'!BD319*'Equity Price Data'!BG320</f>
        <v>4810.8</v>
      </c>
      <c r="BB319" s="30">
        <f>'Equity Volume Data'!BE319*'Equity Price Data'!BH320</f>
        <v>12292.8</v>
      </c>
      <c r="BC319" s="30">
        <f>'Equity Volume Data'!BF319*'Equity Price Data'!BI320</f>
        <v>11985.12</v>
      </c>
      <c r="BD319" s="30">
        <f>'Equity Volume Data'!BG319*'Equity Price Data'!BJ320</f>
        <v>55000.86</v>
      </c>
      <c r="BE319" s="30">
        <f>'Equity Volume Data'!BH319*'Equity Price Data'!BK320</f>
        <v>11460.67</v>
      </c>
      <c r="BF319" s="30">
        <f>'Equity Volume Data'!BI319*'Equity Price Data'!BL320</f>
        <v>7944</v>
      </c>
      <c r="BG319" s="30">
        <f>'Equity Volume Data'!BJ319*'Equity Price Data'!BM320</f>
        <v>34105.04</v>
      </c>
      <c r="BH319" s="30">
        <f>'Equity Volume Data'!BK319*'Equity Price Data'!BN320</f>
        <v>0</v>
      </c>
      <c r="BI319" s="30">
        <f>'Equity Volume Data'!BL319*'Equity Price Data'!BO320</f>
        <v>35803.2</v>
      </c>
      <c r="BJ319" s="30">
        <f>'Equity Volume Data'!BM319*'Equity Price Data'!BP320</f>
        <v>22818</v>
      </c>
      <c r="BK319" s="30">
        <f>'Equity Volume Data'!BN319*'Equity Price Data'!BQ320</f>
        <v>90622.58</v>
      </c>
      <c r="BL319" s="30">
        <f>'Equity Volume Data'!BO319*'Equity Price Data'!BR320</f>
        <v>501.96</v>
      </c>
      <c r="BM319" s="30">
        <f>'Equity Volume Data'!BP319*'Equity Price Data'!BS320</f>
        <v>10967.52</v>
      </c>
      <c r="BN319" s="30">
        <f>'Equity Volume Data'!BQ319*'Equity Price Data'!BT320</f>
        <v>21858.76</v>
      </c>
      <c r="BO319" s="30">
        <f>'Equity Volume Data'!BR319*'Equity Price Data'!BU320</f>
        <v>34127</v>
      </c>
    </row>
    <row r="320">
      <c r="A320" s="25">
        <f>'Equity Price Data'!A321</f>
        <v>45889.66667</v>
      </c>
      <c r="B320" s="29">
        <f t="shared" si="1"/>
        <v>1453340.67</v>
      </c>
      <c r="C320" s="30">
        <f>'Equity Volume Data'!F320*'Equity Price Data'!I321</f>
        <v>4594.59</v>
      </c>
      <c r="D320" s="30">
        <f>'Equity Volume Data'!G320*'Equity Price Data'!J321</f>
        <v>58190.6</v>
      </c>
      <c r="E320" s="30">
        <f>'Equity Volume Data'!H320*'Equity Price Data'!K321</f>
        <v>16018.2</v>
      </c>
      <c r="F320" s="30">
        <f>'Equity Volume Data'!I320*'Equity Price Data'!L321</f>
        <v>57858.56</v>
      </c>
      <c r="G320" s="30">
        <f>'Equity Volume Data'!J320*'Equity Price Data'!M321</f>
        <v>13359.68</v>
      </c>
      <c r="H320" s="30">
        <f>'Equity Volume Data'!K320*'Equity Price Data'!N321</f>
        <v>19035</v>
      </c>
      <c r="I320" s="30">
        <f>'Equity Volume Data'!L320*'Equity Price Data'!O321</f>
        <v>20260</v>
      </c>
      <c r="J320" s="30">
        <f>'Equity Volume Data'!M320*'Equity Price Data'!P321</f>
        <v>49845.36</v>
      </c>
      <c r="K320" s="30">
        <f>'Equity Volume Data'!N320*'Equity Price Data'!Q321</f>
        <v>10718</v>
      </c>
      <c r="L320" s="30">
        <f>'Equity Volume Data'!O320*'Equity Price Data'!R321</f>
        <v>16817.79</v>
      </c>
      <c r="M320" s="30">
        <f>'Equity Volume Data'!P320*'Equity Price Data'!S321</f>
        <v>0</v>
      </c>
      <c r="N320" s="30">
        <f>'Equity Volume Data'!Q320*'Equity Price Data'!T321</f>
        <v>5347.2</v>
      </c>
      <c r="O320" s="30">
        <f>'Equity Volume Data'!R320*'Equity Price Data'!U321</f>
        <v>63088.5</v>
      </c>
      <c r="P320" s="30">
        <f>'Equity Volume Data'!S320*'Equity Price Data'!V321</f>
        <v>29385.99</v>
      </c>
      <c r="Q320" s="30">
        <f>'Equity Volume Data'!T320*'Equity Price Data'!W321</f>
        <v>22714.8</v>
      </c>
      <c r="R320" s="30">
        <f>'Equity Volume Data'!U320*'Equity Price Data'!X321</f>
        <v>12257.6</v>
      </c>
      <c r="S320" s="30">
        <f>'Equity Volume Data'!V320*'Equity Price Data'!Y321</f>
        <v>26802.16</v>
      </c>
      <c r="T320" s="30">
        <f>'Equity Volume Data'!W320*'Equity Price Data'!Z321</f>
        <v>12202.5</v>
      </c>
      <c r="U320" s="30">
        <f>'Equity Volume Data'!X320*'Equity Price Data'!AA321</f>
        <v>18664.8</v>
      </c>
      <c r="V320" s="30">
        <f>'Equity Volume Data'!Y320*'Equity Price Data'!AB321</f>
        <v>16383.36</v>
      </c>
      <c r="W320" s="30">
        <f>'Equity Volume Data'!Z320*'Equity Price Data'!AC321</f>
        <v>11407.77</v>
      </c>
      <c r="X320" s="30">
        <f>'Equity Volume Data'!AA320*'Equity Price Data'!AD321</f>
        <v>0</v>
      </c>
      <c r="Y320" s="30">
        <f>'Equity Volume Data'!AB320*'Equity Price Data'!AE321</f>
        <v>5757.18</v>
      </c>
      <c r="Z320" s="30">
        <f>'Equity Volume Data'!AC320*'Equity Price Data'!AF321</f>
        <v>14872.5</v>
      </c>
      <c r="AA320" s="30">
        <f>'Equity Volume Data'!AD320*'Equity Price Data'!AG321</f>
        <v>18450.1</v>
      </c>
      <c r="AB320" s="30">
        <f>'Equity Volume Data'!AE320*'Equity Price Data'!AH321</f>
        <v>13632.6</v>
      </c>
      <c r="AC320" s="30">
        <f>'Equity Volume Data'!AF320*'Equity Price Data'!AI321</f>
        <v>18736.8</v>
      </c>
      <c r="AD320" s="30">
        <f>'Equity Volume Data'!AG320*'Equity Price Data'!AJ321</f>
        <v>14286.6</v>
      </c>
      <c r="AE320" s="30">
        <f>'Equity Volume Data'!AH320*'Equity Price Data'!AK321</f>
        <v>0</v>
      </c>
      <c r="AF320" s="30">
        <f>'Equity Volume Data'!AI320*'Equity Price Data'!AL321</f>
        <v>24339.65</v>
      </c>
      <c r="AG320" s="30">
        <f>'Equity Volume Data'!AJ320*'Equity Price Data'!AM321</f>
        <v>43240.8</v>
      </c>
      <c r="AH320" s="30">
        <f>'Equity Volume Data'!AK320*'Equity Price Data'!AN321</f>
        <v>40174</v>
      </c>
      <c r="AI320" s="30">
        <f>'Equity Volume Data'!AL320*'Equity Price Data'!AO321</f>
        <v>23675.75</v>
      </c>
      <c r="AJ320" s="30">
        <f>'Equity Volume Data'!AM320*'Equity Price Data'!AP321</f>
        <v>23569</v>
      </c>
      <c r="AK320" s="30">
        <f>'Equity Volume Data'!AN320*'Equity Price Data'!AQ321</f>
        <v>22581.15</v>
      </c>
      <c r="AL320" s="30">
        <f>'Equity Volume Data'!AO320*'Equity Price Data'!AR321</f>
        <v>46758.4</v>
      </c>
      <c r="AM320" s="30">
        <f>'Equity Volume Data'!AP320*'Equity Price Data'!AS321</f>
        <v>31220</v>
      </c>
      <c r="AN320" s="30">
        <f>'Equity Volume Data'!AQ320*'Equity Price Data'!AT321</f>
        <v>0</v>
      </c>
      <c r="AO320" s="30">
        <f>'Equity Volume Data'!AR320*'Equity Price Data'!AU321</f>
        <v>25688.32</v>
      </c>
      <c r="AP320" s="30">
        <f>'Equity Volume Data'!AS320*'Equity Price Data'!AV321</f>
        <v>23305</v>
      </c>
      <c r="AQ320" s="30">
        <f>'Equity Volume Data'!AT320*'Equity Price Data'!AW321</f>
        <v>17386.6</v>
      </c>
      <c r="AR320" s="30">
        <f>'Equity Volume Data'!AU320*'Equity Price Data'!AX321</f>
        <v>28835.91</v>
      </c>
      <c r="AS320" s="30">
        <f>'Equity Volume Data'!AV320*'Equity Price Data'!AY321</f>
        <v>60686.4</v>
      </c>
      <c r="AT320" s="30">
        <f>'Equity Volume Data'!AW320*'Equity Price Data'!AZ321</f>
        <v>15236</v>
      </c>
      <c r="AU320" s="30">
        <f>'Equity Volume Data'!AX320*'Equity Price Data'!BA321</f>
        <v>0</v>
      </c>
      <c r="AV320" s="30">
        <f>'Equity Volume Data'!AY320*'Equity Price Data'!BB321</f>
        <v>24906.8</v>
      </c>
      <c r="AW320" s="30">
        <f>'Equity Volume Data'!AZ320*'Equity Price Data'!BC321</f>
        <v>3564.8</v>
      </c>
      <c r="AX320" s="30">
        <f>'Equity Volume Data'!BA320*'Equity Price Data'!BD321</f>
        <v>0</v>
      </c>
      <c r="AY320" s="30">
        <f>'Equity Volume Data'!BB320*'Equity Price Data'!BE321</f>
        <v>62716.02</v>
      </c>
      <c r="AZ320" s="30">
        <f>'Equity Volume Data'!BC320*'Equity Price Data'!BF321</f>
        <v>10212</v>
      </c>
      <c r="BA320" s="30">
        <f>'Equity Volume Data'!BD320*'Equity Price Data'!BG321</f>
        <v>4822.2</v>
      </c>
      <c r="BB320" s="30">
        <f>'Equity Volume Data'!BE320*'Equity Price Data'!BH321</f>
        <v>12527.2</v>
      </c>
      <c r="BC320" s="30">
        <f>'Equity Volume Data'!BF320*'Equity Price Data'!BI321</f>
        <v>11860.48</v>
      </c>
      <c r="BD320" s="30">
        <f>'Equity Volume Data'!BG320*'Equity Price Data'!BJ321</f>
        <v>55169.13</v>
      </c>
      <c r="BE320" s="30">
        <f>'Equity Volume Data'!BH320*'Equity Price Data'!BK321</f>
        <v>11380.63</v>
      </c>
      <c r="BF320" s="30">
        <f>'Equity Volume Data'!BI320*'Equity Price Data'!BL321</f>
        <v>7967.6</v>
      </c>
      <c r="BG320" s="30">
        <f>'Equity Volume Data'!BJ320*'Equity Price Data'!BM321</f>
        <v>33882.64</v>
      </c>
      <c r="BH320" s="30">
        <f>'Equity Volume Data'!BK320*'Equity Price Data'!BN321</f>
        <v>0</v>
      </c>
      <c r="BI320" s="30">
        <f>'Equity Volume Data'!BL320*'Equity Price Data'!BO321</f>
        <v>36108.8</v>
      </c>
      <c r="BJ320" s="30">
        <f>'Equity Volume Data'!BM320*'Equity Price Data'!BP321</f>
        <v>22488</v>
      </c>
      <c r="BK320" s="30">
        <f>'Equity Volume Data'!BN320*'Equity Price Data'!BQ321</f>
        <v>90676.64</v>
      </c>
      <c r="BL320" s="30">
        <f>'Equity Volume Data'!BO320*'Equity Price Data'!BR321</f>
        <v>500.55</v>
      </c>
      <c r="BM320" s="30">
        <f>'Equity Volume Data'!BP320*'Equity Price Data'!BS321</f>
        <v>11041.44</v>
      </c>
      <c r="BN320" s="30">
        <f>'Equity Volume Data'!BQ320*'Equity Price Data'!BT321</f>
        <v>22003.52</v>
      </c>
      <c r="BO320" s="30">
        <f>'Equity Volume Data'!BR320*'Equity Price Data'!BU321</f>
        <v>34127</v>
      </c>
    </row>
    <row r="321">
      <c r="A321" s="25">
        <f>'Equity Price Data'!A322</f>
        <v>45890.66667</v>
      </c>
      <c r="B321" s="29">
        <f t="shared" si="1"/>
        <v>1448038.2</v>
      </c>
      <c r="C321" s="30">
        <f>'Equity Volume Data'!F321*'Equity Price Data'!I322</f>
        <v>4594.59</v>
      </c>
      <c r="D321" s="30">
        <f>'Equity Volume Data'!G321*'Equity Price Data'!J322</f>
        <v>57707</v>
      </c>
      <c r="E321" s="30">
        <f>'Equity Volume Data'!H321*'Equity Price Data'!K322</f>
        <v>16045.7</v>
      </c>
      <c r="F321" s="30">
        <f>'Equity Volume Data'!I321*'Equity Price Data'!L322</f>
        <v>57574.4</v>
      </c>
      <c r="G321" s="30">
        <f>'Equity Volume Data'!J321*'Equity Price Data'!M322</f>
        <v>13266.72</v>
      </c>
      <c r="H321" s="30">
        <f>'Equity Volume Data'!K321*'Equity Price Data'!N322</f>
        <v>19134.64</v>
      </c>
      <c r="I321" s="30">
        <f>'Equity Volume Data'!L321*'Equity Price Data'!O322</f>
        <v>20220</v>
      </c>
      <c r="J321" s="30">
        <f>'Equity Volume Data'!M321*'Equity Price Data'!P322</f>
        <v>49836.18</v>
      </c>
      <c r="K321" s="30">
        <f>'Equity Volume Data'!N321*'Equity Price Data'!Q322</f>
        <v>10900</v>
      </c>
      <c r="L321" s="30">
        <f>'Equity Volume Data'!O321*'Equity Price Data'!R322</f>
        <v>16833.52</v>
      </c>
      <c r="M321" s="30">
        <f>'Equity Volume Data'!P321*'Equity Price Data'!S322</f>
        <v>0</v>
      </c>
      <c r="N321" s="30">
        <f>'Equity Volume Data'!Q321*'Equity Price Data'!T322</f>
        <v>5200.8</v>
      </c>
      <c r="O321" s="30">
        <f>'Equity Volume Data'!R321*'Equity Price Data'!U322</f>
        <v>62683.5</v>
      </c>
      <c r="P321" s="30">
        <f>'Equity Volume Data'!S321*'Equity Price Data'!V322</f>
        <v>29786.31</v>
      </c>
      <c r="Q321" s="30">
        <f>'Equity Volume Data'!T321*'Equity Price Data'!W322</f>
        <v>22609.2</v>
      </c>
      <c r="R321" s="30">
        <f>'Equity Volume Data'!U321*'Equity Price Data'!X322</f>
        <v>12444</v>
      </c>
      <c r="S321" s="30">
        <f>'Equity Volume Data'!V321*'Equity Price Data'!Y322</f>
        <v>26483.6</v>
      </c>
      <c r="T321" s="30">
        <f>'Equity Volume Data'!W321*'Equity Price Data'!Z322</f>
        <v>12115</v>
      </c>
      <c r="U321" s="30">
        <f>'Equity Volume Data'!X321*'Equity Price Data'!AA322</f>
        <v>18654.24</v>
      </c>
      <c r="V321" s="30">
        <f>'Equity Volume Data'!Y321*'Equity Price Data'!AB322</f>
        <v>16341.5</v>
      </c>
      <c r="W321" s="30">
        <f>'Equity Volume Data'!Z321*'Equity Price Data'!AC322</f>
        <v>11300.82</v>
      </c>
      <c r="X321" s="30">
        <f>'Equity Volume Data'!AA321*'Equity Price Data'!AD322</f>
        <v>0</v>
      </c>
      <c r="Y321" s="30">
        <f>'Equity Volume Data'!AB321*'Equity Price Data'!AE322</f>
        <v>5809.18</v>
      </c>
      <c r="Z321" s="30">
        <f>'Equity Volume Data'!AC321*'Equity Price Data'!AF322</f>
        <v>14829</v>
      </c>
      <c r="AA321" s="30">
        <f>'Equity Volume Data'!AD321*'Equity Price Data'!AG322</f>
        <v>18569.1</v>
      </c>
      <c r="AB321" s="30">
        <f>'Equity Volume Data'!AE321*'Equity Price Data'!AH322</f>
        <v>13516.8</v>
      </c>
      <c r="AC321" s="30">
        <f>'Equity Volume Data'!AF321*'Equity Price Data'!AI322</f>
        <v>18680.8</v>
      </c>
      <c r="AD321" s="30">
        <f>'Equity Volume Data'!AG321*'Equity Price Data'!AJ322</f>
        <v>14243.85</v>
      </c>
      <c r="AE321" s="30">
        <f>'Equity Volume Data'!AH321*'Equity Price Data'!AK322</f>
        <v>0</v>
      </c>
      <c r="AF321" s="30">
        <f>'Equity Volume Data'!AI321*'Equity Price Data'!AL322</f>
        <v>23808.7</v>
      </c>
      <c r="AG321" s="30">
        <f>'Equity Volume Data'!AJ321*'Equity Price Data'!AM322</f>
        <v>42957</v>
      </c>
      <c r="AH321" s="30">
        <f>'Equity Volume Data'!AK321*'Equity Price Data'!AN322</f>
        <v>39770</v>
      </c>
      <c r="AI321" s="30">
        <f>'Equity Volume Data'!AL321*'Equity Price Data'!AO322</f>
        <v>23693.25</v>
      </c>
      <c r="AJ321" s="30">
        <f>'Equity Volume Data'!AM321*'Equity Price Data'!AP322</f>
        <v>23299.9</v>
      </c>
      <c r="AK321" s="30">
        <f>'Equity Volume Data'!AN321*'Equity Price Data'!AQ322</f>
        <v>22084.36</v>
      </c>
      <c r="AL321" s="30">
        <f>'Equity Volume Data'!AO321*'Equity Price Data'!AR322</f>
        <v>46635.2</v>
      </c>
      <c r="AM321" s="30">
        <f>'Equity Volume Data'!AP321*'Equity Price Data'!AS322</f>
        <v>31304</v>
      </c>
      <c r="AN321" s="30">
        <f>'Equity Volume Data'!AQ321*'Equity Price Data'!AT322</f>
        <v>0</v>
      </c>
      <c r="AO321" s="30">
        <f>'Equity Volume Data'!AR321*'Equity Price Data'!AU322</f>
        <v>25671.24</v>
      </c>
      <c r="AP321" s="30">
        <f>'Equity Volume Data'!AS321*'Equity Price Data'!AV322</f>
        <v>22775</v>
      </c>
      <c r="AQ321" s="30">
        <f>'Equity Volume Data'!AT321*'Equity Price Data'!AW322</f>
        <v>17432.8</v>
      </c>
      <c r="AR321" s="30">
        <f>'Equity Volume Data'!AU321*'Equity Price Data'!AX322</f>
        <v>28882.44</v>
      </c>
      <c r="AS321" s="30">
        <f>'Equity Volume Data'!AV321*'Equity Price Data'!AY322</f>
        <v>60508.8</v>
      </c>
      <c r="AT321" s="30">
        <f>'Equity Volume Data'!AW321*'Equity Price Data'!AZ322</f>
        <v>15216</v>
      </c>
      <c r="AU321" s="30">
        <f>'Equity Volume Data'!AX321*'Equity Price Data'!BA322</f>
        <v>0</v>
      </c>
      <c r="AV321" s="30">
        <f>'Equity Volume Data'!AY321*'Equity Price Data'!BB322</f>
        <v>24847.16</v>
      </c>
      <c r="AW321" s="30">
        <f>'Equity Volume Data'!AZ321*'Equity Price Data'!BC322</f>
        <v>3502.8</v>
      </c>
      <c r="AX321" s="30">
        <f>'Equity Volume Data'!BA321*'Equity Price Data'!BD322</f>
        <v>0</v>
      </c>
      <c r="AY321" s="30">
        <f>'Equity Volume Data'!BB321*'Equity Price Data'!BE322</f>
        <v>62784.36</v>
      </c>
      <c r="AZ321" s="30">
        <f>'Equity Volume Data'!BC321*'Equity Price Data'!BF322</f>
        <v>10132.5</v>
      </c>
      <c r="BA321" s="30">
        <f>'Equity Volume Data'!BD321*'Equity Price Data'!BG322</f>
        <v>4890.6</v>
      </c>
      <c r="BB321" s="30">
        <f>'Equity Volume Data'!BE321*'Equity Price Data'!BH322</f>
        <v>12505.6</v>
      </c>
      <c r="BC321" s="30">
        <f>'Equity Volume Data'!BF321*'Equity Price Data'!BI322</f>
        <v>11965.44</v>
      </c>
      <c r="BD321" s="30">
        <f>'Equity Volume Data'!BG321*'Equity Price Data'!BJ322</f>
        <v>54988.08</v>
      </c>
      <c r="BE321" s="30">
        <f>'Equity Volume Data'!BH321*'Equity Price Data'!BK322</f>
        <v>11126.48</v>
      </c>
      <c r="BF321" s="30">
        <f>'Equity Volume Data'!BI321*'Equity Price Data'!BL322</f>
        <v>7890.8</v>
      </c>
      <c r="BG321" s="30">
        <f>'Equity Volume Data'!BJ321*'Equity Price Data'!BM322</f>
        <v>33029.18</v>
      </c>
      <c r="BH321" s="30">
        <f>'Equity Volume Data'!BK321*'Equity Price Data'!BN322</f>
        <v>0</v>
      </c>
      <c r="BI321" s="30">
        <f>'Equity Volume Data'!BL321*'Equity Price Data'!BO322</f>
        <v>36048</v>
      </c>
      <c r="BJ321" s="30">
        <f>'Equity Volume Data'!BM321*'Equity Price Data'!BP322</f>
        <v>22751.25</v>
      </c>
      <c r="BK321" s="30">
        <f>'Equity Volume Data'!BN321*'Equity Price Data'!BQ322</f>
        <v>90658.62</v>
      </c>
      <c r="BL321" s="30">
        <f>'Equity Volume Data'!BO321*'Equity Price Data'!BR322</f>
        <v>502.43</v>
      </c>
      <c r="BM321" s="30">
        <f>'Equity Volume Data'!BP321*'Equity Price Data'!BS322</f>
        <v>11021.28</v>
      </c>
      <c r="BN321" s="30">
        <f>'Equity Volume Data'!BQ321*'Equity Price Data'!BT322</f>
        <v>21847.48</v>
      </c>
      <c r="BO321" s="30">
        <f>'Equity Volume Data'!BR321*'Equity Price Data'!BU322</f>
        <v>34127</v>
      </c>
    </row>
    <row r="322">
      <c r="A322" s="25">
        <f>'Equity Price Data'!A323</f>
        <v>45891.66667</v>
      </c>
      <c r="B322" s="29">
        <f t="shared" si="1"/>
        <v>1468153.72</v>
      </c>
      <c r="C322" s="30">
        <f>'Equity Volume Data'!F322*'Equity Price Data'!I323</f>
        <v>4707.17</v>
      </c>
      <c r="D322" s="30">
        <f>'Equity Volume Data'!G322*'Equity Price Data'!J323</f>
        <v>59498.4</v>
      </c>
      <c r="E322" s="30">
        <f>'Equity Volume Data'!H322*'Equity Price Data'!K323</f>
        <v>16082</v>
      </c>
      <c r="F322" s="30">
        <f>'Equity Volume Data'!I322*'Equity Price Data'!L323</f>
        <v>58306.56</v>
      </c>
      <c r="G322" s="30">
        <f>'Equity Volume Data'!J322*'Equity Price Data'!M323</f>
        <v>13486.67</v>
      </c>
      <c r="H322" s="30">
        <f>'Equity Volume Data'!K322*'Equity Price Data'!N323</f>
        <v>19277.52</v>
      </c>
      <c r="I322" s="30">
        <f>'Equity Volume Data'!L322*'Equity Price Data'!O323</f>
        <v>20470</v>
      </c>
      <c r="J322" s="30">
        <f>'Equity Volume Data'!M322*'Equity Price Data'!P323</f>
        <v>49878</v>
      </c>
      <c r="K322" s="30">
        <f>'Equity Volume Data'!N322*'Equity Price Data'!Q323</f>
        <v>11190</v>
      </c>
      <c r="L322" s="30">
        <f>'Equity Volume Data'!O322*'Equity Price Data'!R323</f>
        <v>16856.51</v>
      </c>
      <c r="M322" s="30">
        <f>'Equity Volume Data'!P322*'Equity Price Data'!S323</f>
        <v>0</v>
      </c>
      <c r="N322" s="30">
        <f>'Equity Volume Data'!Q322*'Equity Price Data'!T323</f>
        <v>5420</v>
      </c>
      <c r="O322" s="30">
        <f>'Equity Volume Data'!R322*'Equity Price Data'!U323</f>
        <v>65350.5</v>
      </c>
      <c r="P322" s="30">
        <f>'Equity Volume Data'!S322*'Equity Price Data'!V323</f>
        <v>31237.47</v>
      </c>
      <c r="Q322" s="30">
        <f>'Equity Volume Data'!T322*'Equity Price Data'!W323</f>
        <v>22850.4</v>
      </c>
      <c r="R322" s="30">
        <f>'Equity Volume Data'!U322*'Equity Price Data'!X323</f>
        <v>12654.4</v>
      </c>
      <c r="S322" s="30">
        <f>'Equity Volume Data'!V322*'Equity Price Data'!Y323</f>
        <v>26782.8</v>
      </c>
      <c r="T322" s="30">
        <f>'Equity Volume Data'!W322*'Equity Price Data'!Z323</f>
        <v>12692.5</v>
      </c>
      <c r="U322" s="30">
        <f>'Equity Volume Data'!X322*'Equity Price Data'!AA323</f>
        <v>18514.32</v>
      </c>
      <c r="V322" s="30">
        <f>'Equity Volume Data'!Y322*'Equity Price Data'!AB323</f>
        <v>16365.65</v>
      </c>
      <c r="W322" s="30">
        <f>'Equity Volume Data'!Z322*'Equity Price Data'!AC323</f>
        <v>11527.14</v>
      </c>
      <c r="X322" s="30">
        <f>'Equity Volume Data'!AA322*'Equity Price Data'!AD323</f>
        <v>0</v>
      </c>
      <c r="Y322" s="30">
        <f>'Equity Volume Data'!AB322*'Equity Price Data'!AE323</f>
        <v>5862.87</v>
      </c>
      <c r="Z322" s="30">
        <f>'Equity Volume Data'!AC322*'Equity Price Data'!AF323</f>
        <v>14883</v>
      </c>
      <c r="AA322" s="30">
        <f>'Equity Volume Data'!AD322*'Equity Price Data'!AG323</f>
        <v>18917.6</v>
      </c>
      <c r="AB322" s="30">
        <f>'Equity Volume Data'!AE322*'Equity Price Data'!AH323</f>
        <v>14208</v>
      </c>
      <c r="AC322" s="30">
        <f>'Equity Volume Data'!AF322*'Equity Price Data'!AI323</f>
        <v>18840.8</v>
      </c>
      <c r="AD322" s="30">
        <f>'Equity Volume Data'!AG322*'Equity Price Data'!AJ323</f>
        <v>14382.45</v>
      </c>
      <c r="AE322" s="30">
        <f>'Equity Volume Data'!AH322*'Equity Price Data'!AK323</f>
        <v>0</v>
      </c>
      <c r="AF322" s="30">
        <f>'Equity Volume Data'!AI322*'Equity Price Data'!AL323</f>
        <v>23527.85</v>
      </c>
      <c r="AG322" s="30">
        <f>'Equity Volume Data'!AJ322*'Equity Price Data'!AM323</f>
        <v>44513.4</v>
      </c>
      <c r="AH322" s="30">
        <f>'Equity Volume Data'!AK322*'Equity Price Data'!AN323</f>
        <v>41279</v>
      </c>
      <c r="AI322" s="30">
        <f>'Equity Volume Data'!AL322*'Equity Price Data'!AO323</f>
        <v>24277.75</v>
      </c>
      <c r="AJ322" s="30">
        <f>'Equity Volume Data'!AM322*'Equity Price Data'!AP323</f>
        <v>23487.1</v>
      </c>
      <c r="AK322" s="30">
        <f>'Equity Volume Data'!AN322*'Equity Price Data'!AQ323</f>
        <v>22379.52</v>
      </c>
      <c r="AL322" s="30">
        <f>'Equity Volume Data'!AO322*'Equity Price Data'!AR323</f>
        <v>47398.4</v>
      </c>
      <c r="AM322" s="30">
        <f>'Equity Volume Data'!AP322*'Equity Price Data'!AS323</f>
        <v>31234</v>
      </c>
      <c r="AN322" s="30">
        <f>'Equity Volume Data'!AQ322*'Equity Price Data'!AT323</f>
        <v>0</v>
      </c>
      <c r="AO322" s="30">
        <f>'Equity Volume Data'!AR322*'Equity Price Data'!AU323</f>
        <v>26251.96</v>
      </c>
      <c r="AP322" s="30">
        <f>'Equity Volume Data'!AS322*'Equity Price Data'!AV323</f>
        <v>23177.5</v>
      </c>
      <c r="AQ322" s="30">
        <f>'Equity Volume Data'!AT322*'Equity Price Data'!AW323</f>
        <v>17927.8</v>
      </c>
      <c r="AR322" s="30">
        <f>'Equity Volume Data'!AU322*'Equity Price Data'!AX323</f>
        <v>28713.24</v>
      </c>
      <c r="AS322" s="30">
        <f>'Equity Volume Data'!AV322*'Equity Price Data'!AY323</f>
        <v>60867.6</v>
      </c>
      <c r="AT322" s="30">
        <f>'Equity Volume Data'!AW322*'Equity Price Data'!AZ323</f>
        <v>15264</v>
      </c>
      <c r="AU322" s="30">
        <f>'Equity Volume Data'!AX322*'Equity Price Data'!BA323</f>
        <v>0</v>
      </c>
      <c r="AV322" s="30">
        <f>'Equity Volume Data'!AY322*'Equity Price Data'!BB323</f>
        <v>25274.58</v>
      </c>
      <c r="AW322" s="30">
        <f>'Equity Volume Data'!AZ322*'Equity Price Data'!BC323</f>
        <v>3543.2</v>
      </c>
      <c r="AX322" s="30">
        <f>'Equity Volume Data'!BA322*'Equity Price Data'!BD323</f>
        <v>0</v>
      </c>
      <c r="AY322" s="30">
        <f>'Equity Volume Data'!BB322*'Equity Price Data'!BE323</f>
        <v>63813.48</v>
      </c>
      <c r="AZ322" s="30">
        <f>'Equity Volume Data'!BC322*'Equity Price Data'!BF323</f>
        <v>10485</v>
      </c>
      <c r="BA322" s="30">
        <f>'Equity Volume Data'!BD322*'Equity Price Data'!BG323</f>
        <v>4917.2</v>
      </c>
      <c r="BB322" s="30">
        <f>'Equity Volume Data'!BE322*'Equity Price Data'!BH323</f>
        <v>12499.2</v>
      </c>
      <c r="BC322" s="30">
        <f>'Equity Volume Data'!BF322*'Equity Price Data'!BI323</f>
        <v>12139.28</v>
      </c>
      <c r="BD322" s="30">
        <f>'Equity Volume Data'!BG322*'Equity Price Data'!BJ323</f>
        <v>53665.35</v>
      </c>
      <c r="BE322" s="30">
        <f>'Equity Volume Data'!BH322*'Equity Price Data'!BK323</f>
        <v>11499.77</v>
      </c>
      <c r="BF322" s="30">
        <f>'Equity Volume Data'!BI322*'Equity Price Data'!BL323</f>
        <v>8054.8</v>
      </c>
      <c r="BG322" s="30">
        <f>'Equity Volume Data'!BJ322*'Equity Price Data'!BM323</f>
        <v>33318.3</v>
      </c>
      <c r="BH322" s="30">
        <f>'Equity Volume Data'!BK322*'Equity Price Data'!BN323</f>
        <v>0</v>
      </c>
      <c r="BI322" s="30">
        <f>'Equity Volume Data'!BL322*'Equity Price Data'!BO323</f>
        <v>36456</v>
      </c>
      <c r="BJ322" s="30">
        <f>'Equity Volume Data'!BM322*'Equity Price Data'!BP323</f>
        <v>23056.5</v>
      </c>
      <c r="BK322" s="30">
        <f>'Equity Volume Data'!BN322*'Equity Price Data'!BQ323</f>
        <v>91019.02</v>
      </c>
      <c r="BL322" s="30">
        <f>'Equity Volume Data'!BO322*'Equity Price Data'!BR323</f>
        <v>500.55</v>
      </c>
      <c r="BM322" s="30">
        <f>'Equity Volume Data'!BP322*'Equity Price Data'!BS323</f>
        <v>10896.96</v>
      </c>
      <c r="BN322" s="30">
        <f>'Equity Volume Data'!BQ322*'Equity Price Data'!BT323</f>
        <v>22345.68</v>
      </c>
      <c r="BO322" s="30">
        <f>'Equity Volume Data'!BR322*'Equity Price Data'!BU323</f>
        <v>34127</v>
      </c>
    </row>
    <row r="323">
      <c r="A323" s="25">
        <f>'Equity Price Data'!A324</f>
        <v>45894.66667</v>
      </c>
      <c r="B323" s="29">
        <f t="shared" si="1"/>
        <v>1459171.18</v>
      </c>
      <c r="C323" s="30">
        <f>'Equity Volume Data'!F323*'Equity Price Data'!I324</f>
        <v>4721.73</v>
      </c>
      <c r="D323" s="30">
        <f>'Equity Volume Data'!G323*'Equity Price Data'!J324</f>
        <v>59264.4</v>
      </c>
      <c r="E323" s="30">
        <f>'Equity Volume Data'!H323*'Equity Price Data'!K324</f>
        <v>15884</v>
      </c>
      <c r="F323" s="30">
        <f>'Equity Volume Data'!I323*'Equity Price Data'!L324</f>
        <v>58152.96</v>
      </c>
      <c r="G323" s="30">
        <f>'Equity Volume Data'!J323*'Equity Price Data'!M324</f>
        <v>13445.17</v>
      </c>
      <c r="H323" s="30">
        <f>'Equity Volume Data'!K323*'Equity Price Data'!N324</f>
        <v>19386.56</v>
      </c>
      <c r="I323" s="30">
        <f>'Equity Volume Data'!L323*'Equity Price Data'!O324</f>
        <v>20400</v>
      </c>
      <c r="J323" s="30">
        <f>'Equity Volume Data'!M323*'Equity Price Data'!P324</f>
        <v>49590.36</v>
      </c>
      <c r="K323" s="30">
        <f>'Equity Volume Data'!N323*'Equity Price Data'!Q324</f>
        <v>11154</v>
      </c>
      <c r="L323" s="30">
        <f>'Equity Volume Data'!O323*'Equity Price Data'!R324</f>
        <v>16499.56</v>
      </c>
      <c r="M323" s="30">
        <f>'Equity Volume Data'!P323*'Equity Price Data'!S324</f>
        <v>0</v>
      </c>
      <c r="N323" s="30">
        <f>'Equity Volume Data'!Q323*'Equity Price Data'!T324</f>
        <v>5280</v>
      </c>
      <c r="O323" s="30">
        <f>'Equity Volume Data'!R323*'Equity Price Data'!U324</f>
        <v>64845</v>
      </c>
      <c r="P323" s="30">
        <f>'Equity Volume Data'!S323*'Equity Price Data'!V324</f>
        <v>31262.49</v>
      </c>
      <c r="Q323" s="30">
        <f>'Equity Volume Data'!T323*'Equity Price Data'!W324</f>
        <v>22526.4</v>
      </c>
      <c r="R323" s="30">
        <f>'Equity Volume Data'!U323*'Equity Price Data'!X324</f>
        <v>12656</v>
      </c>
      <c r="S323" s="30">
        <f>'Equity Volume Data'!V323*'Equity Price Data'!Y324</f>
        <v>26466.88</v>
      </c>
      <c r="T323" s="30">
        <f>'Equity Volume Data'!W323*'Equity Price Data'!Z324</f>
        <v>12672.5</v>
      </c>
      <c r="U323" s="30">
        <f>'Equity Volume Data'!X323*'Equity Price Data'!AA324</f>
        <v>18197.52</v>
      </c>
      <c r="V323" s="30">
        <f>'Equity Volume Data'!Y323*'Equity Price Data'!AB324</f>
        <v>16091.95</v>
      </c>
      <c r="W323" s="30">
        <f>'Equity Volume Data'!Z323*'Equity Price Data'!AC324</f>
        <v>11444.34</v>
      </c>
      <c r="X323" s="30">
        <f>'Equity Volume Data'!AA323*'Equity Price Data'!AD324</f>
        <v>0</v>
      </c>
      <c r="Y323" s="30">
        <f>'Equity Volume Data'!AB323*'Equity Price Data'!AE324</f>
        <v>5988.58</v>
      </c>
      <c r="Z323" s="30">
        <f>'Equity Volume Data'!AC323*'Equity Price Data'!AF324</f>
        <v>14782.5</v>
      </c>
      <c r="AA323" s="30">
        <f>'Equity Volume Data'!AD323*'Equity Price Data'!AG324</f>
        <v>18995.8</v>
      </c>
      <c r="AB323" s="30">
        <f>'Equity Volume Data'!AE323*'Equity Price Data'!AH324</f>
        <v>13980</v>
      </c>
      <c r="AC323" s="30">
        <f>'Equity Volume Data'!AF323*'Equity Price Data'!AI324</f>
        <v>18701.6</v>
      </c>
      <c r="AD323" s="30">
        <f>'Equity Volume Data'!AG323*'Equity Price Data'!AJ324</f>
        <v>14395.05</v>
      </c>
      <c r="AE323" s="30">
        <f>'Equity Volume Data'!AH323*'Equity Price Data'!AK324</f>
        <v>0</v>
      </c>
      <c r="AF323" s="30">
        <f>'Equity Volume Data'!AI323*'Equity Price Data'!AL324</f>
        <v>23400.75</v>
      </c>
      <c r="AG323" s="30">
        <f>'Equity Volume Data'!AJ323*'Equity Price Data'!AM324</f>
        <v>44327.4</v>
      </c>
      <c r="AH323" s="30">
        <f>'Equity Volume Data'!AK323*'Equity Price Data'!AN324</f>
        <v>40890</v>
      </c>
      <c r="AI323" s="30">
        <f>'Equity Volume Data'!AL323*'Equity Price Data'!AO324</f>
        <v>23833.25</v>
      </c>
      <c r="AJ323" s="30">
        <f>'Equity Volume Data'!AM323*'Equity Price Data'!AP324</f>
        <v>23288.2</v>
      </c>
      <c r="AK323" s="30">
        <f>'Equity Volume Data'!AN323*'Equity Price Data'!AQ324</f>
        <v>22016.68</v>
      </c>
      <c r="AL323" s="30">
        <f>'Equity Volume Data'!AO323*'Equity Price Data'!AR324</f>
        <v>47184</v>
      </c>
      <c r="AM323" s="30">
        <f>'Equity Volume Data'!AP323*'Equity Price Data'!AS324</f>
        <v>31340.4</v>
      </c>
      <c r="AN323" s="30">
        <f>'Equity Volume Data'!AQ323*'Equity Price Data'!AT324</f>
        <v>0</v>
      </c>
      <c r="AO323" s="30">
        <f>'Equity Volume Data'!AR323*'Equity Price Data'!AU324</f>
        <v>25671.24</v>
      </c>
      <c r="AP323" s="30">
        <f>'Equity Volume Data'!AS323*'Equity Price Data'!AV324</f>
        <v>23010</v>
      </c>
      <c r="AQ323" s="30">
        <f>'Equity Volume Data'!AT323*'Equity Price Data'!AW324</f>
        <v>17782.6</v>
      </c>
      <c r="AR323" s="30">
        <f>'Equity Volume Data'!AU323*'Equity Price Data'!AX324</f>
        <v>30587.13</v>
      </c>
      <c r="AS323" s="30">
        <f>'Equity Volume Data'!AV323*'Equity Price Data'!AY324</f>
        <v>60511.2</v>
      </c>
      <c r="AT323" s="30">
        <f>'Equity Volume Data'!AW323*'Equity Price Data'!AZ324</f>
        <v>15064</v>
      </c>
      <c r="AU323" s="30">
        <f>'Equity Volume Data'!AX323*'Equity Price Data'!BA324</f>
        <v>0</v>
      </c>
      <c r="AV323" s="30">
        <f>'Equity Volume Data'!AY323*'Equity Price Data'!BB324</f>
        <v>25533.02</v>
      </c>
      <c r="AW323" s="30">
        <f>'Equity Volume Data'!AZ323*'Equity Price Data'!BC324</f>
        <v>3474.4</v>
      </c>
      <c r="AX323" s="30">
        <f>'Equity Volume Data'!BA323*'Equity Price Data'!BD324</f>
        <v>0</v>
      </c>
      <c r="AY323" s="30">
        <f>'Equity Volume Data'!BB323*'Equity Price Data'!BE324</f>
        <v>63182.34</v>
      </c>
      <c r="AZ323" s="30">
        <f>'Equity Volume Data'!BC323*'Equity Price Data'!BF324</f>
        <v>10422</v>
      </c>
      <c r="BA323" s="30">
        <f>'Equity Volume Data'!BD323*'Equity Price Data'!BG324</f>
        <v>4776.6</v>
      </c>
      <c r="BB323" s="30">
        <f>'Equity Volume Data'!BE323*'Equity Price Data'!BH324</f>
        <v>12501.6</v>
      </c>
      <c r="BC323" s="30">
        <f>'Equity Volume Data'!BF323*'Equity Price Data'!BI324</f>
        <v>11699.76</v>
      </c>
      <c r="BD323" s="30">
        <f>'Equity Volume Data'!BG323*'Equity Price Data'!BJ324</f>
        <v>53620.62</v>
      </c>
      <c r="BE323" s="30">
        <f>'Equity Volume Data'!BH323*'Equity Price Data'!BK324</f>
        <v>11287.25</v>
      </c>
      <c r="BF323" s="30">
        <f>'Equity Volume Data'!BI323*'Equity Price Data'!BL324</f>
        <v>7934.8</v>
      </c>
      <c r="BG323" s="30">
        <f>'Equity Volume Data'!BJ323*'Equity Price Data'!BM324</f>
        <v>31961.66</v>
      </c>
      <c r="BH323" s="30">
        <f>'Equity Volume Data'!BK323*'Equity Price Data'!BN324</f>
        <v>0</v>
      </c>
      <c r="BI323" s="30">
        <f>'Equity Volume Data'!BL323*'Equity Price Data'!BO324</f>
        <v>35731.2</v>
      </c>
      <c r="BJ323" s="30">
        <f>'Equity Volume Data'!BM323*'Equity Price Data'!BP324</f>
        <v>22864.5</v>
      </c>
      <c r="BK323" s="30">
        <f>'Equity Volume Data'!BN323*'Equity Price Data'!BQ324</f>
        <v>90982.98</v>
      </c>
      <c r="BL323" s="30">
        <f>'Equity Volume Data'!BO323*'Equity Price Data'!BR324</f>
        <v>495.85</v>
      </c>
      <c r="BM323" s="30">
        <f>'Equity Volume Data'!BP323*'Equity Price Data'!BS324</f>
        <v>10753.92</v>
      </c>
      <c r="BN323" s="30">
        <f>'Equity Volume Data'!BQ323*'Equity Price Data'!BT324</f>
        <v>22129.48</v>
      </c>
      <c r="BO323" s="30">
        <f>'Equity Volume Data'!BR323*'Equity Price Data'!BU324</f>
        <v>34127</v>
      </c>
    </row>
    <row r="324">
      <c r="A324" s="25">
        <f>'Equity Price Data'!A325</f>
        <v>45895.66667</v>
      </c>
      <c r="B324" s="29">
        <f t="shared" si="1"/>
        <v>1463724.26</v>
      </c>
      <c r="C324" s="30">
        <f>'Equity Volume Data'!F324*'Equity Price Data'!I325</f>
        <v>4613.83</v>
      </c>
      <c r="D324" s="30">
        <f>'Equity Volume Data'!G324*'Equity Price Data'!J325</f>
        <v>59464.6</v>
      </c>
      <c r="E324" s="30">
        <f>'Equity Volume Data'!H324*'Equity Price Data'!K325</f>
        <v>15834.5</v>
      </c>
      <c r="F324" s="30">
        <f>'Equity Volume Data'!I324*'Equity Price Data'!L325</f>
        <v>58703.36</v>
      </c>
      <c r="G324" s="30">
        <f>'Equity Volume Data'!J324*'Equity Price Data'!M325</f>
        <v>13654.33</v>
      </c>
      <c r="H324" s="30">
        <f>'Equity Volume Data'!K324*'Equity Price Data'!N325</f>
        <v>19662.92</v>
      </c>
      <c r="I324" s="30">
        <f>'Equity Volume Data'!L324*'Equity Price Data'!O325</f>
        <v>20400</v>
      </c>
      <c r="J324" s="30">
        <f>'Equity Volume Data'!M324*'Equity Price Data'!P325</f>
        <v>50205.42</v>
      </c>
      <c r="K324" s="30">
        <f>'Equity Volume Data'!N324*'Equity Price Data'!Q325</f>
        <v>11130</v>
      </c>
      <c r="L324" s="30">
        <f>'Equity Volume Data'!O324*'Equity Price Data'!R325</f>
        <v>16543.12</v>
      </c>
      <c r="M324" s="30">
        <f>'Equity Volume Data'!P324*'Equity Price Data'!S325</f>
        <v>0</v>
      </c>
      <c r="N324" s="30">
        <f>'Equity Volume Data'!Q324*'Equity Price Data'!T325</f>
        <v>5318.4</v>
      </c>
      <c r="O324" s="30">
        <f>'Equity Volume Data'!R324*'Equity Price Data'!U325</f>
        <v>64689</v>
      </c>
      <c r="P324" s="30">
        <f>'Equity Volume Data'!S324*'Equity Price Data'!V325</f>
        <v>31904.67</v>
      </c>
      <c r="Q324" s="30">
        <f>'Equity Volume Data'!T324*'Equity Price Data'!W325</f>
        <v>22514.4</v>
      </c>
      <c r="R324" s="30">
        <f>'Equity Volume Data'!U324*'Equity Price Data'!X325</f>
        <v>12588.8</v>
      </c>
      <c r="S324" s="30">
        <f>'Equity Volume Data'!V324*'Equity Price Data'!Y325</f>
        <v>26428.16</v>
      </c>
      <c r="T324" s="30">
        <f>'Equity Volume Data'!W324*'Equity Price Data'!Z325</f>
        <v>12827.5</v>
      </c>
      <c r="U324" s="30">
        <f>'Equity Volume Data'!X324*'Equity Price Data'!AA325</f>
        <v>18144.72</v>
      </c>
      <c r="V324" s="30">
        <f>'Equity Volume Data'!Y324*'Equity Price Data'!AB325</f>
        <v>16054.92</v>
      </c>
      <c r="W324" s="30">
        <f>'Equity Volume Data'!Z324*'Equity Price Data'!AC325</f>
        <v>11586.48</v>
      </c>
      <c r="X324" s="30">
        <f>'Equity Volume Data'!AA324*'Equity Price Data'!AD325</f>
        <v>0</v>
      </c>
      <c r="Y324" s="30">
        <f>'Equity Volume Data'!AB324*'Equity Price Data'!AE325</f>
        <v>5865.86</v>
      </c>
      <c r="Z324" s="30">
        <f>'Equity Volume Data'!AC324*'Equity Price Data'!AF325</f>
        <v>14196</v>
      </c>
      <c r="AA324" s="30">
        <f>'Equity Volume Data'!AD324*'Equity Price Data'!AG325</f>
        <v>18953.3</v>
      </c>
      <c r="AB324" s="30">
        <f>'Equity Volume Data'!AE324*'Equity Price Data'!AH325</f>
        <v>13866</v>
      </c>
      <c r="AC324" s="30">
        <f>'Equity Volume Data'!AF324*'Equity Price Data'!AI325</f>
        <v>18717.6</v>
      </c>
      <c r="AD324" s="30">
        <f>'Equity Volume Data'!AG324*'Equity Price Data'!AJ325</f>
        <v>14498.1</v>
      </c>
      <c r="AE324" s="30">
        <f>'Equity Volume Data'!AH324*'Equity Price Data'!AK325</f>
        <v>0</v>
      </c>
      <c r="AF324" s="30">
        <f>'Equity Volume Data'!AI324*'Equity Price Data'!AL325</f>
        <v>23523.75</v>
      </c>
      <c r="AG324" s="30">
        <f>'Equity Volume Data'!AJ324*'Equity Price Data'!AM325</f>
        <v>44937</v>
      </c>
      <c r="AH324" s="30">
        <f>'Equity Volume Data'!AK324*'Equity Price Data'!AN325</f>
        <v>40754</v>
      </c>
      <c r="AI324" s="30">
        <f>'Equity Volume Data'!AL324*'Equity Price Data'!AO325</f>
        <v>23899.75</v>
      </c>
      <c r="AJ324" s="30">
        <f>'Equity Volume Data'!AM324*'Equity Price Data'!AP325</f>
        <v>23236.2</v>
      </c>
      <c r="AK324" s="30">
        <f>'Equity Volume Data'!AN324*'Equity Price Data'!AQ325</f>
        <v>22290.22</v>
      </c>
      <c r="AL324" s="30">
        <f>'Equity Volume Data'!AO324*'Equity Price Data'!AR325</f>
        <v>47771.2</v>
      </c>
      <c r="AM324" s="30">
        <f>'Equity Volume Data'!AP324*'Equity Price Data'!AS325</f>
        <v>31882.2</v>
      </c>
      <c r="AN324" s="30">
        <f>'Equity Volume Data'!AQ324*'Equity Price Data'!AT325</f>
        <v>0</v>
      </c>
      <c r="AO324" s="30">
        <f>'Equity Volume Data'!AR324*'Equity Price Data'!AU325</f>
        <v>25705.4</v>
      </c>
      <c r="AP324" s="30">
        <f>'Equity Volume Data'!AS324*'Equity Price Data'!AV325</f>
        <v>23045</v>
      </c>
      <c r="AQ324" s="30">
        <f>'Equity Volume Data'!AT324*'Equity Price Data'!AW325</f>
        <v>17822.2</v>
      </c>
      <c r="AR324" s="30">
        <f>'Equity Volume Data'!AU324*'Equity Price Data'!AX325</f>
        <v>29538.09</v>
      </c>
      <c r="AS324" s="30">
        <f>'Equity Volume Data'!AV324*'Equity Price Data'!AY325</f>
        <v>60244.8</v>
      </c>
      <c r="AT324" s="30">
        <f>'Equity Volume Data'!AW324*'Equity Price Data'!AZ325</f>
        <v>14968</v>
      </c>
      <c r="AU324" s="30">
        <f>'Equity Volume Data'!AX324*'Equity Price Data'!BA325</f>
        <v>0</v>
      </c>
      <c r="AV324" s="30">
        <f>'Equity Volume Data'!AY324*'Equity Price Data'!BB325</f>
        <v>25811.34</v>
      </c>
      <c r="AW324" s="30">
        <f>'Equity Volume Data'!AZ324*'Equity Price Data'!BC325</f>
        <v>3505.2</v>
      </c>
      <c r="AX324" s="30">
        <f>'Equity Volume Data'!BA324*'Equity Price Data'!BD325</f>
        <v>0</v>
      </c>
      <c r="AY324" s="30">
        <f>'Equity Volume Data'!BB324*'Equity Price Data'!BE325</f>
        <v>64669.74</v>
      </c>
      <c r="AZ324" s="30">
        <f>'Equity Volume Data'!BC324*'Equity Price Data'!BF325</f>
        <v>10527</v>
      </c>
      <c r="BA324" s="30">
        <f>'Equity Volume Data'!BD324*'Equity Price Data'!BG325</f>
        <v>4734.8</v>
      </c>
      <c r="BB324" s="30">
        <f>'Equity Volume Data'!BE324*'Equity Price Data'!BH325</f>
        <v>12765.6</v>
      </c>
      <c r="BC324" s="30">
        <f>'Equity Volume Data'!BF324*'Equity Price Data'!BI325</f>
        <v>12227.84</v>
      </c>
      <c r="BD324" s="30">
        <f>'Equity Volume Data'!BG324*'Equity Price Data'!BJ325</f>
        <v>53505.6</v>
      </c>
      <c r="BE324" s="30">
        <f>'Equity Volume Data'!BH324*'Equity Price Data'!BK325</f>
        <v>11235.04</v>
      </c>
      <c r="BF324" s="30">
        <f>'Equity Volume Data'!BI324*'Equity Price Data'!BL325</f>
        <v>7894</v>
      </c>
      <c r="BG324" s="30">
        <f>'Equity Volume Data'!BJ324*'Equity Price Data'!BM325</f>
        <v>32020.04</v>
      </c>
      <c r="BH324" s="30">
        <f>'Equity Volume Data'!BK324*'Equity Price Data'!BN325</f>
        <v>0</v>
      </c>
      <c r="BI324" s="30">
        <f>'Equity Volume Data'!BL324*'Equity Price Data'!BO325</f>
        <v>35638.4</v>
      </c>
      <c r="BJ324" s="30">
        <f>'Equity Volume Data'!BM324*'Equity Price Data'!BP325</f>
        <v>22532.25</v>
      </c>
      <c r="BK324" s="30">
        <f>'Equity Volume Data'!BN324*'Equity Price Data'!BQ325</f>
        <v>91127.14</v>
      </c>
      <c r="BL324" s="30">
        <f>'Equity Volume Data'!BO324*'Equity Price Data'!BR325</f>
        <v>489.27</v>
      </c>
      <c r="BM324" s="30">
        <f>'Equity Volume Data'!BP324*'Equity Price Data'!BS325</f>
        <v>10812</v>
      </c>
      <c r="BN324" s="30">
        <f>'Equity Volume Data'!BQ324*'Equity Price Data'!BT325</f>
        <v>22118.2</v>
      </c>
      <c r="BO324" s="30">
        <f>'Equity Volume Data'!BR324*'Equity Price Data'!BU325</f>
        <v>34127</v>
      </c>
    </row>
    <row r="325">
      <c r="A325" s="25">
        <f>'Equity Price Data'!A326</f>
        <v>45896.66667</v>
      </c>
      <c r="B325" s="29">
        <f t="shared" si="1"/>
        <v>1465937.31</v>
      </c>
      <c r="C325" s="30">
        <f>'Equity Volume Data'!F325*'Equity Price Data'!I326</f>
        <v>4632.55</v>
      </c>
      <c r="D325" s="30">
        <f>'Equity Volume Data'!G325*'Equity Price Data'!J326</f>
        <v>59571.2</v>
      </c>
      <c r="E325" s="30">
        <f>'Equity Volume Data'!H325*'Equity Price Data'!K326</f>
        <v>15922.5</v>
      </c>
      <c r="F325" s="30">
        <f>'Equity Volume Data'!I325*'Equity Price Data'!L326</f>
        <v>59005.44</v>
      </c>
      <c r="G325" s="30">
        <f>'Equity Volume Data'!J325*'Equity Price Data'!M326</f>
        <v>13644.37</v>
      </c>
      <c r="H325" s="30">
        <f>'Equity Volume Data'!K325*'Equity Price Data'!N326</f>
        <v>19745.64</v>
      </c>
      <c r="I325" s="30">
        <f>'Equity Volume Data'!L325*'Equity Price Data'!O326</f>
        <v>20130</v>
      </c>
      <c r="J325" s="30">
        <f>'Equity Volume Data'!M325*'Equity Price Data'!P326</f>
        <v>50563.44</v>
      </c>
      <c r="K325" s="30">
        <f>'Equity Volume Data'!N325*'Equity Price Data'!Q326</f>
        <v>11174</v>
      </c>
      <c r="L325" s="30">
        <f>'Equity Volume Data'!O325*'Equity Price Data'!R326</f>
        <v>16499.56</v>
      </c>
      <c r="M325" s="30">
        <f>'Equity Volume Data'!P325*'Equity Price Data'!S326</f>
        <v>0</v>
      </c>
      <c r="N325" s="30">
        <f>'Equity Volume Data'!Q325*'Equity Price Data'!T326</f>
        <v>5407.2</v>
      </c>
      <c r="O325" s="30">
        <f>'Equity Volume Data'!R325*'Equity Price Data'!U326</f>
        <v>64900.5</v>
      </c>
      <c r="P325" s="30">
        <f>'Equity Volume Data'!S325*'Equity Price Data'!V326</f>
        <v>31391.76</v>
      </c>
      <c r="Q325" s="30">
        <f>'Equity Volume Data'!T325*'Equity Price Data'!W326</f>
        <v>22880.4</v>
      </c>
      <c r="R325" s="30">
        <f>'Equity Volume Data'!U325*'Equity Price Data'!X326</f>
        <v>12739.2</v>
      </c>
      <c r="S325" s="30">
        <f>'Equity Volume Data'!V325*'Equity Price Data'!Y326</f>
        <v>26395.6</v>
      </c>
      <c r="T325" s="30">
        <f>'Equity Volume Data'!W325*'Equity Price Data'!Z326</f>
        <v>12975</v>
      </c>
      <c r="U325" s="30">
        <f>'Equity Volume Data'!X325*'Equity Price Data'!AA326</f>
        <v>18171.12</v>
      </c>
      <c r="V325" s="30">
        <f>'Equity Volume Data'!Y325*'Equity Price Data'!AB326</f>
        <v>16111.27</v>
      </c>
      <c r="W325" s="30">
        <f>'Equity Volume Data'!Z325*'Equity Price Data'!AC326</f>
        <v>11711.37</v>
      </c>
      <c r="X325" s="30">
        <f>'Equity Volume Data'!AA325*'Equity Price Data'!AD326</f>
        <v>0</v>
      </c>
      <c r="Y325" s="30">
        <f>'Equity Volume Data'!AB325*'Equity Price Data'!AE326</f>
        <v>5883.15</v>
      </c>
      <c r="Z325" s="30">
        <f>'Equity Volume Data'!AC325*'Equity Price Data'!AF326</f>
        <v>14050.5</v>
      </c>
      <c r="AA325" s="30">
        <f>'Equity Volume Data'!AD325*'Equity Price Data'!AG326</f>
        <v>19167.5</v>
      </c>
      <c r="AB325" s="30">
        <f>'Equity Volume Data'!AE325*'Equity Price Data'!AH326</f>
        <v>13932.6</v>
      </c>
      <c r="AC325" s="30">
        <f>'Equity Volume Data'!AF325*'Equity Price Data'!AI326</f>
        <v>18774.4</v>
      </c>
      <c r="AD325" s="30">
        <f>'Equity Volume Data'!AG325*'Equity Price Data'!AJ326</f>
        <v>14645.7</v>
      </c>
      <c r="AE325" s="30">
        <f>'Equity Volume Data'!AH325*'Equity Price Data'!AK326</f>
        <v>0</v>
      </c>
      <c r="AF325" s="30">
        <f>'Equity Volume Data'!AI325*'Equity Price Data'!AL326</f>
        <v>23353.6</v>
      </c>
      <c r="AG325" s="30">
        <f>'Equity Volume Data'!AJ325*'Equity Price Data'!AM326</f>
        <v>44980.2</v>
      </c>
      <c r="AH325" s="30">
        <f>'Equity Volume Data'!AK325*'Equity Price Data'!AN326</f>
        <v>40824</v>
      </c>
      <c r="AI325" s="30">
        <f>'Equity Volume Data'!AL325*'Equity Price Data'!AO326</f>
        <v>24193.75</v>
      </c>
      <c r="AJ325" s="30">
        <f>'Equity Volume Data'!AM325*'Equity Price Data'!AP326</f>
        <v>23049</v>
      </c>
      <c r="AK325" s="30">
        <f>'Equity Volume Data'!AN325*'Equity Price Data'!AQ326</f>
        <v>22144.05</v>
      </c>
      <c r="AL325" s="30">
        <f>'Equity Volume Data'!AO325*'Equity Price Data'!AR326</f>
        <v>47884.8</v>
      </c>
      <c r="AM325" s="30">
        <f>'Equity Volume Data'!AP325*'Equity Price Data'!AS326</f>
        <v>31812.9</v>
      </c>
      <c r="AN325" s="30">
        <f>'Equity Volume Data'!AQ325*'Equity Price Data'!AT326</f>
        <v>0</v>
      </c>
      <c r="AO325" s="30">
        <f>'Equity Volume Data'!AR325*'Equity Price Data'!AU326</f>
        <v>25893.28</v>
      </c>
      <c r="AP325" s="30">
        <f>'Equity Volume Data'!AS325*'Equity Price Data'!AV326</f>
        <v>23012.5</v>
      </c>
      <c r="AQ325" s="30">
        <f>'Equity Volume Data'!AT325*'Equity Price Data'!AW326</f>
        <v>17844.2</v>
      </c>
      <c r="AR325" s="30">
        <f>'Equity Volume Data'!AU325*'Equity Price Data'!AX326</f>
        <v>30202.2</v>
      </c>
      <c r="AS325" s="30">
        <f>'Equity Volume Data'!AV325*'Equity Price Data'!AY326</f>
        <v>60808.8</v>
      </c>
      <c r="AT325" s="30">
        <f>'Equity Volume Data'!AW325*'Equity Price Data'!AZ326</f>
        <v>14778</v>
      </c>
      <c r="AU325" s="30">
        <f>'Equity Volume Data'!AX325*'Equity Price Data'!BA326</f>
        <v>0</v>
      </c>
      <c r="AV325" s="30">
        <f>'Equity Volume Data'!AY325*'Equity Price Data'!BB326</f>
        <v>25787.2</v>
      </c>
      <c r="AW325" s="30">
        <f>'Equity Volume Data'!AZ325*'Equity Price Data'!BC326</f>
        <v>3508.8</v>
      </c>
      <c r="AX325" s="30">
        <f>'Equity Volume Data'!BA325*'Equity Price Data'!BD326</f>
        <v>0</v>
      </c>
      <c r="AY325" s="30">
        <f>'Equity Volume Data'!BB325*'Equity Price Data'!BE326</f>
        <v>63001.44</v>
      </c>
      <c r="AZ325" s="30">
        <f>'Equity Volume Data'!BC325*'Equity Price Data'!BF326</f>
        <v>10447.5</v>
      </c>
      <c r="BA325" s="30">
        <f>'Equity Volume Data'!BD325*'Equity Price Data'!BG326</f>
        <v>4763.3</v>
      </c>
      <c r="BB325" s="30">
        <f>'Equity Volume Data'!BE325*'Equity Price Data'!BH326</f>
        <v>12787.2</v>
      </c>
      <c r="BC325" s="30">
        <f>'Equity Volume Data'!BF325*'Equity Price Data'!BI326</f>
        <v>12477.12</v>
      </c>
      <c r="BD325" s="30">
        <f>'Equity Volume Data'!BG325*'Equity Price Data'!BJ326</f>
        <v>53539.68</v>
      </c>
      <c r="BE325" s="30">
        <f>'Equity Volume Data'!BH325*'Equity Price Data'!BK326</f>
        <v>11226.76</v>
      </c>
      <c r="BF325" s="30">
        <f>'Equity Volume Data'!BI325*'Equity Price Data'!BL326</f>
        <v>7869.6</v>
      </c>
      <c r="BG325" s="30">
        <f>'Equity Volume Data'!BJ325*'Equity Price Data'!BM326</f>
        <v>32631.64</v>
      </c>
      <c r="BH325" s="30">
        <f>'Equity Volume Data'!BK325*'Equity Price Data'!BN326</f>
        <v>0</v>
      </c>
      <c r="BI325" s="30">
        <f>'Equity Volume Data'!BL325*'Equity Price Data'!BO326</f>
        <v>35352</v>
      </c>
      <c r="BJ325" s="30">
        <f>'Equity Volume Data'!BM325*'Equity Price Data'!BP326</f>
        <v>22791</v>
      </c>
      <c r="BK325" s="30">
        <f>'Equity Volume Data'!BN325*'Equity Price Data'!BQ326</f>
        <v>91289.32</v>
      </c>
      <c r="BL325" s="30">
        <f>'Equity Volume Data'!BO325*'Equity Price Data'!BR326</f>
        <v>489.74</v>
      </c>
      <c r="BM325" s="30">
        <f>'Equity Volume Data'!BP325*'Equity Price Data'!BS326</f>
        <v>10839.84</v>
      </c>
      <c r="BN325" s="30">
        <f>'Equity Volume Data'!BQ325*'Equity Price Data'!BT326</f>
        <v>22200.92</v>
      </c>
      <c r="BO325" s="30">
        <f>'Equity Volume Data'!BR325*'Equity Price Data'!BU326</f>
        <v>34127</v>
      </c>
    </row>
    <row r="326">
      <c r="A326" s="25">
        <f>'Equity Price Data'!A327</f>
        <v>45897.66667</v>
      </c>
      <c r="B326" s="29">
        <f t="shared" si="1"/>
        <v>1469702</v>
      </c>
      <c r="C326" s="30">
        <f>'Equity Volume Data'!F326*'Equity Price Data'!I327</f>
        <v>4601.48</v>
      </c>
      <c r="D326" s="30">
        <f>'Equity Volume Data'!G326*'Equity Price Data'!J327</f>
        <v>60216</v>
      </c>
      <c r="E326" s="30">
        <f>'Equity Volume Data'!H326*'Equity Price Data'!K327</f>
        <v>15722.3</v>
      </c>
      <c r="F326" s="30">
        <f>'Equity Volume Data'!I326*'Equity Price Data'!L327</f>
        <v>59535.36</v>
      </c>
      <c r="G326" s="30">
        <f>'Equity Volume Data'!J326*'Equity Price Data'!M327</f>
        <v>13717.41</v>
      </c>
      <c r="H326" s="30">
        <f>'Equity Volume Data'!K326*'Equity Price Data'!N327</f>
        <v>19946.8</v>
      </c>
      <c r="I326" s="30">
        <f>'Equity Volume Data'!L326*'Equity Price Data'!O327</f>
        <v>20030</v>
      </c>
      <c r="J326" s="30">
        <f>'Equity Volume Data'!M326*'Equity Price Data'!P327</f>
        <v>50985.72</v>
      </c>
      <c r="K326" s="30">
        <f>'Equity Volume Data'!N326*'Equity Price Data'!Q327</f>
        <v>11224</v>
      </c>
      <c r="L326" s="30">
        <f>'Equity Volume Data'!O326*'Equity Price Data'!R327</f>
        <v>16050.65</v>
      </c>
      <c r="M326" s="30">
        <f>'Equity Volume Data'!P326*'Equity Price Data'!S327</f>
        <v>0</v>
      </c>
      <c r="N326" s="30">
        <f>'Equity Volume Data'!Q326*'Equity Price Data'!T327</f>
        <v>5293.6</v>
      </c>
      <c r="O326" s="30">
        <f>'Equity Volume Data'!R326*'Equity Price Data'!U327</f>
        <v>65236.5</v>
      </c>
      <c r="P326" s="30">
        <f>'Equity Volume Data'!S326*'Equity Price Data'!V327</f>
        <v>32788.71</v>
      </c>
      <c r="Q326" s="30">
        <f>'Equity Volume Data'!T326*'Equity Price Data'!W327</f>
        <v>22951.2</v>
      </c>
      <c r="R326" s="30">
        <f>'Equity Volume Data'!U326*'Equity Price Data'!X327</f>
        <v>12745.6</v>
      </c>
      <c r="S326" s="30">
        <f>'Equity Volume Data'!V326*'Equity Price Data'!Y327</f>
        <v>26312</v>
      </c>
      <c r="T326" s="30">
        <f>'Equity Volume Data'!W326*'Equity Price Data'!Z327</f>
        <v>13040</v>
      </c>
      <c r="U326" s="30">
        <f>'Equity Volume Data'!X326*'Equity Price Data'!AA327</f>
        <v>18047.04</v>
      </c>
      <c r="V326" s="30">
        <f>'Equity Volume Data'!Y326*'Equity Price Data'!AB327</f>
        <v>15805.37</v>
      </c>
      <c r="W326" s="30">
        <f>'Equity Volume Data'!Z326*'Equity Price Data'!AC327</f>
        <v>11631.33</v>
      </c>
      <c r="X326" s="30">
        <f>'Equity Volume Data'!AA326*'Equity Price Data'!AD327</f>
        <v>0</v>
      </c>
      <c r="Y326" s="30">
        <f>'Equity Volume Data'!AB326*'Equity Price Data'!AE327</f>
        <v>5836.48</v>
      </c>
      <c r="Z326" s="30">
        <f>'Equity Volume Data'!AC326*'Equity Price Data'!AF327</f>
        <v>13920</v>
      </c>
      <c r="AA326" s="30">
        <f>'Equity Volume Data'!AD326*'Equity Price Data'!AG327</f>
        <v>19269.5</v>
      </c>
      <c r="AB326" s="30">
        <f>'Equity Volume Data'!AE326*'Equity Price Data'!AH327</f>
        <v>13876.2</v>
      </c>
      <c r="AC326" s="30">
        <f>'Equity Volume Data'!AF326*'Equity Price Data'!AI327</f>
        <v>19159.2</v>
      </c>
      <c r="AD326" s="30">
        <f>'Equity Volume Data'!AG326*'Equity Price Data'!AJ327</f>
        <v>14620.95</v>
      </c>
      <c r="AE326" s="30">
        <f>'Equity Volume Data'!AH326*'Equity Price Data'!AK327</f>
        <v>0</v>
      </c>
      <c r="AF326" s="30">
        <f>'Equity Volume Data'!AI326*'Equity Price Data'!AL327</f>
        <v>23074.8</v>
      </c>
      <c r="AG326" s="30">
        <f>'Equity Volume Data'!AJ326*'Equity Price Data'!AM327</f>
        <v>45073.2</v>
      </c>
      <c r="AH326" s="30">
        <f>'Equity Volume Data'!AK326*'Equity Price Data'!AN327</f>
        <v>40745</v>
      </c>
      <c r="AI326" s="30">
        <f>'Equity Volume Data'!AL326*'Equity Price Data'!AO327</f>
        <v>23684.5</v>
      </c>
      <c r="AJ326" s="30">
        <f>'Equity Volume Data'!AM326*'Equity Price Data'!AP327</f>
        <v>23028.2</v>
      </c>
      <c r="AK326" s="30">
        <f>'Equity Volume Data'!AN326*'Equity Price Data'!AQ327</f>
        <v>22270.48</v>
      </c>
      <c r="AL326" s="30">
        <f>'Equity Volume Data'!AO326*'Equity Price Data'!AR327</f>
        <v>48171.2</v>
      </c>
      <c r="AM326" s="30">
        <f>'Equity Volume Data'!AP326*'Equity Price Data'!AS327</f>
        <v>31932.6</v>
      </c>
      <c r="AN326" s="30">
        <f>'Equity Volume Data'!AQ326*'Equity Price Data'!AT327</f>
        <v>0</v>
      </c>
      <c r="AO326" s="30">
        <f>'Equity Volume Data'!AR326*'Equity Price Data'!AU327</f>
        <v>26192.18</v>
      </c>
      <c r="AP326" s="30">
        <f>'Equity Volume Data'!AS326*'Equity Price Data'!AV327</f>
        <v>22990</v>
      </c>
      <c r="AQ326" s="30">
        <f>'Equity Volume Data'!AT326*'Equity Price Data'!AW327</f>
        <v>17776</v>
      </c>
      <c r="AR326" s="30">
        <f>'Equity Volume Data'!AU326*'Equity Price Data'!AX327</f>
        <v>31090.5</v>
      </c>
      <c r="AS326" s="30">
        <f>'Equity Volume Data'!AV326*'Equity Price Data'!AY327</f>
        <v>61156.8</v>
      </c>
      <c r="AT326" s="30">
        <f>'Equity Volume Data'!AW326*'Equity Price Data'!AZ327</f>
        <v>14418</v>
      </c>
      <c r="AU326" s="30">
        <f>'Equity Volume Data'!AX326*'Equity Price Data'!BA327</f>
        <v>0</v>
      </c>
      <c r="AV326" s="30">
        <f>'Equity Volume Data'!AY326*'Equity Price Data'!BB327</f>
        <v>25584.14</v>
      </c>
      <c r="AW326" s="30">
        <f>'Equity Volume Data'!AZ326*'Equity Price Data'!BC327</f>
        <v>3450</v>
      </c>
      <c r="AX326" s="30">
        <f>'Equity Volume Data'!BA326*'Equity Price Data'!BD327</f>
        <v>0</v>
      </c>
      <c r="AY326" s="30">
        <f>'Equity Volume Data'!BB326*'Equity Price Data'!BE327</f>
        <v>63564.24</v>
      </c>
      <c r="AZ326" s="30">
        <f>'Equity Volume Data'!BC326*'Equity Price Data'!BF327</f>
        <v>10509</v>
      </c>
      <c r="BA326" s="30">
        <f>'Equity Volume Data'!BD326*'Equity Price Data'!BG327</f>
        <v>4674</v>
      </c>
      <c r="BB326" s="30">
        <f>'Equity Volume Data'!BE326*'Equity Price Data'!BH327</f>
        <v>12852.8</v>
      </c>
      <c r="BC326" s="30">
        <f>'Equity Volume Data'!BF326*'Equity Price Data'!BI327</f>
        <v>12572.24</v>
      </c>
      <c r="BD326" s="30">
        <f>'Equity Volume Data'!BG326*'Equity Price Data'!BJ327</f>
        <v>53369.28</v>
      </c>
      <c r="BE326" s="30">
        <f>'Equity Volume Data'!BH326*'Equity Price Data'!BK327</f>
        <v>11264.02</v>
      </c>
      <c r="BF326" s="30">
        <f>'Equity Volume Data'!BI326*'Equity Price Data'!BL327</f>
        <v>7930</v>
      </c>
      <c r="BG326" s="30">
        <f>'Equity Volume Data'!BJ326*'Equity Price Data'!BM327</f>
        <v>32450.94</v>
      </c>
      <c r="BH326" s="30">
        <f>'Equity Volume Data'!BK326*'Equity Price Data'!BN327</f>
        <v>0</v>
      </c>
      <c r="BI326" s="30">
        <f>'Equity Volume Data'!BL326*'Equity Price Data'!BO327</f>
        <v>35576</v>
      </c>
      <c r="BJ326" s="30">
        <f>'Equity Volume Data'!BM326*'Equity Price Data'!BP327</f>
        <v>22671.75</v>
      </c>
      <c r="BK326" s="30">
        <f>'Equity Volume Data'!BN326*'Equity Price Data'!BQ327</f>
        <v>91271.3</v>
      </c>
      <c r="BL326" s="30">
        <f>'Equity Volume Data'!BO326*'Equity Price Data'!BR327</f>
        <v>489.27</v>
      </c>
      <c r="BM326" s="30">
        <f>'Equity Volume Data'!BP326*'Equity Price Data'!BS327</f>
        <v>10779.84</v>
      </c>
      <c r="BN326" s="30">
        <f>'Equity Volume Data'!BQ326*'Equity Price Data'!BT327</f>
        <v>22116.32</v>
      </c>
      <c r="BO326" s="30">
        <f>'Equity Volume Data'!BR326*'Equity Price Data'!BU327</f>
        <v>34410</v>
      </c>
    </row>
    <row r="327">
      <c r="A327" s="25">
        <f>'Equity Price Data'!A328</f>
        <v>45898.66667</v>
      </c>
      <c r="B327" s="29">
        <f t="shared" si="1"/>
        <v>1463905.63</v>
      </c>
      <c r="C327" s="30">
        <f>'Equity Volume Data'!F327*'Equity Price Data'!I328</f>
        <v>4637.1</v>
      </c>
      <c r="D327" s="30">
        <f>'Equity Volume Data'!G327*'Equity Price Data'!J328</f>
        <v>59540</v>
      </c>
      <c r="E327" s="30">
        <f>'Equity Volume Data'!H327*'Equity Price Data'!K328</f>
        <v>15786.1</v>
      </c>
      <c r="F327" s="30">
        <f>'Equity Volume Data'!I327*'Equity Price Data'!L328</f>
        <v>59427.84</v>
      </c>
      <c r="G327" s="30">
        <f>'Equity Volume Data'!J327*'Equity Price Data'!M328</f>
        <v>13343.08</v>
      </c>
      <c r="H327" s="30">
        <f>'Equity Volume Data'!K327*'Equity Price Data'!N328</f>
        <v>19852.8</v>
      </c>
      <c r="I327" s="30">
        <f>'Equity Volume Data'!L327*'Equity Price Data'!O328</f>
        <v>19630</v>
      </c>
      <c r="J327" s="30">
        <f>'Equity Volume Data'!M327*'Equity Price Data'!P328</f>
        <v>51303.96</v>
      </c>
      <c r="K327" s="30">
        <f>'Equity Volume Data'!N327*'Equity Price Data'!Q328</f>
        <v>11154</v>
      </c>
      <c r="L327" s="30">
        <f>'Equity Volume Data'!O327*'Equity Price Data'!R328</f>
        <v>15998.62</v>
      </c>
      <c r="M327" s="30">
        <f>'Equity Volume Data'!P327*'Equity Price Data'!S328</f>
        <v>0</v>
      </c>
      <c r="N327" s="30">
        <f>'Equity Volume Data'!Q327*'Equity Price Data'!T328</f>
        <v>5216</v>
      </c>
      <c r="O327" s="30">
        <f>'Equity Volume Data'!R327*'Equity Price Data'!U328</f>
        <v>62856</v>
      </c>
      <c r="P327" s="30">
        <f>'Equity Volume Data'!S327*'Equity Price Data'!V328</f>
        <v>32271.63</v>
      </c>
      <c r="Q327" s="30">
        <f>'Equity Volume Data'!T327*'Equity Price Data'!W328</f>
        <v>23176.8</v>
      </c>
      <c r="R327" s="30">
        <f>'Equity Volume Data'!U327*'Equity Price Data'!X328</f>
        <v>12848</v>
      </c>
      <c r="S327" s="30">
        <f>'Equity Volume Data'!V327*'Equity Price Data'!Y328</f>
        <v>26476.56</v>
      </c>
      <c r="T327" s="30">
        <f>'Equity Volume Data'!W327*'Equity Price Data'!Z328</f>
        <v>13070</v>
      </c>
      <c r="U327" s="30">
        <f>'Equity Volume Data'!X327*'Equity Price Data'!AA328</f>
        <v>18213.36</v>
      </c>
      <c r="V327" s="30">
        <f>'Equity Volume Data'!Y327*'Equity Price Data'!AB328</f>
        <v>15815.03</v>
      </c>
      <c r="W327" s="30">
        <f>'Equity Volume Data'!Z327*'Equity Price Data'!AC328</f>
        <v>11567.16</v>
      </c>
      <c r="X327" s="30">
        <f>'Equity Volume Data'!AA327*'Equity Price Data'!AD328</f>
        <v>0</v>
      </c>
      <c r="Y327" s="30">
        <f>'Equity Volume Data'!AB327*'Equity Price Data'!AE328</f>
        <v>5957.9</v>
      </c>
      <c r="Z327" s="30">
        <f>'Equity Volume Data'!AC327*'Equity Price Data'!AF328</f>
        <v>13591.5</v>
      </c>
      <c r="AA327" s="30">
        <f>'Equity Volume Data'!AD327*'Equity Price Data'!AG328</f>
        <v>19429.3</v>
      </c>
      <c r="AB327" s="30">
        <f>'Equity Volume Data'!AE327*'Equity Price Data'!AH328</f>
        <v>13864.2</v>
      </c>
      <c r="AC327" s="30">
        <f>'Equity Volume Data'!AF327*'Equity Price Data'!AI328</f>
        <v>19088.4</v>
      </c>
      <c r="AD327" s="30">
        <f>'Equity Volume Data'!AG327*'Equity Price Data'!AJ328</f>
        <v>14605.65</v>
      </c>
      <c r="AE327" s="30">
        <f>'Equity Volume Data'!AH327*'Equity Price Data'!AK328</f>
        <v>0</v>
      </c>
      <c r="AF327" s="30">
        <f>'Equity Volume Data'!AI327*'Equity Price Data'!AL328</f>
        <v>23158.85</v>
      </c>
      <c r="AG327" s="30">
        <f>'Equity Volume Data'!AJ327*'Equity Price Data'!AM328</f>
        <v>44715</v>
      </c>
      <c r="AH327" s="30">
        <f>'Equity Volume Data'!AK327*'Equity Price Data'!AN328</f>
        <v>40677</v>
      </c>
      <c r="AI327" s="30">
        <f>'Equity Volume Data'!AL327*'Equity Price Data'!AO328</f>
        <v>23968</v>
      </c>
      <c r="AJ327" s="30">
        <f>'Equity Volume Data'!AM327*'Equity Price Data'!AP328</f>
        <v>22958</v>
      </c>
      <c r="AK327" s="30">
        <f>'Equity Volume Data'!AN327*'Equity Price Data'!AQ328</f>
        <v>22245.1</v>
      </c>
      <c r="AL327" s="30">
        <f>'Equity Volume Data'!AO327*'Equity Price Data'!AR328</f>
        <v>48227.2</v>
      </c>
      <c r="AM327" s="30">
        <f>'Equity Volume Data'!AP327*'Equity Price Data'!AS328</f>
        <v>31894.1</v>
      </c>
      <c r="AN327" s="30">
        <f>'Equity Volume Data'!AQ327*'Equity Price Data'!AT328</f>
        <v>0</v>
      </c>
      <c r="AO327" s="30">
        <f>'Equity Volume Data'!AR327*'Equity Price Data'!AU328</f>
        <v>26260.5</v>
      </c>
      <c r="AP327" s="30">
        <f>'Equity Volume Data'!AS327*'Equity Price Data'!AV328</f>
        <v>23202.5</v>
      </c>
      <c r="AQ327" s="30">
        <f>'Equity Volume Data'!AT327*'Equity Price Data'!AW328</f>
        <v>17899.2</v>
      </c>
      <c r="AR327" s="30">
        <f>'Equity Volume Data'!AU327*'Equity Price Data'!AX328</f>
        <v>30092.22</v>
      </c>
      <c r="AS327" s="30">
        <f>'Equity Volume Data'!AV327*'Equity Price Data'!AY328</f>
        <v>60802.8</v>
      </c>
      <c r="AT327" s="30">
        <f>'Equity Volume Data'!AW327*'Equity Price Data'!AZ328</f>
        <v>14410</v>
      </c>
      <c r="AU327" s="30">
        <f>'Equity Volume Data'!AX327*'Equity Price Data'!BA328</f>
        <v>0</v>
      </c>
      <c r="AV327" s="30">
        <f>'Equity Volume Data'!AY327*'Equity Price Data'!BB328</f>
        <v>24733.56</v>
      </c>
      <c r="AW327" s="30">
        <f>'Equity Volume Data'!AZ327*'Equity Price Data'!BC328</f>
        <v>3455.2</v>
      </c>
      <c r="AX327" s="30">
        <f>'Equity Volume Data'!BA327*'Equity Price Data'!BD328</f>
        <v>0</v>
      </c>
      <c r="AY327" s="30">
        <f>'Equity Volume Data'!BB327*'Equity Price Data'!BE328</f>
        <v>62997.42</v>
      </c>
      <c r="AZ327" s="30">
        <f>'Equity Volume Data'!BC327*'Equity Price Data'!BF328</f>
        <v>10528.5</v>
      </c>
      <c r="BA327" s="30">
        <f>'Equity Volume Data'!BD327*'Equity Price Data'!BG328</f>
        <v>4704.4</v>
      </c>
      <c r="BB327" s="30">
        <f>'Equity Volume Data'!BE327*'Equity Price Data'!BH328</f>
        <v>12688</v>
      </c>
      <c r="BC327" s="30">
        <f>'Equity Volume Data'!BF327*'Equity Price Data'!BI328</f>
        <v>12454.16</v>
      </c>
      <c r="BD327" s="30">
        <f>'Equity Volume Data'!BG327*'Equity Price Data'!BJ328</f>
        <v>53673.87</v>
      </c>
      <c r="BE327" s="30">
        <f>'Equity Volume Data'!BH327*'Equity Price Data'!BK328</f>
        <v>11332.56</v>
      </c>
      <c r="BF327" s="30">
        <f>'Equity Volume Data'!BI327*'Equity Price Data'!BL328</f>
        <v>7782.8</v>
      </c>
      <c r="BG327" s="30">
        <f>'Equity Volume Data'!BJ327*'Equity Price Data'!BM328</f>
        <v>31958.88</v>
      </c>
      <c r="BH327" s="30">
        <f>'Equity Volume Data'!BK327*'Equity Price Data'!BN328</f>
        <v>0</v>
      </c>
      <c r="BI327" s="30">
        <f>'Equity Volume Data'!BL327*'Equity Price Data'!BO328</f>
        <v>35771.2</v>
      </c>
      <c r="BJ327" s="30">
        <f>'Equity Volume Data'!BM327*'Equity Price Data'!BP328</f>
        <v>23240.25</v>
      </c>
      <c r="BK327" s="30">
        <f>'Equity Volume Data'!BN327*'Equity Price Data'!BQ328</f>
        <v>91325.36</v>
      </c>
      <c r="BL327" s="30">
        <f>'Equity Volume Data'!BO327*'Equity Price Data'!BR328</f>
        <v>495.85</v>
      </c>
      <c r="BM327" s="30">
        <f>'Equity Volume Data'!BP327*'Equity Price Data'!BS328</f>
        <v>10866.72</v>
      </c>
      <c r="BN327" s="30">
        <f>'Equity Volume Data'!BQ327*'Equity Price Data'!BT328</f>
        <v>22255.44</v>
      </c>
      <c r="BO327" s="30">
        <f>'Equity Volume Data'!BR327*'Equity Price Data'!BU328</f>
        <v>34410</v>
      </c>
    </row>
    <row r="328">
      <c r="A328" s="25">
        <f>'Equity Price Data'!A329</f>
        <v>45902.66667</v>
      </c>
      <c r="B328" s="29">
        <f t="shared" si="1"/>
        <v>1455651.63</v>
      </c>
      <c r="C328" s="30">
        <f>'Equity Volume Data'!F328*'Equity Price Data'!I329</f>
        <v>4493.19</v>
      </c>
      <c r="D328" s="30">
        <f>'Equity Volume Data'!G328*'Equity Price Data'!J329</f>
        <v>58588.4</v>
      </c>
      <c r="E328" s="30">
        <f>'Equity Volume Data'!H328*'Equity Price Data'!K329</f>
        <v>15555.1</v>
      </c>
      <c r="F328" s="30">
        <f>'Equity Volume Data'!I328*'Equity Price Data'!L329</f>
        <v>58808.32</v>
      </c>
      <c r="G328" s="30">
        <f>'Equity Volume Data'!J328*'Equity Price Data'!M329</f>
        <v>13078.31</v>
      </c>
      <c r="H328" s="30">
        <f>'Equity Volume Data'!K328*'Equity Price Data'!N329</f>
        <v>19683.6</v>
      </c>
      <c r="I328" s="30">
        <f>'Equity Volume Data'!L328*'Equity Price Data'!O329</f>
        <v>19560</v>
      </c>
      <c r="J328" s="30">
        <f>'Equity Volume Data'!M328*'Equity Price Data'!P329</f>
        <v>51116.28</v>
      </c>
      <c r="K328" s="30">
        <f>'Equity Volume Data'!N328*'Equity Price Data'!Q329</f>
        <v>11134</v>
      </c>
      <c r="L328" s="30">
        <f>'Equity Volume Data'!O328*'Equity Price Data'!R329</f>
        <v>16895.23</v>
      </c>
      <c r="M328" s="30">
        <f>'Equity Volume Data'!P328*'Equity Price Data'!S329</f>
        <v>0</v>
      </c>
      <c r="N328" s="30">
        <f>'Equity Volume Data'!Q328*'Equity Price Data'!T329</f>
        <v>5080</v>
      </c>
      <c r="O328" s="30">
        <f>'Equity Volume Data'!R328*'Equity Price Data'!U329</f>
        <v>62407.5</v>
      </c>
      <c r="P328" s="30">
        <f>'Equity Volume Data'!S328*'Equity Price Data'!V329</f>
        <v>31450.14</v>
      </c>
      <c r="Q328" s="30">
        <f>'Equity Volume Data'!T328*'Equity Price Data'!W329</f>
        <v>22819.2</v>
      </c>
      <c r="R328" s="30">
        <f>'Equity Volume Data'!U328*'Equity Price Data'!X329</f>
        <v>12946.4</v>
      </c>
      <c r="S328" s="30">
        <f>'Equity Volume Data'!V328*'Equity Price Data'!Y329</f>
        <v>26463.36</v>
      </c>
      <c r="T328" s="30">
        <f>'Equity Volume Data'!W328*'Equity Price Data'!Z329</f>
        <v>12900</v>
      </c>
      <c r="U328" s="30">
        <f>'Equity Volume Data'!X328*'Equity Price Data'!AA329</f>
        <v>18231.84</v>
      </c>
      <c r="V328" s="30">
        <f>'Equity Volume Data'!Y328*'Equity Price Data'!AB329</f>
        <v>15649.2</v>
      </c>
      <c r="W328" s="30">
        <f>'Equity Volume Data'!Z328*'Equity Price Data'!AC329</f>
        <v>11243.55</v>
      </c>
      <c r="X328" s="30">
        <f>'Equity Volume Data'!AA328*'Equity Price Data'!AD329</f>
        <v>0</v>
      </c>
      <c r="Y328" s="30">
        <f>'Equity Volume Data'!AB328*'Equity Price Data'!AE329</f>
        <v>6074.9</v>
      </c>
      <c r="Z328" s="30">
        <f>'Equity Volume Data'!AC328*'Equity Price Data'!AF329</f>
        <v>13483.5</v>
      </c>
      <c r="AA328" s="30">
        <f>'Equity Volume Data'!AD328*'Equity Price Data'!AG329</f>
        <v>19497.3</v>
      </c>
      <c r="AB328" s="30">
        <f>'Equity Volume Data'!AE328*'Equity Price Data'!AH329</f>
        <v>13450.8</v>
      </c>
      <c r="AC328" s="30">
        <f>'Equity Volume Data'!AF328*'Equity Price Data'!AI329</f>
        <v>19683.2</v>
      </c>
      <c r="AD328" s="30">
        <f>'Equity Volume Data'!AG328*'Equity Price Data'!AJ329</f>
        <v>14597.55</v>
      </c>
      <c r="AE328" s="30">
        <f>'Equity Volume Data'!AH328*'Equity Price Data'!AK329</f>
        <v>0</v>
      </c>
      <c r="AF328" s="30">
        <f>'Equity Volume Data'!AI328*'Equity Price Data'!AL329</f>
        <v>23105.55</v>
      </c>
      <c r="AG328" s="30">
        <f>'Equity Volume Data'!AJ328*'Equity Price Data'!AM329</f>
        <v>43851</v>
      </c>
      <c r="AH328" s="30">
        <f>'Equity Volume Data'!AK328*'Equity Price Data'!AN329</f>
        <v>40631</v>
      </c>
      <c r="AI328" s="30">
        <f>'Equity Volume Data'!AL328*'Equity Price Data'!AO329</f>
        <v>24102.75</v>
      </c>
      <c r="AJ328" s="30">
        <f>'Equity Volume Data'!AM328*'Equity Price Data'!AP329</f>
        <v>22761.7</v>
      </c>
      <c r="AK328" s="30">
        <f>'Equity Volume Data'!AN328*'Equity Price Data'!AQ329</f>
        <v>22046.29</v>
      </c>
      <c r="AL328" s="30">
        <f>'Equity Volume Data'!AO328*'Equity Price Data'!AR329</f>
        <v>47952</v>
      </c>
      <c r="AM328" s="30">
        <f>'Equity Volume Data'!AP328*'Equity Price Data'!AS329</f>
        <v>31675</v>
      </c>
      <c r="AN328" s="30">
        <f>'Equity Volume Data'!AQ328*'Equity Price Data'!AT329</f>
        <v>0</v>
      </c>
      <c r="AO328" s="30">
        <f>'Equity Volume Data'!AR328*'Equity Price Data'!AU329</f>
        <v>26029.92</v>
      </c>
      <c r="AP328" s="30">
        <f>'Equity Volume Data'!AS328*'Equity Price Data'!AV329</f>
        <v>23332.5</v>
      </c>
      <c r="AQ328" s="30">
        <f>'Equity Volume Data'!AT328*'Equity Price Data'!AW329</f>
        <v>17723.2</v>
      </c>
      <c r="AR328" s="30">
        <f>'Equity Volume Data'!AU328*'Equity Price Data'!AX329</f>
        <v>28472.13</v>
      </c>
      <c r="AS328" s="30">
        <f>'Equity Volume Data'!AV328*'Equity Price Data'!AY329</f>
        <v>60614.4</v>
      </c>
      <c r="AT328" s="30">
        <f>'Equity Volume Data'!AW328*'Equity Price Data'!AZ329</f>
        <v>14530</v>
      </c>
      <c r="AU328" s="30">
        <f>'Equity Volume Data'!AX328*'Equity Price Data'!BA329</f>
        <v>0</v>
      </c>
      <c r="AV328" s="30">
        <f>'Equity Volume Data'!AY328*'Equity Price Data'!BB329</f>
        <v>24250.76</v>
      </c>
      <c r="AW328" s="30">
        <f>'Equity Volume Data'!AZ328*'Equity Price Data'!BC329</f>
        <v>3430.8</v>
      </c>
      <c r="AX328" s="30">
        <f>'Equity Volume Data'!BA328*'Equity Price Data'!BD329</f>
        <v>0</v>
      </c>
      <c r="AY328" s="30">
        <f>'Equity Volume Data'!BB328*'Equity Price Data'!BE329</f>
        <v>63150.18</v>
      </c>
      <c r="AZ328" s="30">
        <f>'Equity Volume Data'!BC328*'Equity Price Data'!BF329</f>
        <v>10387.5</v>
      </c>
      <c r="BA328" s="30">
        <f>'Equity Volume Data'!BD328*'Equity Price Data'!BG329</f>
        <v>4746.2</v>
      </c>
      <c r="BB328" s="30">
        <f>'Equity Volume Data'!BE328*'Equity Price Data'!BH329</f>
        <v>12640.8</v>
      </c>
      <c r="BC328" s="30">
        <f>'Equity Volume Data'!BF328*'Equity Price Data'!BI329</f>
        <v>12965.84</v>
      </c>
      <c r="BD328" s="30">
        <f>'Equity Volume Data'!BG328*'Equity Price Data'!BJ329</f>
        <v>54504.57</v>
      </c>
      <c r="BE328" s="30">
        <f>'Equity Volume Data'!BH328*'Equity Price Data'!BK329</f>
        <v>11213.19</v>
      </c>
      <c r="BF328" s="30">
        <f>'Equity Volume Data'!BI328*'Equity Price Data'!BL329</f>
        <v>7742.8</v>
      </c>
      <c r="BG328" s="30">
        <f>'Equity Volume Data'!BJ328*'Equity Price Data'!BM329</f>
        <v>31010.9</v>
      </c>
      <c r="BH328" s="30">
        <f>'Equity Volume Data'!BK328*'Equity Price Data'!BN329</f>
        <v>0</v>
      </c>
      <c r="BI328" s="30">
        <f>'Equity Volume Data'!BL328*'Equity Price Data'!BO329</f>
        <v>35518.4</v>
      </c>
      <c r="BJ328" s="30">
        <f>'Equity Volume Data'!BM328*'Equity Price Data'!BP329</f>
        <v>23160</v>
      </c>
      <c r="BK328" s="30">
        <f>'Equity Volume Data'!BN328*'Equity Price Data'!BQ329</f>
        <v>91235.26</v>
      </c>
      <c r="BL328" s="30">
        <f>'Equity Volume Data'!BO328*'Equity Price Data'!BR329</f>
        <v>496.32</v>
      </c>
      <c r="BM328" s="30">
        <f>'Equity Volume Data'!BP328*'Equity Price Data'!BS329</f>
        <v>10835.04</v>
      </c>
      <c r="BN328" s="30">
        <f>'Equity Volume Data'!BQ328*'Equity Price Data'!BT329</f>
        <v>22234.76</v>
      </c>
      <c r="BO328" s="30">
        <f>'Equity Volume Data'!BR328*'Equity Price Data'!BU329</f>
        <v>34410</v>
      </c>
    </row>
    <row r="329">
      <c r="A329" s="25">
        <f>'Equity Price Data'!A330</f>
        <v>45903.66667</v>
      </c>
      <c r="B329" s="29">
        <f t="shared" si="1"/>
        <v>1452786.45</v>
      </c>
      <c r="C329" s="30">
        <f>'Equity Volume Data'!F329*'Equity Price Data'!I330</f>
        <v>4530.5</v>
      </c>
      <c r="D329" s="30">
        <f>'Equity Volume Data'!G329*'Equity Price Data'!J330</f>
        <v>58757.4</v>
      </c>
      <c r="E329" s="30">
        <f>'Equity Volume Data'!H329*'Equity Price Data'!K330</f>
        <v>15477</v>
      </c>
      <c r="F329" s="30">
        <f>'Equity Volume Data'!I329*'Equity Price Data'!L330</f>
        <v>61048.32</v>
      </c>
      <c r="G329" s="30">
        <f>'Equity Volume Data'!J329*'Equity Price Data'!M330</f>
        <v>12968.75</v>
      </c>
      <c r="H329" s="30">
        <f>'Equity Volume Data'!K329*'Equity Price Data'!N330</f>
        <v>19679.84</v>
      </c>
      <c r="I329" s="30">
        <f>'Equity Volume Data'!L329*'Equity Price Data'!O330</f>
        <v>19680</v>
      </c>
      <c r="J329" s="30">
        <f>'Equity Volume Data'!M329*'Equity Price Data'!P330</f>
        <v>51151.98</v>
      </c>
      <c r="K329" s="30">
        <f>'Equity Volume Data'!N329*'Equity Price Data'!Q330</f>
        <v>11178</v>
      </c>
      <c r="L329" s="30">
        <f>'Equity Volume Data'!O329*'Equity Price Data'!R330</f>
        <v>17136.02</v>
      </c>
      <c r="M329" s="30">
        <f>'Equity Volume Data'!P329*'Equity Price Data'!S330</f>
        <v>0</v>
      </c>
      <c r="N329" s="30">
        <f>'Equity Volume Data'!Q329*'Equity Price Data'!T330</f>
        <v>4997.6</v>
      </c>
      <c r="O329" s="30">
        <f>'Equity Volume Data'!R329*'Equity Price Data'!U330</f>
        <v>62268</v>
      </c>
      <c r="P329" s="30">
        <f>'Equity Volume Data'!S329*'Equity Price Data'!V330</f>
        <v>32179.89</v>
      </c>
      <c r="Q329" s="30">
        <f>'Equity Volume Data'!T329*'Equity Price Data'!W330</f>
        <v>22976.4</v>
      </c>
      <c r="R329" s="30">
        <f>'Equity Volume Data'!U329*'Equity Price Data'!X330</f>
        <v>12644.8</v>
      </c>
      <c r="S329" s="30">
        <f>'Equity Volume Data'!V329*'Equity Price Data'!Y330</f>
        <v>26442.24</v>
      </c>
      <c r="T329" s="30">
        <f>'Equity Volume Data'!W329*'Equity Price Data'!Z330</f>
        <v>12917.5</v>
      </c>
      <c r="U329" s="30">
        <f>'Equity Volume Data'!X329*'Equity Price Data'!AA330</f>
        <v>18213.36</v>
      </c>
      <c r="V329" s="30">
        <f>'Equity Volume Data'!Y329*'Equity Price Data'!AB330</f>
        <v>15753.85</v>
      </c>
      <c r="W329" s="30">
        <f>'Equity Volume Data'!Z329*'Equity Price Data'!AC330</f>
        <v>11143.5</v>
      </c>
      <c r="X329" s="30">
        <f>'Equity Volume Data'!AA329*'Equity Price Data'!AD330</f>
        <v>0</v>
      </c>
      <c r="Y329" s="30">
        <f>'Equity Volume Data'!AB329*'Equity Price Data'!AE330</f>
        <v>6065.8</v>
      </c>
      <c r="Z329" s="30">
        <f>'Equity Volume Data'!AC329*'Equity Price Data'!AF330</f>
        <v>13524</v>
      </c>
      <c r="AA329" s="30">
        <f>'Equity Volume Data'!AD329*'Equity Price Data'!AG330</f>
        <v>19024.7</v>
      </c>
      <c r="AB329" s="30">
        <f>'Equity Volume Data'!AE329*'Equity Price Data'!AH330</f>
        <v>13520.4</v>
      </c>
      <c r="AC329" s="30">
        <f>'Equity Volume Data'!AF329*'Equity Price Data'!AI330</f>
        <v>19792.8</v>
      </c>
      <c r="AD329" s="30">
        <f>'Equity Volume Data'!AG329*'Equity Price Data'!AJ330</f>
        <v>14526.45</v>
      </c>
      <c r="AE329" s="30">
        <f>'Equity Volume Data'!AH329*'Equity Price Data'!AK330</f>
        <v>0</v>
      </c>
      <c r="AF329" s="30">
        <f>'Equity Volume Data'!AI329*'Equity Price Data'!AL330</f>
        <v>23162.95</v>
      </c>
      <c r="AG329" s="30">
        <f>'Equity Volume Data'!AJ329*'Equity Price Data'!AM330</f>
        <v>43833.6</v>
      </c>
      <c r="AH329" s="30">
        <f>'Equity Volume Data'!AK329*'Equity Price Data'!AN330</f>
        <v>40771</v>
      </c>
      <c r="AI329" s="30">
        <f>'Equity Volume Data'!AL329*'Equity Price Data'!AO330</f>
        <v>24141.25</v>
      </c>
      <c r="AJ329" s="30">
        <f>'Equity Volume Data'!AM329*'Equity Price Data'!AP330</f>
        <v>22766.9</v>
      </c>
      <c r="AK329" s="30">
        <f>'Equity Volume Data'!AN329*'Equity Price Data'!AQ330</f>
        <v>20735.46</v>
      </c>
      <c r="AL329" s="30">
        <f>'Equity Volume Data'!AO329*'Equity Price Data'!AR330</f>
        <v>47921.6</v>
      </c>
      <c r="AM329" s="30">
        <f>'Equity Volume Data'!AP329*'Equity Price Data'!AS330</f>
        <v>31434.2</v>
      </c>
      <c r="AN329" s="30">
        <f>'Equity Volume Data'!AQ329*'Equity Price Data'!AT330</f>
        <v>0</v>
      </c>
      <c r="AO329" s="30">
        <f>'Equity Volume Data'!AR329*'Equity Price Data'!AU330</f>
        <v>26012.84</v>
      </c>
      <c r="AP329" s="30">
        <f>'Equity Volume Data'!AS329*'Equity Price Data'!AV330</f>
        <v>23062.5</v>
      </c>
      <c r="AQ329" s="30">
        <f>'Equity Volume Data'!AT329*'Equity Price Data'!AW330</f>
        <v>17725.4</v>
      </c>
      <c r="AR329" s="30">
        <f>'Equity Volume Data'!AU329*'Equity Price Data'!AX330</f>
        <v>27913.77</v>
      </c>
      <c r="AS329" s="30">
        <f>'Equity Volume Data'!AV329*'Equity Price Data'!AY330</f>
        <v>60642</v>
      </c>
      <c r="AT329" s="30">
        <f>'Equity Volume Data'!AW329*'Equity Price Data'!AZ330</f>
        <v>14326</v>
      </c>
      <c r="AU329" s="30">
        <f>'Equity Volume Data'!AX329*'Equity Price Data'!BA330</f>
        <v>0</v>
      </c>
      <c r="AV329" s="30">
        <f>'Equity Volume Data'!AY329*'Equity Price Data'!BB330</f>
        <v>24228.04</v>
      </c>
      <c r="AW329" s="30">
        <f>'Equity Volume Data'!AZ329*'Equity Price Data'!BC330</f>
        <v>3426.8</v>
      </c>
      <c r="AX329" s="30">
        <f>'Equity Volume Data'!BA329*'Equity Price Data'!BD330</f>
        <v>0</v>
      </c>
      <c r="AY329" s="30">
        <f>'Equity Volume Data'!BB329*'Equity Price Data'!BE330</f>
        <v>62269.8</v>
      </c>
      <c r="AZ329" s="30">
        <f>'Equity Volume Data'!BC329*'Equity Price Data'!BF330</f>
        <v>10446</v>
      </c>
      <c r="BA329" s="30">
        <f>'Equity Volume Data'!BD329*'Equity Price Data'!BG330</f>
        <v>4710.1</v>
      </c>
      <c r="BB329" s="30">
        <f>'Equity Volume Data'!BE329*'Equity Price Data'!BH330</f>
        <v>12648.8</v>
      </c>
      <c r="BC329" s="30">
        <f>'Equity Volume Data'!BF329*'Equity Price Data'!BI330</f>
        <v>13044.56</v>
      </c>
      <c r="BD329" s="30">
        <f>'Equity Volume Data'!BG329*'Equity Price Data'!BJ330</f>
        <v>53816.58</v>
      </c>
      <c r="BE329" s="30">
        <f>'Equity Volume Data'!BH329*'Equity Price Data'!BK330</f>
        <v>11144.65</v>
      </c>
      <c r="BF329" s="30">
        <f>'Equity Volume Data'!BI329*'Equity Price Data'!BL330</f>
        <v>7720.4</v>
      </c>
      <c r="BG329" s="30">
        <f>'Equity Volume Data'!BJ329*'Equity Price Data'!BM330</f>
        <v>29729.32</v>
      </c>
      <c r="BH329" s="30">
        <f>'Equity Volume Data'!BK329*'Equity Price Data'!BN330</f>
        <v>0</v>
      </c>
      <c r="BI329" s="30">
        <f>'Equity Volume Data'!BL329*'Equity Price Data'!BO330</f>
        <v>35481.6</v>
      </c>
      <c r="BJ329" s="30">
        <f>'Equity Volume Data'!BM329*'Equity Price Data'!BP330</f>
        <v>23091</v>
      </c>
      <c r="BK329" s="30">
        <f>'Equity Volume Data'!BN329*'Equity Price Data'!BQ330</f>
        <v>91235.26</v>
      </c>
      <c r="BL329" s="30">
        <f>'Equity Volume Data'!BO329*'Equity Price Data'!BR330</f>
        <v>495.85</v>
      </c>
      <c r="BM329" s="30">
        <f>'Equity Volume Data'!BP329*'Equity Price Data'!BS330</f>
        <v>10771.68</v>
      </c>
      <c r="BN329" s="30">
        <f>'Equity Volume Data'!BQ329*'Equity Price Data'!BT330</f>
        <v>22067.44</v>
      </c>
      <c r="BO329" s="30">
        <f>'Equity Volume Data'!BR329*'Equity Price Data'!BU330</f>
        <v>34410</v>
      </c>
    </row>
    <row r="330">
      <c r="A330" s="25">
        <f>'Equity Price Data'!A331</f>
        <v>45904.66667</v>
      </c>
      <c r="B330" s="29">
        <f t="shared" si="1"/>
        <v>1462967.16</v>
      </c>
      <c r="C330" s="30">
        <f>'Equity Volume Data'!F330*'Equity Price Data'!I331</f>
        <v>4476.03</v>
      </c>
      <c r="D330" s="30">
        <f>'Equity Volume Data'!G330*'Equity Price Data'!J331</f>
        <v>61276.8</v>
      </c>
      <c r="E330" s="30">
        <f>'Equity Volume Data'!H330*'Equity Price Data'!K331</f>
        <v>15572.7</v>
      </c>
      <c r="F330" s="30">
        <f>'Equity Volume Data'!I330*'Equity Price Data'!L331</f>
        <v>61383.68</v>
      </c>
      <c r="G330" s="30">
        <f>'Equity Volume Data'!J330*'Equity Price Data'!M331</f>
        <v>13133.92</v>
      </c>
      <c r="H330" s="30">
        <f>'Equity Volume Data'!K330*'Equity Price Data'!N331</f>
        <v>19845.28</v>
      </c>
      <c r="I330" s="30">
        <f>'Equity Volume Data'!L330*'Equity Price Data'!O331</f>
        <v>20110</v>
      </c>
      <c r="J330" s="30">
        <f>'Equity Volume Data'!M330*'Equity Price Data'!P331</f>
        <v>51704.82</v>
      </c>
      <c r="K330" s="30">
        <f>'Equity Volume Data'!N330*'Equity Price Data'!Q331</f>
        <v>11110</v>
      </c>
      <c r="L330" s="30">
        <f>'Equity Volume Data'!O330*'Equity Price Data'!R331</f>
        <v>16932.74</v>
      </c>
      <c r="M330" s="30">
        <f>'Equity Volume Data'!P330*'Equity Price Data'!S331</f>
        <v>0</v>
      </c>
      <c r="N330" s="30">
        <f>'Equity Volume Data'!Q330*'Equity Price Data'!T331</f>
        <v>5083.2</v>
      </c>
      <c r="O330" s="30">
        <f>'Equity Volume Data'!R330*'Equity Price Data'!U331</f>
        <v>63033</v>
      </c>
      <c r="P330" s="30">
        <f>'Equity Volume Data'!S330*'Equity Price Data'!V331</f>
        <v>31821.27</v>
      </c>
      <c r="Q330" s="30">
        <f>'Equity Volume Data'!T330*'Equity Price Data'!W331</f>
        <v>22892.4</v>
      </c>
      <c r="R330" s="30">
        <f>'Equity Volume Data'!U330*'Equity Price Data'!X331</f>
        <v>12615.2</v>
      </c>
      <c r="S330" s="30">
        <f>'Equity Volume Data'!V330*'Equity Price Data'!Y331</f>
        <v>26754.64</v>
      </c>
      <c r="T330" s="30">
        <f>'Equity Volume Data'!W330*'Equity Price Data'!Z331</f>
        <v>13127.5</v>
      </c>
      <c r="U330" s="30">
        <f>'Equity Volume Data'!X330*'Equity Price Data'!AA331</f>
        <v>18018</v>
      </c>
      <c r="V330" s="30">
        <f>'Equity Volume Data'!Y330*'Equity Price Data'!AB331</f>
        <v>15745.8</v>
      </c>
      <c r="W330" s="30">
        <f>'Equity Volume Data'!Z330*'Equity Price Data'!AC331</f>
        <v>11235.96</v>
      </c>
      <c r="X330" s="30">
        <f>'Equity Volume Data'!AA330*'Equity Price Data'!AD331</f>
        <v>0</v>
      </c>
      <c r="Y330" s="30">
        <f>'Equity Volume Data'!AB330*'Equity Price Data'!AE331</f>
        <v>6013.8</v>
      </c>
      <c r="Z330" s="30">
        <f>'Equity Volume Data'!AC330*'Equity Price Data'!AF331</f>
        <v>13954.5</v>
      </c>
      <c r="AA330" s="30">
        <f>'Equity Volume Data'!AD330*'Equity Price Data'!AG331</f>
        <v>19108</v>
      </c>
      <c r="AB330" s="30">
        <f>'Equity Volume Data'!AE330*'Equity Price Data'!AH331</f>
        <v>13516.8</v>
      </c>
      <c r="AC330" s="30">
        <f>'Equity Volume Data'!AF330*'Equity Price Data'!AI331</f>
        <v>19807.6</v>
      </c>
      <c r="AD330" s="30">
        <f>'Equity Volume Data'!AG330*'Equity Price Data'!AJ331</f>
        <v>14509.8</v>
      </c>
      <c r="AE330" s="30">
        <f>'Equity Volume Data'!AH330*'Equity Price Data'!AK331</f>
        <v>0</v>
      </c>
      <c r="AF330" s="30">
        <f>'Equity Volume Data'!AI330*'Equity Price Data'!AL331</f>
        <v>23117.85</v>
      </c>
      <c r="AG330" s="30">
        <f>'Equity Volume Data'!AJ330*'Equity Price Data'!AM331</f>
        <v>44934</v>
      </c>
      <c r="AH330" s="30">
        <f>'Equity Volume Data'!AK330*'Equity Price Data'!AN331</f>
        <v>41169</v>
      </c>
      <c r="AI330" s="30">
        <f>'Equity Volume Data'!AL330*'Equity Price Data'!AO331</f>
        <v>25401.25</v>
      </c>
      <c r="AJ330" s="30">
        <f>'Equity Volume Data'!AM330*'Equity Price Data'!AP331</f>
        <v>22687.6</v>
      </c>
      <c r="AK330" s="30">
        <f>'Equity Volume Data'!AN330*'Equity Price Data'!AQ331</f>
        <v>21362.44</v>
      </c>
      <c r="AL330" s="30">
        <f>'Equity Volume Data'!AO330*'Equity Price Data'!AR331</f>
        <v>48611.2</v>
      </c>
      <c r="AM330" s="30">
        <f>'Equity Volume Data'!AP330*'Equity Price Data'!AS331</f>
        <v>31979.5</v>
      </c>
      <c r="AN330" s="30">
        <f>'Equity Volume Data'!AQ330*'Equity Price Data'!AT331</f>
        <v>0</v>
      </c>
      <c r="AO330" s="30">
        <f>'Equity Volume Data'!AR330*'Equity Price Data'!AU331</f>
        <v>26397.14</v>
      </c>
      <c r="AP330" s="30">
        <f>'Equity Volume Data'!AS330*'Equity Price Data'!AV331</f>
        <v>23212.5</v>
      </c>
      <c r="AQ330" s="30">
        <f>'Equity Volume Data'!AT330*'Equity Price Data'!AW331</f>
        <v>17985</v>
      </c>
      <c r="AR330" s="30">
        <f>'Equity Volume Data'!AU330*'Equity Price Data'!AX331</f>
        <v>27148.14</v>
      </c>
      <c r="AS330" s="30">
        <f>'Equity Volume Data'!AV330*'Equity Price Data'!AY331</f>
        <v>60956.4</v>
      </c>
      <c r="AT330" s="30">
        <f>'Equity Volume Data'!AW330*'Equity Price Data'!AZ331</f>
        <v>14174</v>
      </c>
      <c r="AU330" s="30">
        <f>'Equity Volume Data'!AX330*'Equity Price Data'!BA331</f>
        <v>0</v>
      </c>
      <c r="AV330" s="30">
        <f>'Equity Volume Data'!AY330*'Equity Price Data'!BB331</f>
        <v>24375.72</v>
      </c>
      <c r="AW330" s="30">
        <f>'Equity Volume Data'!AZ330*'Equity Price Data'!BC331</f>
        <v>3460</v>
      </c>
      <c r="AX330" s="30">
        <f>'Equity Volume Data'!BA330*'Equity Price Data'!BD331</f>
        <v>0</v>
      </c>
      <c r="AY330" s="30">
        <f>'Equity Volume Data'!BB330*'Equity Price Data'!BE331</f>
        <v>62768.28</v>
      </c>
      <c r="AZ330" s="30">
        <f>'Equity Volume Data'!BC330*'Equity Price Data'!BF331</f>
        <v>10269</v>
      </c>
      <c r="BA330" s="30">
        <f>'Equity Volume Data'!BD330*'Equity Price Data'!BG331</f>
        <v>4662.6</v>
      </c>
      <c r="BB330" s="30">
        <f>'Equity Volume Data'!BE330*'Equity Price Data'!BH331</f>
        <v>12694.4</v>
      </c>
      <c r="BC330" s="30">
        <f>'Equity Volume Data'!BF330*'Equity Price Data'!BI331</f>
        <v>12775.6</v>
      </c>
      <c r="BD330" s="30">
        <f>'Equity Volume Data'!BG330*'Equity Price Data'!BJ331</f>
        <v>53701.56</v>
      </c>
      <c r="BE330" s="30">
        <f>'Equity Volume Data'!BH330*'Equity Price Data'!BK331</f>
        <v>11258.27</v>
      </c>
      <c r="BF330" s="30">
        <f>'Equity Volume Data'!BI330*'Equity Price Data'!BL331</f>
        <v>7905.6</v>
      </c>
      <c r="BG330" s="30">
        <f>'Equity Volume Data'!BJ330*'Equity Price Data'!BM331</f>
        <v>28925.9</v>
      </c>
      <c r="BH330" s="30">
        <f>'Equity Volume Data'!BK330*'Equity Price Data'!BN331</f>
        <v>0</v>
      </c>
      <c r="BI330" s="30">
        <f>'Equity Volume Data'!BL330*'Equity Price Data'!BO331</f>
        <v>35689.6</v>
      </c>
      <c r="BJ330" s="30">
        <f>'Equity Volume Data'!BM330*'Equity Price Data'!BP331</f>
        <v>23278.5</v>
      </c>
      <c r="BK330" s="30">
        <f>'Equity Volume Data'!BN330*'Equity Price Data'!BQ331</f>
        <v>91253.28</v>
      </c>
      <c r="BL330" s="30">
        <f>'Equity Volume Data'!BO330*'Equity Price Data'!BR331</f>
        <v>485.51</v>
      </c>
      <c r="BM330" s="30">
        <f>'Equity Volume Data'!BP330*'Equity Price Data'!BS331</f>
        <v>10797.6</v>
      </c>
      <c r="BN330" s="30">
        <f>'Equity Volume Data'!BQ330*'Equity Price Data'!BT331</f>
        <v>22336.28</v>
      </c>
      <c r="BO330" s="30">
        <f>'Equity Volume Data'!BR330*'Equity Price Data'!BU331</f>
        <v>34410</v>
      </c>
    </row>
    <row r="331">
      <c r="A331" s="25">
        <f>'Equity Price Data'!A332</f>
        <v>45905.66667</v>
      </c>
      <c r="B331" s="29">
        <f t="shared" si="1"/>
        <v>1455927.18</v>
      </c>
      <c r="C331" s="30">
        <f>'Equity Volume Data'!F331*'Equity Price Data'!I332</f>
        <v>4536.61</v>
      </c>
      <c r="D331" s="30">
        <f>'Equity Volume Data'!G331*'Equity Price Data'!J332</f>
        <v>60405.8</v>
      </c>
      <c r="E331" s="30">
        <f>'Equity Volume Data'!H331*'Equity Price Data'!K332</f>
        <v>15796</v>
      </c>
      <c r="F331" s="30">
        <f>'Equity Volume Data'!I331*'Equity Price Data'!L332</f>
        <v>61360.64</v>
      </c>
      <c r="G331" s="30">
        <f>'Equity Volume Data'!J331*'Equity Price Data'!M332</f>
        <v>13508.25</v>
      </c>
      <c r="H331" s="30">
        <f>'Equity Volume Data'!K331*'Equity Price Data'!N332</f>
        <v>19493.72</v>
      </c>
      <c r="I331" s="30">
        <f>'Equity Volume Data'!L331*'Equity Price Data'!O332</f>
        <v>19710</v>
      </c>
      <c r="J331" s="30">
        <f>'Equity Volume Data'!M331*'Equity Price Data'!P332</f>
        <v>50976.54</v>
      </c>
      <c r="K331" s="30">
        <f>'Equity Volume Data'!N331*'Equity Price Data'!Q332</f>
        <v>10878</v>
      </c>
      <c r="L331" s="30">
        <f>'Equity Volume Data'!O331*'Equity Price Data'!R332</f>
        <v>17021.07</v>
      </c>
      <c r="M331" s="30">
        <f>'Equity Volume Data'!P331*'Equity Price Data'!S332</f>
        <v>0</v>
      </c>
      <c r="N331" s="30">
        <f>'Equity Volume Data'!Q331*'Equity Price Data'!T332</f>
        <v>5240.8</v>
      </c>
      <c r="O331" s="30">
        <f>'Equity Volume Data'!R331*'Equity Price Data'!U332</f>
        <v>63462</v>
      </c>
      <c r="P331" s="30">
        <f>'Equity Volume Data'!S331*'Equity Price Data'!V332</f>
        <v>31629.45</v>
      </c>
      <c r="Q331" s="30">
        <f>'Equity Volume Data'!T331*'Equity Price Data'!W332</f>
        <v>23170.8</v>
      </c>
      <c r="R331" s="30">
        <f>'Equity Volume Data'!U331*'Equity Price Data'!X332</f>
        <v>12292.8</v>
      </c>
      <c r="S331" s="30">
        <f>'Equity Volume Data'!V331*'Equity Price Data'!Y332</f>
        <v>26867.28</v>
      </c>
      <c r="T331" s="30">
        <f>'Equity Volume Data'!W331*'Equity Price Data'!Z332</f>
        <v>12927.5</v>
      </c>
      <c r="U331" s="30">
        <f>'Equity Volume Data'!X331*'Equity Price Data'!AA332</f>
        <v>17941.44</v>
      </c>
      <c r="V331" s="30">
        <f>'Equity Volume Data'!Y331*'Equity Price Data'!AB332</f>
        <v>15786.05</v>
      </c>
      <c r="W331" s="30">
        <f>'Equity Volume Data'!Z331*'Equity Price Data'!AC332</f>
        <v>11263.56</v>
      </c>
      <c r="X331" s="30">
        <f>'Equity Volume Data'!AA331*'Equity Price Data'!AD332</f>
        <v>0</v>
      </c>
      <c r="Y331" s="30">
        <f>'Equity Volume Data'!AB331*'Equity Price Data'!AE332</f>
        <v>6029.79</v>
      </c>
      <c r="Z331" s="30">
        <f>'Equity Volume Data'!AC331*'Equity Price Data'!AF332</f>
        <v>13899</v>
      </c>
      <c r="AA331" s="30">
        <f>'Equity Volume Data'!AD331*'Equity Price Data'!AG332</f>
        <v>18569.1</v>
      </c>
      <c r="AB331" s="30">
        <f>'Equity Volume Data'!AE331*'Equity Price Data'!AH332</f>
        <v>13663.2</v>
      </c>
      <c r="AC331" s="30">
        <f>'Equity Volume Data'!AF331*'Equity Price Data'!AI332</f>
        <v>19550.8</v>
      </c>
      <c r="AD331" s="30">
        <f>'Equity Volume Data'!AG331*'Equity Price Data'!AJ332</f>
        <v>14528.7</v>
      </c>
      <c r="AE331" s="30">
        <f>'Equity Volume Data'!AH331*'Equity Price Data'!AK332</f>
        <v>0</v>
      </c>
      <c r="AF331" s="30">
        <f>'Equity Volume Data'!AI331*'Equity Price Data'!AL332</f>
        <v>23585.25</v>
      </c>
      <c r="AG331" s="30">
        <f>'Equity Volume Data'!AJ331*'Equity Price Data'!AM332</f>
        <v>44292.6</v>
      </c>
      <c r="AH331" s="30">
        <f>'Equity Volume Data'!AK331*'Equity Price Data'!AN332</f>
        <v>41895</v>
      </c>
      <c r="AI331" s="30">
        <f>'Equity Volume Data'!AL331*'Equity Price Data'!AO332</f>
        <v>24722.25</v>
      </c>
      <c r="AJ331" s="30">
        <f>'Equity Volume Data'!AM331*'Equity Price Data'!AP332</f>
        <v>22655.1</v>
      </c>
      <c r="AK331" s="30">
        <f>'Equity Volume Data'!AN331*'Equity Price Data'!AQ332</f>
        <v>21942.42</v>
      </c>
      <c r="AL331" s="30">
        <f>'Equity Volume Data'!AO331*'Equity Price Data'!AR332</f>
        <v>47100.8</v>
      </c>
      <c r="AM331" s="30">
        <f>'Equity Volume Data'!AP331*'Equity Price Data'!AS332</f>
        <v>32473</v>
      </c>
      <c r="AN331" s="30">
        <f>'Equity Volume Data'!AQ331*'Equity Price Data'!AT332</f>
        <v>0</v>
      </c>
      <c r="AO331" s="30">
        <f>'Equity Volume Data'!AR331*'Equity Price Data'!AU332</f>
        <v>26183.64</v>
      </c>
      <c r="AP331" s="30">
        <f>'Equity Volume Data'!AS331*'Equity Price Data'!AV332</f>
        <v>23225</v>
      </c>
      <c r="AQ331" s="30">
        <f>'Equity Volume Data'!AT331*'Equity Price Data'!AW332</f>
        <v>17492.2</v>
      </c>
      <c r="AR331" s="30">
        <f>'Equity Volume Data'!AU331*'Equity Price Data'!AX332</f>
        <v>26670.15</v>
      </c>
      <c r="AS331" s="30">
        <f>'Equity Volume Data'!AV331*'Equity Price Data'!AY332</f>
        <v>59400</v>
      </c>
      <c r="AT331" s="30">
        <f>'Equity Volume Data'!AW331*'Equity Price Data'!AZ332</f>
        <v>14180</v>
      </c>
      <c r="AU331" s="30">
        <f>'Equity Volume Data'!AX331*'Equity Price Data'!BA332</f>
        <v>0</v>
      </c>
      <c r="AV331" s="30">
        <f>'Equity Volume Data'!AY331*'Equity Price Data'!BB332</f>
        <v>23716.84</v>
      </c>
      <c r="AW331" s="30">
        <f>'Equity Volume Data'!AZ331*'Equity Price Data'!BC332</f>
        <v>3480</v>
      </c>
      <c r="AX331" s="30">
        <f>'Equity Volume Data'!BA331*'Equity Price Data'!BD332</f>
        <v>0</v>
      </c>
      <c r="AY331" s="30">
        <f>'Equity Volume Data'!BB331*'Equity Price Data'!BE332</f>
        <v>61550.22</v>
      </c>
      <c r="AZ331" s="30">
        <f>'Equity Volume Data'!BC331*'Equity Price Data'!BF332</f>
        <v>10239</v>
      </c>
      <c r="BA331" s="30">
        <f>'Equity Volume Data'!BD331*'Equity Price Data'!BG332</f>
        <v>4727.2</v>
      </c>
      <c r="BB331" s="30">
        <f>'Equity Volume Data'!BE331*'Equity Price Data'!BH332</f>
        <v>12601.6</v>
      </c>
      <c r="BC331" s="30">
        <f>'Equity Volume Data'!BF331*'Equity Price Data'!BI332</f>
        <v>13284</v>
      </c>
      <c r="BD331" s="30">
        <f>'Equity Volume Data'!BG331*'Equity Price Data'!BJ332</f>
        <v>53837.88</v>
      </c>
      <c r="BE331" s="30">
        <f>'Equity Volume Data'!BH331*'Equity Price Data'!BK332</f>
        <v>11329.8</v>
      </c>
      <c r="BF331" s="30">
        <f>'Equity Volume Data'!BI331*'Equity Price Data'!BL332</f>
        <v>7984.8</v>
      </c>
      <c r="BG331" s="30">
        <f>'Equity Volume Data'!BJ331*'Equity Price Data'!BM332</f>
        <v>28914.78</v>
      </c>
      <c r="BH331" s="30">
        <f>'Equity Volume Data'!BK331*'Equity Price Data'!BN332</f>
        <v>0</v>
      </c>
      <c r="BI331" s="30">
        <f>'Equity Volume Data'!BL331*'Equity Price Data'!BO332</f>
        <v>35249.6</v>
      </c>
      <c r="BJ331" s="30">
        <f>'Equity Volume Data'!BM331*'Equity Price Data'!BP332</f>
        <v>23654.25</v>
      </c>
      <c r="BK331" s="30">
        <f>'Equity Volume Data'!BN331*'Equity Price Data'!BQ332</f>
        <v>91397.44</v>
      </c>
      <c r="BL331" s="30">
        <f>'Equity Volume Data'!BO331*'Equity Price Data'!BR332</f>
        <v>493.5</v>
      </c>
      <c r="BM331" s="30">
        <f>'Equity Volume Data'!BP331*'Equity Price Data'!BS332</f>
        <v>10562.88</v>
      </c>
      <c r="BN331" s="30">
        <f>'Equity Volume Data'!BQ331*'Equity Price Data'!BT332</f>
        <v>22167.08</v>
      </c>
      <c r="BO331" s="30">
        <f>'Equity Volume Data'!BR331*'Equity Price Data'!BU332</f>
        <v>34410</v>
      </c>
    </row>
    <row r="332">
      <c r="A332" s="25">
        <f>'Equity Price Data'!A333</f>
        <v>45908.66667</v>
      </c>
      <c r="B332" s="29">
        <f t="shared" si="1"/>
        <v>1454999.94</v>
      </c>
      <c r="C332" s="30">
        <f>'Equity Volume Data'!F332*'Equity Price Data'!I333</f>
        <v>4662.58</v>
      </c>
      <c r="D332" s="30">
        <f>'Equity Volume Data'!G332*'Equity Price Data'!J333</f>
        <v>61318.4</v>
      </c>
      <c r="E332" s="30">
        <f>'Equity Volume Data'!H332*'Equity Price Data'!K333</f>
        <v>15402.2</v>
      </c>
      <c r="F332" s="30">
        <f>'Equity Volume Data'!I332*'Equity Price Data'!L333</f>
        <v>60897.28</v>
      </c>
      <c r="G332" s="30">
        <f>'Equity Volume Data'!J332*'Equity Price Data'!M333</f>
        <v>13450.15</v>
      </c>
      <c r="H332" s="30">
        <f>'Equity Volume Data'!K332*'Equity Price Data'!N333</f>
        <v>19555.76</v>
      </c>
      <c r="I332" s="30">
        <f>'Equity Volume Data'!L332*'Equity Price Data'!O333</f>
        <v>19940</v>
      </c>
      <c r="J332" s="30">
        <f>'Equity Volume Data'!M332*'Equity Price Data'!P333</f>
        <v>50365.56</v>
      </c>
      <c r="K332" s="30">
        <f>'Equity Volume Data'!N332*'Equity Price Data'!Q333</f>
        <v>10840</v>
      </c>
      <c r="L332" s="30">
        <f>'Equity Volume Data'!O332*'Equity Price Data'!R333</f>
        <v>17103.35</v>
      </c>
      <c r="M332" s="30">
        <f>'Equity Volume Data'!P332*'Equity Price Data'!S333</f>
        <v>0</v>
      </c>
      <c r="N332" s="30">
        <f>'Equity Volume Data'!Q332*'Equity Price Data'!T333</f>
        <v>5248.8</v>
      </c>
      <c r="O332" s="30">
        <f>'Equity Volume Data'!R332*'Equity Price Data'!U333</f>
        <v>63417</v>
      </c>
      <c r="P332" s="30">
        <f>'Equity Volume Data'!S332*'Equity Price Data'!V333</f>
        <v>32209.08</v>
      </c>
      <c r="Q332" s="30">
        <f>'Equity Volume Data'!T332*'Equity Price Data'!W333</f>
        <v>23628</v>
      </c>
      <c r="R332" s="30">
        <f>'Equity Volume Data'!U332*'Equity Price Data'!X333</f>
        <v>12320</v>
      </c>
      <c r="S332" s="30">
        <f>'Equity Volume Data'!V332*'Equity Price Data'!Y333</f>
        <v>26478.32</v>
      </c>
      <c r="T332" s="30">
        <f>'Equity Volume Data'!W332*'Equity Price Data'!Z333</f>
        <v>12925</v>
      </c>
      <c r="U332" s="30">
        <f>'Equity Volume Data'!X332*'Equity Price Data'!AA333</f>
        <v>17801.52</v>
      </c>
      <c r="V332" s="30">
        <f>'Equity Volume Data'!Y332*'Equity Price Data'!AB333</f>
        <v>15560.65</v>
      </c>
      <c r="W332" s="30">
        <f>'Equity Volume Data'!Z332*'Equity Price Data'!AC333</f>
        <v>11123.49</v>
      </c>
      <c r="X332" s="30">
        <f>'Equity Volume Data'!AA332*'Equity Price Data'!AD333</f>
        <v>0</v>
      </c>
      <c r="Y332" s="30">
        <f>'Equity Volume Data'!AB332*'Equity Price Data'!AE333</f>
        <v>6059.43</v>
      </c>
      <c r="Z332" s="30">
        <f>'Equity Volume Data'!AC332*'Equity Price Data'!AF333</f>
        <v>13953</v>
      </c>
      <c r="AA332" s="30">
        <f>'Equity Volume Data'!AD332*'Equity Price Data'!AG333</f>
        <v>18674.5</v>
      </c>
      <c r="AB332" s="30">
        <f>'Equity Volume Data'!AE332*'Equity Price Data'!AH333</f>
        <v>13500</v>
      </c>
      <c r="AC332" s="30">
        <f>'Equity Volume Data'!AF332*'Equity Price Data'!AI333</f>
        <v>19158.8</v>
      </c>
      <c r="AD332" s="30">
        <f>'Equity Volume Data'!AG332*'Equity Price Data'!AJ333</f>
        <v>14522.4</v>
      </c>
      <c r="AE332" s="30">
        <f>'Equity Volume Data'!AH332*'Equity Price Data'!AK333</f>
        <v>0</v>
      </c>
      <c r="AF332" s="30">
        <f>'Equity Volume Data'!AI332*'Equity Price Data'!AL333</f>
        <v>23755.4</v>
      </c>
      <c r="AG332" s="30">
        <f>'Equity Volume Data'!AJ332*'Equity Price Data'!AM333</f>
        <v>44511</v>
      </c>
      <c r="AH332" s="30">
        <f>'Equity Volume Data'!AK332*'Equity Price Data'!AN333</f>
        <v>41994</v>
      </c>
      <c r="AI332" s="30">
        <f>'Equity Volume Data'!AL332*'Equity Price Data'!AO333</f>
        <v>24379.25</v>
      </c>
      <c r="AJ332" s="30">
        <f>'Equity Volume Data'!AM332*'Equity Price Data'!AP333</f>
        <v>22605.7</v>
      </c>
      <c r="AK332" s="30">
        <f>'Equity Volume Data'!AN332*'Equity Price Data'!AQ333</f>
        <v>22090</v>
      </c>
      <c r="AL332" s="30">
        <f>'Equity Volume Data'!AO332*'Equity Price Data'!AR333</f>
        <v>46865.6</v>
      </c>
      <c r="AM332" s="30">
        <f>'Equity Volume Data'!AP332*'Equity Price Data'!AS333</f>
        <v>32137.7</v>
      </c>
      <c r="AN332" s="30">
        <f>'Equity Volume Data'!AQ332*'Equity Price Data'!AT333</f>
        <v>0</v>
      </c>
      <c r="AO332" s="30">
        <f>'Equity Volume Data'!AR332*'Equity Price Data'!AU333</f>
        <v>26251.96</v>
      </c>
      <c r="AP332" s="30">
        <f>'Equity Volume Data'!AS332*'Equity Price Data'!AV333</f>
        <v>23247.5</v>
      </c>
      <c r="AQ332" s="30">
        <f>'Equity Volume Data'!AT332*'Equity Price Data'!AW333</f>
        <v>17512</v>
      </c>
      <c r="AR332" s="30">
        <f>'Equity Volume Data'!AU332*'Equity Price Data'!AX333</f>
        <v>26530.56</v>
      </c>
      <c r="AS332" s="30">
        <f>'Equity Volume Data'!AV332*'Equity Price Data'!AY333</f>
        <v>59784</v>
      </c>
      <c r="AT332" s="30">
        <f>'Equity Volume Data'!AW332*'Equity Price Data'!AZ333</f>
        <v>13954</v>
      </c>
      <c r="AU332" s="30">
        <f>'Equity Volume Data'!AX332*'Equity Price Data'!BA333</f>
        <v>0</v>
      </c>
      <c r="AV332" s="30">
        <f>'Equity Volume Data'!AY332*'Equity Price Data'!BB333</f>
        <v>23900.02</v>
      </c>
      <c r="AW332" s="30">
        <f>'Equity Volume Data'!AZ332*'Equity Price Data'!BC333</f>
        <v>3494.8</v>
      </c>
      <c r="AX332" s="30">
        <f>'Equity Volume Data'!BA332*'Equity Price Data'!BD333</f>
        <v>0</v>
      </c>
      <c r="AY332" s="30">
        <f>'Equity Volume Data'!BB332*'Equity Price Data'!BE333</f>
        <v>62752.2</v>
      </c>
      <c r="AZ332" s="30">
        <f>'Equity Volume Data'!BC332*'Equity Price Data'!BF333</f>
        <v>10260</v>
      </c>
      <c r="BA332" s="30">
        <f>'Equity Volume Data'!BD332*'Equity Price Data'!BG333</f>
        <v>4664.5</v>
      </c>
      <c r="BB332" s="30">
        <f>'Equity Volume Data'!BE332*'Equity Price Data'!BH333</f>
        <v>12337.6</v>
      </c>
      <c r="BC332" s="30">
        <f>'Equity Volume Data'!BF332*'Equity Price Data'!BI333</f>
        <v>13467.68</v>
      </c>
      <c r="BD332" s="30">
        <f>'Equity Volume Data'!BG332*'Equity Price Data'!BJ333</f>
        <v>51737.7</v>
      </c>
      <c r="BE332" s="30">
        <f>'Equity Volume Data'!BH332*'Equity Price Data'!BK333</f>
        <v>11215.95</v>
      </c>
      <c r="BF332" s="30">
        <f>'Equity Volume Data'!BI332*'Equity Price Data'!BL333</f>
        <v>8111.6</v>
      </c>
      <c r="BG332" s="30">
        <f>'Equity Volume Data'!BJ332*'Equity Price Data'!BM333</f>
        <v>29351.24</v>
      </c>
      <c r="BH332" s="30">
        <f>'Equity Volume Data'!BK332*'Equity Price Data'!BN333</f>
        <v>0</v>
      </c>
      <c r="BI332" s="30">
        <f>'Equity Volume Data'!BL332*'Equity Price Data'!BO333</f>
        <v>34761.6</v>
      </c>
      <c r="BJ332" s="30">
        <f>'Equity Volume Data'!BM332*'Equity Price Data'!BP333</f>
        <v>24018.75</v>
      </c>
      <c r="BK332" s="30">
        <f>'Equity Volume Data'!BN332*'Equity Price Data'!BQ333</f>
        <v>91433.48</v>
      </c>
      <c r="BL332" s="30">
        <f>'Equity Volume Data'!BO332*'Equity Price Data'!BR333</f>
        <v>492.56</v>
      </c>
      <c r="BM332" s="30">
        <f>'Equity Volume Data'!BP332*'Equity Price Data'!BS333</f>
        <v>10514.4</v>
      </c>
      <c r="BN332" s="30">
        <f>'Equity Volume Data'!BQ332*'Equity Price Data'!BT333</f>
        <v>22341.92</v>
      </c>
      <c r="BO332" s="30">
        <f>'Equity Volume Data'!BR332*'Equity Price Data'!BU333</f>
        <v>34410</v>
      </c>
    </row>
    <row r="333">
      <c r="A333" s="25">
        <f>'Equity Price Data'!A334</f>
        <v>45909.66667</v>
      </c>
      <c r="B333" s="29">
        <f t="shared" si="1"/>
        <v>1461489.48</v>
      </c>
      <c r="C333" s="30">
        <f>'Equity Volume Data'!F333*'Equity Price Data'!I334</f>
        <v>4602.78</v>
      </c>
      <c r="D333" s="30">
        <f>'Equity Volume Data'!G333*'Equity Price Data'!J334</f>
        <v>61942.4</v>
      </c>
      <c r="E333" s="30">
        <f>'Equity Volume Data'!H333*'Equity Price Data'!K334</f>
        <v>15409.9</v>
      </c>
      <c r="F333" s="30">
        <f>'Equity Volume Data'!I333*'Equity Price Data'!L334</f>
        <v>59993.6</v>
      </c>
      <c r="G333" s="30">
        <f>'Equity Volume Data'!J333*'Equity Price Data'!M334</f>
        <v>13570.5</v>
      </c>
      <c r="H333" s="30">
        <f>'Equity Volume Data'!K333*'Equity Price Data'!N334</f>
        <v>19696.76</v>
      </c>
      <c r="I333" s="30">
        <f>'Equity Volume Data'!L333*'Equity Price Data'!O334</f>
        <v>20310</v>
      </c>
      <c r="J333" s="30">
        <f>'Equity Volume Data'!M333*'Equity Price Data'!P334</f>
        <v>50257.44</v>
      </c>
      <c r="K333" s="30">
        <f>'Equity Volume Data'!N333*'Equity Price Data'!Q334</f>
        <v>10630</v>
      </c>
      <c r="L333" s="30">
        <f>'Equity Volume Data'!O333*'Equity Price Data'!R334</f>
        <v>17375.6</v>
      </c>
      <c r="M333" s="30">
        <f>'Equity Volume Data'!P333*'Equity Price Data'!S334</f>
        <v>0</v>
      </c>
      <c r="N333" s="30">
        <f>'Equity Volume Data'!Q333*'Equity Price Data'!T334</f>
        <v>5077.6</v>
      </c>
      <c r="O333" s="30">
        <f>'Equity Volume Data'!R333*'Equity Price Data'!U334</f>
        <v>62713.5</v>
      </c>
      <c r="P333" s="30">
        <f>'Equity Volume Data'!S333*'Equity Price Data'!V334</f>
        <v>32271.63</v>
      </c>
      <c r="Q333" s="30">
        <f>'Equity Volume Data'!T333*'Equity Price Data'!W334</f>
        <v>23587.2</v>
      </c>
      <c r="R333" s="30">
        <f>'Equity Volume Data'!U333*'Equity Price Data'!X334</f>
        <v>12388</v>
      </c>
      <c r="S333" s="30">
        <f>'Equity Volume Data'!V333*'Equity Price Data'!Y334</f>
        <v>26576.88</v>
      </c>
      <c r="T333" s="30">
        <f>'Equity Volume Data'!W333*'Equity Price Data'!Z334</f>
        <v>12927.5</v>
      </c>
      <c r="U333" s="30">
        <f>'Equity Volume Data'!X333*'Equity Price Data'!AA334</f>
        <v>17915.04</v>
      </c>
      <c r="V333" s="30">
        <f>'Equity Volume Data'!Y333*'Equity Price Data'!AB334</f>
        <v>15613.78</v>
      </c>
      <c r="W333" s="30">
        <f>'Equity Volume Data'!Z333*'Equity Price Data'!AC334</f>
        <v>11314.62</v>
      </c>
      <c r="X333" s="30">
        <f>'Equity Volume Data'!AA333*'Equity Price Data'!AD334</f>
        <v>0</v>
      </c>
      <c r="Y333" s="30">
        <f>'Equity Volume Data'!AB333*'Equity Price Data'!AE334</f>
        <v>5966.61</v>
      </c>
      <c r="Z333" s="30">
        <f>'Equity Volume Data'!AC333*'Equity Price Data'!AF334</f>
        <v>13869</v>
      </c>
      <c r="AA333" s="30">
        <f>'Equity Volume Data'!AD333*'Equity Price Data'!AG334</f>
        <v>18810.5</v>
      </c>
      <c r="AB333" s="30">
        <f>'Equity Volume Data'!AE333*'Equity Price Data'!AH334</f>
        <v>13545</v>
      </c>
      <c r="AC333" s="30">
        <f>'Equity Volume Data'!AF333*'Equity Price Data'!AI334</f>
        <v>19184.8</v>
      </c>
      <c r="AD333" s="30">
        <f>'Equity Volume Data'!AG333*'Equity Price Data'!AJ334</f>
        <v>14459.85</v>
      </c>
      <c r="AE333" s="30">
        <f>'Equity Volume Data'!AH333*'Equity Price Data'!AK334</f>
        <v>0</v>
      </c>
      <c r="AF333" s="30">
        <f>'Equity Volume Data'!AI333*'Equity Price Data'!AL334</f>
        <v>23730.8</v>
      </c>
      <c r="AG333" s="30">
        <f>'Equity Volume Data'!AJ333*'Equity Price Data'!AM334</f>
        <v>45835.2</v>
      </c>
      <c r="AH333" s="30">
        <f>'Equity Volume Data'!AK333*'Equity Price Data'!AN334</f>
        <v>41534</v>
      </c>
      <c r="AI333" s="30">
        <f>'Equity Volume Data'!AL333*'Equity Price Data'!AO334</f>
        <v>24426.5</v>
      </c>
      <c r="AJ333" s="30">
        <f>'Equity Volume Data'!AM333*'Equity Price Data'!AP334</f>
        <v>22549.8</v>
      </c>
      <c r="AK333" s="30">
        <f>'Equity Volume Data'!AN333*'Equity Price Data'!AQ334</f>
        <v>21974.38</v>
      </c>
      <c r="AL333" s="30">
        <f>'Equity Volume Data'!AO333*'Equity Price Data'!AR334</f>
        <v>47656</v>
      </c>
      <c r="AM333" s="30">
        <f>'Equity Volume Data'!AP333*'Equity Price Data'!AS334</f>
        <v>31994.2</v>
      </c>
      <c r="AN333" s="30">
        <f>'Equity Volume Data'!AQ333*'Equity Price Data'!AT334</f>
        <v>0</v>
      </c>
      <c r="AO333" s="30">
        <f>'Equity Volume Data'!AR333*'Equity Price Data'!AU334</f>
        <v>26354.44</v>
      </c>
      <c r="AP333" s="30">
        <f>'Equity Volume Data'!AS333*'Equity Price Data'!AV334</f>
        <v>23517.5</v>
      </c>
      <c r="AQ333" s="30">
        <f>'Equity Volume Data'!AT333*'Equity Price Data'!AW334</f>
        <v>17443.8</v>
      </c>
      <c r="AR333" s="30">
        <f>'Equity Volume Data'!AU333*'Equity Price Data'!AX334</f>
        <v>26712.45</v>
      </c>
      <c r="AS333" s="30">
        <f>'Equity Volume Data'!AV333*'Equity Price Data'!AY334</f>
        <v>59809.2</v>
      </c>
      <c r="AT333" s="30">
        <f>'Equity Volume Data'!AW333*'Equity Price Data'!AZ334</f>
        <v>14014</v>
      </c>
      <c r="AU333" s="30">
        <f>'Equity Volume Data'!AX333*'Equity Price Data'!BA334</f>
        <v>0</v>
      </c>
      <c r="AV333" s="30">
        <f>'Equity Volume Data'!AY333*'Equity Price Data'!BB334</f>
        <v>24247.92</v>
      </c>
      <c r="AW333" s="30">
        <f>'Equity Volume Data'!AZ333*'Equity Price Data'!BC334</f>
        <v>3520.4</v>
      </c>
      <c r="AX333" s="30">
        <f>'Equity Volume Data'!BA333*'Equity Price Data'!BD334</f>
        <v>0</v>
      </c>
      <c r="AY333" s="30">
        <f>'Equity Volume Data'!BB333*'Equity Price Data'!BE334</f>
        <v>65268.72</v>
      </c>
      <c r="AZ333" s="30">
        <f>'Equity Volume Data'!BC333*'Equity Price Data'!BF334</f>
        <v>10152</v>
      </c>
      <c r="BA333" s="30">
        <f>'Equity Volume Data'!BD333*'Equity Price Data'!BG334</f>
        <v>4694.9</v>
      </c>
      <c r="BB333" s="30">
        <f>'Equity Volume Data'!BE333*'Equity Price Data'!BH334</f>
        <v>12140</v>
      </c>
      <c r="BC333" s="30">
        <f>'Equity Volume Data'!BF333*'Equity Price Data'!BI334</f>
        <v>13428.32</v>
      </c>
      <c r="BD333" s="30">
        <f>'Equity Volume Data'!BG333*'Equity Price Data'!BJ334</f>
        <v>51699.36</v>
      </c>
      <c r="BE333" s="30">
        <f>'Equity Volume Data'!BH333*'Equity Price Data'!BK334</f>
        <v>11095.43</v>
      </c>
      <c r="BF333" s="30">
        <f>'Equity Volume Data'!BI333*'Equity Price Data'!BL334</f>
        <v>8032</v>
      </c>
      <c r="BG333" s="30">
        <f>'Equity Volume Data'!BJ333*'Equity Price Data'!BM334</f>
        <v>30101.84</v>
      </c>
      <c r="BH333" s="30">
        <f>'Equity Volume Data'!BK333*'Equity Price Data'!BN334</f>
        <v>0</v>
      </c>
      <c r="BI333" s="30">
        <f>'Equity Volume Data'!BL333*'Equity Price Data'!BO334</f>
        <v>34568</v>
      </c>
      <c r="BJ333" s="30">
        <f>'Equity Volume Data'!BM333*'Equity Price Data'!BP334</f>
        <v>26094</v>
      </c>
      <c r="BK333" s="30">
        <f>'Equity Volume Data'!BN333*'Equity Price Data'!BQ334</f>
        <v>91397.44</v>
      </c>
      <c r="BL333" s="30">
        <f>'Equity Volume Data'!BO333*'Equity Price Data'!BR334</f>
        <v>491.15</v>
      </c>
      <c r="BM333" s="30">
        <f>'Equity Volume Data'!BP333*'Equity Price Data'!BS334</f>
        <v>10519.68</v>
      </c>
      <c r="BN333" s="30">
        <f>'Equity Volume Data'!BQ333*'Equity Price Data'!BT334</f>
        <v>22065.56</v>
      </c>
      <c r="BO333" s="30">
        <f>'Equity Volume Data'!BR333*'Equity Price Data'!BU334</f>
        <v>34410</v>
      </c>
    </row>
    <row r="334">
      <c r="A334" s="25">
        <f>'Equity Price Data'!A335</f>
        <v>45910.66667</v>
      </c>
      <c r="B334" s="29">
        <f t="shared" si="1"/>
        <v>1458958.16</v>
      </c>
      <c r="C334" s="30">
        <f>'Equity Volume Data'!F334*'Equity Price Data'!I335</f>
        <v>4552.08</v>
      </c>
      <c r="D334" s="30">
        <f>'Equity Volume Data'!G334*'Equity Price Data'!J335</f>
        <v>59885.8</v>
      </c>
      <c r="E334" s="30">
        <f>'Equity Volume Data'!H334*'Equity Price Data'!K335</f>
        <v>15235</v>
      </c>
      <c r="F334" s="30">
        <f>'Equity Volume Data'!I334*'Equity Price Data'!L335</f>
        <v>58058.24</v>
      </c>
      <c r="G334" s="30">
        <f>'Equity Volume Data'!J334*'Equity Price Data'!M335</f>
        <v>13563.86</v>
      </c>
      <c r="H334" s="30">
        <f>'Equity Volume Data'!K334*'Equity Price Data'!N335</f>
        <v>19552</v>
      </c>
      <c r="I334" s="30">
        <f>'Equity Volume Data'!L334*'Equity Price Data'!O335</f>
        <v>20490</v>
      </c>
      <c r="J334" s="30">
        <f>'Equity Volume Data'!M334*'Equity Price Data'!P335</f>
        <v>49988.16</v>
      </c>
      <c r="K334" s="30">
        <f>'Equity Volume Data'!N334*'Equity Price Data'!Q335</f>
        <v>10650</v>
      </c>
      <c r="L334" s="30">
        <f>'Equity Volume Data'!O334*'Equity Price Data'!R335</f>
        <v>17255.81</v>
      </c>
      <c r="M334" s="30">
        <f>'Equity Volume Data'!P334*'Equity Price Data'!S335</f>
        <v>0</v>
      </c>
      <c r="N334" s="30">
        <f>'Equity Volume Data'!Q334*'Equity Price Data'!T335</f>
        <v>5000</v>
      </c>
      <c r="O334" s="30">
        <f>'Equity Volume Data'!R334*'Equity Price Data'!U335</f>
        <v>63436.5</v>
      </c>
      <c r="P334" s="30">
        <f>'Equity Volume Data'!S334*'Equity Price Data'!V335</f>
        <v>33138.99</v>
      </c>
      <c r="Q334" s="30">
        <f>'Equity Volume Data'!T334*'Equity Price Data'!W335</f>
        <v>23308.8</v>
      </c>
      <c r="R334" s="30">
        <f>'Equity Volume Data'!U334*'Equity Price Data'!X335</f>
        <v>12623.2</v>
      </c>
      <c r="S334" s="30">
        <f>'Equity Volume Data'!V334*'Equity Price Data'!Y335</f>
        <v>26614.72</v>
      </c>
      <c r="T334" s="30">
        <f>'Equity Volume Data'!W334*'Equity Price Data'!Z335</f>
        <v>12952.5</v>
      </c>
      <c r="U334" s="30">
        <f>'Equity Volume Data'!X334*'Equity Price Data'!AA335</f>
        <v>17904.48</v>
      </c>
      <c r="V334" s="30">
        <f>'Equity Volume Data'!Y334*'Equity Price Data'!AB335</f>
        <v>15629.88</v>
      </c>
      <c r="W334" s="30">
        <f>'Equity Volume Data'!Z334*'Equity Price Data'!AC335</f>
        <v>11998.41</v>
      </c>
      <c r="X334" s="30">
        <f>'Equity Volume Data'!AA334*'Equity Price Data'!AD335</f>
        <v>0</v>
      </c>
      <c r="Y334" s="30">
        <f>'Equity Volume Data'!AB334*'Equity Price Data'!AE335</f>
        <v>5857.28</v>
      </c>
      <c r="Z334" s="30">
        <f>'Equity Volume Data'!AC334*'Equity Price Data'!AF335</f>
        <v>13693.5</v>
      </c>
      <c r="AA334" s="30">
        <f>'Equity Volume Data'!AD334*'Equity Price Data'!AG335</f>
        <v>19125</v>
      </c>
      <c r="AB334" s="30">
        <f>'Equity Volume Data'!AE334*'Equity Price Data'!AH335</f>
        <v>13541.4</v>
      </c>
      <c r="AC334" s="30">
        <f>'Equity Volume Data'!AF334*'Equity Price Data'!AI335</f>
        <v>18944.8</v>
      </c>
      <c r="AD334" s="30">
        <f>'Equity Volume Data'!AG334*'Equity Price Data'!AJ335</f>
        <v>14537.25</v>
      </c>
      <c r="AE334" s="30">
        <f>'Equity Volume Data'!AH334*'Equity Price Data'!AK335</f>
        <v>0</v>
      </c>
      <c r="AF334" s="30">
        <f>'Equity Volume Data'!AI334*'Equity Price Data'!AL335</f>
        <v>23626.25</v>
      </c>
      <c r="AG334" s="30">
        <f>'Equity Volume Data'!AJ334*'Equity Price Data'!AM335</f>
        <v>46174.8</v>
      </c>
      <c r="AH334" s="30">
        <f>'Equity Volume Data'!AK334*'Equity Price Data'!AN335</f>
        <v>41323</v>
      </c>
      <c r="AI334" s="30">
        <f>'Equity Volume Data'!AL334*'Equity Price Data'!AO335</f>
        <v>23833.25</v>
      </c>
      <c r="AJ334" s="30">
        <f>'Equity Volume Data'!AM334*'Equity Price Data'!AP335</f>
        <v>22389.9</v>
      </c>
      <c r="AK334" s="30">
        <f>'Equity Volume Data'!AN334*'Equity Price Data'!AQ335</f>
        <v>21149.06</v>
      </c>
      <c r="AL334" s="30">
        <f>'Equity Volume Data'!AO334*'Equity Price Data'!AR335</f>
        <v>48086.4</v>
      </c>
      <c r="AM334" s="30">
        <f>'Equity Volume Data'!AP334*'Equity Price Data'!AS335</f>
        <v>32470.9</v>
      </c>
      <c r="AN334" s="30">
        <f>'Equity Volume Data'!AQ334*'Equity Price Data'!AT335</f>
        <v>0</v>
      </c>
      <c r="AO334" s="30">
        <f>'Equity Volume Data'!AR334*'Equity Price Data'!AU335</f>
        <v>26362.98</v>
      </c>
      <c r="AP334" s="30">
        <f>'Equity Volume Data'!AS334*'Equity Price Data'!AV335</f>
        <v>23080</v>
      </c>
      <c r="AQ334" s="30">
        <f>'Equity Volume Data'!AT334*'Equity Price Data'!AW335</f>
        <v>17430.6</v>
      </c>
      <c r="AR334" s="30">
        <f>'Equity Volume Data'!AU334*'Equity Price Data'!AX335</f>
        <v>26412.12</v>
      </c>
      <c r="AS334" s="30">
        <f>'Equity Volume Data'!AV334*'Equity Price Data'!AY335</f>
        <v>60044.4</v>
      </c>
      <c r="AT334" s="30">
        <f>'Equity Volume Data'!AW334*'Equity Price Data'!AZ335</f>
        <v>14208</v>
      </c>
      <c r="AU334" s="30">
        <f>'Equity Volume Data'!AX334*'Equity Price Data'!BA335</f>
        <v>0</v>
      </c>
      <c r="AV334" s="30">
        <f>'Equity Volume Data'!AY334*'Equity Price Data'!BB335</f>
        <v>25180.86</v>
      </c>
      <c r="AW334" s="30">
        <f>'Equity Volume Data'!AZ334*'Equity Price Data'!BC335</f>
        <v>3505.2</v>
      </c>
      <c r="AX334" s="30">
        <f>'Equity Volume Data'!BA334*'Equity Price Data'!BD335</f>
        <v>0</v>
      </c>
      <c r="AY334" s="30">
        <f>'Equity Volume Data'!BB334*'Equity Price Data'!BE335</f>
        <v>67029.48</v>
      </c>
      <c r="AZ334" s="30">
        <f>'Equity Volume Data'!BC334*'Equity Price Data'!BF335</f>
        <v>9846</v>
      </c>
      <c r="BA334" s="30">
        <f>'Equity Volume Data'!BD334*'Equity Price Data'!BG335</f>
        <v>4668.3</v>
      </c>
      <c r="BB334" s="30">
        <f>'Equity Volume Data'!BE334*'Equity Price Data'!BH335</f>
        <v>12400</v>
      </c>
      <c r="BC334" s="30">
        <f>'Equity Volume Data'!BF334*'Equity Price Data'!BI335</f>
        <v>13267.6</v>
      </c>
      <c r="BD334" s="30">
        <f>'Equity Volume Data'!BG334*'Equity Price Data'!BJ335</f>
        <v>51200.94</v>
      </c>
      <c r="BE334" s="30">
        <f>'Equity Volume Data'!BH334*'Equity Price Data'!BK335</f>
        <v>10960.42</v>
      </c>
      <c r="BF334" s="30">
        <f>'Equity Volume Data'!BI334*'Equity Price Data'!BL335</f>
        <v>7895.2</v>
      </c>
      <c r="BG334" s="30">
        <f>'Equity Volume Data'!BJ334*'Equity Price Data'!BM335</f>
        <v>29965.62</v>
      </c>
      <c r="BH334" s="30">
        <f>'Equity Volume Data'!BK334*'Equity Price Data'!BN335</f>
        <v>0</v>
      </c>
      <c r="BI334" s="30">
        <f>'Equity Volume Data'!BL334*'Equity Price Data'!BO335</f>
        <v>34430.4</v>
      </c>
      <c r="BJ334" s="30">
        <f>'Equity Volume Data'!BM334*'Equity Price Data'!BP335</f>
        <v>26008.5</v>
      </c>
      <c r="BK334" s="30">
        <f>'Equity Volume Data'!BN334*'Equity Price Data'!BQ335</f>
        <v>91361.4</v>
      </c>
      <c r="BL334" s="30">
        <f>'Equity Volume Data'!BO334*'Equity Price Data'!BR335</f>
        <v>481.28</v>
      </c>
      <c r="BM334" s="30">
        <f>'Equity Volume Data'!BP334*'Equity Price Data'!BS335</f>
        <v>10449.12</v>
      </c>
      <c r="BN334" s="30">
        <f>'Equity Volume Data'!BQ334*'Equity Price Data'!BT335</f>
        <v>21768.52</v>
      </c>
      <c r="BO334" s="30">
        <f>'Equity Volume Data'!BR334*'Equity Price Data'!BU335</f>
        <v>34410</v>
      </c>
    </row>
    <row r="335">
      <c r="A335" s="25">
        <f>'Equity Price Data'!A336</f>
        <v>45911.66667</v>
      </c>
      <c r="B335" s="29">
        <f t="shared" si="1"/>
        <v>1464873.5</v>
      </c>
      <c r="C335" s="30">
        <f>'Equity Volume Data'!F335*'Equity Price Data'!I336</f>
        <v>4557.15</v>
      </c>
      <c r="D335" s="30">
        <f>'Equity Volume Data'!G335*'Equity Price Data'!J336</f>
        <v>59787</v>
      </c>
      <c r="E335" s="30">
        <f>'Equity Volume Data'!H335*'Equity Price Data'!K336</f>
        <v>15359.3</v>
      </c>
      <c r="F335" s="30">
        <f>'Equity Volume Data'!I335*'Equity Price Data'!L336</f>
        <v>58887.68</v>
      </c>
      <c r="G335" s="30">
        <f>'Equity Volume Data'!J335*'Equity Price Data'!M336</f>
        <v>14122.45</v>
      </c>
      <c r="H335" s="30">
        <f>'Equity Volume Data'!K335*'Equity Price Data'!N336</f>
        <v>19852.8</v>
      </c>
      <c r="I335" s="30">
        <f>'Equity Volume Data'!L335*'Equity Price Data'!O336</f>
        <v>20790</v>
      </c>
      <c r="J335" s="30">
        <f>'Equity Volume Data'!M335*'Equity Price Data'!P336</f>
        <v>50684.82</v>
      </c>
      <c r="K335" s="30">
        <f>'Equity Volume Data'!N335*'Equity Price Data'!Q336</f>
        <v>10842</v>
      </c>
      <c r="L335" s="30">
        <f>'Equity Volume Data'!O335*'Equity Price Data'!R336</f>
        <v>18009.64</v>
      </c>
      <c r="M335" s="30">
        <f>'Equity Volume Data'!P335*'Equity Price Data'!S336</f>
        <v>15233.64</v>
      </c>
      <c r="N335" s="30">
        <f>'Equity Volume Data'!Q335*'Equity Price Data'!T336</f>
        <v>4984</v>
      </c>
      <c r="O335" s="30">
        <f>'Equity Volume Data'!R335*'Equity Price Data'!U336</f>
        <v>64707</v>
      </c>
      <c r="P335" s="30">
        <f>'Equity Volume Data'!S335*'Equity Price Data'!V336</f>
        <v>33314.13</v>
      </c>
      <c r="Q335" s="30">
        <f>'Equity Volume Data'!T335*'Equity Price Data'!W336</f>
        <v>23584.8</v>
      </c>
      <c r="R335" s="30">
        <f>'Equity Volume Data'!U335*'Equity Price Data'!X336</f>
        <v>12660</v>
      </c>
      <c r="S335" s="30">
        <f>'Equity Volume Data'!V335*'Equity Price Data'!Y336</f>
        <v>26916.56</v>
      </c>
      <c r="T335" s="30">
        <f>'Equity Volume Data'!W335*'Equity Price Data'!Z336</f>
        <v>12940</v>
      </c>
      <c r="U335" s="30">
        <f>'Equity Volume Data'!X335*'Equity Price Data'!AA336</f>
        <v>17851.68</v>
      </c>
      <c r="V335" s="30">
        <f>'Equity Volume Data'!Y335*'Equity Price Data'!AB336</f>
        <v>15729.7</v>
      </c>
      <c r="W335" s="30">
        <f>'Equity Volume Data'!Z335*'Equity Price Data'!AC336</f>
        <v>12052.23</v>
      </c>
      <c r="X335" s="30">
        <f>'Equity Volume Data'!AA335*'Equity Price Data'!AD336</f>
        <v>0</v>
      </c>
      <c r="Y335" s="30">
        <f>'Equity Volume Data'!AB335*'Equity Price Data'!AE336</f>
        <v>5936.06</v>
      </c>
      <c r="Z335" s="30">
        <f>'Equity Volume Data'!AC335*'Equity Price Data'!AF336</f>
        <v>13869</v>
      </c>
      <c r="AA335" s="30">
        <f>'Equity Volume Data'!AD335*'Equity Price Data'!AG336</f>
        <v>19063.8</v>
      </c>
      <c r="AB335" s="30">
        <f>'Equity Volume Data'!AE335*'Equity Price Data'!AH336</f>
        <v>13728.6</v>
      </c>
      <c r="AC335" s="30">
        <f>'Equity Volume Data'!AF335*'Equity Price Data'!AI336</f>
        <v>19174.4</v>
      </c>
      <c r="AD335" s="30">
        <f>'Equity Volume Data'!AG335*'Equity Price Data'!AJ336</f>
        <v>14832.9</v>
      </c>
      <c r="AE335" s="30">
        <f>'Equity Volume Data'!AH335*'Equity Price Data'!AK336</f>
        <v>0</v>
      </c>
      <c r="AF335" s="30">
        <f>'Equity Volume Data'!AI335*'Equity Price Data'!AL336</f>
        <v>24161.3</v>
      </c>
      <c r="AG335" s="30">
        <f>'Equity Volume Data'!AJ335*'Equity Price Data'!AM336</f>
        <v>47083.8</v>
      </c>
      <c r="AH335" s="30">
        <f>'Equity Volume Data'!AK335*'Equity Price Data'!AN336</f>
        <v>42342</v>
      </c>
      <c r="AI335" s="30">
        <f>'Equity Volume Data'!AL335*'Equity Price Data'!AO336</f>
        <v>24829</v>
      </c>
      <c r="AJ335" s="30">
        <f>'Equity Volume Data'!AM335*'Equity Price Data'!AP336</f>
        <v>22902.1</v>
      </c>
      <c r="AK335" s="30">
        <f>'Equity Volume Data'!AN335*'Equity Price Data'!AQ336</f>
        <v>21424.95</v>
      </c>
      <c r="AL335" s="30">
        <f>'Equity Volume Data'!AO335*'Equity Price Data'!AR336</f>
        <v>48889.6</v>
      </c>
      <c r="AM335" s="30">
        <f>'Equity Volume Data'!AP335*'Equity Price Data'!AS336</f>
        <v>32951.1</v>
      </c>
      <c r="AN335" s="30">
        <f>'Equity Volume Data'!AQ335*'Equity Price Data'!AT336</f>
        <v>0</v>
      </c>
      <c r="AO335" s="30">
        <f>'Equity Volume Data'!AR335*'Equity Price Data'!AU336</f>
        <v>27148.66</v>
      </c>
      <c r="AP335" s="30">
        <f>'Equity Volume Data'!AS335*'Equity Price Data'!AV336</f>
        <v>23562.5</v>
      </c>
      <c r="AQ335" s="30">
        <f>'Equity Volume Data'!AT335*'Equity Price Data'!AW336</f>
        <v>17674.8</v>
      </c>
      <c r="AR335" s="30">
        <f>'Equity Volume Data'!AU335*'Equity Price Data'!AX336</f>
        <v>26661.69</v>
      </c>
      <c r="AS335" s="30">
        <f>'Equity Volume Data'!AV335*'Equity Price Data'!AY336</f>
        <v>60121.2</v>
      </c>
      <c r="AT335" s="30">
        <f>'Equity Volume Data'!AW335*'Equity Price Data'!AZ336</f>
        <v>14264</v>
      </c>
      <c r="AU335" s="30">
        <f>'Equity Volume Data'!AX335*'Equity Price Data'!BA336</f>
        <v>0</v>
      </c>
      <c r="AV335" s="30">
        <f>'Equity Volume Data'!AY335*'Equity Price Data'!BB336</f>
        <v>25158.14</v>
      </c>
      <c r="AW335" s="30">
        <f>'Equity Volume Data'!AZ335*'Equity Price Data'!BC336</f>
        <v>3575.2</v>
      </c>
      <c r="AX335" s="30">
        <f>'Equity Volume Data'!BA335*'Equity Price Data'!BD336</f>
        <v>0</v>
      </c>
      <c r="AY335" s="30">
        <f>'Equity Volume Data'!BB335*'Equity Price Data'!BE336</f>
        <v>36981</v>
      </c>
      <c r="AZ335" s="30">
        <f>'Equity Volume Data'!BC335*'Equity Price Data'!BF336</f>
        <v>10090.5</v>
      </c>
      <c r="BA335" s="30">
        <f>'Equity Volume Data'!BD335*'Equity Price Data'!BG336</f>
        <v>4723.4</v>
      </c>
      <c r="BB335" s="30">
        <f>'Equity Volume Data'!BE335*'Equity Price Data'!BH336</f>
        <v>12612</v>
      </c>
      <c r="BC335" s="30">
        <f>'Equity Volume Data'!BF335*'Equity Price Data'!BI336</f>
        <v>15166.72</v>
      </c>
      <c r="BD335" s="30">
        <f>'Equity Volume Data'!BG335*'Equity Price Data'!BJ336</f>
        <v>51416.07</v>
      </c>
      <c r="BE335" s="30">
        <f>'Equity Volume Data'!BH335*'Equity Price Data'!BK336</f>
        <v>11302.43</v>
      </c>
      <c r="BF335" s="30">
        <f>'Equity Volume Data'!BI335*'Equity Price Data'!BL336</f>
        <v>7905.2</v>
      </c>
      <c r="BG335" s="30">
        <f>'Equity Volume Data'!BJ335*'Equity Price Data'!BM336</f>
        <v>32523.22</v>
      </c>
      <c r="BH335" s="30">
        <f>'Equity Volume Data'!BK335*'Equity Price Data'!BN336</f>
        <v>0</v>
      </c>
      <c r="BI335" s="30">
        <f>'Equity Volume Data'!BL335*'Equity Price Data'!BO336</f>
        <v>34566.4</v>
      </c>
      <c r="BJ335" s="30">
        <f>'Equity Volume Data'!BM335*'Equity Price Data'!BP336</f>
        <v>26520.75</v>
      </c>
      <c r="BK335" s="30">
        <f>'Equity Volume Data'!BN335*'Equity Price Data'!BQ336</f>
        <v>91361.4</v>
      </c>
      <c r="BL335" s="30">
        <f>'Equity Volume Data'!BO335*'Equity Price Data'!BR336</f>
        <v>477.99</v>
      </c>
      <c r="BM335" s="30">
        <f>'Equity Volume Data'!BP335*'Equity Price Data'!BS336</f>
        <v>10584</v>
      </c>
      <c r="BN335" s="30">
        <f>'Equity Volume Data'!BQ335*'Equity Price Data'!BT336</f>
        <v>22011.04</v>
      </c>
      <c r="BO335" s="30">
        <f>'Equity Volume Data'!BR335*'Equity Price Data'!BU336</f>
        <v>34410</v>
      </c>
    </row>
    <row r="336">
      <c r="A336" s="25">
        <f>'Equity Price Data'!A337</f>
        <v>45912.66667</v>
      </c>
      <c r="B336" s="29">
        <f t="shared" si="1"/>
        <v>1461938.28</v>
      </c>
      <c r="C336" s="30">
        <f>'Equity Volume Data'!F336*'Equity Price Data'!I337</f>
        <v>4541.68</v>
      </c>
      <c r="D336" s="30">
        <f>'Equity Volume Data'!G336*'Equity Price Data'!J337</f>
        <v>59319</v>
      </c>
      <c r="E336" s="30">
        <f>'Equity Volume Data'!H336*'Equity Price Data'!K337</f>
        <v>15320.8</v>
      </c>
      <c r="F336" s="30">
        <f>'Equity Volume Data'!I336*'Equity Price Data'!L337</f>
        <v>59921.92</v>
      </c>
      <c r="G336" s="30">
        <f>'Equity Volume Data'!J336*'Equity Price Data'!M337</f>
        <v>13927.4</v>
      </c>
      <c r="H336" s="30">
        <f>'Equity Volume Data'!K336*'Equity Price Data'!N337</f>
        <v>20018.24</v>
      </c>
      <c r="I336" s="30">
        <f>'Equity Volume Data'!L336*'Equity Price Data'!O337</f>
        <v>20720</v>
      </c>
      <c r="J336" s="30">
        <f>'Equity Volume Data'!M336*'Equity Price Data'!P337</f>
        <v>50361.48</v>
      </c>
      <c r="K336" s="30">
        <f>'Equity Volume Data'!N336*'Equity Price Data'!Q337</f>
        <v>10814</v>
      </c>
      <c r="L336" s="30">
        <f>'Equity Volume Data'!O336*'Equity Price Data'!R337</f>
        <v>17528.06</v>
      </c>
      <c r="M336" s="30">
        <f>'Equity Volume Data'!P336*'Equity Price Data'!S337</f>
        <v>14995.66</v>
      </c>
      <c r="N336" s="30">
        <f>'Equity Volume Data'!Q336*'Equity Price Data'!T337</f>
        <v>4933.6</v>
      </c>
      <c r="O336" s="30">
        <f>'Equity Volume Data'!R336*'Equity Price Data'!U337</f>
        <v>64728</v>
      </c>
      <c r="P336" s="30">
        <f>'Equity Volume Data'!S336*'Equity Price Data'!V337</f>
        <v>32571.87</v>
      </c>
      <c r="Q336" s="30">
        <f>'Equity Volume Data'!T336*'Equity Price Data'!W337</f>
        <v>23422.8</v>
      </c>
      <c r="R336" s="30">
        <f>'Equity Volume Data'!U336*'Equity Price Data'!X337</f>
        <v>12568.8</v>
      </c>
      <c r="S336" s="30">
        <f>'Equity Volume Data'!V336*'Equity Price Data'!Y337</f>
        <v>26642.88</v>
      </c>
      <c r="T336" s="30">
        <f>'Equity Volume Data'!W336*'Equity Price Data'!Z337</f>
        <v>12955</v>
      </c>
      <c r="U336" s="30">
        <f>'Equity Volume Data'!X336*'Equity Price Data'!AA337</f>
        <v>17690.64</v>
      </c>
      <c r="V336" s="30">
        <f>'Equity Volume Data'!Y336*'Equity Price Data'!AB337</f>
        <v>15705.55</v>
      </c>
      <c r="W336" s="30">
        <f>'Equity Volume Data'!Z336*'Equity Price Data'!AC337</f>
        <v>11971.5</v>
      </c>
      <c r="X336" s="30">
        <f>'Equity Volume Data'!AA336*'Equity Price Data'!AD337</f>
        <v>0</v>
      </c>
      <c r="Y336" s="30">
        <f>'Equity Volume Data'!AB336*'Equity Price Data'!AE337</f>
        <v>5876.65</v>
      </c>
      <c r="Z336" s="30">
        <f>'Equity Volume Data'!AC336*'Equity Price Data'!AF337</f>
        <v>13620</v>
      </c>
      <c r="AA336" s="30">
        <f>'Equity Volume Data'!AD336*'Equity Price Data'!AG337</f>
        <v>19067.2</v>
      </c>
      <c r="AB336" s="30">
        <f>'Equity Volume Data'!AE336*'Equity Price Data'!AH337</f>
        <v>13773</v>
      </c>
      <c r="AC336" s="30">
        <f>'Equity Volume Data'!AF336*'Equity Price Data'!AI337</f>
        <v>19120</v>
      </c>
      <c r="AD336" s="30">
        <f>'Equity Volume Data'!AG336*'Equity Price Data'!AJ337</f>
        <v>14676.75</v>
      </c>
      <c r="AE336" s="30">
        <f>'Equity Volume Data'!AH336*'Equity Price Data'!AK337</f>
        <v>0</v>
      </c>
      <c r="AF336" s="30">
        <f>'Equity Volume Data'!AI336*'Equity Price Data'!AL337</f>
        <v>23482.75</v>
      </c>
      <c r="AG336" s="30">
        <f>'Equity Volume Data'!AJ336*'Equity Price Data'!AM337</f>
        <v>46803.6</v>
      </c>
      <c r="AH336" s="30">
        <f>'Equity Volume Data'!AK336*'Equity Price Data'!AN337</f>
        <v>42269</v>
      </c>
      <c r="AI336" s="30">
        <f>'Equity Volume Data'!AL336*'Equity Price Data'!AO337</f>
        <v>24622.5</v>
      </c>
      <c r="AJ336" s="30">
        <f>'Equity Volume Data'!AM336*'Equity Price Data'!AP337</f>
        <v>22616.1</v>
      </c>
      <c r="AK336" s="30">
        <f>'Equity Volume Data'!AN336*'Equity Price Data'!AQ337</f>
        <v>21134.96</v>
      </c>
      <c r="AL336" s="30">
        <f>'Equity Volume Data'!AO336*'Equity Price Data'!AR337</f>
        <v>49105.6</v>
      </c>
      <c r="AM336" s="30">
        <f>'Equity Volume Data'!AP336*'Equity Price Data'!AS337</f>
        <v>32991.7</v>
      </c>
      <c r="AN336" s="30">
        <f>'Equity Volume Data'!AQ336*'Equity Price Data'!AT337</f>
        <v>0</v>
      </c>
      <c r="AO336" s="30">
        <f>'Equity Volume Data'!AR336*'Equity Price Data'!AU337</f>
        <v>27234.06</v>
      </c>
      <c r="AP336" s="30">
        <f>'Equity Volume Data'!AS336*'Equity Price Data'!AV337</f>
        <v>23507.5</v>
      </c>
      <c r="AQ336" s="30">
        <f>'Equity Volume Data'!AT336*'Equity Price Data'!AW337</f>
        <v>17780.4</v>
      </c>
      <c r="AR336" s="30">
        <f>'Equity Volume Data'!AU336*'Equity Price Data'!AX337</f>
        <v>26864.73</v>
      </c>
      <c r="AS336" s="30">
        <f>'Equity Volume Data'!AV336*'Equity Price Data'!AY337</f>
        <v>61188</v>
      </c>
      <c r="AT336" s="30">
        <f>'Equity Volume Data'!AW336*'Equity Price Data'!AZ337</f>
        <v>14328</v>
      </c>
      <c r="AU336" s="30">
        <f>'Equity Volume Data'!AX336*'Equity Price Data'!BA337</f>
        <v>0</v>
      </c>
      <c r="AV336" s="30">
        <f>'Equity Volume Data'!AY336*'Equity Price Data'!BB337</f>
        <v>25250.44</v>
      </c>
      <c r="AW336" s="30">
        <f>'Equity Volume Data'!AZ336*'Equity Price Data'!BC337</f>
        <v>3562.4</v>
      </c>
      <c r="AX336" s="30">
        <f>'Equity Volume Data'!BA336*'Equity Price Data'!BD337</f>
        <v>0</v>
      </c>
      <c r="AY336" s="30">
        <f>'Equity Volume Data'!BB336*'Equity Price Data'!BE337</f>
        <v>38571.75</v>
      </c>
      <c r="AZ336" s="30">
        <f>'Equity Volume Data'!BC336*'Equity Price Data'!BF337</f>
        <v>10033.5</v>
      </c>
      <c r="BA336" s="30">
        <f>'Equity Volume Data'!BD336*'Equity Price Data'!BG337</f>
        <v>4535.3</v>
      </c>
      <c r="BB336" s="30">
        <f>'Equity Volume Data'!BE336*'Equity Price Data'!BH337</f>
        <v>12468</v>
      </c>
      <c r="BC336" s="30">
        <f>'Equity Volume Data'!BF336*'Equity Price Data'!BI337</f>
        <v>15268.4</v>
      </c>
      <c r="BD336" s="30">
        <f>'Equity Volume Data'!BG336*'Equity Price Data'!BJ337</f>
        <v>51486.36</v>
      </c>
      <c r="BE336" s="30">
        <f>'Equity Volume Data'!BH336*'Equity Price Data'!BK337</f>
        <v>11027.58</v>
      </c>
      <c r="BF336" s="30">
        <f>'Equity Volume Data'!BI336*'Equity Price Data'!BL337</f>
        <v>7845.2</v>
      </c>
      <c r="BG336" s="30">
        <f>'Equity Volume Data'!BJ336*'Equity Price Data'!BM337</f>
        <v>31850.46</v>
      </c>
      <c r="BH336" s="30">
        <f>'Equity Volume Data'!BK336*'Equity Price Data'!BN337</f>
        <v>0</v>
      </c>
      <c r="BI336" s="30">
        <f>'Equity Volume Data'!BL336*'Equity Price Data'!BO337</f>
        <v>34385.6</v>
      </c>
      <c r="BJ336" s="30">
        <f>'Equity Volume Data'!BM336*'Equity Price Data'!BP337</f>
        <v>26438.25</v>
      </c>
      <c r="BK336" s="30">
        <f>'Equity Volume Data'!BN336*'Equity Price Data'!BQ337</f>
        <v>91343.38</v>
      </c>
      <c r="BL336" s="30">
        <f>'Equity Volume Data'!BO336*'Equity Price Data'!BR337</f>
        <v>468.12</v>
      </c>
      <c r="BM336" s="30">
        <f>'Equity Volume Data'!BP336*'Equity Price Data'!BS337</f>
        <v>10471.68</v>
      </c>
      <c r="BN336" s="30">
        <f>'Equity Volume Data'!BQ336*'Equity Price Data'!BT337</f>
        <v>21800.48</v>
      </c>
      <c r="BO336" s="30">
        <f>'Equity Volume Data'!BR336*'Equity Price Data'!BU337</f>
        <v>34410</v>
      </c>
    </row>
    <row r="337">
      <c r="A337" s="25">
        <f>'Equity Price Data'!A338</f>
        <v>45915.66667</v>
      </c>
      <c r="B337" s="29">
        <f t="shared" si="1"/>
        <v>1467106.21</v>
      </c>
      <c r="C337" s="30">
        <f>'Equity Volume Data'!F337*'Equity Price Data'!I338</f>
        <v>4512.3</v>
      </c>
      <c r="D337" s="30">
        <f>'Equity Volume Data'!G337*'Equity Price Data'!J338</f>
        <v>60171.8</v>
      </c>
      <c r="E337" s="30">
        <f>'Equity Volume Data'!H337*'Equity Price Data'!K338</f>
        <v>15133.8</v>
      </c>
      <c r="F337" s="30">
        <f>'Equity Volume Data'!I337*'Equity Price Data'!L338</f>
        <v>60595.2</v>
      </c>
      <c r="G337" s="30">
        <f>'Equity Volume Data'!J337*'Equity Price Data'!M338</f>
        <v>14187.19</v>
      </c>
      <c r="H337" s="30">
        <f>'Equity Volume Data'!K337*'Equity Price Data'!N338</f>
        <v>20006.96</v>
      </c>
      <c r="I337" s="30">
        <f>'Equity Volume Data'!L337*'Equity Price Data'!O338</f>
        <v>21050</v>
      </c>
      <c r="J337" s="30">
        <f>'Equity Volume Data'!M337*'Equity Price Data'!P338</f>
        <v>50137.08</v>
      </c>
      <c r="K337" s="30">
        <f>'Equity Volume Data'!N337*'Equity Price Data'!Q338</f>
        <v>10960</v>
      </c>
      <c r="L337" s="30">
        <f>'Equity Volume Data'!O337*'Equity Price Data'!R338</f>
        <v>17341.72</v>
      </c>
      <c r="M337" s="30">
        <f>'Equity Volume Data'!P337*'Equity Price Data'!S338</f>
        <v>14581.02</v>
      </c>
      <c r="N337" s="30">
        <f>'Equity Volume Data'!Q337*'Equity Price Data'!T338</f>
        <v>4899.2</v>
      </c>
      <c r="O337" s="30">
        <f>'Equity Volume Data'!R337*'Equity Price Data'!U338</f>
        <v>65391</v>
      </c>
      <c r="P337" s="30">
        <f>'Equity Volume Data'!S337*'Equity Price Data'!V338</f>
        <v>35995.44</v>
      </c>
      <c r="Q337" s="30">
        <f>'Equity Volume Data'!T337*'Equity Price Data'!W338</f>
        <v>23760</v>
      </c>
      <c r="R337" s="30">
        <f>'Equity Volume Data'!U337*'Equity Price Data'!X338</f>
        <v>12584.8</v>
      </c>
      <c r="S337" s="30">
        <f>'Equity Volume Data'!V337*'Equity Price Data'!Y338</f>
        <v>26148.32</v>
      </c>
      <c r="T337" s="30">
        <f>'Equity Volume Data'!W337*'Equity Price Data'!Z338</f>
        <v>12835</v>
      </c>
      <c r="U337" s="30">
        <f>'Equity Volume Data'!X337*'Equity Price Data'!AA338</f>
        <v>17479.44</v>
      </c>
      <c r="V337" s="30">
        <f>'Equity Volume Data'!Y337*'Equity Price Data'!AB338</f>
        <v>15617</v>
      </c>
      <c r="W337" s="30">
        <f>'Equity Volume Data'!Z337*'Equity Price Data'!AC338</f>
        <v>12077.76</v>
      </c>
      <c r="X337" s="30">
        <f>'Equity Volume Data'!AA337*'Equity Price Data'!AD338</f>
        <v>0</v>
      </c>
      <c r="Y337" s="30">
        <f>'Equity Volume Data'!AB337*'Equity Price Data'!AE338</f>
        <v>5849.35</v>
      </c>
      <c r="Z337" s="30">
        <f>'Equity Volume Data'!AC337*'Equity Price Data'!AF338</f>
        <v>13554</v>
      </c>
      <c r="AA337" s="30">
        <f>'Equity Volume Data'!AD337*'Equity Price Data'!AG338</f>
        <v>19099.5</v>
      </c>
      <c r="AB337" s="30">
        <f>'Equity Volume Data'!AE337*'Equity Price Data'!AH338</f>
        <v>13541.4</v>
      </c>
      <c r="AC337" s="30">
        <f>'Equity Volume Data'!AF337*'Equity Price Data'!AI338</f>
        <v>19157.6</v>
      </c>
      <c r="AD337" s="30">
        <f>'Equity Volume Data'!AG337*'Equity Price Data'!AJ338</f>
        <v>14714.1</v>
      </c>
      <c r="AE337" s="30">
        <f>'Equity Volume Data'!AH337*'Equity Price Data'!AK338</f>
        <v>0</v>
      </c>
      <c r="AF337" s="30">
        <f>'Equity Volume Data'!AI337*'Equity Price Data'!AL338</f>
        <v>23070.7</v>
      </c>
      <c r="AG337" s="30">
        <f>'Equity Volume Data'!AJ337*'Equity Price Data'!AM338</f>
        <v>47205.6</v>
      </c>
      <c r="AH337" s="30">
        <f>'Equity Volume Data'!AK337*'Equity Price Data'!AN338</f>
        <v>42271</v>
      </c>
      <c r="AI337" s="30">
        <f>'Equity Volume Data'!AL337*'Equity Price Data'!AO338</f>
        <v>24668</v>
      </c>
      <c r="AJ337" s="30">
        <f>'Equity Volume Data'!AM337*'Equity Price Data'!AP338</f>
        <v>22389.9</v>
      </c>
      <c r="AK337" s="30">
        <f>'Equity Volume Data'!AN337*'Equity Price Data'!AQ338</f>
        <v>20397.53</v>
      </c>
      <c r="AL337" s="30">
        <f>'Equity Volume Data'!AO337*'Equity Price Data'!AR338</f>
        <v>49424</v>
      </c>
      <c r="AM337" s="30">
        <f>'Equity Volume Data'!AP337*'Equity Price Data'!AS338</f>
        <v>33127.5</v>
      </c>
      <c r="AN337" s="30">
        <f>'Equity Volume Data'!AQ337*'Equity Price Data'!AT338</f>
        <v>0</v>
      </c>
      <c r="AO337" s="30">
        <f>'Equity Volume Data'!AR337*'Equity Price Data'!AU338</f>
        <v>27618.36</v>
      </c>
      <c r="AP337" s="30">
        <f>'Equity Volume Data'!AS337*'Equity Price Data'!AV338</f>
        <v>23357.5</v>
      </c>
      <c r="AQ337" s="30">
        <f>'Equity Volume Data'!AT337*'Equity Price Data'!AW338</f>
        <v>17701.2</v>
      </c>
      <c r="AR337" s="30">
        <f>'Equity Volume Data'!AU337*'Equity Price Data'!AX338</f>
        <v>27892.62</v>
      </c>
      <c r="AS337" s="30">
        <f>'Equity Volume Data'!AV337*'Equity Price Data'!AY338</f>
        <v>61843.2</v>
      </c>
      <c r="AT337" s="30">
        <f>'Equity Volume Data'!AW337*'Equity Price Data'!AZ338</f>
        <v>14300</v>
      </c>
      <c r="AU337" s="30">
        <f>'Equity Volume Data'!AX337*'Equity Price Data'!BA338</f>
        <v>0</v>
      </c>
      <c r="AV337" s="30">
        <f>'Equity Volume Data'!AY337*'Equity Price Data'!BB338</f>
        <v>25240.5</v>
      </c>
      <c r="AW337" s="30">
        <f>'Equity Volume Data'!AZ337*'Equity Price Data'!BC338</f>
        <v>3585.2</v>
      </c>
      <c r="AX337" s="30">
        <f>'Equity Volume Data'!BA337*'Equity Price Data'!BD338</f>
        <v>0</v>
      </c>
      <c r="AY337" s="30">
        <f>'Equity Volume Data'!BB337*'Equity Price Data'!BE338</f>
        <v>38522.25</v>
      </c>
      <c r="AZ337" s="30">
        <f>'Equity Volume Data'!BC337*'Equity Price Data'!BF338</f>
        <v>10066.5</v>
      </c>
      <c r="BA337" s="30">
        <f>'Equity Volume Data'!BD337*'Equity Price Data'!BG338</f>
        <v>4554.3</v>
      </c>
      <c r="BB337" s="30">
        <f>'Equity Volume Data'!BE337*'Equity Price Data'!BH338</f>
        <v>12669.6</v>
      </c>
      <c r="BC337" s="30">
        <f>'Equity Volume Data'!BF337*'Equity Price Data'!BI338</f>
        <v>15153.6</v>
      </c>
      <c r="BD337" s="30">
        <f>'Equity Volume Data'!BG337*'Equity Price Data'!BJ338</f>
        <v>51064.62</v>
      </c>
      <c r="BE337" s="30">
        <f>'Equity Volume Data'!BH337*'Equity Price Data'!BK338</f>
        <v>10912.58</v>
      </c>
      <c r="BF337" s="30">
        <f>'Equity Volume Data'!BI337*'Equity Price Data'!BL338</f>
        <v>7891.2</v>
      </c>
      <c r="BG337" s="30">
        <f>'Equity Volume Data'!BJ337*'Equity Price Data'!BM338</f>
        <v>31772.62</v>
      </c>
      <c r="BH337" s="30">
        <f>'Equity Volume Data'!BK337*'Equity Price Data'!BN338</f>
        <v>0</v>
      </c>
      <c r="BI337" s="30">
        <f>'Equity Volume Data'!BL337*'Equity Price Data'!BO338</f>
        <v>34600</v>
      </c>
      <c r="BJ337" s="30">
        <f>'Equity Volume Data'!BM337*'Equity Price Data'!BP338</f>
        <v>26091.75</v>
      </c>
      <c r="BK337" s="30">
        <f>'Equity Volume Data'!BN337*'Equity Price Data'!BQ338</f>
        <v>91361.4</v>
      </c>
      <c r="BL337" s="30">
        <f>'Equity Volume Data'!BO337*'Equity Price Data'!BR338</f>
        <v>451.2</v>
      </c>
      <c r="BM337" s="30">
        <f>'Equity Volume Data'!BP337*'Equity Price Data'!BS338</f>
        <v>10374.24</v>
      </c>
      <c r="BN337" s="30">
        <f>'Equity Volume Data'!BQ337*'Equity Price Data'!BT338</f>
        <v>21736.56</v>
      </c>
      <c r="BO337" s="30">
        <f>'Equity Volume Data'!BR337*'Equity Price Data'!BU338</f>
        <v>34410</v>
      </c>
    </row>
    <row r="338">
      <c r="A338" s="25">
        <f>'Equity Price Data'!A339</f>
        <v>45916.66667</v>
      </c>
      <c r="B338" s="29">
        <f t="shared" si="1"/>
        <v>1462270.88</v>
      </c>
      <c r="C338" s="30">
        <f>'Equity Volume Data'!F338*'Equity Price Data'!I339</f>
        <v>4585.49</v>
      </c>
      <c r="D338" s="30">
        <f>'Equity Volume Data'!G338*'Equity Price Data'!J339</f>
        <v>60853</v>
      </c>
      <c r="E338" s="30">
        <f>'Equity Volume Data'!H338*'Equity Price Data'!K339</f>
        <v>14987.5</v>
      </c>
      <c r="F338" s="30">
        <f>'Equity Volume Data'!I338*'Equity Price Data'!L339</f>
        <v>60966.4</v>
      </c>
      <c r="G338" s="30">
        <f>'Equity Volume Data'!J338*'Equity Price Data'!M339</f>
        <v>14403.82</v>
      </c>
      <c r="H338" s="30">
        <f>'Equity Volume Data'!K338*'Equity Price Data'!N339</f>
        <v>19832.12</v>
      </c>
      <c r="I338" s="30">
        <f>'Equity Volume Data'!L338*'Equity Price Data'!O339</f>
        <v>20630</v>
      </c>
      <c r="J338" s="30">
        <f>'Equity Volume Data'!M338*'Equity Price Data'!P339</f>
        <v>50080.98</v>
      </c>
      <c r="K338" s="30">
        <f>'Equity Volume Data'!N338*'Equity Price Data'!Q339</f>
        <v>10822</v>
      </c>
      <c r="L338" s="30">
        <f>'Equity Volume Data'!O338*'Equity Price Data'!R339</f>
        <v>17385.28</v>
      </c>
      <c r="M338" s="30">
        <f>'Equity Volume Data'!P338*'Equity Price Data'!S339</f>
        <v>14451.08</v>
      </c>
      <c r="N338" s="30">
        <f>'Equity Volume Data'!Q338*'Equity Price Data'!T339</f>
        <v>4874.4</v>
      </c>
      <c r="O338" s="30">
        <f>'Equity Volume Data'!R338*'Equity Price Data'!U339</f>
        <v>66100.5</v>
      </c>
      <c r="P338" s="30">
        <f>'Equity Volume Data'!S338*'Equity Price Data'!V339</f>
        <v>33455.91</v>
      </c>
      <c r="Q338" s="30">
        <f>'Equity Volume Data'!T338*'Equity Price Data'!W339</f>
        <v>23860.8</v>
      </c>
      <c r="R338" s="30">
        <f>'Equity Volume Data'!U338*'Equity Price Data'!X339</f>
        <v>12763.2</v>
      </c>
      <c r="S338" s="30">
        <f>'Equity Volume Data'!V338*'Equity Price Data'!Y339</f>
        <v>25890.48</v>
      </c>
      <c r="T338" s="30">
        <f>'Equity Volume Data'!W338*'Equity Price Data'!Z339</f>
        <v>12782.5</v>
      </c>
      <c r="U338" s="30">
        <f>'Equity Volume Data'!X338*'Equity Price Data'!AA339</f>
        <v>17487.36</v>
      </c>
      <c r="V338" s="30">
        <f>'Equity Volume Data'!Y338*'Equity Price Data'!AB339</f>
        <v>15386.77</v>
      </c>
      <c r="W338" s="30">
        <f>'Equity Volume Data'!Z338*'Equity Price Data'!AC339</f>
        <v>11996.34</v>
      </c>
      <c r="X338" s="30">
        <f>'Equity Volume Data'!AA338*'Equity Price Data'!AD339</f>
        <v>0</v>
      </c>
      <c r="Y338" s="30">
        <f>'Equity Volume Data'!AB338*'Equity Price Data'!AE339</f>
        <v>5751.46</v>
      </c>
      <c r="Z338" s="30">
        <f>'Equity Volume Data'!AC338*'Equity Price Data'!AF339</f>
        <v>13327.5</v>
      </c>
      <c r="AA338" s="30">
        <f>'Equity Volume Data'!AD338*'Equity Price Data'!AG339</f>
        <v>19495.6</v>
      </c>
      <c r="AB338" s="30">
        <f>'Equity Volume Data'!AE338*'Equity Price Data'!AH339</f>
        <v>13662</v>
      </c>
      <c r="AC338" s="30">
        <f>'Equity Volume Data'!AF338*'Equity Price Data'!AI339</f>
        <v>19213.2</v>
      </c>
      <c r="AD338" s="30">
        <f>'Equity Volume Data'!AG338*'Equity Price Data'!AJ339</f>
        <v>14688</v>
      </c>
      <c r="AE338" s="30">
        <f>'Equity Volume Data'!AH338*'Equity Price Data'!AK339</f>
        <v>0</v>
      </c>
      <c r="AF338" s="30">
        <f>'Equity Volume Data'!AI338*'Equity Price Data'!AL339</f>
        <v>22726.3</v>
      </c>
      <c r="AG338" s="30">
        <f>'Equity Volume Data'!AJ338*'Equity Price Data'!AM339</f>
        <v>47131.8</v>
      </c>
      <c r="AH338" s="30">
        <f>'Equity Volume Data'!AK338*'Equity Price Data'!AN339</f>
        <v>42145</v>
      </c>
      <c r="AI338" s="30">
        <f>'Equity Volume Data'!AL338*'Equity Price Data'!AO339</f>
        <v>24781.75</v>
      </c>
      <c r="AJ338" s="30">
        <f>'Equity Volume Data'!AM338*'Equity Price Data'!AP339</f>
        <v>22282</v>
      </c>
      <c r="AK338" s="30">
        <f>'Equity Volume Data'!AN338*'Equity Price Data'!AQ339</f>
        <v>20421.5</v>
      </c>
      <c r="AL338" s="30">
        <f>'Equity Volume Data'!AO338*'Equity Price Data'!AR339</f>
        <v>49470.4</v>
      </c>
      <c r="AM338" s="30">
        <f>'Equity Volume Data'!AP338*'Equity Price Data'!AS339</f>
        <v>33202.4</v>
      </c>
      <c r="AN338" s="30">
        <f>'Equity Volume Data'!AQ338*'Equity Price Data'!AT339</f>
        <v>0</v>
      </c>
      <c r="AO338" s="30">
        <f>'Equity Volume Data'!AR338*'Equity Price Data'!AU339</f>
        <v>26892.46</v>
      </c>
      <c r="AP338" s="30">
        <f>'Equity Volume Data'!AS338*'Equity Price Data'!AV339</f>
        <v>23547.5</v>
      </c>
      <c r="AQ338" s="30">
        <f>'Equity Volume Data'!AT338*'Equity Price Data'!AW339</f>
        <v>17320.6</v>
      </c>
      <c r="AR338" s="30">
        <f>'Equity Volume Data'!AU338*'Equity Price Data'!AX339</f>
        <v>27909.54</v>
      </c>
      <c r="AS338" s="30">
        <f>'Equity Volume Data'!AV338*'Equity Price Data'!AY339</f>
        <v>61084.8</v>
      </c>
      <c r="AT338" s="30">
        <f>'Equity Volume Data'!AW338*'Equity Price Data'!AZ339</f>
        <v>13966</v>
      </c>
      <c r="AU338" s="30">
        <f>'Equity Volume Data'!AX338*'Equity Price Data'!BA339</f>
        <v>0</v>
      </c>
      <c r="AV338" s="30">
        <f>'Equity Volume Data'!AY338*'Equity Price Data'!BB339</f>
        <v>24832.96</v>
      </c>
      <c r="AW338" s="30">
        <f>'Equity Volume Data'!AZ338*'Equity Price Data'!BC339</f>
        <v>3568.4</v>
      </c>
      <c r="AX338" s="30">
        <f>'Equity Volume Data'!BA338*'Equity Price Data'!BD339</f>
        <v>0</v>
      </c>
      <c r="AY338" s="30">
        <f>'Equity Volume Data'!BB338*'Equity Price Data'!BE339</f>
        <v>38308.5</v>
      </c>
      <c r="AZ338" s="30">
        <f>'Equity Volume Data'!BC338*'Equity Price Data'!BF339</f>
        <v>10027.5</v>
      </c>
      <c r="BA338" s="30">
        <f>'Equity Volume Data'!BD338*'Equity Price Data'!BG339</f>
        <v>4541</v>
      </c>
      <c r="BB338" s="30">
        <f>'Equity Volume Data'!BE338*'Equity Price Data'!BH339</f>
        <v>12686.4</v>
      </c>
      <c r="BC338" s="30">
        <f>'Equity Volume Data'!BF338*'Equity Price Data'!BI339</f>
        <v>14661.6</v>
      </c>
      <c r="BD338" s="30">
        <f>'Equity Volume Data'!BG338*'Equity Price Data'!BJ339</f>
        <v>50613.06</v>
      </c>
      <c r="BE338" s="30">
        <f>'Equity Volume Data'!BH338*'Equity Price Data'!BK339</f>
        <v>11057.02</v>
      </c>
      <c r="BF338" s="30">
        <f>'Equity Volume Data'!BI338*'Equity Price Data'!BL339</f>
        <v>7951.2</v>
      </c>
      <c r="BG338" s="30">
        <f>'Equity Volume Data'!BJ338*'Equity Price Data'!BM339</f>
        <v>33123.7</v>
      </c>
      <c r="BH338" s="30">
        <f>'Equity Volume Data'!BK338*'Equity Price Data'!BN339</f>
        <v>0</v>
      </c>
      <c r="BI338" s="30">
        <f>'Equity Volume Data'!BL338*'Equity Price Data'!BO339</f>
        <v>34560</v>
      </c>
      <c r="BJ338" s="30">
        <f>'Equity Volume Data'!BM338*'Equity Price Data'!BP339</f>
        <v>25483.5</v>
      </c>
      <c r="BK338" s="30">
        <f>'Equity Volume Data'!BN338*'Equity Price Data'!BQ339</f>
        <v>91451.5</v>
      </c>
      <c r="BL338" s="30">
        <f>'Equity Volume Data'!BO338*'Equity Price Data'!BR339</f>
        <v>449.32</v>
      </c>
      <c r="BM338" s="30">
        <f>'Equity Volume Data'!BP338*'Equity Price Data'!BS339</f>
        <v>10266.24</v>
      </c>
      <c r="BN338" s="30">
        <f>'Equity Volume Data'!BQ338*'Equity Price Data'!BT339</f>
        <v>21663.24</v>
      </c>
      <c r="BO338" s="30">
        <f>'Equity Volume Data'!BR338*'Equity Price Data'!BU339</f>
        <v>34410</v>
      </c>
    </row>
    <row r="339">
      <c r="A339" s="25">
        <f>'Equity Price Data'!A340</f>
        <v>45917.66667</v>
      </c>
      <c r="B339" s="29">
        <f t="shared" si="1"/>
        <v>1465915.69</v>
      </c>
      <c r="C339" s="30">
        <f>'Equity Volume Data'!F339*'Equity Price Data'!I340</f>
        <v>4706.91</v>
      </c>
      <c r="D339" s="30">
        <f>'Equity Volume Data'!G339*'Equity Price Data'!J340</f>
        <v>60221.2</v>
      </c>
      <c r="E339" s="30">
        <f>'Equity Volume Data'!H339*'Equity Price Data'!K340</f>
        <v>14969.9</v>
      </c>
      <c r="F339" s="30">
        <f>'Equity Volume Data'!I339*'Equity Price Data'!L340</f>
        <v>61181.44</v>
      </c>
      <c r="G339" s="30">
        <f>'Equity Volume Data'!J339*'Equity Price Data'!M340</f>
        <v>14784.79</v>
      </c>
      <c r="H339" s="30">
        <f>'Equity Volume Data'!K339*'Equity Price Data'!N340</f>
        <v>20117.88</v>
      </c>
      <c r="I339" s="30">
        <f>'Equity Volume Data'!L339*'Equity Price Data'!O340</f>
        <v>20770</v>
      </c>
      <c r="J339" s="30">
        <f>'Equity Volume Data'!M339*'Equity Price Data'!P340</f>
        <v>50217.66</v>
      </c>
      <c r="K339" s="30">
        <f>'Equity Volume Data'!N339*'Equity Price Data'!Q340</f>
        <v>10634</v>
      </c>
      <c r="L339" s="30">
        <f>'Equity Volume Data'!O339*'Equity Price Data'!R340</f>
        <v>17529.27</v>
      </c>
      <c r="M339" s="30">
        <f>'Equity Volume Data'!P339*'Equity Price Data'!S340</f>
        <v>14381</v>
      </c>
      <c r="N339" s="30">
        <f>'Equity Volume Data'!Q339*'Equity Price Data'!T340</f>
        <v>4857.6</v>
      </c>
      <c r="O339" s="30">
        <f>'Equity Volume Data'!R339*'Equity Price Data'!U340</f>
        <v>67599</v>
      </c>
      <c r="P339" s="30">
        <f>'Equity Volume Data'!S339*'Equity Price Data'!V340</f>
        <v>34114.77</v>
      </c>
      <c r="Q339" s="30">
        <f>'Equity Volume Data'!T339*'Equity Price Data'!W340</f>
        <v>23584.8</v>
      </c>
      <c r="R339" s="30">
        <f>'Equity Volume Data'!U339*'Equity Price Data'!X340</f>
        <v>12807.2</v>
      </c>
      <c r="S339" s="30">
        <f>'Equity Volume Data'!V339*'Equity Price Data'!Y340</f>
        <v>26099.92</v>
      </c>
      <c r="T339" s="30">
        <f>'Equity Volume Data'!W339*'Equity Price Data'!Z340</f>
        <v>13067.5</v>
      </c>
      <c r="U339" s="30">
        <f>'Equity Volume Data'!X339*'Equity Price Data'!AA340</f>
        <v>17698.56</v>
      </c>
      <c r="V339" s="30">
        <f>'Equity Volume Data'!Y339*'Equity Price Data'!AB340</f>
        <v>15520.4</v>
      </c>
      <c r="W339" s="30">
        <f>'Equity Volume Data'!Z339*'Equity Price Data'!AC340</f>
        <v>11809.35</v>
      </c>
      <c r="X339" s="30">
        <f>'Equity Volume Data'!AA339*'Equity Price Data'!AD340</f>
        <v>0</v>
      </c>
      <c r="Y339" s="30">
        <f>'Equity Volume Data'!AB339*'Equity Price Data'!AE340</f>
        <v>5696.73</v>
      </c>
      <c r="Z339" s="30">
        <f>'Equity Volume Data'!AC339*'Equity Price Data'!AF340</f>
        <v>13494</v>
      </c>
      <c r="AA339" s="30">
        <f>'Equity Volume Data'!AD339*'Equity Price Data'!AG340</f>
        <v>19599.3</v>
      </c>
      <c r="AB339" s="30">
        <f>'Equity Volume Data'!AE339*'Equity Price Data'!AH340</f>
        <v>13546.8</v>
      </c>
      <c r="AC339" s="30">
        <f>'Equity Volume Data'!AF339*'Equity Price Data'!AI340</f>
        <v>18801.2</v>
      </c>
      <c r="AD339" s="30">
        <f>'Equity Volume Data'!AG339*'Equity Price Data'!AJ340</f>
        <v>14637.6</v>
      </c>
      <c r="AE339" s="30">
        <f>'Equity Volume Data'!AH339*'Equity Price Data'!AK340</f>
        <v>0</v>
      </c>
      <c r="AF339" s="30">
        <f>'Equity Volume Data'!AI339*'Equity Price Data'!AL340</f>
        <v>23013.3</v>
      </c>
      <c r="AG339" s="30">
        <f>'Equity Volume Data'!AJ339*'Equity Price Data'!AM340</f>
        <v>47653.2</v>
      </c>
      <c r="AH339" s="30">
        <f>'Equity Volume Data'!AK339*'Equity Price Data'!AN340</f>
        <v>41700</v>
      </c>
      <c r="AI339" s="30">
        <f>'Equity Volume Data'!AL339*'Equity Price Data'!AO340</f>
        <v>24750.25</v>
      </c>
      <c r="AJ339" s="30">
        <f>'Equity Volume Data'!AM339*'Equity Price Data'!AP340</f>
        <v>22392.5</v>
      </c>
      <c r="AK339" s="30">
        <f>'Equity Volume Data'!AN339*'Equity Price Data'!AQ340</f>
        <v>20382.02</v>
      </c>
      <c r="AL339" s="30">
        <f>'Equity Volume Data'!AO339*'Equity Price Data'!AR340</f>
        <v>49880</v>
      </c>
      <c r="AM339" s="30">
        <f>'Equity Volume Data'!AP339*'Equity Price Data'!AS340</f>
        <v>33118.4</v>
      </c>
      <c r="AN339" s="30">
        <f>'Equity Volume Data'!AQ339*'Equity Price Data'!AT340</f>
        <v>0</v>
      </c>
      <c r="AO339" s="30">
        <f>'Equity Volume Data'!AR339*'Equity Price Data'!AU340</f>
        <v>26499.62</v>
      </c>
      <c r="AP339" s="30">
        <f>'Equity Volume Data'!AS339*'Equity Price Data'!AV340</f>
        <v>23645</v>
      </c>
      <c r="AQ339" s="30">
        <f>'Equity Volume Data'!AT339*'Equity Price Data'!AW340</f>
        <v>17309.6</v>
      </c>
      <c r="AR339" s="30">
        <f>'Equity Volume Data'!AU339*'Equity Price Data'!AX340</f>
        <v>28260.63</v>
      </c>
      <c r="AS339" s="30">
        <f>'Equity Volume Data'!AV339*'Equity Price Data'!AY340</f>
        <v>61202.4</v>
      </c>
      <c r="AT339" s="30">
        <f>'Equity Volume Data'!AW339*'Equity Price Data'!AZ340</f>
        <v>14062</v>
      </c>
      <c r="AU339" s="30">
        <f>'Equity Volume Data'!AX339*'Equity Price Data'!BA340</f>
        <v>0</v>
      </c>
      <c r="AV339" s="30">
        <f>'Equity Volume Data'!AY339*'Equity Price Data'!BB340</f>
        <v>24181.18</v>
      </c>
      <c r="AW339" s="30">
        <f>'Equity Volume Data'!AZ339*'Equity Price Data'!BC340</f>
        <v>3585.6</v>
      </c>
      <c r="AX339" s="30">
        <f>'Equity Volume Data'!BA339*'Equity Price Data'!BD340</f>
        <v>0</v>
      </c>
      <c r="AY339" s="30">
        <f>'Equity Volume Data'!BB339*'Equity Price Data'!BE340</f>
        <v>37874.25</v>
      </c>
      <c r="AZ339" s="30">
        <f>'Equity Volume Data'!BC339*'Equity Price Data'!BF340</f>
        <v>10293</v>
      </c>
      <c r="BA339" s="30">
        <f>'Equity Volume Data'!BD339*'Equity Price Data'!BG340</f>
        <v>4569.5</v>
      </c>
      <c r="BB339" s="30">
        <f>'Equity Volume Data'!BE339*'Equity Price Data'!BH340</f>
        <v>12664.8</v>
      </c>
      <c r="BC339" s="30">
        <f>'Equity Volume Data'!BF339*'Equity Price Data'!BI340</f>
        <v>14369.68</v>
      </c>
      <c r="BD339" s="30">
        <f>'Equity Volume Data'!BG339*'Equity Price Data'!BJ340</f>
        <v>51002.85</v>
      </c>
      <c r="BE339" s="30">
        <f>'Equity Volume Data'!BH339*'Equity Price Data'!BK340</f>
        <v>10870.72</v>
      </c>
      <c r="BF339" s="30">
        <f>'Equity Volume Data'!BI339*'Equity Price Data'!BL340</f>
        <v>8055.2</v>
      </c>
      <c r="BG339" s="30">
        <f>'Equity Volume Data'!BJ339*'Equity Price Data'!BM340</f>
        <v>33307.18</v>
      </c>
      <c r="BH339" s="30">
        <f>'Equity Volume Data'!BK339*'Equity Price Data'!BN340</f>
        <v>0</v>
      </c>
      <c r="BI339" s="30">
        <f>'Equity Volume Data'!BL339*'Equity Price Data'!BO340</f>
        <v>34747.2</v>
      </c>
      <c r="BJ339" s="30">
        <f>'Equity Volume Data'!BM339*'Equity Price Data'!BP340</f>
        <v>25620.75</v>
      </c>
      <c r="BK339" s="30">
        <f>'Equity Volume Data'!BN339*'Equity Price Data'!BQ340</f>
        <v>91415.46</v>
      </c>
      <c r="BL339" s="30">
        <f>'Equity Volume Data'!BO339*'Equity Price Data'!BR340</f>
        <v>452.14</v>
      </c>
      <c r="BM339" s="30">
        <f>'Equity Volume Data'!BP339*'Equity Price Data'!BS340</f>
        <v>10351.68</v>
      </c>
      <c r="BN339" s="30">
        <f>'Equity Volume Data'!BQ339*'Equity Price Data'!BT340</f>
        <v>21826.8</v>
      </c>
      <c r="BO339" s="30">
        <f>'Equity Volume Data'!BR339*'Equity Price Data'!BU340</f>
        <v>34410</v>
      </c>
    </row>
    <row r="340">
      <c r="A340" s="25">
        <f>'Equity Price Data'!A341</f>
        <v>45918.66667</v>
      </c>
      <c r="B340" s="29">
        <f t="shared" si="1"/>
        <v>1476986.24</v>
      </c>
      <c r="C340" s="30">
        <f>'Equity Volume Data'!F340*'Equity Price Data'!I341</f>
        <v>4776.98</v>
      </c>
      <c r="D340" s="30">
        <f>'Equity Volume Data'!G340*'Equity Price Data'!J341</f>
        <v>60119.8</v>
      </c>
      <c r="E340" s="30">
        <f>'Equity Volume Data'!H340*'Equity Price Data'!K341</f>
        <v>14892.9</v>
      </c>
      <c r="F340" s="30">
        <f>'Equity Volume Data'!I340*'Equity Price Data'!L341</f>
        <v>60897.28</v>
      </c>
      <c r="G340" s="30">
        <f>'Equity Volume Data'!J340*'Equity Price Data'!M341</f>
        <v>15750.08</v>
      </c>
      <c r="H340" s="30">
        <f>'Equity Volume Data'!K340*'Equity Price Data'!N341</f>
        <v>20401.76</v>
      </c>
      <c r="I340" s="30">
        <f>'Equity Volume Data'!L340*'Equity Price Data'!O341</f>
        <v>21010</v>
      </c>
      <c r="J340" s="30">
        <f>'Equity Volume Data'!M340*'Equity Price Data'!P341</f>
        <v>50031</v>
      </c>
      <c r="K340" s="30">
        <f>'Equity Volume Data'!N340*'Equity Price Data'!Q341</f>
        <v>10436</v>
      </c>
      <c r="L340" s="30">
        <f>'Equity Volume Data'!O340*'Equity Price Data'!R341</f>
        <v>17401.01</v>
      </c>
      <c r="M340" s="30">
        <f>'Equity Volume Data'!P340*'Equity Price Data'!S341</f>
        <v>14341.58</v>
      </c>
      <c r="N340" s="30">
        <f>'Equity Volume Data'!Q340*'Equity Price Data'!T341</f>
        <v>4888</v>
      </c>
      <c r="O340" s="30">
        <f>'Equity Volume Data'!R340*'Equity Price Data'!U341</f>
        <v>70044</v>
      </c>
      <c r="P340" s="30">
        <f>'Equity Volume Data'!S340*'Equity Price Data'!V341</f>
        <v>34448.37</v>
      </c>
      <c r="Q340" s="30">
        <f>'Equity Volume Data'!T340*'Equity Price Data'!W341</f>
        <v>23548.8</v>
      </c>
      <c r="R340" s="30">
        <f>'Equity Volume Data'!U340*'Equity Price Data'!X341</f>
        <v>12707.2</v>
      </c>
      <c r="S340" s="30">
        <f>'Equity Volume Data'!V340*'Equity Price Data'!Y341</f>
        <v>25850.88</v>
      </c>
      <c r="T340" s="30">
        <f>'Equity Volume Data'!W340*'Equity Price Data'!Z341</f>
        <v>13410</v>
      </c>
      <c r="U340" s="30">
        <f>'Equity Volume Data'!X340*'Equity Price Data'!AA341</f>
        <v>17545.44</v>
      </c>
      <c r="V340" s="30">
        <f>'Equity Volume Data'!Y340*'Equity Price Data'!AB341</f>
        <v>15512.35</v>
      </c>
      <c r="W340" s="30">
        <f>'Equity Volume Data'!Z340*'Equity Price Data'!AC341</f>
        <v>11823.84</v>
      </c>
      <c r="X340" s="30">
        <f>'Equity Volume Data'!AA340*'Equity Price Data'!AD341</f>
        <v>0</v>
      </c>
      <c r="Y340" s="30">
        <f>'Equity Volume Data'!AB340*'Equity Price Data'!AE341</f>
        <v>5591.04</v>
      </c>
      <c r="Z340" s="30">
        <f>'Equity Volume Data'!AC340*'Equity Price Data'!AF341</f>
        <v>13440</v>
      </c>
      <c r="AA340" s="30">
        <f>'Equity Volume Data'!AD340*'Equity Price Data'!AG341</f>
        <v>19368.1</v>
      </c>
      <c r="AB340" s="30">
        <f>'Equity Volume Data'!AE340*'Equity Price Data'!AH341</f>
        <v>13590</v>
      </c>
      <c r="AC340" s="30">
        <f>'Equity Volume Data'!AF340*'Equity Price Data'!AI341</f>
        <v>19350.8</v>
      </c>
      <c r="AD340" s="30">
        <f>'Equity Volume Data'!AG340*'Equity Price Data'!AJ341</f>
        <v>14605.65</v>
      </c>
      <c r="AE340" s="30">
        <f>'Equity Volume Data'!AH340*'Equity Price Data'!AK341</f>
        <v>0</v>
      </c>
      <c r="AF340" s="30">
        <f>'Equity Volume Data'!AI340*'Equity Price Data'!AL341</f>
        <v>23292.1</v>
      </c>
      <c r="AG340" s="30">
        <f>'Equity Volume Data'!AJ340*'Equity Price Data'!AM341</f>
        <v>48258.6</v>
      </c>
      <c r="AH340" s="30">
        <f>'Equity Volume Data'!AK340*'Equity Price Data'!AN341</f>
        <v>41748</v>
      </c>
      <c r="AI340" s="30">
        <f>'Equity Volume Data'!AL340*'Equity Price Data'!AO341</f>
        <v>25144</v>
      </c>
      <c r="AJ340" s="30">
        <f>'Equity Volume Data'!AM340*'Equity Price Data'!AP341</f>
        <v>22246.9</v>
      </c>
      <c r="AK340" s="30">
        <f>'Equity Volume Data'!AN340*'Equity Price Data'!AQ341</f>
        <v>20484.01</v>
      </c>
      <c r="AL340" s="30">
        <f>'Equity Volume Data'!AO340*'Equity Price Data'!AR341</f>
        <v>50116.8</v>
      </c>
      <c r="AM340" s="30">
        <f>'Equity Volume Data'!AP340*'Equity Price Data'!AS341</f>
        <v>33153.4</v>
      </c>
      <c r="AN340" s="30">
        <f>'Equity Volume Data'!AQ340*'Equity Price Data'!AT341</f>
        <v>0</v>
      </c>
      <c r="AO340" s="30">
        <f>'Equity Volume Data'!AR340*'Equity Price Data'!AU341</f>
        <v>26807.06</v>
      </c>
      <c r="AP340" s="30">
        <f>'Equity Volume Data'!AS340*'Equity Price Data'!AV341</f>
        <v>23897.5</v>
      </c>
      <c r="AQ340" s="30">
        <f>'Equity Volume Data'!AT340*'Equity Price Data'!AW341</f>
        <v>17395.4</v>
      </c>
      <c r="AR340" s="30">
        <f>'Equity Volume Data'!AU340*'Equity Price Data'!AX341</f>
        <v>30510.99</v>
      </c>
      <c r="AS340" s="30">
        <f>'Equity Volume Data'!AV340*'Equity Price Data'!AY341</f>
        <v>61014</v>
      </c>
      <c r="AT340" s="30">
        <f>'Equity Volume Data'!AW340*'Equity Price Data'!AZ341</f>
        <v>14158</v>
      </c>
      <c r="AU340" s="30">
        <f>'Equity Volume Data'!AX340*'Equity Price Data'!BA341</f>
        <v>0</v>
      </c>
      <c r="AV340" s="30">
        <f>'Equity Volume Data'!AY340*'Equity Price Data'!BB341</f>
        <v>25026.08</v>
      </c>
      <c r="AW340" s="30">
        <f>'Equity Volume Data'!AZ340*'Equity Price Data'!BC341</f>
        <v>3614</v>
      </c>
      <c r="AX340" s="30">
        <f>'Equity Volume Data'!BA340*'Equity Price Data'!BD341</f>
        <v>0</v>
      </c>
      <c r="AY340" s="30">
        <f>'Equity Volume Data'!BB340*'Equity Price Data'!BE341</f>
        <v>39818.25</v>
      </c>
      <c r="AZ340" s="30">
        <f>'Equity Volume Data'!BC340*'Equity Price Data'!BF341</f>
        <v>10278</v>
      </c>
      <c r="BA340" s="30">
        <f>'Equity Volume Data'!BD340*'Equity Price Data'!BG341</f>
        <v>4588.5</v>
      </c>
      <c r="BB340" s="30">
        <f>'Equity Volume Data'!BE340*'Equity Price Data'!BH341</f>
        <v>12655.2</v>
      </c>
      <c r="BC340" s="30">
        <f>'Equity Volume Data'!BF340*'Equity Price Data'!BI341</f>
        <v>14832.16</v>
      </c>
      <c r="BD340" s="30">
        <f>'Equity Volume Data'!BG340*'Equity Price Data'!BJ341</f>
        <v>50870.79</v>
      </c>
      <c r="BE340" s="30">
        <f>'Equity Volume Data'!BH340*'Equity Price Data'!BK341</f>
        <v>11065.3</v>
      </c>
      <c r="BF340" s="30">
        <f>'Equity Volume Data'!BI340*'Equity Price Data'!BL341</f>
        <v>8018.8</v>
      </c>
      <c r="BG340" s="30">
        <f>'Equity Volume Data'!BJ340*'Equity Price Data'!BM341</f>
        <v>33665.8</v>
      </c>
      <c r="BH340" s="30">
        <f>'Equity Volume Data'!BK340*'Equity Price Data'!BN341</f>
        <v>0</v>
      </c>
      <c r="BI340" s="30">
        <f>'Equity Volume Data'!BL340*'Equity Price Data'!BO341</f>
        <v>35257.6</v>
      </c>
      <c r="BJ340" s="30">
        <f>'Equity Volume Data'!BM340*'Equity Price Data'!BP341</f>
        <v>25111.5</v>
      </c>
      <c r="BK340" s="30">
        <f>'Equity Volume Data'!BN340*'Equity Price Data'!BQ341</f>
        <v>91343.38</v>
      </c>
      <c r="BL340" s="30">
        <f>'Equity Volume Data'!BO340*'Equity Price Data'!BR341</f>
        <v>463.42</v>
      </c>
      <c r="BM340" s="30">
        <f>'Equity Volume Data'!BP340*'Equity Price Data'!BS341</f>
        <v>10364.16</v>
      </c>
      <c r="BN340" s="30">
        <f>'Equity Volume Data'!BQ340*'Equity Price Data'!BT341</f>
        <v>21593.68</v>
      </c>
      <c r="BO340" s="30">
        <f>'Equity Volume Data'!BR340*'Equity Price Data'!BU341</f>
        <v>34410</v>
      </c>
    </row>
    <row r="341">
      <c r="A341" s="25">
        <f>'Equity Price Data'!A342</f>
        <v>45919.66667</v>
      </c>
      <c r="B341" s="29">
        <f t="shared" si="1"/>
        <v>1482159.56</v>
      </c>
      <c r="C341" s="30">
        <f>'Equity Volume Data'!F341*'Equity Price Data'!I342</f>
        <v>4756.7</v>
      </c>
      <c r="D341" s="30">
        <f>'Equity Volume Data'!G341*'Equity Price Data'!J342</f>
        <v>60184.8</v>
      </c>
      <c r="E341" s="30">
        <f>'Equity Volume Data'!H341*'Equity Price Data'!K342</f>
        <v>14856.6</v>
      </c>
      <c r="F341" s="30">
        <f>'Equity Volume Data'!I341*'Equity Price Data'!L342</f>
        <v>62848</v>
      </c>
      <c r="G341" s="30">
        <f>'Equity Volume Data'!J341*'Equity Price Data'!M342</f>
        <v>15778.3</v>
      </c>
      <c r="H341" s="30">
        <f>'Equity Volume Data'!K341*'Equity Price Data'!N342</f>
        <v>20437.48</v>
      </c>
      <c r="I341" s="30">
        <f>'Equity Volume Data'!L341*'Equity Price Data'!O342</f>
        <v>20720</v>
      </c>
      <c r="J341" s="30">
        <f>'Equity Volume Data'!M341*'Equity Price Data'!P342</f>
        <v>50270.7</v>
      </c>
      <c r="K341" s="30">
        <f>'Equity Volume Data'!N341*'Equity Price Data'!Q342</f>
        <v>10428</v>
      </c>
      <c r="L341" s="30">
        <f>'Equity Volume Data'!O341*'Equity Price Data'!R342</f>
        <v>17242.5</v>
      </c>
      <c r="M341" s="30">
        <f>'Equity Volume Data'!P341*'Equity Price Data'!S342</f>
        <v>14283.18</v>
      </c>
      <c r="N341" s="30">
        <f>'Equity Volume Data'!Q341*'Equity Price Data'!T342</f>
        <v>4831.2</v>
      </c>
      <c r="O341" s="30">
        <f>'Equity Volume Data'!R341*'Equity Price Data'!U342</f>
        <v>69981</v>
      </c>
      <c r="P341" s="30">
        <f>'Equity Volume Data'!S341*'Equity Price Data'!V342</f>
        <v>35937.06</v>
      </c>
      <c r="Q341" s="30">
        <f>'Equity Volume Data'!T341*'Equity Price Data'!W342</f>
        <v>23734.8</v>
      </c>
      <c r="R341" s="30">
        <f>'Equity Volume Data'!U341*'Equity Price Data'!X342</f>
        <v>12496.8</v>
      </c>
      <c r="S341" s="30">
        <f>'Equity Volume Data'!V341*'Equity Price Data'!Y342</f>
        <v>25551.68</v>
      </c>
      <c r="T341" s="30">
        <f>'Equity Volume Data'!W341*'Equity Price Data'!Z342</f>
        <v>13387.5</v>
      </c>
      <c r="U341" s="30">
        <f>'Equity Volume Data'!X341*'Equity Price Data'!AA342</f>
        <v>17537.52</v>
      </c>
      <c r="V341" s="30">
        <f>'Equity Volume Data'!Y341*'Equity Price Data'!AB342</f>
        <v>15509.13</v>
      </c>
      <c r="W341" s="30">
        <f>'Equity Volume Data'!Z341*'Equity Price Data'!AC342</f>
        <v>11873.52</v>
      </c>
      <c r="X341" s="30">
        <f>'Equity Volume Data'!AA341*'Equity Price Data'!AD342</f>
        <v>0</v>
      </c>
      <c r="Y341" s="30">
        <f>'Equity Volume Data'!AB341*'Equity Price Data'!AE342</f>
        <v>5573.23</v>
      </c>
      <c r="Z341" s="30">
        <f>'Equity Volume Data'!AC341*'Equity Price Data'!AF342</f>
        <v>13666.5</v>
      </c>
      <c r="AA341" s="30">
        <f>'Equity Volume Data'!AD341*'Equity Price Data'!AG342</f>
        <v>19179.4</v>
      </c>
      <c r="AB341" s="30">
        <f>'Equity Volume Data'!AE341*'Equity Price Data'!AH342</f>
        <v>13905</v>
      </c>
      <c r="AC341" s="30">
        <f>'Equity Volume Data'!AF341*'Equity Price Data'!AI342</f>
        <v>19183.6</v>
      </c>
      <c r="AD341" s="30">
        <f>'Equity Volume Data'!AG341*'Equity Price Data'!AJ342</f>
        <v>14583.6</v>
      </c>
      <c r="AE341" s="30">
        <f>'Equity Volume Data'!AH341*'Equity Price Data'!AK342</f>
        <v>0</v>
      </c>
      <c r="AF341" s="30">
        <f>'Equity Volume Data'!AI341*'Equity Price Data'!AL342</f>
        <v>23388.45</v>
      </c>
      <c r="AG341" s="30">
        <f>'Equity Volume Data'!AJ341*'Equity Price Data'!AM342</f>
        <v>48300</v>
      </c>
      <c r="AH341" s="30">
        <f>'Equity Volume Data'!AK341*'Equity Price Data'!AN342</f>
        <v>41569</v>
      </c>
      <c r="AI341" s="30">
        <f>'Equity Volume Data'!AL341*'Equity Price Data'!AO342</f>
        <v>24822</v>
      </c>
      <c r="AJ341" s="30">
        <f>'Equity Volume Data'!AM341*'Equity Price Data'!AP342</f>
        <v>22070.1</v>
      </c>
      <c r="AK341" s="30">
        <f>'Equity Volume Data'!AN341*'Equity Price Data'!AQ342</f>
        <v>20619.84</v>
      </c>
      <c r="AL341" s="30">
        <f>'Equity Volume Data'!AO341*'Equity Price Data'!AR342</f>
        <v>50364.8</v>
      </c>
      <c r="AM341" s="30">
        <f>'Equity Volume Data'!AP341*'Equity Price Data'!AS342</f>
        <v>33105.8</v>
      </c>
      <c r="AN341" s="30">
        <f>'Equity Volume Data'!AQ341*'Equity Price Data'!AT342</f>
        <v>0</v>
      </c>
      <c r="AO341" s="30">
        <f>'Equity Volume Data'!AR341*'Equity Price Data'!AU342</f>
        <v>26969.32</v>
      </c>
      <c r="AP341" s="30">
        <f>'Equity Volume Data'!AS341*'Equity Price Data'!AV342</f>
        <v>23770</v>
      </c>
      <c r="AQ341" s="30">
        <f>'Equity Volume Data'!AT341*'Equity Price Data'!AW342</f>
        <v>17415.2</v>
      </c>
      <c r="AR341" s="30">
        <f>'Equity Volume Data'!AU341*'Equity Price Data'!AX342</f>
        <v>30972.06</v>
      </c>
      <c r="AS341" s="30">
        <f>'Equity Volume Data'!AV341*'Equity Price Data'!AY342</f>
        <v>62151.6</v>
      </c>
      <c r="AT341" s="30">
        <f>'Equity Volume Data'!AW341*'Equity Price Data'!AZ342</f>
        <v>14216</v>
      </c>
      <c r="AU341" s="30">
        <f>'Equity Volume Data'!AX341*'Equity Price Data'!BA342</f>
        <v>0</v>
      </c>
      <c r="AV341" s="30">
        <f>'Equity Volume Data'!AY341*'Equity Price Data'!BB342</f>
        <v>25087.14</v>
      </c>
      <c r="AW341" s="30">
        <f>'Equity Volume Data'!AZ341*'Equity Price Data'!BC342</f>
        <v>3566.4</v>
      </c>
      <c r="AX341" s="30">
        <f>'Equity Volume Data'!BA341*'Equity Price Data'!BD342</f>
        <v>0</v>
      </c>
      <c r="AY341" s="30">
        <f>'Equity Volume Data'!BB341*'Equity Price Data'!BE342</f>
        <v>41037.75</v>
      </c>
      <c r="AZ341" s="30">
        <f>'Equity Volume Data'!BC341*'Equity Price Data'!BF342</f>
        <v>10233</v>
      </c>
      <c r="BA341" s="30">
        <f>'Equity Volume Data'!BD341*'Equity Price Data'!BG342</f>
        <v>4565.7</v>
      </c>
      <c r="BB341" s="30">
        <f>'Equity Volume Data'!BE341*'Equity Price Data'!BH342</f>
        <v>12659.2</v>
      </c>
      <c r="BC341" s="30">
        <f>'Equity Volume Data'!BF341*'Equity Price Data'!BI342</f>
        <v>14281.12</v>
      </c>
      <c r="BD341" s="30">
        <f>'Equity Volume Data'!BG341*'Equity Price Data'!BJ342</f>
        <v>50730.21</v>
      </c>
      <c r="BE341" s="30">
        <f>'Equity Volume Data'!BH341*'Equity Price Data'!BK342</f>
        <v>11030.34</v>
      </c>
      <c r="BF341" s="30">
        <f>'Equity Volume Data'!BI341*'Equity Price Data'!BL342</f>
        <v>7958</v>
      </c>
      <c r="BG341" s="30">
        <f>'Equity Volume Data'!BJ341*'Equity Price Data'!BM342</f>
        <v>33996.62</v>
      </c>
      <c r="BH341" s="30">
        <f>'Equity Volume Data'!BK341*'Equity Price Data'!BN342</f>
        <v>0</v>
      </c>
      <c r="BI341" s="30">
        <f>'Equity Volume Data'!BL341*'Equity Price Data'!BO342</f>
        <v>35297.6</v>
      </c>
      <c r="BJ341" s="30">
        <f>'Equity Volume Data'!BM341*'Equity Price Data'!BP342</f>
        <v>25251.75</v>
      </c>
      <c r="BK341" s="30">
        <f>'Equity Volume Data'!BN341*'Equity Price Data'!BQ342</f>
        <v>91343.38</v>
      </c>
      <c r="BL341" s="30">
        <f>'Equity Volume Data'!BO341*'Equity Price Data'!BR342</f>
        <v>465.3</v>
      </c>
      <c r="BM341" s="30">
        <f>'Equity Volume Data'!BP341*'Equity Price Data'!BS342</f>
        <v>10387.2</v>
      </c>
      <c r="BN341" s="30">
        <f>'Equity Volume Data'!BQ341*'Equity Price Data'!BT342</f>
        <v>21386.88</v>
      </c>
      <c r="BO341" s="30">
        <f>'Equity Volume Data'!BR341*'Equity Price Data'!BU342</f>
        <v>34410</v>
      </c>
    </row>
    <row r="342">
      <c r="A342" s="25">
        <f>'Equity Price Data'!A343</f>
        <v>45922.66667</v>
      </c>
      <c r="B342" s="29">
        <f t="shared" si="1"/>
        <v>1487943.98</v>
      </c>
      <c r="C342" s="30">
        <f>'Equity Volume Data'!F342*'Equity Price Data'!I343</f>
        <v>4733.04</v>
      </c>
      <c r="D342" s="30">
        <f>'Equity Volume Data'!G342*'Equity Price Data'!J343</f>
        <v>59183.8</v>
      </c>
      <c r="E342" s="30">
        <f>'Equity Volume Data'!H342*'Equity Price Data'!K343</f>
        <v>14855.5</v>
      </c>
      <c r="F342" s="30">
        <f>'Equity Volume Data'!I342*'Equity Price Data'!L343</f>
        <v>65556.48</v>
      </c>
      <c r="G342" s="30">
        <f>'Equity Volume Data'!J342*'Equity Price Data'!M343</f>
        <v>16643.16</v>
      </c>
      <c r="H342" s="30">
        <f>'Equity Volume Data'!K342*'Equity Price Data'!N343</f>
        <v>20578.48</v>
      </c>
      <c r="I342" s="30">
        <f>'Equity Volume Data'!L342*'Equity Price Data'!O343</f>
        <v>20930</v>
      </c>
      <c r="J342" s="30">
        <f>'Equity Volume Data'!M342*'Equity Price Data'!P343</f>
        <v>50358.42</v>
      </c>
      <c r="K342" s="30">
        <f>'Equity Volume Data'!N342*'Equity Price Data'!Q343</f>
        <v>10630</v>
      </c>
      <c r="L342" s="30">
        <f>'Equity Volume Data'!O342*'Equity Price Data'!R343</f>
        <v>17019.86</v>
      </c>
      <c r="M342" s="30">
        <f>'Equity Volume Data'!P342*'Equity Price Data'!S343</f>
        <v>14166.38</v>
      </c>
      <c r="N342" s="30">
        <f>'Equity Volume Data'!Q342*'Equity Price Data'!T343</f>
        <v>4824.8</v>
      </c>
      <c r="O342" s="30">
        <f>'Equity Volume Data'!R342*'Equity Price Data'!U343</f>
        <v>70815</v>
      </c>
      <c r="P342" s="30">
        <f>'Equity Volume Data'!S342*'Equity Price Data'!V343</f>
        <v>35991.27</v>
      </c>
      <c r="Q342" s="30">
        <f>'Equity Volume Data'!T342*'Equity Price Data'!W343</f>
        <v>24130.8</v>
      </c>
      <c r="R342" s="30">
        <f>'Equity Volume Data'!U342*'Equity Price Data'!X343</f>
        <v>12484</v>
      </c>
      <c r="S342" s="30">
        <f>'Equity Volume Data'!V342*'Equity Price Data'!Y343</f>
        <v>25398.56</v>
      </c>
      <c r="T342" s="30">
        <f>'Equity Volume Data'!W342*'Equity Price Data'!Z343</f>
        <v>13137.5</v>
      </c>
      <c r="U342" s="30">
        <f>'Equity Volume Data'!X342*'Equity Price Data'!AA343</f>
        <v>17479.44</v>
      </c>
      <c r="V342" s="30">
        <f>'Equity Volume Data'!Y342*'Equity Price Data'!AB343</f>
        <v>15555.82</v>
      </c>
      <c r="W342" s="30">
        <f>'Equity Volume Data'!Z342*'Equity Price Data'!AC343</f>
        <v>12053.61</v>
      </c>
      <c r="X342" s="30">
        <f>'Equity Volume Data'!AA342*'Equity Price Data'!AD343</f>
        <v>0</v>
      </c>
      <c r="Y342" s="30">
        <f>'Equity Volume Data'!AB342*'Equity Price Data'!AE343</f>
        <v>5524.48</v>
      </c>
      <c r="Z342" s="30">
        <f>'Equity Volume Data'!AC342*'Equity Price Data'!AF343</f>
        <v>13588.5</v>
      </c>
      <c r="AA342" s="30">
        <f>'Equity Volume Data'!AD342*'Equity Price Data'!AG343</f>
        <v>19043.4</v>
      </c>
      <c r="AB342" s="30">
        <f>'Equity Volume Data'!AE342*'Equity Price Data'!AH343</f>
        <v>13807.2</v>
      </c>
      <c r="AC342" s="30">
        <f>'Equity Volume Data'!AF342*'Equity Price Data'!AI343</f>
        <v>19109.6</v>
      </c>
      <c r="AD342" s="30">
        <f>'Equity Volume Data'!AG342*'Equity Price Data'!AJ343</f>
        <v>14519.7</v>
      </c>
      <c r="AE342" s="30">
        <f>'Equity Volume Data'!AH342*'Equity Price Data'!AK343</f>
        <v>0</v>
      </c>
      <c r="AF342" s="30">
        <f>'Equity Volume Data'!AI342*'Equity Price Data'!AL343</f>
        <v>23060.45</v>
      </c>
      <c r="AG342" s="30">
        <f>'Equity Volume Data'!AJ342*'Equity Price Data'!AM343</f>
        <v>48333.6</v>
      </c>
      <c r="AH342" s="30">
        <f>'Equity Volume Data'!AK342*'Equity Price Data'!AN343</f>
        <v>41200</v>
      </c>
      <c r="AI342" s="30">
        <f>'Equity Volume Data'!AL342*'Equity Price Data'!AO343</f>
        <v>25072.25</v>
      </c>
      <c r="AJ342" s="30">
        <f>'Equity Volume Data'!AM342*'Equity Price Data'!AP343</f>
        <v>22115.6</v>
      </c>
      <c r="AK342" s="30">
        <f>'Equity Volume Data'!AN342*'Equity Price Data'!AQ343</f>
        <v>20893.85</v>
      </c>
      <c r="AL342" s="30">
        <f>'Equity Volume Data'!AO342*'Equity Price Data'!AR343</f>
        <v>49990.4</v>
      </c>
      <c r="AM342" s="30">
        <f>'Equity Volume Data'!AP342*'Equity Price Data'!AS343</f>
        <v>33627.3</v>
      </c>
      <c r="AN342" s="30">
        <f>'Equity Volume Data'!AQ342*'Equity Price Data'!AT343</f>
        <v>0</v>
      </c>
      <c r="AO342" s="30">
        <f>'Equity Volume Data'!AR342*'Equity Price Data'!AU343</f>
        <v>27097.42</v>
      </c>
      <c r="AP342" s="30">
        <f>'Equity Volume Data'!AS342*'Equity Price Data'!AV343</f>
        <v>23655</v>
      </c>
      <c r="AQ342" s="30">
        <f>'Equity Volume Data'!AT342*'Equity Price Data'!AW343</f>
        <v>17815.6</v>
      </c>
      <c r="AR342" s="30">
        <f>'Equity Volume Data'!AU342*'Equity Price Data'!AX343</f>
        <v>30972.06</v>
      </c>
      <c r="AS342" s="30">
        <f>'Equity Volume Data'!AV342*'Equity Price Data'!AY343</f>
        <v>61734</v>
      </c>
      <c r="AT342" s="30">
        <f>'Equity Volume Data'!AW342*'Equity Price Data'!AZ343</f>
        <v>14470</v>
      </c>
      <c r="AU342" s="30">
        <f>'Equity Volume Data'!AX342*'Equity Price Data'!BA343</f>
        <v>0</v>
      </c>
      <c r="AV342" s="30">
        <f>'Equity Volume Data'!AY342*'Equity Price Data'!BB343</f>
        <v>26072.62</v>
      </c>
      <c r="AW342" s="30">
        <f>'Equity Volume Data'!AZ342*'Equity Price Data'!BC343</f>
        <v>3573.2</v>
      </c>
      <c r="AX342" s="30">
        <f>'Equity Volume Data'!BA342*'Equity Price Data'!BD343</f>
        <v>0</v>
      </c>
      <c r="AY342" s="30">
        <f>'Equity Volume Data'!BB342*'Equity Price Data'!BE343</f>
        <v>40349.25</v>
      </c>
      <c r="AZ342" s="30">
        <f>'Equity Volume Data'!BC342*'Equity Price Data'!BF343</f>
        <v>10152</v>
      </c>
      <c r="BA342" s="30">
        <f>'Equity Volume Data'!BD342*'Equity Price Data'!BG343</f>
        <v>4567.6</v>
      </c>
      <c r="BB342" s="30">
        <f>'Equity Volume Data'!BE342*'Equity Price Data'!BH343</f>
        <v>12754.4</v>
      </c>
      <c r="BC342" s="30">
        <f>'Equity Volume Data'!BF342*'Equity Price Data'!BI343</f>
        <v>14566.48</v>
      </c>
      <c r="BD342" s="30">
        <f>'Equity Volume Data'!BG342*'Equity Price Data'!BJ343</f>
        <v>50574.72</v>
      </c>
      <c r="BE342" s="30">
        <f>'Equity Volume Data'!BH342*'Equity Price Data'!BK343</f>
        <v>10924.77</v>
      </c>
      <c r="BF342" s="30">
        <f>'Equity Volume Data'!BI342*'Equity Price Data'!BL343</f>
        <v>8027.2</v>
      </c>
      <c r="BG342" s="30">
        <f>'Equity Volume Data'!BJ342*'Equity Price Data'!BM343</f>
        <v>34791.7</v>
      </c>
      <c r="BH342" s="30">
        <f>'Equity Volume Data'!BK342*'Equity Price Data'!BN343</f>
        <v>0</v>
      </c>
      <c r="BI342" s="30">
        <f>'Equity Volume Data'!BL342*'Equity Price Data'!BO343</f>
        <v>36136</v>
      </c>
      <c r="BJ342" s="30">
        <f>'Equity Volume Data'!BM342*'Equity Price Data'!BP343</f>
        <v>25597.5</v>
      </c>
      <c r="BK342" s="30">
        <f>'Equity Volume Data'!BN342*'Equity Price Data'!BQ343</f>
        <v>91253.28</v>
      </c>
      <c r="BL342" s="30">
        <f>'Equity Volume Data'!BO342*'Equity Price Data'!BR343</f>
        <v>460.13</v>
      </c>
      <c r="BM342" s="30">
        <f>'Equity Volume Data'!BP342*'Equity Price Data'!BS343</f>
        <v>10415.52</v>
      </c>
      <c r="BN342" s="30">
        <f>'Equity Volume Data'!BQ342*'Equity Price Data'!BT343</f>
        <v>21161.28</v>
      </c>
      <c r="BO342" s="30">
        <f>'Equity Volume Data'!BR342*'Equity Price Data'!BU343</f>
        <v>34410</v>
      </c>
    </row>
    <row r="343">
      <c r="A343" s="25">
        <f>'Equity Price Data'!A344</f>
        <v>45923.66667</v>
      </c>
      <c r="B343" s="29">
        <f t="shared" si="1"/>
        <v>1487579</v>
      </c>
      <c r="C343" s="30">
        <f>'Equity Volume Data'!F343*'Equity Price Data'!I344</f>
        <v>4703.14</v>
      </c>
      <c r="D343" s="30">
        <f>'Equity Volume Data'!G343*'Equity Price Data'!J344</f>
        <v>57384.6</v>
      </c>
      <c r="E343" s="30">
        <f>'Equity Volume Data'!H343*'Equity Price Data'!K344</f>
        <v>15089.8</v>
      </c>
      <c r="F343" s="30">
        <f>'Equity Volume Data'!I343*'Equity Price Data'!L344</f>
        <v>65134.08</v>
      </c>
      <c r="G343" s="30">
        <f>'Equity Volume Data'!J343*'Equity Price Data'!M344</f>
        <v>16672.21</v>
      </c>
      <c r="H343" s="30">
        <f>'Equity Volume Data'!K343*'Equity Price Data'!N344</f>
        <v>20428.08</v>
      </c>
      <c r="I343" s="30">
        <f>'Equity Volume Data'!L343*'Equity Price Data'!O344</f>
        <v>20970</v>
      </c>
      <c r="J343" s="30">
        <f>'Equity Volume Data'!M343*'Equity Price Data'!P344</f>
        <v>50398.2</v>
      </c>
      <c r="K343" s="30">
        <f>'Equity Volume Data'!N343*'Equity Price Data'!Q344</f>
        <v>10658</v>
      </c>
      <c r="L343" s="30">
        <f>'Equity Volume Data'!O343*'Equity Price Data'!R344</f>
        <v>16856.51</v>
      </c>
      <c r="M343" s="30">
        <f>'Equity Volume Data'!P343*'Equity Price Data'!S344</f>
        <v>14262.74</v>
      </c>
      <c r="N343" s="30">
        <f>'Equity Volume Data'!Q343*'Equity Price Data'!T344</f>
        <v>4779.2</v>
      </c>
      <c r="O343" s="30">
        <f>'Equity Volume Data'!R343*'Equity Price Data'!U344</f>
        <v>70689</v>
      </c>
      <c r="P343" s="30">
        <f>'Equity Volume Data'!S343*'Equity Price Data'!V344</f>
        <v>36233.13</v>
      </c>
      <c r="Q343" s="30">
        <f>'Equity Volume Data'!T343*'Equity Price Data'!W344</f>
        <v>24132</v>
      </c>
      <c r="R343" s="30">
        <f>'Equity Volume Data'!U343*'Equity Price Data'!X344</f>
        <v>12593.6</v>
      </c>
      <c r="S343" s="30">
        <f>'Equity Volume Data'!V343*'Equity Price Data'!Y344</f>
        <v>25527.04</v>
      </c>
      <c r="T343" s="30">
        <f>'Equity Volume Data'!W343*'Equity Price Data'!Z344</f>
        <v>13277.5</v>
      </c>
      <c r="U343" s="30">
        <f>'Equity Volume Data'!X343*'Equity Price Data'!AA344</f>
        <v>17611.44</v>
      </c>
      <c r="V343" s="30">
        <f>'Equity Volume Data'!Y343*'Equity Price Data'!AB344</f>
        <v>15866.55</v>
      </c>
      <c r="W343" s="30">
        <f>'Equity Volume Data'!Z343*'Equity Price Data'!AC344</f>
        <v>12014.28</v>
      </c>
      <c r="X343" s="30">
        <f>'Equity Volume Data'!AA343*'Equity Price Data'!AD344</f>
        <v>0</v>
      </c>
      <c r="Y343" s="30">
        <f>'Equity Volume Data'!AB343*'Equity Price Data'!AE344</f>
        <v>5510.57</v>
      </c>
      <c r="Z343" s="30">
        <f>'Equity Volume Data'!AC343*'Equity Price Data'!AF344</f>
        <v>13659</v>
      </c>
      <c r="AA343" s="30">
        <f>'Equity Volume Data'!AD343*'Equity Price Data'!AG344</f>
        <v>19371.5</v>
      </c>
      <c r="AB343" s="30">
        <f>'Equity Volume Data'!AE343*'Equity Price Data'!AH344</f>
        <v>14022</v>
      </c>
      <c r="AC343" s="30">
        <f>'Equity Volume Data'!AF343*'Equity Price Data'!AI344</f>
        <v>19460</v>
      </c>
      <c r="AD343" s="30">
        <f>'Equity Volume Data'!AG343*'Equity Price Data'!AJ344</f>
        <v>14544</v>
      </c>
      <c r="AE343" s="30">
        <f>'Equity Volume Data'!AH343*'Equity Price Data'!AK344</f>
        <v>0</v>
      </c>
      <c r="AF343" s="30">
        <f>'Equity Volume Data'!AI343*'Equity Price Data'!AL344</f>
        <v>23452</v>
      </c>
      <c r="AG343" s="30">
        <f>'Equity Volume Data'!AJ343*'Equity Price Data'!AM344</f>
        <v>48379.2</v>
      </c>
      <c r="AH343" s="30">
        <f>'Equity Volume Data'!AK343*'Equity Price Data'!AN344</f>
        <v>41091</v>
      </c>
      <c r="AI343" s="30">
        <f>'Equity Volume Data'!AL343*'Equity Price Data'!AO344</f>
        <v>24990</v>
      </c>
      <c r="AJ343" s="30">
        <f>'Equity Volume Data'!AM343*'Equity Price Data'!AP344</f>
        <v>21851.7</v>
      </c>
      <c r="AK343" s="30">
        <f>'Equity Volume Data'!AN343*'Equity Price Data'!AQ344</f>
        <v>21044.25</v>
      </c>
      <c r="AL343" s="30">
        <f>'Equity Volume Data'!AO343*'Equity Price Data'!AR344</f>
        <v>50038.4</v>
      </c>
      <c r="AM343" s="30">
        <f>'Equity Volume Data'!AP343*'Equity Price Data'!AS344</f>
        <v>34066.9</v>
      </c>
      <c r="AN343" s="30">
        <f>'Equity Volume Data'!AQ343*'Equity Price Data'!AT344</f>
        <v>0</v>
      </c>
      <c r="AO343" s="30">
        <f>'Equity Volume Data'!AR343*'Equity Price Data'!AU344</f>
        <v>26550.86</v>
      </c>
      <c r="AP343" s="30">
        <f>'Equity Volume Data'!AS343*'Equity Price Data'!AV344</f>
        <v>23740</v>
      </c>
      <c r="AQ343" s="30">
        <f>'Equity Volume Data'!AT343*'Equity Price Data'!AW344</f>
        <v>17670.4</v>
      </c>
      <c r="AR343" s="30">
        <f>'Equity Volume Data'!AU343*'Equity Price Data'!AX344</f>
        <v>31598.1</v>
      </c>
      <c r="AS343" s="30">
        <f>'Equity Volume Data'!AV343*'Equity Price Data'!AY344</f>
        <v>61107.6</v>
      </c>
      <c r="AT343" s="30">
        <f>'Equity Volume Data'!AW343*'Equity Price Data'!AZ344</f>
        <v>14464</v>
      </c>
      <c r="AU343" s="30">
        <f>'Equity Volume Data'!AX343*'Equity Price Data'!BA344</f>
        <v>0</v>
      </c>
      <c r="AV343" s="30">
        <f>'Equity Volume Data'!AY343*'Equity Price Data'!BB344</f>
        <v>25337.06</v>
      </c>
      <c r="AW343" s="30">
        <f>'Equity Volume Data'!AZ343*'Equity Price Data'!BC344</f>
        <v>3564.8</v>
      </c>
      <c r="AX343" s="30">
        <f>'Equity Volume Data'!BA343*'Equity Price Data'!BD344</f>
        <v>0</v>
      </c>
      <c r="AY343" s="30">
        <f>'Equity Volume Data'!BB343*'Equity Price Data'!BE344</f>
        <v>41073.75</v>
      </c>
      <c r="AZ343" s="30">
        <f>'Equity Volume Data'!BC343*'Equity Price Data'!BF344</f>
        <v>10096.5</v>
      </c>
      <c r="BA343" s="30">
        <f>'Equity Volume Data'!BD343*'Equity Price Data'!BG344</f>
        <v>4584.7</v>
      </c>
      <c r="BB343" s="30">
        <f>'Equity Volume Data'!BE343*'Equity Price Data'!BH344</f>
        <v>12843.2</v>
      </c>
      <c r="BC343" s="30">
        <f>'Equity Volume Data'!BF343*'Equity Price Data'!BI344</f>
        <v>14500.88</v>
      </c>
      <c r="BD343" s="30">
        <f>'Equity Volume Data'!BG343*'Equity Price Data'!BJ344</f>
        <v>51011.37</v>
      </c>
      <c r="BE343" s="30">
        <f>'Equity Volume Data'!BH343*'Equity Price Data'!BK344</f>
        <v>10804.25</v>
      </c>
      <c r="BF343" s="30">
        <f>'Equity Volume Data'!BI343*'Equity Price Data'!BL344</f>
        <v>8026.4</v>
      </c>
      <c r="BG343" s="30">
        <f>'Equity Volume Data'!BJ343*'Equity Price Data'!BM344</f>
        <v>33507.34</v>
      </c>
      <c r="BH343" s="30">
        <f>'Equity Volume Data'!BK343*'Equity Price Data'!BN344</f>
        <v>0</v>
      </c>
      <c r="BI343" s="30">
        <f>'Equity Volume Data'!BL343*'Equity Price Data'!BO344</f>
        <v>36476.8</v>
      </c>
      <c r="BJ343" s="30">
        <f>'Equity Volume Data'!BM343*'Equity Price Data'!BP344</f>
        <v>26076.75</v>
      </c>
      <c r="BK343" s="30">
        <f>'Equity Volume Data'!BN343*'Equity Price Data'!BQ344</f>
        <v>91343.38</v>
      </c>
      <c r="BL343" s="30">
        <f>'Equity Volume Data'!BO343*'Equity Price Data'!BR344</f>
        <v>451.2</v>
      </c>
      <c r="BM343" s="30">
        <f>'Equity Volume Data'!BP343*'Equity Price Data'!BS344</f>
        <v>10475.04</v>
      </c>
      <c r="BN343" s="30">
        <f>'Equity Volume Data'!BQ343*'Equity Price Data'!BT344</f>
        <v>21103</v>
      </c>
      <c r="BO343" s="30">
        <f>'Equity Volume Data'!BR343*'Equity Price Data'!BU344</f>
        <v>34410</v>
      </c>
    </row>
    <row r="344">
      <c r="A344" s="25">
        <f>'Equity Price Data'!A345</f>
        <v>45924.66667</v>
      </c>
      <c r="B344" s="29">
        <f t="shared" si="1"/>
        <v>1483908.88</v>
      </c>
      <c r="C344" s="30">
        <f>'Equity Volume Data'!F344*'Equity Price Data'!I345</f>
        <v>4592.51</v>
      </c>
      <c r="D344" s="30">
        <f>'Equity Volume Data'!G344*'Equity Price Data'!J345</f>
        <v>57254.6</v>
      </c>
      <c r="E344" s="30">
        <f>'Equity Volume Data'!H344*'Equity Price Data'!K345</f>
        <v>15089.8</v>
      </c>
      <c r="F344" s="30">
        <f>'Equity Volume Data'!I344*'Equity Price Data'!L345</f>
        <v>64591.36</v>
      </c>
      <c r="G344" s="30">
        <f>'Equity Volume Data'!J344*'Equity Price Data'!M345</f>
        <v>16719.52</v>
      </c>
      <c r="H344" s="30">
        <f>'Equity Volume Data'!K344*'Equity Price Data'!N345</f>
        <v>20324.68</v>
      </c>
      <c r="I344" s="30">
        <f>'Equity Volume Data'!L344*'Equity Price Data'!O345</f>
        <v>20970</v>
      </c>
      <c r="J344" s="30">
        <f>'Equity Volume Data'!M344*'Equity Price Data'!P345</f>
        <v>50703.18</v>
      </c>
      <c r="K344" s="30">
        <f>'Equity Volume Data'!N344*'Equity Price Data'!Q345</f>
        <v>10700</v>
      </c>
      <c r="L344" s="30">
        <f>'Equity Volume Data'!O344*'Equity Price Data'!R345</f>
        <v>16658.07</v>
      </c>
      <c r="M344" s="30">
        <f>'Equity Volume Data'!P344*'Equity Price Data'!S345</f>
        <v>14316.76</v>
      </c>
      <c r="N344" s="30">
        <f>'Equity Volume Data'!Q344*'Equity Price Data'!T345</f>
        <v>4719.2</v>
      </c>
      <c r="O344" s="30">
        <f>'Equity Volume Data'!R344*'Equity Price Data'!U345</f>
        <v>70689</v>
      </c>
      <c r="P344" s="30">
        <f>'Equity Volume Data'!S344*'Equity Price Data'!V345</f>
        <v>36233.13</v>
      </c>
      <c r="Q344" s="30">
        <f>'Equity Volume Data'!T344*'Equity Price Data'!W345</f>
        <v>24132</v>
      </c>
      <c r="R344" s="30">
        <f>'Equity Volume Data'!U344*'Equity Price Data'!X345</f>
        <v>12593.6</v>
      </c>
      <c r="S344" s="30">
        <f>'Equity Volume Data'!V344*'Equity Price Data'!Y345</f>
        <v>25645.84</v>
      </c>
      <c r="T344" s="30">
        <f>'Equity Volume Data'!W344*'Equity Price Data'!Z345</f>
        <v>13287.5</v>
      </c>
      <c r="U344" s="30">
        <f>'Equity Volume Data'!X344*'Equity Price Data'!AA345</f>
        <v>17542.8</v>
      </c>
      <c r="V344" s="30">
        <f>'Equity Volume Data'!Y344*'Equity Price Data'!AB345</f>
        <v>15908.41</v>
      </c>
      <c r="W344" s="30">
        <f>'Equity Volume Data'!Z344*'Equity Price Data'!AC345</f>
        <v>11868</v>
      </c>
      <c r="X344" s="30">
        <f>'Equity Volume Data'!AA344*'Equity Price Data'!AD345</f>
        <v>0</v>
      </c>
      <c r="Y344" s="30">
        <f>'Equity Volume Data'!AB344*'Equity Price Data'!AE345</f>
        <v>5510.57</v>
      </c>
      <c r="Z344" s="30">
        <f>'Equity Volume Data'!AC344*'Equity Price Data'!AF345</f>
        <v>14004</v>
      </c>
      <c r="AA344" s="30">
        <f>'Equity Volume Data'!AD344*'Equity Price Data'!AG345</f>
        <v>19475.2</v>
      </c>
      <c r="AB344" s="30">
        <f>'Equity Volume Data'!AE344*'Equity Price Data'!AH345</f>
        <v>14025</v>
      </c>
      <c r="AC344" s="30">
        <f>'Equity Volume Data'!AF344*'Equity Price Data'!AI345</f>
        <v>19224</v>
      </c>
      <c r="AD344" s="30">
        <f>'Equity Volume Data'!AG344*'Equity Price Data'!AJ345</f>
        <v>14562.9</v>
      </c>
      <c r="AE344" s="30">
        <f>'Equity Volume Data'!AH344*'Equity Price Data'!AK345</f>
        <v>0</v>
      </c>
      <c r="AF344" s="30">
        <f>'Equity Volume Data'!AI344*'Equity Price Data'!AL345</f>
        <v>23302.35</v>
      </c>
      <c r="AG344" s="30">
        <f>'Equity Volume Data'!AJ344*'Equity Price Data'!AM345</f>
        <v>47545.8</v>
      </c>
      <c r="AH344" s="30">
        <f>'Equity Volume Data'!AK344*'Equity Price Data'!AN345</f>
        <v>40977</v>
      </c>
      <c r="AI344" s="30">
        <f>'Equity Volume Data'!AL344*'Equity Price Data'!AO345</f>
        <v>25049.5</v>
      </c>
      <c r="AJ344" s="30">
        <f>'Equity Volume Data'!AM344*'Equity Price Data'!AP345</f>
        <v>21846.5</v>
      </c>
      <c r="AK344" s="30">
        <f>'Equity Volume Data'!AN344*'Equity Price Data'!AQ345</f>
        <v>20867.53</v>
      </c>
      <c r="AL344" s="30">
        <f>'Equity Volume Data'!AO344*'Equity Price Data'!AR345</f>
        <v>50147.2</v>
      </c>
      <c r="AM344" s="30">
        <f>'Equity Volume Data'!AP344*'Equity Price Data'!AS345</f>
        <v>34037.5</v>
      </c>
      <c r="AN344" s="30">
        <f>'Equity Volume Data'!AQ344*'Equity Price Data'!AT345</f>
        <v>0</v>
      </c>
      <c r="AO344" s="30">
        <f>'Equity Volume Data'!AR344*'Equity Price Data'!AU345</f>
        <v>26550.86</v>
      </c>
      <c r="AP344" s="30">
        <f>'Equity Volume Data'!AS344*'Equity Price Data'!AV345</f>
        <v>23935</v>
      </c>
      <c r="AQ344" s="30">
        <f>'Equity Volume Data'!AT344*'Equity Price Data'!AW345</f>
        <v>17670.4</v>
      </c>
      <c r="AR344" s="30">
        <f>'Equity Volume Data'!AU344*'Equity Price Data'!AX345</f>
        <v>30130.29</v>
      </c>
      <c r="AS344" s="30">
        <f>'Equity Volume Data'!AV344*'Equity Price Data'!AY345</f>
        <v>61107.6</v>
      </c>
      <c r="AT344" s="30">
        <f>'Equity Volume Data'!AW344*'Equity Price Data'!AZ345</f>
        <v>14766</v>
      </c>
      <c r="AU344" s="30">
        <f>'Equity Volume Data'!AX344*'Equity Price Data'!BA345</f>
        <v>0</v>
      </c>
      <c r="AV344" s="30">
        <f>'Equity Volume Data'!AY344*'Equity Price Data'!BB345</f>
        <v>25129.74</v>
      </c>
      <c r="AW344" s="30">
        <f>'Equity Volume Data'!AZ344*'Equity Price Data'!BC345</f>
        <v>3549.2</v>
      </c>
      <c r="AX344" s="30">
        <f>'Equity Volume Data'!BA344*'Equity Price Data'!BD345</f>
        <v>0</v>
      </c>
      <c r="AY344" s="30">
        <f>'Equity Volume Data'!BB344*'Equity Price Data'!BE345</f>
        <v>40401</v>
      </c>
      <c r="AZ344" s="30">
        <f>'Equity Volume Data'!BC344*'Equity Price Data'!BF345</f>
        <v>10179</v>
      </c>
      <c r="BA344" s="30">
        <f>'Equity Volume Data'!BD344*'Equity Price Data'!BG345</f>
        <v>4577.1</v>
      </c>
      <c r="BB344" s="30">
        <f>'Equity Volume Data'!BE344*'Equity Price Data'!BH345</f>
        <v>12910.4</v>
      </c>
      <c r="BC344" s="30">
        <f>'Equity Volume Data'!BF344*'Equity Price Data'!BI345</f>
        <v>14500.88</v>
      </c>
      <c r="BD344" s="30">
        <f>'Equity Volume Data'!BG344*'Equity Price Data'!BJ345</f>
        <v>50779.2</v>
      </c>
      <c r="BE344" s="30">
        <f>'Equity Volume Data'!BH344*'Equity Price Data'!BK345</f>
        <v>10764</v>
      </c>
      <c r="BF344" s="30">
        <f>'Equity Volume Data'!BI344*'Equity Price Data'!BL345</f>
        <v>7923.6</v>
      </c>
      <c r="BG344" s="30">
        <f>'Equity Volume Data'!BJ344*'Equity Price Data'!BM345</f>
        <v>32645.54</v>
      </c>
      <c r="BH344" s="30">
        <f>'Equity Volume Data'!BK344*'Equity Price Data'!BN345</f>
        <v>0</v>
      </c>
      <c r="BI344" s="30">
        <f>'Equity Volume Data'!BL344*'Equity Price Data'!BO345</f>
        <v>36857.6</v>
      </c>
      <c r="BJ344" s="30">
        <f>'Equity Volume Data'!BM344*'Equity Price Data'!BP345</f>
        <v>26385.75</v>
      </c>
      <c r="BK344" s="30">
        <f>'Equity Volume Data'!BN344*'Equity Price Data'!BQ345</f>
        <v>91307.34</v>
      </c>
      <c r="BL344" s="30">
        <f>'Equity Volume Data'!BO344*'Equity Price Data'!BR345</f>
        <v>456.37</v>
      </c>
      <c r="BM344" s="30">
        <f>'Equity Volume Data'!BP344*'Equity Price Data'!BS345</f>
        <v>10532.16</v>
      </c>
      <c r="BN344" s="30">
        <f>'Equity Volume Data'!BQ344*'Equity Price Data'!BT345</f>
        <v>21324.84</v>
      </c>
      <c r="BO344" s="30">
        <f>'Equity Volume Data'!BR344*'Equity Price Data'!BU345</f>
        <v>34410</v>
      </c>
    </row>
    <row r="345">
      <c r="A345" s="25">
        <f>'Equity Price Data'!A346</f>
        <v>45925.66667</v>
      </c>
      <c r="B345" s="29">
        <f t="shared" si="1"/>
        <v>1479419.76</v>
      </c>
      <c r="C345" s="30">
        <f>'Equity Volume Data'!F345*'Equity Price Data'!I346</f>
        <v>4604.08</v>
      </c>
      <c r="D345" s="30">
        <f>'Equity Volume Data'!G345*'Equity Price Data'!J346</f>
        <v>56719</v>
      </c>
      <c r="E345" s="30">
        <f>'Equity Volume Data'!H345*'Equity Price Data'!K346</f>
        <v>14861</v>
      </c>
      <c r="F345" s="30">
        <f>'Equity Volume Data'!I345*'Equity Price Data'!L346</f>
        <v>65758.72</v>
      </c>
      <c r="G345" s="30">
        <f>'Equity Volume Data'!J345*'Equity Price Data'!M346</f>
        <v>16566.8</v>
      </c>
      <c r="H345" s="30">
        <f>'Equity Volume Data'!K345*'Equity Price Data'!N346</f>
        <v>20507.04</v>
      </c>
      <c r="I345" s="30">
        <f>'Equity Volume Data'!L345*'Equity Price Data'!O346</f>
        <v>20310</v>
      </c>
      <c r="J345" s="30">
        <f>'Equity Volume Data'!M345*'Equity Price Data'!P346</f>
        <v>50485.92</v>
      </c>
      <c r="K345" s="30">
        <f>'Equity Volume Data'!N345*'Equity Price Data'!Q346</f>
        <v>11138</v>
      </c>
      <c r="L345" s="30">
        <f>'Equity Volume Data'!O345*'Equity Price Data'!R346</f>
        <v>16416.07</v>
      </c>
      <c r="M345" s="30">
        <f>'Equity Volume Data'!P345*'Equity Price Data'!S346</f>
        <v>14328.44</v>
      </c>
      <c r="N345" s="30">
        <f>'Equity Volume Data'!Q345*'Equity Price Data'!T346</f>
        <v>4700</v>
      </c>
      <c r="O345" s="30">
        <f>'Equity Volume Data'!R345*'Equity Price Data'!U346</f>
        <v>69558</v>
      </c>
      <c r="P345" s="30">
        <f>'Equity Volume Data'!S345*'Equity Price Data'!V346</f>
        <v>35720.22</v>
      </c>
      <c r="Q345" s="30">
        <f>'Equity Volume Data'!T345*'Equity Price Data'!W346</f>
        <v>24434.4</v>
      </c>
      <c r="R345" s="30">
        <f>'Equity Volume Data'!U345*'Equity Price Data'!X346</f>
        <v>12857.6</v>
      </c>
      <c r="S345" s="30">
        <f>'Equity Volume Data'!V345*'Equity Price Data'!Y346</f>
        <v>24997.28</v>
      </c>
      <c r="T345" s="30">
        <f>'Equity Volume Data'!W345*'Equity Price Data'!Z346</f>
        <v>13222.5</v>
      </c>
      <c r="U345" s="30">
        <f>'Equity Volume Data'!X345*'Equity Price Data'!AA346</f>
        <v>17418.72</v>
      </c>
      <c r="V345" s="30">
        <f>'Equity Volume Data'!Y345*'Equity Price Data'!AB346</f>
        <v>15834.35</v>
      </c>
      <c r="W345" s="30">
        <f>'Equity Volume Data'!Z345*'Equity Price Data'!AC346</f>
        <v>11823.84</v>
      </c>
      <c r="X345" s="30">
        <f>'Equity Volume Data'!AA345*'Equity Price Data'!AD346</f>
        <v>0</v>
      </c>
      <c r="Y345" s="30">
        <f>'Equity Volume Data'!AB345*'Equity Price Data'!AE346</f>
        <v>5495.75</v>
      </c>
      <c r="Z345" s="30">
        <f>'Equity Volume Data'!AC345*'Equity Price Data'!AF346</f>
        <v>13966.5</v>
      </c>
      <c r="AA345" s="30">
        <f>'Equity Volume Data'!AD345*'Equity Price Data'!AG346</f>
        <v>19650.3</v>
      </c>
      <c r="AB345" s="30">
        <f>'Equity Volume Data'!AE345*'Equity Price Data'!AH346</f>
        <v>14185.2</v>
      </c>
      <c r="AC345" s="30">
        <f>'Equity Volume Data'!AF345*'Equity Price Data'!AI346</f>
        <v>18926.8</v>
      </c>
      <c r="AD345" s="30">
        <f>'Equity Volume Data'!AG345*'Equity Price Data'!AJ346</f>
        <v>14599.35</v>
      </c>
      <c r="AE345" s="30">
        <f>'Equity Volume Data'!AH345*'Equity Price Data'!AK346</f>
        <v>0</v>
      </c>
      <c r="AF345" s="30">
        <f>'Equity Volume Data'!AI345*'Equity Price Data'!AL346</f>
        <v>22752.95</v>
      </c>
      <c r="AG345" s="30">
        <f>'Equity Volume Data'!AJ345*'Equity Price Data'!AM346</f>
        <v>47685.6</v>
      </c>
      <c r="AH345" s="30">
        <f>'Equity Volume Data'!AK345*'Equity Price Data'!AN346</f>
        <v>40745</v>
      </c>
      <c r="AI345" s="30">
        <f>'Equity Volume Data'!AL345*'Equity Price Data'!AO346</f>
        <v>24998.75</v>
      </c>
      <c r="AJ345" s="30">
        <f>'Equity Volume Data'!AM345*'Equity Price Data'!AP346</f>
        <v>21746.4</v>
      </c>
      <c r="AK345" s="30">
        <f>'Equity Volume Data'!AN345*'Equity Price Data'!AQ346</f>
        <v>20591.64</v>
      </c>
      <c r="AL345" s="30">
        <f>'Equity Volume Data'!AO345*'Equity Price Data'!AR346</f>
        <v>50152</v>
      </c>
      <c r="AM345" s="30">
        <f>'Equity Volume Data'!AP345*'Equity Price Data'!AS346</f>
        <v>33903.8</v>
      </c>
      <c r="AN345" s="30">
        <f>'Equity Volume Data'!AQ345*'Equity Price Data'!AT346</f>
        <v>0</v>
      </c>
      <c r="AO345" s="30">
        <f>'Equity Volume Data'!AR345*'Equity Price Data'!AU346</f>
        <v>26192.18</v>
      </c>
      <c r="AP345" s="30">
        <f>'Equity Volume Data'!AS345*'Equity Price Data'!AV346</f>
        <v>23575</v>
      </c>
      <c r="AQ345" s="30">
        <f>'Equity Volume Data'!AT345*'Equity Price Data'!AW346</f>
        <v>17661.6</v>
      </c>
      <c r="AR345" s="30">
        <f>'Equity Volume Data'!AU345*'Equity Price Data'!AX346</f>
        <v>32625.99</v>
      </c>
      <c r="AS345" s="30">
        <f>'Equity Volume Data'!AV345*'Equity Price Data'!AY346</f>
        <v>60843.6</v>
      </c>
      <c r="AT345" s="30">
        <f>'Equity Volume Data'!AW345*'Equity Price Data'!AZ346</f>
        <v>14930</v>
      </c>
      <c r="AU345" s="30">
        <f>'Equity Volume Data'!AX345*'Equity Price Data'!BA346</f>
        <v>0</v>
      </c>
      <c r="AV345" s="30">
        <f>'Equity Volume Data'!AY345*'Equity Price Data'!BB346</f>
        <v>25231.98</v>
      </c>
      <c r="AW345" s="30">
        <f>'Equity Volume Data'!AZ345*'Equity Price Data'!BC346</f>
        <v>3577.6</v>
      </c>
      <c r="AX345" s="30">
        <f>'Equity Volume Data'!BA345*'Equity Price Data'!BD346</f>
        <v>0</v>
      </c>
      <c r="AY345" s="30">
        <f>'Equity Volume Data'!BB345*'Equity Price Data'!BE346</f>
        <v>40302</v>
      </c>
      <c r="AZ345" s="30">
        <f>'Equity Volume Data'!BC345*'Equity Price Data'!BF346</f>
        <v>10011</v>
      </c>
      <c r="BA345" s="30">
        <f>'Equity Volume Data'!BD345*'Equity Price Data'!BG346</f>
        <v>4484</v>
      </c>
      <c r="BB345" s="30">
        <f>'Equity Volume Data'!BE345*'Equity Price Data'!BH346</f>
        <v>12840.8</v>
      </c>
      <c r="BC345" s="30">
        <f>'Equity Volume Data'!BF345*'Equity Price Data'!BI346</f>
        <v>13943.28</v>
      </c>
      <c r="BD345" s="30">
        <f>'Equity Volume Data'!BG345*'Equity Price Data'!BJ346</f>
        <v>50681.22</v>
      </c>
      <c r="BE345" s="30">
        <f>'Equity Volume Data'!BH345*'Equity Price Data'!BK346</f>
        <v>10562.06</v>
      </c>
      <c r="BF345" s="30">
        <f>'Equity Volume Data'!BI345*'Equity Price Data'!BL346</f>
        <v>7891.2</v>
      </c>
      <c r="BG345" s="30">
        <f>'Equity Volume Data'!BJ345*'Equity Price Data'!BM346</f>
        <v>31664.2</v>
      </c>
      <c r="BH345" s="30">
        <f>'Equity Volume Data'!BK345*'Equity Price Data'!BN346</f>
        <v>0</v>
      </c>
      <c r="BI345" s="30">
        <f>'Equity Volume Data'!BL345*'Equity Price Data'!BO346</f>
        <v>37120</v>
      </c>
      <c r="BJ345" s="30">
        <f>'Equity Volume Data'!BM345*'Equity Price Data'!BP346</f>
        <v>25917</v>
      </c>
      <c r="BK345" s="30">
        <f>'Equity Volume Data'!BN345*'Equity Price Data'!BQ346</f>
        <v>91181.2</v>
      </c>
      <c r="BL345" s="30">
        <f>'Equity Volume Data'!BO345*'Equity Price Data'!BR346</f>
        <v>446.03</v>
      </c>
      <c r="BM345" s="30">
        <f>'Equity Volume Data'!BP345*'Equity Price Data'!BS346</f>
        <v>10423.68</v>
      </c>
      <c r="BN345" s="30">
        <f>'Equity Volume Data'!BQ345*'Equity Price Data'!BT346</f>
        <v>21242.12</v>
      </c>
      <c r="BO345" s="30">
        <f>'Equity Volume Data'!BR345*'Equity Price Data'!BU346</f>
        <v>34410</v>
      </c>
    </row>
    <row r="346">
      <c r="A346" s="25">
        <f>'Equity Price Data'!A347</f>
        <v>45926.66667</v>
      </c>
      <c r="B346" s="29">
        <f t="shared" si="1"/>
        <v>1483465.4</v>
      </c>
      <c r="C346" s="30">
        <f>'Equity Volume Data'!F346*'Equity Price Data'!I347</f>
        <v>4684.81</v>
      </c>
      <c r="D346" s="30">
        <f>'Equity Volume Data'!G346*'Equity Price Data'!J347</f>
        <v>57142.8</v>
      </c>
      <c r="E346" s="30">
        <f>'Equity Volume Data'!H346*'Equity Price Data'!K347</f>
        <v>14999.6</v>
      </c>
      <c r="F346" s="30">
        <f>'Equity Volume Data'!I346*'Equity Price Data'!L347</f>
        <v>65397.76</v>
      </c>
      <c r="G346" s="30">
        <f>'Equity Volume Data'!J346*'Equity Price Data'!M347</f>
        <v>16925.36</v>
      </c>
      <c r="H346" s="30">
        <f>'Equity Volume Data'!K346*'Equity Price Data'!N347</f>
        <v>20591.64</v>
      </c>
      <c r="I346" s="30">
        <f>'Equity Volume Data'!L346*'Equity Price Data'!O347</f>
        <v>20600</v>
      </c>
      <c r="J346" s="30">
        <f>'Equity Volume Data'!M346*'Equity Price Data'!P347</f>
        <v>51003.06</v>
      </c>
      <c r="K346" s="30">
        <f>'Equity Volume Data'!N346*'Equity Price Data'!Q347</f>
        <v>10948</v>
      </c>
      <c r="L346" s="30">
        <f>'Equity Volume Data'!O346*'Equity Price Data'!R347</f>
        <v>16621.77</v>
      </c>
      <c r="M346" s="30">
        <f>'Equity Volume Data'!P346*'Equity Price Data'!S347</f>
        <v>14334.28</v>
      </c>
      <c r="N346" s="30">
        <f>'Equity Volume Data'!Q346*'Equity Price Data'!T347</f>
        <v>4707.2</v>
      </c>
      <c r="O346" s="30">
        <f>'Equity Volume Data'!R346*'Equity Price Data'!U347</f>
        <v>69864</v>
      </c>
      <c r="P346" s="30">
        <f>'Equity Volume Data'!S346*'Equity Price Data'!V347</f>
        <v>35686.86</v>
      </c>
      <c r="Q346" s="30">
        <f>'Equity Volume Data'!T346*'Equity Price Data'!W347</f>
        <v>24558</v>
      </c>
      <c r="R346" s="30">
        <f>'Equity Volume Data'!U346*'Equity Price Data'!X347</f>
        <v>12812.8</v>
      </c>
      <c r="S346" s="30">
        <f>'Equity Volume Data'!V346*'Equity Price Data'!Y347</f>
        <v>25182.96</v>
      </c>
      <c r="T346" s="30">
        <f>'Equity Volume Data'!W346*'Equity Price Data'!Z347</f>
        <v>13345</v>
      </c>
      <c r="U346" s="30">
        <f>'Equity Volume Data'!X346*'Equity Price Data'!AA347</f>
        <v>17336.88</v>
      </c>
      <c r="V346" s="30">
        <f>'Equity Volume Data'!Y346*'Equity Price Data'!AB347</f>
        <v>16038.82</v>
      </c>
      <c r="W346" s="30">
        <f>'Equity Volume Data'!Z346*'Equity Price Data'!AC347</f>
        <v>11830.74</v>
      </c>
      <c r="X346" s="30">
        <f>'Equity Volume Data'!AA346*'Equity Price Data'!AD347</f>
        <v>0</v>
      </c>
      <c r="Y346" s="30">
        <f>'Equity Volume Data'!AB346*'Equity Price Data'!AE347</f>
        <v>5664.75</v>
      </c>
      <c r="Z346" s="30">
        <f>'Equity Volume Data'!AC346*'Equity Price Data'!AF347</f>
        <v>13671</v>
      </c>
      <c r="AA346" s="30">
        <f>'Equity Volume Data'!AD346*'Equity Price Data'!AG347</f>
        <v>19927.4</v>
      </c>
      <c r="AB346" s="30">
        <f>'Equity Volume Data'!AE346*'Equity Price Data'!AH347</f>
        <v>14269.2</v>
      </c>
      <c r="AC346" s="30">
        <f>'Equity Volume Data'!AF346*'Equity Price Data'!AI347</f>
        <v>19014.4</v>
      </c>
      <c r="AD346" s="30">
        <f>'Equity Volume Data'!AG346*'Equity Price Data'!AJ347</f>
        <v>14865.3</v>
      </c>
      <c r="AE346" s="30">
        <f>'Equity Volume Data'!AH346*'Equity Price Data'!AK347</f>
        <v>0</v>
      </c>
      <c r="AF346" s="30">
        <f>'Equity Volume Data'!AI346*'Equity Price Data'!AL347</f>
        <v>22980.5</v>
      </c>
      <c r="AG346" s="30">
        <f>'Equity Volume Data'!AJ346*'Equity Price Data'!AM347</f>
        <v>48150.6</v>
      </c>
      <c r="AH346" s="30">
        <f>'Equity Volume Data'!AK346*'Equity Price Data'!AN347</f>
        <v>41009</v>
      </c>
      <c r="AI346" s="30">
        <f>'Equity Volume Data'!AL346*'Equity Price Data'!AO347</f>
        <v>25546.5</v>
      </c>
      <c r="AJ346" s="30">
        <f>'Equity Volume Data'!AM346*'Equity Price Data'!AP347</f>
        <v>21804.9</v>
      </c>
      <c r="AK346" s="30">
        <f>'Equity Volume Data'!AN346*'Equity Price Data'!AQ347</f>
        <v>20732.64</v>
      </c>
      <c r="AL346" s="30">
        <f>'Equity Volume Data'!AO346*'Equity Price Data'!AR347</f>
        <v>50569.6</v>
      </c>
      <c r="AM346" s="30">
        <f>'Equity Volume Data'!AP346*'Equity Price Data'!AS347</f>
        <v>34120.8</v>
      </c>
      <c r="AN346" s="30">
        <f>'Equity Volume Data'!AQ346*'Equity Price Data'!AT347</f>
        <v>0</v>
      </c>
      <c r="AO346" s="30">
        <f>'Equity Volume Data'!AR346*'Equity Price Data'!AU347</f>
        <v>26286.12</v>
      </c>
      <c r="AP346" s="30">
        <f>'Equity Volume Data'!AS346*'Equity Price Data'!AV347</f>
        <v>23555</v>
      </c>
      <c r="AQ346" s="30">
        <f>'Equity Volume Data'!AT346*'Equity Price Data'!AW347</f>
        <v>17956.4</v>
      </c>
      <c r="AR346" s="30">
        <f>'Equity Volume Data'!AU346*'Equity Price Data'!AX347</f>
        <v>29030.49</v>
      </c>
      <c r="AS346" s="30">
        <f>'Equity Volume Data'!AV346*'Equity Price Data'!AY347</f>
        <v>61375.2</v>
      </c>
      <c r="AT346" s="30">
        <f>'Equity Volume Data'!AW346*'Equity Price Data'!AZ347</f>
        <v>15170</v>
      </c>
      <c r="AU346" s="30">
        <f>'Equity Volume Data'!AX346*'Equity Price Data'!BA347</f>
        <v>0</v>
      </c>
      <c r="AV346" s="30">
        <f>'Equity Volume Data'!AY346*'Equity Price Data'!BB347</f>
        <v>25302.98</v>
      </c>
      <c r="AW346" s="30">
        <f>'Equity Volume Data'!AZ346*'Equity Price Data'!BC347</f>
        <v>3615.2</v>
      </c>
      <c r="AX346" s="30">
        <f>'Equity Volume Data'!BA346*'Equity Price Data'!BD347</f>
        <v>0</v>
      </c>
      <c r="AY346" s="30">
        <f>'Equity Volume Data'!BB346*'Equity Price Data'!BE347</f>
        <v>39953.25</v>
      </c>
      <c r="AZ346" s="30">
        <f>'Equity Volume Data'!BC346*'Equity Price Data'!BF347</f>
        <v>10095</v>
      </c>
      <c r="BA346" s="30">
        <f>'Equity Volume Data'!BD346*'Equity Price Data'!BG347</f>
        <v>4514.4</v>
      </c>
      <c r="BB346" s="30">
        <f>'Equity Volume Data'!BE346*'Equity Price Data'!BH347</f>
        <v>13068</v>
      </c>
      <c r="BC346" s="30">
        <f>'Equity Volume Data'!BF346*'Equity Price Data'!BI347</f>
        <v>14405.76</v>
      </c>
      <c r="BD346" s="30">
        <f>'Equity Volume Data'!BG346*'Equity Price Data'!BJ347</f>
        <v>50581.11</v>
      </c>
      <c r="BE346" s="30">
        <f>'Equity Volume Data'!BH346*'Equity Price Data'!BK347</f>
        <v>10677.52</v>
      </c>
      <c r="BF346" s="30">
        <f>'Equity Volume Data'!BI346*'Equity Price Data'!BL347</f>
        <v>7924</v>
      </c>
      <c r="BG346" s="30">
        <f>'Equity Volume Data'!BJ346*'Equity Price Data'!BM347</f>
        <v>31655.86</v>
      </c>
      <c r="BH346" s="30">
        <f>'Equity Volume Data'!BK346*'Equity Price Data'!BN347</f>
        <v>0</v>
      </c>
      <c r="BI346" s="30">
        <f>'Equity Volume Data'!BL346*'Equity Price Data'!BO347</f>
        <v>37632</v>
      </c>
      <c r="BJ346" s="30">
        <f>'Equity Volume Data'!BM346*'Equity Price Data'!BP347</f>
        <v>25806</v>
      </c>
      <c r="BK346" s="30">
        <f>'Equity Volume Data'!BN346*'Equity Price Data'!BQ347</f>
        <v>91235.26</v>
      </c>
      <c r="BL346" s="30">
        <f>'Equity Volume Data'!BO346*'Equity Price Data'!BR347</f>
        <v>447.44</v>
      </c>
      <c r="BM346" s="30">
        <f>'Equity Volume Data'!BP346*'Equity Price Data'!BS347</f>
        <v>10497.12</v>
      </c>
      <c r="BN346" s="30">
        <f>'Equity Volume Data'!BQ346*'Equity Price Data'!BT347</f>
        <v>21332.36</v>
      </c>
      <c r="BO346" s="30">
        <f>'Equity Volume Data'!BR346*'Equity Price Data'!BU347</f>
        <v>34410</v>
      </c>
    </row>
    <row r="347">
      <c r="A347" s="25">
        <f>'Equity Price Data'!A348</f>
        <v>45929.66667</v>
      </c>
      <c r="B347" s="29">
        <f t="shared" si="1"/>
        <v>1486825.91</v>
      </c>
      <c r="C347" s="30">
        <f>'Equity Volume Data'!F347*'Equity Price Data'!I348</f>
        <v>4672.46</v>
      </c>
      <c r="D347" s="30">
        <f>'Equity Volume Data'!G347*'Equity Price Data'!J348</f>
        <v>57764.2</v>
      </c>
      <c r="E347" s="30">
        <f>'Equity Volume Data'!H347*'Equity Price Data'!K348</f>
        <v>15074.4</v>
      </c>
      <c r="F347" s="30">
        <f>'Equity Volume Data'!I347*'Equity Price Data'!L348</f>
        <v>65134.08</v>
      </c>
      <c r="G347" s="30">
        <f>'Equity Volume Data'!J347*'Equity Price Data'!M348</f>
        <v>17010.85</v>
      </c>
      <c r="H347" s="30">
        <f>'Equity Volume Data'!K347*'Equity Price Data'!N348</f>
        <v>20633</v>
      </c>
      <c r="I347" s="30">
        <f>'Equity Volume Data'!L347*'Equity Price Data'!O348</f>
        <v>20630</v>
      </c>
      <c r="J347" s="30">
        <f>'Equity Volume Data'!M347*'Equity Price Data'!P348</f>
        <v>50923.5</v>
      </c>
      <c r="K347" s="30">
        <f>'Equity Volume Data'!N347*'Equity Price Data'!Q348</f>
        <v>11244</v>
      </c>
      <c r="L347" s="30">
        <f>'Equity Volume Data'!O347*'Equity Price Data'!R348</f>
        <v>16760.92</v>
      </c>
      <c r="M347" s="30">
        <f>'Equity Volume Data'!P347*'Equity Price Data'!S348</f>
        <v>14167.84</v>
      </c>
      <c r="N347" s="30">
        <f>'Equity Volume Data'!Q347*'Equity Price Data'!T348</f>
        <v>4730.4</v>
      </c>
      <c r="O347" s="30">
        <f>'Equity Volume Data'!R347*'Equity Price Data'!U348</f>
        <v>70741.5</v>
      </c>
      <c r="P347" s="30">
        <f>'Equity Volume Data'!S347*'Equity Price Data'!V348</f>
        <v>35219.82</v>
      </c>
      <c r="Q347" s="30">
        <f>'Equity Volume Data'!T347*'Equity Price Data'!W348</f>
        <v>24696</v>
      </c>
      <c r="R347" s="30">
        <f>'Equity Volume Data'!U347*'Equity Price Data'!X348</f>
        <v>12488</v>
      </c>
      <c r="S347" s="30">
        <f>'Equity Volume Data'!V347*'Equity Price Data'!Y348</f>
        <v>25224.32</v>
      </c>
      <c r="T347" s="30">
        <f>'Equity Volume Data'!W347*'Equity Price Data'!Z348</f>
        <v>13412.5</v>
      </c>
      <c r="U347" s="30">
        <f>'Equity Volume Data'!X347*'Equity Price Data'!AA348</f>
        <v>17434.56</v>
      </c>
      <c r="V347" s="30">
        <f>'Equity Volume Data'!Y347*'Equity Price Data'!AB348</f>
        <v>16030.77</v>
      </c>
      <c r="W347" s="30">
        <f>'Equity Volume Data'!Z347*'Equity Price Data'!AC348</f>
        <v>11737.59</v>
      </c>
      <c r="X347" s="30">
        <f>'Equity Volume Data'!AA347*'Equity Price Data'!AD348</f>
        <v>0</v>
      </c>
      <c r="Y347" s="30">
        <f>'Equity Volume Data'!AB347*'Equity Price Data'!AE348</f>
        <v>5647.33</v>
      </c>
      <c r="Z347" s="30">
        <f>'Equity Volume Data'!AC347*'Equity Price Data'!AF348</f>
        <v>13675.5</v>
      </c>
      <c r="AA347" s="30">
        <f>'Equity Volume Data'!AD347*'Equity Price Data'!AG348</f>
        <v>19417.4</v>
      </c>
      <c r="AB347" s="30">
        <f>'Equity Volume Data'!AE347*'Equity Price Data'!AH348</f>
        <v>14194.8</v>
      </c>
      <c r="AC347" s="30">
        <f>'Equity Volume Data'!AF347*'Equity Price Data'!AI348</f>
        <v>19281.6</v>
      </c>
      <c r="AD347" s="30">
        <f>'Equity Volume Data'!AG347*'Equity Price Data'!AJ348</f>
        <v>14947.65</v>
      </c>
      <c r="AE347" s="30">
        <f>'Equity Volume Data'!AH347*'Equity Price Data'!AK348</f>
        <v>0</v>
      </c>
      <c r="AF347" s="30">
        <f>'Equity Volume Data'!AI347*'Equity Price Data'!AL348</f>
        <v>23087.1</v>
      </c>
      <c r="AG347" s="30">
        <f>'Equity Volume Data'!AJ347*'Equity Price Data'!AM348</f>
        <v>48247.2</v>
      </c>
      <c r="AH347" s="30">
        <f>'Equity Volume Data'!AK347*'Equity Price Data'!AN348</f>
        <v>40680</v>
      </c>
      <c r="AI347" s="30">
        <f>'Equity Volume Data'!AL347*'Equity Price Data'!AO348</f>
        <v>25375</v>
      </c>
      <c r="AJ347" s="30">
        <f>'Equity Volume Data'!AM347*'Equity Price Data'!AP348</f>
        <v>21838.7</v>
      </c>
      <c r="AK347" s="30">
        <f>'Equity Volume Data'!AN347*'Equity Price Data'!AQ348</f>
        <v>20643.34</v>
      </c>
      <c r="AL347" s="30">
        <f>'Equity Volume Data'!AO347*'Equity Price Data'!AR348</f>
        <v>50510.4</v>
      </c>
      <c r="AM347" s="30">
        <f>'Equity Volume Data'!AP347*'Equity Price Data'!AS348</f>
        <v>34438.6</v>
      </c>
      <c r="AN347" s="30">
        <f>'Equity Volume Data'!AQ347*'Equity Price Data'!AT348</f>
        <v>0</v>
      </c>
      <c r="AO347" s="30">
        <f>'Equity Volume Data'!AR347*'Equity Price Data'!AU348</f>
        <v>26474</v>
      </c>
      <c r="AP347" s="30">
        <f>'Equity Volume Data'!AS347*'Equity Price Data'!AV348</f>
        <v>23492.5</v>
      </c>
      <c r="AQ347" s="30">
        <f>'Equity Volume Data'!AT347*'Equity Price Data'!AW348</f>
        <v>18055.4</v>
      </c>
      <c r="AR347" s="30">
        <f>'Equity Volume Data'!AU347*'Equity Price Data'!AX348</f>
        <v>28840.14</v>
      </c>
      <c r="AS347" s="30">
        <f>'Equity Volume Data'!AV347*'Equity Price Data'!AY348</f>
        <v>61752</v>
      </c>
      <c r="AT347" s="30">
        <f>'Equity Volume Data'!AW347*'Equity Price Data'!AZ348</f>
        <v>15242</v>
      </c>
      <c r="AU347" s="30">
        <f>'Equity Volume Data'!AX347*'Equity Price Data'!BA348</f>
        <v>0</v>
      </c>
      <c r="AV347" s="30">
        <f>'Equity Volume Data'!AY347*'Equity Price Data'!BB348</f>
        <v>25822.7</v>
      </c>
      <c r="AW347" s="30">
        <f>'Equity Volume Data'!AZ347*'Equity Price Data'!BC348</f>
        <v>3651.6</v>
      </c>
      <c r="AX347" s="30">
        <f>'Equity Volume Data'!BA347*'Equity Price Data'!BD348</f>
        <v>0</v>
      </c>
      <c r="AY347" s="30">
        <f>'Equity Volume Data'!BB347*'Equity Price Data'!BE348</f>
        <v>40243.5</v>
      </c>
      <c r="AZ347" s="30">
        <f>'Equity Volume Data'!BC347*'Equity Price Data'!BF348</f>
        <v>10452</v>
      </c>
      <c r="BA347" s="30">
        <f>'Equity Volume Data'!BD347*'Equity Price Data'!BG348</f>
        <v>4531.5</v>
      </c>
      <c r="BB347" s="30">
        <f>'Equity Volume Data'!BE347*'Equity Price Data'!BH348</f>
        <v>13090.4</v>
      </c>
      <c r="BC347" s="30">
        <f>'Equity Volume Data'!BF347*'Equity Price Data'!BI348</f>
        <v>15110.96</v>
      </c>
      <c r="BD347" s="30">
        <f>'Equity Volume Data'!BG347*'Equity Price Data'!BJ348</f>
        <v>50685.48</v>
      </c>
      <c r="BE347" s="30">
        <f>'Equity Volume Data'!BH347*'Equity Price Data'!BK348</f>
        <v>10626.92</v>
      </c>
      <c r="BF347" s="30">
        <f>'Equity Volume Data'!BI347*'Equity Price Data'!BL348</f>
        <v>7857.6</v>
      </c>
      <c r="BG347" s="30">
        <f>'Equity Volume Data'!BJ347*'Equity Price Data'!BM348</f>
        <v>31313.92</v>
      </c>
      <c r="BH347" s="30">
        <f>'Equity Volume Data'!BK347*'Equity Price Data'!BN348</f>
        <v>0</v>
      </c>
      <c r="BI347" s="30">
        <f>'Equity Volume Data'!BL347*'Equity Price Data'!BO348</f>
        <v>37788.8</v>
      </c>
      <c r="BJ347" s="30">
        <f>'Equity Volume Data'!BM347*'Equity Price Data'!BP348</f>
        <v>25888.5</v>
      </c>
      <c r="BK347" s="30">
        <f>'Equity Volume Data'!BN347*'Equity Price Data'!BQ348</f>
        <v>91217.24</v>
      </c>
      <c r="BL347" s="30">
        <f>'Equity Volume Data'!BO347*'Equity Price Data'!BR348</f>
        <v>452.14</v>
      </c>
      <c r="BM347" s="30">
        <f>'Equity Volume Data'!BP347*'Equity Price Data'!BS348</f>
        <v>10532.64</v>
      </c>
      <c r="BN347" s="30">
        <f>'Equity Volume Data'!BQ347*'Equity Price Data'!BT348</f>
        <v>21578.64</v>
      </c>
      <c r="BO347" s="30">
        <f>'Equity Volume Data'!BR347*'Equity Price Data'!BU348</f>
        <v>34410</v>
      </c>
    </row>
    <row r="348">
      <c r="A348" s="25">
        <f>'Equity Price Data'!A349</f>
        <v>45930.66667</v>
      </c>
      <c r="B348" s="29">
        <f t="shared" si="1"/>
        <v>1491086.77</v>
      </c>
      <c r="C348" s="30">
        <f>'Equity Volume Data'!F348*'Equity Price Data'!I349</f>
        <v>4585.75</v>
      </c>
      <c r="D348" s="30">
        <f>'Equity Volume Data'!G348*'Equity Price Data'!J349</f>
        <v>57088.2</v>
      </c>
      <c r="E348" s="30">
        <f>'Equity Volume Data'!H348*'Equity Price Data'!K349</f>
        <v>15310.9</v>
      </c>
      <c r="F348" s="30">
        <f>'Equity Volume Data'!I348*'Equity Price Data'!L349</f>
        <v>65185.28</v>
      </c>
      <c r="G348" s="30">
        <f>'Equity Volume Data'!J348*'Equity Price Data'!M349</f>
        <v>16993.42</v>
      </c>
      <c r="H348" s="30">
        <f>'Equity Volume Data'!K348*'Equity Price Data'!N349</f>
        <v>20484.48</v>
      </c>
      <c r="I348" s="30">
        <f>'Equity Volume Data'!L348*'Equity Price Data'!O349</f>
        <v>20670</v>
      </c>
      <c r="J348" s="30">
        <f>'Equity Volume Data'!M348*'Equity Price Data'!P349</f>
        <v>51279.48</v>
      </c>
      <c r="K348" s="30">
        <f>'Equity Volume Data'!N348*'Equity Price Data'!Q349</f>
        <v>11150</v>
      </c>
      <c r="L348" s="30">
        <f>'Equity Volume Data'!O348*'Equity Price Data'!R349</f>
        <v>16949.68</v>
      </c>
      <c r="M348" s="30">
        <f>'Equity Volume Data'!P348*'Equity Price Data'!S349</f>
        <v>14253.98</v>
      </c>
      <c r="N348" s="30">
        <f>'Equity Volume Data'!Q348*'Equity Price Data'!T349</f>
        <v>4776</v>
      </c>
      <c r="O348" s="30">
        <f>'Equity Volume Data'!R348*'Equity Price Data'!U349</f>
        <v>71572.5</v>
      </c>
      <c r="P348" s="30">
        <f>'Equity Volume Data'!S348*'Equity Price Data'!V349</f>
        <v>34969.62</v>
      </c>
      <c r="Q348" s="30">
        <f>'Equity Volume Data'!T348*'Equity Price Data'!W349</f>
        <v>24829.2</v>
      </c>
      <c r="R348" s="30">
        <f>'Equity Volume Data'!U348*'Equity Price Data'!X349</f>
        <v>12423.2</v>
      </c>
      <c r="S348" s="30">
        <f>'Equity Volume Data'!V348*'Equity Price Data'!Y349</f>
        <v>25366</v>
      </c>
      <c r="T348" s="30">
        <f>'Equity Volume Data'!W348*'Equity Price Data'!Z349</f>
        <v>13290</v>
      </c>
      <c r="U348" s="30">
        <f>'Equity Volume Data'!X348*'Equity Price Data'!AA349</f>
        <v>17508.48</v>
      </c>
      <c r="V348" s="30">
        <f>'Equity Volume Data'!Y348*'Equity Price Data'!AB349</f>
        <v>16183.72</v>
      </c>
      <c r="W348" s="30">
        <f>'Equity Volume Data'!Z348*'Equity Price Data'!AC349</f>
        <v>11928.72</v>
      </c>
      <c r="X348" s="30">
        <f>'Equity Volume Data'!AA348*'Equity Price Data'!AD349</f>
        <v>0</v>
      </c>
      <c r="Y348" s="30">
        <f>'Equity Volume Data'!AB348*'Equity Price Data'!AE349</f>
        <v>5612.23</v>
      </c>
      <c r="Z348" s="30">
        <f>'Equity Volume Data'!AC348*'Equity Price Data'!AF349</f>
        <v>13642.5</v>
      </c>
      <c r="AA348" s="30">
        <f>'Equity Volume Data'!AD348*'Equity Price Data'!AG349</f>
        <v>19167.5</v>
      </c>
      <c r="AB348" s="30">
        <f>'Equity Volume Data'!AE348*'Equity Price Data'!AH349</f>
        <v>14148.6</v>
      </c>
      <c r="AC348" s="30">
        <f>'Equity Volume Data'!AF348*'Equity Price Data'!AI349</f>
        <v>19408.8</v>
      </c>
      <c r="AD348" s="30">
        <f>'Equity Volume Data'!AG348*'Equity Price Data'!AJ349</f>
        <v>15345</v>
      </c>
      <c r="AE348" s="30">
        <f>'Equity Volume Data'!AH348*'Equity Price Data'!AK349</f>
        <v>0</v>
      </c>
      <c r="AF348" s="30">
        <f>'Equity Volume Data'!AI348*'Equity Price Data'!AL349</f>
        <v>22755</v>
      </c>
      <c r="AG348" s="30">
        <f>'Equity Volume Data'!AJ348*'Equity Price Data'!AM349</f>
        <v>47781</v>
      </c>
      <c r="AH348" s="30">
        <f>'Equity Volume Data'!AK348*'Equity Price Data'!AN349</f>
        <v>40519</v>
      </c>
      <c r="AI348" s="30">
        <f>'Equity Volume Data'!AL348*'Equity Price Data'!AO349</f>
        <v>25684.75</v>
      </c>
      <c r="AJ348" s="30">
        <f>'Equity Volume Data'!AM348*'Equity Price Data'!AP349</f>
        <v>21902.4</v>
      </c>
      <c r="AK348" s="30">
        <f>'Equity Volume Data'!AN348*'Equity Price Data'!AQ349</f>
        <v>21019.81</v>
      </c>
      <c r="AL348" s="30">
        <f>'Equity Volume Data'!AO348*'Equity Price Data'!AR349</f>
        <v>50468.8</v>
      </c>
      <c r="AM348" s="30">
        <f>'Equity Volume Data'!AP348*'Equity Price Data'!AS349</f>
        <v>34944.7</v>
      </c>
      <c r="AN348" s="30">
        <f>'Equity Volume Data'!AQ348*'Equity Price Data'!AT349</f>
        <v>0</v>
      </c>
      <c r="AO348" s="30">
        <f>'Equity Volume Data'!AR348*'Equity Price Data'!AU349</f>
        <v>26602.1</v>
      </c>
      <c r="AP348" s="30">
        <f>'Equity Volume Data'!AS348*'Equity Price Data'!AV349</f>
        <v>23810</v>
      </c>
      <c r="AQ348" s="30">
        <f>'Equity Volume Data'!AT348*'Equity Price Data'!AW349</f>
        <v>18121.4</v>
      </c>
      <c r="AR348" s="30">
        <f>'Equity Volume Data'!AU348*'Equity Price Data'!AX349</f>
        <v>28370.61</v>
      </c>
      <c r="AS348" s="30">
        <f>'Equity Volume Data'!AV348*'Equity Price Data'!AY349</f>
        <v>62154</v>
      </c>
      <c r="AT348" s="30">
        <f>'Equity Volume Data'!AW348*'Equity Price Data'!AZ349</f>
        <v>15098</v>
      </c>
      <c r="AU348" s="30">
        <f>'Equity Volume Data'!AX348*'Equity Price Data'!BA349</f>
        <v>0</v>
      </c>
      <c r="AV348" s="30">
        <f>'Equity Volume Data'!AY348*'Equity Price Data'!BB349</f>
        <v>26494.36</v>
      </c>
      <c r="AW348" s="30">
        <f>'Equity Volume Data'!AZ348*'Equity Price Data'!BC349</f>
        <v>3657.2</v>
      </c>
      <c r="AX348" s="30">
        <f>'Equity Volume Data'!BA348*'Equity Price Data'!BD349</f>
        <v>0</v>
      </c>
      <c r="AY348" s="30">
        <f>'Equity Volume Data'!BB348*'Equity Price Data'!BE349</f>
        <v>41044.5</v>
      </c>
      <c r="AZ348" s="30">
        <f>'Equity Volume Data'!BC348*'Equity Price Data'!BF349</f>
        <v>10059</v>
      </c>
      <c r="BA348" s="30">
        <f>'Equity Volume Data'!BD348*'Equity Price Data'!BG349</f>
        <v>4841.2</v>
      </c>
      <c r="BB348" s="30">
        <f>'Equity Volume Data'!BE348*'Equity Price Data'!BH349</f>
        <v>13386.4</v>
      </c>
      <c r="BC348" s="30">
        <f>'Equity Volume Data'!BF348*'Equity Price Data'!BI349</f>
        <v>15317.6</v>
      </c>
      <c r="BD348" s="30">
        <f>'Equity Volume Data'!BG348*'Equity Price Data'!BJ349</f>
        <v>50987.94</v>
      </c>
      <c r="BE348" s="30">
        <f>'Equity Volume Data'!BH348*'Equity Price Data'!BK349</f>
        <v>11155.46</v>
      </c>
      <c r="BF348" s="30">
        <f>'Equity Volume Data'!BI348*'Equity Price Data'!BL349</f>
        <v>7643.6</v>
      </c>
      <c r="BG348" s="30">
        <f>'Equity Volume Data'!BJ348*'Equity Price Data'!BM349</f>
        <v>31191.6</v>
      </c>
      <c r="BH348" s="30">
        <f>'Equity Volume Data'!BK348*'Equity Price Data'!BN349</f>
        <v>0</v>
      </c>
      <c r="BI348" s="30">
        <f>'Equity Volume Data'!BL348*'Equity Price Data'!BO349</f>
        <v>37819.2</v>
      </c>
      <c r="BJ348" s="30">
        <f>'Equity Volume Data'!BM348*'Equity Price Data'!BP349</f>
        <v>25897.5</v>
      </c>
      <c r="BK348" s="30">
        <f>'Equity Volume Data'!BN348*'Equity Price Data'!BQ349</f>
        <v>91235.26</v>
      </c>
      <c r="BL348" s="30">
        <f>'Equity Volume Data'!BO348*'Equity Price Data'!BR349</f>
        <v>465.3</v>
      </c>
      <c r="BM348" s="30">
        <f>'Equity Volume Data'!BP348*'Equity Price Data'!BS349</f>
        <v>10599.84</v>
      </c>
      <c r="BN348" s="30">
        <f>'Equity Volume Data'!BQ348*'Equity Price Data'!BT349</f>
        <v>21526</v>
      </c>
      <c r="BO348" s="30">
        <f>'Equity Volume Data'!BR348*'Equity Price Data'!BU349</f>
        <v>34410</v>
      </c>
    </row>
    <row r="349">
      <c r="A349" s="25">
        <f>'Equity Price Data'!A350</f>
        <v>45931.66667</v>
      </c>
      <c r="B349" s="29">
        <f t="shared" si="1"/>
        <v>1476408.23</v>
      </c>
      <c r="C349" s="30">
        <f>'Equity Volume Data'!F349*'Equity Price Data'!I350</f>
        <v>4468.36</v>
      </c>
      <c r="D349" s="30">
        <f>'Equity Volume Data'!G349*'Equity Price Data'!J350</f>
        <v>57363.8</v>
      </c>
      <c r="E349" s="30">
        <f>'Equity Volume Data'!H349*'Equity Price Data'!K350</f>
        <v>14967.7</v>
      </c>
      <c r="F349" s="30">
        <f>'Equity Volume Data'!I349*'Equity Price Data'!L350</f>
        <v>65395.2</v>
      </c>
      <c r="G349" s="30">
        <f>'Equity Volume Data'!J349*'Equity Price Data'!M350</f>
        <v>18072.42</v>
      </c>
      <c r="H349" s="30">
        <f>'Equity Volume Data'!K349*'Equity Price Data'!N350</f>
        <v>20084.04</v>
      </c>
      <c r="I349" s="30">
        <f>'Equity Volume Data'!L349*'Equity Price Data'!O350</f>
        <v>20600</v>
      </c>
      <c r="J349" s="30">
        <f>'Equity Volume Data'!M349*'Equity Price Data'!P350</f>
        <v>50816.4</v>
      </c>
      <c r="K349" s="30">
        <f>'Equity Volume Data'!N349*'Equity Price Data'!Q350</f>
        <v>11150</v>
      </c>
      <c r="L349" s="30">
        <f>'Equity Volume Data'!O349*'Equity Price Data'!R350</f>
        <v>18660.62</v>
      </c>
      <c r="M349" s="30">
        <f>'Equity Volume Data'!P349*'Equity Price Data'!S350</f>
        <v>13994.1</v>
      </c>
      <c r="N349" s="30">
        <f>'Equity Volume Data'!Q349*'Equity Price Data'!T350</f>
        <v>4756.8</v>
      </c>
      <c r="O349" s="30">
        <f>'Equity Volume Data'!R349*'Equity Price Data'!U350</f>
        <v>72123</v>
      </c>
      <c r="P349" s="30">
        <f>'Equity Volume Data'!S349*'Equity Price Data'!V350</f>
        <v>34815.33</v>
      </c>
      <c r="Q349" s="30">
        <f>'Equity Volume Data'!T349*'Equity Price Data'!W350</f>
        <v>24495.6</v>
      </c>
      <c r="R349" s="30">
        <f>'Equity Volume Data'!U349*'Equity Price Data'!X350</f>
        <v>12366.4</v>
      </c>
      <c r="S349" s="30">
        <f>'Equity Volume Data'!V349*'Equity Price Data'!Y350</f>
        <v>25665.2</v>
      </c>
      <c r="T349" s="30">
        <f>'Equity Volume Data'!W349*'Equity Price Data'!Z350</f>
        <v>13185</v>
      </c>
      <c r="U349" s="30">
        <f>'Equity Volume Data'!X349*'Equity Price Data'!AA350</f>
        <v>17629.92</v>
      </c>
      <c r="V349" s="30">
        <f>'Equity Volume Data'!Y349*'Equity Price Data'!AB350</f>
        <v>15805.37</v>
      </c>
      <c r="W349" s="30">
        <f>'Equity Volume Data'!Z349*'Equity Price Data'!AC350</f>
        <v>11830.05</v>
      </c>
      <c r="X349" s="30">
        <f>'Equity Volume Data'!AA349*'Equity Price Data'!AD350</f>
        <v>0</v>
      </c>
      <c r="Y349" s="30">
        <f>'Equity Volume Data'!AB349*'Equity Price Data'!AE350</f>
        <v>5566.08</v>
      </c>
      <c r="Z349" s="30">
        <f>'Equity Volume Data'!AC349*'Equity Price Data'!AF350</f>
        <v>13137</v>
      </c>
      <c r="AA349" s="30">
        <f>'Equity Volume Data'!AD349*'Equity Price Data'!AG350</f>
        <v>19038.3</v>
      </c>
      <c r="AB349" s="30">
        <f>'Equity Volume Data'!AE349*'Equity Price Data'!AH350</f>
        <v>14373</v>
      </c>
      <c r="AC349" s="30">
        <f>'Equity Volume Data'!AF349*'Equity Price Data'!AI350</f>
        <v>19609.6</v>
      </c>
      <c r="AD349" s="30">
        <f>'Equity Volume Data'!AG349*'Equity Price Data'!AJ350</f>
        <v>15333.75</v>
      </c>
      <c r="AE349" s="30">
        <f>'Equity Volume Data'!AH349*'Equity Price Data'!AK350</f>
        <v>0</v>
      </c>
      <c r="AF349" s="30">
        <f>'Equity Volume Data'!AI349*'Equity Price Data'!AL350</f>
        <v>22785.75</v>
      </c>
      <c r="AG349" s="30">
        <f>'Equity Volume Data'!AJ349*'Equity Price Data'!AM350</f>
        <v>47130.6</v>
      </c>
      <c r="AH349" s="30">
        <f>'Equity Volume Data'!AK349*'Equity Price Data'!AN350</f>
        <v>39702</v>
      </c>
      <c r="AI349" s="30">
        <f>'Equity Volume Data'!AL349*'Equity Price Data'!AO350</f>
        <v>25833.5</v>
      </c>
      <c r="AJ349" s="30">
        <f>'Equity Volume Data'!AM349*'Equity Price Data'!AP350</f>
        <v>21143.2</v>
      </c>
      <c r="AK349" s="30">
        <f>'Equity Volume Data'!AN349*'Equity Price Data'!AQ350</f>
        <v>20587.88</v>
      </c>
      <c r="AL349" s="30">
        <f>'Equity Volume Data'!AO349*'Equity Price Data'!AR350</f>
        <v>49713.6</v>
      </c>
      <c r="AM349" s="30">
        <f>'Equity Volume Data'!AP349*'Equity Price Data'!AS350</f>
        <v>34930</v>
      </c>
      <c r="AN349" s="30">
        <f>'Equity Volume Data'!AQ349*'Equity Price Data'!AT350</f>
        <v>0</v>
      </c>
      <c r="AO349" s="30">
        <f>'Equity Volume Data'!AR349*'Equity Price Data'!AU350</f>
        <v>26858.3</v>
      </c>
      <c r="AP349" s="30">
        <f>'Equity Volume Data'!AS349*'Equity Price Data'!AV350</f>
        <v>23702.5</v>
      </c>
      <c r="AQ349" s="30">
        <f>'Equity Volume Data'!AT349*'Equity Price Data'!AW350</f>
        <v>18024.6</v>
      </c>
      <c r="AR349" s="30">
        <f>'Equity Volume Data'!AU349*'Equity Price Data'!AX350</f>
        <v>15081.49</v>
      </c>
      <c r="AS349" s="30">
        <f>'Equity Volume Data'!AV349*'Equity Price Data'!AY350</f>
        <v>62365.2</v>
      </c>
      <c r="AT349" s="30">
        <f>'Equity Volume Data'!AW349*'Equity Price Data'!AZ350</f>
        <v>15734</v>
      </c>
      <c r="AU349" s="30">
        <f>'Equity Volume Data'!AX349*'Equity Price Data'!BA350</f>
        <v>0</v>
      </c>
      <c r="AV349" s="30">
        <f>'Equity Volume Data'!AY349*'Equity Price Data'!BB350</f>
        <v>26588.08</v>
      </c>
      <c r="AW349" s="30">
        <f>'Equity Volume Data'!AZ349*'Equity Price Data'!BC350</f>
        <v>3694.4</v>
      </c>
      <c r="AX349" s="30">
        <f>'Equity Volume Data'!BA349*'Equity Price Data'!BD350</f>
        <v>0</v>
      </c>
      <c r="AY349" s="30">
        <f>'Equity Volume Data'!BB349*'Equity Price Data'!BE350</f>
        <v>41613.75</v>
      </c>
      <c r="AZ349" s="30">
        <f>'Equity Volume Data'!BC349*'Equity Price Data'!BF350</f>
        <v>9999</v>
      </c>
      <c r="BA349" s="30">
        <f>'Equity Volume Data'!BD349*'Equity Price Data'!BG350</f>
        <v>5169.9</v>
      </c>
      <c r="BB349" s="30">
        <f>'Equity Volume Data'!BE349*'Equity Price Data'!BH350</f>
        <v>13376</v>
      </c>
      <c r="BC349" s="30">
        <f>'Equity Volume Data'!BF349*'Equity Price Data'!BI350</f>
        <v>15042.08</v>
      </c>
      <c r="BD349" s="30">
        <f>'Equity Volume Data'!BG349*'Equity Price Data'!BJ350</f>
        <v>49684.38</v>
      </c>
      <c r="BE349" s="30">
        <f>'Equity Volume Data'!BH349*'Equity Price Data'!BK350</f>
        <v>12206.79</v>
      </c>
      <c r="BF349" s="30">
        <f>'Equity Volume Data'!BI349*'Equity Price Data'!BL350</f>
        <v>7673.2</v>
      </c>
      <c r="BG349" s="30">
        <f>'Equity Volume Data'!BJ349*'Equity Price Data'!BM350</f>
        <v>31939.42</v>
      </c>
      <c r="BH349" s="30">
        <f>'Equity Volume Data'!BK349*'Equity Price Data'!BN350</f>
        <v>0</v>
      </c>
      <c r="BI349" s="30">
        <f>'Equity Volume Data'!BL349*'Equity Price Data'!BO350</f>
        <v>37558.4</v>
      </c>
      <c r="BJ349" s="30">
        <f>'Equity Volume Data'!BM349*'Equity Price Data'!BP350</f>
        <v>26122.5</v>
      </c>
      <c r="BK349" s="30">
        <f>'Equity Volume Data'!BN349*'Equity Price Data'!BQ350</f>
        <v>90172.08</v>
      </c>
      <c r="BL349" s="30">
        <f>'Equity Volume Data'!BO349*'Equity Price Data'!BR350</f>
        <v>474.23</v>
      </c>
      <c r="BM349" s="30">
        <f>'Equity Volume Data'!BP349*'Equity Price Data'!BS350</f>
        <v>10553.76</v>
      </c>
      <c r="BN349" s="30">
        <f>'Equity Volume Data'!BQ349*'Equity Price Data'!BT350</f>
        <v>21234.6</v>
      </c>
      <c r="BO349" s="30">
        <f>'Equity Volume Data'!BR349*'Equity Price Data'!BU350</f>
        <v>34410</v>
      </c>
    </row>
    <row r="350">
      <c r="A350" s="25">
        <f>'Equity Price Data'!A351</f>
        <v>45932.66667</v>
      </c>
      <c r="B350" s="29">
        <f t="shared" si="1"/>
        <v>1480062.75</v>
      </c>
      <c r="C350" s="30">
        <f>'Equity Volume Data'!F350*'Equity Price Data'!I351</f>
        <v>4569.24</v>
      </c>
      <c r="D350" s="30">
        <f>'Equity Volume Data'!G350*'Equity Price Data'!J351</f>
        <v>57826.6</v>
      </c>
      <c r="E350" s="30">
        <f>'Equity Volume Data'!H350*'Equity Price Data'!K351</f>
        <v>14914.9</v>
      </c>
      <c r="F350" s="30">
        <f>'Equity Volume Data'!I350*'Equity Price Data'!L351</f>
        <v>65825.28</v>
      </c>
      <c r="G350" s="30">
        <f>'Equity Volume Data'!J350*'Equity Price Data'!M351</f>
        <v>18557.97</v>
      </c>
      <c r="H350" s="30">
        <f>'Equity Volume Data'!K350*'Equity Price Data'!N351</f>
        <v>19999.44</v>
      </c>
      <c r="I350" s="30">
        <f>'Equity Volume Data'!L350*'Equity Price Data'!O351</f>
        <v>20630</v>
      </c>
      <c r="J350" s="30">
        <f>'Equity Volume Data'!M350*'Equity Price Data'!P351</f>
        <v>50583.84</v>
      </c>
      <c r="K350" s="30">
        <f>'Equity Volume Data'!N350*'Equity Price Data'!Q351</f>
        <v>11100</v>
      </c>
      <c r="L350" s="30">
        <f>'Equity Volume Data'!O350*'Equity Price Data'!R351</f>
        <v>18785.25</v>
      </c>
      <c r="M350" s="30">
        <f>'Equity Volume Data'!P350*'Equity Price Data'!S351</f>
        <v>14048.12</v>
      </c>
      <c r="N350" s="30">
        <f>'Equity Volume Data'!Q350*'Equity Price Data'!T351</f>
        <v>4712</v>
      </c>
      <c r="O350" s="30">
        <f>'Equity Volume Data'!R350*'Equity Price Data'!U351</f>
        <v>73585.5</v>
      </c>
      <c r="P350" s="30">
        <f>'Equity Volume Data'!S350*'Equity Price Data'!V351</f>
        <v>35111.4</v>
      </c>
      <c r="Q350" s="30">
        <f>'Equity Volume Data'!T350*'Equity Price Data'!W351</f>
        <v>24596.4</v>
      </c>
      <c r="R350" s="30">
        <f>'Equity Volume Data'!U350*'Equity Price Data'!X351</f>
        <v>12269.6</v>
      </c>
      <c r="S350" s="30">
        <f>'Equity Volume Data'!V350*'Equity Price Data'!Y351</f>
        <v>26134.24</v>
      </c>
      <c r="T350" s="30">
        <f>'Equity Volume Data'!W350*'Equity Price Data'!Z351</f>
        <v>13245</v>
      </c>
      <c r="U350" s="30">
        <f>'Equity Volume Data'!X350*'Equity Price Data'!AA351</f>
        <v>17450.4</v>
      </c>
      <c r="V350" s="30">
        <f>'Equity Volume Data'!Y350*'Equity Price Data'!AB351</f>
        <v>15720.04</v>
      </c>
      <c r="W350" s="30">
        <f>'Equity Volume Data'!Z350*'Equity Price Data'!AC351</f>
        <v>11988.75</v>
      </c>
      <c r="X350" s="30">
        <f>'Equity Volume Data'!AA350*'Equity Price Data'!AD351</f>
        <v>0</v>
      </c>
      <c r="Y350" s="30">
        <f>'Equity Volume Data'!AB350*'Equity Price Data'!AE351</f>
        <v>5606.12</v>
      </c>
      <c r="Z350" s="30">
        <f>'Equity Volume Data'!AC350*'Equity Price Data'!AF351</f>
        <v>13260</v>
      </c>
      <c r="AA350" s="30">
        <f>'Equity Volume Data'!AD350*'Equity Price Data'!AG351</f>
        <v>18919.3</v>
      </c>
      <c r="AB350" s="30">
        <f>'Equity Volume Data'!AE350*'Equity Price Data'!AH351</f>
        <v>14539.2</v>
      </c>
      <c r="AC350" s="30">
        <f>'Equity Volume Data'!AF350*'Equity Price Data'!AI351</f>
        <v>20163.6</v>
      </c>
      <c r="AD350" s="30">
        <f>'Equity Volume Data'!AG350*'Equity Price Data'!AJ351</f>
        <v>15347.25</v>
      </c>
      <c r="AE350" s="30">
        <f>'Equity Volume Data'!AH350*'Equity Price Data'!AK351</f>
        <v>0</v>
      </c>
      <c r="AF350" s="30">
        <f>'Equity Volume Data'!AI350*'Equity Price Data'!AL351</f>
        <v>22664.8</v>
      </c>
      <c r="AG350" s="30">
        <f>'Equity Volume Data'!AJ350*'Equity Price Data'!AM351</f>
        <v>46762.8</v>
      </c>
      <c r="AH350" s="30">
        <f>'Equity Volume Data'!AK350*'Equity Price Data'!AN351</f>
        <v>39501</v>
      </c>
      <c r="AI350" s="30">
        <f>'Equity Volume Data'!AL350*'Equity Price Data'!AO351</f>
        <v>25826.5</v>
      </c>
      <c r="AJ350" s="30">
        <f>'Equity Volume Data'!AM350*'Equity Price Data'!AP351</f>
        <v>20927.4</v>
      </c>
      <c r="AK350" s="30">
        <f>'Equity Volume Data'!AN350*'Equity Price Data'!AQ351</f>
        <v>20821.47</v>
      </c>
      <c r="AL350" s="30">
        <f>'Equity Volume Data'!AO350*'Equity Price Data'!AR351</f>
        <v>49208</v>
      </c>
      <c r="AM350" s="30">
        <f>'Equity Volume Data'!AP350*'Equity Price Data'!AS351</f>
        <v>34955.2</v>
      </c>
      <c r="AN350" s="30">
        <f>'Equity Volume Data'!AQ350*'Equity Price Data'!AT351</f>
        <v>0</v>
      </c>
      <c r="AO350" s="30">
        <f>'Equity Volume Data'!AR350*'Equity Price Data'!AU351</f>
        <v>26824.14</v>
      </c>
      <c r="AP350" s="30">
        <f>'Equity Volume Data'!AS350*'Equity Price Data'!AV351</f>
        <v>23870</v>
      </c>
      <c r="AQ350" s="30">
        <f>'Equity Volume Data'!AT350*'Equity Price Data'!AW351</f>
        <v>17892.6</v>
      </c>
      <c r="AR350" s="30">
        <f>'Equity Volume Data'!AU350*'Equity Price Data'!AX351</f>
        <v>15824.08</v>
      </c>
      <c r="AS350" s="30">
        <f>'Equity Volume Data'!AV350*'Equity Price Data'!AY351</f>
        <v>61888.8</v>
      </c>
      <c r="AT350" s="30">
        <f>'Equity Volume Data'!AW350*'Equity Price Data'!AZ351</f>
        <v>15636</v>
      </c>
      <c r="AU350" s="30">
        <f>'Equity Volume Data'!AX350*'Equity Price Data'!BA351</f>
        <v>0</v>
      </c>
      <c r="AV350" s="30">
        <f>'Equity Volume Data'!AY350*'Equity Price Data'!BB351</f>
        <v>26822.38</v>
      </c>
      <c r="AW350" s="30">
        <f>'Equity Volume Data'!AZ350*'Equity Price Data'!BC351</f>
        <v>3689.6</v>
      </c>
      <c r="AX350" s="30">
        <f>'Equity Volume Data'!BA350*'Equity Price Data'!BD351</f>
        <v>0</v>
      </c>
      <c r="AY350" s="30">
        <f>'Equity Volume Data'!BB350*'Equity Price Data'!BE351</f>
        <v>42086.25</v>
      </c>
      <c r="AZ350" s="30">
        <f>'Equity Volume Data'!BC350*'Equity Price Data'!BF351</f>
        <v>10339.5</v>
      </c>
      <c r="BA350" s="30">
        <f>'Equity Volume Data'!BD350*'Equity Price Data'!BG351</f>
        <v>5145.2</v>
      </c>
      <c r="BB350" s="30">
        <f>'Equity Volume Data'!BE350*'Equity Price Data'!BH351</f>
        <v>13330.4</v>
      </c>
      <c r="BC350" s="30">
        <f>'Equity Volume Data'!BF350*'Equity Price Data'!BI351</f>
        <v>14989.6</v>
      </c>
      <c r="BD350" s="30">
        <f>'Equity Volume Data'!BG350*'Equity Price Data'!BJ351</f>
        <v>49019.82</v>
      </c>
      <c r="BE350" s="30">
        <f>'Equity Volume Data'!BH350*'Equity Price Data'!BK351</f>
        <v>12074.08</v>
      </c>
      <c r="BF350" s="30">
        <f>'Equity Volume Data'!BI350*'Equity Price Data'!BL351</f>
        <v>7620.8</v>
      </c>
      <c r="BG350" s="30">
        <f>'Equity Volume Data'!BJ350*'Equity Price Data'!BM351</f>
        <v>32267.46</v>
      </c>
      <c r="BH350" s="30">
        <f>'Equity Volume Data'!BK350*'Equity Price Data'!BN351</f>
        <v>0</v>
      </c>
      <c r="BI350" s="30">
        <f>'Equity Volume Data'!BL350*'Equity Price Data'!BO351</f>
        <v>37523.2</v>
      </c>
      <c r="BJ350" s="30">
        <f>'Equity Volume Data'!BM350*'Equity Price Data'!BP351</f>
        <v>26529</v>
      </c>
      <c r="BK350" s="30">
        <f>'Equity Volume Data'!BN350*'Equity Price Data'!BQ351</f>
        <v>90154.06</v>
      </c>
      <c r="BL350" s="30">
        <f>'Equity Volume Data'!BO350*'Equity Price Data'!BR351</f>
        <v>475.17</v>
      </c>
      <c r="BM350" s="30">
        <f>'Equity Volume Data'!BP350*'Equity Price Data'!BS351</f>
        <v>10411.68</v>
      </c>
      <c r="BN350" s="30">
        <f>'Equity Volume Data'!BQ350*'Equity Price Data'!BT351</f>
        <v>21082.32</v>
      </c>
      <c r="BO350" s="30">
        <f>'Equity Volume Data'!BR350*'Equity Price Data'!BU351</f>
        <v>34410</v>
      </c>
    </row>
    <row r="351">
      <c r="A351" s="25">
        <f>'Equity Price Data'!A352</f>
        <v>45933.66667</v>
      </c>
      <c r="B351" s="29">
        <f t="shared" si="1"/>
        <v>1487747.36</v>
      </c>
      <c r="C351" s="30">
        <f>'Equity Volume Data'!F351*'Equity Price Data'!I352</f>
        <v>4507.62</v>
      </c>
      <c r="D351" s="30">
        <f>'Equity Volume Data'!G351*'Equity Price Data'!J352</f>
        <v>57072.6</v>
      </c>
      <c r="E351" s="30">
        <f>'Equity Volume Data'!H351*'Equity Price Data'!K352</f>
        <v>15152.5</v>
      </c>
      <c r="F351" s="30">
        <f>'Equity Volume Data'!I351*'Equity Price Data'!L352</f>
        <v>66053.12</v>
      </c>
      <c r="G351" s="30">
        <f>'Equity Volume Data'!J351*'Equity Price Data'!M352</f>
        <v>18054.99</v>
      </c>
      <c r="H351" s="30">
        <f>'Equity Volume Data'!K351*'Equity Price Data'!N352</f>
        <v>20040.8</v>
      </c>
      <c r="I351" s="30">
        <f>'Equity Volume Data'!L351*'Equity Price Data'!O352</f>
        <v>20970</v>
      </c>
      <c r="J351" s="30">
        <f>'Equity Volume Data'!M351*'Equity Price Data'!P352</f>
        <v>50872.5</v>
      </c>
      <c r="K351" s="30">
        <f>'Equity Volume Data'!N351*'Equity Price Data'!Q352</f>
        <v>11094</v>
      </c>
      <c r="L351" s="30">
        <f>'Equity Volume Data'!O351*'Equity Price Data'!R352</f>
        <v>19345.48</v>
      </c>
      <c r="M351" s="30">
        <f>'Equity Volume Data'!P351*'Equity Price Data'!S352</f>
        <v>14208.72</v>
      </c>
      <c r="N351" s="30">
        <f>'Equity Volume Data'!Q351*'Equity Price Data'!T352</f>
        <v>4772</v>
      </c>
      <c r="O351" s="30">
        <f>'Equity Volume Data'!R351*'Equity Price Data'!U352</f>
        <v>74677.5</v>
      </c>
      <c r="P351" s="30">
        <f>'Equity Volume Data'!S351*'Equity Price Data'!V352</f>
        <v>35098.89</v>
      </c>
      <c r="Q351" s="30">
        <f>'Equity Volume Data'!T351*'Equity Price Data'!W352</f>
        <v>24188.4</v>
      </c>
      <c r="R351" s="30">
        <f>'Equity Volume Data'!U351*'Equity Price Data'!X352</f>
        <v>12284</v>
      </c>
      <c r="S351" s="30">
        <f>'Equity Volume Data'!V351*'Equity Price Data'!Y352</f>
        <v>27368</v>
      </c>
      <c r="T351" s="30">
        <f>'Equity Volume Data'!W351*'Equity Price Data'!Z352</f>
        <v>13455</v>
      </c>
      <c r="U351" s="30">
        <f>'Equity Volume Data'!X351*'Equity Price Data'!AA352</f>
        <v>17595.6</v>
      </c>
      <c r="V351" s="30">
        <f>'Equity Volume Data'!Y351*'Equity Price Data'!AB352</f>
        <v>15908.41</v>
      </c>
      <c r="W351" s="30">
        <f>'Equity Volume Data'!Z351*'Equity Price Data'!AC352</f>
        <v>12168.15</v>
      </c>
      <c r="X351" s="30">
        <f>'Equity Volume Data'!AA351*'Equity Price Data'!AD352</f>
        <v>0</v>
      </c>
      <c r="Y351" s="30">
        <f>'Equity Volume Data'!AB351*'Equity Price Data'!AE352</f>
        <v>5547.23</v>
      </c>
      <c r="Z351" s="30">
        <f>'Equity Volume Data'!AC351*'Equity Price Data'!AF352</f>
        <v>13825.5</v>
      </c>
      <c r="AA351" s="30">
        <f>'Equity Volume Data'!AD351*'Equity Price Data'!AG352</f>
        <v>19254.2</v>
      </c>
      <c r="AB351" s="30">
        <f>'Equity Volume Data'!AE351*'Equity Price Data'!AH352</f>
        <v>14676.6</v>
      </c>
      <c r="AC351" s="30">
        <f>'Equity Volume Data'!AF351*'Equity Price Data'!AI352</f>
        <v>20046</v>
      </c>
      <c r="AD351" s="30">
        <f>'Equity Volume Data'!AG351*'Equity Price Data'!AJ352</f>
        <v>15462.9</v>
      </c>
      <c r="AE351" s="30">
        <f>'Equity Volume Data'!AH351*'Equity Price Data'!AK352</f>
        <v>0</v>
      </c>
      <c r="AF351" s="30">
        <f>'Equity Volume Data'!AI351*'Equity Price Data'!AL352</f>
        <v>23101.45</v>
      </c>
      <c r="AG351" s="30">
        <f>'Equity Volume Data'!AJ351*'Equity Price Data'!AM352</f>
        <v>47398.8</v>
      </c>
      <c r="AH351" s="30">
        <f>'Equity Volume Data'!AK351*'Equity Price Data'!AN352</f>
        <v>39506</v>
      </c>
      <c r="AI351" s="30">
        <f>'Equity Volume Data'!AL351*'Equity Price Data'!AO352</f>
        <v>26306</v>
      </c>
      <c r="AJ351" s="30">
        <f>'Equity Volume Data'!AM351*'Equity Price Data'!AP352</f>
        <v>21140.6</v>
      </c>
      <c r="AK351" s="30">
        <f>'Equity Volume Data'!AN351*'Equity Price Data'!AQ352</f>
        <v>21260.45</v>
      </c>
      <c r="AL351" s="30">
        <f>'Equity Volume Data'!AO351*'Equity Price Data'!AR352</f>
        <v>49604.8</v>
      </c>
      <c r="AM351" s="30">
        <f>'Equity Volume Data'!AP351*'Equity Price Data'!AS352</f>
        <v>35314.3</v>
      </c>
      <c r="AN351" s="30">
        <f>'Equity Volume Data'!AQ351*'Equity Price Data'!AT352</f>
        <v>0</v>
      </c>
      <c r="AO351" s="30">
        <f>'Equity Volume Data'!AR351*'Equity Price Data'!AU352</f>
        <v>27293.84</v>
      </c>
      <c r="AP351" s="30">
        <f>'Equity Volume Data'!AS351*'Equity Price Data'!AV352</f>
        <v>24425</v>
      </c>
      <c r="AQ351" s="30">
        <f>'Equity Volume Data'!AT351*'Equity Price Data'!AW352</f>
        <v>18121.4</v>
      </c>
      <c r="AR351" s="30">
        <f>'Equity Volume Data'!AU351*'Equity Price Data'!AX352</f>
        <v>15944.5</v>
      </c>
      <c r="AS351" s="30">
        <f>'Equity Volume Data'!AV351*'Equity Price Data'!AY352</f>
        <v>62082</v>
      </c>
      <c r="AT351" s="30">
        <f>'Equity Volume Data'!AW351*'Equity Price Data'!AZ352</f>
        <v>16012</v>
      </c>
      <c r="AU351" s="30">
        <f>'Equity Volume Data'!AX351*'Equity Price Data'!BA352</f>
        <v>0</v>
      </c>
      <c r="AV351" s="30">
        <f>'Equity Volume Data'!AY351*'Equity Price Data'!BB352</f>
        <v>26642.04</v>
      </c>
      <c r="AW351" s="30">
        <f>'Equity Volume Data'!AZ351*'Equity Price Data'!BC352</f>
        <v>3661.6</v>
      </c>
      <c r="AX351" s="30">
        <f>'Equity Volume Data'!BA351*'Equity Price Data'!BD352</f>
        <v>0</v>
      </c>
      <c r="AY351" s="30">
        <f>'Equity Volume Data'!BB351*'Equity Price Data'!BE352</f>
        <v>38940.75</v>
      </c>
      <c r="AZ351" s="30">
        <f>'Equity Volume Data'!BC351*'Equity Price Data'!BF352</f>
        <v>10387.5</v>
      </c>
      <c r="BA351" s="30">
        <f>'Equity Volume Data'!BD351*'Equity Price Data'!BG352</f>
        <v>5200.3</v>
      </c>
      <c r="BB351" s="30">
        <f>'Equity Volume Data'!BE351*'Equity Price Data'!BH352</f>
        <v>13326.4</v>
      </c>
      <c r="BC351" s="30">
        <f>'Equity Volume Data'!BF351*'Equity Price Data'!BI352</f>
        <v>15320.88</v>
      </c>
      <c r="BD351" s="30">
        <f>'Equity Volume Data'!BG351*'Equity Price Data'!BJ352</f>
        <v>49047.51</v>
      </c>
      <c r="BE351" s="30">
        <f>'Equity Volume Data'!BH351*'Equity Price Data'!BK352</f>
        <v>12496.36</v>
      </c>
      <c r="BF351" s="30">
        <f>'Equity Volume Data'!BI351*'Equity Price Data'!BL352</f>
        <v>7783.6</v>
      </c>
      <c r="BG351" s="30">
        <f>'Equity Volume Data'!BJ351*'Equity Price Data'!BM352</f>
        <v>32161.82</v>
      </c>
      <c r="BH351" s="30">
        <f>'Equity Volume Data'!BK351*'Equity Price Data'!BN352</f>
        <v>0</v>
      </c>
      <c r="BI351" s="30">
        <f>'Equity Volume Data'!BL351*'Equity Price Data'!BO352</f>
        <v>37888</v>
      </c>
      <c r="BJ351" s="30">
        <f>'Equity Volume Data'!BM351*'Equity Price Data'!BP352</f>
        <v>27015</v>
      </c>
      <c r="BK351" s="30">
        <f>'Equity Volume Data'!BN351*'Equity Price Data'!BQ352</f>
        <v>90081.98</v>
      </c>
      <c r="BL351" s="30">
        <f>'Equity Volume Data'!BO351*'Equity Price Data'!BR352</f>
        <v>478.93</v>
      </c>
      <c r="BM351" s="30">
        <f>'Equity Volume Data'!BP351*'Equity Price Data'!BS352</f>
        <v>10548.48</v>
      </c>
      <c r="BN351" s="30">
        <f>'Equity Volume Data'!BQ351*'Equity Price Data'!BT352</f>
        <v>21144.36</v>
      </c>
      <c r="BO351" s="30">
        <f>'Equity Volume Data'!BR351*'Equity Price Data'!BU352</f>
        <v>34410</v>
      </c>
    </row>
    <row r="352">
      <c r="A352" s="25">
        <f>'Equity Price Data'!A353</f>
        <v>45936.66667</v>
      </c>
      <c r="B352" s="29">
        <f t="shared" si="1"/>
        <v>1489635.57</v>
      </c>
      <c r="C352" s="30">
        <f>'Equity Volume Data'!F352*'Equity Price Data'!I353</f>
        <v>4551.82</v>
      </c>
      <c r="D352" s="30">
        <f>'Equity Volume Data'!G352*'Equity Price Data'!J353</f>
        <v>57434</v>
      </c>
      <c r="E352" s="30">
        <f>'Equity Volume Data'!H352*'Equity Price Data'!K353</f>
        <v>15283.4</v>
      </c>
      <c r="F352" s="30">
        <f>'Equity Volume Data'!I352*'Equity Price Data'!L353</f>
        <v>65712.64</v>
      </c>
      <c r="G352" s="30">
        <f>'Equity Volume Data'!J352*'Equity Price Data'!M353</f>
        <v>18584.53</v>
      </c>
      <c r="H352" s="30">
        <f>'Equity Volume Data'!K352*'Equity Price Data'!N353</f>
        <v>20008.84</v>
      </c>
      <c r="I352" s="30">
        <f>'Equity Volume Data'!L352*'Equity Price Data'!O353</f>
        <v>20630</v>
      </c>
      <c r="J352" s="30">
        <f>'Equity Volume Data'!M352*'Equity Price Data'!P353</f>
        <v>51002.04</v>
      </c>
      <c r="K352" s="30">
        <f>'Equity Volume Data'!N352*'Equity Price Data'!Q353</f>
        <v>11194</v>
      </c>
      <c r="L352" s="30">
        <f>'Equity Volume Data'!O352*'Equity Price Data'!R353</f>
        <v>18640.05</v>
      </c>
      <c r="M352" s="30">
        <f>'Equity Volume Data'!P352*'Equity Price Data'!S353</f>
        <v>14118.2</v>
      </c>
      <c r="N352" s="30">
        <f>'Equity Volume Data'!Q352*'Equity Price Data'!T353</f>
        <v>4784.8</v>
      </c>
      <c r="O352" s="30">
        <f>'Equity Volume Data'!R352*'Equity Price Data'!U353</f>
        <v>74307</v>
      </c>
      <c r="P352" s="30">
        <f>'Equity Volume Data'!S352*'Equity Price Data'!V353</f>
        <v>35574.27</v>
      </c>
      <c r="Q352" s="30">
        <f>'Equity Volume Data'!T352*'Equity Price Data'!W353</f>
        <v>24115.2</v>
      </c>
      <c r="R352" s="30">
        <f>'Equity Volume Data'!U352*'Equity Price Data'!X353</f>
        <v>12321.6</v>
      </c>
      <c r="S352" s="30">
        <f>'Equity Volume Data'!V352*'Equity Price Data'!Y353</f>
        <v>26663.12</v>
      </c>
      <c r="T352" s="30">
        <f>'Equity Volume Data'!W352*'Equity Price Data'!Z353</f>
        <v>13500</v>
      </c>
      <c r="U352" s="30">
        <f>'Equity Volume Data'!X352*'Equity Price Data'!AA353</f>
        <v>17450.4</v>
      </c>
      <c r="V352" s="30">
        <f>'Equity Volume Data'!Y352*'Equity Price Data'!AB353</f>
        <v>15992.13</v>
      </c>
      <c r="W352" s="30">
        <f>'Equity Volume Data'!Z352*'Equity Price Data'!AC353</f>
        <v>12210.24</v>
      </c>
      <c r="X352" s="30">
        <f>'Equity Volume Data'!AA352*'Equity Price Data'!AD353</f>
        <v>0</v>
      </c>
      <c r="Y352" s="30">
        <f>'Equity Volume Data'!AB352*'Equity Price Data'!AE353</f>
        <v>5497.83</v>
      </c>
      <c r="Z352" s="30">
        <f>'Equity Volume Data'!AC352*'Equity Price Data'!AF353</f>
        <v>13765.5</v>
      </c>
      <c r="AA352" s="30">
        <f>'Equity Volume Data'!AD352*'Equity Price Data'!AG353</f>
        <v>19414</v>
      </c>
      <c r="AB352" s="30">
        <f>'Equity Volume Data'!AE352*'Equity Price Data'!AH353</f>
        <v>14821.8</v>
      </c>
      <c r="AC352" s="30">
        <f>'Equity Volume Data'!AF352*'Equity Price Data'!AI353</f>
        <v>19661.2</v>
      </c>
      <c r="AD352" s="30">
        <f>'Equity Volume Data'!AG352*'Equity Price Data'!AJ353</f>
        <v>15592.5</v>
      </c>
      <c r="AE352" s="30">
        <f>'Equity Volume Data'!AH352*'Equity Price Data'!AK353</f>
        <v>0</v>
      </c>
      <c r="AF352" s="30">
        <f>'Equity Volume Data'!AI352*'Equity Price Data'!AL353</f>
        <v>23283.9</v>
      </c>
      <c r="AG352" s="30">
        <f>'Equity Volume Data'!AJ352*'Equity Price Data'!AM353</f>
        <v>47806.8</v>
      </c>
      <c r="AH352" s="30">
        <f>'Equity Volume Data'!AK352*'Equity Price Data'!AN353</f>
        <v>38933</v>
      </c>
      <c r="AI352" s="30">
        <f>'Equity Volume Data'!AL352*'Equity Price Data'!AO353</f>
        <v>26285</v>
      </c>
      <c r="AJ352" s="30">
        <f>'Equity Volume Data'!AM352*'Equity Price Data'!AP353</f>
        <v>20677.8</v>
      </c>
      <c r="AK352" s="30">
        <f>'Equity Volume Data'!AN352*'Equity Price Data'!AQ353</f>
        <v>21135.43</v>
      </c>
      <c r="AL352" s="30">
        <f>'Equity Volume Data'!AO352*'Equity Price Data'!AR353</f>
        <v>49468.8</v>
      </c>
      <c r="AM352" s="30">
        <f>'Equity Volume Data'!AP352*'Equity Price Data'!AS353</f>
        <v>35996.8</v>
      </c>
      <c r="AN352" s="30">
        <f>'Equity Volume Data'!AQ352*'Equity Price Data'!AT353</f>
        <v>0</v>
      </c>
      <c r="AO352" s="30">
        <f>'Equity Volume Data'!AR352*'Equity Price Data'!AU353</f>
        <v>27584.2</v>
      </c>
      <c r="AP352" s="30">
        <f>'Equity Volume Data'!AS352*'Equity Price Data'!AV353</f>
        <v>24607.5</v>
      </c>
      <c r="AQ352" s="30">
        <f>'Equity Volume Data'!AT352*'Equity Price Data'!AW353</f>
        <v>18117</v>
      </c>
      <c r="AR352" s="30">
        <f>'Equity Volume Data'!AU352*'Equity Price Data'!AX353</f>
        <v>16575.59</v>
      </c>
      <c r="AS352" s="30">
        <f>'Equity Volume Data'!AV352*'Equity Price Data'!AY353</f>
        <v>63428.4</v>
      </c>
      <c r="AT352" s="30">
        <f>'Equity Volume Data'!AW352*'Equity Price Data'!AZ353</f>
        <v>16422</v>
      </c>
      <c r="AU352" s="30">
        <f>'Equity Volume Data'!AX352*'Equity Price Data'!BA353</f>
        <v>0</v>
      </c>
      <c r="AV352" s="30">
        <f>'Equity Volume Data'!AY352*'Equity Price Data'!BB353</f>
        <v>26346.68</v>
      </c>
      <c r="AW352" s="30">
        <f>'Equity Volume Data'!AZ352*'Equity Price Data'!BC353</f>
        <v>3633.2</v>
      </c>
      <c r="AX352" s="30">
        <f>'Equity Volume Data'!BA352*'Equity Price Data'!BD353</f>
        <v>0</v>
      </c>
      <c r="AY352" s="30">
        <f>'Equity Volume Data'!BB352*'Equity Price Data'!BE353</f>
        <v>40394.25</v>
      </c>
      <c r="AZ352" s="30">
        <f>'Equity Volume Data'!BC352*'Equity Price Data'!BF353</f>
        <v>10693.5</v>
      </c>
      <c r="BA352" s="30">
        <f>'Equity Volume Data'!BD352*'Equity Price Data'!BG353</f>
        <v>5021.7</v>
      </c>
      <c r="BB352" s="30">
        <f>'Equity Volume Data'!BE352*'Equity Price Data'!BH353</f>
        <v>13504</v>
      </c>
      <c r="BC352" s="30">
        <f>'Equity Volume Data'!BF352*'Equity Price Data'!BI353</f>
        <v>15278.24</v>
      </c>
      <c r="BD352" s="30">
        <f>'Equity Volume Data'!BG352*'Equity Price Data'!BJ353</f>
        <v>47916.48</v>
      </c>
      <c r="BE352" s="30">
        <f>'Equity Volume Data'!BH352*'Equity Price Data'!BK353</f>
        <v>12510.85</v>
      </c>
      <c r="BF352" s="30">
        <f>'Equity Volume Data'!BI352*'Equity Price Data'!BL353</f>
        <v>7967.2</v>
      </c>
      <c r="BG352" s="30">
        <f>'Equity Volume Data'!BJ352*'Equity Price Data'!BM353</f>
        <v>31672.54</v>
      </c>
      <c r="BH352" s="30">
        <f>'Equity Volume Data'!BK352*'Equity Price Data'!BN353</f>
        <v>0</v>
      </c>
      <c r="BI352" s="30">
        <f>'Equity Volume Data'!BL352*'Equity Price Data'!BO353</f>
        <v>37985.6</v>
      </c>
      <c r="BJ352" s="30">
        <f>'Equity Volume Data'!BM352*'Equity Price Data'!BP353</f>
        <v>26907.75</v>
      </c>
      <c r="BK352" s="30">
        <f>'Equity Volume Data'!BN352*'Equity Price Data'!BQ353</f>
        <v>90118.02</v>
      </c>
      <c r="BL352" s="30">
        <f>'Equity Volume Data'!BO352*'Equity Price Data'!BR353</f>
        <v>476.11</v>
      </c>
      <c r="BM352" s="30">
        <f>'Equity Volume Data'!BP352*'Equity Price Data'!BS353</f>
        <v>10449.12</v>
      </c>
      <c r="BN352" s="30">
        <f>'Equity Volume Data'!BQ352*'Equity Price Data'!BT353</f>
        <v>21197</v>
      </c>
      <c r="BO352" s="30">
        <f>'Equity Volume Data'!BR352*'Equity Price Data'!BU353</f>
        <v>34410</v>
      </c>
    </row>
    <row r="353">
      <c r="A353" s="25">
        <f>'Equity Price Data'!A354</f>
        <v>45937.66667</v>
      </c>
      <c r="B353" s="29">
        <f t="shared" si="1"/>
        <v>1488105.41</v>
      </c>
      <c r="C353" s="30">
        <f>'Equity Volume Data'!F353*'Equity Price Data'!I354</f>
        <v>4528.03</v>
      </c>
      <c r="D353" s="30">
        <f>'Equity Volume Data'!G353*'Equity Price Data'!J354</f>
        <v>57662.8</v>
      </c>
      <c r="E353" s="30">
        <f>'Equity Volume Data'!H353*'Equity Price Data'!K354</f>
        <v>15676.1</v>
      </c>
      <c r="F353" s="30">
        <f>'Equity Volume Data'!I353*'Equity Price Data'!L354</f>
        <v>65658.88</v>
      </c>
      <c r="G353" s="30">
        <f>'Equity Volume Data'!J353*'Equity Price Data'!M354</f>
        <v>17559.48</v>
      </c>
      <c r="H353" s="30">
        <f>'Equity Volume Data'!K353*'Equity Price Data'!N354</f>
        <v>20102.84</v>
      </c>
      <c r="I353" s="30">
        <f>'Equity Volume Data'!L353*'Equity Price Data'!O354</f>
        <v>20440</v>
      </c>
      <c r="J353" s="30">
        <f>'Equity Volume Data'!M353*'Equity Price Data'!P354</f>
        <v>51234.6</v>
      </c>
      <c r="K353" s="30">
        <f>'Equity Volume Data'!N353*'Equity Price Data'!Q354</f>
        <v>11040</v>
      </c>
      <c r="L353" s="30">
        <f>'Equity Volume Data'!O353*'Equity Price Data'!R354</f>
        <v>18417.41</v>
      </c>
      <c r="M353" s="30">
        <f>'Equity Volume Data'!P353*'Equity Price Data'!S354</f>
        <v>14001.4</v>
      </c>
      <c r="N353" s="30">
        <f>'Equity Volume Data'!Q353*'Equity Price Data'!T354</f>
        <v>4734.4</v>
      </c>
      <c r="O353" s="30">
        <f>'Equity Volume Data'!R353*'Equity Price Data'!U354</f>
        <v>73006.5</v>
      </c>
      <c r="P353" s="30">
        <f>'Equity Volume Data'!S353*'Equity Price Data'!V354</f>
        <v>36049.65</v>
      </c>
      <c r="Q353" s="30">
        <f>'Equity Volume Data'!T353*'Equity Price Data'!W354</f>
        <v>24052.8</v>
      </c>
      <c r="R353" s="30">
        <f>'Equity Volume Data'!U353*'Equity Price Data'!X354</f>
        <v>12392.8</v>
      </c>
      <c r="S353" s="30">
        <f>'Equity Volume Data'!V353*'Equity Price Data'!Y354</f>
        <v>27028.32</v>
      </c>
      <c r="T353" s="30">
        <f>'Equity Volume Data'!W353*'Equity Price Data'!Z354</f>
        <v>13282.5</v>
      </c>
      <c r="U353" s="30">
        <f>'Equity Volume Data'!X353*'Equity Price Data'!AA354</f>
        <v>17632.56</v>
      </c>
      <c r="V353" s="30">
        <f>'Equity Volume Data'!Y353*'Equity Price Data'!AB354</f>
        <v>16106.44</v>
      </c>
      <c r="W353" s="30">
        <f>'Equity Volume Data'!Z353*'Equity Price Data'!AC354</f>
        <v>12084.66</v>
      </c>
      <c r="X353" s="30">
        <f>'Equity Volume Data'!AA353*'Equity Price Data'!AD354</f>
        <v>0</v>
      </c>
      <c r="Y353" s="30">
        <f>'Equity Volume Data'!AB353*'Equity Price Data'!AE354</f>
        <v>5348.59</v>
      </c>
      <c r="Z353" s="30">
        <f>'Equity Volume Data'!AC353*'Equity Price Data'!AF354</f>
        <v>13956</v>
      </c>
      <c r="AA353" s="30">
        <f>'Equity Volume Data'!AD353*'Equity Price Data'!AG354</f>
        <v>19424.2</v>
      </c>
      <c r="AB353" s="30">
        <f>'Equity Volume Data'!AE353*'Equity Price Data'!AH354</f>
        <v>14539.8</v>
      </c>
      <c r="AC353" s="30">
        <f>'Equity Volume Data'!AF353*'Equity Price Data'!AI354</f>
        <v>19634.4</v>
      </c>
      <c r="AD353" s="30">
        <f>'Equity Volume Data'!AG353*'Equity Price Data'!AJ354</f>
        <v>15454.35</v>
      </c>
      <c r="AE353" s="30">
        <f>'Equity Volume Data'!AH353*'Equity Price Data'!AK354</f>
        <v>0</v>
      </c>
      <c r="AF353" s="30">
        <f>'Equity Volume Data'!AI353*'Equity Price Data'!AL354</f>
        <v>23939.9</v>
      </c>
      <c r="AG353" s="30">
        <f>'Equity Volume Data'!AJ353*'Equity Price Data'!AM354</f>
        <v>47379</v>
      </c>
      <c r="AH353" s="30">
        <f>'Equity Volume Data'!AK353*'Equity Price Data'!AN354</f>
        <v>38681</v>
      </c>
      <c r="AI353" s="30">
        <f>'Equity Volume Data'!AL353*'Equity Price Data'!AO354</f>
        <v>26234.25</v>
      </c>
      <c r="AJ353" s="30">
        <f>'Equity Volume Data'!AM353*'Equity Price Data'!AP354</f>
        <v>21057.4</v>
      </c>
      <c r="AK353" s="30">
        <f>'Equity Volume Data'!AN353*'Equity Price Data'!AQ354</f>
        <v>20724.18</v>
      </c>
      <c r="AL353" s="30">
        <f>'Equity Volume Data'!AO353*'Equity Price Data'!AR354</f>
        <v>49230.4</v>
      </c>
      <c r="AM353" s="30">
        <f>'Equity Volume Data'!AP353*'Equity Price Data'!AS354</f>
        <v>35774.9</v>
      </c>
      <c r="AN353" s="30">
        <f>'Equity Volume Data'!AQ353*'Equity Price Data'!AT354</f>
        <v>0</v>
      </c>
      <c r="AO353" s="30">
        <f>'Equity Volume Data'!AR353*'Equity Price Data'!AU354</f>
        <v>27456.1</v>
      </c>
      <c r="AP353" s="30">
        <f>'Equity Volume Data'!AS353*'Equity Price Data'!AV354</f>
        <v>24582.5</v>
      </c>
      <c r="AQ353" s="30">
        <f>'Equity Volume Data'!AT353*'Equity Price Data'!AW354</f>
        <v>18205</v>
      </c>
      <c r="AR353" s="30">
        <f>'Equity Volume Data'!AU353*'Equity Price Data'!AX354</f>
        <v>16450.71</v>
      </c>
      <c r="AS353" s="30">
        <f>'Equity Volume Data'!AV353*'Equity Price Data'!AY354</f>
        <v>62877.6</v>
      </c>
      <c r="AT353" s="30">
        <f>'Equity Volume Data'!AW353*'Equity Price Data'!AZ354</f>
        <v>16642</v>
      </c>
      <c r="AU353" s="30">
        <f>'Equity Volume Data'!AX353*'Equity Price Data'!BA354</f>
        <v>0</v>
      </c>
      <c r="AV353" s="30">
        <f>'Equity Volume Data'!AY353*'Equity Price Data'!BB354</f>
        <v>26275.68</v>
      </c>
      <c r="AW353" s="30">
        <f>'Equity Volume Data'!AZ353*'Equity Price Data'!BC354</f>
        <v>3616</v>
      </c>
      <c r="AX353" s="30">
        <f>'Equity Volume Data'!BA353*'Equity Price Data'!BD354</f>
        <v>0</v>
      </c>
      <c r="AY353" s="30">
        <f>'Equity Volume Data'!BB353*'Equity Price Data'!BE354</f>
        <v>40988.25</v>
      </c>
      <c r="AZ353" s="30">
        <f>'Equity Volume Data'!BC353*'Equity Price Data'!BF354</f>
        <v>11191.5</v>
      </c>
      <c r="BA353" s="30">
        <f>'Equity Volume Data'!BD353*'Equity Price Data'!BG354</f>
        <v>4991.3</v>
      </c>
      <c r="BB353" s="30">
        <f>'Equity Volume Data'!BE353*'Equity Price Data'!BH354</f>
        <v>13541.6</v>
      </c>
      <c r="BC353" s="30">
        <f>'Equity Volume Data'!BF353*'Equity Price Data'!BI354</f>
        <v>15274.96</v>
      </c>
      <c r="BD353" s="30">
        <f>'Equity Volume Data'!BG353*'Equity Price Data'!BJ354</f>
        <v>48495.84</v>
      </c>
      <c r="BE353" s="30">
        <f>'Equity Volume Data'!BH353*'Equity Price Data'!BK354</f>
        <v>12400.91</v>
      </c>
      <c r="BF353" s="30">
        <f>'Equity Volume Data'!BI353*'Equity Price Data'!BL354</f>
        <v>7995.6</v>
      </c>
      <c r="BG353" s="30">
        <f>'Equity Volume Data'!BJ353*'Equity Price Data'!BM354</f>
        <v>32020.04</v>
      </c>
      <c r="BH353" s="30">
        <f>'Equity Volume Data'!BK353*'Equity Price Data'!BN354</f>
        <v>0</v>
      </c>
      <c r="BI353" s="30">
        <f>'Equity Volume Data'!BL353*'Equity Price Data'!BO354</f>
        <v>37097.6</v>
      </c>
      <c r="BJ353" s="30">
        <f>'Equity Volume Data'!BM353*'Equity Price Data'!BP354</f>
        <v>27274.5</v>
      </c>
      <c r="BK353" s="30">
        <f>'Equity Volume Data'!BN353*'Equity Price Data'!BQ354</f>
        <v>90172.08</v>
      </c>
      <c r="BL353" s="30">
        <f>'Equity Volume Data'!BO353*'Equity Price Data'!BR354</f>
        <v>476.58</v>
      </c>
      <c r="BM353" s="30">
        <f>'Equity Volume Data'!BP353*'Equity Price Data'!BS354</f>
        <v>10442.88</v>
      </c>
      <c r="BN353" s="30">
        <f>'Equity Volume Data'!BQ353*'Equity Price Data'!BT354</f>
        <v>21155.64</v>
      </c>
      <c r="BO353" s="30">
        <f>'Equity Volume Data'!BR353*'Equity Price Data'!BU354</f>
        <v>34410</v>
      </c>
    </row>
    <row r="354">
      <c r="A354" s="25">
        <f>'Equity Price Data'!A355</f>
        <v>45938.66667</v>
      </c>
      <c r="B354" s="29">
        <f t="shared" si="1"/>
        <v>1492012.42</v>
      </c>
      <c r="C354" s="30">
        <f>'Equity Volume Data'!F354*'Equity Price Data'!I355</f>
        <v>4534.01</v>
      </c>
      <c r="D354" s="30">
        <f>'Equity Volume Data'!G354*'Equity Price Data'!J355</f>
        <v>58557.2</v>
      </c>
      <c r="E354" s="30">
        <f>'Equity Volume Data'!H354*'Equity Price Data'!K355</f>
        <v>15513.3</v>
      </c>
      <c r="F354" s="30">
        <f>'Equity Volume Data'!I354*'Equity Price Data'!L355</f>
        <v>66063.36</v>
      </c>
      <c r="G354" s="30">
        <f>'Equity Volume Data'!J354*'Equity Price Data'!M355</f>
        <v>18053.33</v>
      </c>
      <c r="H354" s="30">
        <f>'Equity Volume Data'!K354*'Equity Price Data'!N355</f>
        <v>19929.88</v>
      </c>
      <c r="I354" s="30">
        <f>'Equity Volume Data'!L354*'Equity Price Data'!O355</f>
        <v>20480</v>
      </c>
      <c r="J354" s="30">
        <f>'Equity Volume Data'!M354*'Equity Price Data'!P355</f>
        <v>50983.68</v>
      </c>
      <c r="K354" s="30">
        <f>'Equity Volume Data'!N354*'Equity Price Data'!Q355</f>
        <v>11212</v>
      </c>
      <c r="L354" s="30">
        <f>'Equity Volume Data'!O354*'Equity Price Data'!R355</f>
        <v>18267.37</v>
      </c>
      <c r="M354" s="30">
        <f>'Equity Volume Data'!P354*'Equity Price Data'!S355</f>
        <v>14131.34</v>
      </c>
      <c r="N354" s="30">
        <f>'Equity Volume Data'!Q354*'Equity Price Data'!T355</f>
        <v>4784</v>
      </c>
      <c r="O354" s="30">
        <f>'Equity Volume Data'!R354*'Equity Price Data'!U355</f>
        <v>75318</v>
      </c>
      <c r="P354" s="30">
        <f>'Equity Volume Data'!S354*'Equity Price Data'!V355</f>
        <v>35949.57</v>
      </c>
      <c r="Q354" s="30">
        <f>'Equity Volume Data'!T354*'Equity Price Data'!W355</f>
        <v>24120</v>
      </c>
      <c r="R354" s="30">
        <f>'Equity Volume Data'!U354*'Equity Price Data'!X355</f>
        <v>12299.2</v>
      </c>
      <c r="S354" s="30">
        <f>'Equity Volume Data'!V354*'Equity Price Data'!Y355</f>
        <v>26994.88</v>
      </c>
      <c r="T354" s="30">
        <f>'Equity Volume Data'!W354*'Equity Price Data'!Z355</f>
        <v>13002.5</v>
      </c>
      <c r="U354" s="30">
        <f>'Equity Volume Data'!X354*'Equity Price Data'!AA355</f>
        <v>17455.68</v>
      </c>
      <c r="V354" s="30">
        <f>'Equity Volume Data'!Y354*'Equity Price Data'!AB355</f>
        <v>16233.63</v>
      </c>
      <c r="W354" s="30">
        <f>'Equity Volume Data'!Z354*'Equity Price Data'!AC355</f>
        <v>12019.8</v>
      </c>
      <c r="X354" s="30">
        <f>'Equity Volume Data'!AA354*'Equity Price Data'!AD355</f>
        <v>0</v>
      </c>
      <c r="Y354" s="30">
        <f>'Equity Volume Data'!AB354*'Equity Price Data'!AE355</f>
        <v>5375.5</v>
      </c>
      <c r="Z354" s="30">
        <f>'Equity Volume Data'!AC354*'Equity Price Data'!AF355</f>
        <v>13812</v>
      </c>
      <c r="AA354" s="30">
        <f>'Equity Volume Data'!AD354*'Equity Price Data'!AG355</f>
        <v>19383.4</v>
      </c>
      <c r="AB354" s="30">
        <f>'Equity Volume Data'!AE354*'Equity Price Data'!AH355</f>
        <v>14395.8</v>
      </c>
      <c r="AC354" s="30">
        <f>'Equity Volume Data'!AF354*'Equity Price Data'!AI355</f>
        <v>19168.4</v>
      </c>
      <c r="AD354" s="30">
        <f>'Equity Volume Data'!AG354*'Equity Price Data'!AJ355</f>
        <v>15589.8</v>
      </c>
      <c r="AE354" s="30">
        <f>'Equity Volume Data'!AH354*'Equity Price Data'!AK355</f>
        <v>0</v>
      </c>
      <c r="AF354" s="30">
        <f>'Equity Volume Data'!AI354*'Equity Price Data'!AL355</f>
        <v>24241.25</v>
      </c>
      <c r="AG354" s="30">
        <f>'Equity Volume Data'!AJ354*'Equity Price Data'!AM355</f>
        <v>46590.6</v>
      </c>
      <c r="AH354" s="30">
        <f>'Equity Volume Data'!AK354*'Equity Price Data'!AN355</f>
        <v>38379</v>
      </c>
      <c r="AI354" s="30">
        <f>'Equity Volume Data'!AL354*'Equity Price Data'!AO355</f>
        <v>26652.5</v>
      </c>
      <c r="AJ354" s="30">
        <f>'Equity Volume Data'!AM354*'Equity Price Data'!AP355</f>
        <v>20718.1</v>
      </c>
      <c r="AK354" s="30">
        <f>'Equity Volume Data'!AN354*'Equity Price Data'!AQ355</f>
        <v>21060.23</v>
      </c>
      <c r="AL354" s="30">
        <f>'Equity Volume Data'!AO354*'Equity Price Data'!AR355</f>
        <v>48644.8</v>
      </c>
      <c r="AM354" s="30">
        <f>'Equity Volume Data'!AP354*'Equity Price Data'!AS355</f>
        <v>35981.4</v>
      </c>
      <c r="AN354" s="30">
        <f>'Equity Volume Data'!AQ354*'Equity Price Data'!AT355</f>
        <v>0</v>
      </c>
      <c r="AO354" s="30">
        <f>'Equity Volume Data'!AR354*'Equity Price Data'!AU355</f>
        <v>27823.32</v>
      </c>
      <c r="AP354" s="30">
        <f>'Equity Volume Data'!AS354*'Equity Price Data'!AV355</f>
        <v>24467.5</v>
      </c>
      <c r="AQ354" s="30">
        <f>'Equity Volume Data'!AT354*'Equity Price Data'!AW355</f>
        <v>18046.6</v>
      </c>
      <c r="AR354" s="30">
        <f>'Equity Volume Data'!AU354*'Equity Price Data'!AX355</f>
        <v>15741.57</v>
      </c>
      <c r="AS354" s="30">
        <f>'Equity Volume Data'!AV354*'Equity Price Data'!AY355</f>
        <v>62982</v>
      </c>
      <c r="AT354" s="30">
        <f>'Equity Volume Data'!AW354*'Equity Price Data'!AZ355</f>
        <v>16808</v>
      </c>
      <c r="AU354" s="30">
        <f>'Equity Volume Data'!AX354*'Equity Price Data'!BA355</f>
        <v>0</v>
      </c>
      <c r="AV354" s="30">
        <f>'Equity Volume Data'!AY354*'Equity Price Data'!BB355</f>
        <v>26853.62</v>
      </c>
      <c r="AW354" s="30">
        <f>'Equity Volume Data'!AZ354*'Equity Price Data'!BC355</f>
        <v>3650</v>
      </c>
      <c r="AX354" s="30">
        <f>'Equity Volume Data'!BA354*'Equity Price Data'!BD355</f>
        <v>0</v>
      </c>
      <c r="AY354" s="30">
        <f>'Equity Volume Data'!BB354*'Equity Price Data'!BE355</f>
        <v>41301</v>
      </c>
      <c r="AZ354" s="30">
        <f>'Equity Volume Data'!BC354*'Equity Price Data'!BF355</f>
        <v>11419.5</v>
      </c>
      <c r="BA354" s="30">
        <f>'Equity Volume Data'!BD354*'Equity Price Data'!BG355</f>
        <v>4879.2</v>
      </c>
      <c r="BB354" s="30">
        <f>'Equity Volume Data'!BE354*'Equity Price Data'!BH355</f>
        <v>13485.6</v>
      </c>
      <c r="BC354" s="30">
        <f>'Equity Volume Data'!BF354*'Equity Price Data'!BI355</f>
        <v>15684.96</v>
      </c>
      <c r="BD354" s="30">
        <f>'Equity Volume Data'!BG354*'Equity Price Data'!BJ355</f>
        <v>48261.54</v>
      </c>
      <c r="BE354" s="30">
        <f>'Equity Volume Data'!BH354*'Equity Price Data'!BK355</f>
        <v>12332.37</v>
      </c>
      <c r="BF354" s="30">
        <f>'Equity Volume Data'!BI354*'Equity Price Data'!BL355</f>
        <v>7928.4</v>
      </c>
      <c r="BG354" s="30">
        <f>'Equity Volume Data'!BJ354*'Equity Price Data'!BM355</f>
        <v>32820.68</v>
      </c>
      <c r="BH354" s="30">
        <f>'Equity Volume Data'!BK354*'Equity Price Data'!BN355</f>
        <v>0</v>
      </c>
      <c r="BI354" s="30">
        <f>'Equity Volume Data'!BL354*'Equity Price Data'!BO355</f>
        <v>37224</v>
      </c>
      <c r="BJ354" s="30">
        <f>'Equity Volume Data'!BM354*'Equity Price Data'!BP355</f>
        <v>27744</v>
      </c>
      <c r="BK354" s="30">
        <f>'Equity Volume Data'!BN354*'Equity Price Data'!BQ355</f>
        <v>90190.1</v>
      </c>
      <c r="BL354" s="30">
        <f>'Equity Volume Data'!BO354*'Equity Price Data'!BR355</f>
        <v>468.59</v>
      </c>
      <c r="BM354" s="30">
        <f>'Equity Volume Data'!BP354*'Equity Price Data'!BS355</f>
        <v>10559.04</v>
      </c>
      <c r="BN354" s="30">
        <f>'Equity Volume Data'!BQ354*'Equity Price Data'!BT355</f>
        <v>21035.32</v>
      </c>
      <c r="BO354" s="30">
        <f>'Equity Volume Data'!BR354*'Equity Price Data'!BU355</f>
        <v>34410</v>
      </c>
    </row>
    <row r="355">
      <c r="A355" s="25">
        <f>'Equity Price Data'!A356</f>
        <v>45939.66667</v>
      </c>
      <c r="B355" s="29">
        <f t="shared" si="1"/>
        <v>1481443.55</v>
      </c>
      <c r="C355" s="30">
        <f>'Equity Volume Data'!F355*'Equity Price Data'!I356</f>
        <v>4517.11</v>
      </c>
      <c r="D355" s="30">
        <f>'Equity Volume Data'!G355*'Equity Price Data'!J356</f>
        <v>59212.4</v>
      </c>
      <c r="E355" s="30">
        <f>'Equity Volume Data'!H355*'Equity Price Data'!K356</f>
        <v>15515.5</v>
      </c>
      <c r="F355" s="30">
        <f>'Equity Volume Data'!I355*'Equity Price Data'!L356</f>
        <v>65034.24</v>
      </c>
      <c r="G355" s="30">
        <f>'Equity Volume Data'!J355*'Equity Price Data'!M356</f>
        <v>18284.9</v>
      </c>
      <c r="H355" s="30">
        <f>'Equity Volume Data'!K355*'Equity Price Data'!N356</f>
        <v>20082.16</v>
      </c>
      <c r="I355" s="30">
        <f>'Equity Volume Data'!L355*'Equity Price Data'!O356</f>
        <v>19930</v>
      </c>
      <c r="J355" s="30">
        <f>'Equity Volume Data'!M355*'Equity Price Data'!P356</f>
        <v>50667.48</v>
      </c>
      <c r="K355" s="30">
        <f>'Equity Volume Data'!N355*'Equity Price Data'!Q356</f>
        <v>11208</v>
      </c>
      <c r="L355" s="30">
        <f>'Equity Volume Data'!O355*'Equity Price Data'!R356</f>
        <v>18102.81</v>
      </c>
      <c r="M355" s="30">
        <f>'Equity Volume Data'!P355*'Equity Price Data'!S356</f>
        <v>14202.88</v>
      </c>
      <c r="N355" s="30">
        <f>'Equity Volume Data'!Q355*'Equity Price Data'!T356</f>
        <v>4648</v>
      </c>
      <c r="O355" s="30">
        <f>'Equity Volume Data'!R355*'Equity Price Data'!U356</f>
        <v>75054</v>
      </c>
      <c r="P355" s="30">
        <f>'Equity Volume Data'!S355*'Equity Price Data'!V356</f>
        <v>36166.41</v>
      </c>
      <c r="Q355" s="30">
        <f>'Equity Volume Data'!T355*'Equity Price Data'!W356</f>
        <v>23766</v>
      </c>
      <c r="R355" s="30">
        <f>'Equity Volume Data'!U355*'Equity Price Data'!X356</f>
        <v>12131.2</v>
      </c>
      <c r="S355" s="30">
        <f>'Equity Volume Data'!V355*'Equity Price Data'!Y356</f>
        <v>26939.44</v>
      </c>
      <c r="T355" s="30">
        <f>'Equity Volume Data'!W355*'Equity Price Data'!Z356</f>
        <v>12962.5</v>
      </c>
      <c r="U355" s="30">
        <f>'Equity Volume Data'!X355*'Equity Price Data'!AA356</f>
        <v>17521.68</v>
      </c>
      <c r="V355" s="30">
        <f>'Equity Volume Data'!Y355*'Equity Price Data'!AB356</f>
        <v>16228.8</v>
      </c>
      <c r="W355" s="30">
        <f>'Equity Volume Data'!Z355*'Equity Price Data'!AC356</f>
        <v>12089.49</v>
      </c>
      <c r="X355" s="30">
        <f>'Equity Volume Data'!AA355*'Equity Price Data'!AD356</f>
        <v>0</v>
      </c>
      <c r="Y355" s="30">
        <f>'Equity Volume Data'!AB355*'Equity Price Data'!AE356</f>
        <v>5269.29</v>
      </c>
      <c r="Z355" s="30">
        <f>'Equity Volume Data'!AC355*'Equity Price Data'!AF356</f>
        <v>13519.5</v>
      </c>
      <c r="AA355" s="30">
        <f>'Equity Volume Data'!AD355*'Equity Price Data'!AG356</f>
        <v>19194.7</v>
      </c>
      <c r="AB355" s="30">
        <f>'Equity Volume Data'!AE355*'Equity Price Data'!AH356</f>
        <v>14220</v>
      </c>
      <c r="AC355" s="30">
        <f>'Equity Volume Data'!AF355*'Equity Price Data'!AI356</f>
        <v>16295.2</v>
      </c>
      <c r="AD355" s="30">
        <f>'Equity Volume Data'!AG355*'Equity Price Data'!AJ356</f>
        <v>15424.65</v>
      </c>
      <c r="AE355" s="30">
        <f>'Equity Volume Data'!AH355*'Equity Price Data'!AK356</f>
        <v>0</v>
      </c>
      <c r="AF355" s="30">
        <f>'Equity Volume Data'!AI355*'Equity Price Data'!AL356</f>
        <v>23931.7</v>
      </c>
      <c r="AG355" s="30">
        <f>'Equity Volume Data'!AJ355*'Equity Price Data'!AM356</f>
        <v>46797.6</v>
      </c>
      <c r="AH355" s="30">
        <f>'Equity Volume Data'!AK355*'Equity Price Data'!AN356</f>
        <v>37769</v>
      </c>
      <c r="AI355" s="30">
        <f>'Equity Volume Data'!AL355*'Equity Price Data'!AO356</f>
        <v>25812.5</v>
      </c>
      <c r="AJ355" s="30">
        <f>'Equity Volume Data'!AM355*'Equity Price Data'!AP356</f>
        <v>20709</v>
      </c>
      <c r="AK355" s="30">
        <f>'Equity Volume Data'!AN355*'Equity Price Data'!AQ356</f>
        <v>20856.72</v>
      </c>
      <c r="AL355" s="30">
        <f>'Equity Volume Data'!AO355*'Equity Price Data'!AR356</f>
        <v>48884.8</v>
      </c>
      <c r="AM355" s="30">
        <f>'Equity Volume Data'!AP355*'Equity Price Data'!AS356</f>
        <v>35543.2</v>
      </c>
      <c r="AN355" s="30">
        <f>'Equity Volume Data'!AQ355*'Equity Price Data'!AT356</f>
        <v>0</v>
      </c>
      <c r="AO355" s="30">
        <f>'Equity Volume Data'!AR355*'Equity Price Data'!AU356</f>
        <v>27276.76</v>
      </c>
      <c r="AP355" s="30">
        <f>'Equity Volume Data'!AS355*'Equity Price Data'!AV356</f>
        <v>24125</v>
      </c>
      <c r="AQ355" s="30">
        <f>'Equity Volume Data'!AT355*'Equity Price Data'!AW356</f>
        <v>18035.6</v>
      </c>
      <c r="AR355" s="30">
        <f>'Equity Volume Data'!AU355*'Equity Price Data'!AX356</f>
        <v>16120.67</v>
      </c>
      <c r="AS355" s="30">
        <f>'Equity Volume Data'!AV355*'Equity Price Data'!AY356</f>
        <v>62688</v>
      </c>
      <c r="AT355" s="30">
        <f>'Equity Volume Data'!AW355*'Equity Price Data'!AZ356</f>
        <v>16742</v>
      </c>
      <c r="AU355" s="30">
        <f>'Equity Volume Data'!AX355*'Equity Price Data'!BA356</f>
        <v>0</v>
      </c>
      <c r="AV355" s="30">
        <f>'Equity Volume Data'!AY355*'Equity Price Data'!BB356</f>
        <v>27344.94</v>
      </c>
      <c r="AW355" s="30">
        <f>'Equity Volume Data'!AZ355*'Equity Price Data'!BC356</f>
        <v>3588.8</v>
      </c>
      <c r="AX355" s="30">
        <f>'Equity Volume Data'!BA355*'Equity Price Data'!BD356</f>
        <v>0</v>
      </c>
      <c r="AY355" s="30">
        <f>'Equity Volume Data'!BB355*'Equity Price Data'!BE356</f>
        <v>41730.75</v>
      </c>
      <c r="AZ355" s="30">
        <f>'Equity Volume Data'!BC355*'Equity Price Data'!BF356</f>
        <v>11362.5</v>
      </c>
      <c r="BA355" s="30">
        <f>'Equity Volume Data'!BD355*'Equity Price Data'!BG356</f>
        <v>4795.6</v>
      </c>
      <c r="BB355" s="30">
        <f>'Equity Volume Data'!BE355*'Equity Price Data'!BH356</f>
        <v>12974.4</v>
      </c>
      <c r="BC355" s="30">
        <f>'Equity Volume Data'!BF355*'Equity Price Data'!BI356</f>
        <v>15619.36</v>
      </c>
      <c r="BD355" s="30">
        <f>'Equity Volume Data'!BG355*'Equity Price Data'!BJ356</f>
        <v>48182.73</v>
      </c>
      <c r="BE355" s="30">
        <f>'Equity Volume Data'!BH355*'Equity Price Data'!BK356</f>
        <v>12297.64</v>
      </c>
      <c r="BF355" s="30">
        <f>'Equity Volume Data'!BI355*'Equity Price Data'!BL356</f>
        <v>7693.2</v>
      </c>
      <c r="BG355" s="30">
        <f>'Equity Volume Data'!BJ355*'Equity Price Data'!BM356</f>
        <v>31408.44</v>
      </c>
      <c r="BH355" s="30">
        <f>'Equity Volume Data'!BK355*'Equity Price Data'!BN356</f>
        <v>0</v>
      </c>
      <c r="BI355" s="30">
        <f>'Equity Volume Data'!BL355*'Equity Price Data'!BO356</f>
        <v>37046.4</v>
      </c>
      <c r="BJ355" s="30">
        <f>'Equity Volume Data'!BM355*'Equity Price Data'!BP356</f>
        <v>27576.75</v>
      </c>
      <c r="BK355" s="30">
        <f>'Equity Volume Data'!BN355*'Equity Price Data'!BQ356</f>
        <v>90154.06</v>
      </c>
      <c r="BL355" s="30">
        <f>'Equity Volume Data'!BO355*'Equity Price Data'!BR356</f>
        <v>469.53</v>
      </c>
      <c r="BM355" s="30">
        <f>'Equity Volume Data'!BP355*'Equity Price Data'!BS356</f>
        <v>10441.44</v>
      </c>
      <c r="BN355" s="30">
        <f>'Equity Volume Data'!BQ355*'Equity Price Data'!BT356</f>
        <v>20866.12</v>
      </c>
      <c r="BO355" s="30">
        <f>'Equity Volume Data'!BR355*'Equity Price Data'!BU356</f>
        <v>34410</v>
      </c>
    </row>
    <row r="356">
      <c r="A356" s="25">
        <f>'Equity Price Data'!A357</f>
        <v>45940.66667</v>
      </c>
      <c r="B356" s="29">
        <f t="shared" si="1"/>
        <v>1454763.38</v>
      </c>
      <c r="C356" s="30">
        <f>'Equity Volume Data'!F356*'Equity Price Data'!I357</f>
        <v>4387.63</v>
      </c>
      <c r="D356" s="30">
        <f>'Equity Volume Data'!G356*'Equity Price Data'!J357</f>
        <v>56256.2</v>
      </c>
      <c r="E356" s="30">
        <f>'Equity Volume Data'!H356*'Equity Price Data'!K357</f>
        <v>15727.8</v>
      </c>
      <c r="F356" s="30">
        <f>'Equity Volume Data'!I356*'Equity Price Data'!L357</f>
        <v>62789.12</v>
      </c>
      <c r="G356" s="30">
        <f>'Equity Volume Data'!J356*'Equity Price Data'!M357</f>
        <v>17425.85</v>
      </c>
      <c r="H356" s="30">
        <f>'Equity Volume Data'!K356*'Equity Price Data'!N357</f>
        <v>19653.52</v>
      </c>
      <c r="I356" s="30">
        <f>'Equity Volume Data'!L356*'Equity Price Data'!O357</f>
        <v>19740</v>
      </c>
      <c r="J356" s="30">
        <f>'Equity Volume Data'!M356*'Equity Price Data'!P357</f>
        <v>49891.26</v>
      </c>
      <c r="K356" s="30">
        <f>'Equity Volume Data'!N356*'Equity Price Data'!Q357</f>
        <v>10724</v>
      </c>
      <c r="L356" s="30">
        <f>'Equity Volume Data'!O356*'Equity Price Data'!R357</f>
        <v>17734.97</v>
      </c>
      <c r="M356" s="30">
        <f>'Equity Volume Data'!P356*'Equity Price Data'!S357</f>
        <v>13929.86</v>
      </c>
      <c r="N356" s="30">
        <f>'Equity Volume Data'!Q356*'Equity Price Data'!T357</f>
        <v>4532.8</v>
      </c>
      <c r="O356" s="30">
        <f>'Equity Volume Data'!R356*'Equity Price Data'!U357</f>
        <v>73695</v>
      </c>
      <c r="P356" s="30">
        <f>'Equity Volume Data'!S356*'Equity Price Data'!V357</f>
        <v>36133.05</v>
      </c>
      <c r="Q356" s="30">
        <f>'Equity Volume Data'!T356*'Equity Price Data'!W357</f>
        <v>23467.2</v>
      </c>
      <c r="R356" s="30">
        <f>'Equity Volume Data'!U356*'Equity Price Data'!X357</f>
        <v>11912</v>
      </c>
      <c r="S356" s="30">
        <f>'Equity Volume Data'!V356*'Equity Price Data'!Y357</f>
        <v>26464.24</v>
      </c>
      <c r="T356" s="30">
        <f>'Equity Volume Data'!W356*'Equity Price Data'!Z357</f>
        <v>12312.5</v>
      </c>
      <c r="U356" s="30">
        <f>'Equity Volume Data'!X356*'Equity Price Data'!AA357</f>
        <v>17698.56</v>
      </c>
      <c r="V356" s="30">
        <f>'Equity Volume Data'!Y356*'Equity Price Data'!AB357</f>
        <v>16484.79</v>
      </c>
      <c r="W356" s="30">
        <f>'Equity Volume Data'!Z356*'Equity Price Data'!AC357</f>
        <v>11625.81</v>
      </c>
      <c r="X356" s="30">
        <f>'Equity Volume Data'!AA356*'Equity Price Data'!AD357</f>
        <v>0</v>
      </c>
      <c r="Y356" s="30">
        <f>'Equity Volume Data'!AB356*'Equity Price Data'!AE357</f>
        <v>5282.81</v>
      </c>
      <c r="Z356" s="30">
        <f>'Equity Volume Data'!AC356*'Equity Price Data'!AF357</f>
        <v>13282.5</v>
      </c>
      <c r="AA356" s="30">
        <f>'Equity Volume Data'!AD356*'Equity Price Data'!AG357</f>
        <v>18824.1</v>
      </c>
      <c r="AB356" s="30">
        <f>'Equity Volume Data'!AE356*'Equity Price Data'!AH357</f>
        <v>13477.8</v>
      </c>
      <c r="AC356" s="30">
        <f>'Equity Volume Data'!AF356*'Equity Price Data'!AI357</f>
        <v>15828.8</v>
      </c>
      <c r="AD356" s="30">
        <f>'Equity Volume Data'!AG356*'Equity Price Data'!AJ357</f>
        <v>14982.3</v>
      </c>
      <c r="AE356" s="30">
        <f>'Equity Volume Data'!AH356*'Equity Price Data'!AK357</f>
        <v>0</v>
      </c>
      <c r="AF356" s="30">
        <f>'Equity Volume Data'!AI356*'Equity Price Data'!AL357</f>
        <v>24021.9</v>
      </c>
      <c r="AG356" s="30">
        <f>'Equity Volume Data'!AJ356*'Equity Price Data'!AM357</f>
        <v>45861.6</v>
      </c>
      <c r="AH356" s="30">
        <f>'Equity Volume Data'!AK356*'Equity Price Data'!AN357</f>
        <v>37575</v>
      </c>
      <c r="AI356" s="30">
        <f>'Equity Volume Data'!AL356*'Equity Price Data'!AO357</f>
        <v>25376.75</v>
      </c>
      <c r="AJ356" s="30">
        <f>'Equity Volume Data'!AM356*'Equity Price Data'!AP357</f>
        <v>20475</v>
      </c>
      <c r="AK356" s="30">
        <f>'Equity Volume Data'!AN356*'Equity Price Data'!AQ357</f>
        <v>20190.73</v>
      </c>
      <c r="AL356" s="30">
        <f>'Equity Volume Data'!AO356*'Equity Price Data'!AR357</f>
        <v>48142.4</v>
      </c>
      <c r="AM356" s="30">
        <f>'Equity Volume Data'!AP356*'Equity Price Data'!AS357</f>
        <v>35353.5</v>
      </c>
      <c r="AN356" s="30">
        <f>'Equity Volume Data'!AQ356*'Equity Price Data'!AT357</f>
        <v>0</v>
      </c>
      <c r="AO356" s="30">
        <f>'Equity Volume Data'!AR356*'Equity Price Data'!AU357</f>
        <v>27071.8</v>
      </c>
      <c r="AP356" s="30">
        <f>'Equity Volume Data'!AS356*'Equity Price Data'!AV357</f>
        <v>23862.5</v>
      </c>
      <c r="AQ356" s="30">
        <f>'Equity Volume Data'!AT356*'Equity Price Data'!AW357</f>
        <v>17549.4</v>
      </c>
      <c r="AR356" s="30">
        <f>'Equity Volume Data'!AU356*'Equity Price Data'!AX357</f>
        <v>17469.82</v>
      </c>
      <c r="AS356" s="30">
        <f>'Equity Volume Data'!AV356*'Equity Price Data'!AY357</f>
        <v>61315.2</v>
      </c>
      <c r="AT356" s="30">
        <f>'Equity Volume Data'!AW356*'Equity Price Data'!AZ357</f>
        <v>16670</v>
      </c>
      <c r="AU356" s="30">
        <f>'Equity Volume Data'!AX356*'Equity Price Data'!BA357</f>
        <v>0</v>
      </c>
      <c r="AV356" s="30">
        <f>'Equity Volume Data'!AY356*'Equity Price Data'!BB357</f>
        <v>26008.72</v>
      </c>
      <c r="AW356" s="30">
        <f>'Equity Volume Data'!AZ356*'Equity Price Data'!BC357</f>
        <v>3578.4</v>
      </c>
      <c r="AX356" s="30">
        <f>'Equity Volume Data'!BA356*'Equity Price Data'!BD357</f>
        <v>0</v>
      </c>
      <c r="AY356" s="30">
        <f>'Equity Volume Data'!BB356*'Equity Price Data'!BE357</f>
        <v>39474</v>
      </c>
      <c r="AZ356" s="30">
        <f>'Equity Volume Data'!BC356*'Equity Price Data'!BF357</f>
        <v>10476</v>
      </c>
      <c r="BA356" s="30">
        <f>'Equity Volume Data'!BD356*'Equity Price Data'!BG357</f>
        <v>4708.2</v>
      </c>
      <c r="BB356" s="30">
        <f>'Equity Volume Data'!BE356*'Equity Price Data'!BH357</f>
        <v>12616</v>
      </c>
      <c r="BC356" s="30">
        <f>'Equity Volume Data'!BF356*'Equity Price Data'!BI357</f>
        <v>15822.72</v>
      </c>
      <c r="BD356" s="30">
        <f>'Equity Volume Data'!BG356*'Equity Price Data'!BJ357</f>
        <v>48732.27</v>
      </c>
      <c r="BE356" s="30">
        <f>'Equity Volume Data'!BH356*'Equity Price Data'!BK357</f>
        <v>12070.4</v>
      </c>
      <c r="BF356" s="30">
        <f>'Equity Volume Data'!BI356*'Equity Price Data'!BL357</f>
        <v>7408.8</v>
      </c>
      <c r="BG356" s="30">
        <f>'Equity Volume Data'!BJ356*'Equity Price Data'!BM357</f>
        <v>29826.62</v>
      </c>
      <c r="BH356" s="30">
        <f>'Equity Volume Data'!BK356*'Equity Price Data'!BN357</f>
        <v>0</v>
      </c>
      <c r="BI356" s="30">
        <f>'Equity Volume Data'!BL356*'Equity Price Data'!BO357</f>
        <v>36072</v>
      </c>
      <c r="BJ356" s="30">
        <f>'Equity Volume Data'!BM356*'Equity Price Data'!BP357</f>
        <v>26587.5</v>
      </c>
      <c r="BK356" s="30">
        <f>'Equity Volume Data'!BN356*'Equity Price Data'!BQ357</f>
        <v>90262.18</v>
      </c>
      <c r="BL356" s="30">
        <f>'Equity Volume Data'!BO356*'Equity Price Data'!BR357</f>
        <v>457.78</v>
      </c>
      <c r="BM356" s="30">
        <f>'Equity Volume Data'!BP356*'Equity Price Data'!BS357</f>
        <v>10524</v>
      </c>
      <c r="BN356" s="30">
        <f>'Equity Volume Data'!BQ356*'Equity Price Data'!BT357</f>
        <v>20527.72</v>
      </c>
      <c r="BO356" s="30">
        <f>'Equity Volume Data'!BR356*'Equity Price Data'!BU357</f>
        <v>34410</v>
      </c>
    </row>
    <row r="357">
      <c r="A357" s="25">
        <f>'Equity Price Data'!A358</f>
        <v>45943.66667</v>
      </c>
      <c r="B357" s="29">
        <f t="shared" si="1"/>
        <v>1473230.65</v>
      </c>
      <c r="C357" s="30">
        <f>'Equity Volume Data'!F357*'Equity Price Data'!I358</f>
        <v>4411.16</v>
      </c>
      <c r="D357" s="30">
        <f>'Equity Volume Data'!G357*'Equity Price Data'!J358</f>
        <v>57218.2</v>
      </c>
      <c r="E357" s="30">
        <f>'Equity Volume Data'!H357*'Equity Price Data'!K358</f>
        <v>15359.3</v>
      </c>
      <c r="F357" s="30">
        <f>'Equity Volume Data'!I357*'Equity Price Data'!L358</f>
        <v>63400.96</v>
      </c>
      <c r="G357" s="30">
        <f>'Equity Volume Data'!J357*'Equity Price Data'!M358</f>
        <v>18216.84</v>
      </c>
      <c r="H357" s="30">
        <f>'Equity Volume Data'!K357*'Equity Price Data'!N358</f>
        <v>19984.4</v>
      </c>
      <c r="I357" s="30">
        <f>'Equity Volume Data'!L357*'Equity Price Data'!O358</f>
        <v>20080</v>
      </c>
      <c r="J357" s="30">
        <f>'Equity Volume Data'!M357*'Equity Price Data'!P358</f>
        <v>50176.86</v>
      </c>
      <c r="K357" s="30">
        <f>'Equity Volume Data'!N357*'Equity Price Data'!Q358</f>
        <v>11142</v>
      </c>
      <c r="L357" s="30">
        <f>'Equity Volume Data'!O357*'Equity Price Data'!R358</f>
        <v>17507.49</v>
      </c>
      <c r="M357" s="30">
        <f>'Equity Volume Data'!P357*'Equity Price Data'!S358</f>
        <v>13862.7</v>
      </c>
      <c r="N357" s="30">
        <f>'Equity Volume Data'!Q357*'Equity Price Data'!T358</f>
        <v>4549.6</v>
      </c>
      <c r="O357" s="30">
        <f>'Equity Volume Data'!R357*'Equity Price Data'!U358</f>
        <v>75714</v>
      </c>
      <c r="P357" s="30">
        <f>'Equity Volume Data'!S357*'Equity Price Data'!V358</f>
        <v>38426.55</v>
      </c>
      <c r="Q357" s="30">
        <f>'Equity Volume Data'!T357*'Equity Price Data'!W358</f>
        <v>23382</v>
      </c>
      <c r="R357" s="30">
        <f>'Equity Volume Data'!U357*'Equity Price Data'!X358</f>
        <v>12155.2</v>
      </c>
      <c r="S357" s="30">
        <f>'Equity Volume Data'!V357*'Equity Price Data'!Y358</f>
        <v>25996.08</v>
      </c>
      <c r="T357" s="30">
        <f>'Equity Volume Data'!W357*'Equity Price Data'!Z358</f>
        <v>12562.5</v>
      </c>
      <c r="U357" s="30">
        <f>'Equity Volume Data'!X357*'Equity Price Data'!AA358</f>
        <v>17635.2</v>
      </c>
      <c r="V357" s="30">
        <f>'Equity Volume Data'!Y357*'Equity Price Data'!AB358</f>
        <v>16238.46</v>
      </c>
      <c r="W357" s="30">
        <f>'Equity Volume Data'!Z357*'Equity Price Data'!AC358</f>
        <v>11837.64</v>
      </c>
      <c r="X357" s="30">
        <f>'Equity Volume Data'!AA357*'Equity Price Data'!AD358</f>
        <v>0</v>
      </c>
      <c r="Y357" s="30">
        <f>'Equity Volume Data'!AB357*'Equity Price Data'!AE358</f>
        <v>5307.38</v>
      </c>
      <c r="Z357" s="30">
        <f>'Equity Volume Data'!AC357*'Equity Price Data'!AF358</f>
        <v>13404</v>
      </c>
      <c r="AA357" s="30">
        <f>'Equity Volume Data'!AD357*'Equity Price Data'!AG358</f>
        <v>19080.8</v>
      </c>
      <c r="AB357" s="30">
        <f>'Equity Volume Data'!AE357*'Equity Price Data'!AH358</f>
        <v>13779</v>
      </c>
      <c r="AC357" s="30">
        <f>'Equity Volume Data'!AF357*'Equity Price Data'!AI358</f>
        <v>15148.8</v>
      </c>
      <c r="AD357" s="30">
        <f>'Equity Volume Data'!AG357*'Equity Price Data'!AJ358</f>
        <v>15047.55</v>
      </c>
      <c r="AE357" s="30">
        <f>'Equity Volume Data'!AH357*'Equity Price Data'!AK358</f>
        <v>0</v>
      </c>
      <c r="AF357" s="30">
        <f>'Equity Volume Data'!AI357*'Equity Price Data'!AL358</f>
        <v>24233.05</v>
      </c>
      <c r="AG357" s="30">
        <f>'Equity Volume Data'!AJ357*'Equity Price Data'!AM358</f>
        <v>47206.8</v>
      </c>
      <c r="AH357" s="30">
        <f>'Equity Volume Data'!AK357*'Equity Price Data'!AN358</f>
        <v>37937</v>
      </c>
      <c r="AI357" s="30">
        <f>'Equity Volume Data'!AL357*'Equity Price Data'!AO358</f>
        <v>25852.75</v>
      </c>
      <c r="AJ357" s="30">
        <f>'Equity Volume Data'!AM357*'Equity Price Data'!AP358</f>
        <v>20637.5</v>
      </c>
      <c r="AK357" s="30">
        <f>'Equity Volume Data'!AN357*'Equity Price Data'!AQ358</f>
        <v>20479.31</v>
      </c>
      <c r="AL357" s="30">
        <f>'Equity Volume Data'!AO357*'Equity Price Data'!AR358</f>
        <v>49275.2</v>
      </c>
      <c r="AM357" s="30">
        <f>'Equity Volume Data'!AP357*'Equity Price Data'!AS358</f>
        <v>35268.1</v>
      </c>
      <c r="AN357" s="30">
        <f>'Equity Volume Data'!AQ357*'Equity Price Data'!AT358</f>
        <v>0</v>
      </c>
      <c r="AO357" s="30">
        <f>'Equity Volume Data'!AR357*'Equity Price Data'!AU358</f>
        <v>27421.94</v>
      </c>
      <c r="AP357" s="30">
        <f>'Equity Volume Data'!AS357*'Equity Price Data'!AV358</f>
        <v>23895</v>
      </c>
      <c r="AQ357" s="30">
        <f>'Equity Volume Data'!AT357*'Equity Price Data'!AW358</f>
        <v>17780.4</v>
      </c>
      <c r="AR357" s="30">
        <f>'Equity Volume Data'!AU357*'Equity Price Data'!AX358</f>
        <v>21198.38</v>
      </c>
      <c r="AS357" s="30">
        <f>'Equity Volume Data'!AV357*'Equity Price Data'!AY358</f>
        <v>61686</v>
      </c>
      <c r="AT357" s="30">
        <f>'Equity Volume Data'!AW357*'Equity Price Data'!AZ358</f>
        <v>16860</v>
      </c>
      <c r="AU357" s="30">
        <f>'Equity Volume Data'!AX357*'Equity Price Data'!BA358</f>
        <v>0</v>
      </c>
      <c r="AV357" s="30">
        <f>'Equity Volume Data'!AY357*'Equity Price Data'!BB358</f>
        <v>26741.44</v>
      </c>
      <c r="AW357" s="30">
        <f>'Equity Volume Data'!AZ357*'Equity Price Data'!BC358</f>
        <v>3567.2</v>
      </c>
      <c r="AX357" s="30">
        <f>'Equity Volume Data'!BA357*'Equity Price Data'!BD358</f>
        <v>0</v>
      </c>
      <c r="AY357" s="30">
        <f>'Equity Volume Data'!BB357*'Equity Price Data'!BE358</f>
        <v>39872.25</v>
      </c>
      <c r="AZ357" s="30">
        <f>'Equity Volume Data'!BC357*'Equity Price Data'!BF358</f>
        <v>10329</v>
      </c>
      <c r="BA357" s="30">
        <f>'Equity Volume Data'!BD357*'Equity Price Data'!BG358</f>
        <v>4698.7</v>
      </c>
      <c r="BB357" s="30">
        <f>'Equity Volume Data'!BE357*'Equity Price Data'!BH358</f>
        <v>12708</v>
      </c>
      <c r="BC357" s="30">
        <f>'Equity Volume Data'!BF357*'Equity Price Data'!BI358</f>
        <v>15990</v>
      </c>
      <c r="BD357" s="30">
        <f>'Equity Volume Data'!BG357*'Equity Price Data'!BJ358</f>
        <v>47937.78</v>
      </c>
      <c r="BE357" s="30">
        <f>'Equity Volume Data'!BH357*'Equity Price Data'!BK358</f>
        <v>12065.34</v>
      </c>
      <c r="BF357" s="30">
        <f>'Equity Volume Data'!BI357*'Equity Price Data'!BL358</f>
        <v>7515.2</v>
      </c>
      <c r="BG357" s="30">
        <f>'Equity Volume Data'!BJ357*'Equity Price Data'!BM358</f>
        <v>31055.38</v>
      </c>
      <c r="BH357" s="30">
        <f>'Equity Volume Data'!BK357*'Equity Price Data'!BN358</f>
        <v>0</v>
      </c>
      <c r="BI357" s="30">
        <f>'Equity Volume Data'!BL357*'Equity Price Data'!BO358</f>
        <v>36136</v>
      </c>
      <c r="BJ357" s="30">
        <f>'Equity Volume Data'!BM357*'Equity Price Data'!BP358</f>
        <v>26899.5</v>
      </c>
      <c r="BK357" s="30">
        <f>'Equity Volume Data'!BN357*'Equity Price Data'!BQ358</f>
        <v>90334.26</v>
      </c>
      <c r="BL357" s="30">
        <f>'Equity Volume Data'!BO357*'Equity Price Data'!BR358</f>
        <v>463.42</v>
      </c>
      <c r="BM357" s="30">
        <f>'Equity Volume Data'!BP357*'Equity Price Data'!BS358</f>
        <v>10420.32</v>
      </c>
      <c r="BN357" s="30">
        <f>'Equity Volume Data'!BQ357*'Equity Price Data'!BT358</f>
        <v>20730.76</v>
      </c>
      <c r="BO357" s="30">
        <f>'Equity Volume Data'!BR357*'Equity Price Data'!BU358</f>
        <v>34410</v>
      </c>
    </row>
    <row r="358">
      <c r="A358" s="25">
        <f>'Equity Price Data'!A359</f>
        <v>45944.66667</v>
      </c>
      <c r="B358" s="29">
        <f t="shared" si="1"/>
        <v>1481323.73</v>
      </c>
      <c r="C358" s="30">
        <f>'Equity Volume Data'!F358*'Equity Price Data'!I359</f>
        <v>4367.22</v>
      </c>
      <c r="D358" s="30">
        <f>'Equity Volume Data'!G358*'Equity Price Data'!J359</f>
        <v>56261.4</v>
      </c>
      <c r="E358" s="30">
        <f>'Equity Volume Data'!H358*'Equity Price Data'!K359</f>
        <v>15571.6</v>
      </c>
      <c r="F358" s="30">
        <f>'Equity Volume Data'!I358*'Equity Price Data'!L359</f>
        <v>63429.12</v>
      </c>
      <c r="G358" s="30">
        <f>'Equity Volume Data'!J358*'Equity Price Data'!M359</f>
        <v>18109.77</v>
      </c>
      <c r="H358" s="30">
        <f>'Equity Volume Data'!K358*'Equity Price Data'!N359</f>
        <v>20136.68</v>
      </c>
      <c r="I358" s="30">
        <f>'Equity Volume Data'!L358*'Equity Price Data'!O359</f>
        <v>20440</v>
      </c>
      <c r="J358" s="30">
        <f>'Equity Volume Data'!M358*'Equity Price Data'!P359</f>
        <v>50588.94</v>
      </c>
      <c r="K358" s="30">
        <f>'Equity Volume Data'!N358*'Equity Price Data'!Q359</f>
        <v>11284</v>
      </c>
      <c r="L358" s="30">
        <f>'Equity Volume Data'!O358*'Equity Price Data'!R359</f>
        <v>17582.51</v>
      </c>
      <c r="M358" s="30">
        <f>'Equity Volume Data'!P358*'Equity Price Data'!S359</f>
        <v>14051.04</v>
      </c>
      <c r="N358" s="30">
        <f>'Equity Volume Data'!Q358*'Equity Price Data'!T359</f>
        <v>4600</v>
      </c>
      <c r="O358" s="30">
        <f>'Equity Volume Data'!R358*'Equity Price Data'!U359</f>
        <v>79120.5</v>
      </c>
      <c r="P358" s="30">
        <f>'Equity Volume Data'!S358*'Equity Price Data'!V359</f>
        <v>38860.23</v>
      </c>
      <c r="Q358" s="30">
        <f>'Equity Volume Data'!T358*'Equity Price Data'!W359</f>
        <v>23289.6</v>
      </c>
      <c r="R358" s="30">
        <f>'Equity Volume Data'!U358*'Equity Price Data'!X359</f>
        <v>12191.2</v>
      </c>
      <c r="S358" s="30">
        <f>'Equity Volume Data'!V358*'Equity Price Data'!Y359</f>
        <v>26587.44</v>
      </c>
      <c r="T358" s="30">
        <f>'Equity Volume Data'!W358*'Equity Price Data'!Z359</f>
        <v>12950</v>
      </c>
      <c r="U358" s="30">
        <f>'Equity Volume Data'!X358*'Equity Price Data'!AA359</f>
        <v>17822.64</v>
      </c>
      <c r="V358" s="30">
        <f>'Equity Volume Data'!Y358*'Equity Price Data'!AB359</f>
        <v>16404.29</v>
      </c>
      <c r="W358" s="30">
        <f>'Equity Volume Data'!Z358*'Equity Price Data'!AC359</f>
        <v>11859.72</v>
      </c>
      <c r="X358" s="30">
        <f>'Equity Volume Data'!AA358*'Equity Price Data'!AD359</f>
        <v>0</v>
      </c>
      <c r="Y358" s="30">
        <f>'Equity Volume Data'!AB358*'Equity Price Data'!AE359</f>
        <v>5514.99</v>
      </c>
      <c r="Z358" s="30">
        <f>'Equity Volume Data'!AC358*'Equity Price Data'!AF359</f>
        <v>13659</v>
      </c>
      <c r="AA358" s="30">
        <f>'Equity Volume Data'!AD358*'Equity Price Data'!AG359</f>
        <v>19089.3</v>
      </c>
      <c r="AB358" s="30">
        <f>'Equity Volume Data'!AE358*'Equity Price Data'!AH359</f>
        <v>14080.2</v>
      </c>
      <c r="AC358" s="30">
        <f>'Equity Volume Data'!AF358*'Equity Price Data'!AI359</f>
        <v>15287.6</v>
      </c>
      <c r="AD358" s="30">
        <f>'Equity Volume Data'!AG358*'Equity Price Data'!AJ359</f>
        <v>15097.5</v>
      </c>
      <c r="AE358" s="30">
        <f>'Equity Volume Data'!AH358*'Equity Price Data'!AK359</f>
        <v>0</v>
      </c>
      <c r="AF358" s="30">
        <f>'Equity Volume Data'!AI358*'Equity Price Data'!AL359</f>
        <v>24288.4</v>
      </c>
      <c r="AG358" s="30">
        <f>'Equity Volume Data'!AJ358*'Equity Price Data'!AM359</f>
        <v>46245.6</v>
      </c>
      <c r="AH358" s="30">
        <f>'Equity Volume Data'!AK358*'Equity Price Data'!AN359</f>
        <v>38772</v>
      </c>
      <c r="AI358" s="30">
        <f>'Equity Volume Data'!AL358*'Equity Price Data'!AO359</f>
        <v>26020.75</v>
      </c>
      <c r="AJ358" s="30">
        <f>'Equity Volume Data'!AM358*'Equity Price Data'!AP359</f>
        <v>20575.1</v>
      </c>
      <c r="AK358" s="30">
        <f>'Equity Volume Data'!AN358*'Equity Price Data'!AQ359</f>
        <v>20510.33</v>
      </c>
      <c r="AL358" s="30">
        <f>'Equity Volume Data'!AO358*'Equity Price Data'!AR359</f>
        <v>48332.8</v>
      </c>
      <c r="AM358" s="30">
        <f>'Equity Volume Data'!AP358*'Equity Price Data'!AS359</f>
        <v>35362.6</v>
      </c>
      <c r="AN358" s="30">
        <f>'Equity Volume Data'!AQ358*'Equity Price Data'!AT359</f>
        <v>0</v>
      </c>
      <c r="AO358" s="30">
        <f>'Equity Volume Data'!AR358*'Equity Price Data'!AU359</f>
        <v>27609.82</v>
      </c>
      <c r="AP358" s="30">
        <f>'Equity Volume Data'!AS358*'Equity Price Data'!AV359</f>
        <v>24135</v>
      </c>
      <c r="AQ358" s="30">
        <f>'Equity Volume Data'!AT358*'Equity Price Data'!AW359</f>
        <v>18235.8</v>
      </c>
      <c r="AR358" s="30">
        <f>'Equity Volume Data'!AU358*'Equity Price Data'!AX359</f>
        <v>21998.95</v>
      </c>
      <c r="AS358" s="30">
        <f>'Equity Volume Data'!AV358*'Equity Price Data'!AY359</f>
        <v>61628.4</v>
      </c>
      <c r="AT358" s="30">
        <f>'Equity Volume Data'!AW358*'Equity Price Data'!AZ359</f>
        <v>16928</v>
      </c>
      <c r="AU358" s="30">
        <f>'Equity Volume Data'!AX358*'Equity Price Data'!BA359</f>
        <v>0</v>
      </c>
      <c r="AV358" s="30">
        <f>'Equity Volume Data'!AY358*'Equity Price Data'!BB359</f>
        <v>25564.26</v>
      </c>
      <c r="AW358" s="30">
        <f>'Equity Volume Data'!AZ358*'Equity Price Data'!BC359</f>
        <v>3632.8</v>
      </c>
      <c r="AX358" s="30">
        <f>'Equity Volume Data'!BA358*'Equity Price Data'!BD359</f>
        <v>0</v>
      </c>
      <c r="AY358" s="30">
        <f>'Equity Volume Data'!BB358*'Equity Price Data'!BE359</f>
        <v>40441.5</v>
      </c>
      <c r="AZ358" s="30">
        <f>'Equity Volume Data'!BC358*'Equity Price Data'!BF359</f>
        <v>10372.5</v>
      </c>
      <c r="BA358" s="30">
        <f>'Equity Volume Data'!BD358*'Equity Price Data'!BG359</f>
        <v>4658.8</v>
      </c>
      <c r="BB358" s="30">
        <f>'Equity Volume Data'!BE358*'Equity Price Data'!BH359</f>
        <v>12752</v>
      </c>
      <c r="BC358" s="30">
        <f>'Equity Volume Data'!BF358*'Equity Price Data'!BI359</f>
        <v>15580</v>
      </c>
      <c r="BD358" s="30">
        <f>'Equity Volume Data'!BG358*'Equity Price Data'!BJ359</f>
        <v>48866.46</v>
      </c>
      <c r="BE358" s="30">
        <f>'Equity Volume Data'!BH358*'Equity Price Data'!BK359</f>
        <v>12094.09</v>
      </c>
      <c r="BF358" s="30">
        <f>'Equity Volume Data'!BI358*'Equity Price Data'!BL359</f>
        <v>7669.6</v>
      </c>
      <c r="BG358" s="30">
        <f>'Equity Volume Data'!BJ358*'Equity Price Data'!BM359</f>
        <v>30921.94</v>
      </c>
      <c r="BH358" s="30">
        <f>'Equity Volume Data'!BK358*'Equity Price Data'!BN359</f>
        <v>0</v>
      </c>
      <c r="BI358" s="30">
        <f>'Equity Volume Data'!BL358*'Equity Price Data'!BO359</f>
        <v>36332.8</v>
      </c>
      <c r="BJ358" s="30">
        <f>'Equity Volume Data'!BM358*'Equity Price Data'!BP359</f>
        <v>26994.75</v>
      </c>
      <c r="BK358" s="30">
        <f>'Equity Volume Data'!BN358*'Equity Price Data'!BQ359</f>
        <v>90316.24</v>
      </c>
      <c r="BL358" s="30">
        <f>'Equity Volume Data'!BO358*'Equity Price Data'!BR359</f>
        <v>466.71</v>
      </c>
      <c r="BM358" s="30">
        <f>'Equity Volume Data'!BP358*'Equity Price Data'!BS359</f>
        <v>10469.28</v>
      </c>
      <c r="BN358" s="30">
        <f>'Equity Volume Data'!BQ358*'Equity Price Data'!BT359</f>
        <v>20899.96</v>
      </c>
      <c r="BO358" s="30">
        <f>'Equity Volume Data'!BR358*'Equity Price Data'!BU359</f>
        <v>34410</v>
      </c>
    </row>
    <row r="359">
      <c r="A359" s="25">
        <f>'Equity Price Data'!A360</f>
        <v>45945.66667</v>
      </c>
      <c r="B359" s="29">
        <f t="shared" si="1"/>
        <v>1480436.83</v>
      </c>
      <c r="C359" s="30">
        <f>'Equity Volume Data'!F359*'Equity Price Data'!I360</f>
        <v>4298.19</v>
      </c>
      <c r="D359" s="30">
        <f>'Equity Volume Data'!G359*'Equity Price Data'!J360</f>
        <v>56048.2</v>
      </c>
      <c r="E359" s="30">
        <f>'Equity Volume Data'!H359*'Equity Price Data'!K360</f>
        <v>15678.3</v>
      </c>
      <c r="F359" s="30">
        <f>'Equity Volume Data'!I359*'Equity Price Data'!L360</f>
        <v>63831.04</v>
      </c>
      <c r="G359" s="30">
        <f>'Equity Volume Data'!J359*'Equity Price Data'!M360</f>
        <v>18889.14</v>
      </c>
      <c r="H359" s="30">
        <f>'Equity Volume Data'!K359*'Equity Price Data'!N360</f>
        <v>20478.84</v>
      </c>
      <c r="I359" s="30">
        <f>'Equity Volume Data'!L359*'Equity Price Data'!O360</f>
        <v>20330</v>
      </c>
      <c r="J359" s="30">
        <f>'Equity Volume Data'!M359*'Equity Price Data'!P360</f>
        <v>50631.78</v>
      </c>
      <c r="K359" s="30">
        <f>'Equity Volume Data'!N359*'Equity Price Data'!Q360</f>
        <v>11338</v>
      </c>
      <c r="L359" s="30">
        <f>'Equity Volume Data'!O359*'Equity Price Data'!R360</f>
        <v>17382.86</v>
      </c>
      <c r="M359" s="30">
        <f>'Equity Volume Data'!P359*'Equity Price Data'!S360</f>
        <v>14265.66</v>
      </c>
      <c r="N359" s="30">
        <f>'Equity Volume Data'!Q359*'Equity Price Data'!T360</f>
        <v>4576.8</v>
      </c>
      <c r="O359" s="30">
        <f>'Equity Volume Data'!R359*'Equity Price Data'!U360</f>
        <v>80107.5</v>
      </c>
      <c r="P359" s="30">
        <f>'Equity Volume Data'!S359*'Equity Price Data'!V360</f>
        <v>38972.82</v>
      </c>
      <c r="Q359" s="30">
        <f>'Equity Volume Data'!T359*'Equity Price Data'!W360</f>
        <v>22828.8</v>
      </c>
      <c r="R359" s="30">
        <f>'Equity Volume Data'!U359*'Equity Price Data'!X360</f>
        <v>12168.8</v>
      </c>
      <c r="S359" s="30">
        <f>'Equity Volume Data'!V359*'Equity Price Data'!Y360</f>
        <v>25922.16</v>
      </c>
      <c r="T359" s="30">
        <f>'Equity Volume Data'!W359*'Equity Price Data'!Z360</f>
        <v>12925</v>
      </c>
      <c r="U359" s="30">
        <f>'Equity Volume Data'!X359*'Equity Price Data'!AA360</f>
        <v>17709.12</v>
      </c>
      <c r="V359" s="30">
        <f>'Equity Volume Data'!Y359*'Equity Price Data'!AB360</f>
        <v>16468.69</v>
      </c>
      <c r="W359" s="30">
        <f>'Equity Volume Data'!Z359*'Equity Price Data'!AC360</f>
        <v>12088.8</v>
      </c>
      <c r="X359" s="30">
        <f>'Equity Volume Data'!AA359*'Equity Price Data'!AD360</f>
        <v>0</v>
      </c>
      <c r="Y359" s="30">
        <f>'Equity Volume Data'!AB359*'Equity Price Data'!AE360</f>
        <v>5426.98</v>
      </c>
      <c r="Z359" s="30">
        <f>'Equity Volume Data'!AC359*'Equity Price Data'!AF360</f>
        <v>13630.5</v>
      </c>
      <c r="AA359" s="30">
        <f>'Equity Volume Data'!AD359*'Equity Price Data'!AG360</f>
        <v>18973.7</v>
      </c>
      <c r="AB359" s="30">
        <f>'Equity Volume Data'!AE359*'Equity Price Data'!AH360</f>
        <v>14148</v>
      </c>
      <c r="AC359" s="30">
        <f>'Equity Volume Data'!AF359*'Equity Price Data'!AI360</f>
        <v>15582.4</v>
      </c>
      <c r="AD359" s="30">
        <f>'Equity Volume Data'!AG359*'Equity Price Data'!AJ360</f>
        <v>14941.8</v>
      </c>
      <c r="AE359" s="30">
        <f>'Equity Volume Data'!AH359*'Equity Price Data'!AK360</f>
        <v>0</v>
      </c>
      <c r="AF359" s="30">
        <f>'Equity Volume Data'!AI359*'Equity Price Data'!AL360</f>
        <v>24251.5</v>
      </c>
      <c r="AG359" s="30">
        <f>'Equity Volume Data'!AJ359*'Equity Price Data'!AM360</f>
        <v>46075.8</v>
      </c>
      <c r="AH359" s="30">
        <f>'Equity Volume Data'!AK359*'Equity Price Data'!AN360</f>
        <v>38830</v>
      </c>
      <c r="AI359" s="30">
        <f>'Equity Volume Data'!AL359*'Equity Price Data'!AO360</f>
        <v>26397</v>
      </c>
      <c r="AJ359" s="30">
        <f>'Equity Volume Data'!AM359*'Equity Price Data'!AP360</f>
        <v>20469.8</v>
      </c>
      <c r="AK359" s="30">
        <f>'Equity Volume Data'!AN359*'Equity Price Data'!AQ360</f>
        <v>20473.67</v>
      </c>
      <c r="AL359" s="30">
        <f>'Equity Volume Data'!AO359*'Equity Price Data'!AR360</f>
        <v>48910.4</v>
      </c>
      <c r="AM359" s="30">
        <f>'Equity Volume Data'!AP359*'Equity Price Data'!AS360</f>
        <v>34958.7</v>
      </c>
      <c r="AN359" s="30">
        <f>'Equity Volume Data'!AQ359*'Equity Price Data'!AT360</f>
        <v>0</v>
      </c>
      <c r="AO359" s="30">
        <f>'Equity Volume Data'!AR359*'Equity Price Data'!AU360</f>
        <v>27439.02</v>
      </c>
      <c r="AP359" s="30">
        <f>'Equity Volume Data'!AS359*'Equity Price Data'!AV360</f>
        <v>23835</v>
      </c>
      <c r="AQ359" s="30">
        <f>'Equity Volume Data'!AT359*'Equity Price Data'!AW360</f>
        <v>17956.4</v>
      </c>
      <c r="AR359" s="30">
        <f>'Equity Volume Data'!AU359*'Equity Price Data'!AX360</f>
        <v>20036.55</v>
      </c>
      <c r="AS359" s="30">
        <f>'Equity Volume Data'!AV359*'Equity Price Data'!AY360</f>
        <v>61611.6</v>
      </c>
      <c r="AT359" s="30">
        <f>'Equity Volume Data'!AW359*'Equity Price Data'!AZ360</f>
        <v>17158</v>
      </c>
      <c r="AU359" s="30">
        <f>'Equity Volume Data'!AX359*'Equity Price Data'!BA360</f>
        <v>0</v>
      </c>
      <c r="AV359" s="30">
        <f>'Equity Volume Data'!AY359*'Equity Price Data'!BB360</f>
        <v>25535.86</v>
      </c>
      <c r="AW359" s="30">
        <f>'Equity Volume Data'!AZ359*'Equity Price Data'!BC360</f>
        <v>3658.8</v>
      </c>
      <c r="AX359" s="30">
        <f>'Equity Volume Data'!BA359*'Equity Price Data'!BD360</f>
        <v>0</v>
      </c>
      <c r="AY359" s="30">
        <f>'Equity Volume Data'!BB359*'Equity Price Data'!BE360</f>
        <v>40414.5</v>
      </c>
      <c r="AZ359" s="30">
        <f>'Equity Volume Data'!BC359*'Equity Price Data'!BF360</f>
        <v>10197</v>
      </c>
      <c r="BA359" s="30">
        <f>'Equity Volume Data'!BD359*'Equity Price Data'!BG360</f>
        <v>4634.1</v>
      </c>
      <c r="BB359" s="30">
        <f>'Equity Volume Data'!BE359*'Equity Price Data'!BH360</f>
        <v>12560</v>
      </c>
      <c r="BC359" s="30">
        <f>'Equity Volume Data'!BF359*'Equity Price Data'!BI360</f>
        <v>16255.68</v>
      </c>
      <c r="BD359" s="30">
        <f>'Equity Volume Data'!BG359*'Equity Price Data'!BJ360</f>
        <v>48276.45</v>
      </c>
      <c r="BE359" s="30">
        <f>'Equity Volume Data'!BH359*'Equity Price Data'!BK360</f>
        <v>12141.01</v>
      </c>
      <c r="BF359" s="30">
        <f>'Equity Volume Data'!BI359*'Equity Price Data'!BL360</f>
        <v>7773.2</v>
      </c>
      <c r="BG359" s="30">
        <f>'Equity Volume Data'!BJ359*'Equity Price Data'!BM360</f>
        <v>31305.58</v>
      </c>
      <c r="BH359" s="30">
        <f>'Equity Volume Data'!BK359*'Equity Price Data'!BN360</f>
        <v>0</v>
      </c>
      <c r="BI359" s="30">
        <f>'Equity Volume Data'!BL359*'Equity Price Data'!BO360</f>
        <v>36115.2</v>
      </c>
      <c r="BJ359" s="30">
        <f>'Equity Volume Data'!BM359*'Equity Price Data'!BP360</f>
        <v>27086.25</v>
      </c>
      <c r="BK359" s="30">
        <f>'Equity Volume Data'!BN359*'Equity Price Data'!BQ360</f>
        <v>90298.22</v>
      </c>
      <c r="BL359" s="30">
        <f>'Equity Volume Data'!BO359*'Equity Price Data'!BR360</f>
        <v>469.06</v>
      </c>
      <c r="BM359" s="30">
        <f>'Equity Volume Data'!BP359*'Equity Price Data'!BS360</f>
        <v>10257.12</v>
      </c>
      <c r="BN359" s="30">
        <f>'Equity Volume Data'!BQ359*'Equity Price Data'!BT360</f>
        <v>21001.48</v>
      </c>
      <c r="BO359" s="30">
        <f>'Equity Volume Data'!BR359*'Equity Price Data'!BU360</f>
        <v>34410</v>
      </c>
    </row>
    <row r="360">
      <c r="A360" s="25">
        <f>'Equity Price Data'!A361</f>
        <v>45946.66667</v>
      </c>
      <c r="B360" s="29">
        <f t="shared" si="1"/>
        <v>1469661.91</v>
      </c>
      <c r="C360" s="30">
        <f>'Equity Volume Data'!F360*'Equity Price Data'!I361</f>
        <v>4279.99</v>
      </c>
      <c r="D360" s="30">
        <f>'Equity Volume Data'!G360*'Equity Price Data'!J361</f>
        <v>55762.2</v>
      </c>
      <c r="E360" s="30">
        <f>'Equity Volume Data'!H360*'Equity Price Data'!K361</f>
        <v>15753.1</v>
      </c>
      <c r="F360" s="30">
        <f>'Equity Volume Data'!I360*'Equity Price Data'!L361</f>
        <v>63347.2</v>
      </c>
      <c r="G360" s="30">
        <f>'Equity Volume Data'!J360*'Equity Price Data'!M361</f>
        <v>18900.76</v>
      </c>
      <c r="H360" s="30">
        <f>'Equity Volume Data'!K360*'Equity Price Data'!N361</f>
        <v>20063.36</v>
      </c>
      <c r="I360" s="30">
        <f>'Equity Volume Data'!L360*'Equity Price Data'!O361</f>
        <v>19950</v>
      </c>
      <c r="J360" s="30">
        <f>'Equity Volume Data'!M360*'Equity Price Data'!P361</f>
        <v>49858.62</v>
      </c>
      <c r="K360" s="30">
        <f>'Equity Volume Data'!N360*'Equity Price Data'!Q361</f>
        <v>11256</v>
      </c>
      <c r="L360" s="30">
        <f>'Equity Volume Data'!O360*'Equity Price Data'!R361</f>
        <v>17213.46</v>
      </c>
      <c r="M360" s="30">
        <f>'Equity Volume Data'!P360*'Equity Price Data'!S361</f>
        <v>14275.88</v>
      </c>
      <c r="N360" s="30">
        <f>'Equity Volume Data'!Q360*'Equity Price Data'!T361</f>
        <v>4540</v>
      </c>
      <c r="O360" s="30">
        <f>'Equity Volume Data'!R360*'Equity Price Data'!U361</f>
        <v>81144</v>
      </c>
      <c r="P360" s="30">
        <f>'Equity Volume Data'!S360*'Equity Price Data'!V361</f>
        <v>38001.21</v>
      </c>
      <c r="Q360" s="30">
        <f>'Equity Volume Data'!T360*'Equity Price Data'!W361</f>
        <v>22603.2</v>
      </c>
      <c r="R360" s="30">
        <f>'Equity Volume Data'!U360*'Equity Price Data'!X361</f>
        <v>12136.8</v>
      </c>
      <c r="S360" s="30">
        <f>'Equity Volume Data'!V360*'Equity Price Data'!Y361</f>
        <v>25614.16</v>
      </c>
      <c r="T360" s="30">
        <f>'Equity Volume Data'!W360*'Equity Price Data'!Z361</f>
        <v>12097.5</v>
      </c>
      <c r="U360" s="30">
        <f>'Equity Volume Data'!X360*'Equity Price Data'!AA361</f>
        <v>17843.76</v>
      </c>
      <c r="V360" s="30">
        <f>'Equity Volume Data'!Y360*'Equity Price Data'!AB361</f>
        <v>16272.27</v>
      </c>
      <c r="W360" s="30">
        <f>'Equity Volume Data'!Z360*'Equity Price Data'!AC361</f>
        <v>12003.24</v>
      </c>
      <c r="X360" s="30">
        <f>'Equity Volume Data'!AA360*'Equity Price Data'!AD361</f>
        <v>0</v>
      </c>
      <c r="Y360" s="30">
        <f>'Equity Volume Data'!AB360*'Equity Price Data'!AE361</f>
        <v>5420.35</v>
      </c>
      <c r="Z360" s="30">
        <f>'Equity Volume Data'!AC360*'Equity Price Data'!AF361</f>
        <v>13677</v>
      </c>
      <c r="AA360" s="30">
        <f>'Equity Volume Data'!AD360*'Equity Price Data'!AG361</f>
        <v>18808.8</v>
      </c>
      <c r="AB360" s="30">
        <f>'Equity Volume Data'!AE360*'Equity Price Data'!AH361</f>
        <v>14214.6</v>
      </c>
      <c r="AC360" s="30">
        <f>'Equity Volume Data'!AF360*'Equity Price Data'!AI361</f>
        <v>15698.4</v>
      </c>
      <c r="AD360" s="30">
        <f>'Equity Volume Data'!AG360*'Equity Price Data'!AJ361</f>
        <v>14876.55</v>
      </c>
      <c r="AE360" s="30">
        <f>'Equity Volume Data'!AH360*'Equity Price Data'!AK361</f>
        <v>0</v>
      </c>
      <c r="AF360" s="30">
        <f>'Equity Volume Data'!AI360*'Equity Price Data'!AL361</f>
        <v>24159.25</v>
      </c>
      <c r="AG360" s="30">
        <f>'Equity Volume Data'!AJ360*'Equity Price Data'!AM361</f>
        <v>45485.4</v>
      </c>
      <c r="AH360" s="30">
        <f>'Equity Volume Data'!AK360*'Equity Price Data'!AN361</f>
        <v>38739</v>
      </c>
      <c r="AI360" s="30">
        <f>'Equity Volume Data'!AL360*'Equity Price Data'!AO361</f>
        <v>25765.25</v>
      </c>
      <c r="AJ360" s="30">
        <f>'Equity Volume Data'!AM360*'Equity Price Data'!AP361</f>
        <v>19936.8</v>
      </c>
      <c r="AK360" s="30">
        <f>'Equity Volume Data'!AN360*'Equity Price Data'!AQ361</f>
        <v>20427.14</v>
      </c>
      <c r="AL360" s="30">
        <f>'Equity Volume Data'!AO360*'Equity Price Data'!AR361</f>
        <v>47766.4</v>
      </c>
      <c r="AM360" s="30">
        <f>'Equity Volume Data'!AP360*'Equity Price Data'!AS361</f>
        <v>34527.5</v>
      </c>
      <c r="AN360" s="30">
        <f>'Equity Volume Data'!AQ360*'Equity Price Data'!AT361</f>
        <v>0</v>
      </c>
      <c r="AO360" s="30">
        <f>'Equity Volume Data'!AR360*'Equity Price Data'!AU361</f>
        <v>27029.1</v>
      </c>
      <c r="AP360" s="30">
        <f>'Equity Volume Data'!AS360*'Equity Price Data'!AV361</f>
        <v>23760</v>
      </c>
      <c r="AQ360" s="30">
        <f>'Equity Volume Data'!AT360*'Equity Price Data'!AW361</f>
        <v>17124.8</v>
      </c>
      <c r="AR360" s="30">
        <f>'Equity Volume Data'!AU360*'Equity Price Data'!AX361</f>
        <v>18696.32</v>
      </c>
      <c r="AS360" s="30">
        <f>'Equity Volume Data'!AV360*'Equity Price Data'!AY361</f>
        <v>61393.2</v>
      </c>
      <c r="AT360" s="30">
        <f>'Equity Volume Data'!AW360*'Equity Price Data'!AZ361</f>
        <v>17010</v>
      </c>
      <c r="AU360" s="30">
        <f>'Equity Volume Data'!AX360*'Equity Price Data'!BA361</f>
        <v>0</v>
      </c>
      <c r="AV360" s="30">
        <f>'Equity Volume Data'!AY360*'Equity Price Data'!BB361</f>
        <v>25817.02</v>
      </c>
      <c r="AW360" s="30">
        <f>'Equity Volume Data'!AZ360*'Equity Price Data'!BC361</f>
        <v>3626.8</v>
      </c>
      <c r="AX360" s="30">
        <f>'Equity Volume Data'!BA360*'Equity Price Data'!BD361</f>
        <v>0</v>
      </c>
      <c r="AY360" s="30">
        <f>'Equity Volume Data'!BB360*'Equity Price Data'!BE361</f>
        <v>40077</v>
      </c>
      <c r="AZ360" s="30">
        <f>'Equity Volume Data'!BC360*'Equity Price Data'!BF361</f>
        <v>9907.5</v>
      </c>
      <c r="BA360" s="30">
        <f>'Equity Volume Data'!BD360*'Equity Price Data'!BG361</f>
        <v>4603.7</v>
      </c>
      <c r="BB360" s="30">
        <f>'Equity Volume Data'!BE360*'Equity Price Data'!BH361</f>
        <v>12564</v>
      </c>
      <c r="BC360" s="30">
        <f>'Equity Volume Data'!BF360*'Equity Price Data'!BI361</f>
        <v>16295.04</v>
      </c>
      <c r="BD360" s="30">
        <f>'Equity Volume Data'!BG360*'Equity Price Data'!BJ361</f>
        <v>48233.85</v>
      </c>
      <c r="BE360" s="30">
        <f>'Equity Volume Data'!BH360*'Equity Price Data'!BK361</f>
        <v>12345.94</v>
      </c>
      <c r="BF360" s="30">
        <f>'Equity Volume Data'!BI360*'Equity Price Data'!BL361</f>
        <v>7816.4</v>
      </c>
      <c r="BG360" s="30">
        <f>'Equity Volume Data'!BJ360*'Equity Price Data'!BM361</f>
        <v>32159.04</v>
      </c>
      <c r="BH360" s="30">
        <f>'Equity Volume Data'!BK360*'Equity Price Data'!BN361</f>
        <v>0</v>
      </c>
      <c r="BI360" s="30">
        <f>'Equity Volume Data'!BL360*'Equity Price Data'!BO361</f>
        <v>35846.4</v>
      </c>
      <c r="BJ360" s="30">
        <f>'Equity Volume Data'!BM360*'Equity Price Data'!BP361</f>
        <v>26750.25</v>
      </c>
      <c r="BK360" s="30">
        <f>'Equity Volume Data'!BN360*'Equity Price Data'!BQ361</f>
        <v>90406.34</v>
      </c>
      <c r="BL360" s="30">
        <f>'Equity Volume Data'!BO360*'Equity Price Data'!BR361</f>
        <v>474.7</v>
      </c>
      <c r="BM360" s="30">
        <f>'Equity Volume Data'!BP360*'Equity Price Data'!BS361</f>
        <v>10237.92</v>
      </c>
      <c r="BN360" s="30">
        <f>'Equity Volume Data'!BQ360*'Equity Price Data'!BT361</f>
        <v>20657.44</v>
      </c>
      <c r="BO360" s="30">
        <f>'Equity Volume Data'!BR360*'Equity Price Data'!BU361</f>
        <v>34410</v>
      </c>
    </row>
    <row r="361">
      <c r="A361" s="25">
        <f>'Equity Price Data'!A362</f>
        <v>45947.66667</v>
      </c>
      <c r="B361" s="29">
        <f t="shared" si="1"/>
        <v>1473728.82</v>
      </c>
      <c r="C361" s="30">
        <f>'Equity Volume Data'!F361*'Equity Price Data'!I362</f>
        <v>4332.38</v>
      </c>
      <c r="D361" s="30">
        <f>'Equity Volume Data'!G361*'Equity Price Data'!J362</f>
        <v>55390.4</v>
      </c>
      <c r="E361" s="30">
        <f>'Equity Volume Data'!H361*'Equity Price Data'!K362</f>
        <v>15819.1</v>
      </c>
      <c r="F361" s="30">
        <f>'Equity Volume Data'!I361*'Equity Price Data'!L362</f>
        <v>64586.24</v>
      </c>
      <c r="G361" s="30">
        <f>'Equity Volume Data'!J361*'Equity Price Data'!M362</f>
        <v>18674.17</v>
      </c>
      <c r="H361" s="30">
        <f>'Equity Volume Data'!K361*'Equity Price Data'!N362</f>
        <v>19924.24</v>
      </c>
      <c r="I361" s="30">
        <f>'Equity Volume Data'!L361*'Equity Price Data'!O362</f>
        <v>19360</v>
      </c>
      <c r="J361" s="30">
        <f>'Equity Volume Data'!M361*'Equity Price Data'!P362</f>
        <v>50226.84</v>
      </c>
      <c r="K361" s="30">
        <f>'Equity Volume Data'!N361*'Equity Price Data'!Q362</f>
        <v>11118</v>
      </c>
      <c r="L361" s="30">
        <f>'Equity Volume Data'!O361*'Equity Price Data'!R362</f>
        <v>17303</v>
      </c>
      <c r="M361" s="30">
        <f>'Equity Volume Data'!P361*'Equity Price Data'!S362</f>
        <v>14489.04</v>
      </c>
      <c r="N361" s="30">
        <f>'Equity Volume Data'!Q361*'Equity Price Data'!T362</f>
        <v>4496</v>
      </c>
      <c r="O361" s="30">
        <f>'Equity Volume Data'!R361*'Equity Price Data'!U362</f>
        <v>79062</v>
      </c>
      <c r="P361" s="30">
        <f>'Equity Volume Data'!S361*'Equity Price Data'!V362</f>
        <v>36108.03</v>
      </c>
      <c r="Q361" s="30">
        <f>'Equity Volume Data'!T361*'Equity Price Data'!W362</f>
        <v>22878</v>
      </c>
      <c r="R361" s="30">
        <f>'Equity Volume Data'!U361*'Equity Price Data'!X362</f>
        <v>12246.4</v>
      </c>
      <c r="S361" s="30">
        <f>'Equity Volume Data'!V361*'Equity Price Data'!Y362</f>
        <v>26335.76</v>
      </c>
      <c r="T361" s="30">
        <f>'Equity Volume Data'!W361*'Equity Price Data'!Z362</f>
        <v>12327.5</v>
      </c>
      <c r="U361" s="30">
        <f>'Equity Volume Data'!X361*'Equity Price Data'!AA362</f>
        <v>18068.16</v>
      </c>
      <c r="V361" s="30">
        <f>'Equity Volume Data'!Y361*'Equity Price Data'!AB362</f>
        <v>16291.59</v>
      </c>
      <c r="W361" s="30">
        <f>'Equity Volume Data'!Z361*'Equity Price Data'!AC362</f>
        <v>11918.37</v>
      </c>
      <c r="X361" s="30">
        <f>'Equity Volume Data'!AA361*'Equity Price Data'!AD362</f>
        <v>0</v>
      </c>
      <c r="Y361" s="30">
        <f>'Equity Volume Data'!AB361*'Equity Price Data'!AE362</f>
        <v>5411.38</v>
      </c>
      <c r="Z361" s="30">
        <f>'Equity Volume Data'!AC361*'Equity Price Data'!AF362</f>
        <v>13801.5</v>
      </c>
      <c r="AA361" s="30">
        <f>'Equity Volume Data'!AD361*'Equity Price Data'!AG362</f>
        <v>19080.8</v>
      </c>
      <c r="AB361" s="30">
        <f>'Equity Volume Data'!AE361*'Equity Price Data'!AH362</f>
        <v>14268</v>
      </c>
      <c r="AC361" s="30">
        <f>'Equity Volume Data'!AF361*'Equity Price Data'!AI362</f>
        <v>15963.2</v>
      </c>
      <c r="AD361" s="30">
        <f>'Equity Volume Data'!AG361*'Equity Price Data'!AJ362</f>
        <v>14901.75</v>
      </c>
      <c r="AE361" s="30">
        <f>'Equity Volume Data'!AH361*'Equity Price Data'!AK362</f>
        <v>0</v>
      </c>
      <c r="AF361" s="30">
        <f>'Equity Volume Data'!AI361*'Equity Price Data'!AL362</f>
        <v>25176.05</v>
      </c>
      <c r="AG361" s="30">
        <f>'Equity Volume Data'!AJ361*'Equity Price Data'!AM362</f>
        <v>45046.2</v>
      </c>
      <c r="AH361" s="30">
        <f>'Equity Volume Data'!AK361*'Equity Price Data'!AN362</f>
        <v>39190</v>
      </c>
      <c r="AI361" s="30">
        <f>'Equity Volume Data'!AL361*'Equity Price Data'!AO362</f>
        <v>25908.75</v>
      </c>
      <c r="AJ361" s="30">
        <f>'Equity Volume Data'!AM361*'Equity Price Data'!AP362</f>
        <v>19968</v>
      </c>
      <c r="AK361" s="30">
        <f>'Equity Volume Data'!AN361*'Equity Price Data'!AQ362</f>
        <v>20968.11</v>
      </c>
      <c r="AL361" s="30">
        <f>'Equity Volume Data'!AO361*'Equity Price Data'!AR362</f>
        <v>47609.6</v>
      </c>
      <c r="AM361" s="30">
        <f>'Equity Volume Data'!AP361*'Equity Price Data'!AS362</f>
        <v>34660.5</v>
      </c>
      <c r="AN361" s="30">
        <f>'Equity Volume Data'!AQ361*'Equity Price Data'!AT362</f>
        <v>0</v>
      </c>
      <c r="AO361" s="30">
        <f>'Equity Volume Data'!AR361*'Equity Price Data'!AU362</f>
        <v>27020.56</v>
      </c>
      <c r="AP361" s="30">
        <f>'Equity Volume Data'!AS361*'Equity Price Data'!AV362</f>
        <v>23945</v>
      </c>
      <c r="AQ361" s="30">
        <f>'Equity Volume Data'!AT361*'Equity Price Data'!AW362</f>
        <v>17261.2</v>
      </c>
      <c r="AR361" s="30">
        <f>'Equity Volume Data'!AU361*'Equity Price Data'!AX362</f>
        <v>18016.17</v>
      </c>
      <c r="AS361" s="30">
        <f>'Equity Volume Data'!AV361*'Equity Price Data'!AY362</f>
        <v>61629.6</v>
      </c>
      <c r="AT361" s="30">
        <f>'Equity Volume Data'!AW361*'Equity Price Data'!AZ362</f>
        <v>16906</v>
      </c>
      <c r="AU361" s="30">
        <f>'Equity Volume Data'!AX361*'Equity Price Data'!BA362</f>
        <v>0</v>
      </c>
      <c r="AV361" s="30">
        <f>'Equity Volume Data'!AY361*'Equity Price Data'!BB362</f>
        <v>26017.24</v>
      </c>
      <c r="AW361" s="30">
        <f>'Equity Volume Data'!AZ361*'Equity Price Data'!BC362</f>
        <v>3651.6</v>
      </c>
      <c r="AX361" s="30">
        <f>'Equity Volume Data'!BA361*'Equity Price Data'!BD362</f>
        <v>0</v>
      </c>
      <c r="AY361" s="30">
        <f>'Equity Volume Data'!BB361*'Equity Price Data'!BE362</f>
        <v>40083.75</v>
      </c>
      <c r="AZ361" s="30">
        <f>'Equity Volume Data'!BC361*'Equity Price Data'!BF362</f>
        <v>10111.5</v>
      </c>
      <c r="BA361" s="30">
        <f>'Equity Volume Data'!BD361*'Equity Price Data'!BG362</f>
        <v>4656.9</v>
      </c>
      <c r="BB361" s="30">
        <f>'Equity Volume Data'!BE361*'Equity Price Data'!BH362</f>
        <v>12636</v>
      </c>
      <c r="BC361" s="30">
        <f>'Equity Volume Data'!BF361*'Equity Price Data'!BI362</f>
        <v>17744.8</v>
      </c>
      <c r="BD361" s="30">
        <f>'Equity Volume Data'!BG361*'Equity Price Data'!BJ362</f>
        <v>48847.29</v>
      </c>
      <c r="BE361" s="30">
        <f>'Equity Volume Data'!BH361*'Equity Price Data'!BK362</f>
        <v>12395.16</v>
      </c>
      <c r="BF361" s="30">
        <f>'Equity Volume Data'!BI361*'Equity Price Data'!BL362</f>
        <v>7913.2</v>
      </c>
      <c r="BG361" s="30">
        <f>'Equity Volume Data'!BJ361*'Equity Price Data'!BM362</f>
        <v>32701.14</v>
      </c>
      <c r="BH361" s="30">
        <f>'Equity Volume Data'!BK361*'Equity Price Data'!BN362</f>
        <v>0</v>
      </c>
      <c r="BI361" s="30">
        <f>'Equity Volume Data'!BL361*'Equity Price Data'!BO362</f>
        <v>36166.4</v>
      </c>
      <c r="BJ361" s="30">
        <f>'Equity Volume Data'!BM361*'Equity Price Data'!BP362</f>
        <v>26745</v>
      </c>
      <c r="BK361" s="30">
        <f>'Equity Volume Data'!BN361*'Equity Price Data'!BQ362</f>
        <v>90334.26</v>
      </c>
      <c r="BL361" s="30">
        <f>'Equity Volume Data'!BO361*'Equity Price Data'!BR362</f>
        <v>477.99</v>
      </c>
      <c r="BM361" s="30">
        <f>'Equity Volume Data'!BP361*'Equity Price Data'!BS362</f>
        <v>10343.04</v>
      </c>
      <c r="BN361" s="30">
        <f>'Equity Volume Data'!BQ361*'Equity Price Data'!BT362</f>
        <v>20805.96</v>
      </c>
      <c r="BO361" s="30">
        <f>'Equity Volume Data'!BR361*'Equity Price Data'!BU362</f>
        <v>34410</v>
      </c>
    </row>
    <row r="362">
      <c r="A362" s="25">
        <f>'Equity Price Data'!A363</f>
        <v>45950.66667</v>
      </c>
      <c r="B362" s="29">
        <f t="shared" si="1"/>
        <v>1524760.04</v>
      </c>
      <c r="C362" s="30">
        <f>'Equity Volume Data'!F362*'Equity Price Data'!I363</f>
        <v>4464.2</v>
      </c>
      <c r="D362" s="30">
        <f>'Equity Volume Data'!G362*'Equity Price Data'!J363</f>
        <v>56284.8</v>
      </c>
      <c r="E362" s="30">
        <f>'Equity Volume Data'!H362*'Equity Price Data'!K363</f>
        <v>15997.3</v>
      </c>
      <c r="F362" s="30">
        <f>'Equity Volume Data'!I362*'Equity Price Data'!L363</f>
        <v>67133.44</v>
      </c>
      <c r="G362" s="30">
        <f>'Equity Volume Data'!J362*'Equity Price Data'!M363</f>
        <v>18934.79</v>
      </c>
      <c r="H362" s="30">
        <f>'Equity Volume Data'!K362*'Equity Price Data'!N363</f>
        <v>20398</v>
      </c>
      <c r="I362" s="30">
        <f>'Equity Volume Data'!L362*'Equity Price Data'!O363</f>
        <v>19620</v>
      </c>
      <c r="J362" s="30">
        <f>'Equity Volume Data'!M362*'Equity Price Data'!P363</f>
        <v>50396.16</v>
      </c>
      <c r="K362" s="30">
        <f>'Equity Volume Data'!N362*'Equity Price Data'!Q363</f>
        <v>11360</v>
      </c>
      <c r="L362" s="30">
        <f>'Equity Volume Data'!O362*'Equity Price Data'!R363</f>
        <v>17742.23</v>
      </c>
      <c r="M362" s="30">
        <f>'Equity Volume Data'!P362*'Equity Price Data'!S363</f>
        <v>14677.38</v>
      </c>
      <c r="N362" s="30">
        <f>'Equity Volume Data'!Q362*'Equity Price Data'!T363</f>
        <v>4613.6</v>
      </c>
      <c r="O362" s="30">
        <f>'Equity Volume Data'!R362*'Equity Price Data'!U363</f>
        <v>79677</v>
      </c>
      <c r="P362" s="30">
        <f>'Equity Volume Data'!S362*'Equity Price Data'!V363</f>
        <v>35820.3</v>
      </c>
      <c r="Q362" s="30">
        <f>'Equity Volume Data'!T362*'Equity Price Data'!W363</f>
        <v>23178</v>
      </c>
      <c r="R362" s="30">
        <f>'Equity Volume Data'!U362*'Equity Price Data'!X363</f>
        <v>12358.4</v>
      </c>
      <c r="S362" s="30">
        <f>'Equity Volume Data'!V362*'Equity Price Data'!Y363</f>
        <v>27001.92</v>
      </c>
      <c r="T362" s="30">
        <f>'Equity Volume Data'!W362*'Equity Price Data'!Z363</f>
        <v>12572.5</v>
      </c>
      <c r="U362" s="30">
        <f>'Equity Volume Data'!X362*'Equity Price Data'!AA363</f>
        <v>18068.16</v>
      </c>
      <c r="V362" s="30">
        <f>'Equity Volume Data'!Y362*'Equity Price Data'!AB363</f>
        <v>16376.92</v>
      </c>
      <c r="W362" s="30">
        <f>'Equity Volume Data'!Z362*'Equity Price Data'!AC363</f>
        <v>11931.48</v>
      </c>
      <c r="X362" s="30">
        <f>'Equity Volume Data'!AA362*'Equity Price Data'!AD363</f>
        <v>0</v>
      </c>
      <c r="Y362" s="30">
        <f>'Equity Volume Data'!AB362*'Equity Price Data'!AE363</f>
        <v>5498.22</v>
      </c>
      <c r="Z362" s="30">
        <f>'Equity Volume Data'!AC362*'Equity Price Data'!AF363</f>
        <v>14347.5</v>
      </c>
      <c r="AA362" s="30">
        <f>'Equity Volume Data'!AD362*'Equity Price Data'!AG363</f>
        <v>19159</v>
      </c>
      <c r="AB362" s="30">
        <f>'Equity Volume Data'!AE362*'Equity Price Data'!AH363</f>
        <v>14388.6</v>
      </c>
      <c r="AC362" s="30">
        <f>'Equity Volume Data'!AF362*'Equity Price Data'!AI363</f>
        <v>15932.4</v>
      </c>
      <c r="AD362" s="30">
        <f>'Equity Volume Data'!AG362*'Equity Price Data'!AJ363</f>
        <v>15173.55</v>
      </c>
      <c r="AE362" s="30">
        <f>'Equity Volume Data'!AH362*'Equity Price Data'!AK363</f>
        <v>0</v>
      </c>
      <c r="AF362" s="30">
        <f>'Equity Volume Data'!AI362*'Equity Price Data'!AL363</f>
        <v>25237.55</v>
      </c>
      <c r="AG362" s="30">
        <f>'Equity Volume Data'!AJ362*'Equity Price Data'!AM363</f>
        <v>45799.2</v>
      </c>
      <c r="AH362" s="30">
        <f>'Equity Volume Data'!AK362*'Equity Price Data'!AN363</f>
        <v>38889</v>
      </c>
      <c r="AI362" s="30">
        <f>'Equity Volume Data'!AL362*'Equity Price Data'!AO363</f>
        <v>26565</v>
      </c>
      <c r="AJ362" s="30">
        <f>'Equity Volume Data'!AM362*'Equity Price Data'!AP363</f>
        <v>20187.7</v>
      </c>
      <c r="AK362" s="30">
        <f>'Equity Volume Data'!AN362*'Equity Price Data'!AQ363</f>
        <v>21548.09</v>
      </c>
      <c r="AL362" s="30">
        <f>'Equity Volume Data'!AO362*'Equity Price Data'!AR363</f>
        <v>48377.6</v>
      </c>
      <c r="AM362" s="30">
        <f>'Equity Volume Data'!AP362*'Equity Price Data'!AS363</f>
        <v>35413</v>
      </c>
      <c r="AN362" s="30">
        <f>'Equity Volume Data'!AQ362*'Equity Price Data'!AT363</f>
        <v>0</v>
      </c>
      <c r="AO362" s="30">
        <f>'Equity Volume Data'!AR362*'Equity Price Data'!AU363</f>
        <v>27199.9</v>
      </c>
      <c r="AP362" s="30">
        <f>'Equity Volume Data'!AS362*'Equity Price Data'!AV363</f>
        <v>23980</v>
      </c>
      <c r="AQ362" s="30">
        <f>'Equity Volume Data'!AT362*'Equity Price Data'!AW363</f>
        <v>17322.8</v>
      </c>
      <c r="AR362" s="30">
        <f>'Equity Volume Data'!AU362*'Equity Price Data'!AX363</f>
        <v>18486.7</v>
      </c>
      <c r="AS362" s="30">
        <f>'Equity Volume Data'!AV362*'Equity Price Data'!AY363</f>
        <v>62014.8</v>
      </c>
      <c r="AT362" s="30">
        <f>'Equity Volume Data'!AW362*'Equity Price Data'!AZ363</f>
        <v>16954</v>
      </c>
      <c r="AU362" s="30">
        <f>'Equity Volume Data'!AX362*'Equity Price Data'!BA363</f>
        <v>0</v>
      </c>
      <c r="AV362" s="30">
        <f>'Equity Volume Data'!AY362*'Equity Price Data'!BB363</f>
        <v>25934.88</v>
      </c>
      <c r="AW362" s="30">
        <f>'Equity Volume Data'!AZ362*'Equity Price Data'!BC363</f>
        <v>3660.4</v>
      </c>
      <c r="AX362" s="30">
        <f>'Equity Volume Data'!BA362*'Equity Price Data'!BD363</f>
        <v>0</v>
      </c>
      <c r="AY362" s="30">
        <f>'Equity Volume Data'!BB362*'Equity Price Data'!BE363</f>
        <v>40857.75</v>
      </c>
      <c r="AZ362" s="30">
        <f>'Equity Volume Data'!BC362*'Equity Price Data'!BF363</f>
        <v>10380</v>
      </c>
      <c r="BA362" s="30">
        <f>'Equity Volume Data'!BD362*'Equity Price Data'!BG363</f>
        <v>4691.1</v>
      </c>
      <c r="BB362" s="30">
        <f>'Equity Volume Data'!BE362*'Equity Price Data'!BH363</f>
        <v>12856.8</v>
      </c>
      <c r="BC362" s="30">
        <f>'Equity Volume Data'!BF362*'Equity Price Data'!BI363</f>
        <v>17715.28</v>
      </c>
      <c r="BD362" s="30">
        <f>'Equity Volume Data'!BG362*'Equity Price Data'!BJ363</f>
        <v>49009.17</v>
      </c>
      <c r="BE362" s="30">
        <f>'Equity Volume Data'!BH362*'Equity Price Data'!BK363</f>
        <v>12508.32</v>
      </c>
      <c r="BF362" s="30">
        <f>'Equity Volume Data'!BI362*'Equity Price Data'!BL363</f>
        <v>8004.4</v>
      </c>
      <c r="BG362" s="30">
        <f>'Equity Volume Data'!BJ362*'Equity Price Data'!BM363</f>
        <v>33332.2</v>
      </c>
      <c r="BH362" s="30">
        <f>'Equity Volume Data'!BK362*'Equity Price Data'!BN363</f>
        <v>0</v>
      </c>
      <c r="BI362" s="30">
        <f>'Equity Volume Data'!BL362*'Equity Price Data'!BO363</f>
        <v>36368</v>
      </c>
      <c r="BJ362" s="30">
        <f>'Equity Volume Data'!BM362*'Equity Price Data'!BP363</f>
        <v>27336</v>
      </c>
      <c r="BK362" s="30">
        <f>'Equity Volume Data'!BN362*'Equity Price Data'!BQ363</f>
        <v>90370.3</v>
      </c>
      <c r="BL362" s="30">
        <f>'Equity Volume Data'!BO362*'Equity Price Data'!BR363</f>
        <v>484.57</v>
      </c>
      <c r="BM362" s="30">
        <f>'Equity Volume Data'!BP362*'Equity Price Data'!BS363</f>
        <v>10339.2</v>
      </c>
      <c r="BN362" s="30">
        <f>'Equity Volume Data'!BQ362*'Equity Price Data'!BT363</f>
        <v>21048.48</v>
      </c>
      <c r="BO362" s="30">
        <f>'Equity Volume Data'!BR362*'Equity Price Data'!BU363</f>
        <v>68782</v>
      </c>
    </row>
    <row r="363">
      <c r="A363" s="25">
        <f>'Equity Price Data'!A364</f>
        <v>45951.66667</v>
      </c>
      <c r="B363" s="29">
        <f t="shared" si="1"/>
        <v>1522880.84</v>
      </c>
      <c r="C363" s="30">
        <f>'Equity Volume Data'!F363*'Equity Price Data'!I364</f>
        <v>4648.15</v>
      </c>
      <c r="D363" s="30">
        <f>'Equity Volume Data'!G363*'Equity Price Data'!J364</f>
        <v>57727.8</v>
      </c>
      <c r="E363" s="30">
        <f>'Equity Volume Data'!H363*'Equity Price Data'!K364</f>
        <v>15857.6</v>
      </c>
      <c r="F363" s="30">
        <f>'Equity Volume Data'!I363*'Equity Price Data'!L364</f>
        <v>67269.12</v>
      </c>
      <c r="G363" s="30">
        <f>'Equity Volume Data'!J363*'Equity Price Data'!M364</f>
        <v>18758</v>
      </c>
      <c r="H363" s="30">
        <f>'Equity Volume Data'!K363*'Equity Price Data'!N364</f>
        <v>20116</v>
      </c>
      <c r="I363" s="30">
        <f>'Equity Volume Data'!L363*'Equity Price Data'!O364</f>
        <v>19490</v>
      </c>
      <c r="J363" s="30">
        <f>'Equity Volume Data'!M363*'Equity Price Data'!P364</f>
        <v>50111.58</v>
      </c>
      <c r="K363" s="30">
        <f>'Equity Volume Data'!N363*'Equity Price Data'!Q364</f>
        <v>11194</v>
      </c>
      <c r="L363" s="30">
        <f>'Equity Volume Data'!O363*'Equity Price Data'!R364</f>
        <v>17692.62</v>
      </c>
      <c r="M363" s="30">
        <f>'Equity Volume Data'!P363*'Equity Price Data'!S364</f>
        <v>14585.4</v>
      </c>
      <c r="N363" s="30">
        <f>'Equity Volume Data'!Q363*'Equity Price Data'!T364</f>
        <v>4785.6</v>
      </c>
      <c r="O363" s="30">
        <f>'Equity Volume Data'!R363*'Equity Price Data'!U364</f>
        <v>78697.5</v>
      </c>
      <c r="P363" s="30">
        <f>'Equity Volume Data'!S363*'Equity Price Data'!V364</f>
        <v>34515.09</v>
      </c>
      <c r="Q363" s="30">
        <f>'Equity Volume Data'!T363*'Equity Price Data'!W364</f>
        <v>23610</v>
      </c>
      <c r="R363" s="30">
        <f>'Equity Volume Data'!U363*'Equity Price Data'!X364</f>
        <v>12303.2</v>
      </c>
      <c r="S363" s="30">
        <f>'Equity Volume Data'!V363*'Equity Price Data'!Y364</f>
        <v>27060</v>
      </c>
      <c r="T363" s="30">
        <f>'Equity Volume Data'!W363*'Equity Price Data'!Z364</f>
        <v>12707.5</v>
      </c>
      <c r="U363" s="30">
        <f>'Equity Volume Data'!X363*'Equity Price Data'!AA364</f>
        <v>18802.08</v>
      </c>
      <c r="V363" s="30">
        <f>'Equity Volume Data'!Y363*'Equity Price Data'!AB364</f>
        <v>16351.16</v>
      </c>
      <c r="W363" s="30">
        <f>'Equity Volume Data'!Z363*'Equity Price Data'!AC364</f>
        <v>11842.47</v>
      </c>
      <c r="X363" s="30">
        <f>'Equity Volume Data'!AA363*'Equity Price Data'!AD364</f>
        <v>0</v>
      </c>
      <c r="Y363" s="30">
        <f>'Equity Volume Data'!AB363*'Equity Price Data'!AE364</f>
        <v>5458.44</v>
      </c>
      <c r="Z363" s="30">
        <f>'Equity Volume Data'!AC363*'Equity Price Data'!AF364</f>
        <v>14247</v>
      </c>
      <c r="AA363" s="30">
        <f>'Equity Volume Data'!AD363*'Equity Price Data'!AG364</f>
        <v>19160.7</v>
      </c>
      <c r="AB363" s="30">
        <f>'Equity Volume Data'!AE363*'Equity Price Data'!AH364</f>
        <v>14570.4</v>
      </c>
      <c r="AC363" s="30">
        <f>'Equity Volume Data'!AF363*'Equity Price Data'!AI364</f>
        <v>16018.4</v>
      </c>
      <c r="AD363" s="30">
        <f>'Equity Volume Data'!AG363*'Equity Price Data'!AJ364</f>
        <v>15331.05</v>
      </c>
      <c r="AE363" s="30">
        <f>'Equity Volume Data'!AH363*'Equity Price Data'!AK364</f>
        <v>0</v>
      </c>
      <c r="AF363" s="30">
        <f>'Equity Volume Data'!AI363*'Equity Price Data'!AL364</f>
        <v>25436.4</v>
      </c>
      <c r="AG363" s="30">
        <f>'Equity Volume Data'!AJ363*'Equity Price Data'!AM364</f>
        <v>45538.8</v>
      </c>
      <c r="AH363" s="30">
        <f>'Equity Volume Data'!AK363*'Equity Price Data'!AN364</f>
        <v>39090</v>
      </c>
      <c r="AI363" s="30">
        <f>'Equity Volume Data'!AL363*'Equity Price Data'!AO364</f>
        <v>26874.75</v>
      </c>
      <c r="AJ363" s="30">
        <f>'Equity Volume Data'!AM363*'Equity Price Data'!AP364</f>
        <v>20382.7</v>
      </c>
      <c r="AK363" s="30">
        <f>'Equity Volume Data'!AN363*'Equity Price Data'!AQ364</f>
        <v>21748.78</v>
      </c>
      <c r="AL363" s="30">
        <f>'Equity Volume Data'!AO363*'Equity Price Data'!AR364</f>
        <v>47534.4</v>
      </c>
      <c r="AM363" s="30">
        <f>'Equity Volume Data'!AP363*'Equity Price Data'!AS364</f>
        <v>34265</v>
      </c>
      <c r="AN363" s="30">
        <f>'Equity Volume Data'!AQ363*'Equity Price Data'!AT364</f>
        <v>0</v>
      </c>
      <c r="AO363" s="30">
        <f>'Equity Volume Data'!AR363*'Equity Price Data'!AU364</f>
        <v>27157.2</v>
      </c>
      <c r="AP363" s="30">
        <f>'Equity Volume Data'!AS363*'Equity Price Data'!AV364</f>
        <v>23957.5</v>
      </c>
      <c r="AQ363" s="30">
        <f>'Equity Volume Data'!AT363*'Equity Price Data'!AW364</f>
        <v>17384.4</v>
      </c>
      <c r="AR363" s="30">
        <f>'Equity Volume Data'!AU363*'Equity Price Data'!AX364</f>
        <v>16526.53</v>
      </c>
      <c r="AS363" s="30">
        <f>'Equity Volume Data'!AV363*'Equity Price Data'!AY364</f>
        <v>62119.2</v>
      </c>
      <c r="AT363" s="30">
        <f>'Equity Volume Data'!AW363*'Equity Price Data'!AZ364</f>
        <v>16798</v>
      </c>
      <c r="AU363" s="30">
        <f>'Equity Volume Data'!AX363*'Equity Price Data'!BA364</f>
        <v>0</v>
      </c>
      <c r="AV363" s="30">
        <f>'Equity Volume Data'!AY363*'Equity Price Data'!BB364</f>
        <v>25724.72</v>
      </c>
      <c r="AW363" s="30">
        <f>'Equity Volume Data'!AZ363*'Equity Price Data'!BC364</f>
        <v>3708</v>
      </c>
      <c r="AX363" s="30">
        <f>'Equity Volume Data'!BA363*'Equity Price Data'!BD364</f>
        <v>0</v>
      </c>
      <c r="AY363" s="30">
        <f>'Equity Volume Data'!BB363*'Equity Price Data'!BE364</f>
        <v>40839.75</v>
      </c>
      <c r="AZ363" s="30">
        <f>'Equity Volume Data'!BC363*'Equity Price Data'!BF364</f>
        <v>10507.5</v>
      </c>
      <c r="BA363" s="30">
        <f>'Equity Volume Data'!BD363*'Equity Price Data'!BG364</f>
        <v>4721.5</v>
      </c>
      <c r="BB363" s="30">
        <f>'Equity Volume Data'!BE363*'Equity Price Data'!BH364</f>
        <v>13843.2</v>
      </c>
      <c r="BC363" s="30">
        <f>'Equity Volume Data'!BF363*'Equity Price Data'!BI364</f>
        <v>17544.72</v>
      </c>
      <c r="BD363" s="30">
        <f>'Equity Volume Data'!BG363*'Equity Price Data'!BJ364</f>
        <v>48794.04</v>
      </c>
      <c r="BE363" s="30">
        <f>'Equity Volume Data'!BH363*'Equity Price Data'!BK364</f>
        <v>12833.77</v>
      </c>
      <c r="BF363" s="30">
        <f>'Equity Volume Data'!BI363*'Equity Price Data'!BL364</f>
        <v>8078</v>
      </c>
      <c r="BG363" s="30">
        <f>'Equity Volume Data'!BJ363*'Equity Price Data'!BM364</f>
        <v>33396.14</v>
      </c>
      <c r="BH363" s="30">
        <f>'Equity Volume Data'!BK363*'Equity Price Data'!BN364</f>
        <v>0</v>
      </c>
      <c r="BI363" s="30">
        <f>'Equity Volume Data'!BL363*'Equity Price Data'!BO364</f>
        <v>36246.4</v>
      </c>
      <c r="BJ363" s="30">
        <f>'Equity Volume Data'!BM363*'Equity Price Data'!BP364</f>
        <v>27402.75</v>
      </c>
      <c r="BK363" s="30">
        <f>'Equity Volume Data'!BN363*'Equity Price Data'!BQ364</f>
        <v>90442.38</v>
      </c>
      <c r="BL363" s="30">
        <f>'Equity Volume Data'!BO363*'Equity Price Data'!BR364</f>
        <v>488.33</v>
      </c>
      <c r="BM363" s="30">
        <f>'Equity Volume Data'!BP363*'Equity Price Data'!BS364</f>
        <v>10314.72</v>
      </c>
      <c r="BN363" s="30">
        <f>'Equity Volume Data'!BQ363*'Equity Price Data'!BT364</f>
        <v>21488.4</v>
      </c>
      <c r="BO363" s="30">
        <f>'Equity Volume Data'!BR363*'Equity Price Data'!BU364</f>
        <v>68782</v>
      </c>
    </row>
    <row r="364">
      <c r="A364" s="25">
        <f>'Equity Price Data'!A365</f>
        <v>45952.66667</v>
      </c>
      <c r="B364" s="29">
        <f t="shared" si="1"/>
        <v>1517370.41</v>
      </c>
      <c r="C364" s="30">
        <f>'Equity Volume Data'!F364*'Equity Price Data'!I365</f>
        <v>4603.17</v>
      </c>
      <c r="D364" s="30">
        <f>'Equity Volume Data'!G364*'Equity Price Data'!J365</f>
        <v>56667</v>
      </c>
      <c r="E364" s="30">
        <f>'Equity Volume Data'!H364*'Equity Price Data'!K365</f>
        <v>15810.3</v>
      </c>
      <c r="F364" s="30">
        <f>'Equity Volume Data'!I364*'Equity Price Data'!L365</f>
        <v>66163.2</v>
      </c>
      <c r="G364" s="30">
        <f>'Equity Volume Data'!J364*'Equity Price Data'!M365</f>
        <v>18306.48</v>
      </c>
      <c r="H364" s="30">
        <f>'Equity Volume Data'!K364*'Equity Price Data'!N365</f>
        <v>20121.64</v>
      </c>
      <c r="I364" s="30">
        <f>'Equity Volume Data'!L364*'Equity Price Data'!O365</f>
        <v>20350</v>
      </c>
      <c r="J364" s="30">
        <f>'Equity Volume Data'!M364*'Equity Price Data'!P365</f>
        <v>50164.62</v>
      </c>
      <c r="K364" s="30">
        <f>'Equity Volume Data'!N364*'Equity Price Data'!Q365</f>
        <v>11158</v>
      </c>
      <c r="L364" s="30">
        <f>'Equity Volume Data'!O364*'Equity Price Data'!R365</f>
        <v>17874.12</v>
      </c>
      <c r="M364" s="30">
        <f>'Equity Volume Data'!P364*'Equity Price Data'!S365</f>
        <v>15162.1</v>
      </c>
      <c r="N364" s="30">
        <f>'Equity Volume Data'!Q364*'Equity Price Data'!T365</f>
        <v>4539.2</v>
      </c>
      <c r="O364" s="30">
        <f>'Equity Volume Data'!R364*'Equity Price Data'!U365</f>
        <v>77086.5</v>
      </c>
      <c r="P364" s="30">
        <f>'Equity Volume Data'!S364*'Equity Price Data'!V365</f>
        <v>34836.18</v>
      </c>
      <c r="Q364" s="30">
        <f>'Equity Volume Data'!T364*'Equity Price Data'!W365</f>
        <v>23388</v>
      </c>
      <c r="R364" s="30">
        <f>'Equity Volume Data'!U364*'Equity Price Data'!X365</f>
        <v>12445.6</v>
      </c>
      <c r="S364" s="30">
        <f>'Equity Volume Data'!V364*'Equity Price Data'!Y365</f>
        <v>27092.56</v>
      </c>
      <c r="T364" s="30">
        <f>'Equity Volume Data'!W364*'Equity Price Data'!Z365</f>
        <v>12655</v>
      </c>
      <c r="U364" s="30">
        <f>'Equity Volume Data'!X364*'Equity Price Data'!AA365</f>
        <v>18693.84</v>
      </c>
      <c r="V364" s="30">
        <f>'Equity Volume Data'!Y364*'Equity Price Data'!AB365</f>
        <v>16412.34</v>
      </c>
      <c r="W364" s="30">
        <f>'Equity Volume Data'!Z364*'Equity Price Data'!AC365</f>
        <v>11896.29</v>
      </c>
      <c r="X364" s="30">
        <f>'Equity Volume Data'!AA364*'Equity Price Data'!AD365</f>
        <v>0</v>
      </c>
      <c r="Y364" s="30">
        <f>'Equity Volume Data'!AB364*'Equity Price Data'!AE365</f>
        <v>5522.66</v>
      </c>
      <c r="Z364" s="30">
        <f>'Equity Volume Data'!AC364*'Equity Price Data'!AF365</f>
        <v>14305.5</v>
      </c>
      <c r="AA364" s="30">
        <f>'Equity Volume Data'!AD364*'Equity Price Data'!AG365</f>
        <v>19500.7</v>
      </c>
      <c r="AB364" s="30">
        <f>'Equity Volume Data'!AE364*'Equity Price Data'!AH365</f>
        <v>14364.6</v>
      </c>
      <c r="AC364" s="30">
        <f>'Equity Volume Data'!AF364*'Equity Price Data'!AI365</f>
        <v>15762.4</v>
      </c>
      <c r="AD364" s="30">
        <f>'Equity Volume Data'!AG364*'Equity Price Data'!AJ365</f>
        <v>15220.8</v>
      </c>
      <c r="AE364" s="30">
        <f>'Equity Volume Data'!AH364*'Equity Price Data'!AK365</f>
        <v>0</v>
      </c>
      <c r="AF364" s="30">
        <f>'Equity Volume Data'!AI364*'Equity Price Data'!AL365</f>
        <v>24899.3</v>
      </c>
      <c r="AG364" s="30">
        <f>'Equity Volume Data'!AJ364*'Equity Price Data'!AM365</f>
        <v>44676</v>
      </c>
      <c r="AH364" s="30">
        <f>'Equity Volume Data'!AK364*'Equity Price Data'!AN365</f>
        <v>38897</v>
      </c>
      <c r="AI364" s="30">
        <f>'Equity Volume Data'!AL364*'Equity Price Data'!AO365</f>
        <v>26678.75</v>
      </c>
      <c r="AJ364" s="30">
        <f>'Equity Volume Data'!AM364*'Equity Price Data'!AP365</f>
        <v>20403.5</v>
      </c>
      <c r="AK364" s="30">
        <f>'Equity Volume Data'!AN364*'Equity Price Data'!AQ365</f>
        <v>24770.41</v>
      </c>
      <c r="AL364" s="30">
        <f>'Equity Volume Data'!AO364*'Equity Price Data'!AR365</f>
        <v>47057.6</v>
      </c>
      <c r="AM364" s="30">
        <f>'Equity Volume Data'!AP364*'Equity Price Data'!AS365</f>
        <v>34099.8</v>
      </c>
      <c r="AN364" s="30">
        <f>'Equity Volume Data'!AQ364*'Equity Price Data'!AT365</f>
        <v>0</v>
      </c>
      <c r="AO364" s="30">
        <f>'Equity Volume Data'!AR364*'Equity Price Data'!AU365</f>
        <v>27242.6</v>
      </c>
      <c r="AP364" s="30">
        <f>'Equity Volume Data'!AS364*'Equity Price Data'!AV365</f>
        <v>23975</v>
      </c>
      <c r="AQ364" s="30">
        <f>'Equity Volume Data'!AT364*'Equity Price Data'!AW365</f>
        <v>17283.2</v>
      </c>
      <c r="AR364" s="30">
        <f>'Equity Volume Data'!AU364*'Equity Price Data'!AX365</f>
        <v>15565.4</v>
      </c>
      <c r="AS364" s="30">
        <f>'Equity Volume Data'!AV364*'Equity Price Data'!AY365</f>
        <v>62464.8</v>
      </c>
      <c r="AT364" s="30">
        <f>'Equity Volume Data'!AW364*'Equity Price Data'!AZ365</f>
        <v>16568</v>
      </c>
      <c r="AU364" s="30">
        <f>'Equity Volume Data'!AX364*'Equity Price Data'!BA365</f>
        <v>0</v>
      </c>
      <c r="AV364" s="30">
        <f>'Equity Volume Data'!AY364*'Equity Price Data'!BB365</f>
        <v>25599.76</v>
      </c>
      <c r="AW364" s="30">
        <f>'Equity Volume Data'!AZ364*'Equity Price Data'!BC365</f>
        <v>3656.8</v>
      </c>
      <c r="AX364" s="30">
        <f>'Equity Volume Data'!BA364*'Equity Price Data'!BD365</f>
        <v>0</v>
      </c>
      <c r="AY364" s="30">
        <f>'Equity Volume Data'!BB364*'Equity Price Data'!BE365</f>
        <v>39485.25</v>
      </c>
      <c r="AZ364" s="30">
        <f>'Equity Volume Data'!BC364*'Equity Price Data'!BF365</f>
        <v>10210.5</v>
      </c>
      <c r="BA364" s="30">
        <f>'Equity Volume Data'!BD364*'Equity Price Data'!BG365</f>
        <v>4696.8</v>
      </c>
      <c r="BB364" s="30">
        <f>'Equity Volume Data'!BE364*'Equity Price Data'!BH365</f>
        <v>14238.4</v>
      </c>
      <c r="BC364" s="30">
        <f>'Equity Volume Data'!BF364*'Equity Price Data'!BI365</f>
        <v>17377.44</v>
      </c>
      <c r="BD364" s="30">
        <f>'Equity Volume Data'!BG364*'Equity Price Data'!BJ365</f>
        <v>48436.2</v>
      </c>
      <c r="BE364" s="30">
        <f>'Equity Volume Data'!BH364*'Equity Price Data'!BK365</f>
        <v>13045.6</v>
      </c>
      <c r="BF364" s="30">
        <f>'Equity Volume Data'!BI364*'Equity Price Data'!BL365</f>
        <v>8140.4</v>
      </c>
      <c r="BG364" s="30">
        <f>'Equity Volume Data'!BJ364*'Equity Price Data'!BM365</f>
        <v>33232.12</v>
      </c>
      <c r="BH364" s="30">
        <f>'Equity Volume Data'!BK364*'Equity Price Data'!BN365</f>
        <v>0</v>
      </c>
      <c r="BI364" s="30">
        <f>'Equity Volume Data'!BL364*'Equity Price Data'!BO365</f>
        <v>36038.4</v>
      </c>
      <c r="BJ364" s="30">
        <f>'Equity Volume Data'!BM364*'Equity Price Data'!BP365</f>
        <v>27111.75</v>
      </c>
      <c r="BK364" s="30">
        <f>'Equity Volume Data'!BN364*'Equity Price Data'!BQ365</f>
        <v>90496.44</v>
      </c>
      <c r="BL364" s="30">
        <f>'Equity Volume Data'!BO364*'Equity Price Data'!BR365</f>
        <v>489.27</v>
      </c>
      <c r="BM364" s="30">
        <f>'Equity Volume Data'!BP364*'Equity Price Data'!BS365</f>
        <v>10390.08</v>
      </c>
      <c r="BN364" s="30">
        <f>'Equity Volume Data'!BQ364*'Equity Price Data'!BT365</f>
        <v>21259.04</v>
      </c>
      <c r="BO364" s="30">
        <f>'Equity Volume Data'!BR364*'Equity Price Data'!BU365</f>
        <v>68782</v>
      </c>
    </row>
    <row r="365">
      <c r="A365" s="25">
        <f>'Equity Price Data'!A366</f>
        <v>45953.66667</v>
      </c>
      <c r="B365" s="29">
        <f t="shared" si="1"/>
        <v>1524253.38</v>
      </c>
      <c r="C365" s="30">
        <f>'Equity Volume Data'!F365*'Equity Price Data'!I366</f>
        <v>4603.56</v>
      </c>
      <c r="D365" s="30">
        <f>'Equity Volume Data'!G365*'Equity Price Data'!J366</f>
        <v>57483.4</v>
      </c>
      <c r="E365" s="30">
        <f>'Equity Volume Data'!H365*'Equity Price Data'!K366</f>
        <v>15683.8</v>
      </c>
      <c r="F365" s="30">
        <f>'Equity Volume Data'!I365*'Equity Price Data'!L366</f>
        <v>66452.48</v>
      </c>
      <c r="G365" s="30">
        <f>'Equity Volume Data'!J365*'Equity Price Data'!M366</f>
        <v>18963.01</v>
      </c>
      <c r="H365" s="30">
        <f>'Equity Volume Data'!K365*'Equity Price Data'!N366</f>
        <v>20055.84</v>
      </c>
      <c r="I365" s="30">
        <f>'Equity Volume Data'!L365*'Equity Price Data'!O366</f>
        <v>20610</v>
      </c>
      <c r="J365" s="30">
        <f>'Equity Volume Data'!M365*'Equity Price Data'!P366</f>
        <v>49996.32</v>
      </c>
      <c r="K365" s="30">
        <f>'Equity Volume Data'!N365*'Equity Price Data'!Q366</f>
        <v>11058</v>
      </c>
      <c r="L365" s="30">
        <f>'Equity Volume Data'!O365*'Equity Price Data'!R366</f>
        <v>18159.68</v>
      </c>
      <c r="M365" s="30">
        <f>'Equity Volume Data'!P365*'Equity Price Data'!S366</f>
        <v>14948.94</v>
      </c>
      <c r="N365" s="30">
        <f>'Equity Volume Data'!Q365*'Equity Price Data'!T366</f>
        <v>4569.6</v>
      </c>
      <c r="O365" s="30">
        <f>'Equity Volume Data'!R365*'Equity Price Data'!U366</f>
        <v>78075</v>
      </c>
      <c r="P365" s="30">
        <f>'Equity Volume Data'!S365*'Equity Price Data'!V366</f>
        <v>35987.1</v>
      </c>
      <c r="Q365" s="30">
        <f>'Equity Volume Data'!T365*'Equity Price Data'!W366</f>
        <v>23227.2</v>
      </c>
      <c r="R365" s="30">
        <f>'Equity Volume Data'!U365*'Equity Price Data'!X366</f>
        <v>12524.8</v>
      </c>
      <c r="S365" s="30">
        <f>'Equity Volume Data'!V365*'Equity Price Data'!Y366</f>
        <v>26846.16</v>
      </c>
      <c r="T365" s="30">
        <f>'Equity Volume Data'!W365*'Equity Price Data'!Z366</f>
        <v>12740</v>
      </c>
      <c r="U365" s="30">
        <f>'Equity Volume Data'!X365*'Equity Price Data'!AA366</f>
        <v>18464.16</v>
      </c>
      <c r="V365" s="30">
        <f>'Equity Volume Data'!Y365*'Equity Price Data'!AB366</f>
        <v>16223.97</v>
      </c>
      <c r="W365" s="30">
        <f>'Equity Volume Data'!Z365*'Equity Price Data'!AC366</f>
        <v>12101.91</v>
      </c>
      <c r="X365" s="30">
        <f>'Equity Volume Data'!AA365*'Equity Price Data'!AD366</f>
        <v>0</v>
      </c>
      <c r="Y365" s="30">
        <f>'Equity Volume Data'!AB365*'Equity Price Data'!AE366</f>
        <v>5482.88</v>
      </c>
      <c r="Z365" s="30">
        <f>'Equity Volume Data'!AC365*'Equity Price Data'!AF366</f>
        <v>14328</v>
      </c>
      <c r="AA365" s="30">
        <f>'Equity Volume Data'!AD365*'Equity Price Data'!AG366</f>
        <v>19716.6</v>
      </c>
      <c r="AB365" s="30">
        <f>'Equity Volume Data'!AE365*'Equity Price Data'!AH366</f>
        <v>14290.2</v>
      </c>
      <c r="AC365" s="30">
        <f>'Equity Volume Data'!AF365*'Equity Price Data'!AI366</f>
        <v>16114</v>
      </c>
      <c r="AD365" s="30">
        <f>'Equity Volume Data'!AG365*'Equity Price Data'!AJ366</f>
        <v>15367.5</v>
      </c>
      <c r="AE365" s="30">
        <f>'Equity Volume Data'!AH365*'Equity Price Data'!AK366</f>
        <v>0</v>
      </c>
      <c r="AF365" s="30">
        <f>'Equity Volume Data'!AI365*'Equity Price Data'!AL366</f>
        <v>24751.7</v>
      </c>
      <c r="AG365" s="30">
        <f>'Equity Volume Data'!AJ365*'Equity Price Data'!AM366</f>
        <v>45046.8</v>
      </c>
      <c r="AH365" s="30">
        <f>'Equity Volume Data'!AK365*'Equity Price Data'!AN366</f>
        <v>38503</v>
      </c>
      <c r="AI365" s="30">
        <f>'Equity Volume Data'!AL365*'Equity Price Data'!AO366</f>
        <v>26799.5</v>
      </c>
      <c r="AJ365" s="30">
        <f>'Equity Volume Data'!AM365*'Equity Price Data'!AP366</f>
        <v>20468.5</v>
      </c>
      <c r="AK365" s="30">
        <f>'Equity Volume Data'!AN365*'Equity Price Data'!AQ366</f>
        <v>25911.1</v>
      </c>
      <c r="AL365" s="30">
        <f>'Equity Volume Data'!AO365*'Equity Price Data'!AR366</f>
        <v>47126.4</v>
      </c>
      <c r="AM365" s="30">
        <f>'Equity Volume Data'!AP365*'Equity Price Data'!AS366</f>
        <v>34163.5</v>
      </c>
      <c r="AN365" s="30">
        <f>'Equity Volume Data'!AQ365*'Equity Price Data'!AT366</f>
        <v>0</v>
      </c>
      <c r="AO365" s="30">
        <f>'Equity Volume Data'!AR365*'Equity Price Data'!AU366</f>
        <v>27498.8</v>
      </c>
      <c r="AP365" s="30">
        <f>'Equity Volume Data'!AS365*'Equity Price Data'!AV366</f>
        <v>23552.5</v>
      </c>
      <c r="AQ365" s="30">
        <f>'Equity Volume Data'!AT365*'Equity Price Data'!AW366</f>
        <v>17197.4</v>
      </c>
      <c r="AR365" s="30">
        <f>'Equity Volume Data'!AU365*'Equity Price Data'!AX366</f>
        <v>15264.35</v>
      </c>
      <c r="AS365" s="30">
        <f>'Equity Volume Data'!AV365*'Equity Price Data'!AY366</f>
        <v>62467.2</v>
      </c>
      <c r="AT365" s="30">
        <f>'Equity Volume Data'!AW365*'Equity Price Data'!AZ366</f>
        <v>16650</v>
      </c>
      <c r="AU365" s="30">
        <f>'Equity Volume Data'!AX365*'Equity Price Data'!BA366</f>
        <v>0</v>
      </c>
      <c r="AV365" s="30">
        <f>'Equity Volume Data'!AY365*'Equity Price Data'!BB366</f>
        <v>25866.72</v>
      </c>
      <c r="AW365" s="30">
        <f>'Equity Volume Data'!AZ365*'Equity Price Data'!BC366</f>
        <v>3718.8</v>
      </c>
      <c r="AX365" s="30">
        <f>'Equity Volume Data'!BA365*'Equity Price Data'!BD366</f>
        <v>0</v>
      </c>
      <c r="AY365" s="30">
        <f>'Equity Volume Data'!BB365*'Equity Price Data'!BE366</f>
        <v>40608</v>
      </c>
      <c r="AZ365" s="30">
        <f>'Equity Volume Data'!BC365*'Equity Price Data'!BF366</f>
        <v>10449</v>
      </c>
      <c r="BA365" s="30">
        <f>'Equity Volume Data'!BD365*'Equity Price Data'!BG366</f>
        <v>4687.3</v>
      </c>
      <c r="BB365" s="30">
        <f>'Equity Volume Data'!BE365*'Equity Price Data'!BH366</f>
        <v>14355.2</v>
      </c>
      <c r="BC365" s="30">
        <f>'Equity Volume Data'!BF365*'Equity Price Data'!BI366</f>
        <v>17528.32</v>
      </c>
      <c r="BD365" s="30">
        <f>'Equity Volume Data'!BG365*'Equity Price Data'!BJ366</f>
        <v>46857.87</v>
      </c>
      <c r="BE365" s="30">
        <f>'Equity Volume Data'!BH365*'Equity Price Data'!BK366</f>
        <v>13153.93</v>
      </c>
      <c r="BF365" s="30">
        <f>'Equity Volume Data'!BI365*'Equity Price Data'!BL366</f>
        <v>8162.4</v>
      </c>
      <c r="BG365" s="30">
        <f>'Equity Volume Data'!BJ365*'Equity Price Data'!BM366</f>
        <v>35836.98</v>
      </c>
      <c r="BH365" s="30">
        <f>'Equity Volume Data'!BK365*'Equity Price Data'!BN366</f>
        <v>0</v>
      </c>
      <c r="BI365" s="30">
        <f>'Equity Volume Data'!BL365*'Equity Price Data'!BO366</f>
        <v>35206.4</v>
      </c>
      <c r="BJ365" s="30">
        <f>'Equity Volume Data'!BM365*'Equity Price Data'!BP366</f>
        <v>27033.75</v>
      </c>
      <c r="BK365" s="30">
        <f>'Equity Volume Data'!BN365*'Equity Price Data'!BQ366</f>
        <v>90424.36</v>
      </c>
      <c r="BL365" s="30">
        <f>'Equity Volume Data'!BO365*'Equity Price Data'!BR366</f>
        <v>484.57</v>
      </c>
      <c r="BM365" s="30">
        <f>'Equity Volume Data'!BP365*'Equity Price Data'!BS366</f>
        <v>10373.28</v>
      </c>
      <c r="BN365" s="30">
        <f>'Equity Volume Data'!BQ365*'Equity Price Data'!BT366</f>
        <v>21249.64</v>
      </c>
      <c r="BO365" s="30">
        <f>'Equity Volume Data'!BR365*'Equity Price Data'!BU366</f>
        <v>68782</v>
      </c>
    </row>
    <row r="366">
      <c r="A366" s="25">
        <f>'Equity Price Data'!A367</f>
        <v>45954.66667</v>
      </c>
      <c r="B366" s="29">
        <f t="shared" si="1"/>
        <v>1533326</v>
      </c>
      <c r="C366" s="30">
        <f>'Equity Volume Data'!F366*'Equity Price Data'!I367</f>
        <v>4595.76</v>
      </c>
      <c r="D366" s="30">
        <f>'Equity Volume Data'!G366*'Equity Price Data'!J367</f>
        <v>58294.6</v>
      </c>
      <c r="E366" s="30">
        <f>'Equity Volume Data'!H366*'Equity Price Data'!K367</f>
        <v>15574.9</v>
      </c>
      <c r="F366" s="30">
        <f>'Equity Volume Data'!I366*'Equity Price Data'!L367</f>
        <v>67281.92</v>
      </c>
      <c r="G366" s="30">
        <f>'Equity Volume Data'!J366*'Equity Price Data'!M367</f>
        <v>18986.25</v>
      </c>
      <c r="H366" s="30">
        <f>'Equity Volume Data'!K366*'Equity Price Data'!N367</f>
        <v>20302.12</v>
      </c>
      <c r="I366" s="30">
        <f>'Equity Volume Data'!L366*'Equity Price Data'!O367</f>
        <v>20680</v>
      </c>
      <c r="J366" s="30">
        <f>'Equity Volume Data'!M366*'Equity Price Data'!P367</f>
        <v>50194.2</v>
      </c>
      <c r="K366" s="30">
        <f>'Equity Volume Data'!N366*'Equity Price Data'!Q367</f>
        <v>11124</v>
      </c>
      <c r="L366" s="30">
        <f>'Equity Volume Data'!O366*'Equity Price Data'!R367</f>
        <v>18136.69</v>
      </c>
      <c r="M366" s="30">
        <f>'Equity Volume Data'!P366*'Equity Price Data'!S367</f>
        <v>14762.06</v>
      </c>
      <c r="N366" s="30">
        <f>'Equity Volume Data'!Q366*'Equity Price Data'!T367</f>
        <v>4627.2</v>
      </c>
      <c r="O366" s="30">
        <f>'Equity Volume Data'!R366*'Equity Price Data'!U367</f>
        <v>78409.5</v>
      </c>
      <c r="P366" s="30">
        <f>'Equity Volume Data'!S366*'Equity Price Data'!V367</f>
        <v>36750.21</v>
      </c>
      <c r="Q366" s="30">
        <f>'Equity Volume Data'!T366*'Equity Price Data'!W367</f>
        <v>23040</v>
      </c>
      <c r="R366" s="30">
        <f>'Equity Volume Data'!U366*'Equity Price Data'!X367</f>
        <v>12444.8</v>
      </c>
      <c r="S366" s="30">
        <f>'Equity Volume Data'!V366*'Equity Price Data'!Y367</f>
        <v>26556.64</v>
      </c>
      <c r="T366" s="30">
        <f>'Equity Volume Data'!W366*'Equity Price Data'!Z367</f>
        <v>13045</v>
      </c>
      <c r="U366" s="30">
        <f>'Equity Volume Data'!X366*'Equity Price Data'!AA367</f>
        <v>18403.44</v>
      </c>
      <c r="V366" s="30">
        <f>'Equity Volume Data'!Y366*'Equity Price Data'!AB367</f>
        <v>16106.44</v>
      </c>
      <c r="W366" s="30">
        <f>'Equity Volume Data'!Z366*'Equity Price Data'!AC367</f>
        <v>12370.32</v>
      </c>
      <c r="X366" s="30">
        <f>'Equity Volume Data'!AA366*'Equity Price Data'!AD367</f>
        <v>0</v>
      </c>
      <c r="Y366" s="30">
        <f>'Equity Volume Data'!AB366*'Equity Price Data'!AE367</f>
        <v>5393.18</v>
      </c>
      <c r="Z366" s="30">
        <f>'Equity Volume Data'!AC366*'Equity Price Data'!AF367</f>
        <v>14580</v>
      </c>
      <c r="AA366" s="30">
        <f>'Equity Volume Data'!AD366*'Equity Price Data'!AG367</f>
        <v>19616.3</v>
      </c>
      <c r="AB366" s="30">
        <f>'Equity Volume Data'!AE366*'Equity Price Data'!AH367</f>
        <v>14469</v>
      </c>
      <c r="AC366" s="30">
        <f>'Equity Volume Data'!AF366*'Equity Price Data'!AI367</f>
        <v>16332.4</v>
      </c>
      <c r="AD366" s="30">
        <f>'Equity Volume Data'!AG366*'Equity Price Data'!AJ367</f>
        <v>15784.65</v>
      </c>
      <c r="AE366" s="30">
        <f>'Equity Volume Data'!AH366*'Equity Price Data'!AK367</f>
        <v>0</v>
      </c>
      <c r="AF366" s="30">
        <f>'Equity Volume Data'!AI366*'Equity Price Data'!AL367</f>
        <v>24792.7</v>
      </c>
      <c r="AG366" s="30">
        <f>'Equity Volume Data'!AJ366*'Equity Price Data'!AM367</f>
        <v>47032.8</v>
      </c>
      <c r="AH366" s="30">
        <f>'Equity Volume Data'!AK366*'Equity Price Data'!AN367</f>
        <v>38668</v>
      </c>
      <c r="AI366" s="30">
        <f>'Equity Volume Data'!AL366*'Equity Price Data'!AO367</f>
        <v>26787.25</v>
      </c>
      <c r="AJ366" s="30">
        <f>'Equity Volume Data'!AM366*'Equity Price Data'!AP367</f>
        <v>20494.5</v>
      </c>
      <c r="AK366" s="30">
        <f>'Equity Volume Data'!AN366*'Equity Price Data'!AQ367</f>
        <v>25685.97</v>
      </c>
      <c r="AL366" s="30">
        <f>'Equity Volume Data'!AO366*'Equity Price Data'!AR367</f>
        <v>48070.4</v>
      </c>
      <c r="AM366" s="30">
        <f>'Equity Volume Data'!AP366*'Equity Price Data'!AS367</f>
        <v>33978.7</v>
      </c>
      <c r="AN366" s="30">
        <f>'Equity Volume Data'!AQ366*'Equity Price Data'!AT367</f>
        <v>0</v>
      </c>
      <c r="AO366" s="30">
        <f>'Equity Volume Data'!AR366*'Equity Price Data'!AU367</f>
        <v>27831.86</v>
      </c>
      <c r="AP366" s="30">
        <f>'Equity Volume Data'!AS366*'Equity Price Data'!AV367</f>
        <v>23417.5</v>
      </c>
      <c r="AQ366" s="30">
        <f>'Equity Volume Data'!AT366*'Equity Price Data'!AW367</f>
        <v>17309.6</v>
      </c>
      <c r="AR366" s="30">
        <f>'Equity Volume Data'!AU366*'Equity Price Data'!AX367</f>
        <v>15790.63</v>
      </c>
      <c r="AS366" s="30">
        <f>'Equity Volume Data'!AV366*'Equity Price Data'!AY367</f>
        <v>62833.2</v>
      </c>
      <c r="AT366" s="30">
        <f>'Equity Volume Data'!AW366*'Equity Price Data'!AZ367</f>
        <v>16882</v>
      </c>
      <c r="AU366" s="30">
        <f>'Equity Volume Data'!AX366*'Equity Price Data'!BA367</f>
        <v>0</v>
      </c>
      <c r="AV366" s="30">
        <f>'Equity Volume Data'!AY366*'Equity Price Data'!BB367</f>
        <v>26448.92</v>
      </c>
      <c r="AW366" s="30">
        <f>'Equity Volume Data'!AZ366*'Equity Price Data'!BC367</f>
        <v>3678</v>
      </c>
      <c r="AX366" s="30">
        <f>'Equity Volume Data'!BA366*'Equity Price Data'!BD367</f>
        <v>0</v>
      </c>
      <c r="AY366" s="30">
        <f>'Equity Volume Data'!BB366*'Equity Price Data'!BE367</f>
        <v>41541.75</v>
      </c>
      <c r="AZ366" s="30">
        <f>'Equity Volume Data'!BC366*'Equity Price Data'!BF367</f>
        <v>10465.5</v>
      </c>
      <c r="BA366" s="30">
        <f>'Equity Volume Data'!BD366*'Equity Price Data'!BG367</f>
        <v>4704.4</v>
      </c>
      <c r="BB366" s="30">
        <f>'Equity Volume Data'!BE366*'Equity Price Data'!BH367</f>
        <v>14292</v>
      </c>
      <c r="BC366" s="30">
        <f>'Equity Volume Data'!BF366*'Equity Price Data'!BI367</f>
        <v>17869.44</v>
      </c>
      <c r="BD366" s="30">
        <f>'Equity Volume Data'!BG366*'Equity Price Data'!BJ367</f>
        <v>46385.01</v>
      </c>
      <c r="BE366" s="30">
        <f>'Equity Volume Data'!BH366*'Equity Price Data'!BK367</f>
        <v>13167.5</v>
      </c>
      <c r="BF366" s="30">
        <f>'Equity Volume Data'!BI366*'Equity Price Data'!BL367</f>
        <v>8214.8</v>
      </c>
      <c r="BG366" s="30">
        <f>'Equity Volume Data'!BJ366*'Equity Price Data'!BM367</f>
        <v>36284.56</v>
      </c>
      <c r="BH366" s="30">
        <f>'Equity Volume Data'!BK366*'Equity Price Data'!BN367</f>
        <v>0</v>
      </c>
      <c r="BI366" s="30">
        <f>'Equity Volume Data'!BL366*'Equity Price Data'!BO367</f>
        <v>34657.6</v>
      </c>
      <c r="BJ366" s="30">
        <f>'Equity Volume Data'!BM366*'Equity Price Data'!BP367</f>
        <v>27187.5</v>
      </c>
      <c r="BK366" s="30">
        <f>'Equity Volume Data'!BN366*'Equity Price Data'!BQ367</f>
        <v>90424.36</v>
      </c>
      <c r="BL366" s="30">
        <f>'Equity Volume Data'!BO366*'Equity Price Data'!BR367</f>
        <v>486.45</v>
      </c>
      <c r="BM366" s="30">
        <f>'Equity Volume Data'!BP366*'Equity Price Data'!BS367</f>
        <v>10303.68</v>
      </c>
      <c r="BN366" s="30">
        <f>'Equity Volume Data'!BQ366*'Equity Price Data'!BT367</f>
        <v>20995.84</v>
      </c>
      <c r="BO366" s="30">
        <f>'Equity Volume Data'!BR366*'Equity Price Data'!BU367</f>
        <v>68782</v>
      </c>
    </row>
    <row r="367">
      <c r="A367" s="25">
        <f>'Equity Price Data'!A368</f>
        <v>45957.66667</v>
      </c>
      <c r="B367" s="29">
        <f t="shared" si="1"/>
        <v>1543887.94</v>
      </c>
      <c r="C367" s="30">
        <f>'Equity Volume Data'!F367*'Equity Price Data'!I368</f>
        <v>4651.4</v>
      </c>
      <c r="D367" s="30">
        <f>'Equity Volume Data'!G367*'Equity Price Data'!J368</f>
        <v>59012.2</v>
      </c>
      <c r="E367" s="30">
        <f>'Equity Volume Data'!H367*'Equity Price Data'!K368</f>
        <v>15178.9</v>
      </c>
      <c r="F367" s="30">
        <f>'Equity Volume Data'!I367*'Equity Price Data'!L368</f>
        <v>68815.36</v>
      </c>
      <c r="G367" s="30">
        <f>'Equity Volume Data'!J367*'Equity Price Data'!M368</f>
        <v>19200.39</v>
      </c>
      <c r="H367" s="30">
        <f>'Equity Volume Data'!K367*'Equity Price Data'!N368</f>
        <v>20225.04</v>
      </c>
      <c r="I367" s="30">
        <f>'Equity Volume Data'!L367*'Equity Price Data'!O368</f>
        <v>21270</v>
      </c>
      <c r="J367" s="30">
        <f>'Equity Volume Data'!M367*'Equity Price Data'!P368</f>
        <v>49783.14</v>
      </c>
      <c r="K367" s="30">
        <f>'Equity Volume Data'!N367*'Equity Price Data'!Q368</f>
        <v>11276</v>
      </c>
      <c r="L367" s="30">
        <f>'Equity Volume Data'!O367*'Equity Price Data'!R368</f>
        <v>18202.03</v>
      </c>
      <c r="M367" s="30">
        <f>'Equity Volume Data'!P367*'Equity Price Data'!S368</f>
        <v>14954.78</v>
      </c>
      <c r="N367" s="30">
        <f>'Equity Volume Data'!Q367*'Equity Price Data'!T368</f>
        <v>4663.2</v>
      </c>
      <c r="O367" s="30">
        <f>'Equity Volume Data'!R367*'Equity Price Data'!U368</f>
        <v>79060.5</v>
      </c>
      <c r="P367" s="30">
        <f>'Equity Volume Data'!S367*'Equity Price Data'!V368</f>
        <v>36120.54</v>
      </c>
      <c r="Q367" s="30">
        <f>'Equity Volume Data'!T367*'Equity Price Data'!W368</f>
        <v>23006.4</v>
      </c>
      <c r="R367" s="30">
        <f>'Equity Volume Data'!U367*'Equity Price Data'!X368</f>
        <v>12422.4</v>
      </c>
      <c r="S367" s="30">
        <f>'Equity Volume Data'!V367*'Equity Price Data'!Y368</f>
        <v>27207.84</v>
      </c>
      <c r="T367" s="30">
        <f>'Equity Volume Data'!W367*'Equity Price Data'!Z368</f>
        <v>12977.5</v>
      </c>
      <c r="U367" s="30">
        <f>'Equity Volume Data'!X367*'Equity Price Data'!AA368</f>
        <v>18495.84</v>
      </c>
      <c r="V367" s="30">
        <f>'Equity Volume Data'!Y367*'Equity Price Data'!AB368</f>
        <v>16135.42</v>
      </c>
      <c r="W367" s="30">
        <f>'Equity Volume Data'!Z367*'Equity Price Data'!AC368</f>
        <v>12291.66</v>
      </c>
      <c r="X367" s="30">
        <f>'Equity Volume Data'!AA367*'Equity Price Data'!AD368</f>
        <v>0</v>
      </c>
      <c r="Y367" s="30">
        <f>'Equity Volume Data'!AB367*'Equity Price Data'!AE368</f>
        <v>5365.1</v>
      </c>
      <c r="Z367" s="30">
        <f>'Equity Volume Data'!AC367*'Equity Price Data'!AF368</f>
        <v>14701.5</v>
      </c>
      <c r="AA367" s="30">
        <f>'Equity Volume Data'!AD367*'Equity Price Data'!AG368</f>
        <v>19709.8</v>
      </c>
      <c r="AB367" s="30">
        <f>'Equity Volume Data'!AE367*'Equity Price Data'!AH368</f>
        <v>14840.4</v>
      </c>
      <c r="AC367" s="30">
        <f>'Equity Volume Data'!AF367*'Equity Price Data'!AI368</f>
        <v>16298.4</v>
      </c>
      <c r="AD367" s="30">
        <f>'Equity Volume Data'!AG367*'Equity Price Data'!AJ368</f>
        <v>15919.65</v>
      </c>
      <c r="AE367" s="30">
        <f>'Equity Volume Data'!AH367*'Equity Price Data'!AK368</f>
        <v>0</v>
      </c>
      <c r="AF367" s="30">
        <f>'Equity Volume Data'!AI367*'Equity Price Data'!AL368</f>
        <v>24696.35</v>
      </c>
      <c r="AG367" s="30">
        <f>'Equity Volume Data'!AJ367*'Equity Price Data'!AM368</f>
        <v>47399.4</v>
      </c>
      <c r="AH367" s="30">
        <f>'Equity Volume Data'!AK367*'Equity Price Data'!AN368</f>
        <v>38527</v>
      </c>
      <c r="AI367" s="30">
        <f>'Equity Volume Data'!AL367*'Equity Price Data'!AO368</f>
        <v>26887</v>
      </c>
      <c r="AJ367" s="30">
        <f>'Equity Volume Data'!AM367*'Equity Price Data'!AP368</f>
        <v>20779.2</v>
      </c>
      <c r="AK367" s="30">
        <f>'Equity Volume Data'!AN367*'Equity Price Data'!AQ368</f>
        <v>25908.75</v>
      </c>
      <c r="AL367" s="30">
        <f>'Equity Volume Data'!AO367*'Equity Price Data'!AR368</f>
        <v>48664</v>
      </c>
      <c r="AM367" s="30">
        <f>'Equity Volume Data'!AP367*'Equity Price Data'!AS368</f>
        <v>34083.7</v>
      </c>
      <c r="AN367" s="30">
        <f>'Equity Volume Data'!AQ367*'Equity Price Data'!AT368</f>
        <v>0</v>
      </c>
      <c r="AO367" s="30">
        <f>'Equity Volume Data'!AR367*'Equity Price Data'!AU368</f>
        <v>28088.06</v>
      </c>
      <c r="AP367" s="30">
        <f>'Equity Volume Data'!AS367*'Equity Price Data'!AV368</f>
        <v>23532.5</v>
      </c>
      <c r="AQ367" s="30">
        <f>'Equity Volume Data'!AT367*'Equity Price Data'!AW368</f>
        <v>17351.4</v>
      </c>
      <c r="AR367" s="30">
        <f>'Equity Volume Data'!AU367*'Equity Price Data'!AX368</f>
        <v>14622.11</v>
      </c>
      <c r="AS367" s="30">
        <f>'Equity Volume Data'!AV367*'Equity Price Data'!AY368</f>
        <v>63782.4</v>
      </c>
      <c r="AT367" s="30">
        <f>'Equity Volume Data'!AW367*'Equity Price Data'!AZ368</f>
        <v>17206</v>
      </c>
      <c r="AU367" s="30">
        <f>'Equity Volume Data'!AX367*'Equity Price Data'!BA368</f>
        <v>0</v>
      </c>
      <c r="AV367" s="30">
        <f>'Equity Volume Data'!AY367*'Equity Price Data'!BB368</f>
        <v>27191.58</v>
      </c>
      <c r="AW367" s="30">
        <f>'Equity Volume Data'!AZ367*'Equity Price Data'!BC368</f>
        <v>3682</v>
      </c>
      <c r="AX367" s="30">
        <f>'Equity Volume Data'!BA367*'Equity Price Data'!BD368</f>
        <v>0</v>
      </c>
      <c r="AY367" s="30">
        <f>'Equity Volume Data'!BB367*'Equity Price Data'!BE368</f>
        <v>42565.5</v>
      </c>
      <c r="AZ367" s="30">
        <f>'Equity Volume Data'!BC367*'Equity Price Data'!BF368</f>
        <v>10537.5</v>
      </c>
      <c r="BA367" s="30">
        <f>'Equity Volume Data'!BD367*'Equity Price Data'!BG368</f>
        <v>4706.3</v>
      </c>
      <c r="BB367" s="30">
        <f>'Equity Volume Data'!BE367*'Equity Price Data'!BH368</f>
        <v>14339.2</v>
      </c>
      <c r="BC367" s="30">
        <f>'Equity Volume Data'!BF367*'Equity Price Data'!BI368</f>
        <v>19020.72</v>
      </c>
      <c r="BD367" s="30">
        <f>'Equity Volume Data'!BG367*'Equity Price Data'!BJ368</f>
        <v>47004.84</v>
      </c>
      <c r="BE367" s="30">
        <f>'Equity Volume Data'!BH367*'Equity Price Data'!BK368</f>
        <v>12966.94</v>
      </c>
      <c r="BF367" s="30">
        <f>'Equity Volume Data'!BI367*'Equity Price Data'!BL368</f>
        <v>8368.8</v>
      </c>
      <c r="BG367" s="30">
        <f>'Equity Volume Data'!BJ367*'Equity Price Data'!BM368</f>
        <v>36821.1</v>
      </c>
      <c r="BH367" s="30">
        <f>'Equity Volume Data'!BK367*'Equity Price Data'!BN368</f>
        <v>0</v>
      </c>
      <c r="BI367" s="30">
        <f>'Equity Volume Data'!BL367*'Equity Price Data'!BO368</f>
        <v>34916.8</v>
      </c>
      <c r="BJ367" s="30">
        <f>'Equity Volume Data'!BM367*'Equity Price Data'!BP368</f>
        <v>27448.5</v>
      </c>
      <c r="BK367" s="30">
        <f>'Equity Volume Data'!BN367*'Equity Price Data'!BQ368</f>
        <v>90352.28</v>
      </c>
      <c r="BL367" s="30">
        <f>'Equity Volume Data'!BO367*'Equity Price Data'!BR368</f>
        <v>489.74</v>
      </c>
      <c r="BM367" s="30">
        <f>'Equity Volume Data'!BP367*'Equity Price Data'!BS368</f>
        <v>10260.96</v>
      </c>
      <c r="BN367" s="30">
        <f>'Equity Volume Data'!BQ367*'Equity Price Data'!BT368</f>
        <v>21119.92</v>
      </c>
      <c r="BO367" s="30">
        <f>'Equity Volume Data'!BR367*'Equity Price Data'!BU368</f>
        <v>68782</v>
      </c>
    </row>
    <row r="368">
      <c r="A368" s="25">
        <f>'Equity Price Data'!A369</f>
        <v>45958.66667</v>
      </c>
      <c r="B368" s="29">
        <f t="shared" si="1"/>
        <v>1551349.35</v>
      </c>
      <c r="C368" s="30">
        <f>'Equity Volume Data'!F368*'Equity Price Data'!I369</f>
        <v>4678.83</v>
      </c>
      <c r="D368" s="30">
        <f>'Equity Volume Data'!G368*'Equity Price Data'!J369</f>
        <v>59605</v>
      </c>
      <c r="E368" s="30">
        <f>'Equity Volume Data'!H368*'Equity Price Data'!K369</f>
        <v>14829.1</v>
      </c>
      <c r="F368" s="30">
        <f>'Equity Volume Data'!I368*'Equity Price Data'!L369</f>
        <v>68864</v>
      </c>
      <c r="G368" s="30">
        <f>'Equity Volume Data'!J368*'Equity Price Data'!M369</f>
        <v>18894.12</v>
      </c>
      <c r="H368" s="30">
        <f>'Equity Volume Data'!K368*'Equity Price Data'!N369</f>
        <v>20388.6</v>
      </c>
      <c r="I368" s="30">
        <f>'Equity Volume Data'!L368*'Equity Price Data'!O369</f>
        <v>21570</v>
      </c>
      <c r="J368" s="30">
        <f>'Equity Volume Data'!M368*'Equity Price Data'!P369</f>
        <v>49106.88</v>
      </c>
      <c r="K368" s="30">
        <f>'Equity Volume Data'!N368*'Equity Price Data'!Q369</f>
        <v>11426</v>
      </c>
      <c r="L368" s="30">
        <f>'Equity Volume Data'!O368*'Equity Price Data'!R369</f>
        <v>18044.73</v>
      </c>
      <c r="M368" s="30">
        <f>'Equity Volume Data'!P368*'Equity Price Data'!S369</f>
        <v>14741.62</v>
      </c>
      <c r="N368" s="30">
        <f>'Equity Volume Data'!Q368*'Equity Price Data'!T369</f>
        <v>4699.2</v>
      </c>
      <c r="O368" s="30">
        <f>'Equity Volume Data'!R368*'Equity Price Data'!U369</f>
        <v>78670.5</v>
      </c>
      <c r="P368" s="30">
        <f>'Equity Volume Data'!S368*'Equity Price Data'!V369</f>
        <v>44581.47</v>
      </c>
      <c r="Q368" s="30">
        <f>'Equity Volume Data'!T368*'Equity Price Data'!W369</f>
        <v>24427.2</v>
      </c>
      <c r="R368" s="30">
        <f>'Equity Volume Data'!U368*'Equity Price Data'!X369</f>
        <v>12330.4</v>
      </c>
      <c r="S368" s="30">
        <f>'Equity Volume Data'!V368*'Equity Price Data'!Y369</f>
        <v>27140.08</v>
      </c>
      <c r="T368" s="30">
        <f>'Equity Volume Data'!W368*'Equity Price Data'!Z369</f>
        <v>12832.5</v>
      </c>
      <c r="U368" s="30">
        <f>'Equity Volume Data'!X368*'Equity Price Data'!AA369</f>
        <v>18522.24</v>
      </c>
      <c r="V368" s="30">
        <f>'Equity Volume Data'!Y368*'Equity Price Data'!AB369</f>
        <v>15866.55</v>
      </c>
      <c r="W368" s="30">
        <f>'Equity Volume Data'!Z368*'Equity Price Data'!AC369</f>
        <v>12010.14</v>
      </c>
      <c r="X368" s="30">
        <f>'Equity Volume Data'!AA368*'Equity Price Data'!AD369</f>
        <v>0</v>
      </c>
      <c r="Y368" s="30">
        <f>'Equity Volume Data'!AB368*'Equity Price Data'!AE369</f>
        <v>5342.61</v>
      </c>
      <c r="Z368" s="30">
        <f>'Equity Volume Data'!AC368*'Equity Price Data'!AF369</f>
        <v>14937</v>
      </c>
      <c r="AA368" s="30">
        <f>'Equity Volume Data'!AD368*'Equity Price Data'!AG369</f>
        <v>19555.1</v>
      </c>
      <c r="AB368" s="30">
        <f>'Equity Volume Data'!AE368*'Equity Price Data'!AH369</f>
        <v>14973</v>
      </c>
      <c r="AC368" s="30">
        <f>'Equity Volume Data'!AF368*'Equity Price Data'!AI369</f>
        <v>16090.8</v>
      </c>
      <c r="AD368" s="30">
        <f>'Equity Volume Data'!AG368*'Equity Price Data'!AJ369</f>
        <v>15600.6</v>
      </c>
      <c r="AE368" s="30">
        <f>'Equity Volume Data'!AH368*'Equity Price Data'!AK369</f>
        <v>0</v>
      </c>
      <c r="AF368" s="30">
        <f>'Equity Volume Data'!AI368*'Equity Price Data'!AL369</f>
        <v>24165.4</v>
      </c>
      <c r="AG368" s="30">
        <f>'Equity Volume Data'!AJ368*'Equity Price Data'!AM369</f>
        <v>47525.4</v>
      </c>
      <c r="AH368" s="30">
        <f>'Equity Volume Data'!AK368*'Equity Price Data'!AN369</f>
        <v>38575</v>
      </c>
      <c r="AI368" s="30">
        <f>'Equity Volume Data'!AL368*'Equity Price Data'!AO369</f>
        <v>26684</v>
      </c>
      <c r="AJ368" s="30">
        <f>'Equity Volume Data'!AM368*'Equity Price Data'!AP369</f>
        <v>20445.1</v>
      </c>
      <c r="AK368" s="30">
        <f>'Equity Volume Data'!AN368*'Equity Price Data'!AQ369</f>
        <v>25633.33</v>
      </c>
      <c r="AL368" s="30">
        <f>'Equity Volume Data'!AO368*'Equity Price Data'!AR369</f>
        <v>48857.6</v>
      </c>
      <c r="AM368" s="30">
        <f>'Equity Volume Data'!AP368*'Equity Price Data'!AS369</f>
        <v>34003.9</v>
      </c>
      <c r="AN368" s="30">
        <f>'Equity Volume Data'!AQ368*'Equity Price Data'!AT369</f>
        <v>0</v>
      </c>
      <c r="AO368" s="30">
        <f>'Equity Volume Data'!AR368*'Equity Price Data'!AU369</f>
        <v>28045.36</v>
      </c>
      <c r="AP368" s="30">
        <f>'Equity Volume Data'!AS368*'Equity Price Data'!AV369</f>
        <v>23307.5</v>
      </c>
      <c r="AQ368" s="30">
        <f>'Equity Volume Data'!AT368*'Equity Price Data'!AW369</f>
        <v>17325</v>
      </c>
      <c r="AR368" s="30">
        <f>'Equity Volume Data'!AU368*'Equity Price Data'!AX369</f>
        <v>14481.62</v>
      </c>
      <c r="AS368" s="30">
        <f>'Equity Volume Data'!AV368*'Equity Price Data'!AY369</f>
        <v>65048.4</v>
      </c>
      <c r="AT368" s="30">
        <f>'Equity Volume Data'!AW368*'Equity Price Data'!AZ369</f>
        <v>16714</v>
      </c>
      <c r="AU368" s="30">
        <f>'Equity Volume Data'!AX368*'Equity Price Data'!BA369</f>
        <v>0</v>
      </c>
      <c r="AV368" s="30">
        <f>'Equity Volume Data'!AY368*'Equity Price Data'!BB369</f>
        <v>28546.26</v>
      </c>
      <c r="AW368" s="30">
        <f>'Equity Volume Data'!AZ368*'Equity Price Data'!BC369</f>
        <v>3652</v>
      </c>
      <c r="AX368" s="30">
        <f>'Equity Volume Data'!BA368*'Equity Price Data'!BD369</f>
        <v>0</v>
      </c>
      <c r="AY368" s="30">
        <f>'Equity Volume Data'!BB368*'Equity Price Data'!BE369</f>
        <v>42660</v>
      </c>
      <c r="AZ368" s="30">
        <f>'Equity Volume Data'!BC368*'Equity Price Data'!BF369</f>
        <v>10953</v>
      </c>
      <c r="BA368" s="30">
        <f>'Equity Volume Data'!BD368*'Equity Price Data'!BG369</f>
        <v>4655</v>
      </c>
      <c r="BB368" s="30">
        <f>'Equity Volume Data'!BE368*'Equity Price Data'!BH369</f>
        <v>14293.6</v>
      </c>
      <c r="BC368" s="30">
        <f>'Equity Volume Data'!BF368*'Equity Price Data'!BI369</f>
        <v>19079.76</v>
      </c>
      <c r="BD368" s="30">
        <f>'Equity Volume Data'!BG368*'Equity Price Data'!BJ369</f>
        <v>46857.87</v>
      </c>
      <c r="BE368" s="30">
        <f>'Equity Volume Data'!BH368*'Equity Price Data'!BK369</f>
        <v>12825.49</v>
      </c>
      <c r="BF368" s="30">
        <f>'Equity Volume Data'!BI368*'Equity Price Data'!BL369</f>
        <v>8449.6</v>
      </c>
      <c r="BG368" s="30">
        <f>'Equity Volume Data'!BJ368*'Equity Price Data'!BM369</f>
        <v>36059.38</v>
      </c>
      <c r="BH368" s="30">
        <f>'Equity Volume Data'!BK368*'Equity Price Data'!BN369</f>
        <v>0</v>
      </c>
      <c r="BI368" s="30">
        <f>'Equity Volume Data'!BL368*'Equity Price Data'!BO369</f>
        <v>34814.4</v>
      </c>
      <c r="BJ368" s="30">
        <f>'Equity Volume Data'!BM368*'Equity Price Data'!BP369</f>
        <v>27588</v>
      </c>
      <c r="BK368" s="30">
        <f>'Equity Volume Data'!BN368*'Equity Price Data'!BQ369</f>
        <v>90316.24</v>
      </c>
      <c r="BL368" s="30">
        <f>'Equity Volume Data'!BO368*'Equity Price Data'!BR369</f>
        <v>483.63</v>
      </c>
      <c r="BM368" s="30">
        <f>'Equity Volume Data'!BP368*'Equity Price Data'!BS369</f>
        <v>9803.04</v>
      </c>
      <c r="BN368" s="30">
        <f>'Equity Volume Data'!BQ368*'Equity Price Data'!BT369</f>
        <v>20990.2</v>
      </c>
      <c r="BO368" s="30">
        <f>'Equity Volume Data'!BR368*'Equity Price Data'!BU369</f>
        <v>68782</v>
      </c>
    </row>
    <row r="369">
      <c r="A369" s="25">
        <f>'Equity Price Data'!A370</f>
        <v>45959.66667</v>
      </c>
      <c r="B369" s="29">
        <f t="shared" si="1"/>
        <v>1556019.96</v>
      </c>
      <c r="C369" s="30">
        <f>'Equity Volume Data'!F369*'Equity Price Data'!I370</f>
        <v>4392.18</v>
      </c>
      <c r="D369" s="30">
        <f>'Equity Volume Data'!G369*'Equity Price Data'!J370</f>
        <v>59878</v>
      </c>
      <c r="E369" s="30">
        <f>'Equity Volume Data'!H369*'Equity Price Data'!K370</f>
        <v>14306.6</v>
      </c>
      <c r="F369" s="30">
        <f>'Equity Volume Data'!I369*'Equity Price Data'!L370</f>
        <v>69043.2</v>
      </c>
      <c r="G369" s="30">
        <f>'Equity Volume Data'!J369*'Equity Price Data'!M370</f>
        <v>19567.25</v>
      </c>
      <c r="H369" s="30">
        <f>'Equity Volume Data'!K369*'Equity Price Data'!N370</f>
        <v>20125.4</v>
      </c>
      <c r="I369" s="30">
        <f>'Equity Volume Data'!L369*'Equity Price Data'!O370</f>
        <v>21360</v>
      </c>
      <c r="J369" s="30">
        <f>'Equity Volume Data'!M369*'Equity Price Data'!P370</f>
        <v>48527.52</v>
      </c>
      <c r="K369" s="30">
        <f>'Equity Volume Data'!N369*'Equity Price Data'!Q370</f>
        <v>11592</v>
      </c>
      <c r="L369" s="30">
        <f>'Equity Volume Data'!O369*'Equity Price Data'!R370</f>
        <v>17891.06</v>
      </c>
      <c r="M369" s="30">
        <f>'Equity Volume Data'!P369*'Equity Price Data'!S370</f>
        <v>14643.8</v>
      </c>
      <c r="N369" s="30">
        <f>'Equity Volume Data'!Q369*'Equity Price Data'!T370</f>
        <v>4860</v>
      </c>
      <c r="O369" s="30">
        <f>'Equity Volume Data'!R369*'Equity Price Data'!U370</f>
        <v>87823.5</v>
      </c>
      <c r="P369" s="30">
        <f>'Equity Volume Data'!S369*'Equity Price Data'!V370</f>
        <v>44481.39</v>
      </c>
      <c r="Q369" s="30">
        <f>'Equity Volume Data'!T369*'Equity Price Data'!W370</f>
        <v>23673.6</v>
      </c>
      <c r="R369" s="30">
        <f>'Equity Volume Data'!U369*'Equity Price Data'!X370</f>
        <v>12408</v>
      </c>
      <c r="S369" s="30">
        <f>'Equity Volume Data'!V369*'Equity Price Data'!Y370</f>
        <v>26322.56</v>
      </c>
      <c r="T369" s="30">
        <f>'Equity Volume Data'!W369*'Equity Price Data'!Z370</f>
        <v>12607.5</v>
      </c>
      <c r="U369" s="30">
        <f>'Equity Volume Data'!X369*'Equity Price Data'!AA370</f>
        <v>18044.4</v>
      </c>
      <c r="V369" s="30">
        <f>'Equity Volume Data'!Y369*'Equity Price Data'!AB370</f>
        <v>15617</v>
      </c>
      <c r="W369" s="30">
        <f>'Equity Volume Data'!Z369*'Equity Price Data'!AC370</f>
        <v>11532.66</v>
      </c>
      <c r="X369" s="30">
        <f>'Equity Volume Data'!AA369*'Equity Price Data'!AD370</f>
        <v>0</v>
      </c>
      <c r="Y369" s="30">
        <f>'Equity Volume Data'!AB369*'Equity Price Data'!AE370</f>
        <v>5276.31</v>
      </c>
      <c r="Z369" s="30">
        <f>'Equity Volume Data'!AC369*'Equity Price Data'!AF370</f>
        <v>14931</v>
      </c>
      <c r="AA369" s="30">
        <f>'Equity Volume Data'!AD369*'Equity Price Data'!AG370</f>
        <v>19796.5</v>
      </c>
      <c r="AB369" s="30">
        <f>'Equity Volume Data'!AE369*'Equity Price Data'!AH370</f>
        <v>14978.4</v>
      </c>
      <c r="AC369" s="30">
        <f>'Equity Volume Data'!AF369*'Equity Price Data'!AI370</f>
        <v>15657.6</v>
      </c>
      <c r="AD369" s="30">
        <f>'Equity Volume Data'!AG369*'Equity Price Data'!AJ370</f>
        <v>15456.6</v>
      </c>
      <c r="AE369" s="30">
        <f>'Equity Volume Data'!AH369*'Equity Price Data'!AK370</f>
        <v>0</v>
      </c>
      <c r="AF369" s="30">
        <f>'Equity Volume Data'!AI369*'Equity Price Data'!AL370</f>
        <v>24292.5</v>
      </c>
      <c r="AG369" s="30">
        <f>'Equity Volume Data'!AJ369*'Equity Price Data'!AM370</f>
        <v>46983.6</v>
      </c>
      <c r="AH369" s="30">
        <f>'Equity Volume Data'!AK369*'Equity Price Data'!AN370</f>
        <v>37804</v>
      </c>
      <c r="AI369" s="30">
        <f>'Equity Volume Data'!AL369*'Equity Price Data'!AO370</f>
        <v>29681.75</v>
      </c>
      <c r="AJ369" s="30">
        <f>'Equity Volume Data'!AM369*'Equity Price Data'!AP370</f>
        <v>19580.6</v>
      </c>
      <c r="AK369" s="30">
        <f>'Equity Volume Data'!AN369*'Equity Price Data'!AQ370</f>
        <v>25266.73</v>
      </c>
      <c r="AL369" s="30">
        <f>'Equity Volume Data'!AO369*'Equity Price Data'!AR370</f>
        <v>48881.6</v>
      </c>
      <c r="AM369" s="30">
        <f>'Equity Volume Data'!AP369*'Equity Price Data'!AS370</f>
        <v>33973.1</v>
      </c>
      <c r="AN369" s="30">
        <f>'Equity Volume Data'!AQ369*'Equity Price Data'!AT370</f>
        <v>0</v>
      </c>
      <c r="AO369" s="30">
        <f>'Equity Volume Data'!AR369*'Equity Price Data'!AU370</f>
        <v>27789.16</v>
      </c>
      <c r="AP369" s="30">
        <f>'Equity Volume Data'!AS369*'Equity Price Data'!AV370</f>
        <v>22932.5</v>
      </c>
      <c r="AQ369" s="30">
        <f>'Equity Volume Data'!AT369*'Equity Price Data'!AW370</f>
        <v>17230.4</v>
      </c>
      <c r="AR369" s="30">
        <f>'Equity Volume Data'!AU369*'Equity Price Data'!AX370</f>
        <v>14336.67</v>
      </c>
      <c r="AS369" s="30">
        <f>'Equity Volume Data'!AV369*'Equity Price Data'!AY370</f>
        <v>64986</v>
      </c>
      <c r="AT369" s="30">
        <f>'Equity Volume Data'!AW369*'Equity Price Data'!AZ370</f>
        <v>16352</v>
      </c>
      <c r="AU369" s="30">
        <f>'Equity Volume Data'!AX369*'Equity Price Data'!BA370</f>
        <v>0</v>
      </c>
      <c r="AV369" s="30">
        <f>'Equity Volume Data'!AY369*'Equity Price Data'!BB370</f>
        <v>29399.68</v>
      </c>
      <c r="AW369" s="30">
        <f>'Equity Volume Data'!AZ369*'Equity Price Data'!BC370</f>
        <v>3735.2</v>
      </c>
      <c r="AX369" s="30">
        <f>'Equity Volume Data'!BA369*'Equity Price Data'!BD370</f>
        <v>0</v>
      </c>
      <c r="AY369" s="30">
        <f>'Equity Volume Data'!BB369*'Equity Price Data'!BE370</f>
        <v>44732.25</v>
      </c>
      <c r="AZ369" s="30">
        <f>'Equity Volume Data'!BC369*'Equity Price Data'!BF370</f>
        <v>10452</v>
      </c>
      <c r="BA369" s="30">
        <f>'Equity Volume Data'!BD369*'Equity Price Data'!BG370</f>
        <v>4615.1</v>
      </c>
      <c r="BB369" s="30">
        <f>'Equity Volume Data'!BE369*'Equity Price Data'!BH370</f>
        <v>14108.8</v>
      </c>
      <c r="BC369" s="30">
        <f>'Equity Volume Data'!BF369*'Equity Price Data'!BI370</f>
        <v>19030.56</v>
      </c>
      <c r="BD369" s="30">
        <f>'Equity Volume Data'!BG369*'Equity Price Data'!BJ370</f>
        <v>45797.13</v>
      </c>
      <c r="BE369" s="30">
        <f>'Equity Volume Data'!BH369*'Equity Price Data'!BK370</f>
        <v>12841.13</v>
      </c>
      <c r="BF369" s="30">
        <f>'Equity Volume Data'!BI369*'Equity Price Data'!BL370</f>
        <v>8283.6</v>
      </c>
      <c r="BG369" s="30">
        <f>'Equity Volume Data'!BJ369*'Equity Price Data'!BM370</f>
        <v>37340.96</v>
      </c>
      <c r="BH369" s="30">
        <f>'Equity Volume Data'!BK369*'Equity Price Data'!BN370</f>
        <v>0</v>
      </c>
      <c r="BI369" s="30">
        <f>'Equity Volume Data'!BL369*'Equity Price Data'!BO370</f>
        <v>34619.2</v>
      </c>
      <c r="BJ369" s="30">
        <f>'Equity Volume Data'!BM369*'Equity Price Data'!BP370</f>
        <v>26644.5</v>
      </c>
      <c r="BK369" s="30">
        <f>'Equity Volume Data'!BN369*'Equity Price Data'!BQ370</f>
        <v>90063.96</v>
      </c>
      <c r="BL369" s="30">
        <f>'Equity Volume Data'!BO369*'Equity Price Data'!BR370</f>
        <v>482.69</v>
      </c>
      <c r="BM369" s="30">
        <f>'Equity Volume Data'!BP369*'Equity Price Data'!BS370</f>
        <v>9481.44</v>
      </c>
      <c r="BN369" s="30">
        <f>'Equity Volume Data'!BQ369*'Equity Price Data'!BT370</f>
        <v>20725.12</v>
      </c>
      <c r="BO369" s="30">
        <f>'Equity Volume Data'!BR369*'Equity Price Data'!BU370</f>
        <v>68782</v>
      </c>
    </row>
    <row r="370">
      <c r="A370" s="25">
        <f>'Equity Price Data'!A371</f>
        <v>45960.66667</v>
      </c>
      <c r="B370" s="29">
        <f t="shared" si="1"/>
        <v>1557869.97</v>
      </c>
      <c r="C370" s="30">
        <f>'Equity Volume Data'!F370*'Equity Price Data'!I371</f>
        <v>4410.12</v>
      </c>
      <c r="D370" s="30">
        <f>'Equity Volume Data'!G370*'Equity Price Data'!J371</f>
        <v>57943.6</v>
      </c>
      <c r="E370" s="30">
        <f>'Equity Volume Data'!H370*'Equity Price Data'!K371</f>
        <v>13937</v>
      </c>
      <c r="F370" s="30">
        <f>'Equity Volume Data'!I370*'Equity Price Data'!L371</f>
        <v>69478.4</v>
      </c>
      <c r="G370" s="30">
        <f>'Equity Volume Data'!J370*'Equity Price Data'!M371</f>
        <v>19301.65</v>
      </c>
      <c r="H370" s="30">
        <f>'Equity Volume Data'!K370*'Equity Price Data'!N371</f>
        <v>20288.96</v>
      </c>
      <c r="I370" s="30">
        <f>'Equity Volume Data'!L370*'Equity Price Data'!O371</f>
        <v>21340</v>
      </c>
      <c r="J370" s="30">
        <f>'Equity Volume Data'!M370*'Equity Price Data'!P371</f>
        <v>48809.04</v>
      </c>
      <c r="K370" s="30">
        <f>'Equity Volume Data'!N370*'Equity Price Data'!Q371</f>
        <v>11448</v>
      </c>
      <c r="L370" s="30">
        <f>'Equity Volume Data'!O370*'Equity Price Data'!R371</f>
        <v>18102.81</v>
      </c>
      <c r="M370" s="30">
        <f>'Equity Volume Data'!P370*'Equity Price Data'!S371</f>
        <v>14683.22</v>
      </c>
      <c r="N370" s="30">
        <f>'Equity Volume Data'!Q370*'Equity Price Data'!T371</f>
        <v>4708</v>
      </c>
      <c r="O370" s="30">
        <f>'Equity Volume Data'!R370*'Equity Price Data'!U371</f>
        <v>87472.5</v>
      </c>
      <c r="P370" s="30">
        <f>'Equity Volume Data'!S370*'Equity Price Data'!V371</f>
        <v>43668.24</v>
      </c>
      <c r="Q370" s="30">
        <f>'Equity Volume Data'!T370*'Equity Price Data'!W371</f>
        <v>23937.6</v>
      </c>
      <c r="R370" s="30">
        <f>'Equity Volume Data'!U370*'Equity Price Data'!X371</f>
        <v>12281.6</v>
      </c>
      <c r="S370" s="30">
        <f>'Equity Volume Data'!V370*'Equity Price Data'!Y371</f>
        <v>21744.8</v>
      </c>
      <c r="T370" s="30">
        <f>'Equity Volume Data'!W370*'Equity Price Data'!Z371</f>
        <v>12642.5</v>
      </c>
      <c r="U370" s="30">
        <f>'Equity Volume Data'!X370*'Equity Price Data'!AA371</f>
        <v>18210.72</v>
      </c>
      <c r="V370" s="30">
        <f>'Equity Volume Data'!Y370*'Equity Price Data'!AB371</f>
        <v>15808.59</v>
      </c>
      <c r="W370" s="30">
        <f>'Equity Volume Data'!Z370*'Equity Price Data'!AC371</f>
        <v>11781.75</v>
      </c>
      <c r="X370" s="30">
        <f>'Equity Volume Data'!AA370*'Equity Price Data'!AD371</f>
        <v>0</v>
      </c>
      <c r="Y370" s="30">
        <f>'Equity Volume Data'!AB370*'Equity Price Data'!AE371</f>
        <v>5251.48</v>
      </c>
      <c r="Z370" s="30">
        <f>'Equity Volume Data'!AC370*'Equity Price Data'!AF371</f>
        <v>12559.5</v>
      </c>
      <c r="AA370" s="30">
        <f>'Equity Volume Data'!AD370*'Equity Price Data'!AG371</f>
        <v>19497.3</v>
      </c>
      <c r="AB370" s="30">
        <f>'Equity Volume Data'!AE370*'Equity Price Data'!AH371</f>
        <v>14935.8</v>
      </c>
      <c r="AC370" s="30">
        <f>'Equity Volume Data'!AF370*'Equity Price Data'!AI371</f>
        <v>15840</v>
      </c>
      <c r="AD370" s="30">
        <f>'Equity Volume Data'!AG370*'Equity Price Data'!AJ371</f>
        <v>15509.7</v>
      </c>
      <c r="AE370" s="30">
        <f>'Equity Volume Data'!AH370*'Equity Price Data'!AK371</f>
        <v>0</v>
      </c>
      <c r="AF370" s="30">
        <f>'Equity Volume Data'!AI370*'Equity Price Data'!AL371</f>
        <v>24280.2</v>
      </c>
      <c r="AG370" s="30">
        <f>'Equity Volume Data'!AJ370*'Equity Price Data'!AM371</f>
        <v>47409.6</v>
      </c>
      <c r="AH370" s="30">
        <f>'Equity Volume Data'!AK370*'Equity Price Data'!AN371</f>
        <v>37955</v>
      </c>
      <c r="AI370" s="30">
        <f>'Equity Volume Data'!AL370*'Equity Price Data'!AO371</f>
        <v>28945</v>
      </c>
      <c r="AJ370" s="30">
        <f>'Equity Volume Data'!AM370*'Equity Price Data'!AP371</f>
        <v>19307.6</v>
      </c>
      <c r="AK370" s="30">
        <f>'Equity Volume Data'!AN370*'Equity Price Data'!AQ371</f>
        <v>24910.94</v>
      </c>
      <c r="AL370" s="30">
        <f>'Equity Volume Data'!AO370*'Equity Price Data'!AR371</f>
        <v>49510.4</v>
      </c>
      <c r="AM370" s="30">
        <f>'Equity Volume Data'!AP370*'Equity Price Data'!AS371</f>
        <v>34280.4</v>
      </c>
      <c r="AN370" s="30">
        <f>'Equity Volume Data'!AQ370*'Equity Price Data'!AT371</f>
        <v>0</v>
      </c>
      <c r="AO370" s="30">
        <f>'Equity Volume Data'!AR370*'Equity Price Data'!AU371</f>
        <v>27456.1</v>
      </c>
      <c r="AP370" s="30">
        <f>'Equity Volume Data'!AS370*'Equity Price Data'!AV371</f>
        <v>22742.5</v>
      </c>
      <c r="AQ370" s="30">
        <f>'Equity Volume Data'!AT370*'Equity Price Data'!AW371</f>
        <v>17415.2</v>
      </c>
      <c r="AR370" s="30">
        <f>'Equity Volume Data'!AU370*'Equity Price Data'!AX371</f>
        <v>14477.16</v>
      </c>
      <c r="AS370" s="30">
        <f>'Equity Volume Data'!AV370*'Equity Price Data'!AY371</f>
        <v>63091.2</v>
      </c>
      <c r="AT370" s="30">
        <f>'Equity Volume Data'!AW370*'Equity Price Data'!AZ371</f>
        <v>31349.76</v>
      </c>
      <c r="AU370" s="30">
        <f>'Equity Volume Data'!AX370*'Equity Price Data'!BA371</f>
        <v>0</v>
      </c>
      <c r="AV370" s="30">
        <f>'Equity Volume Data'!AY370*'Equity Price Data'!BB371</f>
        <v>28810.38</v>
      </c>
      <c r="AW370" s="30">
        <f>'Equity Volume Data'!AZ370*'Equity Price Data'!BC371</f>
        <v>3699.6</v>
      </c>
      <c r="AX370" s="30">
        <f>'Equity Volume Data'!BA370*'Equity Price Data'!BD371</f>
        <v>0</v>
      </c>
      <c r="AY370" s="30">
        <f>'Equity Volume Data'!BB370*'Equity Price Data'!BE371</f>
        <v>43773.75</v>
      </c>
      <c r="AZ370" s="30">
        <f>'Equity Volume Data'!BC370*'Equity Price Data'!BF371</f>
        <v>10189.5</v>
      </c>
      <c r="BA370" s="30">
        <f>'Equity Volume Data'!BD370*'Equity Price Data'!BG371</f>
        <v>4615.1</v>
      </c>
      <c r="BB370" s="30">
        <f>'Equity Volume Data'!BE370*'Equity Price Data'!BH371</f>
        <v>14193.6</v>
      </c>
      <c r="BC370" s="30">
        <f>'Equity Volume Data'!BF370*'Equity Price Data'!BI371</f>
        <v>19309.36</v>
      </c>
      <c r="BD370" s="30">
        <f>'Equity Volume Data'!BG370*'Equity Price Data'!BJ371</f>
        <v>44868.45</v>
      </c>
      <c r="BE370" s="30">
        <f>'Equity Volume Data'!BH370*'Equity Price Data'!BK371</f>
        <v>12793.06</v>
      </c>
      <c r="BF370" s="30">
        <f>'Equity Volume Data'!BI370*'Equity Price Data'!BL371</f>
        <v>8288.4</v>
      </c>
      <c r="BG370" s="30">
        <f>'Equity Volume Data'!BJ370*'Equity Price Data'!BM371</f>
        <v>37749.62</v>
      </c>
      <c r="BH370" s="30">
        <f>'Equity Volume Data'!BK370*'Equity Price Data'!BN371</f>
        <v>0</v>
      </c>
      <c r="BI370" s="30">
        <f>'Equity Volume Data'!BL370*'Equity Price Data'!BO371</f>
        <v>35012.8</v>
      </c>
      <c r="BJ370" s="30">
        <f>'Equity Volume Data'!BM370*'Equity Price Data'!BP371</f>
        <v>25856.25</v>
      </c>
      <c r="BK370" s="30">
        <f>'Equity Volume Data'!BN370*'Equity Price Data'!BQ371</f>
        <v>90063.96</v>
      </c>
      <c r="BL370" s="30">
        <f>'Equity Volume Data'!BO370*'Equity Price Data'!BR371</f>
        <v>486.92</v>
      </c>
      <c r="BM370" s="30">
        <f>'Equity Volume Data'!BP370*'Equity Price Data'!BS371</f>
        <v>9627.36</v>
      </c>
      <c r="BN370" s="30">
        <f>'Equity Volume Data'!BQ370*'Equity Price Data'!BT371</f>
        <v>21025.92</v>
      </c>
      <c r="BO370" s="30">
        <f>'Equity Volume Data'!BR370*'Equity Price Data'!BU371</f>
        <v>68782</v>
      </c>
    </row>
    <row r="371">
      <c r="A371" s="25">
        <f>'Equity Price Data'!A372</f>
        <v>45961.66667</v>
      </c>
      <c r="B371" s="29">
        <f t="shared" si="1"/>
        <v>1561699.46</v>
      </c>
      <c r="C371" s="30">
        <f>'Equity Volume Data'!F371*'Equity Price Data'!I372</f>
        <v>4424.03</v>
      </c>
      <c r="D371" s="30">
        <f>'Equity Volume Data'!G371*'Equity Price Data'!J372</f>
        <v>63497.2</v>
      </c>
      <c r="E371" s="30">
        <f>'Equity Volume Data'!H371*'Equity Price Data'!K372</f>
        <v>14127.3</v>
      </c>
      <c r="F371" s="30">
        <f>'Equity Volume Data'!I371*'Equity Price Data'!L372</f>
        <v>69214.72</v>
      </c>
      <c r="G371" s="30">
        <f>'Equity Volume Data'!J371*'Equity Price Data'!M372</f>
        <v>19347.3</v>
      </c>
      <c r="H371" s="30">
        <f>'Equity Volume Data'!K371*'Equity Price Data'!N372</f>
        <v>20290.84</v>
      </c>
      <c r="I371" s="30">
        <f>'Equity Volume Data'!L371*'Equity Price Data'!O372</f>
        <v>21490</v>
      </c>
      <c r="J371" s="30">
        <f>'Equity Volume Data'!M371*'Equity Price Data'!P372</f>
        <v>48709.08</v>
      </c>
      <c r="K371" s="30">
        <f>'Equity Volume Data'!N371*'Equity Price Data'!Q372</f>
        <v>11410</v>
      </c>
      <c r="L371" s="30">
        <f>'Equity Volume Data'!O371*'Equity Price Data'!R372</f>
        <v>18666.67</v>
      </c>
      <c r="M371" s="30">
        <f>'Equity Volume Data'!P371*'Equity Price Data'!S372</f>
        <v>14705.12</v>
      </c>
      <c r="N371" s="30">
        <f>'Equity Volume Data'!Q371*'Equity Price Data'!T372</f>
        <v>4759.2</v>
      </c>
      <c r="O371" s="30">
        <f>'Equity Volume Data'!R371*'Equity Price Data'!U372</f>
        <v>86589</v>
      </c>
      <c r="P371" s="30">
        <f>'Equity Volume Data'!S371*'Equity Price Data'!V372</f>
        <v>42621.57</v>
      </c>
      <c r="Q371" s="30">
        <f>'Equity Volume Data'!T371*'Equity Price Data'!W372</f>
        <v>23481.6</v>
      </c>
      <c r="R371" s="30">
        <f>'Equity Volume Data'!U371*'Equity Price Data'!X372</f>
        <v>12617.6</v>
      </c>
      <c r="S371" s="30">
        <f>'Equity Volume Data'!V371*'Equity Price Data'!Y372</f>
        <v>21508.08</v>
      </c>
      <c r="T371" s="30">
        <f>'Equity Volume Data'!W371*'Equity Price Data'!Z372</f>
        <v>12717.5</v>
      </c>
      <c r="U371" s="30">
        <f>'Equity Volume Data'!X371*'Equity Price Data'!AA372</f>
        <v>18189.6</v>
      </c>
      <c r="V371" s="30">
        <f>'Equity Volume Data'!Y371*'Equity Price Data'!AB372</f>
        <v>15683.01</v>
      </c>
      <c r="W371" s="30">
        <f>'Equity Volume Data'!Z371*'Equity Price Data'!AC372</f>
        <v>11758.29</v>
      </c>
      <c r="X371" s="30">
        <f>'Equity Volume Data'!AA371*'Equity Price Data'!AD372</f>
        <v>0</v>
      </c>
      <c r="Y371" s="30">
        <f>'Equity Volume Data'!AB371*'Equity Price Data'!AE372</f>
        <v>5179.98</v>
      </c>
      <c r="Z371" s="30">
        <f>'Equity Volume Data'!AC371*'Equity Price Data'!AF372</f>
        <v>12196.5</v>
      </c>
      <c r="AA371" s="30">
        <f>'Equity Volume Data'!AD371*'Equity Price Data'!AG372</f>
        <v>19441.2</v>
      </c>
      <c r="AB371" s="30">
        <f>'Equity Volume Data'!AE371*'Equity Price Data'!AH372</f>
        <v>15229.2</v>
      </c>
      <c r="AC371" s="30">
        <f>'Equity Volume Data'!AF371*'Equity Price Data'!AI372</f>
        <v>16158</v>
      </c>
      <c r="AD371" s="30">
        <f>'Equity Volume Data'!AG371*'Equity Price Data'!AJ372</f>
        <v>15520.5</v>
      </c>
      <c r="AE371" s="30">
        <f>'Equity Volume Data'!AH371*'Equity Price Data'!AK372</f>
        <v>0</v>
      </c>
      <c r="AF371" s="30">
        <f>'Equity Volume Data'!AI371*'Equity Price Data'!AL372</f>
        <v>24556.95</v>
      </c>
      <c r="AG371" s="30">
        <f>'Equity Volume Data'!AJ371*'Equity Price Data'!AM372</f>
        <v>47362.2</v>
      </c>
      <c r="AH371" s="30">
        <f>'Equity Volume Data'!AK371*'Equity Price Data'!AN372</f>
        <v>37959</v>
      </c>
      <c r="AI371" s="30">
        <f>'Equity Volume Data'!AL371*'Equity Price Data'!AO372</f>
        <v>28777</v>
      </c>
      <c r="AJ371" s="30">
        <f>'Equity Volume Data'!AM371*'Equity Price Data'!AP372</f>
        <v>19017.7</v>
      </c>
      <c r="AK371" s="30">
        <f>'Equity Volume Data'!AN371*'Equity Price Data'!AQ372</f>
        <v>25111.16</v>
      </c>
      <c r="AL371" s="30">
        <f>'Equity Volume Data'!AO371*'Equity Price Data'!AR372</f>
        <v>49779.2</v>
      </c>
      <c r="AM371" s="30">
        <f>'Equity Volume Data'!AP371*'Equity Price Data'!AS372</f>
        <v>34431.6</v>
      </c>
      <c r="AN371" s="30">
        <f>'Equity Volume Data'!AQ371*'Equity Price Data'!AT372</f>
        <v>0</v>
      </c>
      <c r="AO371" s="30">
        <f>'Equity Volume Data'!AR371*'Equity Price Data'!AU372</f>
        <v>27643.98</v>
      </c>
      <c r="AP371" s="30">
        <f>'Equity Volume Data'!AS371*'Equity Price Data'!AV372</f>
        <v>22675</v>
      </c>
      <c r="AQ371" s="30">
        <f>'Equity Volume Data'!AT371*'Equity Price Data'!AW372</f>
        <v>17560.4</v>
      </c>
      <c r="AR371" s="30">
        <f>'Equity Volume Data'!AU371*'Equity Price Data'!AX372</f>
        <v>14069.07</v>
      </c>
      <c r="AS371" s="30">
        <f>'Equity Volume Data'!AV371*'Equity Price Data'!AY372</f>
        <v>62137.2</v>
      </c>
      <c r="AT371" s="30">
        <f>'Equity Volume Data'!AW371*'Equity Price Data'!AZ372</f>
        <v>31257.6</v>
      </c>
      <c r="AU371" s="30">
        <f>'Equity Volume Data'!AX371*'Equity Price Data'!BA372</f>
        <v>0</v>
      </c>
      <c r="AV371" s="30">
        <f>'Equity Volume Data'!AY371*'Equity Price Data'!BB372</f>
        <v>28753.58</v>
      </c>
      <c r="AW371" s="30">
        <f>'Equity Volume Data'!AZ371*'Equity Price Data'!BC372</f>
        <v>3710.4</v>
      </c>
      <c r="AX371" s="30">
        <f>'Equity Volume Data'!BA371*'Equity Price Data'!BD372</f>
        <v>0</v>
      </c>
      <c r="AY371" s="30">
        <f>'Equity Volume Data'!BB371*'Equity Price Data'!BE372</f>
        <v>45105.75</v>
      </c>
      <c r="AZ371" s="30">
        <f>'Equity Volume Data'!BC371*'Equity Price Data'!BF372</f>
        <v>10390.5</v>
      </c>
      <c r="BA371" s="30">
        <f>'Equity Volume Data'!BD371*'Equity Price Data'!BG372</f>
        <v>4683.5</v>
      </c>
      <c r="BB371" s="30">
        <f>'Equity Volume Data'!BE371*'Equity Price Data'!BH372</f>
        <v>14280</v>
      </c>
      <c r="BC371" s="30">
        <f>'Equity Volume Data'!BF371*'Equity Price Data'!BI372</f>
        <v>19299.52</v>
      </c>
      <c r="BD371" s="30">
        <f>'Equity Volume Data'!BG371*'Equity Price Data'!BJ372</f>
        <v>44740.65</v>
      </c>
      <c r="BE371" s="30">
        <f>'Equity Volume Data'!BH371*'Equity Price Data'!BK372</f>
        <v>13049.97</v>
      </c>
      <c r="BF371" s="30">
        <f>'Equity Volume Data'!BI371*'Equity Price Data'!BL372</f>
        <v>8167.6</v>
      </c>
      <c r="BG371" s="30">
        <f>'Equity Volume Data'!BJ371*'Equity Price Data'!BM372</f>
        <v>36568.12</v>
      </c>
      <c r="BH371" s="30">
        <f>'Equity Volume Data'!BK371*'Equity Price Data'!BN372</f>
        <v>0</v>
      </c>
      <c r="BI371" s="30">
        <f>'Equity Volume Data'!BL371*'Equity Price Data'!BO372</f>
        <v>35259.2</v>
      </c>
      <c r="BJ371" s="30">
        <f>'Equity Volume Data'!BM371*'Equity Price Data'!BP372</f>
        <v>25617</v>
      </c>
      <c r="BK371" s="30">
        <f>'Equity Volume Data'!BN371*'Equity Price Data'!BQ372</f>
        <v>90172.08</v>
      </c>
      <c r="BL371" s="30">
        <f>'Equity Volume Data'!BO371*'Equity Price Data'!BR372</f>
        <v>486.92</v>
      </c>
      <c r="BM371" s="30">
        <f>'Equity Volume Data'!BP371*'Equity Price Data'!BS372</f>
        <v>9588.96</v>
      </c>
      <c r="BN371" s="30">
        <f>'Equity Volume Data'!BQ371*'Equity Price Data'!BT372</f>
        <v>21172.56</v>
      </c>
      <c r="BO371" s="30">
        <f>'Equity Volume Data'!BR371*'Equity Price Data'!BU372</f>
        <v>68782</v>
      </c>
    </row>
    <row r="372">
      <c r="A372" s="25">
        <f>'Equity Price Data'!A373</f>
        <v>45964.66667</v>
      </c>
      <c r="B372" s="29">
        <f t="shared" si="1"/>
        <v>1558253.69</v>
      </c>
      <c r="C372" s="30">
        <f>'Equity Volume Data'!F372*'Equity Price Data'!I373</f>
        <v>4387.11</v>
      </c>
      <c r="D372" s="30">
        <f>'Equity Volume Data'!G372*'Equity Price Data'!J373</f>
        <v>66040</v>
      </c>
      <c r="E372" s="30">
        <f>'Equity Volume Data'!H372*'Equity Price Data'!K373</f>
        <v>13856.7</v>
      </c>
      <c r="F372" s="30">
        <f>'Equity Volume Data'!I372*'Equity Price Data'!L373</f>
        <v>68876.8</v>
      </c>
      <c r="G372" s="30">
        <f>'Equity Volume Data'!J372*'Equity Price Data'!M373</f>
        <v>19729.93</v>
      </c>
      <c r="H372" s="30">
        <f>'Equity Volume Data'!K372*'Equity Price Data'!N373</f>
        <v>20315.28</v>
      </c>
      <c r="I372" s="30">
        <f>'Equity Volume Data'!L372*'Equity Price Data'!O373</f>
        <v>21510</v>
      </c>
      <c r="J372" s="30">
        <f>'Equity Volume Data'!M372*'Equity Price Data'!P373</f>
        <v>48519.36</v>
      </c>
      <c r="K372" s="30">
        <f>'Equity Volume Data'!N372*'Equity Price Data'!Q373</f>
        <v>11230</v>
      </c>
      <c r="L372" s="30">
        <f>'Equity Volume Data'!O372*'Equity Price Data'!R373</f>
        <v>18324.24</v>
      </c>
      <c r="M372" s="30">
        <f>'Equity Volume Data'!P372*'Equity Price Data'!S373</f>
        <v>14394.14</v>
      </c>
      <c r="N372" s="30">
        <f>'Equity Volume Data'!Q372*'Equity Price Data'!T373</f>
        <v>4628.8</v>
      </c>
      <c r="O372" s="30">
        <f>'Equity Volume Data'!R372*'Equity Price Data'!U373</f>
        <v>85588.5</v>
      </c>
      <c r="P372" s="30">
        <f>'Equity Volume Data'!S372*'Equity Price Data'!V373</f>
        <v>42054.45</v>
      </c>
      <c r="Q372" s="30">
        <f>'Equity Volume Data'!T372*'Equity Price Data'!W373</f>
        <v>23350.8</v>
      </c>
      <c r="R372" s="30">
        <f>'Equity Volume Data'!U372*'Equity Price Data'!X373</f>
        <v>12323.2</v>
      </c>
      <c r="S372" s="30">
        <f>'Equity Volume Data'!V372*'Equity Price Data'!Y373</f>
        <v>22758.56</v>
      </c>
      <c r="T372" s="30">
        <f>'Equity Volume Data'!W372*'Equity Price Data'!Z373</f>
        <v>12752.5</v>
      </c>
      <c r="U372" s="30">
        <f>'Equity Volume Data'!X372*'Equity Price Data'!AA373</f>
        <v>17944.08</v>
      </c>
      <c r="V372" s="30">
        <f>'Equity Volume Data'!Y372*'Equity Price Data'!AB373</f>
        <v>15559.04</v>
      </c>
      <c r="W372" s="30">
        <f>'Equity Volume Data'!Z372*'Equity Price Data'!AC373</f>
        <v>11865.24</v>
      </c>
      <c r="X372" s="30">
        <f>'Equity Volume Data'!AA372*'Equity Price Data'!AD373</f>
        <v>0</v>
      </c>
      <c r="Y372" s="30">
        <f>'Equity Volume Data'!AB372*'Equity Price Data'!AE373</f>
        <v>5247.19</v>
      </c>
      <c r="Z372" s="30">
        <f>'Equity Volume Data'!AC372*'Equity Price Data'!AF373</f>
        <v>12415.5</v>
      </c>
      <c r="AA372" s="30">
        <f>'Equity Volume Data'!AD372*'Equity Price Data'!AG373</f>
        <v>19339.2</v>
      </c>
      <c r="AB372" s="30">
        <f>'Equity Volume Data'!AE372*'Equity Price Data'!AH373</f>
        <v>15179.4</v>
      </c>
      <c r="AC372" s="30">
        <f>'Equity Volume Data'!AF372*'Equity Price Data'!AI373</f>
        <v>15681.2</v>
      </c>
      <c r="AD372" s="30">
        <f>'Equity Volume Data'!AG372*'Equity Price Data'!AJ373</f>
        <v>15384.15</v>
      </c>
      <c r="AE372" s="30">
        <f>'Equity Volume Data'!AH372*'Equity Price Data'!AK373</f>
        <v>0</v>
      </c>
      <c r="AF372" s="30">
        <f>'Equity Volume Data'!AI372*'Equity Price Data'!AL373</f>
        <v>25020.25</v>
      </c>
      <c r="AG372" s="30">
        <f>'Equity Volume Data'!AJ372*'Equity Price Data'!AM373</f>
        <v>47131.2</v>
      </c>
      <c r="AH372" s="30">
        <f>'Equity Volume Data'!AK372*'Equity Price Data'!AN373</f>
        <v>37835</v>
      </c>
      <c r="AI372" s="30">
        <f>'Equity Volume Data'!AL372*'Equity Price Data'!AO373</f>
        <v>28997.5</v>
      </c>
      <c r="AJ372" s="30">
        <f>'Equity Volume Data'!AM372*'Equity Price Data'!AP373</f>
        <v>18926.7</v>
      </c>
      <c r="AK372" s="30">
        <f>'Equity Volume Data'!AN372*'Equity Price Data'!AQ373</f>
        <v>25577.87</v>
      </c>
      <c r="AL372" s="30">
        <f>'Equity Volume Data'!AO372*'Equity Price Data'!AR373</f>
        <v>49496</v>
      </c>
      <c r="AM372" s="30">
        <f>'Equity Volume Data'!AP372*'Equity Price Data'!AS373</f>
        <v>34155.8</v>
      </c>
      <c r="AN372" s="30">
        <f>'Equity Volume Data'!AQ372*'Equity Price Data'!AT373</f>
        <v>0</v>
      </c>
      <c r="AO372" s="30">
        <f>'Equity Volume Data'!AR372*'Equity Price Data'!AU373</f>
        <v>28199.08</v>
      </c>
      <c r="AP372" s="30">
        <f>'Equity Volume Data'!AS372*'Equity Price Data'!AV373</f>
        <v>22550</v>
      </c>
      <c r="AQ372" s="30">
        <f>'Equity Volume Data'!AT372*'Equity Price Data'!AW373</f>
        <v>17426.2</v>
      </c>
      <c r="AR372" s="30">
        <f>'Equity Volume Data'!AU372*'Equity Price Data'!AX373</f>
        <v>12858.18</v>
      </c>
      <c r="AS372" s="30">
        <f>'Equity Volume Data'!AV372*'Equity Price Data'!AY373</f>
        <v>62043.6</v>
      </c>
      <c r="AT372" s="30">
        <f>'Equity Volume Data'!AW372*'Equity Price Data'!AZ373</f>
        <v>31403.52</v>
      </c>
      <c r="AU372" s="30">
        <f>'Equity Volume Data'!AX372*'Equity Price Data'!BA373</f>
        <v>0</v>
      </c>
      <c r="AV372" s="30">
        <f>'Equity Volume Data'!AY372*'Equity Price Data'!BB373</f>
        <v>29376.96</v>
      </c>
      <c r="AW372" s="30">
        <f>'Equity Volume Data'!AZ372*'Equity Price Data'!BC373</f>
        <v>3606.8</v>
      </c>
      <c r="AX372" s="30">
        <f>'Equity Volume Data'!BA372*'Equity Price Data'!BD373</f>
        <v>0</v>
      </c>
      <c r="AY372" s="30">
        <f>'Equity Volume Data'!BB372*'Equity Price Data'!BE373</f>
        <v>46615.5</v>
      </c>
      <c r="AZ372" s="30">
        <f>'Equity Volume Data'!BC372*'Equity Price Data'!BF373</f>
        <v>10251</v>
      </c>
      <c r="BA372" s="30">
        <f>'Equity Volume Data'!BD372*'Equity Price Data'!BG373</f>
        <v>4685.4</v>
      </c>
      <c r="BB372" s="30">
        <f>'Equity Volume Data'!BE372*'Equity Price Data'!BH373</f>
        <v>14163.2</v>
      </c>
      <c r="BC372" s="30">
        <f>'Equity Volume Data'!BF372*'Equity Price Data'!BI373</f>
        <v>19460.24</v>
      </c>
      <c r="BD372" s="30">
        <f>'Equity Volume Data'!BG372*'Equity Price Data'!BJ373</f>
        <v>43307.16</v>
      </c>
      <c r="BE372" s="30">
        <f>'Equity Volume Data'!BH372*'Equity Price Data'!BK373</f>
        <v>12992.24</v>
      </c>
      <c r="BF372" s="30">
        <f>'Equity Volume Data'!BI372*'Equity Price Data'!BL373</f>
        <v>8228.8</v>
      </c>
      <c r="BG372" s="30">
        <f>'Equity Volume Data'!BJ372*'Equity Price Data'!BM373</f>
        <v>34672.16</v>
      </c>
      <c r="BH372" s="30">
        <f>'Equity Volume Data'!BK372*'Equity Price Data'!BN373</f>
        <v>0</v>
      </c>
      <c r="BI372" s="30">
        <f>'Equity Volume Data'!BL372*'Equity Price Data'!BO373</f>
        <v>35011.2</v>
      </c>
      <c r="BJ372" s="30">
        <f>'Equity Volume Data'!BM372*'Equity Price Data'!BP373</f>
        <v>25034.25</v>
      </c>
      <c r="BK372" s="30">
        <f>'Equity Volume Data'!BN372*'Equity Price Data'!BQ373</f>
        <v>90172.08</v>
      </c>
      <c r="BL372" s="30">
        <f>'Equity Volume Data'!BO372*'Equity Price Data'!BR373</f>
        <v>494.91</v>
      </c>
      <c r="BM372" s="30">
        <f>'Equity Volume Data'!BP372*'Equity Price Data'!BS373</f>
        <v>9444.96</v>
      </c>
      <c r="BN372" s="30">
        <f>'Equity Volume Data'!BQ372*'Equity Price Data'!BT373</f>
        <v>21078.56</v>
      </c>
      <c r="BO372" s="30">
        <f>'Equity Volume Data'!BR372*'Equity Price Data'!BU373</f>
        <v>68782</v>
      </c>
    </row>
    <row r="373">
      <c r="A373" s="25">
        <f>'Equity Price Data'!A374</f>
        <v>45965.66667</v>
      </c>
      <c r="B373" s="29">
        <f t="shared" si="1"/>
        <v>1546467.99</v>
      </c>
      <c r="C373" s="30">
        <f>'Equity Volume Data'!F373*'Equity Price Data'!I374</f>
        <v>4359.55</v>
      </c>
      <c r="D373" s="30">
        <f>'Equity Volume Data'!G373*'Equity Price Data'!J374</f>
        <v>64823.2</v>
      </c>
      <c r="E373" s="30">
        <f>'Equity Volume Data'!H373*'Equity Price Data'!K374</f>
        <v>14088.8</v>
      </c>
      <c r="F373" s="30">
        <f>'Equity Volume Data'!I373*'Equity Price Data'!L374</f>
        <v>69130.24</v>
      </c>
      <c r="G373" s="30">
        <f>'Equity Volume Data'!J373*'Equity Price Data'!M374</f>
        <v>19105.77</v>
      </c>
      <c r="H373" s="30">
        <f>'Equity Volume Data'!K373*'Equity Price Data'!N374</f>
        <v>20304</v>
      </c>
      <c r="I373" s="30">
        <f>'Equity Volume Data'!L373*'Equity Price Data'!O374</f>
        <v>21110</v>
      </c>
      <c r="J373" s="30">
        <f>'Equity Volume Data'!M373*'Equity Price Data'!P374</f>
        <v>49741.32</v>
      </c>
      <c r="K373" s="30">
        <f>'Equity Volume Data'!N373*'Equity Price Data'!Q374</f>
        <v>10888</v>
      </c>
      <c r="L373" s="30">
        <f>'Equity Volume Data'!O373*'Equity Price Data'!R374</f>
        <v>18068.93</v>
      </c>
      <c r="M373" s="30">
        <f>'Equity Volume Data'!P373*'Equity Price Data'!S374</f>
        <v>14430.64</v>
      </c>
      <c r="N373" s="30">
        <f>'Equity Volume Data'!Q373*'Equity Price Data'!T374</f>
        <v>4604</v>
      </c>
      <c r="O373" s="30">
        <f>'Equity Volume Data'!R373*'Equity Price Data'!U374</f>
        <v>82137</v>
      </c>
      <c r="P373" s="30">
        <f>'Equity Volume Data'!S373*'Equity Price Data'!V374</f>
        <v>40428.15</v>
      </c>
      <c r="Q373" s="30">
        <f>'Equity Volume Data'!T373*'Equity Price Data'!W374</f>
        <v>23011.2</v>
      </c>
      <c r="R373" s="30">
        <f>'Equity Volume Data'!U373*'Equity Price Data'!X374</f>
        <v>12271.2</v>
      </c>
      <c r="S373" s="30">
        <f>'Equity Volume Data'!V373*'Equity Price Data'!Y374</f>
        <v>23290.08</v>
      </c>
      <c r="T373" s="30">
        <f>'Equity Volume Data'!W373*'Equity Price Data'!Z374</f>
        <v>12682.5</v>
      </c>
      <c r="U373" s="30">
        <f>'Equity Volume Data'!X373*'Equity Price Data'!AA374</f>
        <v>18126.24</v>
      </c>
      <c r="V373" s="30">
        <f>'Equity Volume Data'!Y373*'Equity Price Data'!AB374</f>
        <v>15771.56</v>
      </c>
      <c r="W373" s="30">
        <f>'Equity Volume Data'!Z373*'Equity Price Data'!AC374</f>
        <v>11610.63</v>
      </c>
      <c r="X373" s="30">
        <f>'Equity Volume Data'!AA373*'Equity Price Data'!AD374</f>
        <v>0</v>
      </c>
      <c r="Y373" s="30">
        <f>'Equity Volume Data'!AB373*'Equity Price Data'!AE374</f>
        <v>5289.44</v>
      </c>
      <c r="Z373" s="30">
        <f>'Equity Volume Data'!AC373*'Equity Price Data'!AF374</f>
        <v>12252</v>
      </c>
      <c r="AA373" s="30">
        <f>'Equity Volume Data'!AD373*'Equity Price Data'!AG374</f>
        <v>19403.8</v>
      </c>
      <c r="AB373" s="30">
        <f>'Equity Volume Data'!AE373*'Equity Price Data'!AH374</f>
        <v>15112.8</v>
      </c>
      <c r="AC373" s="30">
        <f>'Equity Volume Data'!AF373*'Equity Price Data'!AI374</f>
        <v>15975.6</v>
      </c>
      <c r="AD373" s="30">
        <f>'Equity Volume Data'!AG373*'Equity Price Data'!AJ374</f>
        <v>15456.15</v>
      </c>
      <c r="AE373" s="30">
        <f>'Equity Volume Data'!AH373*'Equity Price Data'!AK374</f>
        <v>0</v>
      </c>
      <c r="AF373" s="30">
        <f>'Equity Volume Data'!AI373*'Equity Price Data'!AL374</f>
        <v>25215</v>
      </c>
      <c r="AG373" s="30">
        <f>'Equity Volume Data'!AJ373*'Equity Price Data'!AM374</f>
        <v>47449.8</v>
      </c>
      <c r="AH373" s="30">
        <f>'Equity Volume Data'!AK373*'Equity Price Data'!AN374</f>
        <v>38308</v>
      </c>
      <c r="AI373" s="30">
        <f>'Equity Volume Data'!AL373*'Equity Price Data'!AO374</f>
        <v>28861</v>
      </c>
      <c r="AJ373" s="30">
        <f>'Equity Volume Data'!AM373*'Equity Price Data'!AP374</f>
        <v>19107.4</v>
      </c>
      <c r="AK373" s="30">
        <f>'Equity Volume Data'!AN373*'Equity Price Data'!AQ374</f>
        <v>25324.54</v>
      </c>
      <c r="AL373" s="30">
        <f>'Equity Volume Data'!AO373*'Equity Price Data'!AR374</f>
        <v>49480</v>
      </c>
      <c r="AM373" s="30">
        <f>'Equity Volume Data'!AP373*'Equity Price Data'!AS374</f>
        <v>33948.6</v>
      </c>
      <c r="AN373" s="30">
        <f>'Equity Volume Data'!AQ373*'Equity Price Data'!AT374</f>
        <v>0</v>
      </c>
      <c r="AO373" s="30">
        <f>'Equity Volume Data'!AR373*'Equity Price Data'!AU374</f>
        <v>28053.9</v>
      </c>
      <c r="AP373" s="30">
        <f>'Equity Volume Data'!AS373*'Equity Price Data'!AV374</f>
        <v>22605</v>
      </c>
      <c r="AQ373" s="30">
        <f>'Equity Volume Data'!AT373*'Equity Price Data'!AW374</f>
        <v>17481.2</v>
      </c>
      <c r="AR373" s="30">
        <f>'Equity Volume Data'!AU373*'Equity Price Data'!AX374</f>
        <v>12242.7</v>
      </c>
      <c r="AS373" s="30">
        <f>'Equity Volume Data'!AV373*'Equity Price Data'!AY374</f>
        <v>61719.6</v>
      </c>
      <c r="AT373" s="30">
        <f>'Equity Volume Data'!AW373*'Equity Price Data'!AZ374</f>
        <v>31368.96</v>
      </c>
      <c r="AU373" s="30">
        <f>'Equity Volume Data'!AX373*'Equity Price Data'!BA374</f>
        <v>0</v>
      </c>
      <c r="AV373" s="30">
        <f>'Equity Volume Data'!AY373*'Equity Price Data'!BB374</f>
        <v>28213.98</v>
      </c>
      <c r="AW373" s="30">
        <f>'Equity Volume Data'!AZ373*'Equity Price Data'!BC374</f>
        <v>3628</v>
      </c>
      <c r="AX373" s="30">
        <f>'Equity Volume Data'!BA373*'Equity Price Data'!BD374</f>
        <v>0</v>
      </c>
      <c r="AY373" s="30">
        <f>'Equity Volume Data'!BB373*'Equity Price Data'!BE374</f>
        <v>42916.5</v>
      </c>
      <c r="AZ373" s="30">
        <f>'Equity Volume Data'!BC373*'Equity Price Data'!BF374</f>
        <v>9912</v>
      </c>
      <c r="BA373" s="30">
        <f>'Equity Volume Data'!BD373*'Equity Price Data'!BG374</f>
        <v>4617</v>
      </c>
      <c r="BB373" s="30">
        <f>'Equity Volume Data'!BE373*'Equity Price Data'!BH374</f>
        <v>14048.8</v>
      </c>
      <c r="BC373" s="30">
        <f>'Equity Volume Data'!BF373*'Equity Price Data'!BI374</f>
        <v>19210.96</v>
      </c>
      <c r="BD373" s="30">
        <f>'Equity Volume Data'!BG373*'Equity Price Data'!BJ374</f>
        <v>43939.77</v>
      </c>
      <c r="BE373" s="30">
        <f>'Equity Volume Data'!BH373*'Equity Price Data'!BK374</f>
        <v>13000.52</v>
      </c>
      <c r="BF373" s="30">
        <f>'Equity Volume Data'!BI373*'Equity Price Data'!BL374</f>
        <v>8155.6</v>
      </c>
      <c r="BG373" s="30">
        <f>'Equity Volume Data'!BJ373*'Equity Price Data'!BM374</f>
        <v>33974.38</v>
      </c>
      <c r="BH373" s="30">
        <f>'Equity Volume Data'!BK373*'Equity Price Data'!BN374</f>
        <v>0</v>
      </c>
      <c r="BI373" s="30">
        <f>'Equity Volume Data'!BL373*'Equity Price Data'!BO374</f>
        <v>35345.6</v>
      </c>
      <c r="BJ373" s="30">
        <f>'Equity Volume Data'!BM373*'Equity Price Data'!BP374</f>
        <v>24812.25</v>
      </c>
      <c r="BK373" s="30">
        <f>'Equity Volume Data'!BN373*'Equity Price Data'!BQ374</f>
        <v>90190.1</v>
      </c>
      <c r="BL373" s="30">
        <f>'Equity Volume Data'!BO373*'Equity Price Data'!BR374</f>
        <v>493.03</v>
      </c>
      <c r="BM373" s="30">
        <f>'Equity Volume Data'!BP373*'Equity Price Data'!BS374</f>
        <v>9632.64</v>
      </c>
      <c r="BN373" s="30">
        <f>'Equity Volume Data'!BQ373*'Equity Price Data'!BT374</f>
        <v>20956.36</v>
      </c>
      <c r="BO373" s="30">
        <f>'Equity Volume Data'!BR373*'Equity Price Data'!BU374</f>
        <v>68782</v>
      </c>
    </row>
    <row r="374">
      <c r="A374" s="25">
        <f>'Equity Price Data'!A375</f>
        <v>45966.66667</v>
      </c>
      <c r="B374" s="29">
        <f t="shared" si="1"/>
        <v>1549059.66</v>
      </c>
      <c r="C374" s="30">
        <f>'Equity Volume Data'!F374*'Equity Price Data'!I375</f>
        <v>4361.89</v>
      </c>
      <c r="D374" s="30">
        <f>'Equity Volume Data'!G374*'Equity Price Data'!J375</f>
        <v>65052</v>
      </c>
      <c r="E374" s="30">
        <f>'Equity Volume Data'!H374*'Equity Price Data'!K375</f>
        <v>14406.7</v>
      </c>
      <c r="F374" s="30">
        <f>'Equity Volume Data'!I374*'Equity Price Data'!L375</f>
        <v>69155.84</v>
      </c>
      <c r="G374" s="30">
        <f>'Equity Volume Data'!J374*'Equity Price Data'!M375</f>
        <v>19993.87</v>
      </c>
      <c r="H374" s="30">
        <f>'Equity Volume Data'!K374*'Equity Price Data'!N375</f>
        <v>20433.72</v>
      </c>
      <c r="I374" s="30">
        <f>'Equity Volume Data'!L374*'Equity Price Data'!O375</f>
        <v>21260</v>
      </c>
      <c r="J374" s="30">
        <f>'Equity Volume Data'!M374*'Equity Price Data'!P375</f>
        <v>49854.54</v>
      </c>
      <c r="K374" s="30">
        <f>'Equity Volume Data'!N374*'Equity Price Data'!Q375</f>
        <v>11102</v>
      </c>
      <c r="L374" s="30">
        <f>'Equity Volume Data'!O374*'Equity Price Data'!R375</f>
        <v>18565.03</v>
      </c>
      <c r="M374" s="30">
        <f>'Equity Volume Data'!P374*'Equity Price Data'!S375</f>
        <v>14439.4</v>
      </c>
      <c r="N374" s="30">
        <f>'Equity Volume Data'!Q374*'Equity Price Data'!T375</f>
        <v>4548</v>
      </c>
      <c r="O374" s="30">
        <f>'Equity Volume Data'!R374*'Equity Price Data'!U375</f>
        <v>85372.5</v>
      </c>
      <c r="P374" s="30">
        <f>'Equity Volume Data'!S374*'Equity Price Data'!V375</f>
        <v>39715.08</v>
      </c>
      <c r="Q374" s="30">
        <f>'Equity Volume Data'!T374*'Equity Price Data'!W375</f>
        <v>23449.2</v>
      </c>
      <c r="R374" s="30">
        <f>'Equity Volume Data'!U374*'Equity Price Data'!X375</f>
        <v>12212.8</v>
      </c>
      <c r="S374" s="30">
        <f>'Equity Volume Data'!V374*'Equity Price Data'!Y375</f>
        <v>22843.04</v>
      </c>
      <c r="T374" s="30">
        <f>'Equity Volume Data'!W374*'Equity Price Data'!Z375</f>
        <v>12860</v>
      </c>
      <c r="U374" s="30">
        <f>'Equity Volume Data'!X374*'Equity Price Data'!AA375</f>
        <v>18086.64</v>
      </c>
      <c r="V374" s="30">
        <f>'Equity Volume Data'!Y374*'Equity Price Data'!AB375</f>
        <v>15473.71</v>
      </c>
      <c r="W374" s="30">
        <f>'Equity Volume Data'!Z374*'Equity Price Data'!AC375</f>
        <v>11489.88</v>
      </c>
      <c r="X374" s="30">
        <f>'Equity Volume Data'!AA374*'Equity Price Data'!AD375</f>
        <v>0</v>
      </c>
      <c r="Y374" s="30">
        <f>'Equity Volume Data'!AB374*'Equity Price Data'!AE375</f>
        <v>5205.33</v>
      </c>
      <c r="Z374" s="30">
        <f>'Equity Volume Data'!AC374*'Equity Price Data'!AF375</f>
        <v>12151.5</v>
      </c>
      <c r="AA374" s="30">
        <f>'Equity Volume Data'!AD374*'Equity Price Data'!AG375</f>
        <v>19325.6</v>
      </c>
      <c r="AB374" s="30">
        <f>'Equity Volume Data'!AE374*'Equity Price Data'!AH375</f>
        <v>15366</v>
      </c>
      <c r="AC374" s="30">
        <f>'Equity Volume Data'!AF374*'Equity Price Data'!AI375</f>
        <v>16266.8</v>
      </c>
      <c r="AD374" s="30">
        <f>'Equity Volume Data'!AG374*'Equity Price Data'!AJ375</f>
        <v>15430.95</v>
      </c>
      <c r="AE374" s="30">
        <f>'Equity Volume Data'!AH374*'Equity Price Data'!AK375</f>
        <v>0</v>
      </c>
      <c r="AF374" s="30">
        <f>'Equity Volume Data'!AI374*'Equity Price Data'!AL375</f>
        <v>25128.9</v>
      </c>
      <c r="AG374" s="30">
        <f>'Equity Volume Data'!AJ374*'Equity Price Data'!AM375</f>
        <v>47585.4</v>
      </c>
      <c r="AH374" s="30">
        <f>'Equity Volume Data'!AK374*'Equity Price Data'!AN375</f>
        <v>37384</v>
      </c>
      <c r="AI374" s="30">
        <f>'Equity Volume Data'!AL374*'Equity Price Data'!AO375</f>
        <v>29324.75</v>
      </c>
      <c r="AJ374" s="30">
        <f>'Equity Volume Data'!AM374*'Equity Price Data'!AP375</f>
        <v>19007.3</v>
      </c>
      <c r="AK374" s="30">
        <f>'Equity Volume Data'!AN374*'Equity Price Data'!AQ375</f>
        <v>25781.85</v>
      </c>
      <c r="AL374" s="30">
        <f>'Equity Volume Data'!AO374*'Equity Price Data'!AR375</f>
        <v>49868.8</v>
      </c>
      <c r="AM374" s="30">
        <f>'Equity Volume Data'!AP374*'Equity Price Data'!AS375</f>
        <v>33119.8</v>
      </c>
      <c r="AN374" s="30">
        <f>'Equity Volume Data'!AQ374*'Equity Price Data'!AT375</f>
        <v>0</v>
      </c>
      <c r="AO374" s="30">
        <f>'Equity Volume Data'!AR374*'Equity Price Data'!AU375</f>
        <v>28438.2</v>
      </c>
      <c r="AP374" s="30">
        <f>'Equity Volume Data'!AS374*'Equity Price Data'!AV375</f>
        <v>22600</v>
      </c>
      <c r="AQ374" s="30">
        <f>'Equity Volume Data'!AT374*'Equity Price Data'!AW375</f>
        <v>17309.6</v>
      </c>
      <c r="AR374" s="30">
        <f>'Equity Volume Data'!AU374*'Equity Price Data'!AX375</f>
        <v>12249.39</v>
      </c>
      <c r="AS374" s="30">
        <f>'Equity Volume Data'!AV374*'Equity Price Data'!AY375</f>
        <v>60859.2</v>
      </c>
      <c r="AT374" s="30">
        <f>'Equity Volume Data'!AW374*'Equity Price Data'!AZ375</f>
        <v>31541.76</v>
      </c>
      <c r="AU374" s="30">
        <f>'Equity Volume Data'!AX374*'Equity Price Data'!BA375</f>
        <v>0</v>
      </c>
      <c r="AV374" s="30">
        <f>'Equity Volume Data'!AY374*'Equity Price Data'!BB375</f>
        <v>27719.82</v>
      </c>
      <c r="AW374" s="30">
        <f>'Equity Volume Data'!AZ374*'Equity Price Data'!BC375</f>
        <v>3649.6</v>
      </c>
      <c r="AX374" s="30">
        <f>'Equity Volume Data'!BA374*'Equity Price Data'!BD375</f>
        <v>0</v>
      </c>
      <c r="AY374" s="30">
        <f>'Equity Volume Data'!BB374*'Equity Price Data'!BE375</f>
        <v>42277.5</v>
      </c>
      <c r="AZ374" s="30">
        <f>'Equity Volume Data'!BC374*'Equity Price Data'!BF375</f>
        <v>10209</v>
      </c>
      <c r="BA374" s="30">
        <f>'Equity Volume Data'!BD374*'Equity Price Data'!BG375</f>
        <v>4675.9</v>
      </c>
      <c r="BB374" s="30">
        <f>'Equity Volume Data'!BE374*'Equity Price Data'!BH375</f>
        <v>13920</v>
      </c>
      <c r="BC374" s="30">
        <f>'Equity Volume Data'!BF374*'Equity Price Data'!BI375</f>
        <v>19463.52</v>
      </c>
      <c r="BD374" s="30">
        <f>'Equity Volume Data'!BG374*'Equity Price Data'!BJ375</f>
        <v>43609.62</v>
      </c>
      <c r="BE374" s="30">
        <f>'Equity Volume Data'!BH374*'Equity Price Data'!BK375</f>
        <v>13055.72</v>
      </c>
      <c r="BF374" s="30">
        <f>'Equity Volume Data'!BI374*'Equity Price Data'!BL375</f>
        <v>7966</v>
      </c>
      <c r="BG374" s="30">
        <f>'Equity Volume Data'!BJ374*'Equity Price Data'!BM375</f>
        <v>34599.88</v>
      </c>
      <c r="BH374" s="30">
        <f>'Equity Volume Data'!BK374*'Equity Price Data'!BN375</f>
        <v>0</v>
      </c>
      <c r="BI374" s="30">
        <f>'Equity Volume Data'!BL374*'Equity Price Data'!BO375</f>
        <v>34780.8</v>
      </c>
      <c r="BJ374" s="30">
        <f>'Equity Volume Data'!BM374*'Equity Price Data'!BP375</f>
        <v>24580.5</v>
      </c>
      <c r="BK374" s="30">
        <f>'Equity Volume Data'!BN374*'Equity Price Data'!BQ375</f>
        <v>90081.98</v>
      </c>
      <c r="BL374" s="30">
        <f>'Equity Volume Data'!BO374*'Equity Price Data'!BR375</f>
        <v>505.25</v>
      </c>
      <c r="BM374" s="30">
        <f>'Equity Volume Data'!BP374*'Equity Price Data'!BS375</f>
        <v>9625.92</v>
      </c>
      <c r="BN374" s="30">
        <f>'Equity Volume Data'!BQ374*'Equity Price Data'!BT375</f>
        <v>20935.68</v>
      </c>
      <c r="BO374" s="30">
        <f>'Equity Volume Data'!BR374*'Equity Price Data'!BU375</f>
        <v>68782</v>
      </c>
    </row>
    <row r="375">
      <c r="A375" s="25">
        <f>'Equity Price Data'!A376</f>
        <v>45967.66667</v>
      </c>
      <c r="B375" s="29">
        <f t="shared" si="1"/>
        <v>1537812.74</v>
      </c>
      <c r="C375" s="30">
        <f>'Equity Volume Data'!F375*'Equity Price Data'!I376</f>
        <v>4255.55</v>
      </c>
      <c r="D375" s="30">
        <f>'Equity Volume Data'!G375*'Equity Price Data'!J376</f>
        <v>63190.4</v>
      </c>
      <c r="E375" s="30">
        <f>'Equity Volume Data'!H375*'Equity Price Data'!K376</f>
        <v>14245</v>
      </c>
      <c r="F375" s="30">
        <f>'Equity Volume Data'!I375*'Equity Price Data'!L376</f>
        <v>69061.12</v>
      </c>
      <c r="G375" s="30">
        <f>'Equity Volume Data'!J375*'Equity Price Data'!M376</f>
        <v>19382.99</v>
      </c>
      <c r="H375" s="30">
        <f>'Equity Volume Data'!K375*'Equity Price Data'!N376</f>
        <v>20382.96</v>
      </c>
      <c r="I375" s="30">
        <f>'Equity Volume Data'!L375*'Equity Price Data'!O376</f>
        <v>21590</v>
      </c>
      <c r="J375" s="30">
        <f>'Equity Volume Data'!M375*'Equity Price Data'!P376</f>
        <v>50301.3</v>
      </c>
      <c r="K375" s="30">
        <f>'Equity Volume Data'!N375*'Equity Price Data'!Q376</f>
        <v>11122</v>
      </c>
      <c r="L375" s="30">
        <f>'Equity Volume Data'!O375*'Equity Price Data'!R376</f>
        <v>18965.54</v>
      </c>
      <c r="M375" s="30">
        <f>'Equity Volume Data'!P375*'Equity Price Data'!S376</f>
        <v>14461.3</v>
      </c>
      <c r="N375" s="30">
        <f>'Equity Volume Data'!Q375*'Equity Price Data'!T376</f>
        <v>4525.6</v>
      </c>
      <c r="O375" s="30">
        <f>'Equity Volume Data'!R375*'Equity Price Data'!U376</f>
        <v>85467</v>
      </c>
      <c r="P375" s="30">
        <f>'Equity Volume Data'!S375*'Equity Price Data'!V376</f>
        <v>37630.08</v>
      </c>
      <c r="Q375" s="30">
        <f>'Equity Volume Data'!T375*'Equity Price Data'!W376</f>
        <v>23582.4</v>
      </c>
      <c r="R375" s="30">
        <f>'Equity Volume Data'!U375*'Equity Price Data'!X376</f>
        <v>12235.2</v>
      </c>
      <c r="S375" s="30">
        <f>'Equity Volume Data'!V375*'Equity Price Data'!Y376</f>
        <v>22561.44</v>
      </c>
      <c r="T375" s="30">
        <f>'Equity Volume Data'!W375*'Equity Price Data'!Z376</f>
        <v>12725</v>
      </c>
      <c r="U375" s="30">
        <f>'Equity Volume Data'!X375*'Equity Price Data'!AA376</f>
        <v>18231.84</v>
      </c>
      <c r="V375" s="30">
        <f>'Equity Volume Data'!Y375*'Equity Price Data'!AB376</f>
        <v>15615.39</v>
      </c>
      <c r="W375" s="30">
        <f>'Equity Volume Data'!Z375*'Equity Price Data'!AC376</f>
        <v>11616.15</v>
      </c>
      <c r="X375" s="30">
        <f>'Equity Volume Data'!AA375*'Equity Price Data'!AD376</f>
        <v>0</v>
      </c>
      <c r="Y375" s="30">
        <f>'Equity Volume Data'!AB375*'Equity Price Data'!AE376</f>
        <v>5218.98</v>
      </c>
      <c r="Z375" s="30">
        <f>'Equity Volume Data'!AC375*'Equity Price Data'!AF376</f>
        <v>12127.5</v>
      </c>
      <c r="AA375" s="30">
        <f>'Equity Volume Data'!AD375*'Equity Price Data'!AG376</f>
        <v>19465</v>
      </c>
      <c r="AB375" s="30">
        <f>'Equity Volume Data'!AE375*'Equity Price Data'!AH376</f>
        <v>15531.6</v>
      </c>
      <c r="AC375" s="30">
        <f>'Equity Volume Data'!AF375*'Equity Price Data'!AI376</f>
        <v>16224.8</v>
      </c>
      <c r="AD375" s="30">
        <f>'Equity Volume Data'!AG375*'Equity Price Data'!AJ376</f>
        <v>15313.5</v>
      </c>
      <c r="AE375" s="30">
        <f>'Equity Volume Data'!AH375*'Equity Price Data'!AK376</f>
        <v>0</v>
      </c>
      <c r="AF375" s="30">
        <f>'Equity Volume Data'!AI375*'Equity Price Data'!AL376</f>
        <v>25297</v>
      </c>
      <c r="AG375" s="30">
        <f>'Equity Volume Data'!AJ375*'Equity Price Data'!AM376</f>
        <v>47254.8</v>
      </c>
      <c r="AH375" s="30">
        <f>'Equity Volume Data'!AK375*'Equity Price Data'!AN376</f>
        <v>36907</v>
      </c>
      <c r="AI375" s="30">
        <f>'Equity Volume Data'!AL375*'Equity Price Data'!AO376</f>
        <v>29144.5</v>
      </c>
      <c r="AJ375" s="30">
        <f>'Equity Volume Data'!AM375*'Equity Price Data'!AP376</f>
        <v>19177.6</v>
      </c>
      <c r="AK375" s="30">
        <f>'Equity Volume Data'!AN375*'Equity Price Data'!AQ376</f>
        <v>25745.66</v>
      </c>
      <c r="AL375" s="30">
        <f>'Equity Volume Data'!AO375*'Equity Price Data'!AR376</f>
        <v>50147.2</v>
      </c>
      <c r="AM375" s="30">
        <f>'Equity Volume Data'!AP375*'Equity Price Data'!AS376</f>
        <v>32824.4</v>
      </c>
      <c r="AN375" s="30">
        <f>'Equity Volume Data'!AQ375*'Equity Price Data'!AT376</f>
        <v>0</v>
      </c>
      <c r="AO375" s="30">
        <f>'Equity Volume Data'!AR375*'Equity Price Data'!AU376</f>
        <v>28335.72</v>
      </c>
      <c r="AP375" s="30">
        <f>'Equity Volume Data'!AS375*'Equity Price Data'!AV376</f>
        <v>22515</v>
      </c>
      <c r="AQ375" s="30">
        <f>'Equity Volume Data'!AT375*'Equity Price Data'!AW376</f>
        <v>16713.4</v>
      </c>
      <c r="AR375" s="30">
        <f>'Equity Volume Data'!AU375*'Equity Price Data'!AX376</f>
        <v>11584.85</v>
      </c>
      <c r="AS375" s="30">
        <f>'Equity Volume Data'!AV375*'Equity Price Data'!AY376</f>
        <v>59652</v>
      </c>
      <c r="AT375" s="30">
        <f>'Equity Volume Data'!AW375*'Equity Price Data'!AZ376</f>
        <v>31488</v>
      </c>
      <c r="AU375" s="30">
        <f>'Equity Volume Data'!AX375*'Equity Price Data'!BA376</f>
        <v>0</v>
      </c>
      <c r="AV375" s="30">
        <f>'Equity Volume Data'!AY375*'Equity Price Data'!BB376</f>
        <v>26707.36</v>
      </c>
      <c r="AW375" s="30">
        <f>'Equity Volume Data'!AZ375*'Equity Price Data'!BC376</f>
        <v>3646</v>
      </c>
      <c r="AX375" s="30">
        <f>'Equity Volume Data'!BA375*'Equity Price Data'!BD376</f>
        <v>0</v>
      </c>
      <c r="AY375" s="30">
        <f>'Equity Volume Data'!BB375*'Equity Price Data'!BE376</f>
        <v>39386.25</v>
      </c>
      <c r="AZ375" s="30">
        <f>'Equity Volume Data'!BC375*'Equity Price Data'!BF376</f>
        <v>9939</v>
      </c>
      <c r="BA375" s="30">
        <f>'Equity Volume Data'!BD375*'Equity Price Data'!BG376</f>
        <v>4721.5</v>
      </c>
      <c r="BB375" s="30">
        <f>'Equity Volume Data'!BE375*'Equity Price Data'!BH376</f>
        <v>14008</v>
      </c>
      <c r="BC375" s="30">
        <f>'Equity Volume Data'!BF375*'Equity Price Data'!BI376</f>
        <v>20132.64</v>
      </c>
      <c r="BD375" s="30">
        <f>'Equity Volume Data'!BG375*'Equity Price Data'!BJ376</f>
        <v>42815.13</v>
      </c>
      <c r="BE375" s="30">
        <f>'Equity Volume Data'!BH375*'Equity Price Data'!BK376</f>
        <v>13017.54</v>
      </c>
      <c r="BF375" s="30">
        <f>'Equity Volume Data'!BI375*'Equity Price Data'!BL376</f>
        <v>8117.6</v>
      </c>
      <c r="BG375" s="30">
        <f>'Equity Volume Data'!BJ375*'Equity Price Data'!BM376</f>
        <v>34744.44</v>
      </c>
      <c r="BH375" s="30">
        <f>'Equity Volume Data'!BK375*'Equity Price Data'!BN376</f>
        <v>0</v>
      </c>
      <c r="BI375" s="30">
        <f>'Equity Volume Data'!BL375*'Equity Price Data'!BO376</f>
        <v>34878.4</v>
      </c>
      <c r="BJ375" s="30">
        <f>'Equity Volume Data'!BM375*'Equity Price Data'!BP376</f>
        <v>24117</v>
      </c>
      <c r="BK375" s="30">
        <f>'Equity Volume Data'!BN375*'Equity Price Data'!BQ376</f>
        <v>90154.06</v>
      </c>
      <c r="BL375" s="30">
        <f>'Equity Volume Data'!BO375*'Equity Price Data'!BR376</f>
        <v>475.17</v>
      </c>
      <c r="BM375" s="30">
        <f>'Equity Volume Data'!BP375*'Equity Price Data'!BS376</f>
        <v>9581.76</v>
      </c>
      <c r="BN375" s="30">
        <f>'Equity Volume Data'!BQ375*'Equity Price Data'!BT376</f>
        <v>20772.12</v>
      </c>
      <c r="BO375" s="30">
        <f>'Equity Volume Data'!BR375*'Equity Price Data'!BU376</f>
        <v>68782</v>
      </c>
    </row>
    <row r="376">
      <c r="A376" s="25">
        <f>'Equity Price Data'!A377</f>
        <v>45968.66667</v>
      </c>
      <c r="B376" s="29">
        <f t="shared" si="1"/>
        <v>1546072.7</v>
      </c>
      <c r="C376" s="30">
        <f>'Equity Volume Data'!F376*'Equity Price Data'!I377</f>
        <v>4250.35</v>
      </c>
      <c r="D376" s="30">
        <f>'Equity Volume Data'!G376*'Equity Price Data'!J377</f>
        <v>63546.6</v>
      </c>
      <c r="E376" s="30">
        <f>'Equity Volume Data'!H376*'Equity Price Data'!K377</f>
        <v>14392.4</v>
      </c>
      <c r="F376" s="30">
        <f>'Equity Volume Data'!I376*'Equity Price Data'!L377</f>
        <v>68728.32</v>
      </c>
      <c r="G376" s="30">
        <f>'Equity Volume Data'!J376*'Equity Price Data'!M377</f>
        <v>19095.81</v>
      </c>
      <c r="H376" s="30">
        <f>'Equity Volume Data'!K376*'Equity Price Data'!N377</f>
        <v>20612.32</v>
      </c>
      <c r="I376" s="30">
        <f>'Equity Volume Data'!L376*'Equity Price Data'!O377</f>
        <v>21750</v>
      </c>
      <c r="J376" s="30">
        <f>'Equity Volume Data'!M376*'Equity Price Data'!P377</f>
        <v>50904.12</v>
      </c>
      <c r="K376" s="30">
        <f>'Equity Volume Data'!N376*'Equity Price Data'!Q377</f>
        <v>11032</v>
      </c>
      <c r="L376" s="30">
        <f>'Equity Volume Data'!O376*'Equity Price Data'!R377</f>
        <v>18816.71</v>
      </c>
      <c r="M376" s="30">
        <f>'Equity Volume Data'!P376*'Equity Price Data'!S377</f>
        <v>14602.92</v>
      </c>
      <c r="N376" s="30">
        <f>'Equity Volume Data'!Q376*'Equity Price Data'!T377</f>
        <v>4600.8</v>
      </c>
      <c r="O376" s="30">
        <f>'Equity Volume Data'!R376*'Equity Price Data'!U377</f>
        <v>84465</v>
      </c>
      <c r="P376" s="30">
        <f>'Equity Volume Data'!S376*'Equity Price Data'!V377</f>
        <v>38472.42</v>
      </c>
      <c r="Q376" s="30">
        <f>'Equity Volume Data'!T376*'Equity Price Data'!W377</f>
        <v>24034.8</v>
      </c>
      <c r="R376" s="30">
        <f>'Equity Volume Data'!U376*'Equity Price Data'!X377</f>
        <v>12401.6</v>
      </c>
      <c r="S376" s="30">
        <f>'Equity Volume Data'!V376*'Equity Price Data'!Y377</f>
        <v>23283.04</v>
      </c>
      <c r="T376" s="30">
        <f>'Equity Volume Data'!W376*'Equity Price Data'!Z377</f>
        <v>12925</v>
      </c>
      <c r="U376" s="30">
        <f>'Equity Volume Data'!X376*'Equity Price Data'!AA377</f>
        <v>18625.2</v>
      </c>
      <c r="V376" s="30">
        <f>'Equity Volume Data'!Y376*'Equity Price Data'!AB377</f>
        <v>15861.72</v>
      </c>
      <c r="W376" s="30">
        <f>'Equity Volume Data'!Z376*'Equity Price Data'!AC377</f>
        <v>11722.41</v>
      </c>
      <c r="X376" s="30">
        <f>'Equity Volume Data'!AA376*'Equity Price Data'!AD377</f>
        <v>0</v>
      </c>
      <c r="Y376" s="30">
        <f>'Equity Volume Data'!AB376*'Equity Price Data'!AE377</f>
        <v>5332.34</v>
      </c>
      <c r="Z376" s="30">
        <f>'Equity Volume Data'!AC376*'Equity Price Data'!AF377</f>
        <v>12570</v>
      </c>
      <c r="AA376" s="30">
        <f>'Equity Volume Data'!AD376*'Equity Price Data'!AG377</f>
        <v>19927.4</v>
      </c>
      <c r="AB376" s="30">
        <f>'Equity Volume Data'!AE376*'Equity Price Data'!AH377</f>
        <v>15725.4</v>
      </c>
      <c r="AC376" s="30">
        <f>'Equity Volume Data'!AF376*'Equity Price Data'!AI377</f>
        <v>16530.4</v>
      </c>
      <c r="AD376" s="30">
        <f>'Equity Volume Data'!AG376*'Equity Price Data'!AJ377</f>
        <v>15585.3</v>
      </c>
      <c r="AE376" s="30">
        <f>'Equity Volume Data'!AH376*'Equity Price Data'!AK377</f>
        <v>0</v>
      </c>
      <c r="AF376" s="30">
        <f>'Equity Volume Data'!AI376*'Equity Price Data'!AL377</f>
        <v>24362.2</v>
      </c>
      <c r="AG376" s="30">
        <f>'Equity Volume Data'!AJ376*'Equity Price Data'!AM377</f>
        <v>47180.4</v>
      </c>
      <c r="AH376" s="30">
        <f>'Equity Volume Data'!AK376*'Equity Price Data'!AN377</f>
        <v>37111</v>
      </c>
      <c r="AI376" s="30">
        <f>'Equity Volume Data'!AL376*'Equity Price Data'!AO377</f>
        <v>28995.75</v>
      </c>
      <c r="AJ376" s="30">
        <f>'Equity Volume Data'!AM376*'Equity Price Data'!AP377</f>
        <v>19370</v>
      </c>
      <c r="AK376" s="30">
        <f>'Equity Volume Data'!AN376*'Equity Price Data'!AQ377</f>
        <v>26320</v>
      </c>
      <c r="AL376" s="30">
        <f>'Equity Volume Data'!AO376*'Equity Price Data'!AR377</f>
        <v>50273.6</v>
      </c>
      <c r="AM376" s="30">
        <f>'Equity Volume Data'!AP376*'Equity Price Data'!AS377</f>
        <v>32084.5</v>
      </c>
      <c r="AN376" s="30">
        <f>'Equity Volume Data'!AQ376*'Equity Price Data'!AT377</f>
        <v>0</v>
      </c>
      <c r="AO376" s="30">
        <f>'Equity Volume Data'!AR376*'Equity Price Data'!AU377</f>
        <v>28532.14</v>
      </c>
      <c r="AP376" s="30">
        <f>'Equity Volume Data'!AS376*'Equity Price Data'!AV377</f>
        <v>23050</v>
      </c>
      <c r="AQ376" s="30">
        <f>'Equity Volume Data'!AT376*'Equity Price Data'!AW377</f>
        <v>16753</v>
      </c>
      <c r="AR376" s="30">
        <f>'Equity Volume Data'!AU376*'Equity Price Data'!AX377</f>
        <v>13067.8</v>
      </c>
      <c r="AS376" s="30">
        <f>'Equity Volume Data'!AV376*'Equity Price Data'!AY377</f>
        <v>59618.4</v>
      </c>
      <c r="AT376" s="30">
        <f>'Equity Volume Data'!AW376*'Equity Price Data'!AZ377</f>
        <v>32229.12</v>
      </c>
      <c r="AU376" s="30">
        <f>'Equity Volume Data'!AX376*'Equity Price Data'!BA377</f>
        <v>0</v>
      </c>
      <c r="AV376" s="30">
        <f>'Equity Volume Data'!AY376*'Equity Price Data'!BB377</f>
        <v>26717.3</v>
      </c>
      <c r="AW376" s="30">
        <f>'Equity Volume Data'!AZ376*'Equity Price Data'!BC377</f>
        <v>3640.8</v>
      </c>
      <c r="AX376" s="30">
        <f>'Equity Volume Data'!BA376*'Equity Price Data'!BD377</f>
        <v>0</v>
      </c>
      <c r="AY376" s="30">
        <f>'Equity Volume Data'!BB376*'Equity Price Data'!BE377</f>
        <v>40034.25</v>
      </c>
      <c r="AZ376" s="30">
        <f>'Equity Volume Data'!BC376*'Equity Price Data'!BF377</f>
        <v>9933</v>
      </c>
      <c r="BA376" s="30">
        <f>'Equity Volume Data'!BD376*'Equity Price Data'!BG377</f>
        <v>4641.7</v>
      </c>
      <c r="BB376" s="30">
        <f>'Equity Volume Data'!BE376*'Equity Price Data'!BH377</f>
        <v>14157.6</v>
      </c>
      <c r="BC376" s="30">
        <f>'Equity Volume Data'!BF376*'Equity Price Data'!BI377</f>
        <v>20011.28</v>
      </c>
      <c r="BD376" s="30">
        <f>'Equity Volume Data'!BG376*'Equity Price Data'!BJ377</f>
        <v>44091</v>
      </c>
      <c r="BE376" s="30">
        <f>'Equity Volume Data'!BH376*'Equity Price Data'!BK377</f>
        <v>13165.43</v>
      </c>
      <c r="BF376" s="30">
        <f>'Equity Volume Data'!BI376*'Equity Price Data'!BL377</f>
        <v>8079.2</v>
      </c>
      <c r="BG376" s="30">
        <f>'Equity Volume Data'!BJ376*'Equity Price Data'!BM377</f>
        <v>33129.26</v>
      </c>
      <c r="BH376" s="30">
        <f>'Equity Volume Data'!BK376*'Equity Price Data'!BN377</f>
        <v>0</v>
      </c>
      <c r="BI376" s="30">
        <f>'Equity Volume Data'!BL376*'Equity Price Data'!BO377</f>
        <v>35436.8</v>
      </c>
      <c r="BJ376" s="30">
        <f>'Equity Volume Data'!BM376*'Equity Price Data'!BP377</f>
        <v>24315.75</v>
      </c>
      <c r="BK376" s="30">
        <f>'Equity Volume Data'!BN376*'Equity Price Data'!BQ377</f>
        <v>90208.12</v>
      </c>
      <c r="BL376" s="30">
        <f>'Equity Volume Data'!BO376*'Equity Price Data'!BR377</f>
        <v>475.64</v>
      </c>
      <c r="BM376" s="30">
        <f>'Equity Volume Data'!BP376*'Equity Price Data'!BS377</f>
        <v>9692.16</v>
      </c>
      <c r="BN376" s="30">
        <f>'Equity Volume Data'!BQ376*'Equity Price Data'!BT377</f>
        <v>20819.12</v>
      </c>
      <c r="BO376" s="30">
        <f>'Equity Volume Data'!BR376*'Equity Price Data'!BU377</f>
        <v>68782</v>
      </c>
    </row>
    <row r="377">
      <c r="A377" s="25">
        <f>'Equity Price Data'!A378</f>
        <v>45971.66667</v>
      </c>
      <c r="B377" s="29">
        <f t="shared" si="1"/>
        <v>1561440.37</v>
      </c>
      <c r="C377" s="30">
        <f>'Equity Volume Data'!F377*'Equity Price Data'!I378</f>
        <v>4275.05</v>
      </c>
      <c r="D377" s="30">
        <f>'Equity Volume Data'!G377*'Equity Price Data'!J378</f>
        <v>64584</v>
      </c>
      <c r="E377" s="30">
        <f>'Equity Volume Data'!H377*'Equity Price Data'!K378</f>
        <v>14183.4</v>
      </c>
      <c r="F377" s="30">
        <f>'Equity Volume Data'!I377*'Equity Price Data'!L378</f>
        <v>68974.08</v>
      </c>
      <c r="G377" s="30">
        <f>'Equity Volume Data'!J377*'Equity Price Data'!M378</f>
        <v>19511.64</v>
      </c>
      <c r="H377" s="30">
        <f>'Equity Volume Data'!K377*'Equity Price Data'!N378</f>
        <v>20860.48</v>
      </c>
      <c r="I377" s="30">
        <f>'Equity Volume Data'!L377*'Equity Price Data'!O378</f>
        <v>22210</v>
      </c>
      <c r="J377" s="30">
        <f>'Equity Volume Data'!M377*'Equity Price Data'!P378</f>
        <v>50691.96</v>
      </c>
      <c r="K377" s="30">
        <f>'Equity Volume Data'!N377*'Equity Price Data'!Q378</f>
        <v>11172</v>
      </c>
      <c r="L377" s="30">
        <f>'Equity Volume Data'!O377*'Equity Price Data'!R378</f>
        <v>18907.46</v>
      </c>
      <c r="M377" s="30">
        <f>'Equity Volume Data'!P377*'Equity Price Data'!S378</f>
        <v>14732.86</v>
      </c>
      <c r="N377" s="30">
        <f>'Equity Volume Data'!Q377*'Equity Price Data'!T378</f>
        <v>4586.4</v>
      </c>
      <c r="O377" s="30">
        <f>'Equity Volume Data'!R377*'Equity Price Data'!U378</f>
        <v>85627.5</v>
      </c>
      <c r="P377" s="30">
        <f>'Equity Volume Data'!S377*'Equity Price Data'!V378</f>
        <v>39298.08</v>
      </c>
      <c r="Q377" s="30">
        <f>'Equity Volume Data'!T377*'Equity Price Data'!W378</f>
        <v>24253.2</v>
      </c>
      <c r="R377" s="30">
        <f>'Equity Volume Data'!U377*'Equity Price Data'!X378</f>
        <v>12452</v>
      </c>
      <c r="S377" s="30">
        <f>'Equity Volume Data'!V377*'Equity Price Data'!Y378</f>
        <v>22718.08</v>
      </c>
      <c r="T377" s="30">
        <f>'Equity Volume Data'!W377*'Equity Price Data'!Z378</f>
        <v>13087.5</v>
      </c>
      <c r="U377" s="30">
        <f>'Equity Volume Data'!X377*'Equity Price Data'!AA378</f>
        <v>18617.28</v>
      </c>
      <c r="V377" s="30">
        <f>'Equity Volume Data'!Y377*'Equity Price Data'!AB378</f>
        <v>15816.64</v>
      </c>
      <c r="W377" s="30">
        <f>'Equity Volume Data'!Z377*'Equity Price Data'!AC378</f>
        <v>11675.49</v>
      </c>
      <c r="X377" s="30">
        <f>'Equity Volume Data'!AA377*'Equity Price Data'!AD378</f>
        <v>0</v>
      </c>
      <c r="Y377" s="30">
        <f>'Equity Volume Data'!AB377*'Equity Price Data'!AE378</f>
        <v>5298.67</v>
      </c>
      <c r="Z377" s="30">
        <f>'Equity Volume Data'!AC377*'Equity Price Data'!AF378</f>
        <v>12777</v>
      </c>
      <c r="AA377" s="30">
        <f>'Equity Volume Data'!AD377*'Equity Price Data'!AG378</f>
        <v>20097.4</v>
      </c>
      <c r="AB377" s="30">
        <f>'Equity Volume Data'!AE377*'Equity Price Data'!AH378</f>
        <v>15233.4</v>
      </c>
      <c r="AC377" s="30">
        <f>'Equity Volume Data'!AF377*'Equity Price Data'!AI378</f>
        <v>16456</v>
      </c>
      <c r="AD377" s="30">
        <f>'Equity Volume Data'!AG377*'Equity Price Data'!AJ378</f>
        <v>15727.05</v>
      </c>
      <c r="AE377" s="30">
        <f>'Equity Volume Data'!AH377*'Equity Price Data'!AK378</f>
        <v>0</v>
      </c>
      <c r="AF377" s="30">
        <f>'Equity Volume Data'!AI377*'Equity Price Data'!AL378</f>
        <v>24220.75</v>
      </c>
      <c r="AG377" s="30">
        <f>'Equity Volume Data'!AJ377*'Equity Price Data'!AM378</f>
        <v>47832</v>
      </c>
      <c r="AH377" s="30">
        <f>'Equity Volume Data'!AK377*'Equity Price Data'!AN378</f>
        <v>37043</v>
      </c>
      <c r="AI377" s="30">
        <f>'Equity Volume Data'!AL377*'Equity Price Data'!AO378</f>
        <v>29085</v>
      </c>
      <c r="AJ377" s="30">
        <f>'Equity Volume Data'!AM377*'Equity Price Data'!AP378</f>
        <v>19435</v>
      </c>
      <c r="AK377" s="30">
        <f>'Equity Volume Data'!AN377*'Equity Price Data'!AQ378</f>
        <v>27081.4</v>
      </c>
      <c r="AL377" s="30">
        <f>'Equity Volume Data'!AO377*'Equity Price Data'!AR378</f>
        <v>50702.4</v>
      </c>
      <c r="AM377" s="30">
        <f>'Equity Volume Data'!AP377*'Equity Price Data'!AS378</f>
        <v>31647</v>
      </c>
      <c r="AN377" s="30">
        <f>'Equity Volume Data'!AQ377*'Equity Price Data'!AT378</f>
        <v>0</v>
      </c>
      <c r="AO377" s="30">
        <f>'Equity Volume Data'!AR377*'Equity Price Data'!AU378</f>
        <v>28532.14</v>
      </c>
      <c r="AP377" s="30">
        <f>'Equity Volume Data'!AS377*'Equity Price Data'!AV378</f>
        <v>23165</v>
      </c>
      <c r="AQ377" s="30">
        <f>'Equity Volume Data'!AT377*'Equity Price Data'!AW378</f>
        <v>16979.6</v>
      </c>
      <c r="AR377" s="30">
        <f>'Equity Volume Data'!AU377*'Equity Price Data'!AX378</f>
        <v>14312.14</v>
      </c>
      <c r="AS377" s="30">
        <f>'Equity Volume Data'!AV377*'Equity Price Data'!AY378</f>
        <v>60720</v>
      </c>
      <c r="AT377" s="30">
        <f>'Equity Volume Data'!AW377*'Equity Price Data'!AZ378</f>
        <v>32551.68</v>
      </c>
      <c r="AU377" s="30">
        <f>'Equity Volume Data'!AX377*'Equity Price Data'!BA378</f>
        <v>0</v>
      </c>
      <c r="AV377" s="30">
        <f>'Equity Volume Data'!AY377*'Equity Price Data'!BB378</f>
        <v>28265.1</v>
      </c>
      <c r="AW377" s="30">
        <f>'Equity Volume Data'!AZ377*'Equity Price Data'!BC378</f>
        <v>3610.4</v>
      </c>
      <c r="AX377" s="30">
        <f>'Equity Volume Data'!BA377*'Equity Price Data'!BD378</f>
        <v>0</v>
      </c>
      <c r="AY377" s="30">
        <f>'Equity Volume Data'!BB377*'Equity Price Data'!BE378</f>
        <v>43562.25</v>
      </c>
      <c r="AZ377" s="30">
        <f>'Equity Volume Data'!BC377*'Equity Price Data'!BF378</f>
        <v>9937.5</v>
      </c>
      <c r="BA377" s="30">
        <f>'Equity Volume Data'!BD377*'Equity Price Data'!BG378</f>
        <v>4634.1</v>
      </c>
      <c r="BB377" s="30">
        <f>'Equity Volume Data'!BE377*'Equity Price Data'!BH378</f>
        <v>14322.4</v>
      </c>
      <c r="BC377" s="30">
        <f>'Equity Volume Data'!BF377*'Equity Price Data'!BI378</f>
        <v>20575.44</v>
      </c>
      <c r="BD377" s="30">
        <f>'Equity Volume Data'!BG377*'Equity Price Data'!BJ378</f>
        <v>43850.31</v>
      </c>
      <c r="BE377" s="30">
        <f>'Equity Volume Data'!BH377*'Equity Price Data'!BK378</f>
        <v>13256.05</v>
      </c>
      <c r="BF377" s="30">
        <f>'Equity Volume Data'!BI377*'Equity Price Data'!BL378</f>
        <v>8157.6</v>
      </c>
      <c r="BG377" s="30">
        <f>'Equity Volume Data'!BJ377*'Equity Price Data'!BM378</f>
        <v>34024.42</v>
      </c>
      <c r="BH377" s="30">
        <f>'Equity Volume Data'!BK377*'Equity Price Data'!BN378</f>
        <v>0</v>
      </c>
      <c r="BI377" s="30">
        <f>'Equity Volume Data'!BL377*'Equity Price Data'!BO378</f>
        <v>35820.8</v>
      </c>
      <c r="BJ377" s="30">
        <f>'Equity Volume Data'!BM377*'Equity Price Data'!BP378</f>
        <v>24118.5</v>
      </c>
      <c r="BK377" s="30">
        <f>'Equity Volume Data'!BN377*'Equity Price Data'!BQ378</f>
        <v>90190.1</v>
      </c>
      <c r="BL377" s="30">
        <f>'Equity Volume Data'!BO377*'Equity Price Data'!BR378</f>
        <v>477.99</v>
      </c>
      <c r="BM377" s="30">
        <f>'Equity Volume Data'!BP377*'Equity Price Data'!BS378</f>
        <v>9622.56</v>
      </c>
      <c r="BN377" s="30">
        <f>'Equity Volume Data'!BQ377*'Equity Price Data'!BT378</f>
        <v>21101.12</v>
      </c>
      <c r="BO377" s="30">
        <f>'Equity Volume Data'!BR377*'Equity Price Data'!BU378</f>
        <v>68782</v>
      </c>
    </row>
    <row r="378">
      <c r="A378" s="25">
        <f>'Equity Price Data'!A379</f>
        <v>45972.66667</v>
      </c>
      <c r="B378" s="29">
        <f t="shared" si="1"/>
        <v>1571855.76</v>
      </c>
      <c r="C378" s="30">
        <f>'Equity Volume Data'!F378*'Equity Price Data'!I379</f>
        <v>4331.86</v>
      </c>
      <c r="D378" s="30">
        <f>'Equity Volume Data'!G378*'Equity Price Data'!J379</f>
        <v>64766</v>
      </c>
      <c r="E378" s="30">
        <f>'Equity Volume Data'!H378*'Equity Price Data'!K379</f>
        <v>14301.1</v>
      </c>
      <c r="F378" s="30">
        <f>'Equity Volume Data'!I378*'Equity Price Data'!L379</f>
        <v>70464</v>
      </c>
      <c r="G378" s="30">
        <f>'Equity Volume Data'!J378*'Equity Price Data'!M379</f>
        <v>18979.61</v>
      </c>
      <c r="H378" s="30">
        <f>'Equity Volume Data'!K378*'Equity Price Data'!N379</f>
        <v>20915</v>
      </c>
      <c r="I378" s="30">
        <f>'Equity Volume Data'!L378*'Equity Price Data'!O379</f>
        <v>22180</v>
      </c>
      <c r="J378" s="30">
        <f>'Equity Volume Data'!M378*'Equity Price Data'!P379</f>
        <v>50701.14</v>
      </c>
      <c r="K378" s="30">
        <f>'Equity Volume Data'!N378*'Equity Price Data'!Q379</f>
        <v>11154</v>
      </c>
      <c r="L378" s="30">
        <f>'Equity Volume Data'!O378*'Equity Price Data'!R379</f>
        <v>19306.76</v>
      </c>
      <c r="M378" s="30">
        <f>'Equity Volume Data'!P378*'Equity Price Data'!S379</f>
        <v>14965</v>
      </c>
      <c r="N378" s="30">
        <f>'Equity Volume Data'!Q378*'Equity Price Data'!T379</f>
        <v>4557.6</v>
      </c>
      <c r="O378" s="30">
        <f>'Equity Volume Data'!R378*'Equity Price Data'!U379</f>
        <v>85189.5</v>
      </c>
      <c r="P378" s="30">
        <f>'Equity Volume Data'!S378*'Equity Price Data'!V379</f>
        <v>38580.84</v>
      </c>
      <c r="Q378" s="30">
        <f>'Equity Volume Data'!T378*'Equity Price Data'!W379</f>
        <v>24526.8</v>
      </c>
      <c r="R378" s="30">
        <f>'Equity Volume Data'!U378*'Equity Price Data'!X379</f>
        <v>12499.2</v>
      </c>
      <c r="S378" s="30">
        <f>'Equity Volume Data'!V378*'Equity Price Data'!Y379</f>
        <v>23584</v>
      </c>
      <c r="T378" s="30">
        <f>'Equity Volume Data'!W378*'Equity Price Data'!Z379</f>
        <v>13060</v>
      </c>
      <c r="U378" s="30">
        <f>'Equity Volume Data'!X378*'Equity Price Data'!AA379</f>
        <v>18905.04</v>
      </c>
      <c r="V378" s="30">
        <f>'Equity Volume Data'!Y378*'Equity Price Data'!AB379</f>
        <v>16033.99</v>
      </c>
      <c r="W378" s="30">
        <f>'Equity Volume Data'!Z378*'Equity Price Data'!AC379</f>
        <v>11631.33</v>
      </c>
      <c r="X378" s="30">
        <f>'Equity Volume Data'!AA378*'Equity Price Data'!AD379</f>
        <v>0</v>
      </c>
      <c r="Y378" s="30">
        <f>'Equity Volume Data'!AB378*'Equity Price Data'!AE379</f>
        <v>5319.99</v>
      </c>
      <c r="Z378" s="30">
        <f>'Equity Volume Data'!AC378*'Equity Price Data'!AF379</f>
        <v>13089</v>
      </c>
      <c r="AA378" s="30">
        <f>'Equity Volume Data'!AD378*'Equity Price Data'!AG379</f>
        <v>20362.6</v>
      </c>
      <c r="AB378" s="30">
        <f>'Equity Volume Data'!AE378*'Equity Price Data'!AH379</f>
        <v>16063.2</v>
      </c>
      <c r="AC378" s="30">
        <f>'Equity Volume Data'!AF378*'Equity Price Data'!AI379</f>
        <v>16898.4</v>
      </c>
      <c r="AD378" s="30">
        <f>'Equity Volume Data'!AG378*'Equity Price Data'!AJ379</f>
        <v>15858.9</v>
      </c>
      <c r="AE378" s="30">
        <f>'Equity Volume Data'!AH378*'Equity Price Data'!AK379</f>
        <v>0</v>
      </c>
      <c r="AF378" s="30">
        <f>'Equity Volume Data'!AI378*'Equity Price Data'!AL379</f>
        <v>25124.8</v>
      </c>
      <c r="AG378" s="30">
        <f>'Equity Volume Data'!AJ378*'Equity Price Data'!AM379</f>
        <v>48618.6</v>
      </c>
      <c r="AH378" s="30">
        <f>'Equity Volume Data'!AK378*'Equity Price Data'!AN379</f>
        <v>37424</v>
      </c>
      <c r="AI378" s="30">
        <f>'Equity Volume Data'!AL378*'Equity Price Data'!AO379</f>
        <v>29249.5</v>
      </c>
      <c r="AJ378" s="30">
        <f>'Equity Volume Data'!AM378*'Equity Price Data'!AP379</f>
        <v>19758.7</v>
      </c>
      <c r="AK378" s="30">
        <f>'Equity Volume Data'!AN378*'Equity Price Data'!AQ379</f>
        <v>26891.99</v>
      </c>
      <c r="AL378" s="30">
        <f>'Equity Volume Data'!AO378*'Equity Price Data'!AR379</f>
        <v>50499.2</v>
      </c>
      <c r="AM378" s="30">
        <f>'Equity Volume Data'!AP378*'Equity Price Data'!AS379</f>
        <v>31994.9</v>
      </c>
      <c r="AN378" s="30">
        <f>'Equity Volume Data'!AQ378*'Equity Price Data'!AT379</f>
        <v>0</v>
      </c>
      <c r="AO378" s="30">
        <f>'Equity Volume Data'!AR378*'Equity Price Data'!AU379</f>
        <v>28643.16</v>
      </c>
      <c r="AP378" s="30">
        <f>'Equity Volume Data'!AS378*'Equity Price Data'!AV379</f>
        <v>23850</v>
      </c>
      <c r="AQ378" s="30">
        <f>'Equity Volume Data'!AT378*'Equity Price Data'!AW379</f>
        <v>17113.8</v>
      </c>
      <c r="AR378" s="30">
        <f>'Equity Volume Data'!AU378*'Equity Price Data'!AX379</f>
        <v>13814.85</v>
      </c>
      <c r="AS378" s="30">
        <f>'Equity Volume Data'!AV378*'Equity Price Data'!AY379</f>
        <v>61041.6</v>
      </c>
      <c r="AT378" s="30">
        <f>'Equity Volume Data'!AW378*'Equity Price Data'!AZ379</f>
        <v>32931.84</v>
      </c>
      <c r="AU378" s="30">
        <f>'Equity Volume Data'!AX378*'Equity Price Data'!BA379</f>
        <v>0</v>
      </c>
      <c r="AV378" s="30">
        <f>'Equity Volume Data'!AY378*'Equity Price Data'!BB379</f>
        <v>27428.72</v>
      </c>
      <c r="AW378" s="30">
        <f>'Equity Volume Data'!AZ378*'Equity Price Data'!BC379</f>
        <v>3612.8</v>
      </c>
      <c r="AX378" s="30">
        <f>'Equity Volume Data'!BA378*'Equity Price Data'!BD379</f>
        <v>0</v>
      </c>
      <c r="AY378" s="30">
        <f>'Equity Volume Data'!BB378*'Equity Price Data'!BE379</f>
        <v>42966</v>
      </c>
      <c r="AZ378" s="30">
        <f>'Equity Volume Data'!BC378*'Equity Price Data'!BF379</f>
        <v>10110</v>
      </c>
      <c r="BA378" s="30">
        <f>'Equity Volume Data'!BD378*'Equity Price Data'!BG379</f>
        <v>4846.9</v>
      </c>
      <c r="BB378" s="30">
        <f>'Equity Volume Data'!BE378*'Equity Price Data'!BH379</f>
        <v>14337.6</v>
      </c>
      <c r="BC378" s="30">
        <f>'Equity Volume Data'!BF378*'Equity Price Data'!BI379</f>
        <v>21018.24</v>
      </c>
      <c r="BD378" s="30">
        <f>'Equity Volume Data'!BG378*'Equity Price Data'!BJ379</f>
        <v>45151.74</v>
      </c>
      <c r="BE378" s="30">
        <f>'Equity Volume Data'!BH378*'Equity Price Data'!BK379</f>
        <v>13489.27</v>
      </c>
      <c r="BF378" s="30">
        <f>'Equity Volume Data'!BI378*'Equity Price Data'!BL379</f>
        <v>8239.6</v>
      </c>
      <c r="BG378" s="30">
        <f>'Equity Volume Data'!BJ378*'Equity Price Data'!BM379</f>
        <v>33954.92</v>
      </c>
      <c r="BH378" s="30">
        <f>'Equity Volume Data'!BK378*'Equity Price Data'!BN379</f>
        <v>0</v>
      </c>
      <c r="BI378" s="30">
        <f>'Equity Volume Data'!BL378*'Equity Price Data'!BO379</f>
        <v>35968</v>
      </c>
      <c r="BJ378" s="30">
        <f>'Equity Volume Data'!BM378*'Equity Price Data'!BP379</f>
        <v>24558.75</v>
      </c>
      <c r="BK378" s="30">
        <f>'Equity Volume Data'!BN378*'Equity Price Data'!BQ379</f>
        <v>90334.26</v>
      </c>
      <c r="BL378" s="30">
        <f>'Equity Volume Data'!BO378*'Equity Price Data'!BR379</f>
        <v>526.4</v>
      </c>
      <c r="BM378" s="30">
        <f>'Equity Volume Data'!BP378*'Equity Price Data'!BS379</f>
        <v>9756.96</v>
      </c>
      <c r="BN378" s="30">
        <f>'Equity Volume Data'!BQ378*'Equity Price Data'!BT379</f>
        <v>21591.8</v>
      </c>
      <c r="BO378" s="30">
        <f>'Equity Volume Data'!BR378*'Equity Price Data'!BU379</f>
        <v>68782</v>
      </c>
    </row>
    <row r="379">
      <c r="A379" s="25">
        <f>'Equity Price Data'!A380</f>
        <v>45973.66667</v>
      </c>
      <c r="B379" s="29">
        <f t="shared" si="1"/>
        <v>1574843.88</v>
      </c>
      <c r="C379" s="30">
        <f>'Equity Volume Data'!F379*'Equity Price Data'!I380</f>
        <v>4381.65</v>
      </c>
      <c r="D379" s="30">
        <f>'Equity Volume Data'!G379*'Equity Price Data'!J380</f>
        <v>63492</v>
      </c>
      <c r="E379" s="30">
        <f>'Equity Volume Data'!H379*'Equity Price Data'!K380</f>
        <v>14274.7</v>
      </c>
      <c r="F379" s="30">
        <f>'Equity Volume Data'!I379*'Equity Price Data'!L380</f>
        <v>70008.32</v>
      </c>
      <c r="G379" s="30">
        <f>'Equity Volume Data'!J379*'Equity Price Data'!M380</f>
        <v>19150.59</v>
      </c>
      <c r="H379" s="30">
        <f>'Equity Volume Data'!K379*'Equity Price Data'!N380</f>
        <v>21176.32</v>
      </c>
      <c r="I379" s="30">
        <f>'Equity Volume Data'!L379*'Equity Price Data'!O380</f>
        <v>22510</v>
      </c>
      <c r="J379" s="30">
        <f>'Equity Volume Data'!M379*'Equity Price Data'!P380</f>
        <v>51244.8</v>
      </c>
      <c r="K379" s="30">
        <f>'Equity Volume Data'!N379*'Equity Price Data'!Q380</f>
        <v>11264</v>
      </c>
      <c r="L379" s="30">
        <f>'Equity Volume Data'!O379*'Equity Price Data'!R380</f>
        <v>19539.08</v>
      </c>
      <c r="M379" s="30">
        <f>'Equity Volume Data'!P379*'Equity Price Data'!S380</f>
        <v>15202.98</v>
      </c>
      <c r="N379" s="30">
        <f>'Equity Volume Data'!Q379*'Equity Price Data'!T380</f>
        <v>4479.2</v>
      </c>
      <c r="O379" s="30">
        <f>'Equity Volume Data'!R379*'Equity Price Data'!U380</f>
        <v>85953</v>
      </c>
      <c r="P379" s="30">
        <f>'Equity Volume Data'!S379*'Equity Price Data'!V380</f>
        <v>38601.69</v>
      </c>
      <c r="Q379" s="30">
        <f>'Equity Volume Data'!T379*'Equity Price Data'!W380</f>
        <v>24277.2</v>
      </c>
      <c r="R379" s="30">
        <f>'Equity Volume Data'!U379*'Equity Price Data'!X380</f>
        <v>12265.6</v>
      </c>
      <c r="S379" s="30">
        <f>'Equity Volume Data'!V379*'Equity Price Data'!Y380</f>
        <v>23813.68</v>
      </c>
      <c r="T379" s="30">
        <f>'Equity Volume Data'!W379*'Equity Price Data'!Z380</f>
        <v>13165</v>
      </c>
      <c r="U379" s="30">
        <f>'Equity Volume Data'!X379*'Equity Price Data'!AA380</f>
        <v>18878.64</v>
      </c>
      <c r="V379" s="30">
        <f>'Equity Volume Data'!Y379*'Equity Price Data'!AB380</f>
        <v>16130.59</v>
      </c>
      <c r="W379" s="30">
        <f>'Equity Volume Data'!Z379*'Equity Price Data'!AC380</f>
        <v>11309.1</v>
      </c>
      <c r="X379" s="30">
        <f>'Equity Volume Data'!AA379*'Equity Price Data'!AD380</f>
        <v>0</v>
      </c>
      <c r="Y379" s="30">
        <f>'Equity Volume Data'!AB379*'Equity Price Data'!AE380</f>
        <v>5248.88</v>
      </c>
      <c r="Z379" s="30">
        <f>'Equity Volume Data'!AC379*'Equity Price Data'!AF380</f>
        <v>13168.5</v>
      </c>
      <c r="AA379" s="30">
        <f>'Equity Volume Data'!AD379*'Equity Price Data'!AG380</f>
        <v>20080.4</v>
      </c>
      <c r="AB379" s="30">
        <f>'Equity Volume Data'!AE379*'Equity Price Data'!AH380</f>
        <v>16120.2</v>
      </c>
      <c r="AC379" s="30">
        <f>'Equity Volume Data'!AF379*'Equity Price Data'!AI380</f>
        <v>16780.8</v>
      </c>
      <c r="AD379" s="30">
        <f>'Equity Volume Data'!AG379*'Equity Price Data'!AJ380</f>
        <v>15725.25</v>
      </c>
      <c r="AE379" s="30">
        <f>'Equity Volume Data'!AH379*'Equity Price Data'!AK380</f>
        <v>0</v>
      </c>
      <c r="AF379" s="30">
        <f>'Equity Volume Data'!AI379*'Equity Price Data'!AL380</f>
        <v>25297</v>
      </c>
      <c r="AG379" s="30">
        <f>'Equity Volume Data'!AJ379*'Equity Price Data'!AM380</f>
        <v>50338.2</v>
      </c>
      <c r="AH379" s="30">
        <f>'Equity Volume Data'!AK379*'Equity Price Data'!AN380</f>
        <v>37113</v>
      </c>
      <c r="AI379" s="30">
        <f>'Equity Volume Data'!AL379*'Equity Price Data'!AO380</f>
        <v>28959</v>
      </c>
      <c r="AJ379" s="30">
        <f>'Equity Volume Data'!AM379*'Equity Price Data'!AP380</f>
        <v>20026.5</v>
      </c>
      <c r="AK379" s="30">
        <f>'Equity Volume Data'!AN379*'Equity Price Data'!AQ380</f>
        <v>26905.15</v>
      </c>
      <c r="AL379" s="30">
        <f>'Equity Volume Data'!AO379*'Equity Price Data'!AR380</f>
        <v>51265.6</v>
      </c>
      <c r="AM379" s="30">
        <f>'Equity Volume Data'!AP379*'Equity Price Data'!AS380</f>
        <v>31992.8</v>
      </c>
      <c r="AN379" s="30">
        <f>'Equity Volume Data'!AQ379*'Equity Price Data'!AT380</f>
        <v>0</v>
      </c>
      <c r="AO379" s="30">
        <f>'Equity Volume Data'!AR379*'Equity Price Data'!AU380</f>
        <v>29403.22</v>
      </c>
      <c r="AP379" s="30">
        <f>'Equity Volume Data'!AS379*'Equity Price Data'!AV380</f>
        <v>23952.5</v>
      </c>
      <c r="AQ379" s="30">
        <f>'Equity Volume Data'!AT379*'Equity Price Data'!AW380</f>
        <v>17646.2</v>
      </c>
      <c r="AR379" s="30">
        <f>'Equity Volume Data'!AU379*'Equity Price Data'!AX380</f>
        <v>13317.56</v>
      </c>
      <c r="AS379" s="30">
        <f>'Equity Volume Data'!AV379*'Equity Price Data'!AY380</f>
        <v>61336.8</v>
      </c>
      <c r="AT379" s="30">
        <f>'Equity Volume Data'!AW379*'Equity Price Data'!AZ380</f>
        <v>32981.76</v>
      </c>
      <c r="AU379" s="30">
        <f>'Equity Volume Data'!AX379*'Equity Price Data'!BA380</f>
        <v>0</v>
      </c>
      <c r="AV379" s="30">
        <f>'Equity Volume Data'!AY379*'Equity Price Data'!BB380</f>
        <v>27519.6</v>
      </c>
      <c r="AW379" s="30">
        <f>'Equity Volume Data'!AZ379*'Equity Price Data'!BC380</f>
        <v>3639.2</v>
      </c>
      <c r="AX379" s="30">
        <f>'Equity Volume Data'!BA379*'Equity Price Data'!BD380</f>
        <v>0</v>
      </c>
      <c r="AY379" s="30">
        <f>'Equity Volume Data'!BB379*'Equity Price Data'!BE380</f>
        <v>41438.25</v>
      </c>
      <c r="AZ379" s="30">
        <f>'Equity Volume Data'!BC379*'Equity Price Data'!BF380</f>
        <v>10080</v>
      </c>
      <c r="BA379" s="30">
        <f>'Equity Volume Data'!BD379*'Equity Price Data'!BG380</f>
        <v>4915.3</v>
      </c>
      <c r="BB379" s="30">
        <f>'Equity Volume Data'!BE379*'Equity Price Data'!BH380</f>
        <v>14215.2</v>
      </c>
      <c r="BC379" s="30">
        <f>'Equity Volume Data'!BF379*'Equity Price Data'!BI380</f>
        <v>21592.24</v>
      </c>
      <c r="BD379" s="30">
        <f>'Equity Volume Data'!BG379*'Equity Price Data'!BJ380</f>
        <v>45300.84</v>
      </c>
      <c r="BE379" s="30">
        <f>'Equity Volume Data'!BH379*'Equity Price Data'!BK380</f>
        <v>13524.46</v>
      </c>
      <c r="BF379" s="30">
        <f>'Equity Volume Data'!BI379*'Equity Price Data'!BL380</f>
        <v>8291.6</v>
      </c>
      <c r="BG379" s="30">
        <f>'Equity Volume Data'!BJ379*'Equity Price Data'!BM380</f>
        <v>33132.04</v>
      </c>
      <c r="BH379" s="30">
        <f>'Equity Volume Data'!BK379*'Equity Price Data'!BN380</f>
        <v>0</v>
      </c>
      <c r="BI379" s="30">
        <f>'Equity Volume Data'!BL379*'Equity Price Data'!BO380</f>
        <v>35768</v>
      </c>
      <c r="BJ379" s="30">
        <f>'Equity Volume Data'!BM379*'Equity Price Data'!BP380</f>
        <v>25429.5</v>
      </c>
      <c r="BK379" s="30">
        <f>'Equity Volume Data'!BN379*'Equity Price Data'!BQ380</f>
        <v>90208.12</v>
      </c>
      <c r="BL379" s="30">
        <f>'Equity Volume Data'!BO379*'Equity Price Data'!BR380</f>
        <v>517.47</v>
      </c>
      <c r="BM379" s="30">
        <f>'Equity Volume Data'!BP379*'Equity Price Data'!BS380</f>
        <v>9782.4</v>
      </c>
      <c r="BN379" s="30">
        <f>'Equity Volume Data'!BQ379*'Equity Price Data'!BT380</f>
        <v>21930.2</v>
      </c>
      <c r="BO379" s="30">
        <f>'Equity Volume Data'!BR379*'Equity Price Data'!BU380</f>
        <v>68782</v>
      </c>
    </row>
    <row r="380">
      <c r="A380" s="25">
        <f>'Equity Price Data'!A381</f>
        <v>45974.66667</v>
      </c>
      <c r="B380" s="29">
        <f t="shared" si="1"/>
        <v>1550782.99</v>
      </c>
      <c r="C380" s="30">
        <f>'Equity Volume Data'!F380*'Equity Price Data'!I381</f>
        <v>4336.8</v>
      </c>
      <c r="D380" s="30">
        <f>'Equity Volume Data'!G380*'Equity Price Data'!J381</f>
        <v>61770.8</v>
      </c>
      <c r="E380" s="30">
        <f>'Equity Volume Data'!H380*'Equity Price Data'!K381</f>
        <v>14460.6</v>
      </c>
      <c r="F380" s="30">
        <f>'Equity Volume Data'!I380*'Equity Price Data'!L381</f>
        <v>69875.2</v>
      </c>
      <c r="G380" s="30">
        <f>'Equity Volume Data'!J380*'Equity Price Data'!M381</f>
        <v>18528.09</v>
      </c>
      <c r="H380" s="30">
        <f>'Equity Volume Data'!K380*'Equity Price Data'!N381</f>
        <v>20875.52</v>
      </c>
      <c r="I380" s="30">
        <f>'Equity Volume Data'!L380*'Equity Price Data'!O381</f>
        <v>22250</v>
      </c>
      <c r="J380" s="30">
        <f>'Equity Volume Data'!M380*'Equity Price Data'!P381</f>
        <v>52337.22</v>
      </c>
      <c r="K380" s="30">
        <f>'Equity Volume Data'!N380*'Equity Price Data'!Q381</f>
        <v>11190</v>
      </c>
      <c r="L380" s="30">
        <f>'Equity Volume Data'!O380*'Equity Price Data'!R381</f>
        <v>19932.33</v>
      </c>
      <c r="M380" s="30">
        <f>'Equity Volume Data'!P380*'Equity Price Data'!S381</f>
        <v>15327.08</v>
      </c>
      <c r="N380" s="30">
        <f>'Equity Volume Data'!Q380*'Equity Price Data'!T381</f>
        <v>4412.8</v>
      </c>
      <c r="O380" s="30">
        <f>'Equity Volume Data'!R380*'Equity Price Data'!U381</f>
        <v>83032.5</v>
      </c>
      <c r="P380" s="30">
        <f>'Equity Volume Data'!S380*'Equity Price Data'!V381</f>
        <v>35853.66</v>
      </c>
      <c r="Q380" s="30">
        <f>'Equity Volume Data'!T380*'Equity Price Data'!W381</f>
        <v>23857.2</v>
      </c>
      <c r="R380" s="30">
        <f>'Equity Volume Data'!U380*'Equity Price Data'!X381</f>
        <v>12446.4</v>
      </c>
      <c r="S380" s="30">
        <f>'Equity Volume Data'!V380*'Equity Price Data'!Y381</f>
        <v>23838.32</v>
      </c>
      <c r="T380" s="30">
        <f>'Equity Volume Data'!W380*'Equity Price Data'!Z381</f>
        <v>12927.5</v>
      </c>
      <c r="U380" s="30">
        <f>'Equity Volume Data'!X380*'Equity Price Data'!AA381</f>
        <v>18762.48</v>
      </c>
      <c r="V380" s="30">
        <f>'Equity Volume Data'!Y380*'Equity Price Data'!AB381</f>
        <v>16252.95</v>
      </c>
      <c r="W380" s="30">
        <f>'Equity Volume Data'!Z380*'Equity Price Data'!AC381</f>
        <v>10909.59</v>
      </c>
      <c r="X380" s="30">
        <f>'Equity Volume Data'!AA380*'Equity Price Data'!AD381</f>
        <v>0</v>
      </c>
      <c r="Y380" s="30">
        <f>'Equity Volume Data'!AB380*'Equity Price Data'!AE381</f>
        <v>5312.84</v>
      </c>
      <c r="Z380" s="30">
        <f>'Equity Volume Data'!AC380*'Equity Price Data'!AF381</f>
        <v>12664.5</v>
      </c>
      <c r="AA380" s="30">
        <f>'Equity Volume Data'!AD380*'Equity Price Data'!AG381</f>
        <v>20194.3</v>
      </c>
      <c r="AB380" s="30">
        <f>'Equity Volume Data'!AE380*'Equity Price Data'!AH381</f>
        <v>16040.4</v>
      </c>
      <c r="AC380" s="30">
        <f>'Equity Volume Data'!AF380*'Equity Price Data'!AI381</f>
        <v>16712.4</v>
      </c>
      <c r="AD380" s="30">
        <f>'Equity Volume Data'!AG380*'Equity Price Data'!AJ381</f>
        <v>15482.7</v>
      </c>
      <c r="AE380" s="30">
        <f>'Equity Volume Data'!AH380*'Equity Price Data'!AK381</f>
        <v>0</v>
      </c>
      <c r="AF380" s="30">
        <f>'Equity Volume Data'!AI380*'Equity Price Data'!AL381</f>
        <v>25666</v>
      </c>
      <c r="AG380" s="30">
        <f>'Equity Volume Data'!AJ380*'Equity Price Data'!AM381</f>
        <v>48330</v>
      </c>
      <c r="AH380" s="30">
        <f>'Equity Volume Data'!AK380*'Equity Price Data'!AN381</f>
        <v>36807</v>
      </c>
      <c r="AI380" s="30">
        <f>'Equity Volume Data'!AL380*'Equity Price Data'!AO381</f>
        <v>28309.75</v>
      </c>
      <c r="AJ380" s="30">
        <f>'Equity Volume Data'!AM380*'Equity Price Data'!AP381</f>
        <v>19851</v>
      </c>
      <c r="AK380" s="30">
        <f>'Equity Volume Data'!AN380*'Equity Price Data'!AQ381</f>
        <v>26578.97</v>
      </c>
      <c r="AL380" s="30">
        <f>'Equity Volume Data'!AO380*'Equity Price Data'!AR381</f>
        <v>49516.8</v>
      </c>
      <c r="AM380" s="30">
        <f>'Equity Volume Data'!AP380*'Equity Price Data'!AS381</f>
        <v>31909.5</v>
      </c>
      <c r="AN380" s="30">
        <f>'Equity Volume Data'!AQ380*'Equity Price Data'!AT381</f>
        <v>0</v>
      </c>
      <c r="AO380" s="30">
        <f>'Equity Volume Data'!AR380*'Equity Price Data'!AU381</f>
        <v>29403.22</v>
      </c>
      <c r="AP380" s="30">
        <f>'Equity Volume Data'!AS380*'Equity Price Data'!AV381</f>
        <v>24035</v>
      </c>
      <c r="AQ380" s="30">
        <f>'Equity Volume Data'!AT380*'Equity Price Data'!AW381</f>
        <v>17483.4</v>
      </c>
      <c r="AR380" s="30">
        <f>'Equity Volume Data'!AU380*'Equity Price Data'!AX381</f>
        <v>12831.42</v>
      </c>
      <c r="AS380" s="30">
        <f>'Equity Volume Data'!AV380*'Equity Price Data'!AY381</f>
        <v>60394.8</v>
      </c>
      <c r="AT380" s="30">
        <f>'Equity Volume Data'!AW380*'Equity Price Data'!AZ381</f>
        <v>32252.16</v>
      </c>
      <c r="AU380" s="30">
        <f>'Equity Volume Data'!AX380*'Equity Price Data'!BA381</f>
        <v>0</v>
      </c>
      <c r="AV380" s="30">
        <f>'Equity Volume Data'!AY380*'Equity Price Data'!BB381</f>
        <v>26534.12</v>
      </c>
      <c r="AW380" s="30">
        <f>'Equity Volume Data'!AZ380*'Equity Price Data'!BC381</f>
        <v>3623.6</v>
      </c>
      <c r="AX380" s="30">
        <f>'Equity Volume Data'!BA380*'Equity Price Data'!BD381</f>
        <v>0</v>
      </c>
      <c r="AY380" s="30">
        <f>'Equity Volume Data'!BB380*'Equity Price Data'!BE381</f>
        <v>38731.5</v>
      </c>
      <c r="AZ380" s="30">
        <f>'Equity Volume Data'!BC380*'Equity Price Data'!BF381</f>
        <v>9799.5</v>
      </c>
      <c r="BA380" s="30">
        <f>'Equity Volume Data'!BD380*'Equity Price Data'!BG381</f>
        <v>4900.1</v>
      </c>
      <c r="BB380" s="30">
        <f>'Equity Volume Data'!BE380*'Equity Price Data'!BH381</f>
        <v>13916.8</v>
      </c>
      <c r="BC380" s="30">
        <f>'Equity Volume Data'!BF380*'Equity Price Data'!BI381</f>
        <v>21116.64</v>
      </c>
      <c r="BD380" s="30">
        <f>'Equity Volume Data'!BG380*'Equity Price Data'!BJ381</f>
        <v>45703.41</v>
      </c>
      <c r="BE380" s="30">
        <f>'Equity Volume Data'!BH380*'Equity Price Data'!BK381</f>
        <v>13342.99</v>
      </c>
      <c r="BF380" s="30">
        <f>'Equity Volume Data'!BI380*'Equity Price Data'!BL381</f>
        <v>8130.4</v>
      </c>
      <c r="BG380" s="30">
        <f>'Equity Volume Data'!BJ380*'Equity Price Data'!BM381</f>
        <v>32122.9</v>
      </c>
      <c r="BH380" s="30">
        <f>'Equity Volume Data'!BK380*'Equity Price Data'!BN381</f>
        <v>0</v>
      </c>
      <c r="BI380" s="30">
        <f>'Equity Volume Data'!BL380*'Equity Price Data'!BO381</f>
        <v>35436.8</v>
      </c>
      <c r="BJ380" s="30">
        <f>'Equity Volume Data'!BM380*'Equity Price Data'!BP381</f>
        <v>24939</v>
      </c>
      <c r="BK380" s="30">
        <f>'Equity Volume Data'!BN380*'Equity Price Data'!BQ381</f>
        <v>90190.1</v>
      </c>
      <c r="BL380" s="30">
        <f>'Equity Volume Data'!BO380*'Equity Price Data'!BR381</f>
        <v>512.77</v>
      </c>
      <c r="BM380" s="30">
        <f>'Equity Volume Data'!BP380*'Equity Price Data'!BS381</f>
        <v>9816.48</v>
      </c>
      <c r="BN380" s="30">
        <f>'Equity Volume Data'!BQ380*'Equity Price Data'!BT381</f>
        <v>20230.68</v>
      </c>
      <c r="BO380" s="30">
        <f>'Equity Volume Data'!BR380*'Equity Price Data'!BU381</f>
        <v>68782</v>
      </c>
    </row>
    <row r="381">
      <c r="A381" s="25">
        <f>'Equity Price Data'!A382</f>
        <v>45975.66667</v>
      </c>
      <c r="B381" s="29">
        <f t="shared" si="1"/>
        <v>1548242.25</v>
      </c>
      <c r="C381" s="30">
        <f>'Equity Volume Data'!F381*'Equity Price Data'!I382</f>
        <v>4304.43</v>
      </c>
      <c r="D381" s="30">
        <f>'Equity Volume Data'!G381*'Equity Price Data'!J382</f>
        <v>61019.4</v>
      </c>
      <c r="E381" s="30">
        <f>'Equity Volume Data'!H381*'Equity Price Data'!K382</f>
        <v>14478.2</v>
      </c>
      <c r="F381" s="30">
        <f>'Equity Volume Data'!I381*'Equity Price Data'!L382</f>
        <v>69736.96</v>
      </c>
      <c r="G381" s="30">
        <f>'Equity Volume Data'!J381*'Equity Price Data'!M382</f>
        <v>18758.83</v>
      </c>
      <c r="H381" s="30">
        <f>'Equity Volume Data'!K381*'Equity Price Data'!N382</f>
        <v>20770.24</v>
      </c>
      <c r="I381" s="30">
        <f>'Equity Volume Data'!L381*'Equity Price Data'!O382</f>
        <v>21700</v>
      </c>
      <c r="J381" s="30">
        <f>'Equity Volume Data'!M381*'Equity Price Data'!P382</f>
        <v>51911.88</v>
      </c>
      <c r="K381" s="30">
        <f>'Equity Volume Data'!N381*'Equity Price Data'!Q382</f>
        <v>11046</v>
      </c>
      <c r="L381" s="30">
        <f>'Equity Volume Data'!O381*'Equity Price Data'!R382</f>
        <v>20273.55</v>
      </c>
      <c r="M381" s="30">
        <f>'Equity Volume Data'!P381*'Equity Price Data'!S382</f>
        <v>14992.74</v>
      </c>
      <c r="N381" s="30">
        <f>'Equity Volume Data'!Q381*'Equity Price Data'!T382</f>
        <v>4328</v>
      </c>
      <c r="O381" s="30">
        <f>'Equity Volume Data'!R381*'Equity Price Data'!U382</f>
        <v>83104.5</v>
      </c>
      <c r="P381" s="30">
        <f>'Equity Volume Data'!S381*'Equity Price Data'!V382</f>
        <v>35344.92</v>
      </c>
      <c r="Q381" s="30">
        <f>'Equity Volume Data'!T381*'Equity Price Data'!W382</f>
        <v>23702.4</v>
      </c>
      <c r="R381" s="30">
        <f>'Equity Volume Data'!U381*'Equity Price Data'!X382</f>
        <v>12609.6</v>
      </c>
      <c r="S381" s="30">
        <f>'Equity Volume Data'!V381*'Equity Price Data'!Y382</f>
        <v>23730.08</v>
      </c>
      <c r="T381" s="30">
        <f>'Equity Volume Data'!W381*'Equity Price Data'!Z382</f>
        <v>12922.5</v>
      </c>
      <c r="U381" s="30">
        <f>'Equity Volume Data'!X381*'Equity Price Data'!AA382</f>
        <v>18786.24</v>
      </c>
      <c r="V381" s="30">
        <f>'Equity Volume Data'!Y381*'Equity Price Data'!AB382</f>
        <v>16367.26</v>
      </c>
      <c r="W381" s="30">
        <f>'Equity Volume Data'!Z381*'Equity Price Data'!AC382</f>
        <v>10914.42</v>
      </c>
      <c r="X381" s="30">
        <f>'Equity Volume Data'!AA381*'Equity Price Data'!AD382</f>
        <v>0</v>
      </c>
      <c r="Y381" s="30">
        <f>'Equity Volume Data'!AB381*'Equity Price Data'!AE382</f>
        <v>5332.08</v>
      </c>
      <c r="Z381" s="30">
        <f>'Equity Volume Data'!AC381*'Equity Price Data'!AF382</f>
        <v>12577.5</v>
      </c>
      <c r="AA381" s="30">
        <f>'Equity Volume Data'!AD381*'Equity Price Data'!AG382</f>
        <v>20279.3</v>
      </c>
      <c r="AB381" s="30">
        <f>'Equity Volume Data'!AE381*'Equity Price Data'!AH382</f>
        <v>16053.6</v>
      </c>
      <c r="AC381" s="30">
        <f>'Equity Volume Data'!AF381*'Equity Price Data'!AI382</f>
        <v>16686.4</v>
      </c>
      <c r="AD381" s="30">
        <f>'Equity Volume Data'!AG381*'Equity Price Data'!AJ382</f>
        <v>15491.25</v>
      </c>
      <c r="AE381" s="30">
        <f>'Equity Volume Data'!AH381*'Equity Price Data'!AK382</f>
        <v>0</v>
      </c>
      <c r="AF381" s="30">
        <f>'Equity Volume Data'!AI381*'Equity Price Data'!AL382</f>
        <v>25629.1</v>
      </c>
      <c r="AG381" s="30">
        <f>'Equity Volume Data'!AJ381*'Equity Price Data'!AM382</f>
        <v>47454.6</v>
      </c>
      <c r="AH381" s="30">
        <f>'Equity Volume Data'!AK381*'Equity Price Data'!AN382</f>
        <v>36236</v>
      </c>
      <c r="AI381" s="30">
        <f>'Equity Volume Data'!AL381*'Equity Price Data'!AO382</f>
        <v>28962.5</v>
      </c>
      <c r="AJ381" s="30">
        <f>'Equity Volume Data'!AM381*'Equity Price Data'!AP382</f>
        <v>19769.1</v>
      </c>
      <c r="AK381" s="30">
        <f>'Equity Volume Data'!AN381*'Equity Price Data'!AQ382</f>
        <v>25826.97</v>
      </c>
      <c r="AL381" s="30">
        <f>'Equity Volume Data'!AO381*'Equity Price Data'!AR382</f>
        <v>48577.6</v>
      </c>
      <c r="AM381" s="30">
        <f>'Equity Volume Data'!AP381*'Equity Price Data'!AS382</f>
        <v>32603.9</v>
      </c>
      <c r="AN381" s="30">
        <f>'Equity Volume Data'!AQ381*'Equity Price Data'!AT382</f>
        <v>0</v>
      </c>
      <c r="AO381" s="30">
        <f>'Equity Volume Data'!AR381*'Equity Price Data'!AU382</f>
        <v>29343.44</v>
      </c>
      <c r="AP381" s="30">
        <f>'Equity Volume Data'!AS381*'Equity Price Data'!AV382</f>
        <v>23967.5</v>
      </c>
      <c r="AQ381" s="30">
        <f>'Equity Volume Data'!AT381*'Equity Price Data'!AW382</f>
        <v>17300.8</v>
      </c>
      <c r="AR381" s="30">
        <f>'Equity Volume Data'!AU381*'Equity Price Data'!AX382</f>
        <v>13076.72</v>
      </c>
      <c r="AS381" s="30">
        <f>'Equity Volume Data'!AV381*'Equity Price Data'!AY382</f>
        <v>61221.6</v>
      </c>
      <c r="AT381" s="30">
        <f>'Equity Volume Data'!AW381*'Equity Price Data'!AZ382</f>
        <v>32209.92</v>
      </c>
      <c r="AU381" s="30">
        <f>'Equity Volume Data'!AX381*'Equity Price Data'!BA382</f>
        <v>0</v>
      </c>
      <c r="AV381" s="30">
        <f>'Equity Volume Data'!AY381*'Equity Price Data'!BB382</f>
        <v>27004.14</v>
      </c>
      <c r="AW381" s="30">
        <f>'Equity Volume Data'!AZ381*'Equity Price Data'!BC382</f>
        <v>3550.8</v>
      </c>
      <c r="AX381" s="30">
        <f>'Equity Volume Data'!BA381*'Equity Price Data'!BD382</f>
        <v>0</v>
      </c>
      <c r="AY381" s="30">
        <f>'Equity Volume Data'!BB381*'Equity Price Data'!BE382</f>
        <v>39152.25</v>
      </c>
      <c r="AZ381" s="30">
        <f>'Equity Volume Data'!BC381*'Equity Price Data'!BF382</f>
        <v>9421.5</v>
      </c>
      <c r="BA381" s="30">
        <f>'Equity Volume Data'!BD381*'Equity Price Data'!BG382</f>
        <v>4761.4</v>
      </c>
      <c r="BB381" s="30">
        <f>'Equity Volume Data'!BE381*'Equity Price Data'!BH382</f>
        <v>14045.6</v>
      </c>
      <c r="BC381" s="30">
        <f>'Equity Volume Data'!BF381*'Equity Price Data'!BI382</f>
        <v>22222</v>
      </c>
      <c r="BD381" s="30">
        <f>'Equity Volume Data'!BG381*'Equity Price Data'!BJ382</f>
        <v>46025.04</v>
      </c>
      <c r="BE381" s="30">
        <f>'Equity Volume Data'!BH381*'Equity Price Data'!BK382</f>
        <v>13310.33</v>
      </c>
      <c r="BF381" s="30">
        <f>'Equity Volume Data'!BI381*'Equity Price Data'!BL382</f>
        <v>8163.2</v>
      </c>
      <c r="BG381" s="30">
        <f>'Equity Volume Data'!BJ381*'Equity Price Data'!BM382</f>
        <v>31972.78</v>
      </c>
      <c r="BH381" s="30">
        <f>'Equity Volume Data'!BK381*'Equity Price Data'!BN382</f>
        <v>0</v>
      </c>
      <c r="BI381" s="30">
        <f>'Equity Volume Data'!BL381*'Equity Price Data'!BO382</f>
        <v>35683.2</v>
      </c>
      <c r="BJ381" s="30">
        <f>'Equity Volume Data'!BM381*'Equity Price Data'!BP382</f>
        <v>24139.5</v>
      </c>
      <c r="BK381" s="30">
        <f>'Equity Volume Data'!BN381*'Equity Price Data'!BQ382</f>
        <v>90172.08</v>
      </c>
      <c r="BL381" s="30">
        <f>'Equity Volume Data'!BO381*'Equity Price Data'!BR382</f>
        <v>503.84</v>
      </c>
      <c r="BM381" s="30">
        <f>'Equity Volume Data'!BP381*'Equity Price Data'!BS382</f>
        <v>10040.16</v>
      </c>
      <c r="BN381" s="30">
        <f>'Equity Volume Data'!BQ381*'Equity Price Data'!BT382</f>
        <v>19890.4</v>
      </c>
      <c r="BO381" s="30">
        <f>'Equity Volume Data'!BR381*'Equity Price Data'!BU382</f>
        <v>68782</v>
      </c>
    </row>
    <row r="382">
      <c r="A382" s="25">
        <f>'Equity Price Data'!A383</f>
        <v>45978.66667</v>
      </c>
      <c r="B382" s="29">
        <f t="shared" si="1"/>
        <v>1534574.15</v>
      </c>
      <c r="C382" s="30">
        <f>'Equity Volume Data'!F382*'Equity Price Data'!I383</f>
        <v>4225.91</v>
      </c>
      <c r="D382" s="30">
        <f>'Equity Volume Data'!G382*'Equity Price Data'!J383</f>
        <v>60546.2</v>
      </c>
      <c r="E382" s="30">
        <f>'Equity Volume Data'!H382*'Equity Price Data'!K383</f>
        <v>14594.8</v>
      </c>
      <c r="F382" s="30">
        <f>'Equity Volume Data'!I382*'Equity Price Data'!L383</f>
        <v>68469.76</v>
      </c>
      <c r="G382" s="30">
        <f>'Equity Volume Data'!J382*'Equity Price Data'!M383</f>
        <v>18982.93</v>
      </c>
      <c r="H382" s="30">
        <f>'Equity Volume Data'!K382*'Equity Price Data'!N383</f>
        <v>20072.76</v>
      </c>
      <c r="I382" s="30">
        <f>'Equity Volume Data'!L382*'Equity Price Data'!O383</f>
        <v>21160</v>
      </c>
      <c r="J382" s="30">
        <f>'Equity Volume Data'!M382*'Equity Price Data'!P383</f>
        <v>51332.52</v>
      </c>
      <c r="K382" s="30">
        <f>'Equity Volume Data'!N382*'Equity Price Data'!Q383</f>
        <v>10918</v>
      </c>
      <c r="L382" s="30">
        <f>'Equity Volume Data'!O382*'Equity Price Data'!R383</f>
        <v>19926.28</v>
      </c>
      <c r="M382" s="30">
        <f>'Equity Volume Data'!P382*'Equity Price Data'!S383</f>
        <v>14856.96</v>
      </c>
      <c r="N382" s="30">
        <f>'Equity Volume Data'!Q382*'Equity Price Data'!T383</f>
        <v>4250.4</v>
      </c>
      <c r="O382" s="30">
        <f>'Equity Volume Data'!R382*'Equity Price Data'!U383</f>
        <v>82807.5</v>
      </c>
      <c r="P382" s="30">
        <f>'Equity Volume Data'!S382*'Equity Price Data'!V383</f>
        <v>34623.51</v>
      </c>
      <c r="Q382" s="30">
        <f>'Equity Volume Data'!T382*'Equity Price Data'!W383</f>
        <v>23052</v>
      </c>
      <c r="R382" s="30">
        <f>'Equity Volume Data'!U382*'Equity Price Data'!X383</f>
        <v>12385.6</v>
      </c>
      <c r="S382" s="30">
        <f>'Equity Volume Data'!V382*'Equity Price Data'!Y383</f>
        <v>23877.04</v>
      </c>
      <c r="T382" s="30">
        <f>'Equity Volume Data'!W382*'Equity Price Data'!Z383</f>
        <v>12427.5</v>
      </c>
      <c r="U382" s="30">
        <f>'Equity Volume Data'!X382*'Equity Price Data'!AA383</f>
        <v>18659.52</v>
      </c>
      <c r="V382" s="30">
        <f>'Equity Volume Data'!Y382*'Equity Price Data'!AB383</f>
        <v>16719.85</v>
      </c>
      <c r="W382" s="30">
        <f>'Equity Volume Data'!Z382*'Equity Price Data'!AC383</f>
        <v>10881.3</v>
      </c>
      <c r="X382" s="30">
        <f>'Equity Volume Data'!AA382*'Equity Price Data'!AD383</f>
        <v>0</v>
      </c>
      <c r="Y382" s="30">
        <f>'Equity Volume Data'!AB382*'Equity Price Data'!AE383</f>
        <v>5260.19</v>
      </c>
      <c r="Z382" s="30">
        <f>'Equity Volume Data'!AC382*'Equity Price Data'!AF383</f>
        <v>12324</v>
      </c>
      <c r="AA382" s="30">
        <f>'Equity Volume Data'!AD382*'Equity Price Data'!AG383</f>
        <v>20005.6</v>
      </c>
      <c r="AB382" s="30">
        <f>'Equity Volume Data'!AE382*'Equity Price Data'!AH383</f>
        <v>15883.8</v>
      </c>
      <c r="AC382" s="30">
        <f>'Equity Volume Data'!AF382*'Equity Price Data'!AI383</f>
        <v>16215.2</v>
      </c>
      <c r="AD382" s="30">
        <f>'Equity Volume Data'!AG382*'Equity Price Data'!AJ383</f>
        <v>15380.1</v>
      </c>
      <c r="AE382" s="30">
        <f>'Equity Volume Data'!AH382*'Equity Price Data'!AK383</f>
        <v>0</v>
      </c>
      <c r="AF382" s="30">
        <f>'Equity Volume Data'!AI382*'Equity Price Data'!AL383</f>
        <v>25438.45</v>
      </c>
      <c r="AG382" s="30">
        <f>'Equity Volume Data'!AJ382*'Equity Price Data'!AM383</f>
        <v>46533.6</v>
      </c>
      <c r="AH382" s="30">
        <f>'Equity Volume Data'!AK382*'Equity Price Data'!AN383</f>
        <v>35803</v>
      </c>
      <c r="AI382" s="30">
        <f>'Equity Volume Data'!AL382*'Equity Price Data'!AO383</f>
        <v>28092.75</v>
      </c>
      <c r="AJ382" s="30">
        <f>'Equity Volume Data'!AM382*'Equity Price Data'!AP383</f>
        <v>19542.9</v>
      </c>
      <c r="AK382" s="30">
        <f>'Equity Volume Data'!AN382*'Equity Price Data'!AQ383</f>
        <v>25695.37</v>
      </c>
      <c r="AL382" s="30">
        <f>'Equity Volume Data'!AO382*'Equity Price Data'!AR383</f>
        <v>48059.2</v>
      </c>
      <c r="AM382" s="30">
        <f>'Equity Volume Data'!AP382*'Equity Price Data'!AS383</f>
        <v>32954.6</v>
      </c>
      <c r="AN382" s="30">
        <f>'Equity Volume Data'!AQ382*'Equity Price Data'!AT383</f>
        <v>0</v>
      </c>
      <c r="AO382" s="30">
        <f>'Equity Volume Data'!AR382*'Equity Price Data'!AU383</f>
        <v>28856.66</v>
      </c>
      <c r="AP382" s="30">
        <f>'Equity Volume Data'!AS382*'Equity Price Data'!AV383</f>
        <v>24070</v>
      </c>
      <c r="AQ382" s="30">
        <f>'Equity Volume Data'!AT382*'Equity Price Data'!AW383</f>
        <v>16616.6</v>
      </c>
      <c r="AR382" s="30">
        <f>'Equity Volume Data'!AU382*'Equity Price Data'!AX383</f>
        <v>12706.54</v>
      </c>
      <c r="AS382" s="30">
        <f>'Equity Volume Data'!AV382*'Equity Price Data'!AY383</f>
        <v>60898.8</v>
      </c>
      <c r="AT382" s="30">
        <f>'Equity Volume Data'!AW382*'Equity Price Data'!AZ383</f>
        <v>32928</v>
      </c>
      <c r="AU382" s="30">
        <f>'Equity Volume Data'!AX382*'Equity Price Data'!BA383</f>
        <v>0</v>
      </c>
      <c r="AV382" s="30">
        <f>'Equity Volume Data'!AY382*'Equity Price Data'!BB383</f>
        <v>26497.2</v>
      </c>
      <c r="AW382" s="30">
        <f>'Equity Volume Data'!AZ382*'Equity Price Data'!BC383</f>
        <v>3522.8</v>
      </c>
      <c r="AX382" s="30">
        <f>'Equity Volume Data'!BA382*'Equity Price Data'!BD383</f>
        <v>0</v>
      </c>
      <c r="AY382" s="30">
        <f>'Equity Volume Data'!BB382*'Equity Price Data'!BE383</f>
        <v>38531.25</v>
      </c>
      <c r="AZ382" s="30">
        <f>'Equity Volume Data'!BC382*'Equity Price Data'!BF383</f>
        <v>9283.5</v>
      </c>
      <c r="BA382" s="30">
        <f>'Equity Volume Data'!BD382*'Equity Price Data'!BG383</f>
        <v>4765.2</v>
      </c>
      <c r="BB382" s="30">
        <f>'Equity Volume Data'!BE382*'Equity Price Data'!BH383</f>
        <v>14050.4</v>
      </c>
      <c r="BC382" s="30">
        <f>'Equity Volume Data'!BF382*'Equity Price Data'!BI383</f>
        <v>22677.92</v>
      </c>
      <c r="BD382" s="30">
        <f>'Equity Volume Data'!BG382*'Equity Price Data'!BJ383</f>
        <v>45973.92</v>
      </c>
      <c r="BE382" s="30">
        <f>'Equity Volume Data'!BH382*'Equity Price Data'!BK383</f>
        <v>13044.68</v>
      </c>
      <c r="BF382" s="30">
        <f>'Equity Volume Data'!BI382*'Equity Price Data'!BL383</f>
        <v>7960</v>
      </c>
      <c r="BG382" s="30">
        <f>'Equity Volume Data'!BJ382*'Equity Price Data'!BM383</f>
        <v>31525.2</v>
      </c>
      <c r="BH382" s="30">
        <f>'Equity Volume Data'!BK382*'Equity Price Data'!BN383</f>
        <v>0</v>
      </c>
      <c r="BI382" s="30">
        <f>'Equity Volume Data'!BL382*'Equity Price Data'!BO383</f>
        <v>35360</v>
      </c>
      <c r="BJ382" s="30">
        <f>'Equity Volume Data'!BM382*'Equity Price Data'!BP383</f>
        <v>24039</v>
      </c>
      <c r="BK382" s="30">
        <f>'Equity Volume Data'!BN382*'Equity Price Data'!BQ383</f>
        <v>90172.08</v>
      </c>
      <c r="BL382" s="30">
        <f>'Equity Volume Data'!BO382*'Equity Price Data'!BR383</f>
        <v>501.02</v>
      </c>
      <c r="BM382" s="30">
        <f>'Equity Volume Data'!BP382*'Equity Price Data'!BS383</f>
        <v>9982.56</v>
      </c>
      <c r="BN382" s="30">
        <f>'Equity Volume Data'!BQ382*'Equity Price Data'!BT383</f>
        <v>19869.72</v>
      </c>
      <c r="BO382" s="30">
        <f>'Equity Volume Data'!BR382*'Equity Price Data'!BU383</f>
        <v>68782</v>
      </c>
    </row>
    <row r="383">
      <c r="A383" s="25">
        <f>'Equity Price Data'!A384</f>
        <v>45979.66667</v>
      </c>
      <c r="B383" s="29">
        <f t="shared" si="1"/>
        <v>1527694.17</v>
      </c>
      <c r="C383" s="30">
        <f>'Equity Volume Data'!F383*'Equity Price Data'!I384</f>
        <v>4218.11</v>
      </c>
      <c r="D383" s="30">
        <f>'Equity Volume Data'!G383*'Equity Price Data'!J384</f>
        <v>57863</v>
      </c>
      <c r="E383" s="30">
        <f>'Equity Volume Data'!H383*'Equity Price Data'!K384</f>
        <v>14290.1</v>
      </c>
      <c r="F383" s="30">
        <f>'Equity Volume Data'!I383*'Equity Price Data'!L384</f>
        <v>68464.64</v>
      </c>
      <c r="G383" s="30">
        <f>'Equity Volume Data'!J383*'Equity Price Data'!M384</f>
        <v>18684.96</v>
      </c>
      <c r="H383" s="30">
        <f>'Equity Volume Data'!K383*'Equity Price Data'!N384</f>
        <v>20210</v>
      </c>
      <c r="I383" s="30">
        <f>'Equity Volume Data'!L383*'Equity Price Data'!O384</f>
        <v>21090</v>
      </c>
      <c r="J383" s="30">
        <f>'Equity Volume Data'!M383*'Equity Price Data'!P384</f>
        <v>51445.74</v>
      </c>
      <c r="K383" s="30">
        <f>'Equity Volume Data'!N383*'Equity Price Data'!Q384</f>
        <v>10742</v>
      </c>
      <c r="L383" s="30">
        <f>'Equity Volume Data'!O383*'Equity Price Data'!R384</f>
        <v>20428.43</v>
      </c>
      <c r="M383" s="30">
        <f>'Equity Volume Data'!P383*'Equity Price Data'!S384</f>
        <v>14486.12</v>
      </c>
      <c r="N383" s="30">
        <f>'Equity Volume Data'!Q383*'Equity Price Data'!T384</f>
        <v>4160.8</v>
      </c>
      <c r="O383" s="30">
        <f>'Equity Volume Data'!R383*'Equity Price Data'!U384</f>
        <v>82032</v>
      </c>
      <c r="P383" s="30">
        <f>'Equity Volume Data'!S383*'Equity Price Data'!V384</f>
        <v>34736.1</v>
      </c>
      <c r="Q383" s="30">
        <f>'Equity Volume Data'!T383*'Equity Price Data'!W384</f>
        <v>22884</v>
      </c>
      <c r="R383" s="30">
        <f>'Equity Volume Data'!U383*'Equity Price Data'!X384</f>
        <v>12289.6</v>
      </c>
      <c r="S383" s="30">
        <f>'Equity Volume Data'!V383*'Equity Price Data'!Y384</f>
        <v>23989.68</v>
      </c>
      <c r="T383" s="30">
        <f>'Equity Volume Data'!W383*'Equity Price Data'!Z384</f>
        <v>12607.5</v>
      </c>
      <c r="U383" s="30">
        <f>'Equity Volume Data'!X383*'Equity Price Data'!AA384</f>
        <v>18802.08</v>
      </c>
      <c r="V383" s="30">
        <f>'Equity Volume Data'!Y383*'Equity Price Data'!AB384</f>
        <v>16568.51</v>
      </c>
      <c r="W383" s="30">
        <f>'Equity Volume Data'!Z383*'Equity Price Data'!AC384</f>
        <v>11013.78</v>
      </c>
      <c r="X383" s="30">
        <f>'Equity Volume Data'!AA383*'Equity Price Data'!AD384</f>
        <v>0</v>
      </c>
      <c r="Y383" s="30">
        <f>'Equity Volume Data'!AB383*'Equity Price Data'!AE384</f>
        <v>5243.42</v>
      </c>
      <c r="Z383" s="30">
        <f>'Equity Volume Data'!AC383*'Equity Price Data'!AF384</f>
        <v>12274.5</v>
      </c>
      <c r="AA383" s="30">
        <f>'Equity Volume Data'!AD383*'Equity Price Data'!AG384</f>
        <v>20235.1</v>
      </c>
      <c r="AB383" s="30">
        <f>'Equity Volume Data'!AE383*'Equity Price Data'!AH384</f>
        <v>15784.8</v>
      </c>
      <c r="AC383" s="30">
        <f>'Equity Volume Data'!AF383*'Equity Price Data'!AI384</f>
        <v>15913.2</v>
      </c>
      <c r="AD383" s="30">
        <f>'Equity Volume Data'!AG383*'Equity Price Data'!AJ384</f>
        <v>15358.05</v>
      </c>
      <c r="AE383" s="30">
        <f>'Equity Volume Data'!AH383*'Equity Price Data'!AK384</f>
        <v>0</v>
      </c>
      <c r="AF383" s="30">
        <f>'Equity Volume Data'!AI383*'Equity Price Data'!AL384</f>
        <v>26071.9</v>
      </c>
      <c r="AG383" s="30">
        <f>'Equity Volume Data'!AJ383*'Equity Price Data'!AM384</f>
        <v>46578</v>
      </c>
      <c r="AH383" s="30">
        <f>'Equity Volume Data'!AK383*'Equity Price Data'!AN384</f>
        <v>33648</v>
      </c>
      <c r="AI383" s="30">
        <f>'Equity Volume Data'!AL383*'Equity Price Data'!AO384</f>
        <v>28175</v>
      </c>
      <c r="AJ383" s="30">
        <f>'Equity Volume Data'!AM383*'Equity Price Data'!AP384</f>
        <v>19861.4</v>
      </c>
      <c r="AK383" s="30">
        <f>'Equity Volume Data'!AN383*'Equity Price Data'!AQ384</f>
        <v>25698.19</v>
      </c>
      <c r="AL383" s="30">
        <f>'Equity Volume Data'!AO383*'Equity Price Data'!AR384</f>
        <v>47905.6</v>
      </c>
      <c r="AM383" s="30">
        <f>'Equity Volume Data'!AP383*'Equity Price Data'!AS384</f>
        <v>33230.4</v>
      </c>
      <c r="AN383" s="30">
        <f>'Equity Volume Data'!AQ383*'Equity Price Data'!AT384</f>
        <v>0</v>
      </c>
      <c r="AO383" s="30">
        <f>'Equity Volume Data'!AR383*'Equity Price Data'!AU384</f>
        <v>28660.24</v>
      </c>
      <c r="AP383" s="30">
        <f>'Equity Volume Data'!AS383*'Equity Price Data'!AV384</f>
        <v>25200</v>
      </c>
      <c r="AQ383" s="30">
        <f>'Equity Volume Data'!AT383*'Equity Price Data'!AW384</f>
        <v>16581.4</v>
      </c>
      <c r="AR383" s="30">
        <f>'Equity Volume Data'!AU383*'Equity Price Data'!AX384</f>
        <v>13047.73</v>
      </c>
      <c r="AS383" s="30">
        <f>'Equity Volume Data'!AV383*'Equity Price Data'!AY384</f>
        <v>59254.8</v>
      </c>
      <c r="AT383" s="30">
        <f>'Equity Volume Data'!AW383*'Equity Price Data'!AZ384</f>
        <v>32501.76</v>
      </c>
      <c r="AU383" s="30">
        <f>'Equity Volume Data'!AX383*'Equity Price Data'!BA384</f>
        <v>0</v>
      </c>
      <c r="AV383" s="30">
        <f>'Equity Volume Data'!AY383*'Equity Price Data'!BB384</f>
        <v>25753.12</v>
      </c>
      <c r="AW383" s="30">
        <f>'Equity Volume Data'!AZ383*'Equity Price Data'!BC384</f>
        <v>3508</v>
      </c>
      <c r="AX383" s="30">
        <f>'Equity Volume Data'!BA383*'Equity Price Data'!BD384</f>
        <v>0</v>
      </c>
      <c r="AY383" s="30">
        <f>'Equity Volume Data'!BB383*'Equity Price Data'!BE384</f>
        <v>37649.25</v>
      </c>
      <c r="AZ383" s="30">
        <f>'Equity Volume Data'!BC383*'Equity Price Data'!BF384</f>
        <v>9105</v>
      </c>
      <c r="BA383" s="30">
        <f>'Equity Volume Data'!BD383*'Equity Price Data'!BG384</f>
        <v>4835.5</v>
      </c>
      <c r="BB383" s="30">
        <f>'Equity Volume Data'!BE383*'Equity Price Data'!BH384</f>
        <v>13977.6</v>
      </c>
      <c r="BC383" s="30">
        <f>'Equity Volume Data'!BF383*'Equity Price Data'!BI384</f>
        <v>23150.24</v>
      </c>
      <c r="BD383" s="30">
        <f>'Equity Volume Data'!BG383*'Equity Price Data'!BJ384</f>
        <v>45386.04</v>
      </c>
      <c r="BE383" s="30">
        <f>'Equity Volume Data'!BH383*'Equity Price Data'!BK384</f>
        <v>13248.69</v>
      </c>
      <c r="BF383" s="30">
        <f>'Equity Volume Data'!BI383*'Equity Price Data'!BL384</f>
        <v>7838.4</v>
      </c>
      <c r="BG383" s="30">
        <f>'Equity Volume Data'!BJ383*'Equity Price Data'!BM384</f>
        <v>32545.46</v>
      </c>
      <c r="BH383" s="30">
        <f>'Equity Volume Data'!BK383*'Equity Price Data'!BN384</f>
        <v>0</v>
      </c>
      <c r="BI383" s="30">
        <f>'Equity Volume Data'!BL383*'Equity Price Data'!BO384</f>
        <v>35331.2</v>
      </c>
      <c r="BJ383" s="30">
        <f>'Equity Volume Data'!BM383*'Equity Price Data'!BP384</f>
        <v>23518.5</v>
      </c>
      <c r="BK383" s="30">
        <f>'Equity Volume Data'!BN383*'Equity Price Data'!BQ384</f>
        <v>90208.12</v>
      </c>
      <c r="BL383" s="30">
        <f>'Equity Volume Data'!BO383*'Equity Price Data'!BR384</f>
        <v>503.37</v>
      </c>
      <c r="BM383" s="30">
        <f>'Equity Volume Data'!BP383*'Equity Price Data'!BS384</f>
        <v>10142.4</v>
      </c>
      <c r="BN383" s="30">
        <f>'Equity Volume Data'!BQ383*'Equity Price Data'!BT384</f>
        <v>19980.64</v>
      </c>
      <c r="BO383" s="30">
        <f>'Equity Volume Data'!BR383*'Equity Price Data'!BU384</f>
        <v>68782</v>
      </c>
    </row>
    <row r="384">
      <c r="A384" s="25">
        <f>'Equity Price Data'!A385</f>
        <v>45980.66667</v>
      </c>
      <c r="B384" s="29">
        <f t="shared" si="1"/>
        <v>1533938.37</v>
      </c>
      <c r="C384" s="30">
        <f>'Equity Volume Data'!F384*'Equity Price Data'!I385</f>
        <v>4135.43</v>
      </c>
      <c r="D384" s="30">
        <f>'Equity Volume Data'!G384*'Equity Price Data'!J385</f>
        <v>57899.4</v>
      </c>
      <c r="E384" s="30">
        <f>'Equity Volume Data'!H384*'Equity Price Data'!K385</f>
        <v>13983.2</v>
      </c>
      <c r="F384" s="30">
        <f>'Equity Volume Data'!I384*'Equity Price Data'!L385</f>
        <v>68751.36</v>
      </c>
      <c r="G384" s="30">
        <f>'Equity Volume Data'!J384*'Equity Price Data'!M385</f>
        <v>19515.79</v>
      </c>
      <c r="H384" s="30">
        <f>'Equity Volume Data'!K384*'Equity Price Data'!N385</f>
        <v>20211.88</v>
      </c>
      <c r="I384" s="30">
        <f>'Equity Volume Data'!L384*'Equity Price Data'!O385</f>
        <v>21120</v>
      </c>
      <c r="J384" s="30">
        <f>'Equity Volume Data'!M384*'Equity Price Data'!P385</f>
        <v>51128.52</v>
      </c>
      <c r="K384" s="30">
        <f>'Equity Volume Data'!N384*'Equity Price Data'!Q385</f>
        <v>10694</v>
      </c>
      <c r="L384" s="30">
        <f>'Equity Volume Data'!O384*'Equity Price Data'!R385</f>
        <v>20319.53</v>
      </c>
      <c r="M384" s="30">
        <f>'Equity Volume Data'!P384*'Equity Price Data'!S385</f>
        <v>14163.46</v>
      </c>
      <c r="N384" s="30">
        <f>'Equity Volume Data'!Q384*'Equity Price Data'!T385</f>
        <v>4100</v>
      </c>
      <c r="O384" s="30">
        <f>'Equity Volume Data'!R384*'Equity Price Data'!U385</f>
        <v>82966.5</v>
      </c>
      <c r="P384" s="30">
        <f>'Equity Volume Data'!S384*'Equity Price Data'!V385</f>
        <v>35962.08</v>
      </c>
      <c r="Q384" s="30">
        <f>'Equity Volume Data'!T384*'Equity Price Data'!W385</f>
        <v>22276.8</v>
      </c>
      <c r="R384" s="30">
        <f>'Equity Volume Data'!U384*'Equity Price Data'!X385</f>
        <v>12136</v>
      </c>
      <c r="S384" s="30">
        <f>'Equity Volume Data'!V384*'Equity Price Data'!Y385</f>
        <v>23935.12</v>
      </c>
      <c r="T384" s="30">
        <f>'Equity Volume Data'!W384*'Equity Price Data'!Z385</f>
        <v>12790</v>
      </c>
      <c r="U384" s="30">
        <f>'Equity Volume Data'!X384*'Equity Price Data'!AA385</f>
        <v>18773.04</v>
      </c>
      <c r="V384" s="30">
        <f>'Equity Volume Data'!Y384*'Equity Price Data'!AB385</f>
        <v>16161.18</v>
      </c>
      <c r="W384" s="30">
        <f>'Equity Volume Data'!Z384*'Equity Price Data'!AC385</f>
        <v>10991.7</v>
      </c>
      <c r="X384" s="30">
        <f>'Equity Volume Data'!AA384*'Equity Price Data'!AD385</f>
        <v>0</v>
      </c>
      <c r="Y384" s="30">
        <f>'Equity Volume Data'!AB384*'Equity Price Data'!AE385</f>
        <v>5195.71</v>
      </c>
      <c r="Z384" s="30">
        <f>'Equity Volume Data'!AC384*'Equity Price Data'!AF385</f>
        <v>12192</v>
      </c>
      <c r="AA384" s="30">
        <f>'Equity Volume Data'!AD384*'Equity Price Data'!AG385</f>
        <v>19949.5</v>
      </c>
      <c r="AB384" s="30">
        <f>'Equity Volume Data'!AE384*'Equity Price Data'!AH385</f>
        <v>15754.2</v>
      </c>
      <c r="AC384" s="30">
        <f>'Equity Volume Data'!AF384*'Equity Price Data'!AI385</f>
        <v>15593.2</v>
      </c>
      <c r="AD384" s="30">
        <f>'Equity Volume Data'!AG384*'Equity Price Data'!AJ385</f>
        <v>15437.7</v>
      </c>
      <c r="AE384" s="30">
        <f>'Equity Volume Data'!AH384*'Equity Price Data'!AK385</f>
        <v>0</v>
      </c>
      <c r="AF384" s="30">
        <f>'Equity Volume Data'!AI384*'Equity Price Data'!AL385</f>
        <v>26254.35</v>
      </c>
      <c r="AG384" s="30">
        <f>'Equity Volume Data'!AJ384*'Equity Price Data'!AM385</f>
        <v>47159.4</v>
      </c>
      <c r="AH384" s="30">
        <f>'Equity Volume Data'!AK384*'Equity Price Data'!AN385</f>
        <v>33450</v>
      </c>
      <c r="AI384" s="30">
        <f>'Equity Volume Data'!AL384*'Equity Price Data'!AO385</f>
        <v>28416.5</v>
      </c>
      <c r="AJ384" s="30">
        <f>'Equity Volume Data'!AM384*'Equity Price Data'!AP385</f>
        <v>19974.5</v>
      </c>
      <c r="AK384" s="30">
        <f>'Equity Volume Data'!AN384*'Equity Price Data'!AQ385</f>
        <v>26538.08</v>
      </c>
      <c r="AL384" s="30">
        <f>'Equity Volume Data'!AO384*'Equity Price Data'!AR385</f>
        <v>48523.2</v>
      </c>
      <c r="AM384" s="30">
        <f>'Equity Volume Data'!AP384*'Equity Price Data'!AS385</f>
        <v>32893.7</v>
      </c>
      <c r="AN384" s="30">
        <f>'Equity Volume Data'!AQ384*'Equity Price Data'!AT385</f>
        <v>0</v>
      </c>
      <c r="AO384" s="30">
        <f>'Equity Volume Data'!AR384*'Equity Price Data'!AU385</f>
        <v>28907.9</v>
      </c>
      <c r="AP384" s="30">
        <f>'Equity Volume Data'!AS384*'Equity Price Data'!AV385</f>
        <v>25085</v>
      </c>
      <c r="AQ384" s="30">
        <f>'Equity Volume Data'!AT384*'Equity Price Data'!AW385</f>
        <v>16447.2</v>
      </c>
      <c r="AR384" s="30">
        <f>'Equity Volume Data'!AU384*'Equity Price Data'!AX385</f>
        <v>14171.65</v>
      </c>
      <c r="AS384" s="30">
        <f>'Equity Volume Data'!AV384*'Equity Price Data'!AY385</f>
        <v>58454.4</v>
      </c>
      <c r="AT384" s="30">
        <f>'Equity Volume Data'!AW384*'Equity Price Data'!AZ385</f>
        <v>32359.68</v>
      </c>
      <c r="AU384" s="30">
        <f>'Equity Volume Data'!AX384*'Equity Price Data'!BA385</f>
        <v>0</v>
      </c>
      <c r="AV384" s="30">
        <f>'Equity Volume Data'!AY384*'Equity Price Data'!BB385</f>
        <v>26485.84</v>
      </c>
      <c r="AW384" s="30">
        <f>'Equity Volume Data'!AZ384*'Equity Price Data'!BC385</f>
        <v>3463.2</v>
      </c>
      <c r="AX384" s="30">
        <f>'Equity Volume Data'!BA384*'Equity Price Data'!BD385</f>
        <v>0</v>
      </c>
      <c r="AY384" s="30">
        <f>'Equity Volume Data'!BB384*'Equity Price Data'!BE385</f>
        <v>37219.5</v>
      </c>
      <c r="AZ384" s="30">
        <f>'Equity Volume Data'!BC384*'Equity Price Data'!BF385</f>
        <v>9016.5</v>
      </c>
      <c r="BA384" s="30">
        <f>'Equity Volume Data'!BD384*'Equity Price Data'!BG385</f>
        <v>4727.2</v>
      </c>
      <c r="BB384" s="30">
        <f>'Equity Volume Data'!BE384*'Equity Price Data'!BH385</f>
        <v>13901.6</v>
      </c>
      <c r="BC384" s="30">
        <f>'Equity Volume Data'!BF384*'Equity Price Data'!BI385</f>
        <v>23133.84</v>
      </c>
      <c r="BD384" s="30">
        <f>'Equity Volume Data'!BG384*'Equity Price Data'!BJ385</f>
        <v>45000.51</v>
      </c>
      <c r="BE384" s="30">
        <f>'Equity Volume Data'!BH384*'Equity Price Data'!BK385</f>
        <v>13197.17</v>
      </c>
      <c r="BF384" s="30">
        <f>'Equity Volume Data'!BI384*'Equity Price Data'!BL385</f>
        <v>7871.2</v>
      </c>
      <c r="BG384" s="30">
        <f>'Equity Volume Data'!BJ384*'Equity Price Data'!BM385</f>
        <v>37104.66</v>
      </c>
      <c r="BH384" s="30">
        <f>'Equity Volume Data'!BK384*'Equity Price Data'!BN385</f>
        <v>0</v>
      </c>
      <c r="BI384" s="30">
        <f>'Equity Volume Data'!BL384*'Equity Price Data'!BO385</f>
        <v>35387.2</v>
      </c>
      <c r="BJ384" s="30">
        <f>'Equity Volume Data'!BM384*'Equity Price Data'!BP385</f>
        <v>23181.75</v>
      </c>
      <c r="BK384" s="30">
        <f>'Equity Volume Data'!BN384*'Equity Price Data'!BQ385</f>
        <v>90172.08</v>
      </c>
      <c r="BL384" s="30">
        <f>'Equity Volume Data'!BO384*'Equity Price Data'!BR385</f>
        <v>491.62</v>
      </c>
      <c r="BM384" s="30">
        <f>'Equity Volume Data'!BP384*'Equity Price Data'!BS385</f>
        <v>10351.68</v>
      </c>
      <c r="BN384" s="30">
        <f>'Equity Volume Data'!BQ384*'Equity Price Data'!BT385</f>
        <v>19677.96</v>
      </c>
      <c r="BO384" s="30">
        <f>'Equity Volume Data'!BR384*'Equity Price Data'!BU385</f>
        <v>68782</v>
      </c>
    </row>
    <row r="385">
      <c r="A385" s="25">
        <f>'Equity Price Data'!A386</f>
        <v>45981.66667</v>
      </c>
      <c r="B385" s="29">
        <f t="shared" si="1"/>
        <v>1512420.47</v>
      </c>
      <c r="C385" s="30">
        <f>'Equity Volume Data'!F385*'Equity Price Data'!I386</f>
        <v>4061.2</v>
      </c>
      <c r="D385" s="30">
        <f>'Equity Volume Data'!G385*'Equity Price Data'!J386</f>
        <v>56456.4</v>
      </c>
      <c r="E385" s="30">
        <f>'Equity Volume Data'!H385*'Equity Price Data'!K386</f>
        <v>14094.3</v>
      </c>
      <c r="F385" s="30">
        <f>'Equity Volume Data'!I385*'Equity Price Data'!L386</f>
        <v>68160</v>
      </c>
      <c r="G385" s="30">
        <f>'Equity Volume Data'!J385*'Equity Price Data'!M386</f>
        <v>18279.09</v>
      </c>
      <c r="H385" s="30">
        <f>'Equity Volume Data'!K385*'Equity Price Data'!N386</f>
        <v>20014.48</v>
      </c>
      <c r="I385" s="30">
        <f>'Equity Volume Data'!L385*'Equity Price Data'!O386</f>
        <v>20530</v>
      </c>
      <c r="J385" s="30">
        <f>'Equity Volume Data'!M385*'Equity Price Data'!P386</f>
        <v>51114.24</v>
      </c>
      <c r="K385" s="30">
        <f>'Equity Volume Data'!N385*'Equity Price Data'!Q386</f>
        <v>10516</v>
      </c>
      <c r="L385" s="30">
        <f>'Equity Volume Data'!O385*'Equity Price Data'!R386</f>
        <v>20349.78</v>
      </c>
      <c r="M385" s="30">
        <f>'Equity Volume Data'!P385*'Equity Price Data'!S386</f>
        <v>14103.6</v>
      </c>
      <c r="N385" s="30">
        <f>'Equity Volume Data'!Q385*'Equity Price Data'!T386</f>
        <v>4028.8</v>
      </c>
      <c r="O385" s="30">
        <f>'Equity Volume Data'!R385*'Equity Price Data'!U386</f>
        <v>81919.5</v>
      </c>
      <c r="P385" s="30">
        <f>'Equity Volume Data'!S385*'Equity Price Data'!V386</f>
        <v>34185.66</v>
      </c>
      <c r="Q385" s="30">
        <f>'Equity Volume Data'!T385*'Equity Price Data'!W386</f>
        <v>22071.6</v>
      </c>
      <c r="R385" s="30">
        <f>'Equity Volume Data'!U385*'Equity Price Data'!X386</f>
        <v>12024.8</v>
      </c>
      <c r="S385" s="30">
        <f>'Equity Volume Data'!V385*'Equity Price Data'!Y386</f>
        <v>23724.8</v>
      </c>
      <c r="T385" s="30">
        <f>'Equity Volume Data'!W385*'Equity Price Data'!Z386</f>
        <v>12675</v>
      </c>
      <c r="U385" s="30">
        <f>'Equity Volume Data'!X385*'Equity Price Data'!AA386</f>
        <v>18799.44</v>
      </c>
      <c r="V385" s="30">
        <f>'Equity Volume Data'!Y385*'Equity Price Data'!AB386</f>
        <v>16252.95</v>
      </c>
      <c r="W385" s="30">
        <f>'Equity Volume Data'!Z385*'Equity Price Data'!AC386</f>
        <v>10873.71</v>
      </c>
      <c r="X385" s="30">
        <f>'Equity Volume Data'!AA385*'Equity Price Data'!AD386</f>
        <v>0</v>
      </c>
      <c r="Y385" s="30">
        <f>'Equity Volume Data'!AB385*'Equity Price Data'!AE386</f>
        <v>5163.73</v>
      </c>
      <c r="Z385" s="30">
        <f>'Equity Volume Data'!AC385*'Equity Price Data'!AF386</f>
        <v>12007.5</v>
      </c>
      <c r="AA385" s="30">
        <f>'Equity Volume Data'!AD385*'Equity Price Data'!AG386</f>
        <v>19893.4</v>
      </c>
      <c r="AB385" s="30">
        <f>'Equity Volume Data'!AE385*'Equity Price Data'!AH386</f>
        <v>15786</v>
      </c>
      <c r="AC385" s="30">
        <f>'Equity Volume Data'!AF385*'Equity Price Data'!AI386</f>
        <v>15326</v>
      </c>
      <c r="AD385" s="30">
        <f>'Equity Volume Data'!AG385*'Equity Price Data'!AJ386</f>
        <v>15274.8</v>
      </c>
      <c r="AE385" s="30">
        <f>'Equity Volume Data'!AH385*'Equity Price Data'!AK386</f>
        <v>0</v>
      </c>
      <c r="AF385" s="30">
        <f>'Equity Volume Data'!AI385*'Equity Price Data'!AL386</f>
        <v>25622.95</v>
      </c>
      <c r="AG385" s="30">
        <f>'Equity Volume Data'!AJ385*'Equity Price Data'!AM386</f>
        <v>46422</v>
      </c>
      <c r="AH385" s="30">
        <f>'Equity Volume Data'!AK385*'Equity Price Data'!AN386</f>
        <v>33238</v>
      </c>
      <c r="AI385" s="30">
        <f>'Equity Volume Data'!AL385*'Equity Price Data'!AO386</f>
        <v>28518</v>
      </c>
      <c r="AJ385" s="30">
        <f>'Equity Volume Data'!AM385*'Equity Price Data'!AP386</f>
        <v>19715.8</v>
      </c>
      <c r="AK385" s="30">
        <f>'Equity Volume Data'!AN385*'Equity Price Data'!AQ386</f>
        <v>25954.81</v>
      </c>
      <c r="AL385" s="30">
        <f>'Equity Volume Data'!AO385*'Equity Price Data'!AR386</f>
        <v>47740.8</v>
      </c>
      <c r="AM385" s="30">
        <f>'Equity Volume Data'!AP385*'Equity Price Data'!AS386</f>
        <v>32778.2</v>
      </c>
      <c r="AN385" s="30">
        <f>'Equity Volume Data'!AQ385*'Equity Price Data'!AT386</f>
        <v>0</v>
      </c>
      <c r="AO385" s="30">
        <f>'Equity Volume Data'!AR385*'Equity Price Data'!AU386</f>
        <v>28916.44</v>
      </c>
      <c r="AP385" s="30">
        <f>'Equity Volume Data'!AS385*'Equity Price Data'!AV386</f>
        <v>24837.5</v>
      </c>
      <c r="AQ385" s="30">
        <f>'Equity Volume Data'!AT385*'Equity Price Data'!AW386</f>
        <v>16262.4</v>
      </c>
      <c r="AR385" s="30">
        <f>'Equity Volume Data'!AU385*'Equity Price Data'!AX386</f>
        <v>12639.64</v>
      </c>
      <c r="AS385" s="30">
        <f>'Equity Volume Data'!AV385*'Equity Price Data'!AY386</f>
        <v>57411.6</v>
      </c>
      <c r="AT385" s="30">
        <f>'Equity Volume Data'!AW385*'Equity Price Data'!AZ386</f>
        <v>32371.2</v>
      </c>
      <c r="AU385" s="30">
        <f>'Equity Volume Data'!AX385*'Equity Price Data'!BA386</f>
        <v>0</v>
      </c>
      <c r="AV385" s="30">
        <f>'Equity Volume Data'!AY385*'Equity Price Data'!BB386</f>
        <v>25650.88</v>
      </c>
      <c r="AW385" s="30">
        <f>'Equity Volume Data'!AZ385*'Equity Price Data'!BC386</f>
        <v>3474.4</v>
      </c>
      <c r="AX385" s="30">
        <f>'Equity Volume Data'!BA385*'Equity Price Data'!BD386</f>
        <v>0</v>
      </c>
      <c r="AY385" s="30">
        <f>'Equity Volume Data'!BB385*'Equity Price Data'!BE386</f>
        <v>35043.75</v>
      </c>
      <c r="AZ385" s="30">
        <f>'Equity Volume Data'!BC385*'Equity Price Data'!BF386</f>
        <v>8716.5</v>
      </c>
      <c r="BA385" s="30">
        <f>'Equity Volume Data'!BD385*'Equity Price Data'!BG386</f>
        <v>4636</v>
      </c>
      <c r="BB385" s="30">
        <f>'Equity Volume Data'!BE385*'Equity Price Data'!BH386</f>
        <v>13818.4</v>
      </c>
      <c r="BC385" s="30">
        <f>'Equity Volume Data'!BF385*'Equity Price Data'!BI386</f>
        <v>22920.64</v>
      </c>
      <c r="BD385" s="30">
        <f>'Equity Volume Data'!BG385*'Equity Price Data'!BJ386</f>
        <v>44838.63</v>
      </c>
      <c r="BE385" s="30">
        <f>'Equity Volume Data'!BH385*'Equity Price Data'!BK386</f>
        <v>13173.02</v>
      </c>
      <c r="BF385" s="30">
        <f>'Equity Volume Data'!BI385*'Equity Price Data'!BL386</f>
        <v>7650</v>
      </c>
      <c r="BG385" s="30">
        <f>'Equity Volume Data'!BJ385*'Equity Price Data'!BM386</f>
        <v>34421.96</v>
      </c>
      <c r="BH385" s="30">
        <f>'Equity Volume Data'!BK385*'Equity Price Data'!BN386</f>
        <v>0</v>
      </c>
      <c r="BI385" s="30">
        <f>'Equity Volume Data'!BL385*'Equity Price Data'!BO386</f>
        <v>35393.6</v>
      </c>
      <c r="BJ385" s="30">
        <f>'Equity Volume Data'!BM385*'Equity Price Data'!BP386</f>
        <v>23365.5</v>
      </c>
      <c r="BK385" s="30">
        <f>'Equity Volume Data'!BN385*'Equity Price Data'!BQ386</f>
        <v>90226.14</v>
      </c>
      <c r="BL385" s="30">
        <f>'Equity Volume Data'!BO385*'Equity Price Data'!BR386</f>
        <v>478.93</v>
      </c>
      <c r="BM385" s="30">
        <f>'Equity Volume Data'!BP385*'Equity Price Data'!BS386</f>
        <v>10406.4</v>
      </c>
      <c r="BN385" s="30">
        <f>'Equity Volume Data'!BQ385*'Equity Price Data'!BT386</f>
        <v>19307.6</v>
      </c>
      <c r="BO385" s="30">
        <f>'Equity Volume Data'!BR385*'Equity Price Data'!BU386</f>
        <v>68782</v>
      </c>
    </row>
    <row r="386">
      <c r="A386" s="25">
        <f>'Equity Price Data'!A387</f>
        <v>45982.66667</v>
      </c>
      <c r="B386" s="29">
        <f t="shared" si="1"/>
        <v>1525731.83</v>
      </c>
      <c r="C386" s="30">
        <f>'Equity Volume Data'!F386*'Equity Price Data'!I387</f>
        <v>4214.47</v>
      </c>
      <c r="D386" s="30">
        <f>'Equity Volume Data'!G386*'Equity Price Data'!J387</f>
        <v>57379.4</v>
      </c>
      <c r="E386" s="30">
        <f>'Equity Volume Data'!H386*'Equity Price Data'!K387</f>
        <v>14601.4</v>
      </c>
      <c r="F386" s="30">
        <f>'Equity Volume Data'!I386*'Equity Price Data'!L387</f>
        <v>69501.44</v>
      </c>
      <c r="G386" s="30">
        <f>'Equity Volume Data'!J386*'Equity Price Data'!M387</f>
        <v>18592.83</v>
      </c>
      <c r="H386" s="30">
        <f>'Equity Volume Data'!K386*'Equity Price Data'!N387</f>
        <v>20008.84</v>
      </c>
      <c r="I386" s="30">
        <f>'Equity Volume Data'!L386*'Equity Price Data'!O387</f>
        <v>20840</v>
      </c>
      <c r="J386" s="30">
        <f>'Equity Volume Data'!M386*'Equity Price Data'!P387</f>
        <v>51412.08</v>
      </c>
      <c r="K386" s="30">
        <f>'Equity Volume Data'!N386*'Equity Price Data'!Q387</f>
        <v>10616</v>
      </c>
      <c r="L386" s="30">
        <f>'Equity Volume Data'!O386*'Equity Price Data'!R387</f>
        <v>21211.3</v>
      </c>
      <c r="M386" s="30">
        <f>'Equity Volume Data'!P386*'Equity Price Data'!S387</f>
        <v>14144.48</v>
      </c>
      <c r="N386" s="30">
        <f>'Equity Volume Data'!Q386*'Equity Price Data'!T387</f>
        <v>4192.8</v>
      </c>
      <c r="O386" s="30">
        <f>'Equity Volume Data'!R386*'Equity Price Data'!U387</f>
        <v>82564.5</v>
      </c>
      <c r="P386" s="30">
        <f>'Equity Volume Data'!S386*'Equity Price Data'!V387</f>
        <v>33126.48</v>
      </c>
      <c r="Q386" s="30">
        <f>'Equity Volume Data'!T386*'Equity Price Data'!W387</f>
        <v>22449.6</v>
      </c>
      <c r="R386" s="30">
        <f>'Equity Volume Data'!U386*'Equity Price Data'!X387</f>
        <v>11998.4</v>
      </c>
      <c r="S386" s="30">
        <f>'Equity Volume Data'!V386*'Equity Price Data'!Y387</f>
        <v>24471.92</v>
      </c>
      <c r="T386" s="30">
        <f>'Equity Volume Data'!W386*'Equity Price Data'!Z387</f>
        <v>13075</v>
      </c>
      <c r="U386" s="30">
        <f>'Equity Volume Data'!X386*'Equity Price Data'!AA387</f>
        <v>19258.8</v>
      </c>
      <c r="V386" s="30">
        <f>'Equity Volume Data'!Y386*'Equity Price Data'!AB387</f>
        <v>16125.76</v>
      </c>
      <c r="W386" s="30">
        <f>'Equity Volume Data'!Z386*'Equity Price Data'!AC387</f>
        <v>10845.42</v>
      </c>
      <c r="X386" s="30">
        <f>'Equity Volume Data'!AA386*'Equity Price Data'!AD387</f>
        <v>0</v>
      </c>
      <c r="Y386" s="30">
        <f>'Equity Volume Data'!AB386*'Equity Price Data'!AE387</f>
        <v>5296.2</v>
      </c>
      <c r="Z386" s="30">
        <f>'Equity Volume Data'!AC386*'Equity Price Data'!AF387</f>
        <v>12126</v>
      </c>
      <c r="AA386" s="30">
        <f>'Equity Volume Data'!AD386*'Equity Price Data'!AG387</f>
        <v>19903.6</v>
      </c>
      <c r="AB386" s="30">
        <f>'Equity Volume Data'!AE386*'Equity Price Data'!AH387</f>
        <v>16165.8</v>
      </c>
      <c r="AC386" s="30">
        <f>'Equity Volume Data'!AF386*'Equity Price Data'!AI387</f>
        <v>15567.6</v>
      </c>
      <c r="AD386" s="30">
        <f>'Equity Volume Data'!AG386*'Equity Price Data'!AJ387</f>
        <v>15315.3</v>
      </c>
      <c r="AE386" s="30">
        <f>'Equity Volume Data'!AH386*'Equity Price Data'!AK387</f>
        <v>0</v>
      </c>
      <c r="AF386" s="30">
        <f>'Equity Volume Data'!AI386*'Equity Price Data'!AL387</f>
        <v>25961.2</v>
      </c>
      <c r="AG386" s="30">
        <f>'Equity Volume Data'!AJ386*'Equity Price Data'!AM387</f>
        <v>46441.8</v>
      </c>
      <c r="AH386" s="30">
        <f>'Equity Volume Data'!AK386*'Equity Price Data'!AN387</f>
        <v>34332</v>
      </c>
      <c r="AI386" s="30">
        <f>'Equity Volume Data'!AL386*'Equity Price Data'!AO387</f>
        <v>28586.25</v>
      </c>
      <c r="AJ386" s="30">
        <f>'Equity Volume Data'!AM386*'Equity Price Data'!AP387</f>
        <v>20075.9</v>
      </c>
      <c r="AK386" s="30">
        <f>'Equity Volume Data'!AN386*'Equity Price Data'!AQ387</f>
        <v>26395.67</v>
      </c>
      <c r="AL386" s="30">
        <f>'Equity Volume Data'!AO386*'Equity Price Data'!AR387</f>
        <v>47683.2</v>
      </c>
      <c r="AM386" s="30">
        <f>'Equity Volume Data'!AP386*'Equity Price Data'!AS387</f>
        <v>32254.6</v>
      </c>
      <c r="AN386" s="30">
        <f>'Equity Volume Data'!AQ386*'Equity Price Data'!AT387</f>
        <v>0</v>
      </c>
      <c r="AO386" s="30">
        <f>'Equity Volume Data'!AR386*'Equity Price Data'!AU387</f>
        <v>29497.16</v>
      </c>
      <c r="AP386" s="30">
        <f>'Equity Volume Data'!AS386*'Equity Price Data'!AV387</f>
        <v>25300</v>
      </c>
      <c r="AQ386" s="30">
        <f>'Equity Volume Data'!AT386*'Equity Price Data'!AW387</f>
        <v>16515.4</v>
      </c>
      <c r="AR386" s="30">
        <f>'Equity Volume Data'!AU386*'Equity Price Data'!AX387</f>
        <v>12325.21</v>
      </c>
      <c r="AS386" s="30">
        <f>'Equity Volume Data'!AV386*'Equity Price Data'!AY387</f>
        <v>56654.4</v>
      </c>
      <c r="AT386" s="30">
        <f>'Equity Volume Data'!AW386*'Equity Price Data'!AZ387</f>
        <v>32056.32</v>
      </c>
      <c r="AU386" s="30">
        <f>'Equity Volume Data'!AX386*'Equity Price Data'!BA387</f>
        <v>0</v>
      </c>
      <c r="AV386" s="30">
        <f>'Equity Volume Data'!AY386*'Equity Price Data'!BB387</f>
        <v>25400.96</v>
      </c>
      <c r="AW386" s="30">
        <f>'Equity Volume Data'!AZ386*'Equity Price Data'!BC387</f>
        <v>3522.4</v>
      </c>
      <c r="AX386" s="30">
        <f>'Equity Volume Data'!BA386*'Equity Price Data'!BD387</f>
        <v>0</v>
      </c>
      <c r="AY386" s="30">
        <f>'Equity Volume Data'!BB386*'Equity Price Data'!BE387</f>
        <v>34841.25</v>
      </c>
      <c r="AZ386" s="30">
        <f>'Equity Volume Data'!BC386*'Equity Price Data'!BF387</f>
        <v>9085.5</v>
      </c>
      <c r="BA386" s="30">
        <f>'Equity Volume Data'!BD386*'Equity Price Data'!BG387</f>
        <v>4757.6</v>
      </c>
      <c r="BB386" s="30">
        <f>'Equity Volume Data'!BE386*'Equity Price Data'!BH387</f>
        <v>13574.4</v>
      </c>
      <c r="BC386" s="30">
        <f>'Equity Volume Data'!BF386*'Equity Price Data'!BI387</f>
        <v>23245.36</v>
      </c>
      <c r="BD386" s="30">
        <f>'Equity Volume Data'!BG386*'Equity Price Data'!BJ387</f>
        <v>44619.24</v>
      </c>
      <c r="BE386" s="30">
        <f>'Equity Volume Data'!BH386*'Equity Price Data'!BK387</f>
        <v>13512.04</v>
      </c>
      <c r="BF386" s="30">
        <f>'Equity Volume Data'!BI386*'Equity Price Data'!BL387</f>
        <v>7904.8</v>
      </c>
      <c r="BG386" s="30">
        <f>'Equity Volume Data'!BJ386*'Equity Price Data'!BM387</f>
        <v>36398.54</v>
      </c>
      <c r="BH386" s="30">
        <f>'Equity Volume Data'!BK386*'Equity Price Data'!BN387</f>
        <v>0</v>
      </c>
      <c r="BI386" s="30">
        <f>'Equity Volume Data'!BL386*'Equity Price Data'!BO387</f>
        <v>36195.2</v>
      </c>
      <c r="BJ386" s="30">
        <f>'Equity Volume Data'!BM386*'Equity Price Data'!BP387</f>
        <v>23997.75</v>
      </c>
      <c r="BK386" s="30">
        <f>'Equity Volume Data'!BN386*'Equity Price Data'!BQ387</f>
        <v>90316.24</v>
      </c>
      <c r="BL386" s="30">
        <f>'Equity Volume Data'!BO386*'Equity Price Data'!BR387</f>
        <v>491.62</v>
      </c>
      <c r="BM386" s="30">
        <f>'Equity Volume Data'!BP386*'Equity Price Data'!BS387</f>
        <v>10397.76</v>
      </c>
      <c r="BN386" s="30">
        <f>'Equity Volume Data'!BQ386*'Equity Price Data'!BT387</f>
        <v>19604.64</v>
      </c>
      <c r="BO386" s="30">
        <f>'Equity Volume Data'!BR386*'Equity Price Data'!BU387</f>
        <v>68782</v>
      </c>
    </row>
    <row r="387">
      <c r="A387" s="25">
        <f>'Equity Price Data'!A388</f>
        <v>45985.66667</v>
      </c>
      <c r="B387" s="29">
        <f t="shared" si="1"/>
        <v>1536822.37</v>
      </c>
      <c r="C387" s="30">
        <f>'Equity Volume Data'!F387*'Equity Price Data'!I388</f>
        <v>4143.49</v>
      </c>
      <c r="D387" s="30">
        <f>'Equity Volume Data'!G387*'Equity Price Data'!J388</f>
        <v>58832.8</v>
      </c>
      <c r="E387" s="30">
        <f>'Equity Volume Data'!H387*'Equity Price Data'!K388</f>
        <v>14466.1</v>
      </c>
      <c r="F387" s="30">
        <f>'Equity Volume Data'!I387*'Equity Price Data'!L388</f>
        <v>70635.52</v>
      </c>
      <c r="G387" s="30">
        <f>'Equity Volume Data'!J387*'Equity Price Data'!M388</f>
        <v>19165.53</v>
      </c>
      <c r="H387" s="30">
        <f>'Equity Volume Data'!K387*'Equity Price Data'!N388</f>
        <v>20317.16</v>
      </c>
      <c r="I387" s="30">
        <f>'Equity Volume Data'!L387*'Equity Price Data'!O388</f>
        <v>21120</v>
      </c>
      <c r="J387" s="30">
        <f>'Equity Volume Data'!M387*'Equity Price Data'!P388</f>
        <v>51796.62</v>
      </c>
      <c r="K387" s="30">
        <f>'Equity Volume Data'!N387*'Equity Price Data'!Q388</f>
        <v>10586</v>
      </c>
      <c r="L387" s="30">
        <f>'Equity Volume Data'!O387*'Equity Price Data'!R388</f>
        <v>21395.22</v>
      </c>
      <c r="M387" s="30">
        <f>'Equity Volume Data'!P387*'Equity Price Data'!S388</f>
        <v>14313.84</v>
      </c>
      <c r="N387" s="30">
        <f>'Equity Volume Data'!Q387*'Equity Price Data'!T388</f>
        <v>4140</v>
      </c>
      <c r="O387" s="30">
        <f>'Equity Volume Data'!R387*'Equity Price Data'!U388</f>
        <v>83940</v>
      </c>
      <c r="P387" s="30">
        <f>'Equity Volume Data'!S387*'Equity Price Data'!V388</f>
        <v>34752.78</v>
      </c>
      <c r="Q387" s="30">
        <f>'Equity Volume Data'!T387*'Equity Price Data'!W388</f>
        <v>22026</v>
      </c>
      <c r="R387" s="30">
        <f>'Equity Volume Data'!U387*'Equity Price Data'!X388</f>
        <v>11980</v>
      </c>
      <c r="S387" s="30">
        <f>'Equity Volume Data'!V387*'Equity Price Data'!Y388</f>
        <v>23889.36</v>
      </c>
      <c r="T387" s="30">
        <f>'Equity Volume Data'!W387*'Equity Price Data'!Z388</f>
        <v>13197.5</v>
      </c>
      <c r="U387" s="30">
        <f>'Equity Volume Data'!X387*'Equity Price Data'!AA388</f>
        <v>19163.76</v>
      </c>
      <c r="V387" s="30">
        <f>'Equity Volume Data'!Y387*'Equity Price Data'!AB388</f>
        <v>15926.12</v>
      </c>
      <c r="W387" s="30">
        <f>'Equity Volume Data'!Z387*'Equity Price Data'!AC388</f>
        <v>10971.69</v>
      </c>
      <c r="X387" s="30">
        <f>'Equity Volume Data'!AA387*'Equity Price Data'!AD388</f>
        <v>0</v>
      </c>
      <c r="Y387" s="30">
        <f>'Equity Volume Data'!AB387*'Equity Price Data'!AE388</f>
        <v>5234.71</v>
      </c>
      <c r="Z387" s="30">
        <f>'Equity Volume Data'!AC387*'Equity Price Data'!AF388</f>
        <v>12133.5</v>
      </c>
      <c r="AA387" s="30">
        <f>'Equity Volume Data'!AD387*'Equity Price Data'!AG388</f>
        <v>19714.9</v>
      </c>
      <c r="AB387" s="30">
        <f>'Equity Volume Data'!AE387*'Equity Price Data'!AH388</f>
        <v>16018.8</v>
      </c>
      <c r="AC387" s="30">
        <f>'Equity Volume Data'!AF387*'Equity Price Data'!AI388</f>
        <v>15263.2</v>
      </c>
      <c r="AD387" s="30">
        <f>'Equity Volume Data'!AG387*'Equity Price Data'!AJ388</f>
        <v>15215.85</v>
      </c>
      <c r="AE387" s="30">
        <f>'Equity Volume Data'!AH387*'Equity Price Data'!AK388</f>
        <v>0</v>
      </c>
      <c r="AF387" s="30">
        <f>'Equity Volume Data'!AI387*'Equity Price Data'!AL388</f>
        <v>25680.35</v>
      </c>
      <c r="AG387" s="30">
        <f>'Equity Volume Data'!AJ387*'Equity Price Data'!AM388</f>
        <v>47442.6</v>
      </c>
      <c r="AH387" s="30">
        <f>'Equity Volume Data'!AK387*'Equity Price Data'!AN388</f>
        <v>33658</v>
      </c>
      <c r="AI387" s="30">
        <f>'Equity Volume Data'!AL387*'Equity Price Data'!AO388</f>
        <v>28197.75</v>
      </c>
      <c r="AJ387" s="30">
        <f>'Equity Volume Data'!AM387*'Equity Price Data'!AP388</f>
        <v>19877</v>
      </c>
      <c r="AK387" s="30">
        <f>'Equity Volume Data'!AN387*'Equity Price Data'!AQ388</f>
        <v>26718.56</v>
      </c>
      <c r="AL387" s="30">
        <f>'Equity Volume Data'!AO387*'Equity Price Data'!AR388</f>
        <v>47680</v>
      </c>
      <c r="AM387" s="30">
        <f>'Equity Volume Data'!AP387*'Equity Price Data'!AS388</f>
        <v>31574.2</v>
      </c>
      <c r="AN387" s="30">
        <f>'Equity Volume Data'!AQ387*'Equity Price Data'!AT388</f>
        <v>0</v>
      </c>
      <c r="AO387" s="30">
        <f>'Equity Volume Data'!AR387*'Equity Price Data'!AU388</f>
        <v>29778.98</v>
      </c>
      <c r="AP387" s="30">
        <f>'Equity Volume Data'!AS387*'Equity Price Data'!AV388</f>
        <v>25800</v>
      </c>
      <c r="AQ387" s="30">
        <f>'Equity Volume Data'!AT387*'Equity Price Data'!AW388</f>
        <v>16541.8</v>
      </c>
      <c r="AR387" s="30">
        <f>'Equity Volume Data'!AU387*'Equity Price Data'!AX388</f>
        <v>13165.92</v>
      </c>
      <c r="AS387" s="30">
        <f>'Equity Volume Data'!AV387*'Equity Price Data'!AY388</f>
        <v>56880</v>
      </c>
      <c r="AT387" s="30">
        <f>'Equity Volume Data'!AW387*'Equity Price Data'!AZ388</f>
        <v>32344.32</v>
      </c>
      <c r="AU387" s="30">
        <f>'Equity Volume Data'!AX387*'Equity Price Data'!BA388</f>
        <v>0</v>
      </c>
      <c r="AV387" s="30">
        <f>'Equity Volume Data'!AY387*'Equity Price Data'!BB388</f>
        <v>25922.1</v>
      </c>
      <c r="AW387" s="30">
        <f>'Equity Volume Data'!AZ387*'Equity Price Data'!BC388</f>
        <v>3478.4</v>
      </c>
      <c r="AX387" s="30">
        <f>'Equity Volume Data'!BA387*'Equity Price Data'!BD388</f>
        <v>0</v>
      </c>
      <c r="AY387" s="30">
        <f>'Equity Volume Data'!BB387*'Equity Price Data'!BE388</f>
        <v>36506.25</v>
      </c>
      <c r="AZ387" s="30">
        <f>'Equity Volume Data'!BC387*'Equity Price Data'!BF388</f>
        <v>9084</v>
      </c>
      <c r="BA387" s="30">
        <f>'Equity Volume Data'!BD387*'Equity Price Data'!BG388</f>
        <v>4791.8</v>
      </c>
      <c r="BB387" s="30">
        <f>'Equity Volume Data'!BE387*'Equity Price Data'!BH388</f>
        <v>13856.8</v>
      </c>
      <c r="BC387" s="30">
        <f>'Equity Volume Data'!BF387*'Equity Price Data'!BI388</f>
        <v>24160.48</v>
      </c>
      <c r="BD387" s="30">
        <f>'Equity Volume Data'!BG387*'Equity Price Data'!BJ388</f>
        <v>44163.42</v>
      </c>
      <c r="BE387" s="30">
        <f>'Equity Volume Data'!BH387*'Equity Price Data'!BK388</f>
        <v>13479.61</v>
      </c>
      <c r="BF387" s="30">
        <f>'Equity Volume Data'!BI387*'Equity Price Data'!BL388</f>
        <v>7962.4</v>
      </c>
      <c r="BG387" s="30">
        <f>'Equity Volume Data'!BJ387*'Equity Price Data'!BM388</f>
        <v>38978.38</v>
      </c>
      <c r="BH387" s="30">
        <f>'Equity Volume Data'!BK387*'Equity Price Data'!BN388</f>
        <v>0</v>
      </c>
      <c r="BI387" s="30">
        <f>'Equity Volume Data'!BL387*'Equity Price Data'!BO388</f>
        <v>35920</v>
      </c>
      <c r="BJ387" s="30">
        <f>'Equity Volume Data'!BM387*'Equity Price Data'!BP388</f>
        <v>23928.75</v>
      </c>
      <c r="BK387" s="30">
        <f>'Equity Volume Data'!BN387*'Equity Price Data'!BQ388</f>
        <v>90298.22</v>
      </c>
      <c r="BL387" s="30">
        <f>'Equity Volume Data'!BO387*'Equity Price Data'!BR388</f>
        <v>496.79</v>
      </c>
      <c r="BM387" s="30">
        <f>'Equity Volume Data'!BP387*'Equity Price Data'!BS388</f>
        <v>10168.32</v>
      </c>
      <c r="BN387" s="30">
        <f>'Equity Volume Data'!BQ387*'Equity Price Data'!BT388</f>
        <v>19164.72</v>
      </c>
      <c r="BO387" s="30">
        <f>'Equity Volume Data'!BR387*'Equity Price Data'!BU388</f>
        <v>68782</v>
      </c>
    </row>
    <row r="388">
      <c r="A388" s="25">
        <f>'Equity Price Data'!A389</f>
        <v>45986.66667</v>
      </c>
      <c r="B388" s="29">
        <f t="shared" si="1"/>
        <v>1556484.04</v>
      </c>
      <c r="C388" s="30">
        <f>'Equity Volume Data'!F388*'Equity Price Data'!I389</f>
        <v>4154.15</v>
      </c>
      <c r="D388" s="30">
        <f>'Equity Volume Data'!G388*'Equity Price Data'!J389</f>
        <v>59714.2</v>
      </c>
      <c r="E388" s="30">
        <f>'Equity Volume Data'!H388*'Equity Price Data'!K389</f>
        <v>14342.9</v>
      </c>
      <c r="F388" s="30">
        <f>'Equity Volume Data'!I388*'Equity Price Data'!L389</f>
        <v>70904.32</v>
      </c>
      <c r="G388" s="30">
        <f>'Equity Volume Data'!J388*'Equity Price Data'!M389</f>
        <v>20124.18</v>
      </c>
      <c r="H388" s="30">
        <f>'Equity Volume Data'!K388*'Equity Price Data'!N389</f>
        <v>20516.44</v>
      </c>
      <c r="I388" s="30">
        <f>'Equity Volume Data'!L388*'Equity Price Data'!O389</f>
        <v>21690</v>
      </c>
      <c r="J388" s="30">
        <f>'Equity Volume Data'!M388*'Equity Price Data'!P389</f>
        <v>51874.14</v>
      </c>
      <c r="K388" s="30">
        <f>'Equity Volume Data'!N388*'Equity Price Data'!Q389</f>
        <v>10736</v>
      </c>
      <c r="L388" s="30">
        <f>'Equity Volume Data'!O388*'Equity Price Data'!R389</f>
        <v>22017.16</v>
      </c>
      <c r="M388" s="30">
        <f>'Equity Volume Data'!P388*'Equity Price Data'!S389</f>
        <v>14798.56</v>
      </c>
      <c r="N388" s="30">
        <f>'Equity Volume Data'!Q388*'Equity Price Data'!T389</f>
        <v>4316</v>
      </c>
      <c r="O388" s="30">
        <f>'Equity Volume Data'!R388*'Equity Price Data'!U389</f>
        <v>84991.5</v>
      </c>
      <c r="P388" s="30">
        <f>'Equity Volume Data'!S388*'Equity Price Data'!V389</f>
        <v>36424.95</v>
      </c>
      <c r="Q388" s="30">
        <f>'Equity Volume Data'!T388*'Equity Price Data'!W389</f>
        <v>22308</v>
      </c>
      <c r="R388" s="30">
        <f>'Equity Volume Data'!U388*'Equity Price Data'!X389</f>
        <v>11882.4</v>
      </c>
      <c r="S388" s="30">
        <f>'Equity Volume Data'!V388*'Equity Price Data'!Y389</f>
        <v>24481.6</v>
      </c>
      <c r="T388" s="30">
        <f>'Equity Volume Data'!W388*'Equity Price Data'!Z389</f>
        <v>13547.5</v>
      </c>
      <c r="U388" s="30">
        <f>'Equity Volume Data'!X388*'Equity Price Data'!AA389</f>
        <v>19169.04</v>
      </c>
      <c r="V388" s="30">
        <f>'Equity Volume Data'!Y388*'Equity Price Data'!AB389</f>
        <v>15914.85</v>
      </c>
      <c r="W388" s="30">
        <f>'Equity Volume Data'!Z388*'Equity Price Data'!AC389</f>
        <v>10858.53</v>
      </c>
      <c r="X388" s="30">
        <f>'Equity Volume Data'!AA388*'Equity Price Data'!AD389</f>
        <v>0</v>
      </c>
      <c r="Y388" s="30">
        <f>'Equity Volume Data'!AB388*'Equity Price Data'!AE389</f>
        <v>5429.06</v>
      </c>
      <c r="Z388" s="30">
        <f>'Equity Volume Data'!AC388*'Equity Price Data'!AF389</f>
        <v>12418.5</v>
      </c>
      <c r="AA388" s="30">
        <f>'Equity Volume Data'!AD388*'Equity Price Data'!AG389</f>
        <v>19466.7</v>
      </c>
      <c r="AB388" s="30">
        <f>'Equity Volume Data'!AE388*'Equity Price Data'!AH389</f>
        <v>16432.2</v>
      </c>
      <c r="AC388" s="30">
        <f>'Equity Volume Data'!AF388*'Equity Price Data'!AI389</f>
        <v>15405.6</v>
      </c>
      <c r="AD388" s="30">
        <f>'Equity Volume Data'!AG388*'Equity Price Data'!AJ389</f>
        <v>15348.15</v>
      </c>
      <c r="AE388" s="30">
        <f>'Equity Volume Data'!AH388*'Equity Price Data'!AK389</f>
        <v>0</v>
      </c>
      <c r="AF388" s="30">
        <f>'Equity Volume Data'!AI388*'Equity Price Data'!AL389</f>
        <v>26059.6</v>
      </c>
      <c r="AG388" s="30">
        <f>'Equity Volume Data'!AJ388*'Equity Price Data'!AM389</f>
        <v>48139.2</v>
      </c>
      <c r="AH388" s="30">
        <f>'Equity Volume Data'!AK388*'Equity Price Data'!AN389</f>
        <v>35107</v>
      </c>
      <c r="AI388" s="30">
        <f>'Equity Volume Data'!AL388*'Equity Price Data'!AO389</f>
        <v>28871.5</v>
      </c>
      <c r="AJ388" s="30">
        <f>'Equity Volume Data'!AM388*'Equity Price Data'!AP389</f>
        <v>20274.8</v>
      </c>
      <c r="AK388" s="30">
        <f>'Equity Volume Data'!AN388*'Equity Price Data'!AQ389</f>
        <v>27206.89</v>
      </c>
      <c r="AL388" s="30">
        <f>'Equity Volume Data'!AO388*'Equity Price Data'!AR389</f>
        <v>48480</v>
      </c>
      <c r="AM388" s="30">
        <f>'Equity Volume Data'!AP388*'Equity Price Data'!AS389</f>
        <v>31668.7</v>
      </c>
      <c r="AN388" s="30">
        <f>'Equity Volume Data'!AQ388*'Equity Price Data'!AT389</f>
        <v>0</v>
      </c>
      <c r="AO388" s="30">
        <f>'Equity Volume Data'!AR388*'Equity Price Data'!AU389</f>
        <v>30154.74</v>
      </c>
      <c r="AP388" s="30">
        <f>'Equity Volume Data'!AS388*'Equity Price Data'!AV389</f>
        <v>26337.5</v>
      </c>
      <c r="AQ388" s="30">
        <f>'Equity Volume Data'!AT388*'Equity Price Data'!AW389</f>
        <v>16662.8</v>
      </c>
      <c r="AR388" s="30">
        <f>'Equity Volume Data'!AU388*'Equity Price Data'!AX389</f>
        <v>12980.83</v>
      </c>
      <c r="AS388" s="30">
        <f>'Equity Volume Data'!AV388*'Equity Price Data'!AY389</f>
        <v>57238.8</v>
      </c>
      <c r="AT388" s="30">
        <f>'Equity Volume Data'!AW388*'Equity Price Data'!AZ389</f>
        <v>32574.72</v>
      </c>
      <c r="AU388" s="30">
        <f>'Equity Volume Data'!AX388*'Equity Price Data'!BA389</f>
        <v>0</v>
      </c>
      <c r="AV388" s="30">
        <f>'Equity Volume Data'!AY388*'Equity Price Data'!BB389</f>
        <v>25250.44</v>
      </c>
      <c r="AW388" s="30">
        <f>'Equity Volume Data'!AZ388*'Equity Price Data'!BC389</f>
        <v>3537.6</v>
      </c>
      <c r="AX388" s="30">
        <f>'Equity Volume Data'!BA388*'Equity Price Data'!BD389</f>
        <v>0</v>
      </c>
      <c r="AY388" s="30">
        <f>'Equity Volume Data'!BB388*'Equity Price Data'!BE389</f>
        <v>36798.75</v>
      </c>
      <c r="AZ388" s="30">
        <f>'Equity Volume Data'!BC388*'Equity Price Data'!BF389</f>
        <v>9183</v>
      </c>
      <c r="BA388" s="30">
        <f>'Equity Volume Data'!BD388*'Equity Price Data'!BG389</f>
        <v>4886.8</v>
      </c>
      <c r="BB388" s="30">
        <f>'Equity Volume Data'!BE388*'Equity Price Data'!BH389</f>
        <v>13772</v>
      </c>
      <c r="BC388" s="30">
        <f>'Equity Volume Data'!BF388*'Equity Price Data'!BI389</f>
        <v>25032.96</v>
      </c>
      <c r="BD388" s="30">
        <f>'Equity Volume Data'!BG388*'Equity Price Data'!BJ389</f>
        <v>44069.7</v>
      </c>
      <c r="BE388" s="30">
        <f>'Equity Volume Data'!BH388*'Equity Price Data'!BK389</f>
        <v>13748.94</v>
      </c>
      <c r="BF388" s="30">
        <f>'Equity Volume Data'!BI388*'Equity Price Data'!BL389</f>
        <v>8010.4</v>
      </c>
      <c r="BG388" s="30">
        <f>'Equity Volume Data'!BJ388*'Equity Price Data'!BM389</f>
        <v>40588</v>
      </c>
      <c r="BH388" s="30">
        <f>'Equity Volume Data'!BK388*'Equity Price Data'!BN389</f>
        <v>0</v>
      </c>
      <c r="BI388" s="30">
        <f>'Equity Volume Data'!BL388*'Equity Price Data'!BO389</f>
        <v>36660.8</v>
      </c>
      <c r="BJ388" s="30">
        <f>'Equity Volume Data'!BM388*'Equity Price Data'!BP389</f>
        <v>24471</v>
      </c>
      <c r="BK388" s="30">
        <f>'Equity Volume Data'!BN388*'Equity Price Data'!BQ389</f>
        <v>90370.3</v>
      </c>
      <c r="BL388" s="30">
        <f>'Equity Volume Data'!BO388*'Equity Price Data'!BR389</f>
        <v>496.32</v>
      </c>
      <c r="BM388" s="30">
        <f>'Equity Volume Data'!BP388*'Equity Price Data'!BS389</f>
        <v>10379.04</v>
      </c>
      <c r="BN388" s="30">
        <f>'Equity Volume Data'!BQ388*'Equity Price Data'!BT389</f>
        <v>19422.28</v>
      </c>
      <c r="BO388" s="30">
        <f>'Equity Volume Data'!BR388*'Equity Price Data'!BU389</f>
        <v>68782</v>
      </c>
    </row>
    <row r="389">
      <c r="A389" s="25">
        <f>'Equity Price Data'!A390</f>
        <v>45987.66667</v>
      </c>
      <c r="B389" s="29">
        <f t="shared" si="1"/>
        <v>1565774.1</v>
      </c>
      <c r="C389" s="30">
        <f>'Equity Volume Data'!F389*'Equity Price Data'!I390</f>
        <v>4127.76</v>
      </c>
      <c r="D389" s="30">
        <f>'Equity Volume Data'!G389*'Equity Price Data'!J390</f>
        <v>59581.6</v>
      </c>
      <c r="E389" s="30">
        <f>'Equity Volume Data'!H389*'Equity Price Data'!K390</f>
        <v>14283.5</v>
      </c>
      <c r="F389" s="30">
        <f>'Equity Volume Data'!I389*'Equity Price Data'!L390</f>
        <v>71052.8</v>
      </c>
      <c r="G389" s="30">
        <f>'Equity Volume Data'!J389*'Equity Price Data'!M390</f>
        <v>20747.51</v>
      </c>
      <c r="H389" s="30">
        <f>'Equity Volume Data'!K389*'Equity Price Data'!N390</f>
        <v>20941.32</v>
      </c>
      <c r="I389" s="30">
        <f>'Equity Volume Data'!L389*'Equity Price Data'!O390</f>
        <v>22380</v>
      </c>
      <c r="J389" s="30">
        <f>'Equity Volume Data'!M389*'Equity Price Data'!P390</f>
        <v>52145.46</v>
      </c>
      <c r="K389" s="30">
        <f>'Equity Volume Data'!N389*'Equity Price Data'!Q390</f>
        <v>10976</v>
      </c>
      <c r="L389" s="30">
        <f>'Equity Volume Data'!O389*'Equity Price Data'!R390</f>
        <v>22014.74</v>
      </c>
      <c r="M389" s="30">
        <f>'Equity Volume Data'!P389*'Equity Price Data'!S390</f>
        <v>14740.16</v>
      </c>
      <c r="N389" s="30">
        <f>'Equity Volume Data'!Q389*'Equity Price Data'!T390</f>
        <v>4348.8</v>
      </c>
      <c r="O389" s="30">
        <f>'Equity Volume Data'!R389*'Equity Price Data'!U390</f>
        <v>86059.5</v>
      </c>
      <c r="P389" s="30">
        <f>'Equity Volume Data'!S389*'Equity Price Data'!V390</f>
        <v>37033.77</v>
      </c>
      <c r="Q389" s="30">
        <f>'Equity Volume Data'!T389*'Equity Price Data'!W390</f>
        <v>22120.8</v>
      </c>
      <c r="R389" s="30">
        <f>'Equity Volume Data'!U389*'Equity Price Data'!X390</f>
        <v>11960.8</v>
      </c>
      <c r="S389" s="30">
        <f>'Equity Volume Data'!V389*'Equity Price Data'!Y390</f>
        <v>24494.8</v>
      </c>
      <c r="T389" s="30">
        <f>'Equity Volume Data'!W389*'Equity Price Data'!Z390</f>
        <v>13495</v>
      </c>
      <c r="U389" s="30">
        <f>'Equity Volume Data'!X389*'Equity Price Data'!AA390</f>
        <v>19240.32</v>
      </c>
      <c r="V389" s="30">
        <f>'Equity Volume Data'!Y389*'Equity Price Data'!AB390</f>
        <v>16122.54</v>
      </c>
      <c r="W389" s="30">
        <f>'Equity Volume Data'!Z389*'Equity Price Data'!AC390</f>
        <v>10964.79</v>
      </c>
      <c r="X389" s="30">
        <f>'Equity Volume Data'!AA389*'Equity Price Data'!AD390</f>
        <v>0</v>
      </c>
      <c r="Y389" s="30">
        <f>'Equity Volume Data'!AB389*'Equity Price Data'!AE390</f>
        <v>5402.67</v>
      </c>
      <c r="Z389" s="30">
        <f>'Equity Volume Data'!AC389*'Equity Price Data'!AF390</f>
        <v>12373.5</v>
      </c>
      <c r="AA389" s="30">
        <f>'Equity Volume Data'!AD389*'Equity Price Data'!AG390</f>
        <v>19510.9</v>
      </c>
      <c r="AB389" s="30">
        <f>'Equity Volume Data'!AE389*'Equity Price Data'!AH390</f>
        <v>16549.8</v>
      </c>
      <c r="AC389" s="30">
        <f>'Equity Volume Data'!AF389*'Equity Price Data'!AI390</f>
        <v>15312</v>
      </c>
      <c r="AD389" s="30">
        <f>'Equity Volume Data'!AG389*'Equity Price Data'!AJ390</f>
        <v>15301.8</v>
      </c>
      <c r="AE389" s="30">
        <f>'Equity Volume Data'!AH389*'Equity Price Data'!AK390</f>
        <v>0</v>
      </c>
      <c r="AF389" s="30">
        <f>'Equity Volume Data'!AI389*'Equity Price Data'!AL390</f>
        <v>26139.55</v>
      </c>
      <c r="AG389" s="30">
        <f>'Equity Volume Data'!AJ389*'Equity Price Data'!AM390</f>
        <v>48960.6</v>
      </c>
      <c r="AH389" s="30">
        <f>'Equity Volume Data'!AK389*'Equity Price Data'!AN390</f>
        <v>35547</v>
      </c>
      <c r="AI389" s="30">
        <f>'Equity Volume Data'!AL389*'Equity Price Data'!AO390</f>
        <v>28876.75</v>
      </c>
      <c r="AJ389" s="30">
        <f>'Equity Volume Data'!AM389*'Equity Price Data'!AP390</f>
        <v>20317.7</v>
      </c>
      <c r="AK389" s="30">
        <f>'Equity Volume Data'!AN389*'Equity Price Data'!AQ390</f>
        <v>26988.81</v>
      </c>
      <c r="AL389" s="30">
        <f>'Equity Volume Data'!AO389*'Equity Price Data'!AR390</f>
        <v>49222.4</v>
      </c>
      <c r="AM389" s="30">
        <f>'Equity Volume Data'!AP389*'Equity Price Data'!AS390</f>
        <v>31791.2</v>
      </c>
      <c r="AN389" s="30">
        <f>'Equity Volume Data'!AQ389*'Equity Price Data'!AT390</f>
        <v>0</v>
      </c>
      <c r="AO389" s="30">
        <f>'Equity Volume Data'!AR389*'Equity Price Data'!AU390</f>
        <v>29667.96</v>
      </c>
      <c r="AP389" s="30">
        <f>'Equity Volume Data'!AS389*'Equity Price Data'!AV390</f>
        <v>26255</v>
      </c>
      <c r="AQ389" s="30">
        <f>'Equity Volume Data'!AT389*'Equity Price Data'!AW390</f>
        <v>16792.6</v>
      </c>
      <c r="AR389" s="30">
        <f>'Equity Volume Data'!AU389*'Equity Price Data'!AX390</f>
        <v>13413.45</v>
      </c>
      <c r="AS389" s="30">
        <f>'Equity Volume Data'!AV389*'Equity Price Data'!AY390</f>
        <v>58260</v>
      </c>
      <c r="AT389" s="30">
        <f>'Equity Volume Data'!AW389*'Equity Price Data'!AZ390</f>
        <v>32847.36</v>
      </c>
      <c r="AU389" s="30">
        <f>'Equity Volume Data'!AX389*'Equity Price Data'!BA390</f>
        <v>0</v>
      </c>
      <c r="AV389" s="30">
        <f>'Equity Volume Data'!AY389*'Equity Price Data'!BB390</f>
        <v>25596.92</v>
      </c>
      <c r="AW389" s="30">
        <f>'Equity Volume Data'!AZ389*'Equity Price Data'!BC390</f>
        <v>3542.8</v>
      </c>
      <c r="AX389" s="30">
        <f>'Equity Volume Data'!BA389*'Equity Price Data'!BD390</f>
        <v>0</v>
      </c>
      <c r="AY389" s="30">
        <f>'Equity Volume Data'!BB389*'Equity Price Data'!BE390</f>
        <v>37298.25</v>
      </c>
      <c r="AZ389" s="30">
        <f>'Equity Volume Data'!BC389*'Equity Price Data'!BF390</f>
        <v>9274.5</v>
      </c>
      <c r="BA389" s="30">
        <f>'Equity Volume Data'!BD389*'Equity Price Data'!BG390</f>
        <v>4884.9</v>
      </c>
      <c r="BB389" s="30">
        <f>'Equity Volume Data'!BE389*'Equity Price Data'!BH390</f>
        <v>13855.2</v>
      </c>
      <c r="BC389" s="30">
        <f>'Equity Volume Data'!BF389*'Equity Price Data'!BI390</f>
        <v>25446.24</v>
      </c>
      <c r="BD389" s="30">
        <f>'Equity Volume Data'!BG389*'Equity Price Data'!BJ390</f>
        <v>44033.49</v>
      </c>
      <c r="BE389" s="30">
        <f>'Equity Volume Data'!BH389*'Equity Price Data'!BK390</f>
        <v>13644.75</v>
      </c>
      <c r="BF389" s="30">
        <f>'Equity Volume Data'!BI389*'Equity Price Data'!BL390</f>
        <v>8097.6</v>
      </c>
      <c r="BG389" s="30">
        <f>'Equity Volume Data'!BJ389*'Equity Price Data'!BM390</f>
        <v>40518.5</v>
      </c>
      <c r="BH389" s="30">
        <f>'Equity Volume Data'!BK389*'Equity Price Data'!BN390</f>
        <v>0</v>
      </c>
      <c r="BI389" s="30">
        <f>'Equity Volume Data'!BL389*'Equity Price Data'!BO390</f>
        <v>36905.6</v>
      </c>
      <c r="BJ389" s="30">
        <f>'Equity Volume Data'!BM389*'Equity Price Data'!BP390</f>
        <v>24728.25</v>
      </c>
      <c r="BK389" s="30">
        <f>'Equity Volume Data'!BN389*'Equity Price Data'!BQ390</f>
        <v>90424.36</v>
      </c>
      <c r="BL389" s="30">
        <f>'Equity Volume Data'!BO389*'Equity Price Data'!BR390</f>
        <v>500.08</v>
      </c>
      <c r="BM389" s="30">
        <f>'Equity Volume Data'!BP389*'Equity Price Data'!BS390</f>
        <v>10432.8</v>
      </c>
      <c r="BN389" s="30">
        <f>'Equity Volume Data'!BQ389*'Equity Price Data'!BT390</f>
        <v>19444.84</v>
      </c>
      <c r="BO389" s="30">
        <f>'Equity Volume Data'!BR389*'Equity Price Data'!BU390</f>
        <v>68782</v>
      </c>
    </row>
    <row r="390">
      <c r="A390" s="25">
        <f>'Equity Price Data'!A391</f>
        <v>45989.54514</v>
      </c>
      <c r="B390" s="29">
        <f t="shared" si="1"/>
        <v>1574740.99</v>
      </c>
      <c r="C390" s="30">
        <f>'Equity Volume Data'!F390*'Equity Price Data'!I391</f>
        <v>4161.69</v>
      </c>
      <c r="D390" s="30">
        <f>'Equity Volume Data'!G390*'Equity Price Data'!J391</f>
        <v>60637.2</v>
      </c>
      <c r="E390" s="30">
        <f>'Equity Volume Data'!H390*'Equity Price Data'!K391</f>
        <v>14307.7</v>
      </c>
      <c r="F390" s="30">
        <f>'Equity Volume Data'!I390*'Equity Price Data'!L391</f>
        <v>71385.6</v>
      </c>
      <c r="G390" s="30">
        <f>'Equity Volume Data'!J390*'Equity Price Data'!M391</f>
        <v>20936.75</v>
      </c>
      <c r="H390" s="30">
        <f>'Equity Volume Data'!K390*'Equity Price Data'!N391</f>
        <v>21074.8</v>
      </c>
      <c r="I390" s="30">
        <f>'Equity Volume Data'!L390*'Equity Price Data'!O391</f>
        <v>22790</v>
      </c>
      <c r="J390" s="30">
        <f>'Equity Volume Data'!M390*'Equity Price Data'!P391</f>
        <v>52408.62</v>
      </c>
      <c r="K390" s="30">
        <f>'Equity Volume Data'!N390*'Equity Price Data'!Q391</f>
        <v>10946</v>
      </c>
      <c r="L390" s="30">
        <f>'Equity Volume Data'!O390*'Equity Price Data'!R391</f>
        <v>22032.89</v>
      </c>
      <c r="M390" s="30">
        <f>'Equity Volume Data'!P390*'Equity Price Data'!S391</f>
        <v>14830.68</v>
      </c>
      <c r="N390" s="30">
        <f>'Equity Volume Data'!Q390*'Equity Price Data'!T391</f>
        <v>4390.4</v>
      </c>
      <c r="O390" s="30">
        <f>'Equity Volume Data'!R390*'Equity Price Data'!U391</f>
        <v>86364</v>
      </c>
      <c r="P390" s="30">
        <f>'Equity Volume Data'!S390*'Equity Price Data'!V391</f>
        <v>36908.67</v>
      </c>
      <c r="Q390" s="30">
        <f>'Equity Volume Data'!T390*'Equity Price Data'!W391</f>
        <v>22412.4</v>
      </c>
      <c r="R390" s="30">
        <f>'Equity Volume Data'!U390*'Equity Price Data'!X391</f>
        <v>12090.4</v>
      </c>
      <c r="S390" s="30">
        <f>'Equity Volume Data'!V390*'Equity Price Data'!Y391</f>
        <v>24400.64</v>
      </c>
      <c r="T390" s="30">
        <f>'Equity Volume Data'!W390*'Equity Price Data'!Z391</f>
        <v>13525</v>
      </c>
      <c r="U390" s="30">
        <f>'Equity Volume Data'!X390*'Equity Price Data'!AA391</f>
        <v>19303.68</v>
      </c>
      <c r="V390" s="30">
        <f>'Equity Volume Data'!Y390*'Equity Price Data'!AB391</f>
        <v>16157.96</v>
      </c>
      <c r="W390" s="30">
        <f>'Equity Volume Data'!Z390*'Equity Price Data'!AC391</f>
        <v>11048.28</v>
      </c>
      <c r="X390" s="30">
        <f>'Equity Volume Data'!AA390*'Equity Price Data'!AD391</f>
        <v>0</v>
      </c>
      <c r="Y390" s="30">
        <f>'Equity Volume Data'!AB390*'Equity Price Data'!AE391</f>
        <v>5455.19</v>
      </c>
      <c r="Z390" s="30">
        <f>'Equity Volume Data'!AC390*'Equity Price Data'!AF391</f>
        <v>12418.5</v>
      </c>
      <c r="AA390" s="30">
        <f>'Equity Volume Data'!AD390*'Equity Price Data'!AG391</f>
        <v>19706.4</v>
      </c>
      <c r="AB390" s="30">
        <f>'Equity Volume Data'!AE390*'Equity Price Data'!AH391</f>
        <v>16540.8</v>
      </c>
      <c r="AC390" s="30">
        <f>'Equity Volume Data'!AF390*'Equity Price Data'!AI391</f>
        <v>15676</v>
      </c>
      <c r="AD390" s="30">
        <f>'Equity Volume Data'!AG390*'Equity Price Data'!AJ391</f>
        <v>15373.35</v>
      </c>
      <c r="AE390" s="30">
        <f>'Equity Volume Data'!AH390*'Equity Price Data'!AK391</f>
        <v>0</v>
      </c>
      <c r="AF390" s="30">
        <f>'Equity Volume Data'!AI390*'Equity Price Data'!AL391</f>
        <v>25797.2</v>
      </c>
      <c r="AG390" s="30">
        <f>'Equity Volume Data'!AJ390*'Equity Price Data'!AM391</f>
        <v>49562.4</v>
      </c>
      <c r="AH390" s="30">
        <f>'Equity Volume Data'!AK390*'Equity Price Data'!AN391</f>
        <v>35692</v>
      </c>
      <c r="AI390" s="30">
        <f>'Equity Volume Data'!AL390*'Equity Price Data'!AO391</f>
        <v>28806.75</v>
      </c>
      <c r="AJ390" s="30">
        <f>'Equity Volume Data'!AM390*'Equity Price Data'!AP391</f>
        <v>20449</v>
      </c>
      <c r="AK390" s="30">
        <f>'Equity Volume Data'!AN390*'Equity Price Data'!AQ391</f>
        <v>26953.56</v>
      </c>
      <c r="AL390" s="30">
        <f>'Equity Volume Data'!AO390*'Equity Price Data'!AR391</f>
        <v>50092.8</v>
      </c>
      <c r="AM390" s="30">
        <f>'Equity Volume Data'!AP390*'Equity Price Data'!AS391</f>
        <v>32050.2</v>
      </c>
      <c r="AN390" s="30">
        <f>'Equity Volume Data'!AQ390*'Equity Price Data'!AT391</f>
        <v>0</v>
      </c>
      <c r="AO390" s="30">
        <f>'Equity Volume Data'!AR390*'Equity Price Data'!AU391</f>
        <v>30069.34</v>
      </c>
      <c r="AP390" s="30">
        <f>'Equity Volume Data'!AS390*'Equity Price Data'!AV391</f>
        <v>26332.5</v>
      </c>
      <c r="AQ390" s="30">
        <f>'Equity Volume Data'!AT390*'Equity Price Data'!AW391</f>
        <v>16843.2</v>
      </c>
      <c r="AR390" s="30">
        <f>'Equity Volume Data'!AU390*'Equity Price Data'!AX391</f>
        <v>13814.85</v>
      </c>
      <c r="AS390" s="30">
        <f>'Equity Volume Data'!AV390*'Equity Price Data'!AY391</f>
        <v>59041.2</v>
      </c>
      <c r="AT390" s="30">
        <f>'Equity Volume Data'!AW390*'Equity Price Data'!AZ391</f>
        <v>33135.36</v>
      </c>
      <c r="AU390" s="30">
        <f>'Equity Volume Data'!AX390*'Equity Price Data'!BA391</f>
        <v>0</v>
      </c>
      <c r="AV390" s="30">
        <f>'Equity Volume Data'!AY390*'Equity Price Data'!BB391</f>
        <v>25134</v>
      </c>
      <c r="AW390" s="30">
        <f>'Equity Volume Data'!AZ390*'Equity Price Data'!BC391</f>
        <v>3554</v>
      </c>
      <c r="AX390" s="30">
        <f>'Equity Volume Data'!BA390*'Equity Price Data'!BD391</f>
        <v>0</v>
      </c>
      <c r="AY390" s="30">
        <f>'Equity Volume Data'!BB390*'Equity Price Data'!BE391</f>
        <v>37901.25</v>
      </c>
      <c r="AZ390" s="30">
        <f>'Equity Volume Data'!BC390*'Equity Price Data'!BF391</f>
        <v>9403.5</v>
      </c>
      <c r="BA390" s="30">
        <f>'Equity Volume Data'!BD390*'Equity Price Data'!BG391</f>
        <v>4890.6</v>
      </c>
      <c r="BB390" s="30">
        <f>'Equity Volume Data'!BE390*'Equity Price Data'!BH391</f>
        <v>13992.8</v>
      </c>
      <c r="BC390" s="30">
        <f>'Equity Volume Data'!BF390*'Equity Price Data'!BI391</f>
        <v>25505.28</v>
      </c>
      <c r="BD390" s="30">
        <f>'Equity Volume Data'!BG390*'Equity Price Data'!BJ391</f>
        <v>44519.13</v>
      </c>
      <c r="BE390" s="30">
        <f>'Equity Volume Data'!BH390*'Equity Price Data'!BK391</f>
        <v>13589.09</v>
      </c>
      <c r="BF390" s="30">
        <f>'Equity Volume Data'!BI390*'Equity Price Data'!BL391</f>
        <v>8074.8</v>
      </c>
      <c r="BG390" s="30">
        <f>'Equity Volume Data'!BJ390*'Equity Price Data'!BM391</f>
        <v>40674.18</v>
      </c>
      <c r="BH390" s="30">
        <f>'Equity Volume Data'!BK390*'Equity Price Data'!BN391</f>
        <v>0</v>
      </c>
      <c r="BI390" s="30">
        <f>'Equity Volume Data'!BL390*'Equity Price Data'!BO391</f>
        <v>37092.8</v>
      </c>
      <c r="BJ390" s="30">
        <f>'Equity Volume Data'!BM390*'Equity Price Data'!BP391</f>
        <v>24732.75</v>
      </c>
      <c r="BK390" s="30">
        <f>'Equity Volume Data'!BN390*'Equity Price Data'!BQ391</f>
        <v>90370.3</v>
      </c>
      <c r="BL390" s="30">
        <f>'Equity Volume Data'!BO390*'Equity Price Data'!BR391</f>
        <v>502.43</v>
      </c>
      <c r="BM390" s="30">
        <f>'Equity Volume Data'!BP390*'Equity Price Data'!BS391</f>
        <v>10457.76</v>
      </c>
      <c r="BN390" s="30">
        <f>'Equity Volume Data'!BQ390*'Equity Price Data'!BT391</f>
        <v>19640.36</v>
      </c>
      <c r="BO390" s="30">
        <f>'Equity Volume Data'!BR390*'Equity Price Data'!BU391</f>
        <v>68782</v>
      </c>
    </row>
    <row r="391">
      <c r="A391" s="25">
        <f>'Equity Price Data'!A392</f>
        <v>45992.66667</v>
      </c>
      <c r="B391" s="29">
        <f t="shared" si="1"/>
        <v>1564609.88</v>
      </c>
      <c r="C391" s="30">
        <f>'Equity Volume Data'!F391*'Equity Price Data'!I392</f>
        <v>4197.05</v>
      </c>
      <c r="D391" s="30">
        <f>'Equity Volume Data'!G391*'Equity Price Data'!J392</f>
        <v>60808.8</v>
      </c>
      <c r="E391" s="30">
        <f>'Equity Volume Data'!H391*'Equity Price Data'!K392</f>
        <v>14410</v>
      </c>
      <c r="F391" s="30">
        <f>'Equity Volume Data'!I391*'Equity Price Data'!L392</f>
        <v>72473.6</v>
      </c>
      <c r="G391" s="30">
        <f>'Equity Volume Data'!J391*'Equity Price Data'!M392</f>
        <v>21144.25</v>
      </c>
      <c r="H391" s="30">
        <f>'Equity Volume Data'!K391*'Equity Price Data'!N392</f>
        <v>21020.28</v>
      </c>
      <c r="I391" s="30">
        <f>'Equity Volume Data'!L391*'Equity Price Data'!O392</f>
        <v>22750</v>
      </c>
      <c r="J391" s="30">
        <f>'Equity Volume Data'!M391*'Equity Price Data'!P392</f>
        <v>51872.1</v>
      </c>
      <c r="K391" s="30">
        <f>'Equity Volume Data'!N391*'Equity Price Data'!Q392</f>
        <v>11034</v>
      </c>
      <c r="L391" s="30">
        <f>'Equity Volume Data'!O391*'Equity Price Data'!R392</f>
        <v>21511.38</v>
      </c>
      <c r="M391" s="30">
        <f>'Equity Volume Data'!P391*'Equity Price Data'!S392</f>
        <v>14747.46</v>
      </c>
      <c r="N391" s="30">
        <f>'Equity Volume Data'!Q391*'Equity Price Data'!T392</f>
        <v>4340</v>
      </c>
      <c r="O391" s="30">
        <f>'Equity Volume Data'!R391*'Equity Price Data'!U392</f>
        <v>85209</v>
      </c>
      <c r="P391" s="30">
        <f>'Equity Volume Data'!S391*'Equity Price Data'!V392</f>
        <v>36500.01</v>
      </c>
      <c r="Q391" s="30">
        <f>'Equity Volume Data'!T391*'Equity Price Data'!W392</f>
        <v>22446</v>
      </c>
      <c r="R391" s="30">
        <f>'Equity Volume Data'!U391*'Equity Price Data'!X392</f>
        <v>12203.2</v>
      </c>
      <c r="S391" s="30">
        <f>'Equity Volume Data'!V391*'Equity Price Data'!Y392</f>
        <v>24074.16</v>
      </c>
      <c r="T391" s="30">
        <f>'Equity Volume Data'!W391*'Equity Price Data'!Z392</f>
        <v>13645</v>
      </c>
      <c r="U391" s="30">
        <f>'Equity Volume Data'!X391*'Equity Price Data'!AA392</f>
        <v>18994.8</v>
      </c>
      <c r="V391" s="30">
        <f>'Equity Volume Data'!Y391*'Equity Price Data'!AB392</f>
        <v>15758.68</v>
      </c>
      <c r="W391" s="30">
        <f>'Equity Volume Data'!Z391*'Equity Price Data'!AC392</f>
        <v>10790.91</v>
      </c>
      <c r="X391" s="30">
        <f>'Equity Volume Data'!AA391*'Equity Price Data'!AD392</f>
        <v>0</v>
      </c>
      <c r="Y391" s="30">
        <f>'Equity Volume Data'!AB391*'Equity Price Data'!AE392</f>
        <v>5510.05</v>
      </c>
      <c r="Z391" s="30">
        <f>'Equity Volume Data'!AC391*'Equity Price Data'!AF392</f>
        <v>12409.5</v>
      </c>
      <c r="AA391" s="30">
        <f>'Equity Volume Data'!AD391*'Equity Price Data'!AG392</f>
        <v>19827.1</v>
      </c>
      <c r="AB391" s="30">
        <f>'Equity Volume Data'!AE391*'Equity Price Data'!AH392</f>
        <v>16400.4</v>
      </c>
      <c r="AC391" s="30">
        <f>'Equity Volume Data'!AF391*'Equity Price Data'!AI392</f>
        <v>15477.2</v>
      </c>
      <c r="AD391" s="30">
        <f>'Equity Volume Data'!AG391*'Equity Price Data'!AJ392</f>
        <v>14957.1</v>
      </c>
      <c r="AE391" s="30">
        <f>'Equity Volume Data'!AH391*'Equity Price Data'!AK392</f>
        <v>0</v>
      </c>
      <c r="AF391" s="30">
        <f>'Equity Volume Data'!AI391*'Equity Price Data'!AL392</f>
        <v>25487.65</v>
      </c>
      <c r="AG391" s="30">
        <f>'Equity Volume Data'!AJ391*'Equity Price Data'!AM392</f>
        <v>48651.6</v>
      </c>
      <c r="AH391" s="30">
        <f>'Equity Volume Data'!AK391*'Equity Price Data'!AN392</f>
        <v>35733</v>
      </c>
      <c r="AI391" s="30">
        <f>'Equity Volume Data'!AL391*'Equity Price Data'!AO392</f>
        <v>28659.75</v>
      </c>
      <c r="AJ391" s="30">
        <f>'Equity Volume Data'!AM391*'Equity Price Data'!AP392</f>
        <v>20402.2</v>
      </c>
      <c r="AK391" s="30">
        <f>'Equity Volume Data'!AN391*'Equity Price Data'!AQ392</f>
        <v>26666.39</v>
      </c>
      <c r="AL391" s="30">
        <f>'Equity Volume Data'!AO391*'Equity Price Data'!AR392</f>
        <v>49427.2</v>
      </c>
      <c r="AM391" s="30">
        <f>'Equity Volume Data'!AP391*'Equity Price Data'!AS392</f>
        <v>30743.3</v>
      </c>
      <c r="AN391" s="30">
        <f>'Equity Volume Data'!AQ391*'Equity Price Data'!AT392</f>
        <v>0</v>
      </c>
      <c r="AO391" s="30">
        <f>'Equity Volume Data'!AR391*'Equity Price Data'!AU392</f>
        <v>30009.56</v>
      </c>
      <c r="AP391" s="30">
        <f>'Equity Volume Data'!AS391*'Equity Price Data'!AV392</f>
        <v>25835</v>
      </c>
      <c r="AQ391" s="30">
        <f>'Equity Volume Data'!AT391*'Equity Price Data'!AW392</f>
        <v>16788.2</v>
      </c>
      <c r="AR391" s="30">
        <f>'Equity Volume Data'!AU391*'Equity Price Data'!AX392</f>
        <v>12956.3</v>
      </c>
      <c r="AS391" s="30">
        <f>'Equity Volume Data'!AV391*'Equity Price Data'!AY392</f>
        <v>58408.8</v>
      </c>
      <c r="AT391" s="30">
        <f>'Equity Volume Data'!AW391*'Equity Price Data'!AZ392</f>
        <v>32505.6</v>
      </c>
      <c r="AU391" s="30">
        <f>'Equity Volume Data'!AX391*'Equity Price Data'!BA392</f>
        <v>0</v>
      </c>
      <c r="AV391" s="30">
        <f>'Equity Volume Data'!AY391*'Equity Price Data'!BB392</f>
        <v>25548.64</v>
      </c>
      <c r="AW391" s="30">
        <f>'Equity Volume Data'!AZ391*'Equity Price Data'!BC392</f>
        <v>3526</v>
      </c>
      <c r="AX391" s="30">
        <f>'Equity Volume Data'!BA391*'Equity Price Data'!BD392</f>
        <v>0</v>
      </c>
      <c r="AY391" s="30">
        <f>'Equity Volume Data'!BB391*'Equity Price Data'!BE392</f>
        <v>37685.25</v>
      </c>
      <c r="AZ391" s="30">
        <f>'Equity Volume Data'!BC391*'Equity Price Data'!BF392</f>
        <v>9387</v>
      </c>
      <c r="BA391" s="30">
        <f>'Equity Volume Data'!BD391*'Equity Price Data'!BG392</f>
        <v>4801.3</v>
      </c>
      <c r="BB391" s="30">
        <f>'Equity Volume Data'!BE391*'Equity Price Data'!BH392</f>
        <v>13441.6</v>
      </c>
      <c r="BC391" s="30">
        <f>'Equity Volume Data'!BF391*'Equity Price Data'!BI392</f>
        <v>24862.4</v>
      </c>
      <c r="BD391" s="30">
        <f>'Equity Volume Data'!BG391*'Equity Price Data'!BJ392</f>
        <v>44012.19</v>
      </c>
      <c r="BE391" s="30">
        <f>'Equity Volume Data'!BH391*'Equity Price Data'!BK392</f>
        <v>13458.45</v>
      </c>
      <c r="BF391" s="30">
        <f>'Equity Volume Data'!BI391*'Equity Price Data'!BL392</f>
        <v>7968.8</v>
      </c>
      <c r="BG391" s="30">
        <f>'Equity Volume Data'!BJ391*'Equity Price Data'!BM392</f>
        <v>41816.76</v>
      </c>
      <c r="BH391" s="30">
        <f>'Equity Volume Data'!BK391*'Equity Price Data'!BN392</f>
        <v>0</v>
      </c>
      <c r="BI391" s="30">
        <f>'Equity Volume Data'!BL391*'Equity Price Data'!BO392</f>
        <v>37017.6</v>
      </c>
      <c r="BJ391" s="30">
        <f>'Equity Volume Data'!BM391*'Equity Price Data'!BP392</f>
        <v>24240.75</v>
      </c>
      <c r="BK391" s="30">
        <f>'Equity Volume Data'!BN391*'Equity Price Data'!BQ392</f>
        <v>90334.26</v>
      </c>
      <c r="BL391" s="30">
        <f>'Equity Volume Data'!BO391*'Equity Price Data'!BR392</f>
        <v>502.9</v>
      </c>
      <c r="BM391" s="30">
        <f>'Equity Volume Data'!BP391*'Equity Price Data'!BS392</f>
        <v>10364.64</v>
      </c>
      <c r="BN391" s="30">
        <f>'Equity Volume Data'!BQ391*'Equity Price Data'!BT392</f>
        <v>20072.76</v>
      </c>
      <c r="BO391" s="30">
        <f>'Equity Volume Data'!BR391*'Equity Price Data'!BU392</f>
        <v>68782</v>
      </c>
    </row>
    <row r="392">
      <c r="A392" s="25">
        <f>'Equity Price Data'!A393</f>
        <v>45993.66667</v>
      </c>
      <c r="B392" s="29">
        <f t="shared" si="1"/>
        <v>1567549.74</v>
      </c>
      <c r="C392" s="30">
        <f>'Equity Volume Data'!F392*'Equity Price Data'!I393</f>
        <v>4196.53</v>
      </c>
      <c r="D392" s="30">
        <f>'Equity Volume Data'!G392*'Equity Price Data'!J393</f>
        <v>60949.2</v>
      </c>
      <c r="E392" s="30">
        <f>'Equity Volume Data'!H392*'Equity Price Data'!K393</f>
        <v>14382.5</v>
      </c>
      <c r="F392" s="30">
        <f>'Equity Volume Data'!I392*'Equity Price Data'!L393</f>
        <v>73264.64</v>
      </c>
      <c r="G392" s="30">
        <f>'Equity Volume Data'!J392*'Equity Price Data'!M393</f>
        <v>22022.39</v>
      </c>
      <c r="H392" s="30">
        <f>'Equity Volume Data'!K392*'Equity Price Data'!N393</f>
        <v>21071.04</v>
      </c>
      <c r="I392" s="30">
        <f>'Equity Volume Data'!L392*'Equity Price Data'!O393</f>
        <v>23090</v>
      </c>
      <c r="J392" s="30">
        <f>'Equity Volume Data'!M392*'Equity Price Data'!P393</f>
        <v>51678.3</v>
      </c>
      <c r="K392" s="30">
        <f>'Equity Volume Data'!N392*'Equity Price Data'!Q393</f>
        <v>11254</v>
      </c>
      <c r="L392" s="30">
        <f>'Equity Volume Data'!O392*'Equity Price Data'!R393</f>
        <v>21801.78</v>
      </c>
      <c r="M392" s="30">
        <f>'Equity Volume Data'!P392*'Equity Price Data'!S393</f>
        <v>14456.92</v>
      </c>
      <c r="N392" s="30">
        <f>'Equity Volume Data'!Q392*'Equity Price Data'!T393</f>
        <v>4305.6</v>
      </c>
      <c r="O392" s="30">
        <f>'Equity Volume Data'!R392*'Equity Price Data'!U393</f>
        <v>87370.5</v>
      </c>
      <c r="P392" s="30">
        <f>'Equity Volume Data'!S392*'Equity Price Data'!V393</f>
        <v>36791.91</v>
      </c>
      <c r="Q392" s="30">
        <f>'Equity Volume Data'!T392*'Equity Price Data'!W393</f>
        <v>22470</v>
      </c>
      <c r="R392" s="30">
        <f>'Equity Volume Data'!U392*'Equity Price Data'!X393</f>
        <v>12020</v>
      </c>
      <c r="S392" s="30">
        <f>'Equity Volume Data'!V392*'Equity Price Data'!Y393</f>
        <v>24120.8</v>
      </c>
      <c r="T392" s="30">
        <f>'Equity Volume Data'!W392*'Equity Price Data'!Z393</f>
        <v>13665</v>
      </c>
      <c r="U392" s="30">
        <f>'Equity Volume Data'!X392*'Equity Price Data'!AA393</f>
        <v>18656.88</v>
      </c>
      <c r="V392" s="30">
        <f>'Equity Volume Data'!Y392*'Equity Price Data'!AB393</f>
        <v>15596.07</v>
      </c>
      <c r="W392" s="30">
        <f>'Equity Volume Data'!Z392*'Equity Price Data'!AC393</f>
        <v>10798.5</v>
      </c>
      <c r="X392" s="30">
        <f>'Equity Volume Data'!AA392*'Equity Price Data'!AD393</f>
        <v>0</v>
      </c>
      <c r="Y392" s="30">
        <f>'Equity Volume Data'!AB392*'Equity Price Data'!AE393</f>
        <v>5520.32</v>
      </c>
      <c r="Z392" s="30">
        <f>'Equity Volume Data'!AC392*'Equity Price Data'!AF393</f>
        <v>12436.5</v>
      </c>
      <c r="AA392" s="30">
        <f>'Equity Volume Data'!AD392*'Equity Price Data'!AG393</f>
        <v>19614.6</v>
      </c>
      <c r="AB392" s="30">
        <f>'Equity Volume Data'!AE392*'Equity Price Data'!AH393</f>
        <v>16222.2</v>
      </c>
      <c r="AC392" s="30">
        <f>'Equity Volume Data'!AF392*'Equity Price Data'!AI393</f>
        <v>15462.4</v>
      </c>
      <c r="AD392" s="30">
        <f>'Equity Volume Data'!AG392*'Equity Price Data'!AJ393</f>
        <v>15111</v>
      </c>
      <c r="AE392" s="30">
        <f>'Equity Volume Data'!AH392*'Equity Price Data'!AK393</f>
        <v>0</v>
      </c>
      <c r="AF392" s="30">
        <f>'Equity Volume Data'!AI392*'Equity Price Data'!AL393</f>
        <v>25401.55</v>
      </c>
      <c r="AG392" s="30">
        <f>'Equity Volume Data'!AJ392*'Equity Price Data'!AM393</f>
        <v>48912.6</v>
      </c>
      <c r="AH392" s="30">
        <f>'Equity Volume Data'!AK392*'Equity Price Data'!AN393</f>
        <v>35403</v>
      </c>
      <c r="AI392" s="30">
        <f>'Equity Volume Data'!AL392*'Equity Price Data'!AO393</f>
        <v>28841.75</v>
      </c>
      <c r="AJ392" s="30">
        <f>'Equity Volume Data'!AM392*'Equity Price Data'!AP393</f>
        <v>20196.8</v>
      </c>
      <c r="AK392" s="30">
        <f>'Equity Volume Data'!AN392*'Equity Price Data'!AQ393</f>
        <v>26682.84</v>
      </c>
      <c r="AL392" s="30">
        <f>'Equity Volume Data'!AO392*'Equity Price Data'!AR393</f>
        <v>49260.8</v>
      </c>
      <c r="AM392" s="30">
        <f>'Equity Volume Data'!AP392*'Equity Price Data'!AS393</f>
        <v>30927.4</v>
      </c>
      <c r="AN392" s="30">
        <f>'Equity Volume Data'!AQ392*'Equity Price Data'!AT393</f>
        <v>0</v>
      </c>
      <c r="AO392" s="30">
        <f>'Equity Volume Data'!AR392*'Equity Price Data'!AU393</f>
        <v>29838.76</v>
      </c>
      <c r="AP392" s="30">
        <f>'Equity Volume Data'!AS392*'Equity Price Data'!AV393</f>
        <v>25507.5</v>
      </c>
      <c r="AQ392" s="30">
        <f>'Equity Volume Data'!AT392*'Equity Price Data'!AW393</f>
        <v>16779.4</v>
      </c>
      <c r="AR392" s="30">
        <f>'Equity Volume Data'!AU392*'Equity Price Data'!AX393</f>
        <v>13567.32</v>
      </c>
      <c r="AS392" s="30">
        <f>'Equity Volume Data'!AV392*'Equity Price Data'!AY393</f>
        <v>58800</v>
      </c>
      <c r="AT392" s="30">
        <f>'Equity Volume Data'!AW392*'Equity Price Data'!AZ393</f>
        <v>32478.72</v>
      </c>
      <c r="AU392" s="30">
        <f>'Equity Volume Data'!AX392*'Equity Price Data'!BA393</f>
        <v>0</v>
      </c>
      <c r="AV392" s="30">
        <f>'Equity Volume Data'!AY392*'Equity Price Data'!BB393</f>
        <v>25767.32</v>
      </c>
      <c r="AW392" s="30">
        <f>'Equity Volume Data'!AZ392*'Equity Price Data'!BC393</f>
        <v>3489.6</v>
      </c>
      <c r="AX392" s="30">
        <f>'Equity Volume Data'!BA392*'Equity Price Data'!BD393</f>
        <v>0</v>
      </c>
      <c r="AY392" s="30">
        <f>'Equity Volume Data'!BB392*'Equity Price Data'!BE393</f>
        <v>38405.25</v>
      </c>
      <c r="AZ392" s="30">
        <f>'Equity Volume Data'!BC392*'Equity Price Data'!BF393</f>
        <v>9435</v>
      </c>
      <c r="BA392" s="30">
        <f>'Equity Volume Data'!BD392*'Equity Price Data'!BG393</f>
        <v>4778.5</v>
      </c>
      <c r="BB392" s="30">
        <f>'Equity Volume Data'!BE392*'Equity Price Data'!BH393</f>
        <v>13504</v>
      </c>
      <c r="BC392" s="30">
        <f>'Equity Volume Data'!BF392*'Equity Price Data'!BI393</f>
        <v>24701.68</v>
      </c>
      <c r="BD392" s="30">
        <f>'Equity Volume Data'!BG392*'Equity Price Data'!BJ393</f>
        <v>44757.69</v>
      </c>
      <c r="BE392" s="30">
        <f>'Equity Volume Data'!BH392*'Equity Price Data'!BK393</f>
        <v>13348.51</v>
      </c>
      <c r="BF392" s="30">
        <f>'Equity Volume Data'!BI392*'Equity Price Data'!BL393</f>
        <v>7879.6</v>
      </c>
      <c r="BG392" s="30">
        <f>'Equity Volume Data'!BJ392*'Equity Price Data'!BM393</f>
        <v>39412.06</v>
      </c>
      <c r="BH392" s="30">
        <f>'Equity Volume Data'!BK392*'Equity Price Data'!BN393</f>
        <v>0</v>
      </c>
      <c r="BI392" s="30">
        <f>'Equity Volume Data'!BL392*'Equity Price Data'!BO393</f>
        <v>37158.4</v>
      </c>
      <c r="BJ392" s="30">
        <f>'Equity Volume Data'!BM392*'Equity Price Data'!BP393</f>
        <v>24340.5</v>
      </c>
      <c r="BK392" s="30">
        <f>'Equity Volume Data'!BN392*'Equity Price Data'!BQ393</f>
        <v>90352.28</v>
      </c>
      <c r="BL392" s="30">
        <f>'Equity Volume Data'!BO392*'Equity Price Data'!BR393</f>
        <v>503.37</v>
      </c>
      <c r="BM392" s="30">
        <f>'Equity Volume Data'!BP392*'Equity Price Data'!BS393</f>
        <v>10297.92</v>
      </c>
      <c r="BN392" s="30">
        <f>'Equity Volume Data'!BQ392*'Equity Price Data'!BT393</f>
        <v>19708.04</v>
      </c>
      <c r="BO392" s="30">
        <f>'Equity Volume Data'!BR392*'Equity Price Data'!BU393</f>
        <v>68782</v>
      </c>
    </row>
    <row r="393">
      <c r="A393" s="25">
        <f>'Equity Price Data'!A394</f>
        <v>45994.66667</v>
      </c>
      <c r="B393" s="29">
        <f t="shared" si="1"/>
        <v>1575239.14</v>
      </c>
      <c r="C393" s="30">
        <f>'Equity Volume Data'!F393*'Equity Price Data'!I394</f>
        <v>4248.14</v>
      </c>
      <c r="D393" s="30">
        <f>'Equity Volume Data'!G393*'Equity Price Data'!J394</f>
        <v>60418.8</v>
      </c>
      <c r="E393" s="30">
        <f>'Equity Volume Data'!H393*'Equity Price Data'!K394</f>
        <v>14406.7</v>
      </c>
      <c r="F393" s="30">
        <f>'Equity Volume Data'!I393*'Equity Price Data'!L394</f>
        <v>72742.4</v>
      </c>
      <c r="G393" s="30">
        <f>'Equity Volume Data'!J393*'Equity Price Data'!M394</f>
        <v>22296.29</v>
      </c>
      <c r="H393" s="30">
        <f>'Equity Volume Data'!K393*'Equity Price Data'!N394</f>
        <v>21260.92</v>
      </c>
      <c r="I393" s="30">
        <f>'Equity Volume Data'!L393*'Equity Price Data'!O394</f>
        <v>23260</v>
      </c>
      <c r="J393" s="30">
        <f>'Equity Volume Data'!M393*'Equity Price Data'!P394</f>
        <v>51367.2</v>
      </c>
      <c r="K393" s="30">
        <f>'Equity Volume Data'!N393*'Equity Price Data'!Q394</f>
        <v>11584</v>
      </c>
      <c r="L393" s="30">
        <f>'Equity Volume Data'!O393*'Equity Price Data'!R394</f>
        <v>21870.75</v>
      </c>
      <c r="M393" s="30">
        <f>'Equity Volume Data'!P393*'Equity Price Data'!S394</f>
        <v>14391.22</v>
      </c>
      <c r="N393" s="30">
        <f>'Equity Volume Data'!Q393*'Equity Price Data'!T394</f>
        <v>4369.6</v>
      </c>
      <c r="O393" s="30">
        <f>'Equity Volume Data'!R393*'Equity Price Data'!U394</f>
        <v>88723.5</v>
      </c>
      <c r="P393" s="30">
        <f>'Equity Volume Data'!S393*'Equity Price Data'!V394</f>
        <v>37300.65</v>
      </c>
      <c r="Q393" s="30">
        <f>'Equity Volume Data'!T393*'Equity Price Data'!W394</f>
        <v>22932</v>
      </c>
      <c r="R393" s="30">
        <f>'Equity Volume Data'!U393*'Equity Price Data'!X394</f>
        <v>12127.2</v>
      </c>
      <c r="S393" s="30">
        <f>'Equity Volume Data'!V393*'Equity Price Data'!Y394</f>
        <v>23788.16</v>
      </c>
      <c r="T393" s="30">
        <f>'Equity Volume Data'!W393*'Equity Price Data'!Z394</f>
        <v>13920</v>
      </c>
      <c r="U393" s="30">
        <f>'Equity Volume Data'!X393*'Equity Price Data'!AA394</f>
        <v>18693.84</v>
      </c>
      <c r="V393" s="30">
        <f>'Equity Volume Data'!Y393*'Equity Price Data'!AB394</f>
        <v>15528.45</v>
      </c>
      <c r="W393" s="30">
        <f>'Equity Volume Data'!Z393*'Equity Price Data'!AC394</f>
        <v>11018.61</v>
      </c>
      <c r="X393" s="30">
        <f>'Equity Volume Data'!AA393*'Equity Price Data'!AD394</f>
        <v>0</v>
      </c>
      <c r="Y393" s="30">
        <f>'Equity Volume Data'!AB393*'Equity Price Data'!AE394</f>
        <v>5611.97</v>
      </c>
      <c r="Z393" s="30">
        <f>'Equity Volume Data'!AC393*'Equity Price Data'!AF394</f>
        <v>12300</v>
      </c>
      <c r="AA393" s="30">
        <f>'Equity Volume Data'!AD393*'Equity Price Data'!AG394</f>
        <v>20026</v>
      </c>
      <c r="AB393" s="30">
        <f>'Equity Volume Data'!AE393*'Equity Price Data'!AH394</f>
        <v>16227</v>
      </c>
      <c r="AC393" s="30">
        <f>'Equity Volume Data'!AF393*'Equity Price Data'!AI394</f>
        <v>15753.6</v>
      </c>
      <c r="AD393" s="30">
        <f>'Equity Volume Data'!AG393*'Equity Price Data'!AJ394</f>
        <v>15213.6</v>
      </c>
      <c r="AE393" s="30">
        <f>'Equity Volume Data'!AH393*'Equity Price Data'!AK394</f>
        <v>0</v>
      </c>
      <c r="AF393" s="30">
        <f>'Equity Volume Data'!AI393*'Equity Price Data'!AL394</f>
        <v>25625</v>
      </c>
      <c r="AG393" s="30">
        <f>'Equity Volume Data'!AJ393*'Equity Price Data'!AM394</f>
        <v>50194.2</v>
      </c>
      <c r="AH393" s="30">
        <f>'Equity Volume Data'!AK393*'Equity Price Data'!AN394</f>
        <v>35791</v>
      </c>
      <c r="AI393" s="30">
        <f>'Equity Volume Data'!AL393*'Equity Price Data'!AO394</f>
        <v>29090.25</v>
      </c>
      <c r="AJ393" s="30">
        <f>'Equity Volume Data'!AM393*'Equity Price Data'!AP394</f>
        <v>20390.5</v>
      </c>
      <c r="AK393" s="30">
        <f>'Equity Volume Data'!AN393*'Equity Price Data'!AQ394</f>
        <v>26776.37</v>
      </c>
      <c r="AL393" s="30">
        <f>'Equity Volume Data'!AO393*'Equity Price Data'!AR394</f>
        <v>49940.8</v>
      </c>
      <c r="AM393" s="30">
        <f>'Equity Volume Data'!AP393*'Equity Price Data'!AS394</f>
        <v>31276</v>
      </c>
      <c r="AN393" s="30">
        <f>'Equity Volume Data'!AQ393*'Equity Price Data'!AT394</f>
        <v>0</v>
      </c>
      <c r="AO393" s="30">
        <f>'Equity Volume Data'!AR393*'Equity Price Data'!AU394</f>
        <v>29975.4</v>
      </c>
      <c r="AP393" s="30">
        <f>'Equity Volume Data'!AS393*'Equity Price Data'!AV394</f>
        <v>25492.5</v>
      </c>
      <c r="AQ393" s="30">
        <f>'Equity Volume Data'!AT393*'Equity Price Data'!AW394</f>
        <v>17052.2</v>
      </c>
      <c r="AR393" s="30">
        <f>'Equity Volume Data'!AU393*'Equity Price Data'!AX394</f>
        <v>13092.33</v>
      </c>
      <c r="AS393" s="30">
        <f>'Equity Volume Data'!AV393*'Equity Price Data'!AY394</f>
        <v>57327.6</v>
      </c>
      <c r="AT393" s="30">
        <f>'Equity Volume Data'!AW393*'Equity Price Data'!AZ394</f>
        <v>32620.8</v>
      </c>
      <c r="AU393" s="30">
        <f>'Equity Volume Data'!AX393*'Equity Price Data'!BA394</f>
        <v>0</v>
      </c>
      <c r="AV393" s="30">
        <f>'Equity Volume Data'!AY393*'Equity Price Data'!BB394</f>
        <v>25501.78</v>
      </c>
      <c r="AW393" s="30">
        <f>'Equity Volume Data'!AZ393*'Equity Price Data'!BC394</f>
        <v>3477.6</v>
      </c>
      <c r="AX393" s="30">
        <f>'Equity Volume Data'!BA393*'Equity Price Data'!BD394</f>
        <v>0</v>
      </c>
      <c r="AY393" s="30">
        <f>'Equity Volume Data'!BB393*'Equity Price Data'!BE394</f>
        <v>39618</v>
      </c>
      <c r="AZ393" s="30">
        <f>'Equity Volume Data'!BC393*'Equity Price Data'!BF394</f>
        <v>9186</v>
      </c>
      <c r="BA393" s="30">
        <f>'Equity Volume Data'!BD393*'Equity Price Data'!BG394</f>
        <v>4858.3</v>
      </c>
      <c r="BB393" s="30">
        <f>'Equity Volume Data'!BE393*'Equity Price Data'!BH394</f>
        <v>13476</v>
      </c>
      <c r="BC393" s="30">
        <f>'Equity Volume Data'!BF393*'Equity Price Data'!BI394</f>
        <v>25482.32</v>
      </c>
      <c r="BD393" s="30">
        <f>'Equity Volume Data'!BG393*'Equity Price Data'!BJ394</f>
        <v>44412.63</v>
      </c>
      <c r="BE393" s="30">
        <f>'Equity Volume Data'!BH393*'Equity Price Data'!BK394</f>
        <v>13350.35</v>
      </c>
      <c r="BF393" s="30">
        <f>'Equity Volume Data'!BI393*'Equity Price Data'!BL394</f>
        <v>7817.6</v>
      </c>
      <c r="BG393" s="30">
        <f>'Equity Volume Data'!BJ393*'Equity Price Data'!BM394</f>
        <v>38947.8</v>
      </c>
      <c r="BH393" s="30">
        <f>'Equity Volume Data'!BK393*'Equity Price Data'!BN394</f>
        <v>0</v>
      </c>
      <c r="BI393" s="30">
        <f>'Equity Volume Data'!BL393*'Equity Price Data'!BO394</f>
        <v>37636.8</v>
      </c>
      <c r="BJ393" s="30">
        <f>'Equity Volume Data'!BM393*'Equity Price Data'!BP394</f>
        <v>25478.25</v>
      </c>
      <c r="BK393" s="30">
        <f>'Equity Volume Data'!BN393*'Equity Price Data'!BQ394</f>
        <v>90424.36</v>
      </c>
      <c r="BL393" s="30">
        <f>'Equity Volume Data'!BO393*'Equity Price Data'!BR394</f>
        <v>509.48</v>
      </c>
      <c r="BM393" s="30">
        <f>'Equity Volume Data'!BP393*'Equity Price Data'!BS394</f>
        <v>10375.2</v>
      </c>
      <c r="BN393" s="30">
        <f>'Equity Volume Data'!BQ393*'Equity Price Data'!BT394</f>
        <v>19879.12</v>
      </c>
      <c r="BO393" s="30">
        <f>'Equity Volume Data'!BR393*'Equity Price Data'!BU394</f>
        <v>68782</v>
      </c>
    </row>
    <row r="394">
      <c r="A394" s="25">
        <f>'Equity Price Data'!A395</f>
        <v>45995.66667</v>
      </c>
      <c r="B394" s="29">
        <f t="shared" si="1"/>
        <v>1579676.54</v>
      </c>
      <c r="C394" s="30">
        <f>'Equity Volume Data'!F394*'Equity Price Data'!I395</f>
        <v>4273.49</v>
      </c>
      <c r="D394" s="30">
        <f>'Equity Volume Data'!G394*'Equity Price Data'!J395</f>
        <v>59568.6</v>
      </c>
      <c r="E394" s="30">
        <f>'Equity Volume Data'!H394*'Equity Price Data'!K395</f>
        <v>14182.3</v>
      </c>
      <c r="F394" s="30">
        <f>'Equity Volume Data'!I394*'Equity Price Data'!L395</f>
        <v>71859.2</v>
      </c>
      <c r="G394" s="30">
        <f>'Equity Volume Data'!J394*'Equity Price Data'!M395</f>
        <v>22363.52</v>
      </c>
      <c r="H394" s="30">
        <f>'Equity Volume Data'!K394*'Equity Price Data'!N395</f>
        <v>21422.6</v>
      </c>
      <c r="I394" s="30">
        <f>'Equity Volume Data'!L394*'Equity Price Data'!O395</f>
        <v>23400</v>
      </c>
      <c r="J394" s="30">
        <f>'Equity Volume Data'!M394*'Equity Price Data'!P395</f>
        <v>51329.46</v>
      </c>
      <c r="K394" s="30">
        <f>'Equity Volume Data'!N394*'Equity Price Data'!Q395</f>
        <v>11794</v>
      </c>
      <c r="L394" s="30">
        <f>'Equity Volume Data'!O394*'Equity Price Data'!R395</f>
        <v>22019.58</v>
      </c>
      <c r="M394" s="30">
        <f>'Equity Volume Data'!P394*'Equity Price Data'!S395</f>
        <v>14267.12</v>
      </c>
      <c r="N394" s="30">
        <f>'Equity Volume Data'!Q394*'Equity Price Data'!T395</f>
        <v>4360</v>
      </c>
      <c r="O394" s="30">
        <f>'Equity Volume Data'!R394*'Equity Price Data'!U395</f>
        <v>89872.5</v>
      </c>
      <c r="P394" s="30">
        <f>'Equity Volume Data'!S394*'Equity Price Data'!V395</f>
        <v>39235.53</v>
      </c>
      <c r="Q394" s="30">
        <f>'Equity Volume Data'!T394*'Equity Price Data'!W395</f>
        <v>23499.6</v>
      </c>
      <c r="R394" s="30">
        <f>'Equity Volume Data'!U394*'Equity Price Data'!X395</f>
        <v>12180.8</v>
      </c>
      <c r="S394" s="30">
        <f>'Equity Volume Data'!V394*'Equity Price Data'!Y395</f>
        <v>23620.96</v>
      </c>
      <c r="T394" s="30">
        <f>'Equity Volume Data'!W394*'Equity Price Data'!Z395</f>
        <v>13970</v>
      </c>
      <c r="U394" s="30">
        <f>'Equity Volume Data'!X394*'Equity Price Data'!AA395</f>
        <v>18598.8</v>
      </c>
      <c r="V394" s="30">
        <f>'Equity Volume Data'!Y394*'Equity Price Data'!AB395</f>
        <v>15491.42</v>
      </c>
      <c r="W394" s="30">
        <f>'Equity Volume Data'!Z394*'Equity Price Data'!AC395</f>
        <v>11110.38</v>
      </c>
      <c r="X394" s="30">
        <f>'Equity Volume Data'!AA394*'Equity Price Data'!AD395</f>
        <v>0</v>
      </c>
      <c r="Y394" s="30">
        <f>'Equity Volume Data'!AB394*'Equity Price Data'!AE395</f>
        <v>5551.91</v>
      </c>
      <c r="Z394" s="30">
        <f>'Equity Volume Data'!AC394*'Equity Price Data'!AF395</f>
        <v>12319.5</v>
      </c>
      <c r="AA394" s="30">
        <f>'Equity Volume Data'!AD394*'Equity Price Data'!AG395</f>
        <v>19913.8</v>
      </c>
      <c r="AB394" s="30">
        <f>'Equity Volume Data'!AE394*'Equity Price Data'!AH395</f>
        <v>16443</v>
      </c>
      <c r="AC394" s="30">
        <f>'Equity Volume Data'!AF394*'Equity Price Data'!AI395</f>
        <v>15729.2</v>
      </c>
      <c r="AD394" s="30">
        <f>'Equity Volume Data'!AG394*'Equity Price Data'!AJ395</f>
        <v>15376.5</v>
      </c>
      <c r="AE394" s="30">
        <f>'Equity Volume Data'!AH394*'Equity Price Data'!AK395</f>
        <v>0</v>
      </c>
      <c r="AF394" s="30">
        <f>'Equity Volume Data'!AI394*'Equity Price Data'!AL395</f>
        <v>25137.1</v>
      </c>
      <c r="AG394" s="30">
        <f>'Equity Volume Data'!AJ394*'Equity Price Data'!AM395</f>
        <v>50269.8</v>
      </c>
      <c r="AH394" s="30">
        <f>'Equity Volume Data'!AK394*'Equity Price Data'!AN395</f>
        <v>35117</v>
      </c>
      <c r="AI394" s="30">
        <f>'Equity Volume Data'!AL394*'Equity Price Data'!AO395</f>
        <v>29841</v>
      </c>
      <c r="AJ394" s="30">
        <f>'Equity Volume Data'!AM394*'Equity Price Data'!AP395</f>
        <v>20684.3</v>
      </c>
      <c r="AK394" s="30">
        <f>'Equity Volume Data'!AN394*'Equity Price Data'!AQ395</f>
        <v>26725.61</v>
      </c>
      <c r="AL394" s="30">
        <f>'Equity Volume Data'!AO394*'Equity Price Data'!AR395</f>
        <v>50576</v>
      </c>
      <c r="AM394" s="30">
        <f>'Equity Volume Data'!AP394*'Equity Price Data'!AS395</f>
        <v>31384.5</v>
      </c>
      <c r="AN394" s="30">
        <f>'Equity Volume Data'!AQ394*'Equity Price Data'!AT395</f>
        <v>0</v>
      </c>
      <c r="AO394" s="30">
        <f>'Equity Volume Data'!AR394*'Equity Price Data'!AU395</f>
        <v>30112.04</v>
      </c>
      <c r="AP394" s="30">
        <f>'Equity Volume Data'!AS394*'Equity Price Data'!AV395</f>
        <v>25497.5</v>
      </c>
      <c r="AQ394" s="30">
        <f>'Equity Volume Data'!AT394*'Equity Price Data'!AW395</f>
        <v>17166.6</v>
      </c>
      <c r="AR394" s="30">
        <f>'Equity Volume Data'!AU394*'Equity Price Data'!AX395</f>
        <v>13781.4</v>
      </c>
      <c r="AS394" s="30">
        <f>'Equity Volume Data'!AV394*'Equity Price Data'!AY395</f>
        <v>57700.8</v>
      </c>
      <c r="AT394" s="30">
        <f>'Equity Volume Data'!AW394*'Equity Price Data'!AZ395</f>
        <v>32021.76</v>
      </c>
      <c r="AU394" s="30">
        <f>'Equity Volume Data'!AX394*'Equity Price Data'!BA395</f>
        <v>0</v>
      </c>
      <c r="AV394" s="30">
        <f>'Equity Volume Data'!AY394*'Equity Price Data'!BB395</f>
        <v>26039.96</v>
      </c>
      <c r="AW394" s="30">
        <f>'Equity Volume Data'!AZ394*'Equity Price Data'!BC395</f>
        <v>3476.4</v>
      </c>
      <c r="AX394" s="30">
        <f>'Equity Volume Data'!BA394*'Equity Price Data'!BD395</f>
        <v>0</v>
      </c>
      <c r="AY394" s="30">
        <f>'Equity Volume Data'!BB394*'Equity Price Data'!BE395</f>
        <v>40032</v>
      </c>
      <c r="AZ394" s="30">
        <f>'Equity Volume Data'!BC394*'Equity Price Data'!BF395</f>
        <v>9259.5</v>
      </c>
      <c r="BA394" s="30">
        <f>'Equity Volume Data'!BD394*'Equity Price Data'!BG395</f>
        <v>4883</v>
      </c>
      <c r="BB394" s="30">
        <f>'Equity Volume Data'!BE394*'Equity Price Data'!BH395</f>
        <v>13704.8</v>
      </c>
      <c r="BC394" s="30">
        <f>'Equity Volume Data'!BF394*'Equity Price Data'!BI395</f>
        <v>25741.44</v>
      </c>
      <c r="BD394" s="30">
        <f>'Equity Volume Data'!BG394*'Equity Price Data'!BJ395</f>
        <v>44306.13</v>
      </c>
      <c r="BE394" s="30">
        <f>'Equity Volume Data'!BH394*'Equity Price Data'!BK395</f>
        <v>13230.52</v>
      </c>
      <c r="BF394" s="30">
        <f>'Equity Volume Data'!BI394*'Equity Price Data'!BL395</f>
        <v>7930.8</v>
      </c>
      <c r="BG394" s="30">
        <f>'Equity Volume Data'!BJ394*'Equity Price Data'!BM395</f>
        <v>38539.14</v>
      </c>
      <c r="BH394" s="30">
        <f>'Equity Volume Data'!BK394*'Equity Price Data'!BN395</f>
        <v>0</v>
      </c>
      <c r="BI394" s="30">
        <f>'Equity Volume Data'!BL394*'Equity Price Data'!BO395</f>
        <v>37966.4</v>
      </c>
      <c r="BJ394" s="30">
        <f>'Equity Volume Data'!BM394*'Equity Price Data'!BP395</f>
        <v>25011.75</v>
      </c>
      <c r="BK394" s="30">
        <f>'Equity Volume Data'!BN394*'Equity Price Data'!BQ395</f>
        <v>90388.32</v>
      </c>
      <c r="BL394" s="30">
        <f>'Equity Volume Data'!BO394*'Equity Price Data'!BR395</f>
        <v>505.72</v>
      </c>
      <c r="BM394" s="30">
        <f>'Equity Volume Data'!BP394*'Equity Price Data'!BS395</f>
        <v>10281.12</v>
      </c>
      <c r="BN394" s="30">
        <f>'Equity Volume Data'!BQ394*'Equity Price Data'!BT395</f>
        <v>19828.36</v>
      </c>
      <c r="BO394" s="30">
        <f>'Equity Volume Data'!BR394*'Equity Price Data'!BU395</f>
        <v>68782</v>
      </c>
    </row>
    <row r="395">
      <c r="A395" s="25">
        <f>'Equity Price Data'!A396</f>
        <v>45996.66667</v>
      </c>
      <c r="B395" s="29">
        <f t="shared" si="1"/>
        <v>1579512.65</v>
      </c>
      <c r="C395" s="30">
        <f>'Equity Volume Data'!F395*'Equity Price Data'!I396</f>
        <v>4501.38</v>
      </c>
      <c r="D395" s="30">
        <f>'Equity Volume Data'!G395*'Equity Price Data'!J396</f>
        <v>59677.8</v>
      </c>
      <c r="E395" s="30">
        <f>'Equity Volume Data'!H395*'Equity Price Data'!K396</f>
        <v>14245</v>
      </c>
      <c r="F395" s="30">
        <f>'Equity Volume Data'!I395*'Equity Price Data'!L396</f>
        <v>71367.68</v>
      </c>
      <c r="G395" s="30">
        <f>'Equity Volume Data'!J395*'Equity Price Data'!M396</f>
        <v>22244</v>
      </c>
      <c r="H395" s="30">
        <f>'Equity Volume Data'!K395*'Equity Price Data'!N396</f>
        <v>21435.76</v>
      </c>
      <c r="I395" s="30">
        <f>'Equity Volume Data'!L395*'Equity Price Data'!O396</f>
        <v>23220</v>
      </c>
      <c r="J395" s="30">
        <f>'Equity Volume Data'!M395*'Equity Price Data'!P396</f>
        <v>51442.68</v>
      </c>
      <c r="K395" s="30">
        <f>'Equity Volume Data'!N395*'Equity Price Data'!Q396</f>
        <v>11770</v>
      </c>
      <c r="L395" s="30">
        <f>'Equity Volume Data'!O395*'Equity Price Data'!R396</f>
        <v>21937.3</v>
      </c>
      <c r="M395" s="30">
        <f>'Equity Volume Data'!P395*'Equity Price Data'!S396</f>
        <v>14237.92</v>
      </c>
      <c r="N395" s="30">
        <f>'Equity Volume Data'!Q395*'Equity Price Data'!T396</f>
        <v>4343.2</v>
      </c>
      <c r="O395" s="30">
        <f>'Equity Volume Data'!R395*'Equity Price Data'!U396</f>
        <v>90475.5</v>
      </c>
      <c r="P395" s="30">
        <f>'Equity Volume Data'!S395*'Equity Price Data'!V396</f>
        <v>38059.59</v>
      </c>
      <c r="Q395" s="30">
        <f>'Equity Volume Data'!T395*'Equity Price Data'!W396</f>
        <v>23167.2</v>
      </c>
      <c r="R395" s="30">
        <f>'Equity Volume Data'!U395*'Equity Price Data'!X396</f>
        <v>12000</v>
      </c>
      <c r="S395" s="30">
        <f>'Equity Volume Data'!V395*'Equity Price Data'!Y396</f>
        <v>23358.72</v>
      </c>
      <c r="T395" s="30">
        <f>'Equity Volume Data'!W395*'Equity Price Data'!Z396</f>
        <v>13865</v>
      </c>
      <c r="U395" s="30">
        <f>'Equity Volume Data'!X395*'Equity Price Data'!AA396</f>
        <v>18480</v>
      </c>
      <c r="V395" s="30">
        <f>'Equity Volume Data'!Y395*'Equity Price Data'!AB396</f>
        <v>15552.6</v>
      </c>
      <c r="W395" s="30">
        <f>'Equity Volume Data'!Z395*'Equity Price Data'!AC396</f>
        <v>11366.37</v>
      </c>
      <c r="X395" s="30">
        <f>'Equity Volume Data'!AA395*'Equity Price Data'!AD396</f>
        <v>0</v>
      </c>
      <c r="Y395" s="30">
        <f>'Equity Volume Data'!AB395*'Equity Price Data'!AE396</f>
        <v>5415.15</v>
      </c>
      <c r="Z395" s="30">
        <f>'Equity Volume Data'!AC395*'Equity Price Data'!AF396</f>
        <v>12370.5</v>
      </c>
      <c r="AA395" s="30">
        <f>'Equity Volume Data'!AD395*'Equity Price Data'!AG396</f>
        <v>19811.8</v>
      </c>
      <c r="AB395" s="30">
        <f>'Equity Volume Data'!AE395*'Equity Price Data'!AH396</f>
        <v>16457.4</v>
      </c>
      <c r="AC395" s="30">
        <f>'Equity Volume Data'!AF395*'Equity Price Data'!AI396</f>
        <v>15728.4</v>
      </c>
      <c r="AD395" s="30">
        <f>'Equity Volume Data'!AG395*'Equity Price Data'!AJ396</f>
        <v>15178.95</v>
      </c>
      <c r="AE395" s="30">
        <f>'Equity Volume Data'!AH395*'Equity Price Data'!AK396</f>
        <v>0</v>
      </c>
      <c r="AF395" s="30">
        <f>'Equity Volume Data'!AI395*'Equity Price Data'!AL396</f>
        <v>24850.1</v>
      </c>
      <c r="AG395" s="30">
        <f>'Equity Volume Data'!AJ395*'Equity Price Data'!AM396</f>
        <v>51273.6</v>
      </c>
      <c r="AH395" s="30">
        <f>'Equity Volume Data'!AK395*'Equity Price Data'!AN396</f>
        <v>35461</v>
      </c>
      <c r="AI395" s="30">
        <f>'Equity Volume Data'!AL395*'Equity Price Data'!AO396</f>
        <v>29897</v>
      </c>
      <c r="AJ395" s="30">
        <f>'Equity Volume Data'!AM395*'Equity Price Data'!AP396</f>
        <v>20516.6</v>
      </c>
      <c r="AK395" s="30">
        <f>'Equity Volume Data'!AN395*'Equity Price Data'!AQ396</f>
        <v>27040.98</v>
      </c>
      <c r="AL395" s="30">
        <f>'Equity Volume Data'!AO395*'Equity Price Data'!AR396</f>
        <v>50406.4</v>
      </c>
      <c r="AM395" s="30">
        <f>'Equity Volume Data'!AP395*'Equity Price Data'!AS396</f>
        <v>31654</v>
      </c>
      <c r="AN395" s="30">
        <f>'Equity Volume Data'!AQ395*'Equity Price Data'!AT396</f>
        <v>0</v>
      </c>
      <c r="AO395" s="30">
        <f>'Equity Volume Data'!AR395*'Equity Price Data'!AU396</f>
        <v>30137.66</v>
      </c>
      <c r="AP395" s="30">
        <f>'Equity Volume Data'!AS395*'Equity Price Data'!AV396</f>
        <v>25340</v>
      </c>
      <c r="AQ395" s="30">
        <f>'Equity Volume Data'!AT395*'Equity Price Data'!AW396</f>
        <v>17305.2</v>
      </c>
      <c r="AR395" s="30">
        <f>'Equity Volume Data'!AU395*'Equity Price Data'!AX396</f>
        <v>13846.07</v>
      </c>
      <c r="AS395" s="30">
        <f>'Equity Volume Data'!AV395*'Equity Price Data'!AY396</f>
        <v>57979.2</v>
      </c>
      <c r="AT395" s="30">
        <f>'Equity Volume Data'!AW395*'Equity Price Data'!AZ396</f>
        <v>31921.92</v>
      </c>
      <c r="AU395" s="30">
        <f>'Equity Volume Data'!AX395*'Equity Price Data'!BA396</f>
        <v>0</v>
      </c>
      <c r="AV395" s="30">
        <f>'Equity Volume Data'!AY395*'Equity Price Data'!BB396</f>
        <v>25902.22</v>
      </c>
      <c r="AW395" s="30">
        <f>'Equity Volume Data'!AZ395*'Equity Price Data'!BC396</f>
        <v>3458</v>
      </c>
      <c r="AX395" s="30">
        <f>'Equity Volume Data'!BA395*'Equity Price Data'!BD396</f>
        <v>0</v>
      </c>
      <c r="AY395" s="30">
        <f>'Equity Volume Data'!BB395*'Equity Price Data'!BE396</f>
        <v>40896</v>
      </c>
      <c r="AZ395" s="30">
        <f>'Equity Volume Data'!BC395*'Equity Price Data'!BF396</f>
        <v>9342</v>
      </c>
      <c r="BA395" s="30">
        <f>'Equity Volume Data'!BD395*'Equity Price Data'!BG396</f>
        <v>4945.7</v>
      </c>
      <c r="BB395" s="30">
        <f>'Equity Volume Data'!BE395*'Equity Price Data'!BH396</f>
        <v>13688</v>
      </c>
      <c r="BC395" s="30">
        <f>'Equity Volume Data'!BF395*'Equity Price Data'!BI396</f>
        <v>26121.92</v>
      </c>
      <c r="BD395" s="30">
        <f>'Equity Volume Data'!BG395*'Equity Price Data'!BJ396</f>
        <v>44651.19</v>
      </c>
      <c r="BE395" s="30">
        <f>'Equity Volume Data'!BH395*'Equity Price Data'!BK396</f>
        <v>13173.71</v>
      </c>
      <c r="BF395" s="30">
        <f>'Equity Volume Data'!BI395*'Equity Price Data'!BL396</f>
        <v>7862.4</v>
      </c>
      <c r="BG395" s="30">
        <f>'Equity Volume Data'!BJ395*'Equity Price Data'!BM396</f>
        <v>37949.78</v>
      </c>
      <c r="BH395" s="30">
        <f>'Equity Volume Data'!BK395*'Equity Price Data'!BN396</f>
        <v>0</v>
      </c>
      <c r="BI395" s="30">
        <f>'Equity Volume Data'!BL395*'Equity Price Data'!BO396</f>
        <v>37649.6</v>
      </c>
      <c r="BJ395" s="30">
        <f>'Equity Volume Data'!BM395*'Equity Price Data'!BP396</f>
        <v>24818.25</v>
      </c>
      <c r="BK395" s="30">
        <f>'Equity Volume Data'!BN395*'Equity Price Data'!BQ396</f>
        <v>90370.3</v>
      </c>
      <c r="BL395" s="30">
        <f>'Equity Volume Data'!BO395*'Equity Price Data'!BR396</f>
        <v>513.71</v>
      </c>
      <c r="BM395" s="30">
        <f>'Equity Volume Data'!BP395*'Equity Price Data'!BS396</f>
        <v>10251.84</v>
      </c>
      <c r="BN395" s="30">
        <f>'Equity Volume Data'!BQ395*'Equity Price Data'!BT396</f>
        <v>19796.4</v>
      </c>
      <c r="BO395" s="30">
        <f>'Equity Volume Data'!BR395*'Equity Price Data'!BU396</f>
        <v>68782</v>
      </c>
    </row>
    <row r="396">
      <c r="A396" s="25">
        <f>'Equity Price Data'!A397</f>
        <v>45999.66667</v>
      </c>
      <c r="B396" s="29">
        <f t="shared" si="1"/>
        <v>1573768.69</v>
      </c>
      <c r="C396" s="30">
        <f>'Equity Volume Data'!F396*'Equity Price Data'!I397</f>
        <v>4408.56</v>
      </c>
      <c r="D396" s="30">
        <f>'Equity Volume Data'!G396*'Equity Price Data'!J397</f>
        <v>58991.4</v>
      </c>
      <c r="E396" s="30">
        <f>'Equity Volume Data'!H396*'Equity Price Data'!K397</f>
        <v>14130.6</v>
      </c>
      <c r="F396" s="30">
        <f>'Equity Volume Data'!I396*'Equity Price Data'!L397</f>
        <v>71139.84</v>
      </c>
      <c r="G396" s="30">
        <f>'Equity Volume Data'!J396*'Equity Price Data'!M397</f>
        <v>22257.28</v>
      </c>
      <c r="H396" s="30">
        <f>'Equity Volume Data'!K396*'Equity Price Data'!N397</f>
        <v>21514.72</v>
      </c>
      <c r="I396" s="30">
        <f>'Equity Volume Data'!L396*'Equity Price Data'!O397</f>
        <v>23260</v>
      </c>
      <c r="J396" s="30">
        <f>'Equity Volume Data'!M396*'Equity Price Data'!P397</f>
        <v>50717.46</v>
      </c>
      <c r="K396" s="30">
        <f>'Equity Volume Data'!N396*'Equity Price Data'!Q397</f>
        <v>11668</v>
      </c>
      <c r="L396" s="30">
        <f>'Equity Volume Data'!O396*'Equity Price Data'!R397</f>
        <v>21833.24</v>
      </c>
      <c r="M396" s="30">
        <f>'Equity Volume Data'!P396*'Equity Price Data'!S397</f>
        <v>13700.64</v>
      </c>
      <c r="N396" s="30">
        <f>'Equity Volume Data'!Q396*'Equity Price Data'!T397</f>
        <v>4242.4</v>
      </c>
      <c r="O396" s="30">
        <f>'Equity Volume Data'!R396*'Equity Price Data'!U397</f>
        <v>89475</v>
      </c>
      <c r="P396" s="30">
        <f>'Equity Volume Data'!S396*'Equity Price Data'!V397</f>
        <v>37905.3</v>
      </c>
      <c r="Q396" s="30">
        <f>'Equity Volume Data'!T396*'Equity Price Data'!W397</f>
        <v>22902</v>
      </c>
      <c r="R396" s="30">
        <f>'Equity Volume Data'!U396*'Equity Price Data'!X397</f>
        <v>11896.8</v>
      </c>
      <c r="S396" s="30">
        <f>'Equity Volume Data'!V396*'Equity Price Data'!Y397</f>
        <v>23191.52</v>
      </c>
      <c r="T396" s="30">
        <f>'Equity Volume Data'!W396*'Equity Price Data'!Z397</f>
        <v>13940</v>
      </c>
      <c r="U396" s="30">
        <f>'Equity Volume Data'!X396*'Equity Price Data'!AA397</f>
        <v>18546</v>
      </c>
      <c r="V396" s="30">
        <f>'Equity Volume Data'!Y396*'Equity Price Data'!AB397</f>
        <v>15367.45</v>
      </c>
      <c r="W396" s="30">
        <f>'Equity Volume Data'!Z396*'Equity Price Data'!AC397</f>
        <v>11300.82</v>
      </c>
      <c r="X396" s="30">
        <f>'Equity Volume Data'!AA396*'Equity Price Data'!AD397</f>
        <v>0</v>
      </c>
      <c r="Y396" s="30">
        <f>'Equity Volume Data'!AB396*'Equity Price Data'!AE397</f>
        <v>5440.11</v>
      </c>
      <c r="Z396" s="30">
        <f>'Equity Volume Data'!AC396*'Equity Price Data'!AF397</f>
        <v>12577.5</v>
      </c>
      <c r="AA396" s="30">
        <f>'Equity Volume Data'!AD396*'Equity Price Data'!AG397</f>
        <v>19716.6</v>
      </c>
      <c r="AB396" s="30">
        <f>'Equity Volume Data'!AE396*'Equity Price Data'!AH397</f>
        <v>16598.4</v>
      </c>
      <c r="AC396" s="30">
        <f>'Equity Volume Data'!AF396*'Equity Price Data'!AI397</f>
        <v>15319.2</v>
      </c>
      <c r="AD396" s="30">
        <f>'Equity Volume Data'!AG396*'Equity Price Data'!AJ397</f>
        <v>15120.45</v>
      </c>
      <c r="AE396" s="30">
        <f>'Equity Volume Data'!AH396*'Equity Price Data'!AK397</f>
        <v>0</v>
      </c>
      <c r="AF396" s="30">
        <f>'Equity Volume Data'!AI396*'Equity Price Data'!AL397</f>
        <v>24843.95</v>
      </c>
      <c r="AG396" s="30">
        <f>'Equity Volume Data'!AJ396*'Equity Price Data'!AM397</f>
        <v>52001.4</v>
      </c>
      <c r="AH396" s="30">
        <f>'Equity Volume Data'!AK396*'Equity Price Data'!AN397</f>
        <v>34991</v>
      </c>
      <c r="AI396" s="30">
        <f>'Equity Volume Data'!AL396*'Equity Price Data'!AO397</f>
        <v>29930.25</v>
      </c>
      <c r="AJ396" s="30">
        <f>'Equity Volume Data'!AM396*'Equity Price Data'!AP397</f>
        <v>20413.9</v>
      </c>
      <c r="AK396" s="30">
        <f>'Equity Volume Data'!AN396*'Equity Price Data'!AQ397</f>
        <v>26643.83</v>
      </c>
      <c r="AL396" s="30">
        <f>'Equity Volume Data'!AO396*'Equity Price Data'!AR397</f>
        <v>50433.6</v>
      </c>
      <c r="AM396" s="30">
        <f>'Equity Volume Data'!AP396*'Equity Price Data'!AS397</f>
        <v>32576.6</v>
      </c>
      <c r="AN396" s="30">
        <f>'Equity Volume Data'!AQ396*'Equity Price Data'!AT397</f>
        <v>0</v>
      </c>
      <c r="AO396" s="30">
        <f>'Equity Volume Data'!AR396*'Equity Price Data'!AU397</f>
        <v>29838.76</v>
      </c>
      <c r="AP396" s="30">
        <f>'Equity Volume Data'!AS396*'Equity Price Data'!AV397</f>
        <v>25315</v>
      </c>
      <c r="AQ396" s="30">
        <f>'Equity Volume Data'!AT396*'Equity Price Data'!AW397</f>
        <v>17177.6</v>
      </c>
      <c r="AR396" s="30">
        <f>'Equity Volume Data'!AU396*'Equity Price Data'!AX397</f>
        <v>13647.6</v>
      </c>
      <c r="AS396" s="30">
        <f>'Equity Volume Data'!AV396*'Equity Price Data'!AY397</f>
        <v>58922.4</v>
      </c>
      <c r="AT396" s="30">
        <f>'Equity Volume Data'!AW396*'Equity Price Data'!AZ397</f>
        <v>30931.2</v>
      </c>
      <c r="AU396" s="30">
        <f>'Equity Volume Data'!AX396*'Equity Price Data'!BA397</f>
        <v>0</v>
      </c>
      <c r="AV396" s="30">
        <f>'Equity Volume Data'!AY396*'Equity Price Data'!BB397</f>
        <v>26348.1</v>
      </c>
      <c r="AW396" s="30">
        <f>'Equity Volume Data'!AZ396*'Equity Price Data'!BC397</f>
        <v>3444.8</v>
      </c>
      <c r="AX396" s="30">
        <f>'Equity Volume Data'!BA396*'Equity Price Data'!BD397</f>
        <v>0</v>
      </c>
      <c r="AY396" s="30">
        <f>'Equity Volume Data'!BB396*'Equity Price Data'!BE397</f>
        <v>40835.25</v>
      </c>
      <c r="AZ396" s="30">
        <f>'Equity Volume Data'!BC396*'Equity Price Data'!BF397</f>
        <v>9168</v>
      </c>
      <c r="BA396" s="30">
        <f>'Equity Volume Data'!BD396*'Equity Price Data'!BG397</f>
        <v>4896.3</v>
      </c>
      <c r="BB396" s="30">
        <f>'Equity Volume Data'!BE396*'Equity Price Data'!BH397</f>
        <v>13721.6</v>
      </c>
      <c r="BC396" s="30">
        <f>'Equity Volume Data'!BF396*'Equity Price Data'!BI397</f>
        <v>26259.68</v>
      </c>
      <c r="BD396" s="30">
        <f>'Equity Volume Data'!BG396*'Equity Price Data'!BJ397</f>
        <v>43545.72</v>
      </c>
      <c r="BE396" s="30">
        <f>'Equity Volume Data'!BH396*'Equity Price Data'!BK397</f>
        <v>13068.83</v>
      </c>
      <c r="BF396" s="30">
        <f>'Equity Volume Data'!BI396*'Equity Price Data'!BL397</f>
        <v>7808.4</v>
      </c>
      <c r="BG396" s="30">
        <f>'Equity Volume Data'!BJ396*'Equity Price Data'!BM397</f>
        <v>37974.8</v>
      </c>
      <c r="BH396" s="30">
        <f>'Equity Volume Data'!BK396*'Equity Price Data'!BN397</f>
        <v>0</v>
      </c>
      <c r="BI396" s="30">
        <f>'Equity Volume Data'!BL396*'Equity Price Data'!BO397</f>
        <v>37670.4</v>
      </c>
      <c r="BJ396" s="30">
        <f>'Equity Volume Data'!BM396*'Equity Price Data'!BP397</f>
        <v>24271.5</v>
      </c>
      <c r="BK396" s="30">
        <f>'Equity Volume Data'!BN396*'Equity Price Data'!BQ397</f>
        <v>90298.22</v>
      </c>
      <c r="BL396" s="30">
        <f>'Equity Volume Data'!BO396*'Equity Price Data'!BR397</f>
        <v>521.23</v>
      </c>
      <c r="BM396" s="30">
        <f>'Equity Volume Data'!BP396*'Equity Price Data'!BS397</f>
        <v>10091.04</v>
      </c>
      <c r="BN396" s="30">
        <f>'Equity Volume Data'!BQ396*'Equity Price Data'!BT397</f>
        <v>20234.44</v>
      </c>
      <c r="BO396" s="30">
        <f>'Equity Volume Data'!BR396*'Equity Price Data'!BU397</f>
        <v>68782</v>
      </c>
    </row>
    <row r="397">
      <c r="A397" s="25">
        <f>'Equity Price Data'!A398</f>
        <v>46000.66667</v>
      </c>
      <c r="B397" s="29">
        <f t="shared" si="1"/>
        <v>1567507.75</v>
      </c>
      <c r="C397" s="30">
        <f>'Equity Volume Data'!F397*'Equity Price Data'!I398</f>
        <v>4476.16</v>
      </c>
      <c r="D397" s="30">
        <f>'Equity Volume Data'!G397*'Equity Price Data'!J398</f>
        <v>59259.2</v>
      </c>
      <c r="E397" s="30">
        <f>'Equity Volume Data'!H397*'Equity Price Data'!K398</f>
        <v>14096.5</v>
      </c>
      <c r="F397" s="30">
        <f>'Equity Volume Data'!I397*'Equity Price Data'!L398</f>
        <v>70958.08</v>
      </c>
      <c r="G397" s="30">
        <f>'Equity Volume Data'!J397*'Equity Price Data'!M398</f>
        <v>22172.62</v>
      </c>
      <c r="H397" s="30">
        <f>'Equity Volume Data'!K397*'Equity Price Data'!N398</f>
        <v>21794.84</v>
      </c>
      <c r="I397" s="30">
        <f>'Equity Volume Data'!L397*'Equity Price Data'!O398</f>
        <v>23140</v>
      </c>
      <c r="J397" s="30">
        <f>'Equity Volume Data'!M397*'Equity Price Data'!P398</f>
        <v>50125.86</v>
      </c>
      <c r="K397" s="30">
        <f>'Equity Volume Data'!N397*'Equity Price Data'!Q398</f>
        <v>11802</v>
      </c>
      <c r="L397" s="30">
        <f>'Equity Volume Data'!O397*'Equity Price Data'!R398</f>
        <v>21276.64</v>
      </c>
      <c r="M397" s="30">
        <f>'Equity Volume Data'!P397*'Equity Price Data'!S398</f>
        <v>13509.38</v>
      </c>
      <c r="N397" s="30">
        <f>'Equity Volume Data'!Q397*'Equity Price Data'!T398</f>
        <v>4227.2</v>
      </c>
      <c r="O397" s="30">
        <f>'Equity Volume Data'!R397*'Equity Price Data'!U398</f>
        <v>89154</v>
      </c>
      <c r="P397" s="30">
        <f>'Equity Volume Data'!S397*'Equity Price Data'!V398</f>
        <v>38931.12</v>
      </c>
      <c r="Q397" s="30">
        <f>'Equity Volume Data'!T397*'Equity Price Data'!W398</f>
        <v>23302.8</v>
      </c>
      <c r="R397" s="30">
        <f>'Equity Volume Data'!U397*'Equity Price Data'!X398</f>
        <v>11879.2</v>
      </c>
      <c r="S397" s="30">
        <f>'Equity Volume Data'!V397*'Equity Price Data'!Y398</f>
        <v>23118.48</v>
      </c>
      <c r="T397" s="30">
        <f>'Equity Volume Data'!W397*'Equity Price Data'!Z398</f>
        <v>13985</v>
      </c>
      <c r="U397" s="30">
        <f>'Equity Volume Data'!X397*'Equity Price Data'!AA398</f>
        <v>18503.76</v>
      </c>
      <c r="V397" s="30">
        <f>'Equity Volume Data'!Y397*'Equity Price Data'!AB398</f>
        <v>15427.02</v>
      </c>
      <c r="W397" s="30">
        <f>'Equity Volume Data'!Z397*'Equity Price Data'!AC398</f>
        <v>11230.44</v>
      </c>
      <c r="X397" s="30">
        <f>'Equity Volume Data'!AA397*'Equity Price Data'!AD398</f>
        <v>0</v>
      </c>
      <c r="Y397" s="30">
        <f>'Equity Volume Data'!AB397*'Equity Price Data'!AE398</f>
        <v>5423.47</v>
      </c>
      <c r="Z397" s="30">
        <f>'Equity Volume Data'!AC397*'Equity Price Data'!AF398</f>
        <v>12583.5</v>
      </c>
      <c r="AA397" s="30">
        <f>'Equity Volume Data'!AD397*'Equity Price Data'!AG398</f>
        <v>20102.5</v>
      </c>
      <c r="AB397" s="30">
        <f>'Equity Volume Data'!AE397*'Equity Price Data'!AH398</f>
        <v>16507.8</v>
      </c>
      <c r="AC397" s="30">
        <f>'Equity Volume Data'!AF397*'Equity Price Data'!AI398</f>
        <v>15014</v>
      </c>
      <c r="AD397" s="30">
        <f>'Equity Volume Data'!AG397*'Equity Price Data'!AJ398</f>
        <v>15042.15</v>
      </c>
      <c r="AE397" s="30">
        <f>'Equity Volume Data'!AH397*'Equity Price Data'!AK398</f>
        <v>0</v>
      </c>
      <c r="AF397" s="30">
        <f>'Equity Volume Data'!AI397*'Equity Price Data'!AL398</f>
        <v>24468.8</v>
      </c>
      <c r="AG397" s="30">
        <f>'Equity Volume Data'!AJ397*'Equity Price Data'!AM398</f>
        <v>52594.8</v>
      </c>
      <c r="AH397" s="30">
        <f>'Equity Volume Data'!AK397*'Equity Price Data'!AN398</f>
        <v>34527</v>
      </c>
      <c r="AI397" s="30">
        <f>'Equity Volume Data'!AL397*'Equity Price Data'!AO398</f>
        <v>30231.25</v>
      </c>
      <c r="AJ397" s="30">
        <f>'Equity Volume Data'!AM397*'Equity Price Data'!AP398</f>
        <v>20541.3</v>
      </c>
      <c r="AK397" s="30">
        <f>'Equity Volume Data'!AN397*'Equity Price Data'!AQ398</f>
        <v>26232.11</v>
      </c>
      <c r="AL397" s="30">
        <f>'Equity Volume Data'!AO397*'Equity Price Data'!AR398</f>
        <v>48081.6</v>
      </c>
      <c r="AM397" s="30">
        <f>'Equity Volume Data'!AP397*'Equity Price Data'!AS398</f>
        <v>32682.3</v>
      </c>
      <c r="AN397" s="30">
        <f>'Equity Volume Data'!AQ397*'Equity Price Data'!AT398</f>
        <v>0</v>
      </c>
      <c r="AO397" s="30">
        <f>'Equity Volume Data'!AR397*'Equity Price Data'!AU398</f>
        <v>30077.88</v>
      </c>
      <c r="AP397" s="30">
        <f>'Equity Volume Data'!AS397*'Equity Price Data'!AV398</f>
        <v>24905</v>
      </c>
      <c r="AQ397" s="30">
        <f>'Equity Volume Data'!AT397*'Equity Price Data'!AW398</f>
        <v>17120.4</v>
      </c>
      <c r="AR397" s="30">
        <f>'Equity Volume Data'!AU397*'Equity Price Data'!AX398</f>
        <v>13339.86</v>
      </c>
      <c r="AS397" s="30">
        <f>'Equity Volume Data'!AV397*'Equity Price Data'!AY398</f>
        <v>59042.4</v>
      </c>
      <c r="AT397" s="30">
        <f>'Equity Volume Data'!AW397*'Equity Price Data'!AZ398</f>
        <v>30581.76</v>
      </c>
      <c r="AU397" s="30">
        <f>'Equity Volume Data'!AX397*'Equity Price Data'!BA398</f>
        <v>0</v>
      </c>
      <c r="AV397" s="30">
        <f>'Equity Volume Data'!AY397*'Equity Price Data'!BB398</f>
        <v>26265.74</v>
      </c>
      <c r="AW397" s="30">
        <f>'Equity Volume Data'!AZ397*'Equity Price Data'!BC398</f>
        <v>3483.6</v>
      </c>
      <c r="AX397" s="30">
        <f>'Equity Volume Data'!BA397*'Equity Price Data'!BD398</f>
        <v>0</v>
      </c>
      <c r="AY397" s="30">
        <f>'Equity Volume Data'!BB397*'Equity Price Data'!BE398</f>
        <v>40914</v>
      </c>
      <c r="AZ397" s="30">
        <f>'Equity Volume Data'!BC397*'Equity Price Data'!BF398</f>
        <v>9117</v>
      </c>
      <c r="BA397" s="30">
        <f>'Equity Volume Data'!BD397*'Equity Price Data'!BG398</f>
        <v>4812.7</v>
      </c>
      <c r="BB397" s="30">
        <f>'Equity Volume Data'!BE397*'Equity Price Data'!BH398</f>
        <v>13754.4</v>
      </c>
      <c r="BC397" s="30">
        <f>'Equity Volume Data'!BF397*'Equity Price Data'!BI398</f>
        <v>25521.68</v>
      </c>
      <c r="BD397" s="30">
        <f>'Equity Volume Data'!BG397*'Equity Price Data'!BJ398</f>
        <v>42887.55</v>
      </c>
      <c r="BE397" s="30">
        <f>'Equity Volume Data'!BH397*'Equity Price Data'!BK398</f>
        <v>12950.61</v>
      </c>
      <c r="BF397" s="30">
        <f>'Equity Volume Data'!BI397*'Equity Price Data'!BL398</f>
        <v>7853.6</v>
      </c>
      <c r="BG397" s="30">
        <f>'Equity Volume Data'!BJ397*'Equity Price Data'!BM398</f>
        <v>37474.4</v>
      </c>
      <c r="BH397" s="30">
        <f>'Equity Volume Data'!BK397*'Equity Price Data'!BN398</f>
        <v>0</v>
      </c>
      <c r="BI397" s="30">
        <f>'Equity Volume Data'!BL397*'Equity Price Data'!BO398</f>
        <v>37049.6</v>
      </c>
      <c r="BJ397" s="30">
        <f>'Equity Volume Data'!BM397*'Equity Price Data'!BP398</f>
        <v>24270</v>
      </c>
      <c r="BK397" s="30">
        <f>'Equity Volume Data'!BN397*'Equity Price Data'!BQ398</f>
        <v>90208.12</v>
      </c>
      <c r="BL397" s="30">
        <f>'Equity Volume Data'!BO397*'Equity Price Data'!BR398</f>
        <v>525.93</v>
      </c>
      <c r="BM397" s="30">
        <f>'Equity Volume Data'!BP397*'Equity Price Data'!BS398</f>
        <v>10046.88</v>
      </c>
      <c r="BN397" s="30">
        <f>'Equity Volume Data'!BQ397*'Equity Price Data'!BT398</f>
        <v>20119.76</v>
      </c>
      <c r="BO397" s="30">
        <f>'Equity Volume Data'!BR397*'Equity Price Data'!BU398</f>
        <v>68782</v>
      </c>
    </row>
    <row r="398">
      <c r="A398" s="25">
        <f>'Equity Price Data'!A399</f>
        <v>46001.66667</v>
      </c>
      <c r="B398" s="29">
        <f t="shared" si="1"/>
        <v>1580639.74</v>
      </c>
      <c r="C398" s="30">
        <f>'Equity Volume Data'!F398*'Equity Price Data'!I399</f>
        <v>4460.69</v>
      </c>
      <c r="D398" s="30">
        <f>'Equity Volume Data'!G398*'Equity Price Data'!J399</f>
        <v>60262.8</v>
      </c>
      <c r="E398" s="30">
        <f>'Equity Volume Data'!H398*'Equity Price Data'!K399</f>
        <v>14159.2</v>
      </c>
      <c r="F398" s="30">
        <f>'Equity Volume Data'!I398*'Equity Price Data'!L399</f>
        <v>71367.68</v>
      </c>
      <c r="G398" s="30">
        <f>'Equity Volume Data'!J398*'Equity Price Data'!M399</f>
        <v>22837.45</v>
      </c>
      <c r="H398" s="30">
        <f>'Equity Volume Data'!K398*'Equity Price Data'!N399</f>
        <v>22255.44</v>
      </c>
      <c r="I398" s="30">
        <f>'Equity Volume Data'!L398*'Equity Price Data'!O399</f>
        <v>23820</v>
      </c>
      <c r="J398" s="30">
        <f>'Equity Volume Data'!M398*'Equity Price Data'!P399</f>
        <v>50023.86</v>
      </c>
      <c r="K398" s="30">
        <f>'Equity Volume Data'!N398*'Equity Price Data'!Q399</f>
        <v>12106</v>
      </c>
      <c r="L398" s="30">
        <f>'Equity Volume Data'!O398*'Equity Price Data'!R399</f>
        <v>21483.55</v>
      </c>
      <c r="M398" s="30">
        <f>'Equity Volume Data'!P398*'Equity Price Data'!S399</f>
        <v>13534.2</v>
      </c>
      <c r="N398" s="30">
        <f>'Equity Volume Data'!Q398*'Equity Price Data'!T399</f>
        <v>4272</v>
      </c>
      <c r="O398" s="30">
        <f>'Equity Volume Data'!R398*'Equity Price Data'!U399</f>
        <v>92302.5</v>
      </c>
      <c r="P398" s="30">
        <f>'Equity Volume Data'!S398*'Equity Price Data'!V399</f>
        <v>39097.92</v>
      </c>
      <c r="Q398" s="30">
        <f>'Equity Volume Data'!T398*'Equity Price Data'!W399</f>
        <v>23700</v>
      </c>
      <c r="R398" s="30">
        <f>'Equity Volume Data'!U398*'Equity Price Data'!X399</f>
        <v>12112.8</v>
      </c>
      <c r="S398" s="30">
        <f>'Equity Volume Data'!V398*'Equity Price Data'!Y399</f>
        <v>23108.8</v>
      </c>
      <c r="T398" s="30">
        <f>'Equity Volume Data'!W398*'Equity Price Data'!Z399</f>
        <v>14615</v>
      </c>
      <c r="U398" s="30">
        <f>'Equity Volume Data'!X398*'Equity Price Data'!AA399</f>
        <v>18535.44</v>
      </c>
      <c r="V398" s="30">
        <f>'Equity Volume Data'!Y398*'Equity Price Data'!AB399</f>
        <v>15361.01</v>
      </c>
      <c r="W398" s="30">
        <f>'Equity Volume Data'!Z398*'Equity Price Data'!AC399</f>
        <v>11006.19</v>
      </c>
      <c r="X398" s="30">
        <f>'Equity Volume Data'!AA398*'Equity Price Data'!AD399</f>
        <v>0</v>
      </c>
      <c r="Y398" s="30">
        <f>'Equity Volume Data'!AB398*'Equity Price Data'!AE399</f>
        <v>5445.44</v>
      </c>
      <c r="Z398" s="30">
        <f>'Equity Volume Data'!AC398*'Equity Price Data'!AF399</f>
        <v>12394.5</v>
      </c>
      <c r="AA398" s="30">
        <f>'Equity Volume Data'!AD398*'Equity Price Data'!AG399</f>
        <v>20321.8</v>
      </c>
      <c r="AB398" s="30">
        <f>'Equity Volume Data'!AE398*'Equity Price Data'!AH399</f>
        <v>17058.6</v>
      </c>
      <c r="AC398" s="30">
        <f>'Equity Volume Data'!AF398*'Equity Price Data'!AI399</f>
        <v>14561.6</v>
      </c>
      <c r="AD398" s="30">
        <f>'Equity Volume Data'!AG398*'Equity Price Data'!AJ399</f>
        <v>15400.35</v>
      </c>
      <c r="AE398" s="30">
        <f>'Equity Volume Data'!AH398*'Equity Price Data'!AK399</f>
        <v>0</v>
      </c>
      <c r="AF398" s="30">
        <f>'Equity Volume Data'!AI398*'Equity Price Data'!AL399</f>
        <v>24874.7</v>
      </c>
      <c r="AG398" s="30">
        <f>'Equity Volume Data'!AJ398*'Equity Price Data'!AM399</f>
        <v>53354.4</v>
      </c>
      <c r="AH398" s="30">
        <f>'Equity Volume Data'!AK398*'Equity Price Data'!AN399</f>
        <v>35113</v>
      </c>
      <c r="AI398" s="30">
        <f>'Equity Volume Data'!AL398*'Equity Price Data'!AO399</f>
        <v>30467.5</v>
      </c>
      <c r="AJ398" s="30">
        <f>'Equity Volume Data'!AM398*'Equity Price Data'!AP399</f>
        <v>20849.4</v>
      </c>
      <c r="AK398" s="30">
        <f>'Equity Volume Data'!AN398*'Equity Price Data'!AQ399</f>
        <v>26128.24</v>
      </c>
      <c r="AL398" s="30">
        <f>'Equity Volume Data'!AO398*'Equity Price Data'!AR399</f>
        <v>49617.6</v>
      </c>
      <c r="AM398" s="30">
        <f>'Equity Volume Data'!AP398*'Equity Price Data'!AS399</f>
        <v>32755.8</v>
      </c>
      <c r="AN398" s="30">
        <f>'Equity Volume Data'!AQ398*'Equity Price Data'!AT399</f>
        <v>0</v>
      </c>
      <c r="AO398" s="30">
        <f>'Equity Volume Data'!AR398*'Equity Price Data'!AU399</f>
        <v>30308.46</v>
      </c>
      <c r="AP398" s="30">
        <f>'Equity Volume Data'!AS398*'Equity Price Data'!AV399</f>
        <v>25192.5</v>
      </c>
      <c r="AQ398" s="30">
        <f>'Equity Volume Data'!AT398*'Equity Price Data'!AW399</f>
        <v>17560.4</v>
      </c>
      <c r="AR398" s="30">
        <f>'Equity Volume Data'!AU398*'Equity Price Data'!AX399</f>
        <v>12940.69</v>
      </c>
      <c r="AS398" s="30">
        <f>'Equity Volume Data'!AV398*'Equity Price Data'!AY399</f>
        <v>57427.2</v>
      </c>
      <c r="AT398" s="30">
        <f>'Equity Volume Data'!AW398*'Equity Price Data'!AZ399</f>
        <v>31207.68</v>
      </c>
      <c r="AU398" s="30">
        <f>'Equity Volume Data'!AX398*'Equity Price Data'!BA399</f>
        <v>0</v>
      </c>
      <c r="AV398" s="30">
        <f>'Equity Volume Data'!AY398*'Equity Price Data'!BB399</f>
        <v>26096.76</v>
      </c>
      <c r="AW398" s="30">
        <f>'Equity Volume Data'!AZ398*'Equity Price Data'!BC399</f>
        <v>3514</v>
      </c>
      <c r="AX398" s="30">
        <f>'Equity Volume Data'!BA398*'Equity Price Data'!BD399</f>
        <v>0</v>
      </c>
      <c r="AY398" s="30">
        <f>'Equity Volume Data'!BB398*'Equity Price Data'!BE399</f>
        <v>42279.75</v>
      </c>
      <c r="AZ398" s="30">
        <f>'Equity Volume Data'!BC398*'Equity Price Data'!BF399</f>
        <v>9174</v>
      </c>
      <c r="BA398" s="30">
        <f>'Equity Volume Data'!BD398*'Equity Price Data'!BG399</f>
        <v>4898.2</v>
      </c>
      <c r="BB398" s="30">
        <f>'Equity Volume Data'!BE398*'Equity Price Data'!BH399</f>
        <v>13977.6</v>
      </c>
      <c r="BC398" s="30">
        <f>'Equity Volume Data'!BF398*'Equity Price Data'!BI399</f>
        <v>25544.64</v>
      </c>
      <c r="BD398" s="30">
        <f>'Equity Volume Data'!BG398*'Equity Price Data'!BJ399</f>
        <v>41603.16</v>
      </c>
      <c r="BE398" s="30">
        <f>'Equity Volume Data'!BH398*'Equity Price Data'!BK399</f>
        <v>13197.63</v>
      </c>
      <c r="BF398" s="30">
        <f>'Equity Volume Data'!BI398*'Equity Price Data'!BL399</f>
        <v>8031.2</v>
      </c>
      <c r="BG398" s="30">
        <f>'Equity Volume Data'!BJ398*'Equity Price Data'!BM399</f>
        <v>36476.38</v>
      </c>
      <c r="BH398" s="30">
        <f>'Equity Volume Data'!BK398*'Equity Price Data'!BN399</f>
        <v>0</v>
      </c>
      <c r="BI398" s="30">
        <f>'Equity Volume Data'!BL398*'Equity Price Data'!BO399</f>
        <v>37673.6</v>
      </c>
      <c r="BJ398" s="30">
        <f>'Equity Volume Data'!BM398*'Equity Price Data'!BP399</f>
        <v>24627.75</v>
      </c>
      <c r="BK398" s="30">
        <f>'Equity Volume Data'!BN398*'Equity Price Data'!BQ399</f>
        <v>90316.24</v>
      </c>
      <c r="BL398" s="30">
        <f>'Equity Volume Data'!BO398*'Equity Price Data'!BR399</f>
        <v>545.2</v>
      </c>
      <c r="BM398" s="30">
        <f>'Equity Volume Data'!BP398*'Equity Price Data'!BS399</f>
        <v>10039.2</v>
      </c>
      <c r="BN398" s="30">
        <f>'Equity Volume Data'!BQ398*'Equity Price Data'!BT399</f>
        <v>20460.04</v>
      </c>
      <c r="BO398" s="30">
        <f>'Equity Volume Data'!BR398*'Equity Price Data'!BU399</f>
        <v>68782</v>
      </c>
    </row>
    <row r="399">
      <c r="A399" s="25">
        <f>'Equity Price Data'!A400</f>
        <v>46002.66667</v>
      </c>
      <c r="B399" s="29">
        <f t="shared" si="1"/>
        <v>1590190.02</v>
      </c>
      <c r="C399" s="30">
        <f>'Equity Volume Data'!F399*'Equity Price Data'!I400</f>
        <v>4555.59</v>
      </c>
      <c r="D399" s="30">
        <f>'Equity Volume Data'!G399*'Equity Price Data'!J400</f>
        <v>59872.8</v>
      </c>
      <c r="E399" s="30">
        <f>'Equity Volume Data'!H399*'Equity Price Data'!K400</f>
        <v>14309.9</v>
      </c>
      <c r="F399" s="30">
        <f>'Equity Volume Data'!I399*'Equity Price Data'!L400</f>
        <v>71175.68</v>
      </c>
      <c r="G399" s="30">
        <f>'Equity Volume Data'!J399*'Equity Price Data'!M400</f>
        <v>22419.13</v>
      </c>
      <c r="H399" s="30">
        <f>'Equity Volume Data'!K399*'Equity Price Data'!N400</f>
        <v>22311.84</v>
      </c>
      <c r="I399" s="30">
        <f>'Equity Volume Data'!L399*'Equity Price Data'!O400</f>
        <v>24190</v>
      </c>
      <c r="J399" s="30">
        <f>'Equity Volume Data'!M399*'Equity Price Data'!P400</f>
        <v>50576.7</v>
      </c>
      <c r="K399" s="30">
        <f>'Equity Volume Data'!N399*'Equity Price Data'!Q400</f>
        <v>12184</v>
      </c>
      <c r="L399" s="30">
        <f>'Equity Volume Data'!O399*'Equity Price Data'!R400</f>
        <v>20872.5</v>
      </c>
      <c r="M399" s="30">
        <f>'Equity Volume Data'!P399*'Equity Price Data'!S400</f>
        <v>13395.5</v>
      </c>
      <c r="N399" s="30">
        <f>'Equity Volume Data'!Q399*'Equity Price Data'!T400</f>
        <v>4332</v>
      </c>
      <c r="O399" s="30">
        <f>'Equity Volume Data'!R399*'Equity Price Data'!U400</f>
        <v>93841.5</v>
      </c>
      <c r="P399" s="30">
        <f>'Equity Volume Data'!S399*'Equity Price Data'!V400</f>
        <v>39923.58</v>
      </c>
      <c r="Q399" s="30">
        <f>'Equity Volume Data'!T399*'Equity Price Data'!W400</f>
        <v>23817.6</v>
      </c>
      <c r="R399" s="30">
        <f>'Equity Volume Data'!U399*'Equity Price Data'!X400</f>
        <v>12057.6</v>
      </c>
      <c r="S399" s="30">
        <f>'Equity Volume Data'!V399*'Equity Price Data'!Y400</f>
        <v>23958.88</v>
      </c>
      <c r="T399" s="30">
        <f>'Equity Volume Data'!W399*'Equity Price Data'!Z400</f>
        <v>14587.5</v>
      </c>
      <c r="U399" s="30">
        <f>'Equity Volume Data'!X399*'Equity Price Data'!AA400</f>
        <v>18245.04</v>
      </c>
      <c r="V399" s="30">
        <f>'Equity Volume Data'!Y399*'Equity Price Data'!AB400</f>
        <v>15398.04</v>
      </c>
      <c r="W399" s="30">
        <f>'Equity Volume Data'!Z399*'Equity Price Data'!AC400</f>
        <v>10958.58</v>
      </c>
      <c r="X399" s="30">
        <f>'Equity Volume Data'!AA399*'Equity Price Data'!AD400</f>
        <v>0</v>
      </c>
      <c r="Y399" s="30">
        <f>'Equity Volume Data'!AB399*'Equity Price Data'!AE400</f>
        <v>5637.71</v>
      </c>
      <c r="Z399" s="30">
        <f>'Equity Volume Data'!AC399*'Equity Price Data'!AF400</f>
        <v>12660</v>
      </c>
      <c r="AA399" s="30">
        <f>'Equity Volume Data'!AD399*'Equity Price Data'!AG400</f>
        <v>20321.8</v>
      </c>
      <c r="AB399" s="30">
        <f>'Equity Volume Data'!AE399*'Equity Price Data'!AH400</f>
        <v>17086.8</v>
      </c>
      <c r="AC399" s="30">
        <f>'Equity Volume Data'!AF399*'Equity Price Data'!AI400</f>
        <v>14718.4</v>
      </c>
      <c r="AD399" s="30">
        <f>'Equity Volume Data'!AG399*'Equity Price Data'!AJ400</f>
        <v>15366.6</v>
      </c>
      <c r="AE399" s="30">
        <f>'Equity Volume Data'!AH399*'Equity Price Data'!AK400</f>
        <v>0</v>
      </c>
      <c r="AF399" s="30">
        <f>'Equity Volume Data'!AI399*'Equity Price Data'!AL400</f>
        <v>25258.05</v>
      </c>
      <c r="AG399" s="30">
        <f>'Equity Volume Data'!AJ399*'Equity Price Data'!AM400</f>
        <v>54661.8</v>
      </c>
      <c r="AH399" s="30">
        <f>'Equity Volume Data'!AK399*'Equity Price Data'!AN400</f>
        <v>35746</v>
      </c>
      <c r="AI399" s="30">
        <f>'Equity Volume Data'!AL399*'Equity Price Data'!AO400</f>
        <v>30870</v>
      </c>
      <c r="AJ399" s="30">
        <f>'Equity Volume Data'!AM399*'Equity Price Data'!AP400</f>
        <v>21203</v>
      </c>
      <c r="AK399" s="30">
        <f>'Equity Volume Data'!AN399*'Equity Price Data'!AQ400</f>
        <v>25725.92</v>
      </c>
      <c r="AL399" s="30">
        <f>'Equity Volume Data'!AO399*'Equity Price Data'!AR400</f>
        <v>50780.8</v>
      </c>
      <c r="AM399" s="30">
        <f>'Equity Volume Data'!AP399*'Equity Price Data'!AS400</f>
        <v>33241.6</v>
      </c>
      <c r="AN399" s="30">
        <f>'Equity Volume Data'!AQ399*'Equity Price Data'!AT400</f>
        <v>0</v>
      </c>
      <c r="AO399" s="30">
        <f>'Equity Volume Data'!AR399*'Equity Price Data'!AU400</f>
        <v>30445.1</v>
      </c>
      <c r="AP399" s="30">
        <f>'Equity Volume Data'!AS399*'Equity Price Data'!AV400</f>
        <v>24937.5</v>
      </c>
      <c r="AQ399" s="30">
        <f>'Equity Volume Data'!AT399*'Equity Price Data'!AW400</f>
        <v>18095</v>
      </c>
      <c r="AR399" s="30">
        <f>'Equity Volume Data'!AU399*'Equity Price Data'!AX400</f>
        <v>13382.23</v>
      </c>
      <c r="AS399" s="30">
        <f>'Equity Volume Data'!AV399*'Equity Price Data'!AY400</f>
        <v>58016.4</v>
      </c>
      <c r="AT399" s="30">
        <f>'Equity Volume Data'!AW399*'Equity Price Data'!AZ400</f>
        <v>31184.64</v>
      </c>
      <c r="AU399" s="30">
        <f>'Equity Volume Data'!AX399*'Equity Price Data'!BA400</f>
        <v>0</v>
      </c>
      <c r="AV399" s="30">
        <f>'Equity Volume Data'!AY399*'Equity Price Data'!BB400</f>
        <v>25692.06</v>
      </c>
      <c r="AW399" s="30">
        <f>'Equity Volume Data'!AZ399*'Equity Price Data'!BC400</f>
        <v>3509.2</v>
      </c>
      <c r="AX399" s="30">
        <f>'Equity Volume Data'!BA399*'Equity Price Data'!BD400</f>
        <v>0</v>
      </c>
      <c r="AY399" s="30">
        <f>'Equity Volume Data'!BB399*'Equity Price Data'!BE400</f>
        <v>42196.5</v>
      </c>
      <c r="AZ399" s="30">
        <f>'Equity Volume Data'!BC399*'Equity Price Data'!BF400</f>
        <v>9253.5</v>
      </c>
      <c r="BA399" s="30">
        <f>'Equity Volume Data'!BD399*'Equity Price Data'!BG400</f>
        <v>4902</v>
      </c>
      <c r="BB399" s="30">
        <f>'Equity Volume Data'!BE399*'Equity Price Data'!BH400</f>
        <v>14193.6</v>
      </c>
      <c r="BC399" s="30">
        <f>'Equity Volume Data'!BF399*'Equity Price Data'!BI400</f>
        <v>25751.28</v>
      </c>
      <c r="BD399" s="30">
        <f>'Equity Volume Data'!BG399*'Equity Price Data'!BJ400</f>
        <v>41605.29</v>
      </c>
      <c r="BE399" s="30">
        <f>'Equity Volume Data'!BH399*'Equity Price Data'!BK400</f>
        <v>13314.7</v>
      </c>
      <c r="BF399" s="30">
        <f>'Equity Volume Data'!BI399*'Equity Price Data'!BL400</f>
        <v>8142.4</v>
      </c>
      <c r="BG399" s="30">
        <f>'Equity Volume Data'!BJ399*'Equity Price Data'!BM400</f>
        <v>35478.36</v>
      </c>
      <c r="BH399" s="30">
        <f>'Equity Volume Data'!BK399*'Equity Price Data'!BN400</f>
        <v>0</v>
      </c>
      <c r="BI399" s="30">
        <f>'Equity Volume Data'!BL399*'Equity Price Data'!BO400</f>
        <v>37779.2</v>
      </c>
      <c r="BJ399" s="30">
        <f>'Equity Volume Data'!BM399*'Equity Price Data'!BP400</f>
        <v>25254.75</v>
      </c>
      <c r="BK399" s="30">
        <f>'Equity Volume Data'!BN399*'Equity Price Data'!BQ400</f>
        <v>90334.26</v>
      </c>
      <c r="BL399" s="30">
        <f>'Equity Volume Data'!BO399*'Equity Price Data'!BR400</f>
        <v>544.73</v>
      </c>
      <c r="BM399" s="30">
        <f>'Equity Volume Data'!BP399*'Equity Price Data'!BS400</f>
        <v>10178.4</v>
      </c>
      <c r="BN399" s="30">
        <f>'Equity Volume Data'!BQ399*'Equity Price Data'!BT400</f>
        <v>20954.48</v>
      </c>
      <c r="BO399" s="30">
        <f>'Equity Volume Data'!BR399*'Equity Price Data'!BU400</f>
        <v>68782</v>
      </c>
    </row>
    <row r="400">
      <c r="A400" s="25">
        <f>'Equity Price Data'!A401</f>
        <v>46003.66667</v>
      </c>
      <c r="B400" s="29">
        <f t="shared" si="1"/>
        <v>1579045.86</v>
      </c>
      <c r="C400" s="30">
        <f>'Equity Volume Data'!F400*'Equity Price Data'!I401</f>
        <v>4633.59</v>
      </c>
      <c r="D400" s="30">
        <f>'Equity Volume Data'!G400*'Equity Price Data'!J401</f>
        <v>58809.4</v>
      </c>
      <c r="E400" s="30">
        <f>'Equity Volume Data'!H400*'Equity Price Data'!K401</f>
        <v>14470.5</v>
      </c>
      <c r="F400" s="30">
        <f>'Equity Volume Data'!I400*'Equity Price Data'!L401</f>
        <v>71239.68</v>
      </c>
      <c r="G400" s="30">
        <f>'Equity Volume Data'!J400*'Equity Price Data'!M401</f>
        <v>21514.43</v>
      </c>
      <c r="H400" s="30">
        <f>'Equity Volume Data'!K400*'Equity Price Data'!N401</f>
        <v>22001.64</v>
      </c>
      <c r="I400" s="30">
        <f>'Equity Volume Data'!L400*'Equity Price Data'!O401</f>
        <v>23840</v>
      </c>
      <c r="J400" s="30">
        <f>'Equity Volume Data'!M400*'Equity Price Data'!P401</f>
        <v>50951.04</v>
      </c>
      <c r="K400" s="30">
        <f>'Equity Volume Data'!N400*'Equity Price Data'!Q401</f>
        <v>11928</v>
      </c>
      <c r="L400" s="30">
        <f>'Equity Volume Data'!O400*'Equity Price Data'!R401</f>
        <v>21066.1</v>
      </c>
      <c r="M400" s="30">
        <f>'Equity Volume Data'!P400*'Equity Price Data'!S401</f>
        <v>13516.68</v>
      </c>
      <c r="N400" s="30">
        <f>'Equity Volume Data'!Q400*'Equity Price Data'!T401</f>
        <v>4235.2</v>
      </c>
      <c r="O400" s="30">
        <f>'Equity Volume Data'!R400*'Equity Price Data'!U401</f>
        <v>89683.5</v>
      </c>
      <c r="P400" s="30">
        <f>'Equity Volume Data'!S400*'Equity Price Data'!V401</f>
        <v>38151.33</v>
      </c>
      <c r="Q400" s="30">
        <f>'Equity Volume Data'!T400*'Equity Price Data'!W401</f>
        <v>23054.4</v>
      </c>
      <c r="R400" s="30">
        <f>'Equity Volume Data'!U400*'Equity Price Data'!X401</f>
        <v>11999.2</v>
      </c>
      <c r="S400" s="30">
        <f>'Equity Volume Data'!V400*'Equity Price Data'!Y401</f>
        <v>24173.6</v>
      </c>
      <c r="T400" s="30">
        <f>'Equity Volume Data'!W400*'Equity Price Data'!Z401</f>
        <v>14597.5</v>
      </c>
      <c r="U400" s="30">
        <f>'Equity Volume Data'!X400*'Equity Price Data'!AA401</f>
        <v>18617.28</v>
      </c>
      <c r="V400" s="30">
        <f>'Equity Volume Data'!Y400*'Equity Price Data'!AB401</f>
        <v>15702.33</v>
      </c>
      <c r="W400" s="30">
        <f>'Equity Volume Data'!Z400*'Equity Price Data'!AC401</f>
        <v>10600.47</v>
      </c>
      <c r="X400" s="30">
        <f>'Equity Volume Data'!AA400*'Equity Price Data'!AD401</f>
        <v>0</v>
      </c>
      <c r="Y400" s="30">
        <f>'Equity Volume Data'!AB400*'Equity Price Data'!AE401</f>
        <v>5612.49</v>
      </c>
      <c r="Z400" s="30">
        <f>'Equity Volume Data'!AC400*'Equity Price Data'!AF401</f>
        <v>12804</v>
      </c>
      <c r="AA400" s="30">
        <f>'Equity Volume Data'!AD400*'Equity Price Data'!AG401</f>
        <v>20199.4</v>
      </c>
      <c r="AB400" s="30">
        <f>'Equity Volume Data'!AE400*'Equity Price Data'!AH401</f>
        <v>17060.4</v>
      </c>
      <c r="AC400" s="30">
        <f>'Equity Volume Data'!AF400*'Equity Price Data'!AI401</f>
        <v>14685.2</v>
      </c>
      <c r="AD400" s="30">
        <f>'Equity Volume Data'!AG400*'Equity Price Data'!AJ401</f>
        <v>15187.05</v>
      </c>
      <c r="AE400" s="30">
        <f>'Equity Volume Data'!AH400*'Equity Price Data'!AK401</f>
        <v>0</v>
      </c>
      <c r="AF400" s="30">
        <f>'Equity Volume Data'!AI400*'Equity Price Data'!AL401</f>
        <v>24682</v>
      </c>
      <c r="AG400" s="30">
        <f>'Equity Volume Data'!AJ400*'Equity Price Data'!AM401</f>
        <v>53277.6</v>
      </c>
      <c r="AH400" s="30">
        <f>'Equity Volume Data'!AK400*'Equity Price Data'!AN401</f>
        <v>35965</v>
      </c>
      <c r="AI400" s="30">
        <f>'Equity Volume Data'!AL400*'Equity Price Data'!AO401</f>
        <v>31414.25</v>
      </c>
      <c r="AJ400" s="30">
        <f>'Equity Volume Data'!AM400*'Equity Price Data'!AP401</f>
        <v>21217.3</v>
      </c>
      <c r="AK400" s="30">
        <f>'Equity Volume Data'!AN400*'Equity Price Data'!AQ401</f>
        <v>25489.04</v>
      </c>
      <c r="AL400" s="30">
        <f>'Equity Volume Data'!AO400*'Equity Price Data'!AR401</f>
        <v>50963.2</v>
      </c>
      <c r="AM400" s="30">
        <f>'Equity Volume Data'!AP400*'Equity Price Data'!AS401</f>
        <v>33617.5</v>
      </c>
      <c r="AN400" s="30">
        <f>'Equity Volume Data'!AQ400*'Equity Price Data'!AT401</f>
        <v>0</v>
      </c>
      <c r="AO400" s="30">
        <f>'Equity Volume Data'!AR400*'Equity Price Data'!AU401</f>
        <v>30299.92</v>
      </c>
      <c r="AP400" s="30">
        <f>'Equity Volume Data'!AS400*'Equity Price Data'!AV401</f>
        <v>24967.5</v>
      </c>
      <c r="AQ400" s="30">
        <f>'Equity Volume Data'!AT400*'Equity Price Data'!AW401</f>
        <v>18075.2</v>
      </c>
      <c r="AR400" s="30">
        <f>'Equity Volume Data'!AU400*'Equity Price Data'!AX401</f>
        <v>12635.18</v>
      </c>
      <c r="AS400" s="30">
        <f>'Equity Volume Data'!AV400*'Equity Price Data'!AY401</f>
        <v>57423.6</v>
      </c>
      <c r="AT400" s="30">
        <f>'Equity Volume Data'!AW400*'Equity Price Data'!AZ401</f>
        <v>31353.6</v>
      </c>
      <c r="AU400" s="30">
        <f>'Equity Volume Data'!AX400*'Equity Price Data'!BA401</f>
        <v>0</v>
      </c>
      <c r="AV400" s="30">
        <f>'Equity Volume Data'!AY400*'Equity Price Data'!BB401</f>
        <v>24852.84</v>
      </c>
      <c r="AW400" s="30">
        <f>'Equity Volume Data'!AZ400*'Equity Price Data'!BC401</f>
        <v>3525.6</v>
      </c>
      <c r="AX400" s="30">
        <f>'Equity Volume Data'!BA400*'Equity Price Data'!BD401</f>
        <v>0</v>
      </c>
      <c r="AY400" s="30">
        <f>'Equity Volume Data'!BB400*'Equity Price Data'!BE401</f>
        <v>41303.25</v>
      </c>
      <c r="AZ400" s="30">
        <f>'Equity Volume Data'!BC400*'Equity Price Data'!BF401</f>
        <v>9249</v>
      </c>
      <c r="BA400" s="30">
        <f>'Equity Volume Data'!BD400*'Equity Price Data'!BG401</f>
        <v>4911.5</v>
      </c>
      <c r="BB400" s="30">
        <f>'Equity Volume Data'!BE400*'Equity Price Data'!BH401</f>
        <v>14292.8</v>
      </c>
      <c r="BC400" s="30">
        <f>'Equity Volume Data'!BF400*'Equity Price Data'!BI401</f>
        <v>25885.76</v>
      </c>
      <c r="BD400" s="30">
        <f>'Equity Volume Data'!BG400*'Equity Price Data'!BJ401</f>
        <v>41569.08</v>
      </c>
      <c r="BE400" s="30">
        <f>'Equity Volume Data'!BH400*'Equity Price Data'!BK401</f>
        <v>13162.44</v>
      </c>
      <c r="BF400" s="30">
        <f>'Equity Volume Data'!BI400*'Equity Price Data'!BL401</f>
        <v>8324.8</v>
      </c>
      <c r="BG400" s="30">
        <f>'Equity Volume Data'!BJ400*'Equity Price Data'!BM401</f>
        <v>35247.62</v>
      </c>
      <c r="BH400" s="30">
        <f>'Equity Volume Data'!BK400*'Equity Price Data'!BN401</f>
        <v>0</v>
      </c>
      <c r="BI400" s="30">
        <f>'Equity Volume Data'!BL400*'Equity Price Data'!BO401</f>
        <v>38392</v>
      </c>
      <c r="BJ400" s="30">
        <f>'Equity Volume Data'!BM400*'Equity Price Data'!BP401</f>
        <v>25638</v>
      </c>
      <c r="BK400" s="30">
        <f>'Equity Volume Data'!BN400*'Equity Price Data'!BQ401</f>
        <v>90316.24</v>
      </c>
      <c r="BL400" s="30">
        <f>'Equity Volume Data'!BO400*'Equity Price Data'!BR401</f>
        <v>547.55</v>
      </c>
      <c r="BM400" s="30">
        <f>'Equity Volume Data'!BP400*'Equity Price Data'!BS401</f>
        <v>10349.28</v>
      </c>
      <c r="BN400" s="30">
        <f>'Equity Volume Data'!BQ400*'Equity Price Data'!BT401</f>
        <v>20980.8</v>
      </c>
      <c r="BO400" s="30">
        <f>'Equity Volume Data'!BR400*'Equity Price Data'!BU401</f>
        <v>68782</v>
      </c>
    </row>
    <row r="401">
      <c r="A401" s="25">
        <f>'Equity Price Data'!A402</f>
        <v>46006.66667</v>
      </c>
      <c r="B401" s="29">
        <f t="shared" si="1"/>
        <v>1575497.05</v>
      </c>
      <c r="C401" s="30">
        <f>'Equity Volume Data'!F401*'Equity Price Data'!I402</f>
        <v>4564.95</v>
      </c>
      <c r="D401" s="30">
        <f>'Equity Volume Data'!G401*'Equity Price Data'!J402</f>
        <v>57860.4</v>
      </c>
      <c r="E401" s="30">
        <f>'Equity Volume Data'!H401*'Equity Price Data'!K402</f>
        <v>14754.3</v>
      </c>
      <c r="F401" s="30">
        <f>'Equity Volume Data'!I401*'Equity Price Data'!L402</f>
        <v>70172.16</v>
      </c>
      <c r="G401" s="30">
        <f>'Equity Volume Data'!J401*'Equity Price Data'!M402</f>
        <v>21685.41</v>
      </c>
      <c r="H401" s="30">
        <f>'Equity Volume Data'!K401*'Equity Price Data'!N402</f>
        <v>21988.48</v>
      </c>
      <c r="I401" s="30">
        <f>'Equity Volume Data'!L401*'Equity Price Data'!O402</f>
        <v>24340</v>
      </c>
      <c r="J401" s="30">
        <f>'Equity Volume Data'!M401*'Equity Price Data'!P402</f>
        <v>51650.76</v>
      </c>
      <c r="K401" s="30">
        <f>'Equity Volume Data'!N401*'Equity Price Data'!Q402</f>
        <v>11838</v>
      </c>
      <c r="L401" s="30">
        <f>'Equity Volume Data'!O401*'Equity Price Data'!R402</f>
        <v>21264.54</v>
      </c>
      <c r="M401" s="30">
        <f>'Equity Volume Data'!P401*'Equity Price Data'!S402</f>
        <v>13459.74</v>
      </c>
      <c r="N401" s="30">
        <f>'Equity Volume Data'!Q401*'Equity Price Data'!T402</f>
        <v>4206.4</v>
      </c>
      <c r="O401" s="30">
        <f>'Equity Volume Data'!R401*'Equity Price Data'!U402</f>
        <v>88464</v>
      </c>
      <c r="P401" s="30">
        <f>'Equity Volume Data'!S401*'Equity Price Data'!V402</f>
        <v>37438.26</v>
      </c>
      <c r="Q401" s="30">
        <f>'Equity Volume Data'!T401*'Equity Price Data'!W402</f>
        <v>22474.8</v>
      </c>
      <c r="R401" s="30">
        <f>'Equity Volume Data'!U401*'Equity Price Data'!X402</f>
        <v>11984</v>
      </c>
      <c r="S401" s="30">
        <f>'Equity Volume Data'!V401*'Equity Price Data'!Y402</f>
        <v>24389.2</v>
      </c>
      <c r="T401" s="30">
        <f>'Equity Volume Data'!W401*'Equity Price Data'!Z402</f>
        <v>14610</v>
      </c>
      <c r="U401" s="30">
        <f>'Equity Volume Data'!X401*'Equity Price Data'!AA402</f>
        <v>18736.08</v>
      </c>
      <c r="V401" s="30">
        <f>'Equity Volume Data'!Y401*'Equity Price Data'!AB402</f>
        <v>16001.79</v>
      </c>
      <c r="W401" s="30">
        <f>'Equity Volume Data'!Z401*'Equity Price Data'!AC402</f>
        <v>10549.41</v>
      </c>
      <c r="X401" s="30">
        <f>'Equity Volume Data'!AA401*'Equity Price Data'!AD402</f>
        <v>0</v>
      </c>
      <c r="Y401" s="30">
        <f>'Equity Volume Data'!AB401*'Equity Price Data'!AE402</f>
        <v>5687.5</v>
      </c>
      <c r="Z401" s="30">
        <f>'Equity Volume Data'!AC401*'Equity Price Data'!AF402</f>
        <v>12388.5</v>
      </c>
      <c r="AA401" s="30">
        <f>'Equity Volume Data'!AD401*'Equity Price Data'!AG402</f>
        <v>20019.2</v>
      </c>
      <c r="AB401" s="30">
        <f>'Equity Volume Data'!AE401*'Equity Price Data'!AH402</f>
        <v>16873.8</v>
      </c>
      <c r="AC401" s="30">
        <f>'Equity Volume Data'!AF401*'Equity Price Data'!AI402</f>
        <v>14744</v>
      </c>
      <c r="AD401" s="30">
        <f>'Equity Volume Data'!AG401*'Equity Price Data'!AJ402</f>
        <v>15331.05</v>
      </c>
      <c r="AE401" s="30">
        <f>'Equity Volume Data'!AH401*'Equity Price Data'!AK402</f>
        <v>0</v>
      </c>
      <c r="AF401" s="30">
        <f>'Equity Volume Data'!AI401*'Equity Price Data'!AL402</f>
        <v>24554.9</v>
      </c>
      <c r="AG401" s="30">
        <f>'Equity Volume Data'!AJ401*'Equity Price Data'!AM402</f>
        <v>53375.4</v>
      </c>
      <c r="AH401" s="30">
        <f>'Equity Volume Data'!AK401*'Equity Price Data'!AN402</f>
        <v>35699</v>
      </c>
      <c r="AI401" s="30">
        <f>'Equity Volume Data'!AL401*'Equity Price Data'!AO402</f>
        <v>31220</v>
      </c>
      <c r="AJ401" s="30">
        <f>'Equity Volume Data'!AM401*'Equity Price Data'!AP402</f>
        <v>20982</v>
      </c>
      <c r="AK401" s="30">
        <f>'Equity Volume Data'!AN401*'Equity Price Data'!AQ402</f>
        <v>26297.44</v>
      </c>
      <c r="AL401" s="30">
        <f>'Equity Volume Data'!AO401*'Equity Price Data'!AR402</f>
        <v>51203.2</v>
      </c>
      <c r="AM401" s="30">
        <f>'Equity Volume Data'!AP401*'Equity Price Data'!AS402</f>
        <v>33909.4</v>
      </c>
      <c r="AN401" s="30">
        <f>'Equity Volume Data'!AQ401*'Equity Price Data'!AT402</f>
        <v>0</v>
      </c>
      <c r="AO401" s="30">
        <f>'Equity Volume Data'!AR401*'Equity Price Data'!AU402</f>
        <v>30539.04</v>
      </c>
      <c r="AP401" s="30">
        <f>'Equity Volume Data'!AS401*'Equity Price Data'!AV402</f>
        <v>24642.5</v>
      </c>
      <c r="AQ401" s="30">
        <f>'Equity Volume Data'!AT401*'Equity Price Data'!AW402</f>
        <v>18174.2</v>
      </c>
      <c r="AR401" s="30">
        <f>'Equity Volume Data'!AU401*'Equity Price Data'!AX402</f>
        <v>11876.98</v>
      </c>
      <c r="AS401" s="30">
        <f>'Equity Volume Data'!AV401*'Equity Price Data'!AY402</f>
        <v>56978.4</v>
      </c>
      <c r="AT401" s="30">
        <f>'Equity Volume Data'!AW401*'Equity Price Data'!AZ402</f>
        <v>31353.6</v>
      </c>
      <c r="AU401" s="30">
        <f>'Equity Volume Data'!AX401*'Equity Price Data'!BA402</f>
        <v>0</v>
      </c>
      <c r="AV401" s="30">
        <f>'Equity Volume Data'!AY401*'Equity Price Data'!BB402</f>
        <v>25033.18</v>
      </c>
      <c r="AW401" s="30">
        <f>'Equity Volume Data'!AZ401*'Equity Price Data'!BC402</f>
        <v>3542.8</v>
      </c>
      <c r="AX401" s="30">
        <f>'Equity Volume Data'!BA401*'Equity Price Data'!BD402</f>
        <v>0</v>
      </c>
      <c r="AY401" s="30">
        <f>'Equity Volume Data'!BB401*'Equity Price Data'!BE402</f>
        <v>41231.25</v>
      </c>
      <c r="AZ401" s="30">
        <f>'Equity Volume Data'!BC401*'Equity Price Data'!BF402</f>
        <v>9111</v>
      </c>
      <c r="BA401" s="30">
        <f>'Equity Volume Data'!BD401*'Equity Price Data'!BG402</f>
        <v>5021.7</v>
      </c>
      <c r="BB401" s="30">
        <f>'Equity Volume Data'!BE401*'Equity Price Data'!BH402</f>
        <v>14568.8</v>
      </c>
      <c r="BC401" s="30">
        <f>'Equity Volume Data'!BF401*'Equity Price Data'!BI402</f>
        <v>25912</v>
      </c>
      <c r="BD401" s="30">
        <f>'Equity Volume Data'!BG401*'Equity Price Data'!BJ402</f>
        <v>41782.08</v>
      </c>
      <c r="BE401" s="30">
        <f>'Equity Volume Data'!BH401*'Equity Price Data'!BK402</f>
        <v>13245.93</v>
      </c>
      <c r="BF401" s="30">
        <f>'Equity Volume Data'!BI401*'Equity Price Data'!BL402</f>
        <v>8592.4</v>
      </c>
      <c r="BG401" s="30">
        <f>'Equity Volume Data'!BJ401*'Equity Price Data'!BM402</f>
        <v>34235.7</v>
      </c>
      <c r="BH401" s="30">
        <f>'Equity Volume Data'!BK401*'Equity Price Data'!BN402</f>
        <v>0</v>
      </c>
      <c r="BI401" s="30">
        <f>'Equity Volume Data'!BL401*'Equity Price Data'!BO402</f>
        <v>38475.2</v>
      </c>
      <c r="BJ401" s="30">
        <f>'Equity Volume Data'!BM401*'Equity Price Data'!BP402</f>
        <v>25582.5</v>
      </c>
      <c r="BK401" s="30">
        <f>'Equity Volume Data'!BN401*'Equity Price Data'!BQ402</f>
        <v>90298.22</v>
      </c>
      <c r="BL401" s="30">
        <f>'Equity Volume Data'!BO401*'Equity Price Data'!BR402</f>
        <v>548.02</v>
      </c>
      <c r="BM401" s="30">
        <f>'Equity Volume Data'!BP401*'Equity Price Data'!BS402</f>
        <v>10479.36</v>
      </c>
      <c r="BN401" s="30">
        <f>'Equity Volume Data'!BQ401*'Equity Price Data'!BT402</f>
        <v>20772.12</v>
      </c>
      <c r="BO401" s="30">
        <f>'Equity Volume Data'!BR401*'Equity Price Data'!BU402</f>
        <v>68782</v>
      </c>
    </row>
    <row r="402">
      <c r="A402" s="25">
        <f>'Equity Price Data'!A403</f>
        <v>46007.66667</v>
      </c>
      <c r="B402" s="29">
        <f t="shared" si="1"/>
        <v>1568209.72</v>
      </c>
      <c r="C402" s="30">
        <f>'Equity Volume Data'!F402*'Equity Price Data'!I403</f>
        <v>4522.57</v>
      </c>
      <c r="D402" s="30">
        <f>'Equity Volume Data'!G402*'Equity Price Data'!J403</f>
        <v>57865.6</v>
      </c>
      <c r="E402" s="30">
        <f>'Equity Volume Data'!H402*'Equity Price Data'!K403</f>
        <v>14599.2</v>
      </c>
      <c r="F402" s="30">
        <f>'Equity Volume Data'!I402*'Equity Price Data'!L403</f>
        <v>70300.16</v>
      </c>
      <c r="G402" s="30">
        <f>'Equity Volume Data'!J402*'Equity Price Data'!M403</f>
        <v>21483.72</v>
      </c>
      <c r="H402" s="30">
        <f>'Equity Volume Data'!K402*'Equity Price Data'!N403</f>
        <v>21497.8</v>
      </c>
      <c r="I402" s="30">
        <f>'Equity Volume Data'!L402*'Equity Price Data'!O403</f>
        <v>24260</v>
      </c>
      <c r="J402" s="30">
        <f>'Equity Volume Data'!M402*'Equity Price Data'!P403</f>
        <v>50983.68</v>
      </c>
      <c r="K402" s="30">
        <f>'Equity Volume Data'!N402*'Equity Price Data'!Q403</f>
        <v>11724</v>
      </c>
      <c r="L402" s="30">
        <f>'Equity Volume Data'!O402*'Equity Price Data'!R403</f>
        <v>20751.5</v>
      </c>
      <c r="M402" s="30">
        <f>'Equity Volume Data'!P402*'Equity Price Data'!S403</f>
        <v>13570.7</v>
      </c>
      <c r="N402" s="30">
        <f>'Equity Volume Data'!Q402*'Equity Price Data'!T403</f>
        <v>4275.2</v>
      </c>
      <c r="O402" s="30">
        <f>'Equity Volume Data'!R402*'Equity Price Data'!U403</f>
        <v>88339.5</v>
      </c>
      <c r="P402" s="30">
        <f>'Equity Volume Data'!S402*'Equity Price Data'!V403</f>
        <v>36299.85</v>
      </c>
      <c r="Q402" s="30">
        <f>'Equity Volume Data'!T402*'Equity Price Data'!W403</f>
        <v>22582.8</v>
      </c>
      <c r="R402" s="30">
        <f>'Equity Volume Data'!U402*'Equity Price Data'!X403</f>
        <v>11740</v>
      </c>
      <c r="S402" s="30">
        <f>'Equity Volume Data'!V402*'Equity Price Data'!Y403</f>
        <v>24297.68</v>
      </c>
      <c r="T402" s="30">
        <f>'Equity Volume Data'!W402*'Equity Price Data'!Z403</f>
        <v>14535</v>
      </c>
      <c r="U402" s="30">
        <f>'Equity Volume Data'!X402*'Equity Price Data'!AA403</f>
        <v>18577.68</v>
      </c>
      <c r="V402" s="30">
        <f>'Equity Volume Data'!Y402*'Equity Price Data'!AB403</f>
        <v>15922.9</v>
      </c>
      <c r="W402" s="30">
        <f>'Equity Volume Data'!Z402*'Equity Price Data'!AC403</f>
        <v>10369.32</v>
      </c>
      <c r="X402" s="30">
        <f>'Equity Volume Data'!AA402*'Equity Price Data'!AD403</f>
        <v>0</v>
      </c>
      <c r="Y402" s="30">
        <f>'Equity Volume Data'!AB402*'Equity Price Data'!AE403</f>
        <v>5640.7</v>
      </c>
      <c r="Z402" s="30">
        <f>'Equity Volume Data'!AC402*'Equity Price Data'!AF403</f>
        <v>12250.5</v>
      </c>
      <c r="AA402" s="30">
        <f>'Equity Volume Data'!AD402*'Equity Price Data'!AG403</f>
        <v>19495.6</v>
      </c>
      <c r="AB402" s="30">
        <f>'Equity Volume Data'!AE402*'Equity Price Data'!AH403</f>
        <v>16947.6</v>
      </c>
      <c r="AC402" s="30">
        <f>'Equity Volume Data'!AF402*'Equity Price Data'!AI403</f>
        <v>14816.8</v>
      </c>
      <c r="AD402" s="30">
        <f>'Equity Volume Data'!AG402*'Equity Price Data'!AJ403</f>
        <v>15187.05</v>
      </c>
      <c r="AE402" s="30">
        <f>'Equity Volume Data'!AH402*'Equity Price Data'!AK403</f>
        <v>0</v>
      </c>
      <c r="AF402" s="30">
        <f>'Equity Volume Data'!AI402*'Equity Price Data'!AL403</f>
        <v>24349.9</v>
      </c>
      <c r="AG402" s="30">
        <f>'Equity Volume Data'!AJ402*'Equity Price Data'!AM403</f>
        <v>52749</v>
      </c>
      <c r="AH402" s="30">
        <f>'Equity Volume Data'!AK402*'Equity Price Data'!AN403</f>
        <v>35268</v>
      </c>
      <c r="AI402" s="30">
        <f>'Equity Volume Data'!AL402*'Equity Price Data'!AO403</f>
        <v>31349.5</v>
      </c>
      <c r="AJ402" s="30">
        <f>'Equity Volume Data'!AM402*'Equity Price Data'!AP403</f>
        <v>20806.5</v>
      </c>
      <c r="AK402" s="30">
        <f>'Equity Volume Data'!AN402*'Equity Price Data'!AQ403</f>
        <v>26065.26</v>
      </c>
      <c r="AL402" s="30">
        <f>'Equity Volume Data'!AO402*'Equity Price Data'!AR403</f>
        <v>50488</v>
      </c>
      <c r="AM402" s="30">
        <f>'Equity Volume Data'!AP402*'Equity Price Data'!AS403</f>
        <v>33394.2</v>
      </c>
      <c r="AN402" s="30">
        <f>'Equity Volume Data'!AQ402*'Equity Price Data'!AT403</f>
        <v>0</v>
      </c>
      <c r="AO402" s="30">
        <f>'Equity Volume Data'!AR402*'Equity Price Data'!AU403</f>
        <v>30675.68</v>
      </c>
      <c r="AP402" s="30">
        <f>'Equity Volume Data'!AS402*'Equity Price Data'!AV403</f>
        <v>24430</v>
      </c>
      <c r="AQ402" s="30">
        <f>'Equity Volume Data'!AT402*'Equity Price Data'!AW403</f>
        <v>18101.6</v>
      </c>
      <c r="AR402" s="30">
        <f>'Equity Volume Data'!AU402*'Equity Price Data'!AX403</f>
        <v>11912.66</v>
      </c>
      <c r="AS402" s="30">
        <f>'Equity Volume Data'!AV402*'Equity Price Data'!AY403</f>
        <v>57166.8</v>
      </c>
      <c r="AT402" s="30">
        <f>'Equity Volume Data'!AW402*'Equity Price Data'!AZ403</f>
        <v>31226.88</v>
      </c>
      <c r="AU402" s="30">
        <f>'Equity Volume Data'!AX402*'Equity Price Data'!BA403</f>
        <v>0</v>
      </c>
      <c r="AV402" s="30">
        <f>'Equity Volume Data'!AY402*'Equity Price Data'!BB403</f>
        <v>25236.24</v>
      </c>
      <c r="AW402" s="30">
        <f>'Equity Volume Data'!AZ402*'Equity Price Data'!BC403</f>
        <v>3518.4</v>
      </c>
      <c r="AX402" s="30">
        <f>'Equity Volume Data'!BA402*'Equity Price Data'!BD403</f>
        <v>0</v>
      </c>
      <c r="AY402" s="30">
        <f>'Equity Volume Data'!BB402*'Equity Price Data'!BE403</f>
        <v>42243.75</v>
      </c>
      <c r="AZ402" s="30">
        <f>'Equity Volume Data'!BC402*'Equity Price Data'!BF403</f>
        <v>9199.5</v>
      </c>
      <c r="BA402" s="30">
        <f>'Equity Volume Data'!BD402*'Equity Price Data'!BG403</f>
        <v>4850.7</v>
      </c>
      <c r="BB402" s="30">
        <f>'Equity Volume Data'!BE402*'Equity Price Data'!BH403</f>
        <v>14394.4</v>
      </c>
      <c r="BC402" s="30">
        <f>'Equity Volume Data'!BF402*'Equity Price Data'!BI403</f>
        <v>25439.68</v>
      </c>
      <c r="BD402" s="30">
        <f>'Equity Volume Data'!BG402*'Equity Price Data'!BJ403</f>
        <v>42174</v>
      </c>
      <c r="BE402" s="30">
        <f>'Equity Volume Data'!BH402*'Equity Price Data'!BK403</f>
        <v>13113.68</v>
      </c>
      <c r="BF402" s="30">
        <f>'Equity Volume Data'!BI402*'Equity Price Data'!BL403</f>
        <v>8576.8</v>
      </c>
      <c r="BG402" s="30">
        <f>'Equity Volume Data'!BJ402*'Equity Price Data'!BM403</f>
        <v>34761.12</v>
      </c>
      <c r="BH402" s="30">
        <f>'Equity Volume Data'!BK402*'Equity Price Data'!BN403</f>
        <v>0</v>
      </c>
      <c r="BI402" s="30">
        <f>'Equity Volume Data'!BL402*'Equity Price Data'!BO403</f>
        <v>37740.8</v>
      </c>
      <c r="BJ402" s="30">
        <f>'Equity Volume Data'!BM402*'Equity Price Data'!BP403</f>
        <v>25065</v>
      </c>
      <c r="BK402" s="30">
        <f>'Equity Volume Data'!BN402*'Equity Price Data'!BQ403</f>
        <v>90262.18</v>
      </c>
      <c r="BL402" s="30">
        <f>'Equity Volume Data'!BO402*'Equity Price Data'!BR403</f>
        <v>538.62</v>
      </c>
      <c r="BM402" s="30">
        <f>'Equity Volume Data'!BP402*'Equity Price Data'!BS403</f>
        <v>10507.2</v>
      </c>
      <c r="BN402" s="30">
        <f>'Equity Volume Data'!BQ402*'Equity Price Data'!BT403</f>
        <v>20984.56</v>
      </c>
      <c r="BO402" s="30">
        <f>'Equity Volume Data'!BR402*'Equity Price Data'!BU403</f>
        <v>68782</v>
      </c>
    </row>
    <row r="403">
      <c r="A403" s="25">
        <f>'Equity Price Data'!A404</f>
        <v>46008.66667</v>
      </c>
      <c r="B403" s="29">
        <f t="shared" si="1"/>
        <v>1557759.5</v>
      </c>
      <c r="C403" s="30">
        <f>'Equity Volume Data'!F403*'Equity Price Data'!I404</f>
        <v>4610.58</v>
      </c>
      <c r="D403" s="30">
        <f>'Equity Volume Data'!G403*'Equity Price Data'!J404</f>
        <v>57530.2</v>
      </c>
      <c r="E403" s="30">
        <f>'Equity Volume Data'!H403*'Equity Price Data'!K404</f>
        <v>14741.1</v>
      </c>
      <c r="F403" s="30">
        <f>'Equity Volume Data'!I403*'Equity Price Data'!L404</f>
        <v>69591.04</v>
      </c>
      <c r="G403" s="30">
        <f>'Equity Volume Data'!J403*'Equity Price Data'!M404</f>
        <v>20606.41</v>
      </c>
      <c r="H403" s="30">
        <f>'Equity Volume Data'!K403*'Equity Price Data'!N404</f>
        <v>21349.28</v>
      </c>
      <c r="I403" s="30">
        <f>'Equity Volume Data'!L403*'Equity Price Data'!O404</f>
        <v>24370</v>
      </c>
      <c r="J403" s="30">
        <f>'Equity Volume Data'!M403*'Equity Price Data'!P404</f>
        <v>51435.54</v>
      </c>
      <c r="K403" s="30">
        <f>'Equity Volume Data'!N403*'Equity Price Data'!Q404</f>
        <v>11810</v>
      </c>
      <c r="L403" s="30">
        <f>'Equity Volume Data'!O403*'Equity Price Data'!R404</f>
        <v>20824.1</v>
      </c>
      <c r="M403" s="30">
        <f>'Equity Volume Data'!P403*'Equity Price Data'!S404</f>
        <v>13794.08</v>
      </c>
      <c r="N403" s="30">
        <f>'Equity Volume Data'!Q403*'Equity Price Data'!T404</f>
        <v>4192</v>
      </c>
      <c r="O403" s="30">
        <f>'Equity Volume Data'!R403*'Equity Price Data'!U404</f>
        <v>84283.5</v>
      </c>
      <c r="P403" s="30">
        <f>'Equity Volume Data'!S403*'Equity Price Data'!V404</f>
        <v>35382.45</v>
      </c>
      <c r="Q403" s="30">
        <f>'Equity Volume Data'!T403*'Equity Price Data'!W404</f>
        <v>22480.8</v>
      </c>
      <c r="R403" s="30">
        <f>'Equity Volume Data'!U403*'Equity Price Data'!X404</f>
        <v>11961.6</v>
      </c>
      <c r="S403" s="30">
        <f>'Equity Volume Data'!V403*'Equity Price Data'!Y404</f>
        <v>24097.92</v>
      </c>
      <c r="T403" s="30">
        <f>'Equity Volume Data'!W403*'Equity Price Data'!Z404</f>
        <v>14652.5</v>
      </c>
      <c r="U403" s="30">
        <f>'Equity Volume Data'!X403*'Equity Price Data'!AA404</f>
        <v>18656.88</v>
      </c>
      <c r="V403" s="30">
        <f>'Equity Volume Data'!Y403*'Equity Price Data'!AB404</f>
        <v>16133.81</v>
      </c>
      <c r="W403" s="30">
        <f>'Equity Volume Data'!Z403*'Equity Price Data'!AC404</f>
        <v>10238.91</v>
      </c>
      <c r="X403" s="30">
        <f>'Equity Volume Data'!AA403*'Equity Price Data'!AD404</f>
        <v>0</v>
      </c>
      <c r="Y403" s="30">
        <f>'Equity Volume Data'!AB403*'Equity Price Data'!AE404</f>
        <v>5699.46</v>
      </c>
      <c r="Z403" s="30">
        <f>'Equity Volume Data'!AC403*'Equity Price Data'!AF404</f>
        <v>12406.5</v>
      </c>
      <c r="AA403" s="30">
        <f>'Equity Volume Data'!AD403*'Equity Price Data'!AG404</f>
        <v>19959.7</v>
      </c>
      <c r="AB403" s="30">
        <f>'Equity Volume Data'!AE403*'Equity Price Data'!AH404</f>
        <v>16932.6</v>
      </c>
      <c r="AC403" s="30">
        <f>'Equity Volume Data'!AF403*'Equity Price Data'!AI404</f>
        <v>14620.4</v>
      </c>
      <c r="AD403" s="30">
        <f>'Equity Volume Data'!AG403*'Equity Price Data'!AJ404</f>
        <v>15138.45</v>
      </c>
      <c r="AE403" s="30">
        <f>'Equity Volume Data'!AH403*'Equity Price Data'!AK404</f>
        <v>0</v>
      </c>
      <c r="AF403" s="30">
        <f>'Equity Volume Data'!AI403*'Equity Price Data'!AL404</f>
        <v>24878.8</v>
      </c>
      <c r="AG403" s="30">
        <f>'Equity Volume Data'!AJ403*'Equity Price Data'!AM404</f>
        <v>52339.8</v>
      </c>
      <c r="AH403" s="30">
        <f>'Equity Volume Data'!AK403*'Equity Price Data'!AN404</f>
        <v>35675</v>
      </c>
      <c r="AI403" s="30">
        <f>'Equity Volume Data'!AL403*'Equity Price Data'!AO404</f>
        <v>31447.5</v>
      </c>
      <c r="AJ403" s="30">
        <f>'Equity Volume Data'!AM403*'Equity Price Data'!AP404</f>
        <v>20911.8</v>
      </c>
      <c r="AK403" s="30">
        <f>'Equity Volume Data'!AN403*'Equity Price Data'!AQ404</f>
        <v>26172.42</v>
      </c>
      <c r="AL403" s="30">
        <f>'Equity Volume Data'!AO403*'Equity Price Data'!AR404</f>
        <v>50396.8</v>
      </c>
      <c r="AM403" s="30">
        <f>'Equity Volume Data'!AP403*'Equity Price Data'!AS404</f>
        <v>33235.3</v>
      </c>
      <c r="AN403" s="30">
        <f>'Equity Volume Data'!AQ403*'Equity Price Data'!AT404</f>
        <v>0</v>
      </c>
      <c r="AO403" s="30">
        <f>'Equity Volume Data'!AR403*'Equity Price Data'!AU404</f>
        <v>30428.02</v>
      </c>
      <c r="AP403" s="30">
        <f>'Equity Volume Data'!AS403*'Equity Price Data'!AV404</f>
        <v>24575</v>
      </c>
      <c r="AQ403" s="30">
        <f>'Equity Volume Data'!AT403*'Equity Price Data'!AW404</f>
        <v>18156.6</v>
      </c>
      <c r="AR403" s="30">
        <f>'Equity Volume Data'!AU403*'Equity Price Data'!AX404</f>
        <v>11602.69</v>
      </c>
      <c r="AS403" s="30">
        <f>'Equity Volume Data'!AV403*'Equity Price Data'!AY404</f>
        <v>57134.4</v>
      </c>
      <c r="AT403" s="30">
        <f>'Equity Volume Data'!AW403*'Equity Price Data'!AZ404</f>
        <v>30831.36</v>
      </c>
      <c r="AU403" s="30">
        <f>'Equity Volume Data'!AX403*'Equity Price Data'!BA404</f>
        <v>0</v>
      </c>
      <c r="AV403" s="30">
        <f>'Equity Volume Data'!AY403*'Equity Price Data'!BB404</f>
        <v>24273.48</v>
      </c>
      <c r="AW403" s="30">
        <f>'Equity Volume Data'!AZ403*'Equity Price Data'!BC404</f>
        <v>3560</v>
      </c>
      <c r="AX403" s="30">
        <f>'Equity Volume Data'!BA403*'Equity Price Data'!BD404</f>
        <v>0</v>
      </c>
      <c r="AY403" s="30">
        <f>'Equity Volume Data'!BB403*'Equity Price Data'!BE404</f>
        <v>39890.25</v>
      </c>
      <c r="AZ403" s="30">
        <f>'Equity Volume Data'!BC403*'Equity Price Data'!BF404</f>
        <v>9027</v>
      </c>
      <c r="BA403" s="30">
        <f>'Equity Volume Data'!BD403*'Equity Price Data'!BG404</f>
        <v>4757.6</v>
      </c>
      <c r="BB403" s="30">
        <f>'Equity Volume Data'!BE403*'Equity Price Data'!BH404</f>
        <v>14176</v>
      </c>
      <c r="BC403" s="30">
        <f>'Equity Volume Data'!BF403*'Equity Price Data'!BI404</f>
        <v>25170.72</v>
      </c>
      <c r="BD403" s="30">
        <f>'Equity Volume Data'!BG403*'Equity Price Data'!BJ404</f>
        <v>42467.94</v>
      </c>
      <c r="BE403" s="30">
        <f>'Equity Volume Data'!BH403*'Equity Price Data'!BK404</f>
        <v>12938.88</v>
      </c>
      <c r="BF403" s="30">
        <f>'Equity Volume Data'!BI403*'Equity Price Data'!BL404</f>
        <v>8569.6</v>
      </c>
      <c r="BG403" s="30">
        <f>'Equity Volume Data'!BJ403*'Equity Price Data'!BM404</f>
        <v>33896.54</v>
      </c>
      <c r="BH403" s="30">
        <f>'Equity Volume Data'!BK403*'Equity Price Data'!BN404</f>
        <v>0</v>
      </c>
      <c r="BI403" s="30">
        <f>'Equity Volume Data'!BL403*'Equity Price Data'!BO404</f>
        <v>37878.4</v>
      </c>
      <c r="BJ403" s="30">
        <f>'Equity Volume Data'!BM403*'Equity Price Data'!BP404</f>
        <v>24872.25</v>
      </c>
      <c r="BK403" s="30">
        <f>'Equity Volume Data'!BN403*'Equity Price Data'!BQ404</f>
        <v>90316.24</v>
      </c>
      <c r="BL403" s="30">
        <f>'Equity Volume Data'!BO403*'Equity Price Data'!BR404</f>
        <v>549.9</v>
      </c>
      <c r="BM403" s="30">
        <f>'Equity Volume Data'!BP403*'Equity Price Data'!BS404</f>
        <v>10548.96</v>
      </c>
      <c r="BN403" s="30">
        <f>'Equity Volume Data'!BQ403*'Equity Price Data'!BT404</f>
        <v>20798.44</v>
      </c>
      <c r="BO403" s="30">
        <f>'Equity Volume Data'!BR403*'Equity Price Data'!BU404</f>
        <v>68782</v>
      </c>
    </row>
    <row r="404">
      <c r="A404" s="25">
        <f>'Equity Price Data'!A405</f>
        <v>46009.66667</v>
      </c>
      <c r="B404" s="29">
        <f t="shared" si="1"/>
        <v>1563402.28</v>
      </c>
      <c r="C404" s="30">
        <f>'Equity Volume Data'!F404*'Equity Price Data'!I405</f>
        <v>4625.53</v>
      </c>
      <c r="D404" s="30">
        <f>'Equity Volume Data'!G404*'Equity Price Data'!J405</f>
        <v>58957.6</v>
      </c>
      <c r="E404" s="30">
        <f>'Equity Volume Data'!H404*'Equity Price Data'!K405</f>
        <v>14632.2</v>
      </c>
      <c r="F404" s="30">
        <f>'Equity Volume Data'!I404*'Equity Price Data'!L405</f>
        <v>69680.64</v>
      </c>
      <c r="G404" s="30">
        <f>'Equity Volume Data'!J404*'Equity Price Data'!M405</f>
        <v>21040.5</v>
      </c>
      <c r="H404" s="30">
        <f>'Equity Volume Data'!K404*'Equity Price Data'!N405</f>
        <v>21516.6</v>
      </c>
      <c r="I404" s="30">
        <f>'Equity Volume Data'!L404*'Equity Price Data'!O405</f>
        <v>24790</v>
      </c>
      <c r="J404" s="30">
        <f>'Equity Volume Data'!M404*'Equity Price Data'!P405</f>
        <v>51345.78</v>
      </c>
      <c r="K404" s="30">
        <f>'Equity Volume Data'!N404*'Equity Price Data'!Q405</f>
        <v>11854</v>
      </c>
      <c r="L404" s="30">
        <f>'Equity Volume Data'!O404*'Equity Price Data'!R405</f>
        <v>20559.11</v>
      </c>
      <c r="M404" s="30">
        <f>'Equity Volume Data'!P404*'Equity Price Data'!S405</f>
        <v>14032.06</v>
      </c>
      <c r="N404" s="30">
        <f>'Equity Volume Data'!Q404*'Equity Price Data'!T405</f>
        <v>4256</v>
      </c>
      <c r="O404" s="30">
        <f>'Equity Volume Data'!R404*'Equity Price Data'!U405</f>
        <v>84874.5</v>
      </c>
      <c r="P404" s="30">
        <f>'Equity Volume Data'!S404*'Equity Price Data'!V405</f>
        <v>36520.86</v>
      </c>
      <c r="Q404" s="30">
        <f>'Equity Volume Data'!T404*'Equity Price Data'!W405</f>
        <v>22560</v>
      </c>
      <c r="R404" s="30">
        <f>'Equity Volume Data'!U404*'Equity Price Data'!X405</f>
        <v>11815.2</v>
      </c>
      <c r="S404" s="30">
        <f>'Equity Volume Data'!V404*'Equity Price Data'!Y405</f>
        <v>24112</v>
      </c>
      <c r="T404" s="30">
        <f>'Equity Volume Data'!W404*'Equity Price Data'!Z405</f>
        <v>14602.5</v>
      </c>
      <c r="U404" s="30">
        <f>'Equity Volume Data'!X404*'Equity Price Data'!AA405</f>
        <v>18575.04</v>
      </c>
      <c r="V404" s="30">
        <f>'Equity Volume Data'!Y404*'Equity Price Data'!AB405</f>
        <v>16098.39</v>
      </c>
      <c r="W404" s="30">
        <f>'Equity Volume Data'!Z404*'Equity Price Data'!AC405</f>
        <v>10207.17</v>
      </c>
      <c r="X404" s="30">
        <f>'Equity Volume Data'!AA404*'Equity Price Data'!AD405</f>
        <v>0</v>
      </c>
      <c r="Y404" s="30">
        <f>'Equity Volume Data'!AB404*'Equity Price Data'!AE405</f>
        <v>5607.81</v>
      </c>
      <c r="Z404" s="30">
        <f>'Equity Volume Data'!AC404*'Equity Price Data'!AF405</f>
        <v>12549</v>
      </c>
      <c r="AA404" s="30">
        <f>'Equity Volume Data'!AD404*'Equity Price Data'!AG405</f>
        <v>19811.8</v>
      </c>
      <c r="AB404" s="30">
        <f>'Equity Volume Data'!AE404*'Equity Price Data'!AH405</f>
        <v>17227.2</v>
      </c>
      <c r="AC404" s="30">
        <f>'Equity Volume Data'!AF404*'Equity Price Data'!AI405</f>
        <v>14906</v>
      </c>
      <c r="AD404" s="30">
        <f>'Equity Volume Data'!AG404*'Equity Price Data'!AJ405</f>
        <v>15180.3</v>
      </c>
      <c r="AE404" s="30">
        <f>'Equity Volume Data'!AH404*'Equity Price Data'!AK405</f>
        <v>0</v>
      </c>
      <c r="AF404" s="30">
        <f>'Equity Volume Data'!AI404*'Equity Price Data'!AL405</f>
        <v>24901.35</v>
      </c>
      <c r="AG404" s="30">
        <f>'Equity Volume Data'!AJ404*'Equity Price Data'!AM405</f>
        <v>52578</v>
      </c>
      <c r="AH404" s="30">
        <f>'Equity Volume Data'!AK404*'Equity Price Data'!AN405</f>
        <v>35499</v>
      </c>
      <c r="AI404" s="30">
        <f>'Equity Volume Data'!AL404*'Equity Price Data'!AO405</f>
        <v>31272.5</v>
      </c>
      <c r="AJ404" s="30">
        <f>'Equity Volume Data'!AM404*'Equity Price Data'!AP405</f>
        <v>20809.1</v>
      </c>
      <c r="AK404" s="30">
        <f>'Equity Volume Data'!AN404*'Equity Price Data'!AQ405</f>
        <v>26408.83</v>
      </c>
      <c r="AL404" s="30">
        <f>'Equity Volume Data'!AO404*'Equity Price Data'!AR405</f>
        <v>50080</v>
      </c>
      <c r="AM404" s="30">
        <f>'Equity Volume Data'!AP404*'Equity Price Data'!AS405</f>
        <v>32909.8</v>
      </c>
      <c r="AN404" s="30">
        <f>'Equity Volume Data'!AQ404*'Equity Price Data'!AT405</f>
        <v>0</v>
      </c>
      <c r="AO404" s="30">
        <f>'Equity Volume Data'!AR404*'Equity Price Data'!AU405</f>
        <v>30889.18</v>
      </c>
      <c r="AP404" s="30">
        <f>'Equity Volume Data'!AS404*'Equity Price Data'!AV405</f>
        <v>24620</v>
      </c>
      <c r="AQ404" s="30">
        <f>'Equity Volume Data'!AT404*'Equity Price Data'!AW405</f>
        <v>17976.2</v>
      </c>
      <c r="AR404" s="30">
        <f>'Equity Volume Data'!AU404*'Equity Price Data'!AX405</f>
        <v>11604.92</v>
      </c>
      <c r="AS404" s="30">
        <f>'Equity Volume Data'!AV404*'Equity Price Data'!AY405</f>
        <v>58077.6</v>
      </c>
      <c r="AT404" s="30">
        <f>'Equity Volume Data'!AW404*'Equity Price Data'!AZ405</f>
        <v>31046.4</v>
      </c>
      <c r="AU404" s="30">
        <f>'Equity Volume Data'!AX404*'Equity Price Data'!BA405</f>
        <v>0</v>
      </c>
      <c r="AV404" s="30">
        <f>'Equity Volume Data'!AY404*'Equity Price Data'!BB405</f>
        <v>24727.88</v>
      </c>
      <c r="AW404" s="30">
        <f>'Equity Volume Data'!AZ404*'Equity Price Data'!BC405</f>
        <v>3494</v>
      </c>
      <c r="AX404" s="30">
        <f>'Equity Volume Data'!BA404*'Equity Price Data'!BD405</f>
        <v>0</v>
      </c>
      <c r="AY404" s="30">
        <f>'Equity Volume Data'!BB404*'Equity Price Data'!BE405</f>
        <v>41780.25</v>
      </c>
      <c r="AZ404" s="30">
        <f>'Equity Volume Data'!BC404*'Equity Price Data'!BF405</f>
        <v>8916</v>
      </c>
      <c r="BA404" s="30">
        <f>'Equity Volume Data'!BD404*'Equity Price Data'!BG405</f>
        <v>4757.6</v>
      </c>
      <c r="BB404" s="30">
        <f>'Equity Volume Data'!BE404*'Equity Price Data'!BH405</f>
        <v>14263.2</v>
      </c>
      <c r="BC404" s="30">
        <f>'Equity Volume Data'!BF404*'Equity Price Data'!BI405</f>
        <v>24914.88</v>
      </c>
      <c r="BD404" s="30">
        <f>'Equity Volume Data'!BG404*'Equity Price Data'!BJ405</f>
        <v>42657.51</v>
      </c>
      <c r="BE404" s="30">
        <f>'Equity Volume Data'!BH404*'Equity Price Data'!BK405</f>
        <v>12934.97</v>
      </c>
      <c r="BF404" s="30">
        <f>'Equity Volume Data'!BI404*'Equity Price Data'!BL405</f>
        <v>8643.2</v>
      </c>
      <c r="BG404" s="30">
        <f>'Equity Volume Data'!BJ404*'Equity Price Data'!BM405</f>
        <v>33657.46</v>
      </c>
      <c r="BH404" s="30">
        <f>'Equity Volume Data'!BK404*'Equity Price Data'!BN405</f>
        <v>0</v>
      </c>
      <c r="BI404" s="30">
        <f>'Equity Volume Data'!BL404*'Equity Price Data'!BO405</f>
        <v>37507.2</v>
      </c>
      <c r="BJ404" s="30">
        <f>'Equity Volume Data'!BM404*'Equity Price Data'!BP405</f>
        <v>24610.5</v>
      </c>
      <c r="BK404" s="30">
        <f>'Equity Volume Data'!BN404*'Equity Price Data'!BQ405</f>
        <v>89072.86</v>
      </c>
      <c r="BL404" s="30">
        <f>'Equity Volume Data'!BO404*'Equity Price Data'!BR405</f>
        <v>561.18</v>
      </c>
      <c r="BM404" s="30">
        <f>'Equity Volume Data'!BP404*'Equity Price Data'!BS405</f>
        <v>10479.36</v>
      </c>
      <c r="BN404" s="30">
        <f>'Equity Volume Data'!BQ404*'Equity Price Data'!BT405</f>
        <v>21031.56</v>
      </c>
      <c r="BO404" s="30">
        <f>'Equity Volume Data'!BR404*'Equity Price Data'!BU405</f>
        <v>68782</v>
      </c>
    </row>
    <row r="405">
      <c r="A405" s="25">
        <f>'Equity Price Data'!A406</f>
        <v>46010.66667</v>
      </c>
      <c r="B405" s="29">
        <f t="shared" si="1"/>
        <v>1574819.41</v>
      </c>
      <c r="C405" s="30">
        <f>'Equity Volume Data'!F405*'Equity Price Data'!I406</f>
        <v>4626.18</v>
      </c>
      <c r="D405" s="30">
        <f>'Equity Volume Data'!G405*'Equity Price Data'!J406</f>
        <v>59111</v>
      </c>
      <c r="E405" s="30">
        <f>'Equity Volume Data'!H405*'Equity Price Data'!K406</f>
        <v>14327.5</v>
      </c>
      <c r="F405" s="30">
        <f>'Equity Volume Data'!I405*'Equity Price Data'!L406</f>
        <v>70059.52</v>
      </c>
      <c r="G405" s="30">
        <f>'Equity Volume Data'!J405*'Equity Price Data'!M406</f>
        <v>21282.03</v>
      </c>
      <c r="H405" s="30">
        <f>'Equity Volume Data'!K405*'Equity Price Data'!N406</f>
        <v>21777.92</v>
      </c>
      <c r="I405" s="30">
        <f>'Equity Volume Data'!L405*'Equity Price Data'!O406</f>
        <v>25140</v>
      </c>
      <c r="J405" s="30">
        <f>'Equity Volume Data'!M405*'Equity Price Data'!P406</f>
        <v>50442.06</v>
      </c>
      <c r="K405" s="30">
        <f>'Equity Volume Data'!N405*'Equity Price Data'!Q406</f>
        <v>11864</v>
      </c>
      <c r="L405" s="30">
        <f>'Equity Volume Data'!O405*'Equity Price Data'!R406</f>
        <v>21150.8</v>
      </c>
      <c r="M405" s="30">
        <f>'Equity Volume Data'!P405*'Equity Price Data'!S406</f>
        <v>13959.06</v>
      </c>
      <c r="N405" s="30">
        <f>'Equity Volume Data'!Q405*'Equity Price Data'!T406</f>
        <v>4301.6</v>
      </c>
      <c r="O405" s="30">
        <f>'Equity Volume Data'!R405*'Equity Price Data'!U406</f>
        <v>86433</v>
      </c>
      <c r="P405" s="30">
        <f>'Equity Volume Data'!S405*'Equity Price Data'!V406</f>
        <v>37525.83</v>
      </c>
      <c r="Q405" s="30">
        <f>'Equity Volume Data'!T405*'Equity Price Data'!W406</f>
        <v>22696.8</v>
      </c>
      <c r="R405" s="30">
        <f>'Equity Volume Data'!U405*'Equity Price Data'!X406</f>
        <v>11820</v>
      </c>
      <c r="S405" s="30">
        <f>'Equity Volume Data'!V405*'Equity Price Data'!Y406</f>
        <v>23926.32</v>
      </c>
      <c r="T405" s="30">
        <f>'Equity Volume Data'!W405*'Equity Price Data'!Z406</f>
        <v>14797.5</v>
      </c>
      <c r="U405" s="30">
        <f>'Equity Volume Data'!X405*'Equity Price Data'!AA406</f>
        <v>18495.84</v>
      </c>
      <c r="V405" s="30">
        <f>'Equity Volume Data'!Y405*'Equity Price Data'!AB406</f>
        <v>15787.66</v>
      </c>
      <c r="W405" s="30">
        <f>'Equity Volume Data'!Z405*'Equity Price Data'!AC406</f>
        <v>10349.31</v>
      </c>
      <c r="X405" s="30">
        <f>'Equity Volume Data'!AA405*'Equity Price Data'!AD406</f>
        <v>0</v>
      </c>
      <c r="Y405" s="30">
        <f>'Equity Volume Data'!AB405*'Equity Price Data'!AE406</f>
        <v>5609.63</v>
      </c>
      <c r="Z405" s="30">
        <f>'Equity Volume Data'!AC405*'Equity Price Data'!AF406</f>
        <v>12699</v>
      </c>
      <c r="AA405" s="30">
        <f>'Equity Volume Data'!AD405*'Equity Price Data'!AG406</f>
        <v>19837.3</v>
      </c>
      <c r="AB405" s="30">
        <f>'Equity Volume Data'!AE405*'Equity Price Data'!AH406</f>
        <v>17326.8</v>
      </c>
      <c r="AC405" s="30">
        <f>'Equity Volume Data'!AF405*'Equity Price Data'!AI406</f>
        <v>15131.6</v>
      </c>
      <c r="AD405" s="30">
        <f>'Equity Volume Data'!AG405*'Equity Price Data'!AJ406</f>
        <v>15271.2</v>
      </c>
      <c r="AE405" s="30">
        <f>'Equity Volume Data'!AH405*'Equity Price Data'!AK406</f>
        <v>0</v>
      </c>
      <c r="AF405" s="30">
        <f>'Equity Volume Data'!AI405*'Equity Price Data'!AL406</f>
        <v>25479.45</v>
      </c>
      <c r="AG405" s="30">
        <f>'Equity Volume Data'!AJ405*'Equity Price Data'!AM406</f>
        <v>53608.8</v>
      </c>
      <c r="AH405" s="30">
        <f>'Equity Volume Data'!AK405*'Equity Price Data'!AN406</f>
        <v>34500</v>
      </c>
      <c r="AI405" s="30">
        <f>'Equity Volume Data'!AL405*'Equity Price Data'!AO406</f>
        <v>31610.25</v>
      </c>
      <c r="AJ405" s="30">
        <f>'Equity Volume Data'!AM405*'Equity Price Data'!AP406</f>
        <v>20839</v>
      </c>
      <c r="AK405" s="30">
        <f>'Equity Volume Data'!AN405*'Equity Price Data'!AQ406</f>
        <v>26906.09</v>
      </c>
      <c r="AL405" s="30">
        <f>'Equity Volume Data'!AO405*'Equity Price Data'!AR406</f>
        <v>50753.6</v>
      </c>
      <c r="AM405" s="30">
        <f>'Equity Volume Data'!AP405*'Equity Price Data'!AS406</f>
        <v>33189.1</v>
      </c>
      <c r="AN405" s="30">
        <f>'Equity Volume Data'!AQ405*'Equity Price Data'!AT406</f>
        <v>0</v>
      </c>
      <c r="AO405" s="30">
        <f>'Equity Volume Data'!AR405*'Equity Price Data'!AU406</f>
        <v>30880.64</v>
      </c>
      <c r="AP405" s="30">
        <f>'Equity Volume Data'!AS405*'Equity Price Data'!AV406</f>
        <v>24657.5</v>
      </c>
      <c r="AQ405" s="30">
        <f>'Equity Volume Data'!AT405*'Equity Price Data'!AW406</f>
        <v>17945.4</v>
      </c>
      <c r="AR405" s="30">
        <f>'Equity Volume Data'!AU405*'Equity Price Data'!AX406</f>
        <v>12035.31</v>
      </c>
      <c r="AS405" s="30">
        <f>'Equity Volume Data'!AV405*'Equity Price Data'!AY406</f>
        <v>58310.4</v>
      </c>
      <c r="AT405" s="30">
        <f>'Equity Volume Data'!AW405*'Equity Price Data'!AZ406</f>
        <v>30543.36</v>
      </c>
      <c r="AU405" s="30">
        <f>'Equity Volume Data'!AX405*'Equity Price Data'!BA406</f>
        <v>0</v>
      </c>
      <c r="AV405" s="30">
        <f>'Equity Volume Data'!AY405*'Equity Price Data'!BB406</f>
        <v>25700.58</v>
      </c>
      <c r="AW405" s="30">
        <f>'Equity Volume Data'!AZ405*'Equity Price Data'!BC406</f>
        <v>3482.4</v>
      </c>
      <c r="AX405" s="30">
        <f>'Equity Volume Data'!BA405*'Equity Price Data'!BD406</f>
        <v>0</v>
      </c>
      <c r="AY405" s="30">
        <f>'Equity Volume Data'!BB405*'Equity Price Data'!BE406</f>
        <v>43510.5</v>
      </c>
      <c r="AZ405" s="30">
        <f>'Equity Volume Data'!BC405*'Equity Price Data'!BF406</f>
        <v>8971.5</v>
      </c>
      <c r="BA405" s="30">
        <f>'Equity Volume Data'!BD405*'Equity Price Data'!BG406</f>
        <v>4786.1</v>
      </c>
      <c r="BB405" s="30">
        <f>'Equity Volume Data'!BE405*'Equity Price Data'!BH406</f>
        <v>14560.8</v>
      </c>
      <c r="BC405" s="30">
        <f>'Equity Volume Data'!BF405*'Equity Price Data'!BI406</f>
        <v>25839.84</v>
      </c>
      <c r="BD405" s="30">
        <f>'Equity Volume Data'!BG405*'Equity Price Data'!BJ406</f>
        <v>41903.49</v>
      </c>
      <c r="BE405" s="30">
        <f>'Equity Volume Data'!BH405*'Equity Price Data'!BK406</f>
        <v>13060.09</v>
      </c>
      <c r="BF405" s="30">
        <f>'Equity Volume Data'!BI405*'Equity Price Data'!BL406</f>
        <v>8775.2</v>
      </c>
      <c r="BG405" s="30">
        <f>'Equity Volume Data'!BJ405*'Equity Price Data'!BM406</f>
        <v>35492.26</v>
      </c>
      <c r="BH405" s="30">
        <f>'Equity Volume Data'!BK405*'Equity Price Data'!BN406</f>
        <v>0</v>
      </c>
      <c r="BI405" s="30">
        <f>'Equity Volume Data'!BL405*'Equity Price Data'!BO406</f>
        <v>37476.8</v>
      </c>
      <c r="BJ405" s="30">
        <f>'Equity Volume Data'!BM405*'Equity Price Data'!BP406</f>
        <v>24556.5</v>
      </c>
      <c r="BK405" s="30">
        <f>'Equity Volume Data'!BN405*'Equity Price Data'!BQ406</f>
        <v>89054.84</v>
      </c>
      <c r="BL405" s="30">
        <f>'Equity Volume Data'!BO405*'Equity Price Data'!BR406</f>
        <v>560.71</v>
      </c>
      <c r="BM405" s="30">
        <f>'Equity Volume Data'!BP405*'Equity Price Data'!BS406</f>
        <v>10384.32</v>
      </c>
      <c r="BN405" s="30">
        <f>'Equity Volume Data'!BQ405*'Equity Price Data'!BT406</f>
        <v>20913.12</v>
      </c>
      <c r="BO405" s="30">
        <f>'Equity Volume Data'!BR405*'Equity Price Data'!BU406</f>
        <v>68782</v>
      </c>
    </row>
    <row r="406">
      <c r="A406" s="25">
        <f>'Equity Price Data'!A407</f>
        <v>46013.66667</v>
      </c>
      <c r="B406" s="29">
        <f t="shared" si="1"/>
        <v>1584070.34</v>
      </c>
      <c r="C406" s="30">
        <f>'Equity Volume Data'!F406*'Equity Price Data'!I407</f>
        <v>4647.89</v>
      </c>
      <c r="D406" s="30">
        <f>'Equity Volume Data'!G406*'Equity Price Data'!J407</f>
        <v>59391.8</v>
      </c>
      <c r="E406" s="30">
        <f>'Equity Volume Data'!H406*'Equity Price Data'!K407</f>
        <v>14483.7</v>
      </c>
      <c r="F406" s="30">
        <f>'Equity Volume Data'!I406*'Equity Price Data'!L407</f>
        <v>69368.32</v>
      </c>
      <c r="G406" s="30">
        <f>'Equity Volume Data'!J406*'Equity Price Data'!M407</f>
        <v>21497.83</v>
      </c>
      <c r="H406" s="30">
        <f>'Equity Volume Data'!K406*'Equity Price Data'!N407</f>
        <v>22044.88</v>
      </c>
      <c r="I406" s="30">
        <f>'Equity Volume Data'!L406*'Equity Price Data'!O407</f>
        <v>25330</v>
      </c>
      <c r="J406" s="30">
        <f>'Equity Volume Data'!M406*'Equity Price Data'!P407</f>
        <v>50994.9</v>
      </c>
      <c r="K406" s="30">
        <f>'Equity Volume Data'!N406*'Equity Price Data'!Q407</f>
        <v>12154</v>
      </c>
      <c r="L406" s="30">
        <f>'Equity Volume Data'!O406*'Equity Price Data'!R407</f>
        <v>21138.7</v>
      </c>
      <c r="M406" s="30">
        <f>'Equity Volume Data'!P406*'Equity Price Data'!S407</f>
        <v>14078.78</v>
      </c>
      <c r="N406" s="30">
        <f>'Equity Volume Data'!Q406*'Equity Price Data'!T407</f>
        <v>4256</v>
      </c>
      <c r="O406" s="30">
        <f>'Equity Volume Data'!R406*'Equity Price Data'!U407</f>
        <v>87361.5</v>
      </c>
      <c r="P406" s="30">
        <f>'Equity Volume Data'!S406*'Equity Price Data'!V407</f>
        <v>38243.07</v>
      </c>
      <c r="Q406" s="30">
        <f>'Equity Volume Data'!T406*'Equity Price Data'!W407</f>
        <v>22887.6</v>
      </c>
      <c r="R406" s="30">
        <f>'Equity Volume Data'!U406*'Equity Price Data'!X407</f>
        <v>11984</v>
      </c>
      <c r="S406" s="30">
        <f>'Equity Volume Data'!V406*'Equity Price Data'!Y407</f>
        <v>24252.8</v>
      </c>
      <c r="T406" s="30">
        <f>'Equity Volume Data'!W406*'Equity Price Data'!Z407</f>
        <v>14970</v>
      </c>
      <c r="U406" s="30">
        <f>'Equity Volume Data'!X406*'Equity Price Data'!AA407</f>
        <v>18535.44</v>
      </c>
      <c r="V406" s="30">
        <f>'Equity Volume Data'!Y406*'Equity Price Data'!AB407</f>
        <v>15869.77</v>
      </c>
      <c r="W406" s="30">
        <f>'Equity Volume Data'!Z406*'Equity Price Data'!AC407</f>
        <v>10592.19</v>
      </c>
      <c r="X406" s="30">
        <f>'Equity Volume Data'!AA406*'Equity Price Data'!AD407</f>
        <v>0</v>
      </c>
      <c r="Y406" s="30">
        <f>'Equity Volume Data'!AB406*'Equity Price Data'!AE407</f>
        <v>5562.57</v>
      </c>
      <c r="Z406" s="30">
        <f>'Equity Volume Data'!AC406*'Equity Price Data'!AF407</f>
        <v>12600</v>
      </c>
      <c r="AA406" s="30">
        <f>'Equity Volume Data'!AD406*'Equity Price Data'!AG407</f>
        <v>20085.5</v>
      </c>
      <c r="AB406" s="30">
        <f>'Equity Volume Data'!AE406*'Equity Price Data'!AH407</f>
        <v>17566.8</v>
      </c>
      <c r="AC406" s="30">
        <f>'Equity Volume Data'!AF406*'Equity Price Data'!AI407</f>
        <v>15010</v>
      </c>
      <c r="AD406" s="30">
        <f>'Equity Volume Data'!AG406*'Equity Price Data'!AJ407</f>
        <v>15533.55</v>
      </c>
      <c r="AE406" s="30">
        <f>'Equity Volume Data'!AH406*'Equity Price Data'!AK407</f>
        <v>0</v>
      </c>
      <c r="AF406" s="30">
        <f>'Equity Volume Data'!AI406*'Equity Price Data'!AL407</f>
        <v>25452.8</v>
      </c>
      <c r="AG406" s="30">
        <f>'Equity Volume Data'!AJ406*'Equity Price Data'!AM407</f>
        <v>53940</v>
      </c>
      <c r="AH406" s="30">
        <f>'Equity Volume Data'!AK406*'Equity Price Data'!AN407</f>
        <v>34639</v>
      </c>
      <c r="AI406" s="30">
        <f>'Equity Volume Data'!AL406*'Equity Price Data'!AO407</f>
        <v>31325</v>
      </c>
      <c r="AJ406" s="30">
        <f>'Equity Volume Data'!AM406*'Equity Price Data'!AP407</f>
        <v>20988.5</v>
      </c>
      <c r="AK406" s="30">
        <f>'Equity Volume Data'!AN406*'Equity Price Data'!AQ407</f>
        <v>27252.01</v>
      </c>
      <c r="AL406" s="30">
        <f>'Equity Volume Data'!AO406*'Equity Price Data'!AR407</f>
        <v>51694.4</v>
      </c>
      <c r="AM406" s="30">
        <f>'Equity Volume Data'!AP406*'Equity Price Data'!AS407</f>
        <v>33849.9</v>
      </c>
      <c r="AN406" s="30">
        <f>'Equity Volume Data'!AQ406*'Equity Price Data'!AT407</f>
        <v>0</v>
      </c>
      <c r="AO406" s="30">
        <f>'Equity Volume Data'!AR406*'Equity Price Data'!AU407</f>
        <v>31196.62</v>
      </c>
      <c r="AP406" s="30">
        <f>'Equity Volume Data'!AS406*'Equity Price Data'!AV407</f>
        <v>24427.5</v>
      </c>
      <c r="AQ406" s="30">
        <f>'Equity Volume Data'!AT406*'Equity Price Data'!AW407</f>
        <v>17897</v>
      </c>
      <c r="AR406" s="30">
        <f>'Equity Volume Data'!AU406*'Equity Price Data'!AX407</f>
        <v>12128.97</v>
      </c>
      <c r="AS406" s="30">
        <f>'Equity Volume Data'!AV406*'Equity Price Data'!AY407</f>
        <v>58190.4</v>
      </c>
      <c r="AT406" s="30">
        <f>'Equity Volume Data'!AW406*'Equity Price Data'!AZ407</f>
        <v>30735.36</v>
      </c>
      <c r="AU406" s="30">
        <f>'Equity Volume Data'!AX406*'Equity Price Data'!BA407</f>
        <v>0</v>
      </c>
      <c r="AV406" s="30">
        <f>'Equity Volume Data'!AY406*'Equity Price Data'!BB407</f>
        <v>26083.98</v>
      </c>
      <c r="AW406" s="30">
        <f>'Equity Volume Data'!AZ406*'Equity Price Data'!BC407</f>
        <v>3489.6</v>
      </c>
      <c r="AX406" s="30">
        <f>'Equity Volume Data'!BA406*'Equity Price Data'!BD407</f>
        <v>0</v>
      </c>
      <c r="AY406" s="30">
        <f>'Equity Volume Data'!BB406*'Equity Price Data'!BE407</f>
        <v>43645.5</v>
      </c>
      <c r="AZ406" s="30">
        <f>'Equity Volume Data'!BC406*'Equity Price Data'!BF407</f>
        <v>8979</v>
      </c>
      <c r="BA406" s="30">
        <f>'Equity Volume Data'!BD406*'Equity Price Data'!BG407</f>
        <v>4789.9</v>
      </c>
      <c r="BB406" s="30">
        <f>'Equity Volume Data'!BE406*'Equity Price Data'!BH407</f>
        <v>14854.4</v>
      </c>
      <c r="BC406" s="30">
        <f>'Equity Volume Data'!BF406*'Equity Price Data'!BI407</f>
        <v>26430.24</v>
      </c>
      <c r="BD406" s="30">
        <f>'Equity Volume Data'!BG406*'Equity Price Data'!BJ407</f>
        <v>41696.88</v>
      </c>
      <c r="BE406" s="30">
        <f>'Equity Volume Data'!BH406*'Equity Price Data'!BK407</f>
        <v>13241.1</v>
      </c>
      <c r="BF406" s="30">
        <f>'Equity Volume Data'!BI406*'Equity Price Data'!BL407</f>
        <v>8780.4</v>
      </c>
      <c r="BG406" s="30">
        <f>'Equity Volume Data'!BJ406*'Equity Price Data'!BM407</f>
        <v>35959.3</v>
      </c>
      <c r="BH406" s="30">
        <f>'Equity Volume Data'!BK406*'Equity Price Data'!BN407</f>
        <v>0</v>
      </c>
      <c r="BI406" s="30">
        <f>'Equity Volume Data'!BL406*'Equity Price Data'!BO407</f>
        <v>37537.6</v>
      </c>
      <c r="BJ406" s="30">
        <f>'Equity Volume Data'!BM406*'Equity Price Data'!BP407</f>
        <v>24387</v>
      </c>
      <c r="BK406" s="30">
        <f>'Equity Volume Data'!BN406*'Equity Price Data'!BQ407</f>
        <v>89018.8</v>
      </c>
      <c r="BL406" s="30">
        <f>'Equity Volume Data'!BO406*'Equity Price Data'!BR407</f>
        <v>564.47</v>
      </c>
      <c r="BM406" s="30">
        <f>'Equity Volume Data'!BP406*'Equity Price Data'!BS407</f>
        <v>10543.68</v>
      </c>
      <c r="BN406" s="30">
        <f>'Equity Volume Data'!BQ406*'Equity Price Data'!BT407</f>
        <v>21127.44</v>
      </c>
      <c r="BO406" s="30">
        <f>'Equity Volume Data'!BR406*'Equity Price Data'!BU407</f>
        <v>68782</v>
      </c>
    </row>
    <row r="407">
      <c r="A407" s="25">
        <f>'Equity Price Data'!A408</f>
        <v>46014.66667</v>
      </c>
      <c r="B407" s="29">
        <f t="shared" si="1"/>
        <v>1587639.99</v>
      </c>
      <c r="C407" s="30">
        <f>'Equity Volume Data'!F407*'Equity Price Data'!I408</f>
        <v>4581.46</v>
      </c>
      <c r="D407" s="30">
        <f>'Equity Volume Data'!G407*'Equity Price Data'!J408</f>
        <v>60356.4</v>
      </c>
      <c r="E407" s="30">
        <f>'Equity Volume Data'!H407*'Equity Price Data'!K408</f>
        <v>14382.5</v>
      </c>
      <c r="F407" s="30">
        <f>'Equity Volume Data'!I407*'Equity Price Data'!L408</f>
        <v>69724.16</v>
      </c>
      <c r="G407" s="30">
        <f>'Equity Volume Data'!J407*'Equity Price Data'!M408</f>
        <v>21599.09</v>
      </c>
      <c r="H407" s="30">
        <f>'Equity Volume Data'!K407*'Equity Price Data'!N408</f>
        <v>22037.36</v>
      </c>
      <c r="I407" s="30">
        <f>'Equity Volume Data'!L407*'Equity Price Data'!O408</f>
        <v>25480</v>
      </c>
      <c r="J407" s="30">
        <f>'Equity Volume Data'!M407*'Equity Price Data'!P408</f>
        <v>51052.02</v>
      </c>
      <c r="K407" s="30">
        <f>'Equity Volume Data'!N407*'Equity Price Data'!Q408</f>
        <v>12216</v>
      </c>
      <c r="L407" s="30">
        <f>'Equity Volume Data'!O407*'Equity Price Data'!R408</f>
        <v>21153.22</v>
      </c>
      <c r="M407" s="30">
        <f>'Equity Volume Data'!P407*'Equity Price Data'!S408</f>
        <v>14029.14</v>
      </c>
      <c r="N407" s="30">
        <f>'Equity Volume Data'!Q407*'Equity Price Data'!T408</f>
        <v>4267.2</v>
      </c>
      <c r="O407" s="30">
        <f>'Equity Volume Data'!R407*'Equity Price Data'!U408</f>
        <v>87363</v>
      </c>
      <c r="P407" s="30">
        <f>'Equity Volume Data'!S407*'Equity Price Data'!V408</f>
        <v>38951.97</v>
      </c>
      <c r="Q407" s="30">
        <f>'Equity Volume Data'!T407*'Equity Price Data'!W408</f>
        <v>22732.8</v>
      </c>
      <c r="R407" s="30">
        <f>'Equity Volume Data'!U407*'Equity Price Data'!X408</f>
        <v>12040.8</v>
      </c>
      <c r="S407" s="30">
        <f>'Equity Volume Data'!V407*'Equity Price Data'!Y408</f>
        <v>24090</v>
      </c>
      <c r="T407" s="30">
        <f>'Equity Volume Data'!W407*'Equity Price Data'!Z408</f>
        <v>14877.5</v>
      </c>
      <c r="U407" s="30">
        <f>'Equity Volume Data'!X407*'Equity Price Data'!AA408</f>
        <v>18445.68</v>
      </c>
      <c r="V407" s="30">
        <f>'Equity Volume Data'!Y407*'Equity Price Data'!AB408</f>
        <v>15930.95</v>
      </c>
      <c r="W407" s="30">
        <f>'Equity Volume Data'!Z407*'Equity Price Data'!AC408</f>
        <v>10617.72</v>
      </c>
      <c r="X407" s="30">
        <f>'Equity Volume Data'!AA407*'Equity Price Data'!AD408</f>
        <v>0</v>
      </c>
      <c r="Y407" s="30">
        <f>'Equity Volume Data'!AB407*'Equity Price Data'!AE408</f>
        <v>5540.34</v>
      </c>
      <c r="Z407" s="30">
        <f>'Equity Volume Data'!AC407*'Equity Price Data'!AF408</f>
        <v>12607.5</v>
      </c>
      <c r="AA407" s="30">
        <f>'Equity Volume Data'!AD407*'Equity Price Data'!AG408</f>
        <v>20301.4</v>
      </c>
      <c r="AB407" s="30">
        <f>'Equity Volume Data'!AE407*'Equity Price Data'!AH408</f>
        <v>17712.6</v>
      </c>
      <c r="AC407" s="30">
        <f>'Equity Volume Data'!AF407*'Equity Price Data'!AI408</f>
        <v>15036.4</v>
      </c>
      <c r="AD407" s="30">
        <f>'Equity Volume Data'!AG407*'Equity Price Data'!AJ408</f>
        <v>15472.8</v>
      </c>
      <c r="AE407" s="30">
        <f>'Equity Volume Data'!AH407*'Equity Price Data'!AK408</f>
        <v>0</v>
      </c>
      <c r="AF407" s="30">
        <f>'Equity Volume Data'!AI407*'Equity Price Data'!AL408</f>
        <v>25663.95</v>
      </c>
      <c r="AG407" s="30">
        <f>'Equity Volume Data'!AJ407*'Equity Price Data'!AM408</f>
        <v>54102.6</v>
      </c>
      <c r="AH407" s="30">
        <f>'Equity Volume Data'!AK407*'Equity Price Data'!AN408</f>
        <v>34497</v>
      </c>
      <c r="AI407" s="30">
        <f>'Equity Volume Data'!AL407*'Equity Price Data'!AO408</f>
        <v>31185</v>
      </c>
      <c r="AJ407" s="30">
        <f>'Equity Volume Data'!AM407*'Equity Price Data'!AP408</f>
        <v>21053.5</v>
      </c>
      <c r="AK407" s="30">
        <f>'Equity Volume Data'!AN407*'Equity Price Data'!AQ408</f>
        <v>27134.98</v>
      </c>
      <c r="AL407" s="30">
        <f>'Equity Volume Data'!AO407*'Equity Price Data'!AR408</f>
        <v>52148.8</v>
      </c>
      <c r="AM407" s="30">
        <f>'Equity Volume Data'!AP407*'Equity Price Data'!AS408</f>
        <v>33778.5</v>
      </c>
      <c r="AN407" s="30">
        <f>'Equity Volume Data'!AQ407*'Equity Price Data'!AT408</f>
        <v>0</v>
      </c>
      <c r="AO407" s="30">
        <f>'Equity Volume Data'!AR407*'Equity Price Data'!AU408</f>
        <v>31384.5</v>
      </c>
      <c r="AP407" s="30">
        <f>'Equity Volume Data'!AS407*'Equity Price Data'!AV408</f>
        <v>24367.5</v>
      </c>
      <c r="AQ407" s="30">
        <f>'Equity Volume Data'!AT407*'Equity Price Data'!AW408</f>
        <v>17800.2</v>
      </c>
      <c r="AR407" s="30">
        <f>'Equity Volume Data'!AU407*'Equity Price Data'!AX408</f>
        <v>12088.83</v>
      </c>
      <c r="AS407" s="30">
        <f>'Equity Volume Data'!AV407*'Equity Price Data'!AY408</f>
        <v>58422</v>
      </c>
      <c r="AT407" s="30">
        <f>'Equity Volume Data'!AW407*'Equity Price Data'!AZ408</f>
        <v>30639.36</v>
      </c>
      <c r="AU407" s="30">
        <f>'Equity Volume Data'!AX407*'Equity Price Data'!BA408</f>
        <v>0</v>
      </c>
      <c r="AV407" s="30">
        <f>'Equity Volume Data'!AY407*'Equity Price Data'!BB408</f>
        <v>26867.82</v>
      </c>
      <c r="AW407" s="30">
        <f>'Equity Volume Data'!AZ407*'Equity Price Data'!BC408</f>
        <v>3513.2</v>
      </c>
      <c r="AX407" s="30">
        <f>'Equity Volume Data'!BA407*'Equity Price Data'!BD408</f>
        <v>0</v>
      </c>
      <c r="AY407" s="30">
        <f>'Equity Volume Data'!BB407*'Equity Price Data'!BE408</f>
        <v>43679.25</v>
      </c>
      <c r="AZ407" s="30">
        <f>'Equity Volume Data'!BC407*'Equity Price Data'!BF408</f>
        <v>8911.5</v>
      </c>
      <c r="BA407" s="30">
        <f>'Equity Volume Data'!BD407*'Equity Price Data'!BG408</f>
        <v>4727.2</v>
      </c>
      <c r="BB407" s="30">
        <f>'Equity Volume Data'!BE407*'Equity Price Data'!BH408</f>
        <v>14860.8</v>
      </c>
      <c r="BC407" s="30">
        <f>'Equity Volume Data'!BF407*'Equity Price Data'!BI408</f>
        <v>26328.56</v>
      </c>
      <c r="BD407" s="30">
        <f>'Equity Volume Data'!BG407*'Equity Price Data'!BJ408</f>
        <v>42103.71</v>
      </c>
      <c r="BE407" s="30">
        <f>'Equity Volume Data'!BH407*'Equity Price Data'!BK408</f>
        <v>13338.62</v>
      </c>
      <c r="BF407" s="30">
        <f>'Equity Volume Data'!BI407*'Equity Price Data'!BL408</f>
        <v>8769.6</v>
      </c>
      <c r="BG407" s="30">
        <f>'Equity Volume Data'!BJ407*'Equity Price Data'!BM408</f>
        <v>35639.6</v>
      </c>
      <c r="BH407" s="30">
        <f>'Equity Volume Data'!BK407*'Equity Price Data'!BN408</f>
        <v>0</v>
      </c>
      <c r="BI407" s="30">
        <f>'Equity Volume Data'!BL407*'Equity Price Data'!BO408</f>
        <v>37464</v>
      </c>
      <c r="BJ407" s="30">
        <f>'Equity Volume Data'!BM407*'Equity Price Data'!BP408</f>
        <v>24360</v>
      </c>
      <c r="BK407" s="30">
        <f>'Equity Volume Data'!BN407*'Equity Price Data'!BQ408</f>
        <v>89000.78</v>
      </c>
      <c r="BL407" s="30">
        <f>'Equity Volume Data'!BO407*'Equity Price Data'!BR408</f>
        <v>564.94</v>
      </c>
      <c r="BM407" s="30">
        <f>'Equity Volume Data'!BP407*'Equity Price Data'!BS408</f>
        <v>10576.32</v>
      </c>
      <c r="BN407" s="30">
        <f>'Equity Volume Data'!BQ407*'Equity Price Data'!BT408</f>
        <v>21285.36</v>
      </c>
      <c r="BO407" s="30">
        <f>'Equity Volume Data'!BR407*'Equity Price Data'!BU408</f>
        <v>68782</v>
      </c>
    </row>
    <row r="408">
      <c r="A408" s="25">
        <f>'Equity Price Data'!A409</f>
        <v>46015.54514</v>
      </c>
      <c r="B408" s="29">
        <f t="shared" si="1"/>
        <v>1592760.8</v>
      </c>
      <c r="C408" s="30">
        <f>'Equity Volume Data'!F408*'Equity Price Data'!I409</f>
        <v>4588.74</v>
      </c>
      <c r="D408" s="30">
        <f>'Equity Volume Data'!G408*'Equity Price Data'!J409</f>
        <v>60418.8</v>
      </c>
      <c r="E408" s="30">
        <f>'Equity Volume Data'!H408*'Equity Price Data'!K409</f>
        <v>14440.8</v>
      </c>
      <c r="F408" s="30">
        <f>'Equity Volume Data'!I408*'Equity Price Data'!L409</f>
        <v>70095.36</v>
      </c>
      <c r="G408" s="30">
        <f>'Equity Volume Data'!J408*'Equity Price Data'!M409</f>
        <v>21644.74</v>
      </c>
      <c r="H408" s="30">
        <f>'Equity Volume Data'!K408*'Equity Price Data'!N409</f>
        <v>22225.36</v>
      </c>
      <c r="I408" s="30">
        <f>'Equity Volume Data'!L408*'Equity Price Data'!O409</f>
        <v>25630</v>
      </c>
      <c r="J408" s="30">
        <f>'Equity Volume Data'!M408*'Equity Price Data'!P409</f>
        <v>51136.68</v>
      </c>
      <c r="K408" s="30">
        <f>'Equity Volume Data'!N408*'Equity Price Data'!Q409</f>
        <v>12174</v>
      </c>
      <c r="L408" s="30">
        <f>'Equity Volume Data'!O408*'Equity Price Data'!R409</f>
        <v>21335.93</v>
      </c>
      <c r="M408" s="30">
        <f>'Equity Volume Data'!P408*'Equity Price Data'!S409</f>
        <v>14034.98</v>
      </c>
      <c r="N408" s="30">
        <f>'Equity Volume Data'!Q408*'Equity Price Data'!T409</f>
        <v>4280</v>
      </c>
      <c r="O408" s="30">
        <f>'Equity Volume Data'!R408*'Equity Price Data'!U409</f>
        <v>87564</v>
      </c>
      <c r="P408" s="30">
        <f>'Equity Volume Data'!S408*'Equity Price Data'!V409</f>
        <v>38922.78</v>
      </c>
      <c r="Q408" s="30">
        <f>'Equity Volume Data'!T408*'Equity Price Data'!W409</f>
        <v>22622.4</v>
      </c>
      <c r="R408" s="30">
        <f>'Equity Volume Data'!U408*'Equity Price Data'!X409</f>
        <v>12040</v>
      </c>
      <c r="S408" s="30">
        <f>'Equity Volume Data'!V408*'Equity Price Data'!Y409</f>
        <v>24187.68</v>
      </c>
      <c r="T408" s="30">
        <f>'Equity Volume Data'!W408*'Equity Price Data'!Z409</f>
        <v>14965</v>
      </c>
      <c r="U408" s="30">
        <f>'Equity Volume Data'!X408*'Equity Price Data'!AA409</f>
        <v>18509.04</v>
      </c>
      <c r="V408" s="30">
        <f>'Equity Volume Data'!Y408*'Equity Price Data'!AB409</f>
        <v>16024.33</v>
      </c>
      <c r="W408" s="30">
        <f>'Equity Volume Data'!Z408*'Equity Price Data'!AC409</f>
        <v>10708.11</v>
      </c>
      <c r="X408" s="30">
        <f>'Equity Volume Data'!AA408*'Equity Price Data'!AD409</f>
        <v>0</v>
      </c>
      <c r="Y408" s="30">
        <f>'Equity Volume Data'!AB408*'Equity Price Data'!AE409</f>
        <v>5530.59</v>
      </c>
      <c r="Z408" s="30">
        <f>'Equity Volume Data'!AC408*'Equity Price Data'!AF409</f>
        <v>12690</v>
      </c>
      <c r="AA408" s="30">
        <f>'Equity Volume Data'!AD408*'Equity Price Data'!AG409</f>
        <v>20267.4</v>
      </c>
      <c r="AB408" s="30">
        <f>'Equity Volume Data'!AE408*'Equity Price Data'!AH409</f>
        <v>17754</v>
      </c>
      <c r="AC408" s="30">
        <f>'Equity Volume Data'!AF408*'Equity Price Data'!AI409</f>
        <v>15053.6</v>
      </c>
      <c r="AD408" s="30">
        <f>'Equity Volume Data'!AG408*'Equity Price Data'!AJ409</f>
        <v>15542.55</v>
      </c>
      <c r="AE408" s="30">
        <f>'Equity Volume Data'!AH408*'Equity Price Data'!AK409</f>
        <v>0</v>
      </c>
      <c r="AF408" s="30">
        <f>'Equity Volume Data'!AI408*'Equity Price Data'!AL409</f>
        <v>25762.35</v>
      </c>
      <c r="AG408" s="30">
        <f>'Equity Volume Data'!AJ408*'Equity Price Data'!AM409</f>
        <v>54646.8</v>
      </c>
      <c r="AH408" s="30">
        <f>'Equity Volume Data'!AK408*'Equity Price Data'!AN409</f>
        <v>34734</v>
      </c>
      <c r="AI408" s="30">
        <f>'Equity Volume Data'!AL408*'Equity Price Data'!AO409</f>
        <v>31510.5</v>
      </c>
      <c r="AJ408" s="30">
        <f>'Equity Volume Data'!AM408*'Equity Price Data'!AP409</f>
        <v>21141.9</v>
      </c>
      <c r="AK408" s="30">
        <f>'Equity Volume Data'!AN408*'Equity Price Data'!AQ409</f>
        <v>27126.05</v>
      </c>
      <c r="AL408" s="30">
        <f>'Equity Volume Data'!AO408*'Equity Price Data'!AR409</f>
        <v>52667.2</v>
      </c>
      <c r="AM408" s="30">
        <f>'Equity Volume Data'!AP408*'Equity Price Data'!AS409</f>
        <v>34002.5</v>
      </c>
      <c r="AN408" s="30">
        <f>'Equity Volume Data'!AQ408*'Equity Price Data'!AT409</f>
        <v>0</v>
      </c>
      <c r="AO408" s="30">
        <f>'Equity Volume Data'!AR408*'Equity Price Data'!AU409</f>
        <v>31307.64</v>
      </c>
      <c r="AP408" s="30">
        <f>'Equity Volume Data'!AS408*'Equity Price Data'!AV409</f>
        <v>24317.5</v>
      </c>
      <c r="AQ408" s="30">
        <f>'Equity Volume Data'!AT408*'Equity Price Data'!AW409</f>
        <v>17831</v>
      </c>
      <c r="AR408" s="30">
        <f>'Equity Volume Data'!AU408*'Equity Price Data'!AX409</f>
        <v>12162.42</v>
      </c>
      <c r="AS408" s="30">
        <f>'Equity Volume Data'!AV408*'Equity Price Data'!AY409</f>
        <v>58562.4</v>
      </c>
      <c r="AT408" s="30">
        <f>'Equity Volume Data'!AW408*'Equity Price Data'!AZ409</f>
        <v>30892.8</v>
      </c>
      <c r="AU408" s="30">
        <f>'Equity Volume Data'!AX408*'Equity Price Data'!BA409</f>
        <v>0</v>
      </c>
      <c r="AV408" s="30">
        <f>'Equity Volume Data'!AY408*'Equity Price Data'!BB409</f>
        <v>26782.62</v>
      </c>
      <c r="AW408" s="30">
        <f>'Equity Volume Data'!AZ408*'Equity Price Data'!BC409</f>
        <v>3516</v>
      </c>
      <c r="AX408" s="30">
        <f>'Equity Volume Data'!BA408*'Equity Price Data'!BD409</f>
        <v>0</v>
      </c>
      <c r="AY408" s="30">
        <f>'Equity Volume Data'!BB408*'Equity Price Data'!BE409</f>
        <v>43688.25</v>
      </c>
      <c r="AZ408" s="30">
        <f>'Equity Volume Data'!BC408*'Equity Price Data'!BF409</f>
        <v>9006</v>
      </c>
      <c r="BA408" s="30">
        <f>'Equity Volume Data'!BD408*'Equity Price Data'!BG409</f>
        <v>4755.7</v>
      </c>
      <c r="BB408" s="30">
        <f>'Equity Volume Data'!BE408*'Equity Price Data'!BH409</f>
        <v>14910.4</v>
      </c>
      <c r="BC408" s="30">
        <f>'Equity Volume Data'!BF408*'Equity Price Data'!BI409</f>
        <v>26630.32</v>
      </c>
      <c r="BD408" s="30">
        <f>'Equity Volume Data'!BG408*'Equity Price Data'!BJ409</f>
        <v>42391.26</v>
      </c>
      <c r="BE408" s="30">
        <f>'Equity Volume Data'!BH408*'Equity Price Data'!BK409</f>
        <v>13319.76</v>
      </c>
      <c r="BF408" s="30">
        <f>'Equity Volume Data'!BI408*'Equity Price Data'!BL409</f>
        <v>8669.2</v>
      </c>
      <c r="BG408" s="30">
        <f>'Equity Volume Data'!BJ408*'Equity Price Data'!BM409</f>
        <v>35303.22</v>
      </c>
      <c r="BH408" s="30">
        <f>'Equity Volume Data'!BK408*'Equity Price Data'!BN409</f>
        <v>0</v>
      </c>
      <c r="BI408" s="30">
        <f>'Equity Volume Data'!BL408*'Equity Price Data'!BO409</f>
        <v>37608</v>
      </c>
      <c r="BJ408" s="30">
        <f>'Equity Volume Data'!BM408*'Equity Price Data'!BP409</f>
        <v>24568.5</v>
      </c>
      <c r="BK408" s="30">
        <f>'Equity Volume Data'!BN408*'Equity Price Data'!BQ409</f>
        <v>89054.84</v>
      </c>
      <c r="BL408" s="30">
        <f>'Equity Volume Data'!BO408*'Equity Price Data'!BR409</f>
        <v>575.28</v>
      </c>
      <c r="BM408" s="30">
        <f>'Equity Volume Data'!BP408*'Equity Price Data'!BS409</f>
        <v>10625.28</v>
      </c>
      <c r="BN408" s="30">
        <f>'Equity Volume Data'!BQ408*'Equity Price Data'!BT409</f>
        <v>21522.24</v>
      </c>
      <c r="BO408" s="30">
        <f>'Equity Volume Data'!BR408*'Equity Price Data'!BU409</f>
        <v>68782</v>
      </c>
    </row>
    <row r="409">
      <c r="A409" s="25">
        <f>'Equity Price Data'!A410</f>
        <v>46017.66667</v>
      </c>
      <c r="B409" s="29">
        <f t="shared" si="1"/>
        <v>1589828.56</v>
      </c>
      <c r="C409" s="30">
        <f>'Equity Volume Data'!F409*'Equity Price Data'!I410</f>
        <v>4599.4</v>
      </c>
      <c r="D409" s="30">
        <f>'Equity Volume Data'!G409*'Equity Price Data'!J410</f>
        <v>60455.2</v>
      </c>
      <c r="E409" s="30">
        <f>'Equity Volume Data'!H409*'Equity Price Data'!K410</f>
        <v>14360.5</v>
      </c>
      <c r="F409" s="30">
        <f>'Equity Volume Data'!I409*'Equity Price Data'!L410</f>
        <v>69990.4</v>
      </c>
      <c r="G409" s="30">
        <f>'Equity Volume Data'!J409*'Equity Price Data'!M410</f>
        <v>21737.7</v>
      </c>
      <c r="H409" s="30">
        <f>'Equity Volume Data'!K409*'Equity Price Data'!N410</f>
        <v>22084.36</v>
      </c>
      <c r="I409" s="30">
        <f>'Equity Volume Data'!L409*'Equity Price Data'!O410</f>
        <v>25740</v>
      </c>
      <c r="J409" s="30">
        <f>'Equity Volume Data'!M409*'Equity Price Data'!P410</f>
        <v>50826.6</v>
      </c>
      <c r="K409" s="30">
        <f>'Equity Volume Data'!N409*'Equity Price Data'!Q410</f>
        <v>12378</v>
      </c>
      <c r="L409" s="30">
        <f>'Equity Volume Data'!O409*'Equity Price Data'!R410</f>
        <v>21426.68</v>
      </c>
      <c r="M409" s="30">
        <f>'Equity Volume Data'!P409*'Equity Price Data'!S410</f>
        <v>14024.76</v>
      </c>
      <c r="N409" s="30">
        <f>'Equity Volume Data'!Q409*'Equity Price Data'!T410</f>
        <v>4287.2</v>
      </c>
      <c r="O409" s="30">
        <f>'Equity Volume Data'!R409*'Equity Price Data'!U410</f>
        <v>87450</v>
      </c>
      <c r="P409" s="30">
        <f>'Equity Volume Data'!S409*'Equity Price Data'!V410</f>
        <v>38714.28</v>
      </c>
      <c r="Q409" s="30">
        <f>'Equity Volume Data'!T409*'Equity Price Data'!W410</f>
        <v>22756.8</v>
      </c>
      <c r="R409" s="30">
        <f>'Equity Volume Data'!U409*'Equity Price Data'!X410</f>
        <v>12001.6</v>
      </c>
      <c r="S409" s="30">
        <f>'Equity Volume Data'!V409*'Equity Price Data'!Y410</f>
        <v>24332.88</v>
      </c>
      <c r="T409" s="30">
        <f>'Equity Volume Data'!W409*'Equity Price Data'!Z410</f>
        <v>14957.5</v>
      </c>
      <c r="U409" s="30">
        <f>'Equity Volume Data'!X409*'Equity Price Data'!AA410</f>
        <v>18445.68</v>
      </c>
      <c r="V409" s="30">
        <f>'Equity Volume Data'!Y409*'Equity Price Data'!AB410</f>
        <v>15987.3</v>
      </c>
      <c r="W409" s="30">
        <f>'Equity Volume Data'!Z409*'Equity Price Data'!AC410</f>
        <v>10695.69</v>
      </c>
      <c r="X409" s="30">
        <f>'Equity Volume Data'!AA409*'Equity Price Data'!AD410</f>
        <v>0</v>
      </c>
      <c r="Y409" s="30">
        <f>'Equity Volume Data'!AB409*'Equity Price Data'!AE410</f>
        <v>5532.28</v>
      </c>
      <c r="Z409" s="30">
        <f>'Equity Volume Data'!AC409*'Equity Price Data'!AF410</f>
        <v>12781.5</v>
      </c>
      <c r="AA409" s="30">
        <f>'Equity Volume Data'!AD409*'Equity Price Data'!AG410</f>
        <v>20248.7</v>
      </c>
      <c r="AB409" s="30">
        <f>'Equity Volume Data'!AE409*'Equity Price Data'!AH410</f>
        <v>17779.8</v>
      </c>
      <c r="AC409" s="30">
        <f>'Equity Volume Data'!AF409*'Equity Price Data'!AI410</f>
        <v>15125.2</v>
      </c>
      <c r="AD409" s="30">
        <f>'Equity Volume Data'!AG409*'Equity Price Data'!AJ410</f>
        <v>15399</v>
      </c>
      <c r="AE409" s="30">
        <f>'Equity Volume Data'!AH409*'Equity Price Data'!AK410</f>
        <v>0</v>
      </c>
      <c r="AF409" s="30">
        <f>'Equity Volume Data'!AI409*'Equity Price Data'!AL410</f>
        <v>25563.5</v>
      </c>
      <c r="AG409" s="30">
        <f>'Equity Volume Data'!AJ409*'Equity Price Data'!AM410</f>
        <v>54422.4</v>
      </c>
      <c r="AH409" s="30">
        <f>'Equity Volume Data'!AK409*'Equity Price Data'!AN410</f>
        <v>34978</v>
      </c>
      <c r="AI409" s="30">
        <f>'Equity Volume Data'!AL409*'Equity Price Data'!AO410</f>
        <v>31615.5</v>
      </c>
      <c r="AJ409" s="30">
        <f>'Equity Volume Data'!AM409*'Equity Price Data'!AP410</f>
        <v>21257.6</v>
      </c>
      <c r="AK409" s="30">
        <f>'Equity Volume Data'!AN409*'Equity Price Data'!AQ410</f>
        <v>27157.07</v>
      </c>
      <c r="AL409" s="30">
        <f>'Equity Volume Data'!AO409*'Equity Price Data'!AR410</f>
        <v>52465.6</v>
      </c>
      <c r="AM409" s="30">
        <f>'Equity Volume Data'!AP409*'Equity Price Data'!AS410</f>
        <v>33812.1</v>
      </c>
      <c r="AN409" s="30">
        <f>'Equity Volume Data'!AQ409*'Equity Price Data'!AT410</f>
        <v>0</v>
      </c>
      <c r="AO409" s="30">
        <f>'Equity Volume Data'!AR409*'Equity Price Data'!AU410</f>
        <v>31239.32</v>
      </c>
      <c r="AP409" s="30">
        <f>'Equity Volume Data'!AS409*'Equity Price Data'!AV410</f>
        <v>24130</v>
      </c>
      <c r="AQ409" s="30">
        <f>'Equity Volume Data'!AT409*'Equity Price Data'!AW410</f>
        <v>17666</v>
      </c>
      <c r="AR409" s="30">
        <f>'Equity Volume Data'!AU409*'Equity Price Data'!AX410</f>
        <v>11903.74</v>
      </c>
      <c r="AS409" s="30">
        <f>'Equity Volume Data'!AV409*'Equity Price Data'!AY410</f>
        <v>58525.2</v>
      </c>
      <c r="AT409" s="30">
        <f>'Equity Volume Data'!AW409*'Equity Price Data'!AZ410</f>
        <v>30877.44</v>
      </c>
      <c r="AU409" s="30">
        <f>'Equity Volume Data'!AX409*'Equity Price Data'!BA410</f>
        <v>0</v>
      </c>
      <c r="AV409" s="30">
        <f>'Equity Volume Data'!AY409*'Equity Price Data'!BB410</f>
        <v>27055.26</v>
      </c>
      <c r="AW409" s="30">
        <f>'Equity Volume Data'!AZ409*'Equity Price Data'!BC410</f>
        <v>3504.8</v>
      </c>
      <c r="AX409" s="30">
        <f>'Equity Volume Data'!BA409*'Equity Price Data'!BD410</f>
        <v>0</v>
      </c>
      <c r="AY409" s="30">
        <f>'Equity Volume Data'!BB409*'Equity Price Data'!BE410</f>
        <v>42459.75</v>
      </c>
      <c r="AZ409" s="30">
        <f>'Equity Volume Data'!BC409*'Equity Price Data'!BF410</f>
        <v>8995.5</v>
      </c>
      <c r="BA409" s="30">
        <f>'Equity Volume Data'!BD409*'Equity Price Data'!BG410</f>
        <v>4767.1</v>
      </c>
      <c r="BB409" s="30">
        <f>'Equity Volume Data'!BE409*'Equity Price Data'!BH410</f>
        <v>14813.6</v>
      </c>
      <c r="BC409" s="30">
        <f>'Equity Volume Data'!BF409*'Equity Price Data'!BI410</f>
        <v>26486</v>
      </c>
      <c r="BD409" s="30">
        <f>'Equity Volume Data'!BG409*'Equity Price Data'!BJ410</f>
        <v>42813</v>
      </c>
      <c r="BE409" s="30">
        <f>'Equity Volume Data'!BH409*'Equity Price Data'!BK410</f>
        <v>13357.02</v>
      </c>
      <c r="BF409" s="30">
        <f>'Equity Volume Data'!BI409*'Equity Price Data'!BL410</f>
        <v>8664.8</v>
      </c>
      <c r="BG409" s="30">
        <f>'Equity Volume Data'!BJ409*'Equity Price Data'!BM410</f>
        <v>34527.6</v>
      </c>
      <c r="BH409" s="30">
        <f>'Equity Volume Data'!BK409*'Equity Price Data'!BN410</f>
        <v>0</v>
      </c>
      <c r="BI409" s="30">
        <f>'Equity Volume Data'!BL409*'Equity Price Data'!BO410</f>
        <v>37350.4</v>
      </c>
      <c r="BJ409" s="30">
        <f>'Equity Volume Data'!BM409*'Equity Price Data'!BP410</f>
        <v>24887.25</v>
      </c>
      <c r="BK409" s="30">
        <f>'Equity Volume Data'!BN409*'Equity Price Data'!BQ410</f>
        <v>89090.88</v>
      </c>
      <c r="BL409" s="30">
        <f>'Equity Volume Data'!BO409*'Equity Price Data'!BR410</f>
        <v>579.04</v>
      </c>
      <c r="BM409" s="30">
        <f>'Equity Volume Data'!BP409*'Equity Price Data'!BS410</f>
        <v>10612.8</v>
      </c>
      <c r="BN409" s="30">
        <f>'Equity Volume Data'!BQ409*'Equity Price Data'!BT410</f>
        <v>21349.28</v>
      </c>
      <c r="BO409" s="30">
        <f>'Equity Volume Data'!BR409*'Equity Price Data'!BU410</f>
        <v>68782</v>
      </c>
    </row>
    <row r="410">
      <c r="A410" s="25">
        <f>'Equity Price Data'!A411</f>
        <v>46020.66667</v>
      </c>
      <c r="B410" s="29">
        <f t="shared" si="1"/>
        <v>1585684.43</v>
      </c>
      <c r="C410" s="30">
        <f>'Equity Volume Data'!F410*'Equity Price Data'!I411</f>
        <v>4591.08</v>
      </c>
      <c r="D410" s="30">
        <f>'Equity Volume Data'!G410*'Equity Price Data'!J411</f>
        <v>60338.2</v>
      </c>
      <c r="E410" s="30">
        <f>'Equity Volume Data'!H410*'Equity Price Data'!K411</f>
        <v>14404.5</v>
      </c>
      <c r="F410" s="30">
        <f>'Equity Volume Data'!I410*'Equity Price Data'!L411</f>
        <v>70082.56</v>
      </c>
      <c r="G410" s="30">
        <f>'Equity Volume Data'!J410*'Equity Price Data'!M411</f>
        <v>21833.15</v>
      </c>
      <c r="H410" s="30">
        <f>'Equity Volume Data'!K410*'Equity Price Data'!N411</f>
        <v>22084.36</v>
      </c>
      <c r="I410" s="30">
        <f>'Equity Volume Data'!L410*'Equity Price Data'!O411</f>
        <v>25480</v>
      </c>
      <c r="J410" s="30">
        <f>'Equity Volume Data'!M410*'Equity Price Data'!P411</f>
        <v>51107.1</v>
      </c>
      <c r="K410" s="30">
        <f>'Equity Volume Data'!N410*'Equity Price Data'!Q411</f>
        <v>12078</v>
      </c>
      <c r="L410" s="30">
        <f>'Equity Volume Data'!O410*'Equity Price Data'!R411</f>
        <v>21396.43</v>
      </c>
      <c r="M410" s="30">
        <f>'Equity Volume Data'!P410*'Equity Price Data'!S411</f>
        <v>13980.96</v>
      </c>
      <c r="N410" s="30">
        <f>'Equity Volume Data'!Q410*'Equity Price Data'!T411</f>
        <v>4288.8</v>
      </c>
      <c r="O410" s="30">
        <f>'Equity Volume Data'!R410*'Equity Price Data'!U411</f>
        <v>86791.5</v>
      </c>
      <c r="P410" s="30">
        <f>'Equity Volume Data'!S410*'Equity Price Data'!V411</f>
        <v>38714.28</v>
      </c>
      <c r="Q410" s="30">
        <f>'Equity Volume Data'!T410*'Equity Price Data'!W411</f>
        <v>22629.6</v>
      </c>
      <c r="R410" s="30">
        <f>'Equity Volume Data'!U410*'Equity Price Data'!X411</f>
        <v>12079.2</v>
      </c>
      <c r="S410" s="30">
        <f>'Equity Volume Data'!V410*'Equity Price Data'!Y411</f>
        <v>24288.88</v>
      </c>
      <c r="T410" s="30">
        <f>'Equity Volume Data'!W410*'Equity Price Data'!Z411</f>
        <v>14785</v>
      </c>
      <c r="U410" s="30">
        <f>'Equity Volume Data'!X410*'Equity Price Data'!AA411</f>
        <v>18522.24</v>
      </c>
      <c r="V410" s="30">
        <f>'Equity Volume Data'!Y410*'Equity Price Data'!AB411</f>
        <v>16025.94</v>
      </c>
      <c r="W410" s="30">
        <f>'Equity Volume Data'!Z410*'Equity Price Data'!AC411</f>
        <v>10739.85</v>
      </c>
      <c r="X410" s="30">
        <f>'Equity Volume Data'!AA410*'Equity Price Data'!AD411</f>
        <v>0</v>
      </c>
      <c r="Y410" s="30">
        <f>'Equity Volume Data'!AB410*'Equity Price Data'!AE411</f>
        <v>5476.25</v>
      </c>
      <c r="Z410" s="30">
        <f>'Equity Volume Data'!AC410*'Equity Price Data'!AF411</f>
        <v>13161</v>
      </c>
      <c r="AA410" s="30">
        <f>'Equity Volume Data'!AD410*'Equity Price Data'!AG411</f>
        <v>20490.1</v>
      </c>
      <c r="AB410" s="30">
        <f>'Equity Volume Data'!AE410*'Equity Price Data'!AH411</f>
        <v>17573.4</v>
      </c>
      <c r="AC410" s="30">
        <f>'Equity Volume Data'!AF410*'Equity Price Data'!AI411</f>
        <v>15030</v>
      </c>
      <c r="AD410" s="30">
        <f>'Equity Volume Data'!AG410*'Equity Price Data'!AJ411</f>
        <v>15321.6</v>
      </c>
      <c r="AE410" s="30">
        <f>'Equity Volume Data'!AH410*'Equity Price Data'!AK411</f>
        <v>0</v>
      </c>
      <c r="AF410" s="30">
        <f>'Equity Volume Data'!AI410*'Equity Price Data'!AL411</f>
        <v>25606.55</v>
      </c>
      <c r="AG410" s="30">
        <f>'Equity Volume Data'!AJ410*'Equity Price Data'!AM411</f>
        <v>53530.8</v>
      </c>
      <c r="AH410" s="30">
        <f>'Equity Volume Data'!AK410*'Equity Price Data'!AN411</f>
        <v>34745</v>
      </c>
      <c r="AI410" s="30">
        <f>'Equity Volume Data'!AL410*'Equity Price Data'!AO411</f>
        <v>31384.5</v>
      </c>
      <c r="AJ410" s="30">
        <f>'Equity Volume Data'!AM410*'Equity Price Data'!AP411</f>
        <v>21317.4</v>
      </c>
      <c r="AK410" s="30">
        <f>'Equity Volume Data'!AN410*'Equity Price Data'!AQ411</f>
        <v>27043.8</v>
      </c>
      <c r="AL410" s="30">
        <f>'Equity Volume Data'!AO410*'Equity Price Data'!AR411</f>
        <v>51800</v>
      </c>
      <c r="AM410" s="30">
        <f>'Equity Volume Data'!AP410*'Equity Price Data'!AS411</f>
        <v>34220.9</v>
      </c>
      <c r="AN410" s="30">
        <f>'Equity Volume Data'!AQ410*'Equity Price Data'!AT411</f>
        <v>0</v>
      </c>
      <c r="AO410" s="30">
        <f>'Equity Volume Data'!AR410*'Equity Price Data'!AU411</f>
        <v>31307.64</v>
      </c>
      <c r="AP410" s="30">
        <f>'Equity Volume Data'!AS410*'Equity Price Data'!AV411</f>
        <v>24037.5</v>
      </c>
      <c r="AQ410" s="30">
        <f>'Equity Volume Data'!AT410*'Equity Price Data'!AW411</f>
        <v>17597.8</v>
      </c>
      <c r="AR410" s="30">
        <f>'Equity Volume Data'!AU410*'Equity Price Data'!AX411</f>
        <v>11580.39</v>
      </c>
      <c r="AS410" s="30">
        <f>'Equity Volume Data'!AV410*'Equity Price Data'!AY411</f>
        <v>58452</v>
      </c>
      <c r="AT410" s="30">
        <f>'Equity Volume Data'!AW410*'Equity Price Data'!AZ411</f>
        <v>30823.68</v>
      </c>
      <c r="AU410" s="30">
        <f>'Equity Volume Data'!AX410*'Equity Price Data'!BA411</f>
        <v>0</v>
      </c>
      <c r="AV410" s="30">
        <f>'Equity Volume Data'!AY410*'Equity Price Data'!BB411</f>
        <v>26727.24</v>
      </c>
      <c r="AW410" s="30">
        <f>'Equity Volume Data'!AZ410*'Equity Price Data'!BC411</f>
        <v>3518</v>
      </c>
      <c r="AX410" s="30">
        <f>'Equity Volume Data'!BA410*'Equity Price Data'!BD411</f>
        <v>0</v>
      </c>
      <c r="AY410" s="30">
        <f>'Equity Volume Data'!BB410*'Equity Price Data'!BE411</f>
        <v>41440.5</v>
      </c>
      <c r="AZ410" s="30">
        <f>'Equity Volume Data'!BC410*'Equity Price Data'!BF411</f>
        <v>8923.5</v>
      </c>
      <c r="BA410" s="30">
        <f>'Equity Volume Data'!BD410*'Equity Price Data'!BG411</f>
        <v>4750</v>
      </c>
      <c r="BB410" s="30">
        <f>'Equity Volume Data'!BE410*'Equity Price Data'!BH411</f>
        <v>14753.6</v>
      </c>
      <c r="BC410" s="30">
        <f>'Equity Volume Data'!BF410*'Equity Price Data'!BI411</f>
        <v>26410.56</v>
      </c>
      <c r="BD410" s="30">
        <f>'Equity Volume Data'!BG410*'Equity Price Data'!BJ411</f>
        <v>43270.95</v>
      </c>
      <c r="BE410" s="30">
        <f>'Equity Volume Data'!BH410*'Equity Price Data'!BK411</f>
        <v>13456.61</v>
      </c>
      <c r="BF410" s="30">
        <f>'Equity Volume Data'!BI410*'Equity Price Data'!BL411</f>
        <v>8657.6</v>
      </c>
      <c r="BG410" s="30">
        <f>'Equity Volume Data'!BJ410*'Equity Price Data'!BM411</f>
        <v>34210.68</v>
      </c>
      <c r="BH410" s="30">
        <f>'Equity Volume Data'!BK410*'Equity Price Data'!BN411</f>
        <v>0</v>
      </c>
      <c r="BI410" s="30">
        <f>'Equity Volume Data'!BL410*'Equity Price Data'!BO411</f>
        <v>37524.8</v>
      </c>
      <c r="BJ410" s="30">
        <f>'Equity Volume Data'!BM410*'Equity Price Data'!BP411</f>
        <v>24670.5</v>
      </c>
      <c r="BK410" s="30">
        <f>'Equity Volume Data'!BN410*'Equity Price Data'!BQ411</f>
        <v>89126.92</v>
      </c>
      <c r="BL410" s="30">
        <f>'Equity Volume Data'!BO410*'Equity Price Data'!BR411</f>
        <v>581.39</v>
      </c>
      <c r="BM410" s="30">
        <f>'Equity Volume Data'!BP410*'Equity Price Data'!BS411</f>
        <v>10669.92</v>
      </c>
      <c r="BN410" s="30">
        <f>'Equity Volume Data'!BQ410*'Equity Price Data'!BT411</f>
        <v>21467.72</v>
      </c>
      <c r="BO410" s="30">
        <f>'Equity Volume Data'!BR410*'Equity Price Data'!BU411</f>
        <v>68782</v>
      </c>
    </row>
    <row r="411">
      <c r="A411" s="25">
        <f>'Equity Price Data'!A412</f>
        <v>46021.66667</v>
      </c>
      <c r="B411" s="29">
        <f t="shared" si="1"/>
        <v>1581132.25</v>
      </c>
      <c r="C411" s="30">
        <f>'Equity Volume Data'!F411*'Equity Price Data'!I412</f>
        <v>4582.63</v>
      </c>
      <c r="D411" s="30">
        <f>'Equity Volume Data'!G411*'Equity Price Data'!J412</f>
        <v>60457.8</v>
      </c>
      <c r="E411" s="30">
        <f>'Equity Volume Data'!H411*'Equity Price Data'!K412</f>
        <v>14424.3</v>
      </c>
      <c r="F411" s="30">
        <f>'Equity Volume Data'!I411*'Equity Price Data'!L412</f>
        <v>69908.48</v>
      </c>
      <c r="G411" s="30">
        <f>'Equity Volume Data'!J411*'Equity Price Data'!M412</f>
        <v>21577.51</v>
      </c>
      <c r="H411" s="30">
        <f>'Equity Volume Data'!K411*'Equity Price Data'!N412</f>
        <v>21971.56</v>
      </c>
      <c r="I411" s="30">
        <f>'Equity Volume Data'!L411*'Equity Price Data'!O412</f>
        <v>25590</v>
      </c>
      <c r="J411" s="30">
        <f>'Equity Volume Data'!M411*'Equity Price Data'!P412</f>
        <v>51378.42</v>
      </c>
      <c r="K411" s="30">
        <f>'Equity Volume Data'!N411*'Equity Price Data'!Q412</f>
        <v>12184</v>
      </c>
      <c r="L411" s="30">
        <f>'Equity Volume Data'!O411*'Equity Price Data'!R412</f>
        <v>21344.4</v>
      </c>
      <c r="M411" s="30">
        <f>'Equity Volume Data'!P411*'Equity Price Data'!S412</f>
        <v>14017.46</v>
      </c>
      <c r="N411" s="30">
        <f>'Equity Volume Data'!Q411*'Equity Price Data'!T412</f>
        <v>4274.4</v>
      </c>
      <c r="O411" s="30">
        <f>'Equity Volume Data'!R411*'Equity Price Data'!U412</f>
        <v>86608.5</v>
      </c>
      <c r="P411" s="30">
        <f>'Equity Volume Data'!S411*'Equity Price Data'!V412</f>
        <v>38101.29</v>
      </c>
      <c r="Q411" s="30">
        <f>'Equity Volume Data'!T411*'Equity Price Data'!W412</f>
        <v>22495.2</v>
      </c>
      <c r="R411" s="30">
        <f>'Equity Volume Data'!U411*'Equity Price Data'!X412</f>
        <v>12184.8</v>
      </c>
      <c r="S411" s="30">
        <f>'Equity Volume Data'!V411*'Equity Price Data'!Y412</f>
        <v>24330.24</v>
      </c>
      <c r="T411" s="30">
        <f>'Equity Volume Data'!W411*'Equity Price Data'!Z412</f>
        <v>14737.5</v>
      </c>
      <c r="U411" s="30">
        <f>'Equity Volume Data'!X411*'Equity Price Data'!AA412</f>
        <v>18498.48</v>
      </c>
      <c r="V411" s="30">
        <f>'Equity Volume Data'!Y411*'Equity Price Data'!AB412</f>
        <v>16082.29</v>
      </c>
      <c r="W411" s="30">
        <f>'Equity Volume Data'!Z411*'Equity Price Data'!AC412</f>
        <v>10790.91</v>
      </c>
      <c r="X411" s="30">
        <f>'Equity Volume Data'!AA411*'Equity Price Data'!AD412</f>
        <v>0</v>
      </c>
      <c r="Y411" s="30">
        <f>'Equity Volume Data'!AB411*'Equity Price Data'!AE412</f>
        <v>5484.96</v>
      </c>
      <c r="Z411" s="30">
        <f>'Equity Volume Data'!AC411*'Equity Price Data'!AF412</f>
        <v>13065</v>
      </c>
      <c r="AA411" s="30">
        <f>'Equity Volume Data'!AD411*'Equity Price Data'!AG412</f>
        <v>20568.3</v>
      </c>
      <c r="AB411" s="30">
        <f>'Equity Volume Data'!AE411*'Equity Price Data'!AH412</f>
        <v>17463.6</v>
      </c>
      <c r="AC411" s="30">
        <f>'Equity Volume Data'!AF411*'Equity Price Data'!AI412</f>
        <v>14899.2</v>
      </c>
      <c r="AD411" s="30">
        <f>'Equity Volume Data'!AG411*'Equity Price Data'!AJ412</f>
        <v>15276.15</v>
      </c>
      <c r="AE411" s="30">
        <f>'Equity Volume Data'!AH411*'Equity Price Data'!AK412</f>
        <v>0</v>
      </c>
      <c r="AF411" s="30">
        <f>'Equity Volume Data'!AI411*'Equity Price Data'!AL412</f>
        <v>25251.9</v>
      </c>
      <c r="AG411" s="30">
        <f>'Equity Volume Data'!AJ411*'Equity Price Data'!AM412</f>
        <v>53065.2</v>
      </c>
      <c r="AH411" s="30">
        <f>'Equity Volume Data'!AK411*'Equity Price Data'!AN412</f>
        <v>34635</v>
      </c>
      <c r="AI411" s="30">
        <f>'Equity Volume Data'!AL411*'Equity Price Data'!AO412</f>
        <v>30686.25</v>
      </c>
      <c r="AJ411" s="30">
        <f>'Equity Volume Data'!AM411*'Equity Price Data'!AP412</f>
        <v>21210.8</v>
      </c>
      <c r="AK411" s="30">
        <f>'Equity Volume Data'!AN411*'Equity Price Data'!AQ412</f>
        <v>26913.61</v>
      </c>
      <c r="AL411" s="30">
        <f>'Equity Volume Data'!AO411*'Equity Price Data'!AR412</f>
        <v>51747.2</v>
      </c>
      <c r="AM411" s="30">
        <f>'Equity Volume Data'!AP411*'Equity Price Data'!AS412</f>
        <v>34160</v>
      </c>
      <c r="AN411" s="30">
        <f>'Equity Volume Data'!AQ411*'Equity Price Data'!AT412</f>
        <v>0</v>
      </c>
      <c r="AO411" s="30">
        <f>'Equity Volume Data'!AR411*'Equity Price Data'!AU412</f>
        <v>31196.62</v>
      </c>
      <c r="AP411" s="30">
        <f>'Equity Volume Data'!AS411*'Equity Price Data'!AV412</f>
        <v>24165</v>
      </c>
      <c r="AQ411" s="30">
        <f>'Equity Volume Data'!AT411*'Equity Price Data'!AW412</f>
        <v>17551.6</v>
      </c>
      <c r="AR411" s="30">
        <f>'Equity Volume Data'!AU411*'Equity Price Data'!AX412</f>
        <v>11248.12</v>
      </c>
      <c r="AS411" s="30">
        <f>'Equity Volume Data'!AV411*'Equity Price Data'!AY412</f>
        <v>58497.6</v>
      </c>
      <c r="AT411" s="30">
        <f>'Equity Volume Data'!AW411*'Equity Price Data'!AZ412</f>
        <v>30923.52</v>
      </c>
      <c r="AU411" s="30">
        <f>'Equity Volume Data'!AX411*'Equity Price Data'!BA412</f>
        <v>0</v>
      </c>
      <c r="AV411" s="30">
        <f>'Equity Volume Data'!AY411*'Equity Price Data'!BB412</f>
        <v>26630.68</v>
      </c>
      <c r="AW411" s="30">
        <f>'Equity Volume Data'!AZ411*'Equity Price Data'!BC412</f>
        <v>3520.4</v>
      </c>
      <c r="AX411" s="30">
        <f>'Equity Volume Data'!BA411*'Equity Price Data'!BD412</f>
        <v>0</v>
      </c>
      <c r="AY411" s="30">
        <f>'Equity Volume Data'!BB411*'Equity Price Data'!BE412</f>
        <v>40689</v>
      </c>
      <c r="AZ411" s="30">
        <f>'Equity Volume Data'!BC411*'Equity Price Data'!BF412</f>
        <v>8865</v>
      </c>
      <c r="BA411" s="30">
        <f>'Equity Volume Data'!BD411*'Equity Price Data'!BG412</f>
        <v>4748.1</v>
      </c>
      <c r="BB411" s="30">
        <f>'Equity Volume Data'!BE411*'Equity Price Data'!BH412</f>
        <v>14720.8</v>
      </c>
      <c r="BC411" s="30">
        <f>'Equity Volume Data'!BF411*'Equity Price Data'!BI412</f>
        <v>26131.76</v>
      </c>
      <c r="BD411" s="30">
        <f>'Equity Volume Data'!BG411*'Equity Price Data'!BJ412</f>
        <v>43409.4</v>
      </c>
      <c r="BE411" s="30">
        <f>'Equity Volume Data'!BH411*'Equity Price Data'!BK412</f>
        <v>13419.35</v>
      </c>
      <c r="BF411" s="30">
        <f>'Equity Volume Data'!BI411*'Equity Price Data'!BL412</f>
        <v>8594</v>
      </c>
      <c r="BG411" s="30">
        <f>'Equity Volume Data'!BJ411*'Equity Price Data'!BM412</f>
        <v>33893.76</v>
      </c>
      <c r="BH411" s="30">
        <f>'Equity Volume Data'!BK411*'Equity Price Data'!BN412</f>
        <v>0</v>
      </c>
      <c r="BI411" s="30">
        <f>'Equity Volume Data'!BL411*'Equity Price Data'!BO412</f>
        <v>37289.6</v>
      </c>
      <c r="BJ411" s="30">
        <f>'Equity Volume Data'!BM411*'Equity Price Data'!BP412</f>
        <v>24912</v>
      </c>
      <c r="BK411" s="30">
        <f>'Equity Volume Data'!BN411*'Equity Price Data'!BQ412</f>
        <v>89144.94</v>
      </c>
      <c r="BL411" s="30">
        <f>'Equity Volume Data'!BO411*'Equity Price Data'!BR412</f>
        <v>589.38</v>
      </c>
      <c r="BM411" s="30">
        <f>'Equity Volume Data'!BP411*'Equity Price Data'!BS412</f>
        <v>10661.76</v>
      </c>
      <c r="BN411" s="30">
        <f>'Equity Volume Data'!BQ411*'Equity Price Data'!BT412</f>
        <v>21580.52</v>
      </c>
      <c r="BO411" s="30">
        <f>'Equity Volume Data'!BR411*'Equity Price Data'!BU412</f>
        <v>68782</v>
      </c>
    </row>
    <row r="412">
      <c r="A412" s="25">
        <f>'Equity Price Data'!A413</f>
        <v>46022.66667</v>
      </c>
      <c r="B412" s="29">
        <f t="shared" si="1"/>
        <v>1572158.04</v>
      </c>
      <c r="C412" s="30">
        <f>'Equity Volume Data'!F412*'Equity Price Data'!I413</f>
        <v>4549.87</v>
      </c>
      <c r="D412" s="30">
        <f>'Equity Volume Data'!G412*'Equity Price Data'!J413</f>
        <v>60013.2</v>
      </c>
      <c r="E412" s="30">
        <f>'Equity Volume Data'!H412*'Equity Price Data'!K413</f>
        <v>14355</v>
      </c>
      <c r="F412" s="30">
        <f>'Equity Volume Data'!I412*'Equity Price Data'!L413</f>
        <v>69596.16</v>
      </c>
      <c r="G412" s="30">
        <f>'Equity Volume Data'!J412*'Equity Price Data'!M413</f>
        <v>21330.17</v>
      </c>
      <c r="H412" s="30">
        <f>'Equity Volume Data'!K412*'Equity Price Data'!N413</f>
        <v>21824.92</v>
      </c>
      <c r="I412" s="30">
        <f>'Equity Volume Data'!L412*'Equity Price Data'!O413</f>
        <v>25450</v>
      </c>
      <c r="J412" s="30">
        <f>'Equity Volume Data'!M412*'Equity Price Data'!P413</f>
        <v>51270.3</v>
      </c>
      <c r="K412" s="30">
        <f>'Equity Volume Data'!N412*'Equity Price Data'!Q413</f>
        <v>12074</v>
      </c>
      <c r="L412" s="30">
        <f>'Equity Volume Data'!O412*'Equity Price Data'!R413</f>
        <v>21294.79</v>
      </c>
      <c r="M412" s="30">
        <f>'Equity Volume Data'!P412*'Equity Price Data'!S413</f>
        <v>13921.1</v>
      </c>
      <c r="N412" s="30">
        <f>'Equity Volume Data'!Q412*'Equity Price Data'!T413</f>
        <v>4227.2</v>
      </c>
      <c r="O412" s="30">
        <f>'Equity Volume Data'!R412*'Equity Price Data'!U413</f>
        <v>85930.5</v>
      </c>
      <c r="P412" s="30">
        <f>'Equity Volume Data'!S412*'Equity Price Data'!V413</f>
        <v>38151.33</v>
      </c>
      <c r="Q412" s="30">
        <f>'Equity Volume Data'!T412*'Equity Price Data'!W413</f>
        <v>22267.2</v>
      </c>
      <c r="R412" s="30">
        <f>'Equity Volume Data'!U412*'Equity Price Data'!X413</f>
        <v>12192.8</v>
      </c>
      <c r="S412" s="30">
        <f>'Equity Volume Data'!V412*'Equity Price Data'!Y413</f>
        <v>24220.24</v>
      </c>
      <c r="T412" s="30">
        <f>'Equity Volume Data'!W412*'Equity Price Data'!Z413</f>
        <v>14602.5</v>
      </c>
      <c r="U412" s="30">
        <f>'Equity Volume Data'!X412*'Equity Price Data'!AA413</f>
        <v>18456.24</v>
      </c>
      <c r="V412" s="30">
        <f>'Equity Volume Data'!Y412*'Equity Price Data'!AB413</f>
        <v>15990.52</v>
      </c>
      <c r="W412" s="30">
        <f>'Equity Volume Data'!Z412*'Equity Price Data'!AC413</f>
        <v>10674.99</v>
      </c>
      <c r="X412" s="30">
        <f>'Equity Volume Data'!AA412*'Equity Price Data'!AD413</f>
        <v>0</v>
      </c>
      <c r="Y412" s="30">
        <f>'Equity Volume Data'!AB412*'Equity Price Data'!AE413</f>
        <v>5418.66</v>
      </c>
      <c r="Z412" s="30">
        <f>'Equity Volume Data'!AC412*'Equity Price Data'!AF413</f>
        <v>13065</v>
      </c>
      <c r="AA412" s="30">
        <f>'Equity Volume Data'!AD412*'Equity Price Data'!AG413</f>
        <v>20457.8</v>
      </c>
      <c r="AB412" s="30">
        <f>'Equity Volume Data'!AE412*'Equity Price Data'!AH413</f>
        <v>17331.6</v>
      </c>
      <c r="AC412" s="30">
        <f>'Equity Volume Data'!AF412*'Equity Price Data'!AI413</f>
        <v>14782.4</v>
      </c>
      <c r="AD412" s="30">
        <f>'Equity Volume Data'!AG412*'Equity Price Data'!AJ413</f>
        <v>15149.7</v>
      </c>
      <c r="AE412" s="30">
        <f>'Equity Volume Data'!AH412*'Equity Price Data'!AK413</f>
        <v>0</v>
      </c>
      <c r="AF412" s="30">
        <f>'Equity Volume Data'!AI412*'Equity Price Data'!AL413</f>
        <v>25161.7</v>
      </c>
      <c r="AG412" s="30">
        <f>'Equity Volume Data'!AJ412*'Equity Price Data'!AM413</f>
        <v>52740</v>
      </c>
      <c r="AH412" s="30">
        <f>'Equity Volume Data'!AK412*'Equity Price Data'!AN413</f>
        <v>34410</v>
      </c>
      <c r="AI412" s="30">
        <f>'Equity Volume Data'!AL412*'Equity Price Data'!AO413</f>
        <v>30259.25</v>
      </c>
      <c r="AJ412" s="30">
        <f>'Equity Volume Data'!AM412*'Equity Price Data'!AP413</f>
        <v>21054.8</v>
      </c>
      <c r="AK412" s="30">
        <f>'Equity Volume Data'!AN412*'Equity Price Data'!AQ413</f>
        <v>26618.92</v>
      </c>
      <c r="AL412" s="30">
        <f>'Equity Volume Data'!AO412*'Equity Price Data'!AR413</f>
        <v>51555.2</v>
      </c>
      <c r="AM412" s="30">
        <f>'Equity Volume Data'!AP412*'Equity Price Data'!AS413</f>
        <v>33856.9</v>
      </c>
      <c r="AN412" s="30">
        <f>'Equity Volume Data'!AQ412*'Equity Price Data'!AT413</f>
        <v>0</v>
      </c>
      <c r="AO412" s="30">
        <f>'Equity Volume Data'!AR412*'Equity Price Data'!AU413</f>
        <v>30983.12</v>
      </c>
      <c r="AP412" s="30">
        <f>'Equity Volume Data'!AS412*'Equity Price Data'!AV413</f>
        <v>24015</v>
      </c>
      <c r="AQ412" s="30">
        <f>'Equity Volume Data'!AT412*'Equity Price Data'!AW413</f>
        <v>17366.8</v>
      </c>
      <c r="AR412" s="30">
        <f>'Equity Volume Data'!AU412*'Equity Price Data'!AX413</f>
        <v>11265.96</v>
      </c>
      <c r="AS412" s="30">
        <f>'Equity Volume Data'!AV412*'Equity Price Data'!AY413</f>
        <v>58034.4</v>
      </c>
      <c r="AT412" s="30">
        <f>'Equity Volume Data'!AW412*'Equity Price Data'!AZ413</f>
        <v>30827.52</v>
      </c>
      <c r="AU412" s="30">
        <f>'Equity Volume Data'!AX412*'Equity Price Data'!BA413</f>
        <v>0</v>
      </c>
      <c r="AV412" s="30">
        <f>'Equity Volume Data'!AY412*'Equity Price Data'!BB413</f>
        <v>26483</v>
      </c>
      <c r="AW412" s="30">
        <f>'Equity Volume Data'!AZ412*'Equity Price Data'!BC413</f>
        <v>3494</v>
      </c>
      <c r="AX412" s="30">
        <f>'Equity Volume Data'!BA412*'Equity Price Data'!BD413</f>
        <v>0</v>
      </c>
      <c r="AY412" s="30">
        <f>'Equity Volume Data'!BB412*'Equity Price Data'!BE413</f>
        <v>39993.75</v>
      </c>
      <c r="AZ412" s="30">
        <f>'Equity Volume Data'!BC412*'Equity Price Data'!BF413</f>
        <v>8757</v>
      </c>
      <c r="BA412" s="30">
        <f>'Equity Volume Data'!BD412*'Equity Price Data'!BG413</f>
        <v>4731</v>
      </c>
      <c r="BB412" s="30">
        <f>'Equity Volume Data'!BE412*'Equity Price Data'!BH413</f>
        <v>14672</v>
      </c>
      <c r="BC412" s="30">
        <f>'Equity Volume Data'!BF412*'Equity Price Data'!BI413</f>
        <v>26125.2</v>
      </c>
      <c r="BD412" s="30">
        <f>'Equity Volume Data'!BG412*'Equity Price Data'!BJ413</f>
        <v>43247.52</v>
      </c>
      <c r="BE412" s="30">
        <f>'Equity Volume Data'!BH412*'Equity Price Data'!BK413</f>
        <v>13327.35</v>
      </c>
      <c r="BF412" s="30">
        <f>'Equity Volume Data'!BI412*'Equity Price Data'!BL413</f>
        <v>8562.4</v>
      </c>
      <c r="BG412" s="30">
        <f>'Equity Volume Data'!BJ412*'Equity Price Data'!BM413</f>
        <v>33818.7</v>
      </c>
      <c r="BH412" s="30">
        <f>'Equity Volume Data'!BK412*'Equity Price Data'!BN413</f>
        <v>0</v>
      </c>
      <c r="BI412" s="30">
        <f>'Equity Volume Data'!BL412*'Equity Price Data'!BO413</f>
        <v>37011.2</v>
      </c>
      <c r="BJ412" s="30">
        <f>'Equity Volume Data'!BM412*'Equity Price Data'!BP413</f>
        <v>24758.25</v>
      </c>
      <c r="BK412" s="30">
        <f>'Equity Volume Data'!BN412*'Equity Price Data'!BQ413</f>
        <v>89126.92</v>
      </c>
      <c r="BL412" s="30">
        <f>'Equity Volume Data'!BO412*'Equity Price Data'!BR413</f>
        <v>585.15</v>
      </c>
      <c r="BM412" s="30">
        <f>'Equity Volume Data'!BP412*'Equity Price Data'!BS413</f>
        <v>10546.08</v>
      </c>
      <c r="BN412" s="30">
        <f>'Equity Volume Data'!BQ412*'Equity Price Data'!BT413</f>
        <v>21388.76</v>
      </c>
      <c r="BO412" s="30">
        <f>'Equity Volume Data'!BR412*'Equity Price Data'!BU413</f>
        <v>68782</v>
      </c>
    </row>
    <row r="413">
      <c r="A413" s="25">
        <f>'Equity Price Data'!A414</f>
        <v>46024.66667</v>
      </c>
      <c r="B413" s="29">
        <f t="shared" si="1"/>
        <v>1581741.2</v>
      </c>
      <c r="C413" s="30">
        <f>'Equity Volume Data'!F413*'Equity Price Data'!I414</f>
        <v>4332.9</v>
      </c>
      <c r="D413" s="30">
        <f>'Equity Volume Data'!G413*'Equity Price Data'!J414</f>
        <v>58890</v>
      </c>
      <c r="E413" s="30">
        <f>'Equity Volume Data'!H413*'Equity Price Data'!K414</f>
        <v>14335.2</v>
      </c>
      <c r="F413" s="30">
        <f>'Equity Volume Data'!I413*'Equity Price Data'!L414</f>
        <v>69378.56</v>
      </c>
      <c r="G413" s="30">
        <f>'Equity Volume Data'!J413*'Equity Price Data'!M414</f>
        <v>22316.21</v>
      </c>
      <c r="H413" s="30">
        <f>'Equity Volume Data'!K413*'Equity Price Data'!N414</f>
        <v>22003.52</v>
      </c>
      <c r="I413" s="30">
        <f>'Equity Volume Data'!L413*'Equity Price Data'!O414</f>
        <v>26050</v>
      </c>
      <c r="J413" s="30">
        <f>'Equity Volume Data'!M413*'Equity Price Data'!P414</f>
        <v>50678.7</v>
      </c>
      <c r="K413" s="30">
        <f>'Equity Volume Data'!N413*'Equity Price Data'!Q414</f>
        <v>12352</v>
      </c>
      <c r="L413" s="30">
        <f>'Equity Volume Data'!O413*'Equity Price Data'!R414</f>
        <v>21516.22</v>
      </c>
      <c r="M413" s="30">
        <f>'Equity Volume Data'!P413*'Equity Price Data'!S414</f>
        <v>13827.66</v>
      </c>
      <c r="N413" s="30">
        <f>'Equity Volume Data'!Q413*'Equity Price Data'!T414</f>
        <v>4281.6</v>
      </c>
      <c r="O413" s="30">
        <f>'Equity Volume Data'!R413*'Equity Price Data'!U414</f>
        <v>89761.5</v>
      </c>
      <c r="P413" s="30">
        <f>'Equity Volume Data'!S413*'Equity Price Data'!V414</f>
        <v>41099.52</v>
      </c>
      <c r="Q413" s="30">
        <f>'Equity Volume Data'!T413*'Equity Price Data'!W414</f>
        <v>21723.6</v>
      </c>
      <c r="R413" s="30">
        <f>'Equity Volume Data'!U413*'Equity Price Data'!X414</f>
        <v>12472</v>
      </c>
      <c r="S413" s="30">
        <f>'Equity Volume Data'!V413*'Equity Price Data'!Y414</f>
        <v>24562.56</v>
      </c>
      <c r="T413" s="30">
        <f>'Equity Volume Data'!W413*'Equity Price Data'!Z414</f>
        <v>14847.5</v>
      </c>
      <c r="U413" s="30">
        <f>'Equity Volume Data'!X413*'Equity Price Data'!AA414</f>
        <v>18247.68</v>
      </c>
      <c r="V413" s="30">
        <f>'Equity Volume Data'!Y413*'Equity Price Data'!AB414</f>
        <v>16098.39</v>
      </c>
      <c r="W413" s="30">
        <f>'Equity Volume Data'!Z413*'Equity Price Data'!AC414</f>
        <v>10697.07</v>
      </c>
      <c r="X413" s="30">
        <f>'Equity Volume Data'!AA413*'Equity Price Data'!AD414</f>
        <v>0</v>
      </c>
      <c r="Y413" s="30">
        <f>'Equity Volume Data'!AB413*'Equity Price Data'!AE414</f>
        <v>5528.64</v>
      </c>
      <c r="Z413" s="30">
        <f>'Equity Volume Data'!AC413*'Equity Price Data'!AF414</f>
        <v>13059</v>
      </c>
      <c r="AA413" s="30">
        <f>'Equity Volume Data'!AD413*'Equity Price Data'!AG414</f>
        <v>20850.5</v>
      </c>
      <c r="AB413" s="30">
        <f>'Equity Volume Data'!AE413*'Equity Price Data'!AH414</f>
        <v>17587.8</v>
      </c>
      <c r="AC413" s="30">
        <f>'Equity Volume Data'!AF413*'Equity Price Data'!AI414</f>
        <v>14875.6</v>
      </c>
      <c r="AD413" s="30">
        <f>'Equity Volume Data'!AG413*'Equity Price Data'!AJ414</f>
        <v>15453</v>
      </c>
      <c r="AE413" s="30">
        <f>'Equity Volume Data'!AH413*'Equity Price Data'!AK414</f>
        <v>0</v>
      </c>
      <c r="AF413" s="30">
        <f>'Equity Volume Data'!AI413*'Equity Price Data'!AL414</f>
        <v>24928</v>
      </c>
      <c r="AG413" s="30">
        <f>'Equity Volume Data'!AJ413*'Equity Price Data'!AM414</f>
        <v>54860.4</v>
      </c>
      <c r="AH413" s="30">
        <f>'Equity Volume Data'!AK413*'Equity Price Data'!AN414</f>
        <v>34582</v>
      </c>
      <c r="AI413" s="30">
        <f>'Equity Volume Data'!AL413*'Equity Price Data'!AO414</f>
        <v>29933.75</v>
      </c>
      <c r="AJ413" s="30">
        <f>'Equity Volume Data'!AM413*'Equity Price Data'!AP414</f>
        <v>20798.7</v>
      </c>
      <c r="AK413" s="30">
        <f>'Equity Volume Data'!AN413*'Equity Price Data'!AQ414</f>
        <v>26413.06</v>
      </c>
      <c r="AL413" s="30">
        <f>'Equity Volume Data'!AO413*'Equity Price Data'!AR414</f>
        <v>52076.8</v>
      </c>
      <c r="AM413" s="30">
        <f>'Equity Volume Data'!AP413*'Equity Price Data'!AS414</f>
        <v>34794.9</v>
      </c>
      <c r="AN413" s="30">
        <f>'Equity Volume Data'!AQ413*'Equity Price Data'!AT414</f>
        <v>0</v>
      </c>
      <c r="AO413" s="30">
        <f>'Equity Volume Data'!AR413*'Equity Price Data'!AU414</f>
        <v>30948.96</v>
      </c>
      <c r="AP413" s="30">
        <f>'Equity Volume Data'!AS413*'Equity Price Data'!AV414</f>
        <v>24012.5</v>
      </c>
      <c r="AQ413" s="30">
        <f>'Equity Volume Data'!AT413*'Equity Price Data'!AW414</f>
        <v>17670.4</v>
      </c>
      <c r="AR413" s="30">
        <f>'Equity Volume Data'!AU413*'Equity Price Data'!AX414</f>
        <v>12258.31</v>
      </c>
      <c r="AS413" s="30">
        <f>'Equity Volume Data'!AV413*'Equity Price Data'!AY414</f>
        <v>56752.8</v>
      </c>
      <c r="AT413" s="30">
        <f>'Equity Volume Data'!AW413*'Equity Price Data'!AZ414</f>
        <v>31077.12</v>
      </c>
      <c r="AU413" s="30">
        <f>'Equity Volume Data'!AX413*'Equity Price Data'!BA414</f>
        <v>0</v>
      </c>
      <c r="AV413" s="30">
        <f>'Equity Volume Data'!AY413*'Equity Price Data'!BB414</f>
        <v>26816.7</v>
      </c>
      <c r="AW413" s="30">
        <f>'Equity Volume Data'!AZ413*'Equity Price Data'!BC414</f>
        <v>3533.6</v>
      </c>
      <c r="AX413" s="30">
        <f>'Equity Volume Data'!BA413*'Equity Price Data'!BD414</f>
        <v>0</v>
      </c>
      <c r="AY413" s="30">
        <f>'Equity Volume Data'!BB413*'Equity Price Data'!BE414</f>
        <v>37768.5</v>
      </c>
      <c r="AZ413" s="30">
        <f>'Equity Volume Data'!BC413*'Equity Price Data'!BF414</f>
        <v>8721</v>
      </c>
      <c r="BA413" s="30">
        <f>'Equity Volume Data'!BD413*'Equity Price Data'!BG414</f>
        <v>4784.2</v>
      </c>
      <c r="BB413" s="30">
        <f>'Equity Volume Data'!BE413*'Equity Price Data'!BH414</f>
        <v>14980</v>
      </c>
      <c r="BC413" s="30">
        <f>'Equity Volume Data'!BF413*'Equity Price Data'!BI414</f>
        <v>25918.56</v>
      </c>
      <c r="BD413" s="30">
        <f>'Equity Volume Data'!BG413*'Equity Price Data'!BJ414</f>
        <v>42510.54</v>
      </c>
      <c r="BE413" s="30">
        <f>'Equity Volume Data'!BH413*'Equity Price Data'!BK414</f>
        <v>13627.73</v>
      </c>
      <c r="BF413" s="30">
        <f>'Equity Volume Data'!BI413*'Equity Price Data'!BL414</f>
        <v>8714.8</v>
      </c>
      <c r="BG413" s="30">
        <f>'Equity Volume Data'!BJ413*'Equity Price Data'!BM414</f>
        <v>34107.82</v>
      </c>
      <c r="BH413" s="30">
        <f>'Equity Volume Data'!BK413*'Equity Price Data'!BN414</f>
        <v>0</v>
      </c>
      <c r="BI413" s="30">
        <f>'Equity Volume Data'!BL413*'Equity Price Data'!BO414</f>
        <v>37105.6</v>
      </c>
      <c r="BJ413" s="30">
        <f>'Equity Volume Data'!BM413*'Equity Price Data'!BP414</f>
        <v>25230</v>
      </c>
      <c r="BK413" s="30">
        <f>'Equity Volume Data'!BN413*'Equity Price Data'!BQ414</f>
        <v>89108.9</v>
      </c>
      <c r="BL413" s="30">
        <f>'Equity Volume Data'!BO413*'Equity Price Data'!BR414</f>
        <v>585.62</v>
      </c>
      <c r="BM413" s="30">
        <f>'Equity Volume Data'!BP413*'Equity Price Data'!BS414</f>
        <v>10483.2</v>
      </c>
      <c r="BN413" s="30">
        <f>'Equity Volume Data'!BQ413*'Equity Price Data'!BT414</f>
        <v>21027.8</v>
      </c>
      <c r="BO413" s="30">
        <f>'Equity Volume Data'!BR413*'Equity Price Data'!BU414</f>
        <v>68782</v>
      </c>
    </row>
    <row r="414">
      <c r="A414" s="25">
        <f>'Equity Price Data'!A415</f>
        <v>46027.66667</v>
      </c>
      <c r="B414" s="29">
        <f t="shared" si="1"/>
        <v>1603619.02</v>
      </c>
      <c r="C414" s="30">
        <f>'Equity Volume Data'!F414*'Equity Price Data'!I415</f>
        <v>4310.28</v>
      </c>
      <c r="D414" s="30">
        <f>'Equity Volume Data'!G414*'Equity Price Data'!J415</f>
        <v>60595.6</v>
      </c>
      <c r="E414" s="30">
        <f>'Equity Volume Data'!H414*'Equity Price Data'!K415</f>
        <v>14014</v>
      </c>
      <c r="F414" s="30">
        <f>'Equity Volume Data'!I414*'Equity Price Data'!L415</f>
        <v>68418.56</v>
      </c>
      <c r="G414" s="30">
        <f>'Equity Volume Data'!J414*'Equity Price Data'!M415</f>
        <v>23598.56</v>
      </c>
      <c r="H414" s="30">
        <f>'Equity Volume Data'!K414*'Equity Price Data'!N415</f>
        <v>22755.52</v>
      </c>
      <c r="I414" s="30">
        <f>'Equity Volume Data'!L414*'Equity Price Data'!O415</f>
        <v>26320</v>
      </c>
      <c r="J414" s="30">
        <f>'Equity Volume Data'!M414*'Equity Price Data'!P415</f>
        <v>50849.04</v>
      </c>
      <c r="K414" s="30">
        <f>'Equity Volume Data'!N414*'Equity Price Data'!Q415</f>
        <v>12628</v>
      </c>
      <c r="L414" s="30">
        <f>'Equity Volume Data'!O414*'Equity Price Data'!R415</f>
        <v>21130.23</v>
      </c>
      <c r="M414" s="30">
        <f>'Equity Volume Data'!P414*'Equity Price Data'!S415</f>
        <v>13940.08</v>
      </c>
      <c r="N414" s="30">
        <f>'Equity Volume Data'!Q414*'Equity Price Data'!T415</f>
        <v>4303.2</v>
      </c>
      <c r="O414" s="30">
        <f>'Equity Volume Data'!R414*'Equity Price Data'!U415</f>
        <v>92415</v>
      </c>
      <c r="P414" s="30">
        <f>'Equity Volume Data'!S414*'Equity Price Data'!V415</f>
        <v>41770.89</v>
      </c>
      <c r="Q414" s="30">
        <f>'Equity Volume Data'!T414*'Equity Price Data'!W415</f>
        <v>22212</v>
      </c>
      <c r="R414" s="30">
        <f>'Equity Volume Data'!U414*'Equity Price Data'!X415</f>
        <v>13108</v>
      </c>
      <c r="S414" s="30">
        <f>'Equity Volume Data'!V414*'Equity Price Data'!Y415</f>
        <v>24989.36</v>
      </c>
      <c r="T414" s="30">
        <f>'Equity Volume Data'!W414*'Equity Price Data'!Z415</f>
        <v>15262.5</v>
      </c>
      <c r="U414" s="30">
        <f>'Equity Volume Data'!X414*'Equity Price Data'!AA415</f>
        <v>17936.16</v>
      </c>
      <c r="V414" s="30">
        <f>'Equity Volume Data'!Y414*'Equity Price Data'!AB415</f>
        <v>15858.5</v>
      </c>
      <c r="W414" s="30">
        <f>'Equity Volume Data'!Z414*'Equity Price Data'!AC415</f>
        <v>10748.13</v>
      </c>
      <c r="X414" s="30">
        <f>'Equity Volume Data'!AA414*'Equity Price Data'!AD415</f>
        <v>0</v>
      </c>
      <c r="Y414" s="30">
        <f>'Equity Volume Data'!AB414*'Equity Price Data'!AE415</f>
        <v>5348.72</v>
      </c>
      <c r="Z414" s="30">
        <f>'Equity Volume Data'!AC414*'Equity Price Data'!AF415</f>
        <v>13570.5</v>
      </c>
      <c r="AA414" s="30">
        <f>'Equity Volume Data'!AD414*'Equity Price Data'!AG415</f>
        <v>21311.2</v>
      </c>
      <c r="AB414" s="30">
        <f>'Equity Volume Data'!AE414*'Equity Price Data'!AH415</f>
        <v>17847.6</v>
      </c>
      <c r="AC414" s="30">
        <f>'Equity Volume Data'!AF414*'Equity Price Data'!AI415</f>
        <v>15170.8</v>
      </c>
      <c r="AD414" s="30">
        <f>'Equity Volume Data'!AG414*'Equity Price Data'!AJ415</f>
        <v>16000.2</v>
      </c>
      <c r="AE414" s="30">
        <f>'Equity Volume Data'!AH414*'Equity Price Data'!AK415</f>
        <v>0</v>
      </c>
      <c r="AF414" s="30">
        <f>'Equity Volume Data'!AI414*'Equity Price Data'!AL415</f>
        <v>24251.5</v>
      </c>
      <c r="AG414" s="30">
        <f>'Equity Volume Data'!AJ414*'Equity Price Data'!AM415</f>
        <v>56906.4</v>
      </c>
      <c r="AH414" s="30">
        <f>'Equity Volume Data'!AK414*'Equity Price Data'!AN415</f>
        <v>34409</v>
      </c>
      <c r="AI414" s="30">
        <f>'Equity Volume Data'!AL414*'Equity Price Data'!AO415</f>
        <v>31661</v>
      </c>
      <c r="AJ414" s="30">
        <f>'Equity Volume Data'!AM414*'Equity Price Data'!AP415</f>
        <v>21530.6</v>
      </c>
      <c r="AK414" s="30">
        <f>'Equity Volume Data'!AN414*'Equity Price Data'!AQ415</f>
        <v>26619.86</v>
      </c>
      <c r="AL414" s="30">
        <f>'Equity Volume Data'!AO414*'Equity Price Data'!AR415</f>
        <v>53446.4</v>
      </c>
      <c r="AM414" s="30">
        <f>'Equity Volume Data'!AP414*'Equity Price Data'!AS415</f>
        <v>35809.9</v>
      </c>
      <c r="AN414" s="30">
        <f>'Equity Volume Data'!AQ414*'Equity Price Data'!AT415</f>
        <v>0</v>
      </c>
      <c r="AO414" s="30">
        <f>'Equity Volume Data'!AR414*'Equity Price Data'!AU415</f>
        <v>31324.72</v>
      </c>
      <c r="AP414" s="30">
        <f>'Equity Volume Data'!AS414*'Equity Price Data'!AV415</f>
        <v>24340</v>
      </c>
      <c r="AQ414" s="30">
        <f>'Equity Volume Data'!AT414*'Equity Price Data'!AW415</f>
        <v>17989.4</v>
      </c>
      <c r="AR414" s="30">
        <f>'Equity Volume Data'!AU414*'Equity Price Data'!AX415</f>
        <v>13072.26</v>
      </c>
      <c r="AS414" s="30">
        <f>'Equity Volume Data'!AV414*'Equity Price Data'!AY415</f>
        <v>56742</v>
      </c>
      <c r="AT414" s="30">
        <f>'Equity Volume Data'!AW414*'Equity Price Data'!AZ415</f>
        <v>31226.88</v>
      </c>
      <c r="AU414" s="30">
        <f>'Equity Volume Data'!AX414*'Equity Price Data'!BA415</f>
        <v>0</v>
      </c>
      <c r="AV414" s="30">
        <f>'Equity Volume Data'!AY414*'Equity Price Data'!BB415</f>
        <v>26713.04</v>
      </c>
      <c r="AW414" s="30">
        <f>'Equity Volume Data'!AZ414*'Equity Price Data'!BC415</f>
        <v>3567.2</v>
      </c>
      <c r="AX414" s="30">
        <f>'Equity Volume Data'!BA414*'Equity Price Data'!BD415</f>
        <v>0</v>
      </c>
      <c r="AY414" s="30">
        <f>'Equity Volume Data'!BB414*'Equity Price Data'!BE415</f>
        <v>39159</v>
      </c>
      <c r="AZ414" s="30">
        <f>'Equity Volume Data'!BC414*'Equity Price Data'!BF415</f>
        <v>8893.5</v>
      </c>
      <c r="BA414" s="30">
        <f>'Equity Volume Data'!BD414*'Equity Price Data'!BG415</f>
        <v>4782.3</v>
      </c>
      <c r="BB414" s="30">
        <f>'Equity Volume Data'!BE414*'Equity Price Data'!BH415</f>
        <v>15060.8</v>
      </c>
      <c r="BC414" s="30">
        <f>'Equity Volume Data'!BF414*'Equity Price Data'!BI415</f>
        <v>25692.24</v>
      </c>
      <c r="BD414" s="30">
        <f>'Equity Volume Data'!BG414*'Equity Price Data'!BJ415</f>
        <v>42783.18</v>
      </c>
      <c r="BE414" s="30">
        <f>'Equity Volume Data'!BH414*'Equity Price Data'!BK415</f>
        <v>14057.6</v>
      </c>
      <c r="BF414" s="30">
        <f>'Equity Volume Data'!BI414*'Equity Price Data'!BL415</f>
        <v>8754.4</v>
      </c>
      <c r="BG414" s="30">
        <f>'Equity Volume Data'!BJ414*'Equity Price Data'!BM415</f>
        <v>35105.84</v>
      </c>
      <c r="BH414" s="30">
        <f>'Equity Volume Data'!BK414*'Equity Price Data'!BN415</f>
        <v>0</v>
      </c>
      <c r="BI414" s="30">
        <f>'Equity Volume Data'!BL414*'Equity Price Data'!BO415</f>
        <v>37115.2</v>
      </c>
      <c r="BJ414" s="30">
        <f>'Equity Volume Data'!BM414*'Equity Price Data'!BP415</f>
        <v>25651.5</v>
      </c>
      <c r="BK414" s="30">
        <f>'Equity Volume Data'!BN414*'Equity Price Data'!BQ415</f>
        <v>89199</v>
      </c>
      <c r="BL414" s="30">
        <f>'Equity Volume Data'!BO414*'Equity Price Data'!BR415</f>
        <v>581.39</v>
      </c>
      <c r="BM414" s="30">
        <f>'Equity Volume Data'!BP414*'Equity Price Data'!BS415</f>
        <v>10533.12</v>
      </c>
      <c r="BN414" s="30">
        <f>'Equity Volume Data'!BQ414*'Equity Price Data'!BT415</f>
        <v>21445.16</v>
      </c>
      <c r="BO414" s="30">
        <f>'Equity Volume Data'!BR414*'Equity Price Data'!BU415</f>
        <v>68782</v>
      </c>
    </row>
    <row r="415">
      <c r="A415" s="25">
        <f>'Equity Price Data'!A416</f>
        <v>46028.66667</v>
      </c>
      <c r="B415" s="29">
        <f t="shared" si="1"/>
        <v>1618565.95</v>
      </c>
      <c r="C415" s="30">
        <f>'Equity Volume Data'!F415*'Equity Price Data'!I416</f>
        <v>4367.87</v>
      </c>
      <c r="D415" s="30">
        <f>'Equity Volume Data'!G415*'Equity Price Data'!J416</f>
        <v>62641.8</v>
      </c>
      <c r="E415" s="30">
        <f>'Equity Volume Data'!H415*'Equity Price Data'!K416</f>
        <v>14186.7</v>
      </c>
      <c r="F415" s="30">
        <f>'Equity Volume Data'!I415*'Equity Price Data'!L416</f>
        <v>67164.16</v>
      </c>
      <c r="G415" s="30">
        <f>'Equity Volume Data'!J415*'Equity Price Data'!M416</f>
        <v>24568.83</v>
      </c>
      <c r="H415" s="30">
        <f>'Equity Volume Data'!K415*'Equity Price Data'!N416</f>
        <v>22806.28</v>
      </c>
      <c r="I415" s="30">
        <f>'Equity Volume Data'!L415*'Equity Price Data'!O416</f>
        <v>26250</v>
      </c>
      <c r="J415" s="30">
        <f>'Equity Volume Data'!M415*'Equity Price Data'!P416</f>
        <v>50903.1</v>
      </c>
      <c r="K415" s="30">
        <f>'Equity Volume Data'!N415*'Equity Price Data'!Q416</f>
        <v>12960</v>
      </c>
      <c r="L415" s="30">
        <f>'Equity Volume Data'!O415*'Equity Price Data'!R416</f>
        <v>22095.81</v>
      </c>
      <c r="M415" s="30">
        <f>'Equity Volume Data'!P415*'Equity Price Data'!S416</f>
        <v>14277.34</v>
      </c>
      <c r="N415" s="30">
        <f>'Equity Volume Data'!Q415*'Equity Price Data'!T416</f>
        <v>4280</v>
      </c>
      <c r="O415" s="30">
        <f>'Equity Volume Data'!R415*'Equity Price Data'!U416</f>
        <v>93463.5</v>
      </c>
      <c r="P415" s="30">
        <f>'Equity Volume Data'!S415*'Equity Price Data'!V416</f>
        <v>42571.53</v>
      </c>
      <c r="Q415" s="30">
        <f>'Equity Volume Data'!T415*'Equity Price Data'!W416</f>
        <v>22321.2</v>
      </c>
      <c r="R415" s="30">
        <f>'Equity Volume Data'!U415*'Equity Price Data'!X416</f>
        <v>12523.2</v>
      </c>
      <c r="S415" s="30">
        <f>'Equity Volume Data'!V415*'Equity Price Data'!Y416</f>
        <v>25058.88</v>
      </c>
      <c r="T415" s="30">
        <f>'Equity Volume Data'!W415*'Equity Price Data'!Z416</f>
        <v>15535</v>
      </c>
      <c r="U415" s="30">
        <f>'Equity Volume Data'!X415*'Equity Price Data'!AA416</f>
        <v>17909.76</v>
      </c>
      <c r="V415" s="30">
        <f>'Equity Volume Data'!Y415*'Equity Price Data'!AB416</f>
        <v>15990.52</v>
      </c>
      <c r="W415" s="30">
        <f>'Equity Volume Data'!Z415*'Equity Price Data'!AC416</f>
        <v>10817.82</v>
      </c>
      <c r="X415" s="30">
        <f>'Equity Volume Data'!AA415*'Equity Price Data'!AD416</f>
        <v>0</v>
      </c>
      <c r="Y415" s="30">
        <f>'Equity Volume Data'!AB415*'Equity Price Data'!AE416</f>
        <v>5284.5</v>
      </c>
      <c r="Z415" s="30">
        <f>'Equity Volume Data'!AC415*'Equity Price Data'!AF416</f>
        <v>13726.5</v>
      </c>
      <c r="AA415" s="30">
        <f>'Equity Volume Data'!AD415*'Equity Price Data'!AG416</f>
        <v>20578.5</v>
      </c>
      <c r="AB415" s="30">
        <f>'Equity Volume Data'!AE415*'Equity Price Data'!AH416</f>
        <v>18475.8</v>
      </c>
      <c r="AC415" s="30">
        <f>'Equity Volume Data'!AF415*'Equity Price Data'!AI416</f>
        <v>14878.4</v>
      </c>
      <c r="AD415" s="30">
        <f>'Equity Volume Data'!AG415*'Equity Price Data'!AJ416</f>
        <v>16231.95</v>
      </c>
      <c r="AE415" s="30">
        <f>'Equity Volume Data'!AH415*'Equity Price Data'!AK416</f>
        <v>0</v>
      </c>
      <c r="AF415" s="30">
        <f>'Equity Volume Data'!AI415*'Equity Price Data'!AL416</f>
        <v>24878.8</v>
      </c>
      <c r="AG415" s="30">
        <f>'Equity Volume Data'!AJ415*'Equity Price Data'!AM416</f>
        <v>57328.2</v>
      </c>
      <c r="AH415" s="30">
        <f>'Equity Volume Data'!AK415*'Equity Price Data'!AN416</f>
        <v>34929</v>
      </c>
      <c r="AI415" s="30">
        <f>'Equity Volume Data'!AL415*'Equity Price Data'!AO416</f>
        <v>31151.75</v>
      </c>
      <c r="AJ415" s="30">
        <f>'Equity Volume Data'!AM415*'Equity Price Data'!AP416</f>
        <v>21581.3</v>
      </c>
      <c r="AK415" s="30">
        <f>'Equity Volume Data'!AN415*'Equity Price Data'!AQ416</f>
        <v>27863.95</v>
      </c>
      <c r="AL415" s="30">
        <f>'Equity Volume Data'!AO415*'Equity Price Data'!AR416</f>
        <v>53537.6</v>
      </c>
      <c r="AM415" s="30">
        <f>'Equity Volume Data'!AP415*'Equity Price Data'!AS416</f>
        <v>36542.8</v>
      </c>
      <c r="AN415" s="30">
        <f>'Equity Volume Data'!AQ415*'Equity Price Data'!AT416</f>
        <v>0</v>
      </c>
      <c r="AO415" s="30">
        <f>'Equity Volume Data'!AR415*'Equity Price Data'!AU416</f>
        <v>31939.6</v>
      </c>
      <c r="AP415" s="30">
        <f>'Equity Volume Data'!AS415*'Equity Price Data'!AV416</f>
        <v>25077.5</v>
      </c>
      <c r="AQ415" s="30">
        <f>'Equity Volume Data'!AT415*'Equity Price Data'!AW416</f>
        <v>17859.6</v>
      </c>
      <c r="AR415" s="30">
        <f>'Equity Volume Data'!AU415*'Equity Price Data'!AX416</f>
        <v>13339.86</v>
      </c>
      <c r="AS415" s="30">
        <f>'Equity Volume Data'!AV415*'Equity Price Data'!AY416</f>
        <v>57421.2</v>
      </c>
      <c r="AT415" s="30">
        <f>'Equity Volume Data'!AW415*'Equity Price Data'!AZ416</f>
        <v>31123.2</v>
      </c>
      <c r="AU415" s="30">
        <f>'Equity Volume Data'!AX415*'Equity Price Data'!BA416</f>
        <v>0</v>
      </c>
      <c r="AV415" s="30">
        <f>'Equity Volume Data'!AY415*'Equity Price Data'!BB416</f>
        <v>26588.08</v>
      </c>
      <c r="AW415" s="30">
        <f>'Equity Volume Data'!AZ415*'Equity Price Data'!BC416</f>
        <v>3595.6</v>
      </c>
      <c r="AX415" s="30">
        <f>'Equity Volume Data'!BA415*'Equity Price Data'!BD416</f>
        <v>0</v>
      </c>
      <c r="AY415" s="30">
        <f>'Equity Volume Data'!BB415*'Equity Price Data'!BE416</f>
        <v>40434.75</v>
      </c>
      <c r="AZ415" s="30">
        <f>'Equity Volume Data'!BC415*'Equity Price Data'!BF416</f>
        <v>8971.5</v>
      </c>
      <c r="BA415" s="30">
        <f>'Equity Volume Data'!BD415*'Equity Price Data'!BG416</f>
        <v>4831.7</v>
      </c>
      <c r="BB415" s="30">
        <f>'Equity Volume Data'!BE415*'Equity Price Data'!BH416</f>
        <v>15232</v>
      </c>
      <c r="BC415" s="30">
        <f>'Equity Volume Data'!BF415*'Equity Price Data'!BI416</f>
        <v>26190.8</v>
      </c>
      <c r="BD415" s="30">
        <f>'Equity Volume Data'!BG415*'Equity Price Data'!BJ416</f>
        <v>42301.8</v>
      </c>
      <c r="BE415" s="30">
        <f>'Equity Volume Data'!BH415*'Equity Price Data'!BK416</f>
        <v>14276.56</v>
      </c>
      <c r="BF415" s="30">
        <f>'Equity Volume Data'!BI415*'Equity Price Data'!BL416</f>
        <v>8610.8</v>
      </c>
      <c r="BG415" s="30">
        <f>'Equity Volume Data'!BJ415*'Equity Price Data'!BM416</f>
        <v>36882.26</v>
      </c>
      <c r="BH415" s="30">
        <f>'Equity Volume Data'!BK415*'Equity Price Data'!BN416</f>
        <v>0</v>
      </c>
      <c r="BI415" s="30">
        <f>'Equity Volume Data'!BL415*'Equity Price Data'!BO416</f>
        <v>37379.2</v>
      </c>
      <c r="BJ415" s="30">
        <f>'Equity Volume Data'!BM415*'Equity Price Data'!BP416</f>
        <v>26172.75</v>
      </c>
      <c r="BK415" s="30">
        <f>'Equity Volume Data'!BN415*'Equity Price Data'!BQ416</f>
        <v>89235.04</v>
      </c>
      <c r="BL415" s="30">
        <f>'Equity Volume Data'!BO415*'Equity Price Data'!BR416</f>
        <v>582.8</v>
      </c>
      <c r="BM415" s="30">
        <f>'Equity Volume Data'!BP415*'Equity Price Data'!BS416</f>
        <v>10515.84</v>
      </c>
      <c r="BN415" s="30">
        <f>'Equity Volume Data'!BQ415*'Equity Price Data'!BT416</f>
        <v>21539.16</v>
      </c>
      <c r="BO415" s="30">
        <f>'Equity Volume Data'!BR415*'Equity Price Data'!BU416</f>
        <v>68782</v>
      </c>
    </row>
    <row r="416">
      <c r="A416" s="25">
        <f>'Equity Price Data'!A417</f>
        <v>46029.66667</v>
      </c>
      <c r="B416" s="29">
        <f t="shared" si="1"/>
        <v>1612787.05</v>
      </c>
      <c r="C416" s="30">
        <f>'Equity Volume Data'!F416*'Equity Price Data'!I417</f>
        <v>4395.3</v>
      </c>
      <c r="D416" s="30">
        <f>'Equity Volume Data'!G416*'Equity Price Data'!J417</f>
        <v>62805.6</v>
      </c>
      <c r="E416" s="30">
        <f>'Equity Volume Data'!H416*'Equity Price Data'!K417</f>
        <v>13999.7</v>
      </c>
      <c r="F416" s="30">
        <f>'Equity Volume Data'!I416*'Equity Price Data'!L417</f>
        <v>66644.48</v>
      </c>
      <c r="G416" s="30">
        <f>'Equity Volume Data'!J416*'Equity Price Data'!M417</f>
        <v>24252.6</v>
      </c>
      <c r="H416" s="30">
        <f>'Equity Volume Data'!K416*'Equity Price Data'!N417</f>
        <v>22644.6</v>
      </c>
      <c r="I416" s="30">
        <f>'Equity Volume Data'!L416*'Equity Price Data'!O417</f>
        <v>25830</v>
      </c>
      <c r="J416" s="30">
        <f>'Equity Volume Data'!M416*'Equity Price Data'!P417</f>
        <v>50604.24</v>
      </c>
      <c r="K416" s="30">
        <f>'Equity Volume Data'!N416*'Equity Price Data'!Q417</f>
        <v>12772</v>
      </c>
      <c r="L416" s="30">
        <f>'Equity Volume Data'!O416*'Equity Price Data'!R417</f>
        <v>22616.11</v>
      </c>
      <c r="M416" s="30">
        <f>'Equity Volume Data'!P416*'Equity Price Data'!S417</f>
        <v>14402.9</v>
      </c>
      <c r="N416" s="30">
        <f>'Equity Volume Data'!Q416*'Equity Price Data'!T417</f>
        <v>4205.6</v>
      </c>
      <c r="O416" s="30">
        <f>'Equity Volume Data'!R416*'Equity Price Data'!U417</f>
        <v>89478</v>
      </c>
      <c r="P416" s="30">
        <f>'Equity Volume Data'!S416*'Equity Price Data'!V417</f>
        <v>43342.98</v>
      </c>
      <c r="Q416" s="30">
        <f>'Equity Volume Data'!T416*'Equity Price Data'!W417</f>
        <v>22747.2</v>
      </c>
      <c r="R416" s="30">
        <f>'Equity Volume Data'!U416*'Equity Price Data'!X417</f>
        <v>12416</v>
      </c>
      <c r="S416" s="30">
        <f>'Equity Volume Data'!V416*'Equity Price Data'!Y417</f>
        <v>24562.56</v>
      </c>
      <c r="T416" s="30">
        <f>'Equity Volume Data'!W416*'Equity Price Data'!Z417</f>
        <v>15247.5</v>
      </c>
      <c r="U416" s="30">
        <f>'Equity Volume Data'!X416*'Equity Price Data'!AA417</f>
        <v>17830.56</v>
      </c>
      <c r="V416" s="30">
        <f>'Equity Volume Data'!Y416*'Equity Price Data'!AB417</f>
        <v>15998.57</v>
      </c>
      <c r="W416" s="30">
        <f>'Equity Volume Data'!Z416*'Equity Price Data'!AC417</f>
        <v>10686.03</v>
      </c>
      <c r="X416" s="30">
        <f>'Equity Volume Data'!AA416*'Equity Price Data'!AD417</f>
        <v>0</v>
      </c>
      <c r="Y416" s="30">
        <f>'Equity Volume Data'!AB416*'Equity Price Data'!AE417</f>
        <v>5271.5</v>
      </c>
      <c r="Z416" s="30">
        <f>'Equity Volume Data'!AC416*'Equity Price Data'!AF417</f>
        <v>13522.5</v>
      </c>
      <c r="AA416" s="30">
        <f>'Equity Volume Data'!AD416*'Equity Price Data'!AG417</f>
        <v>20143.3</v>
      </c>
      <c r="AB416" s="30">
        <f>'Equity Volume Data'!AE416*'Equity Price Data'!AH417</f>
        <v>18439.8</v>
      </c>
      <c r="AC416" s="30">
        <f>'Equity Volume Data'!AF416*'Equity Price Data'!AI417</f>
        <v>14672.4</v>
      </c>
      <c r="AD416" s="30">
        <f>'Equity Volume Data'!AG416*'Equity Price Data'!AJ417</f>
        <v>15553.8</v>
      </c>
      <c r="AE416" s="30">
        <f>'Equity Volume Data'!AH416*'Equity Price Data'!AK417</f>
        <v>0</v>
      </c>
      <c r="AF416" s="30">
        <f>'Equity Volume Data'!AI416*'Equity Price Data'!AL417</f>
        <v>25491.75</v>
      </c>
      <c r="AG416" s="30">
        <f>'Equity Volume Data'!AJ416*'Equity Price Data'!AM417</f>
        <v>56461.2</v>
      </c>
      <c r="AH416" s="30">
        <f>'Equity Volume Data'!AK416*'Equity Price Data'!AN417</f>
        <v>34906</v>
      </c>
      <c r="AI416" s="30">
        <f>'Equity Volume Data'!AL416*'Equity Price Data'!AO417</f>
        <v>31360</v>
      </c>
      <c r="AJ416" s="30">
        <f>'Equity Volume Data'!AM416*'Equity Price Data'!AP417</f>
        <v>21049.6</v>
      </c>
      <c r="AK416" s="30">
        <f>'Equity Volume Data'!AN416*'Equity Price Data'!AQ417</f>
        <v>27836.69</v>
      </c>
      <c r="AL416" s="30">
        <f>'Equity Volume Data'!AO416*'Equity Price Data'!AR417</f>
        <v>52318.4</v>
      </c>
      <c r="AM416" s="30">
        <f>'Equity Volume Data'!AP416*'Equity Price Data'!AS417</f>
        <v>34780.9</v>
      </c>
      <c r="AN416" s="30">
        <f>'Equity Volume Data'!AQ416*'Equity Price Data'!AT417</f>
        <v>0</v>
      </c>
      <c r="AO416" s="30">
        <f>'Equity Volume Data'!AR416*'Equity Price Data'!AU417</f>
        <v>31239.32</v>
      </c>
      <c r="AP416" s="30">
        <f>'Equity Volume Data'!AS416*'Equity Price Data'!AV417</f>
        <v>24942.5</v>
      </c>
      <c r="AQ416" s="30">
        <f>'Equity Volume Data'!AT416*'Equity Price Data'!AW417</f>
        <v>17219.4</v>
      </c>
      <c r="AR416" s="30">
        <f>'Equity Volume Data'!AU416*'Equity Price Data'!AX417</f>
        <v>13937.5</v>
      </c>
      <c r="AS416" s="30">
        <f>'Equity Volume Data'!AV416*'Equity Price Data'!AY417</f>
        <v>58016.4</v>
      </c>
      <c r="AT416" s="30">
        <f>'Equity Volume Data'!AW416*'Equity Price Data'!AZ417</f>
        <v>30094.08</v>
      </c>
      <c r="AU416" s="30">
        <f>'Equity Volume Data'!AX416*'Equity Price Data'!BA417</f>
        <v>0</v>
      </c>
      <c r="AV416" s="30">
        <f>'Equity Volume Data'!AY416*'Equity Price Data'!BB417</f>
        <v>26853.62</v>
      </c>
      <c r="AW416" s="30">
        <f>'Equity Volume Data'!AZ416*'Equity Price Data'!BC417</f>
        <v>3536.8</v>
      </c>
      <c r="AX416" s="30">
        <f>'Equity Volume Data'!BA416*'Equity Price Data'!BD417</f>
        <v>0</v>
      </c>
      <c r="AY416" s="30">
        <f>'Equity Volume Data'!BB416*'Equity Price Data'!BE417</f>
        <v>40878</v>
      </c>
      <c r="AZ416" s="30">
        <f>'Equity Volume Data'!BC416*'Equity Price Data'!BF417</f>
        <v>8776.5</v>
      </c>
      <c r="BA416" s="30">
        <f>'Equity Volume Data'!BD416*'Equity Price Data'!BG417</f>
        <v>4803.2</v>
      </c>
      <c r="BB416" s="30">
        <f>'Equity Volume Data'!BE416*'Equity Price Data'!BH417</f>
        <v>14858.4</v>
      </c>
      <c r="BC416" s="30">
        <f>'Equity Volume Data'!BF416*'Equity Price Data'!BI417</f>
        <v>33688.88</v>
      </c>
      <c r="BD416" s="30">
        <f>'Equity Volume Data'!BG416*'Equity Price Data'!BJ417</f>
        <v>42022.77</v>
      </c>
      <c r="BE416" s="30">
        <f>'Equity Volume Data'!BH416*'Equity Price Data'!BK417</f>
        <v>14194.45</v>
      </c>
      <c r="BF416" s="30">
        <f>'Equity Volume Data'!BI416*'Equity Price Data'!BL417</f>
        <v>8533.2</v>
      </c>
      <c r="BG416" s="30">
        <f>'Equity Volume Data'!BJ416*'Equity Price Data'!BM417</f>
        <v>38161.06</v>
      </c>
      <c r="BH416" s="30">
        <f>'Equity Volume Data'!BK416*'Equity Price Data'!BN417</f>
        <v>0</v>
      </c>
      <c r="BI416" s="30">
        <f>'Equity Volume Data'!BL416*'Equity Price Data'!BO417</f>
        <v>35916.8</v>
      </c>
      <c r="BJ416" s="30">
        <f>'Equity Volume Data'!BM416*'Equity Price Data'!BP417</f>
        <v>25627.5</v>
      </c>
      <c r="BK416" s="30">
        <f>'Equity Volume Data'!BN416*'Equity Price Data'!BQ417</f>
        <v>89235.04</v>
      </c>
      <c r="BL416" s="30">
        <f>'Equity Volume Data'!BO416*'Equity Price Data'!BR417</f>
        <v>585.62</v>
      </c>
      <c r="BM416" s="30">
        <f>'Equity Volume Data'!BP416*'Equity Price Data'!BS417</f>
        <v>10366.56</v>
      </c>
      <c r="BN416" s="30">
        <f>'Equity Volume Data'!BQ416*'Equity Price Data'!BT417</f>
        <v>21227.08</v>
      </c>
      <c r="BO416" s="30">
        <f>'Equity Volume Data'!BR416*'Equity Price Data'!BU417</f>
        <v>68782</v>
      </c>
    </row>
    <row r="417">
      <c r="A417" s="25">
        <f>'Equity Price Data'!A418</f>
        <v>46030.66667</v>
      </c>
      <c r="B417" s="29">
        <f t="shared" si="1"/>
        <v>1621747.42</v>
      </c>
      <c r="C417" s="30">
        <f>'Equity Volume Data'!F417*'Equity Price Data'!I418</f>
        <v>4407.52</v>
      </c>
      <c r="D417" s="30">
        <f>'Equity Volume Data'!G417*'Equity Price Data'!J418</f>
        <v>64035.4</v>
      </c>
      <c r="E417" s="30">
        <f>'Equity Volume Data'!H417*'Equity Price Data'!K418</f>
        <v>14219.7</v>
      </c>
      <c r="F417" s="30">
        <f>'Equity Volume Data'!I417*'Equity Price Data'!L418</f>
        <v>66314.24</v>
      </c>
      <c r="G417" s="30">
        <f>'Equity Volume Data'!J417*'Equity Price Data'!M418</f>
        <v>23376.12</v>
      </c>
      <c r="H417" s="30">
        <f>'Equity Volume Data'!K417*'Equity Price Data'!N418</f>
        <v>22569.4</v>
      </c>
      <c r="I417" s="30">
        <f>'Equity Volume Data'!L417*'Equity Price Data'!O418</f>
        <v>26070</v>
      </c>
      <c r="J417" s="30">
        <f>'Equity Volume Data'!M417*'Equity Price Data'!P418</f>
        <v>50976.54</v>
      </c>
      <c r="K417" s="30">
        <f>'Equity Volume Data'!N417*'Equity Price Data'!Q418</f>
        <v>12590</v>
      </c>
      <c r="L417" s="30">
        <f>'Equity Volume Data'!O417*'Equity Price Data'!R418</f>
        <v>22506</v>
      </c>
      <c r="M417" s="30">
        <f>'Equity Volume Data'!P417*'Equity Price Data'!S418</f>
        <v>14363.48</v>
      </c>
      <c r="N417" s="30">
        <f>'Equity Volume Data'!Q417*'Equity Price Data'!T418</f>
        <v>4308.8</v>
      </c>
      <c r="O417" s="30">
        <f>'Equity Volume Data'!R417*'Equity Price Data'!U418</f>
        <v>91219.5</v>
      </c>
      <c r="P417" s="30">
        <f>'Equity Volume Data'!S417*'Equity Price Data'!V418</f>
        <v>44101.92</v>
      </c>
      <c r="Q417" s="30">
        <f>'Equity Volume Data'!T417*'Equity Price Data'!W418</f>
        <v>22891.2</v>
      </c>
      <c r="R417" s="30">
        <f>'Equity Volume Data'!U417*'Equity Price Data'!X418</f>
        <v>12740</v>
      </c>
      <c r="S417" s="30">
        <f>'Equity Volume Data'!V417*'Equity Price Data'!Y418</f>
        <v>24984.08</v>
      </c>
      <c r="T417" s="30">
        <f>'Equity Volume Data'!W417*'Equity Price Data'!Z418</f>
        <v>15307.5</v>
      </c>
      <c r="U417" s="30">
        <f>'Equity Volume Data'!X417*'Equity Price Data'!AA418</f>
        <v>18313.68</v>
      </c>
      <c r="V417" s="30">
        <f>'Equity Volume Data'!Y417*'Equity Price Data'!AB418</f>
        <v>16128.98</v>
      </c>
      <c r="W417" s="30">
        <f>'Equity Volume Data'!Z417*'Equity Price Data'!AC418</f>
        <v>10552.17</v>
      </c>
      <c r="X417" s="30">
        <f>'Equity Volume Data'!AA417*'Equity Price Data'!AD418</f>
        <v>0</v>
      </c>
      <c r="Y417" s="30">
        <f>'Equity Volume Data'!AB417*'Equity Price Data'!AE418</f>
        <v>5285.54</v>
      </c>
      <c r="Z417" s="30">
        <f>'Equity Volume Data'!AC417*'Equity Price Data'!AF418</f>
        <v>13632</v>
      </c>
      <c r="AA417" s="30">
        <f>'Equity Volume Data'!AD417*'Equity Price Data'!AG418</f>
        <v>20894.7</v>
      </c>
      <c r="AB417" s="30">
        <f>'Equity Volume Data'!AE417*'Equity Price Data'!AH418</f>
        <v>18540.6</v>
      </c>
      <c r="AC417" s="30">
        <f>'Equity Volume Data'!AF417*'Equity Price Data'!AI418</f>
        <v>14834</v>
      </c>
      <c r="AD417" s="30">
        <f>'Equity Volume Data'!AG417*'Equity Price Data'!AJ418</f>
        <v>15814.8</v>
      </c>
      <c r="AE417" s="30">
        <f>'Equity Volume Data'!AH417*'Equity Price Data'!AK418</f>
        <v>0</v>
      </c>
      <c r="AF417" s="30">
        <f>'Equity Volume Data'!AI417*'Equity Price Data'!AL418</f>
        <v>24737.35</v>
      </c>
      <c r="AG417" s="30">
        <f>'Equity Volume Data'!AJ417*'Equity Price Data'!AM418</f>
        <v>56089.8</v>
      </c>
      <c r="AH417" s="30">
        <f>'Equity Volume Data'!AK417*'Equity Price Data'!AN418</f>
        <v>35956</v>
      </c>
      <c r="AI417" s="30">
        <f>'Equity Volume Data'!AL417*'Equity Price Data'!AO418</f>
        <v>31241</v>
      </c>
      <c r="AJ417" s="30">
        <f>'Equity Volume Data'!AM417*'Equity Price Data'!AP418</f>
        <v>21057.4</v>
      </c>
      <c r="AK417" s="30">
        <f>'Equity Volume Data'!AN417*'Equity Price Data'!AQ418</f>
        <v>27498.76</v>
      </c>
      <c r="AL417" s="30">
        <f>'Equity Volume Data'!AO417*'Equity Price Data'!AR418</f>
        <v>52766.4</v>
      </c>
      <c r="AM417" s="30">
        <f>'Equity Volume Data'!AP417*'Equity Price Data'!AS418</f>
        <v>36290.8</v>
      </c>
      <c r="AN417" s="30">
        <f>'Equity Volume Data'!AQ417*'Equity Price Data'!AT418</f>
        <v>0</v>
      </c>
      <c r="AO417" s="30">
        <f>'Equity Volume Data'!AR417*'Equity Price Data'!AU418</f>
        <v>31726.1</v>
      </c>
      <c r="AP417" s="30">
        <f>'Equity Volume Data'!AS417*'Equity Price Data'!AV418</f>
        <v>24672.5</v>
      </c>
      <c r="AQ417" s="30">
        <f>'Equity Volume Data'!AT417*'Equity Price Data'!AW418</f>
        <v>17551.6</v>
      </c>
      <c r="AR417" s="30">
        <f>'Equity Volume Data'!AU417*'Equity Price Data'!AX418</f>
        <v>13616.38</v>
      </c>
      <c r="AS417" s="30">
        <f>'Equity Volume Data'!AV417*'Equity Price Data'!AY418</f>
        <v>57373.2</v>
      </c>
      <c r="AT417" s="30">
        <f>'Equity Volume Data'!AW417*'Equity Price Data'!AZ418</f>
        <v>30524.16</v>
      </c>
      <c r="AU417" s="30">
        <f>'Equity Volume Data'!AX417*'Equity Price Data'!BA418</f>
        <v>0</v>
      </c>
      <c r="AV417" s="30">
        <f>'Equity Volume Data'!AY417*'Equity Price Data'!BB418</f>
        <v>26275.68</v>
      </c>
      <c r="AW417" s="30">
        <f>'Equity Volume Data'!AZ417*'Equity Price Data'!BC418</f>
        <v>3615.6</v>
      </c>
      <c r="AX417" s="30">
        <f>'Equity Volume Data'!BA417*'Equity Price Data'!BD418</f>
        <v>0</v>
      </c>
      <c r="AY417" s="30">
        <f>'Equity Volume Data'!BB417*'Equity Price Data'!BE418</f>
        <v>39793.5</v>
      </c>
      <c r="AZ417" s="30">
        <f>'Equity Volume Data'!BC417*'Equity Price Data'!BF418</f>
        <v>8740.5</v>
      </c>
      <c r="BA417" s="30">
        <f>'Equity Volume Data'!BD417*'Equity Price Data'!BG418</f>
        <v>4805.1</v>
      </c>
      <c r="BB417" s="30">
        <f>'Equity Volume Data'!BE417*'Equity Price Data'!BH418</f>
        <v>14973.6</v>
      </c>
      <c r="BC417" s="30">
        <f>'Equity Volume Data'!BF417*'Equity Price Data'!BI418</f>
        <v>35223.92</v>
      </c>
      <c r="BD417" s="30">
        <f>'Equity Volume Data'!BG417*'Equity Price Data'!BJ418</f>
        <v>42154.83</v>
      </c>
      <c r="BE417" s="30">
        <f>'Equity Volume Data'!BH417*'Equity Price Data'!BK418</f>
        <v>13949.5</v>
      </c>
      <c r="BF417" s="30">
        <f>'Equity Volume Data'!BI417*'Equity Price Data'!BL418</f>
        <v>8589.2</v>
      </c>
      <c r="BG417" s="30">
        <f>'Equity Volume Data'!BJ417*'Equity Price Data'!BM418</f>
        <v>38244.46</v>
      </c>
      <c r="BH417" s="30">
        <f>'Equity Volume Data'!BK417*'Equity Price Data'!BN418</f>
        <v>0</v>
      </c>
      <c r="BI417" s="30">
        <f>'Equity Volume Data'!BL417*'Equity Price Data'!BO418</f>
        <v>36776</v>
      </c>
      <c r="BJ417" s="30">
        <f>'Equity Volume Data'!BM417*'Equity Price Data'!BP418</f>
        <v>26013.75</v>
      </c>
      <c r="BK417" s="30">
        <f>'Equity Volume Data'!BN417*'Equity Price Data'!BQ418</f>
        <v>89217.02</v>
      </c>
      <c r="BL417" s="30">
        <f>'Equity Volume Data'!BO417*'Equity Price Data'!BR418</f>
        <v>592.2</v>
      </c>
      <c r="BM417" s="30">
        <f>'Equity Volume Data'!BP417*'Equity Price Data'!BS418</f>
        <v>10457.28</v>
      </c>
      <c r="BN417" s="30">
        <f>'Equity Volume Data'!BQ417*'Equity Price Data'!BT418</f>
        <v>21463.96</v>
      </c>
      <c r="BO417" s="30">
        <f>'Equity Volume Data'!BR417*'Equity Price Data'!BU418</f>
        <v>68782</v>
      </c>
    </row>
    <row r="418">
      <c r="A418" s="25">
        <f>'Equity Price Data'!A419</f>
        <v>46031.66667</v>
      </c>
      <c r="B418" s="29">
        <f t="shared" si="1"/>
        <v>1636238.76</v>
      </c>
      <c r="C418" s="30">
        <f>'Equity Volume Data'!F418*'Equity Price Data'!I419</f>
        <v>4341.35</v>
      </c>
      <c r="D418" s="30">
        <f>'Equity Volume Data'!G418*'Equity Price Data'!J419</f>
        <v>64318.8</v>
      </c>
      <c r="E418" s="30">
        <f>'Equity Volume Data'!H418*'Equity Price Data'!K419</f>
        <v>14077.8</v>
      </c>
      <c r="F418" s="30">
        <f>'Equity Volume Data'!I418*'Equity Price Data'!L419</f>
        <v>66398.72</v>
      </c>
      <c r="G418" s="30">
        <f>'Equity Volume Data'!J418*'Equity Price Data'!M419</f>
        <v>24997.94</v>
      </c>
      <c r="H418" s="30">
        <f>'Equity Volume Data'!K418*'Equity Price Data'!N419</f>
        <v>22379.52</v>
      </c>
      <c r="I418" s="30">
        <f>'Equity Volume Data'!L418*'Equity Price Data'!O419</f>
        <v>25960</v>
      </c>
      <c r="J418" s="30">
        <f>'Equity Volume Data'!M418*'Equity Price Data'!P419</f>
        <v>50908.2</v>
      </c>
      <c r="K418" s="30">
        <f>'Equity Volume Data'!N418*'Equity Price Data'!Q419</f>
        <v>12344</v>
      </c>
      <c r="L418" s="30">
        <f>'Equity Volume Data'!O418*'Equity Price Data'!R419</f>
        <v>22702.02</v>
      </c>
      <c r="M418" s="30">
        <f>'Equity Volume Data'!P418*'Equity Price Data'!S419</f>
        <v>14255.44</v>
      </c>
      <c r="N418" s="30">
        <f>'Equity Volume Data'!Q418*'Equity Price Data'!T419</f>
        <v>4500</v>
      </c>
      <c r="O418" s="30">
        <f>'Equity Volume Data'!R418*'Equity Price Data'!U419</f>
        <v>92643</v>
      </c>
      <c r="P418" s="30">
        <f>'Equity Volume Data'!S418*'Equity Price Data'!V419</f>
        <v>44852.52</v>
      </c>
      <c r="Q418" s="30">
        <f>'Equity Volume Data'!T418*'Equity Price Data'!W419</f>
        <v>23120.4</v>
      </c>
      <c r="R418" s="30">
        <f>'Equity Volume Data'!U418*'Equity Price Data'!X419</f>
        <v>12968.8</v>
      </c>
      <c r="S418" s="30">
        <f>'Equity Volume Data'!V418*'Equity Price Data'!Y419</f>
        <v>24547.6</v>
      </c>
      <c r="T418" s="30">
        <f>'Equity Volume Data'!W418*'Equity Price Data'!Z419</f>
        <v>15132.5</v>
      </c>
      <c r="U418" s="30">
        <f>'Equity Volume Data'!X418*'Equity Price Data'!AA419</f>
        <v>18614.64</v>
      </c>
      <c r="V418" s="30">
        <f>'Equity Volume Data'!Y418*'Equity Price Data'!AB419</f>
        <v>15972.81</v>
      </c>
      <c r="W418" s="30">
        <f>'Equity Volume Data'!Z418*'Equity Price Data'!AC419</f>
        <v>10939.95</v>
      </c>
      <c r="X418" s="30">
        <f>'Equity Volume Data'!AA418*'Equity Price Data'!AD419</f>
        <v>0</v>
      </c>
      <c r="Y418" s="30">
        <f>'Equity Volume Data'!AB418*'Equity Price Data'!AE419</f>
        <v>5266.17</v>
      </c>
      <c r="Z418" s="30">
        <f>'Equity Volume Data'!AC418*'Equity Price Data'!AF419</f>
        <v>13636.5</v>
      </c>
      <c r="AA418" s="30">
        <f>'Equity Volume Data'!AD418*'Equity Price Data'!AG419</f>
        <v>21183.7</v>
      </c>
      <c r="AB418" s="30">
        <f>'Equity Volume Data'!AE418*'Equity Price Data'!AH419</f>
        <v>18741.6</v>
      </c>
      <c r="AC418" s="30">
        <f>'Equity Volume Data'!AF418*'Equity Price Data'!AI419</f>
        <v>15047.6</v>
      </c>
      <c r="AD418" s="30">
        <f>'Equity Volume Data'!AG418*'Equity Price Data'!AJ419</f>
        <v>15925.05</v>
      </c>
      <c r="AE418" s="30">
        <f>'Equity Volume Data'!AH418*'Equity Price Data'!AK419</f>
        <v>0</v>
      </c>
      <c r="AF418" s="30">
        <f>'Equity Volume Data'!AI418*'Equity Price Data'!AL419</f>
        <v>24825.5</v>
      </c>
      <c r="AG418" s="30">
        <f>'Equity Volume Data'!AJ418*'Equity Price Data'!AM419</f>
        <v>56338.8</v>
      </c>
      <c r="AH418" s="30">
        <f>'Equity Volume Data'!AK418*'Equity Price Data'!AN419</f>
        <v>37464</v>
      </c>
      <c r="AI418" s="30">
        <f>'Equity Volume Data'!AL418*'Equity Price Data'!AO419</f>
        <v>31734.5</v>
      </c>
      <c r="AJ418" s="30">
        <f>'Equity Volume Data'!AM418*'Equity Price Data'!AP419</f>
        <v>21577.4</v>
      </c>
      <c r="AK418" s="30">
        <f>'Equity Volume Data'!AN418*'Equity Price Data'!AQ419</f>
        <v>27553.28</v>
      </c>
      <c r="AL418" s="30">
        <f>'Equity Volume Data'!AO418*'Equity Price Data'!AR419</f>
        <v>52670.4</v>
      </c>
      <c r="AM418" s="30">
        <f>'Equity Volume Data'!AP418*'Equity Price Data'!AS419</f>
        <v>38004.4</v>
      </c>
      <c r="AN418" s="30">
        <f>'Equity Volume Data'!AQ418*'Equity Price Data'!AT419</f>
        <v>0</v>
      </c>
      <c r="AO418" s="30">
        <f>'Equity Volume Data'!AR418*'Equity Price Data'!AU419</f>
        <v>31905.44</v>
      </c>
      <c r="AP418" s="30">
        <f>'Equity Volume Data'!AS418*'Equity Price Data'!AV419</f>
        <v>24382.5</v>
      </c>
      <c r="AQ418" s="30">
        <f>'Equity Volume Data'!AT418*'Equity Price Data'!AW419</f>
        <v>17470.2</v>
      </c>
      <c r="AR418" s="30">
        <f>'Equity Volume Data'!AU418*'Equity Price Data'!AX419</f>
        <v>13826</v>
      </c>
      <c r="AS418" s="30">
        <f>'Equity Volume Data'!AV418*'Equity Price Data'!AY419</f>
        <v>57513.6</v>
      </c>
      <c r="AT418" s="30">
        <f>'Equity Volume Data'!AW418*'Equity Price Data'!AZ419</f>
        <v>30677.76</v>
      </c>
      <c r="AU418" s="30">
        <f>'Equity Volume Data'!AX418*'Equity Price Data'!BA419</f>
        <v>0</v>
      </c>
      <c r="AV418" s="30">
        <f>'Equity Volume Data'!AY418*'Equity Price Data'!BB419</f>
        <v>26250.12</v>
      </c>
      <c r="AW418" s="30">
        <f>'Equity Volume Data'!AZ418*'Equity Price Data'!BC419</f>
        <v>3610.8</v>
      </c>
      <c r="AX418" s="30">
        <f>'Equity Volume Data'!BA418*'Equity Price Data'!BD419</f>
        <v>0</v>
      </c>
      <c r="AY418" s="30">
        <f>'Equity Volume Data'!BB418*'Equity Price Data'!BE419</f>
        <v>39935.25</v>
      </c>
      <c r="AZ418" s="30">
        <f>'Equity Volume Data'!BC418*'Equity Price Data'!BF419</f>
        <v>8649</v>
      </c>
      <c r="BA418" s="30">
        <f>'Equity Volume Data'!BD418*'Equity Price Data'!BG419</f>
        <v>4841.2</v>
      </c>
      <c r="BB418" s="30">
        <f>'Equity Volume Data'!BE418*'Equity Price Data'!BH419</f>
        <v>15080</v>
      </c>
      <c r="BC418" s="30">
        <f>'Equity Volume Data'!BF418*'Equity Price Data'!BI419</f>
        <v>38913.92</v>
      </c>
      <c r="BD418" s="30">
        <f>'Equity Volume Data'!BG418*'Equity Price Data'!BJ419</f>
        <v>42719.28</v>
      </c>
      <c r="BE418" s="30">
        <f>'Equity Volume Data'!BH418*'Equity Price Data'!BK419</f>
        <v>14233.78</v>
      </c>
      <c r="BF418" s="30">
        <f>'Equity Volume Data'!BI418*'Equity Price Data'!BL419</f>
        <v>8860.8</v>
      </c>
      <c r="BG418" s="30">
        <f>'Equity Volume Data'!BJ418*'Equity Price Data'!BM419</f>
        <v>38105.46</v>
      </c>
      <c r="BH418" s="30">
        <f>'Equity Volume Data'!BK418*'Equity Price Data'!BN419</f>
        <v>0</v>
      </c>
      <c r="BI418" s="30">
        <f>'Equity Volume Data'!BL418*'Equity Price Data'!BO419</f>
        <v>36550.4</v>
      </c>
      <c r="BJ418" s="30">
        <f>'Equity Volume Data'!BM418*'Equity Price Data'!BP419</f>
        <v>25798.5</v>
      </c>
      <c r="BK418" s="30">
        <f>'Equity Volume Data'!BN418*'Equity Price Data'!BQ419</f>
        <v>89199</v>
      </c>
      <c r="BL418" s="30">
        <f>'Equity Volume Data'!BO418*'Equity Price Data'!BR419</f>
        <v>599.72</v>
      </c>
      <c r="BM418" s="30">
        <f>'Equity Volume Data'!BP418*'Equity Price Data'!BS419</f>
        <v>10603.68</v>
      </c>
      <c r="BN418" s="30">
        <f>'Equity Volume Data'!BQ418*'Equity Price Data'!BT419</f>
        <v>21785.44</v>
      </c>
      <c r="BO418" s="30">
        <f>'Equity Volume Data'!BR418*'Equity Price Data'!BU419</f>
        <v>68782</v>
      </c>
    </row>
    <row r="419">
      <c r="A419" s="25">
        <f>'Equity Price Data'!A420</f>
        <v>46034.66667</v>
      </c>
      <c r="B419" s="29">
        <f t="shared" si="1"/>
        <v>1638252.56</v>
      </c>
      <c r="C419" s="30">
        <f>'Equity Volume Data'!F419*'Equity Price Data'!I420</f>
        <v>4259.45</v>
      </c>
      <c r="D419" s="30">
        <f>'Equity Volume Data'!G419*'Equity Price Data'!J420</f>
        <v>64082.2</v>
      </c>
      <c r="E419" s="30">
        <f>'Equity Volume Data'!H419*'Equity Price Data'!K420</f>
        <v>14333</v>
      </c>
      <c r="F419" s="30">
        <f>'Equity Volume Data'!I419*'Equity Price Data'!L420</f>
        <v>66624</v>
      </c>
      <c r="G419" s="30">
        <f>'Equity Volume Data'!J419*'Equity Price Data'!M420</f>
        <v>25500.92</v>
      </c>
      <c r="H419" s="30">
        <f>'Equity Volume Data'!K419*'Equity Price Data'!N420</f>
        <v>22684.08</v>
      </c>
      <c r="I419" s="30">
        <f>'Equity Volume Data'!L419*'Equity Price Data'!O420</f>
        <v>25630</v>
      </c>
      <c r="J419" s="30">
        <f>'Equity Volume Data'!M419*'Equity Price Data'!P420</f>
        <v>50864.34</v>
      </c>
      <c r="K419" s="30">
        <f>'Equity Volume Data'!N419*'Equity Price Data'!Q420</f>
        <v>12560</v>
      </c>
      <c r="L419" s="30">
        <f>'Equity Volume Data'!O419*'Equity Price Data'!R420</f>
        <v>22461.23</v>
      </c>
      <c r="M419" s="30">
        <f>'Equity Volume Data'!P419*'Equity Price Data'!S420</f>
        <v>13975.12</v>
      </c>
      <c r="N419" s="30">
        <f>'Equity Volume Data'!Q419*'Equity Price Data'!T420</f>
        <v>4430.4</v>
      </c>
      <c r="O419" s="30">
        <f>'Equity Volume Data'!R419*'Equity Price Data'!U420</f>
        <v>94465.5</v>
      </c>
      <c r="P419" s="30">
        <f>'Equity Volume Data'!S419*'Equity Price Data'!V420</f>
        <v>45782.43</v>
      </c>
      <c r="Q419" s="30">
        <f>'Equity Volume Data'!T419*'Equity Price Data'!W420</f>
        <v>22800</v>
      </c>
      <c r="R419" s="30">
        <f>'Equity Volume Data'!U419*'Equity Price Data'!X420</f>
        <v>12987.2</v>
      </c>
      <c r="S419" s="30">
        <f>'Equity Volume Data'!V419*'Equity Price Data'!Y420</f>
        <v>24289.76</v>
      </c>
      <c r="T419" s="30">
        <f>'Equity Volume Data'!W419*'Equity Price Data'!Z420</f>
        <v>15050</v>
      </c>
      <c r="U419" s="30">
        <f>'Equity Volume Data'!X419*'Equity Price Data'!AA420</f>
        <v>18612</v>
      </c>
      <c r="V419" s="30">
        <f>'Equity Volume Data'!Y419*'Equity Price Data'!AB420</f>
        <v>15911.63</v>
      </c>
      <c r="W419" s="30">
        <f>'Equity Volume Data'!Z419*'Equity Price Data'!AC420</f>
        <v>10893.03</v>
      </c>
      <c r="X419" s="30">
        <f>'Equity Volume Data'!AA419*'Equity Price Data'!AD420</f>
        <v>0</v>
      </c>
      <c r="Y419" s="30">
        <f>'Equity Volume Data'!AB419*'Equity Price Data'!AE420</f>
        <v>5407.35</v>
      </c>
      <c r="Z419" s="30">
        <f>'Equity Volume Data'!AC419*'Equity Price Data'!AF420</f>
        <v>13995</v>
      </c>
      <c r="AA419" s="30">
        <f>'Equity Volume Data'!AD419*'Equity Price Data'!AG420</f>
        <v>21085.1</v>
      </c>
      <c r="AB419" s="30">
        <f>'Equity Volume Data'!AE419*'Equity Price Data'!AH420</f>
        <v>18715.2</v>
      </c>
      <c r="AC419" s="30">
        <f>'Equity Volume Data'!AF419*'Equity Price Data'!AI420</f>
        <v>15088</v>
      </c>
      <c r="AD419" s="30">
        <f>'Equity Volume Data'!AG419*'Equity Price Data'!AJ420</f>
        <v>16242.3</v>
      </c>
      <c r="AE419" s="30">
        <f>'Equity Volume Data'!AH419*'Equity Price Data'!AK420</f>
        <v>0</v>
      </c>
      <c r="AF419" s="30">
        <f>'Equity Volume Data'!AI419*'Equity Price Data'!AL420</f>
        <v>25133</v>
      </c>
      <c r="AG419" s="30">
        <f>'Equity Volume Data'!AJ419*'Equity Price Data'!AM420</f>
        <v>56973</v>
      </c>
      <c r="AH419" s="30">
        <f>'Equity Volume Data'!AK419*'Equity Price Data'!AN420</f>
        <v>37494</v>
      </c>
      <c r="AI419" s="30">
        <f>'Equity Volume Data'!AL419*'Equity Price Data'!AO420</f>
        <v>32065.25</v>
      </c>
      <c r="AJ419" s="30">
        <f>'Equity Volume Data'!AM419*'Equity Price Data'!AP420</f>
        <v>21612.5</v>
      </c>
      <c r="AK419" s="30">
        <f>'Equity Volume Data'!AN419*'Equity Price Data'!AQ420</f>
        <v>26919.25</v>
      </c>
      <c r="AL419" s="30">
        <f>'Equity Volume Data'!AO419*'Equity Price Data'!AR420</f>
        <v>51918.4</v>
      </c>
      <c r="AM419" s="30">
        <f>'Equity Volume Data'!AP419*'Equity Price Data'!AS420</f>
        <v>38586.8</v>
      </c>
      <c r="AN419" s="30">
        <f>'Equity Volume Data'!AQ419*'Equity Price Data'!AT420</f>
        <v>0</v>
      </c>
      <c r="AO419" s="30">
        <f>'Equity Volume Data'!AR419*'Equity Price Data'!AU420</f>
        <v>31709.02</v>
      </c>
      <c r="AP419" s="30">
        <f>'Equity Volume Data'!AS419*'Equity Price Data'!AV420</f>
        <v>24237.5</v>
      </c>
      <c r="AQ419" s="30">
        <f>'Equity Volume Data'!AT419*'Equity Price Data'!AW420</f>
        <v>17230.4</v>
      </c>
      <c r="AR419" s="30">
        <f>'Equity Volume Data'!AU419*'Equity Price Data'!AX420</f>
        <v>14570.82</v>
      </c>
      <c r="AS419" s="30">
        <f>'Equity Volume Data'!AV419*'Equity Price Data'!AY420</f>
        <v>57261.6</v>
      </c>
      <c r="AT419" s="30">
        <f>'Equity Volume Data'!AW419*'Equity Price Data'!AZ420</f>
        <v>31150.08</v>
      </c>
      <c r="AU419" s="30">
        <f>'Equity Volume Data'!AX419*'Equity Price Data'!BA420</f>
        <v>0</v>
      </c>
      <c r="AV419" s="30">
        <f>'Equity Volume Data'!AY419*'Equity Price Data'!BB420</f>
        <v>26261.48</v>
      </c>
      <c r="AW419" s="30">
        <f>'Equity Volume Data'!AZ419*'Equity Price Data'!BC420</f>
        <v>3579.6</v>
      </c>
      <c r="AX419" s="30">
        <f>'Equity Volume Data'!BA419*'Equity Price Data'!BD420</f>
        <v>0</v>
      </c>
      <c r="AY419" s="30">
        <f>'Equity Volume Data'!BB419*'Equity Price Data'!BE420</f>
        <v>40367.25</v>
      </c>
      <c r="AZ419" s="30">
        <f>'Equity Volume Data'!BC419*'Equity Price Data'!BF420</f>
        <v>8593.5</v>
      </c>
      <c r="BA419" s="30">
        <f>'Equity Volume Data'!BD419*'Equity Price Data'!BG420</f>
        <v>4801.3</v>
      </c>
      <c r="BB419" s="30">
        <f>'Equity Volume Data'!BE419*'Equity Price Data'!BH420</f>
        <v>15508</v>
      </c>
      <c r="BC419" s="30">
        <f>'Equity Volume Data'!BF419*'Equity Price Data'!BI420</f>
        <v>38431.76</v>
      </c>
      <c r="BD419" s="30">
        <f>'Equity Volume Data'!BG419*'Equity Price Data'!BJ420</f>
        <v>42069.63</v>
      </c>
      <c r="BE419" s="30">
        <f>'Equity Volume Data'!BH419*'Equity Price Data'!BK420</f>
        <v>14155.35</v>
      </c>
      <c r="BF419" s="30">
        <f>'Equity Volume Data'!BI419*'Equity Price Data'!BL420</f>
        <v>8903.6</v>
      </c>
      <c r="BG419" s="30">
        <f>'Equity Volume Data'!BJ419*'Equity Price Data'!BM420</f>
        <v>37435.48</v>
      </c>
      <c r="BH419" s="30">
        <f>'Equity Volume Data'!BK419*'Equity Price Data'!BN420</f>
        <v>0</v>
      </c>
      <c r="BI419" s="30">
        <f>'Equity Volume Data'!BL419*'Equity Price Data'!BO420</f>
        <v>36720</v>
      </c>
      <c r="BJ419" s="30">
        <f>'Equity Volume Data'!BM419*'Equity Price Data'!BP420</f>
        <v>25538.25</v>
      </c>
      <c r="BK419" s="30">
        <f>'Equity Volume Data'!BN419*'Equity Price Data'!BQ420</f>
        <v>89217.02</v>
      </c>
      <c r="BL419" s="30">
        <f>'Equity Volume Data'!BO419*'Equity Price Data'!BR420</f>
        <v>595.96</v>
      </c>
      <c r="BM419" s="30">
        <f>'Equity Volume Data'!BP419*'Equity Price Data'!BS420</f>
        <v>10491.36</v>
      </c>
      <c r="BN419" s="30">
        <f>'Equity Volume Data'!BQ419*'Equity Price Data'!BT420</f>
        <v>21210.16</v>
      </c>
      <c r="BO419" s="30">
        <f>'Equity Volume Data'!BR419*'Equity Price Data'!BU420</f>
        <v>68782</v>
      </c>
    </row>
    <row r="420">
      <c r="A420" s="25">
        <f>'Equity Price Data'!A421</f>
        <v>46035.66667</v>
      </c>
      <c r="B420" s="29">
        <f t="shared" si="1"/>
        <v>1633602.37</v>
      </c>
      <c r="C420" s="30">
        <f>'Equity Volume Data'!F420*'Equity Price Data'!I421</f>
        <v>4029.09</v>
      </c>
      <c r="D420" s="30">
        <f>'Equity Volume Data'!G420*'Equity Price Data'!J421</f>
        <v>63076</v>
      </c>
      <c r="E420" s="30">
        <f>'Equity Volume Data'!H420*'Equity Price Data'!K421</f>
        <v>14438.6</v>
      </c>
      <c r="F420" s="30">
        <f>'Equity Volume Data'!I420*'Equity Price Data'!L421</f>
        <v>66828.8</v>
      </c>
      <c r="G420" s="30">
        <f>'Equity Volume Data'!J420*'Equity Price Data'!M421</f>
        <v>25304.21</v>
      </c>
      <c r="H420" s="30">
        <f>'Equity Volume Data'!K420*'Equity Price Data'!N421</f>
        <v>23110.84</v>
      </c>
      <c r="I420" s="30">
        <f>'Equity Volume Data'!L420*'Equity Price Data'!O421</f>
        <v>25780</v>
      </c>
      <c r="J420" s="30">
        <f>'Equity Volume Data'!M420*'Equity Price Data'!P421</f>
        <v>50514.48</v>
      </c>
      <c r="K420" s="30">
        <f>'Equity Volume Data'!N420*'Equity Price Data'!Q421</f>
        <v>12798</v>
      </c>
      <c r="L420" s="30">
        <f>'Equity Volume Data'!O420*'Equity Price Data'!R421</f>
        <v>21574.3</v>
      </c>
      <c r="M420" s="30">
        <f>'Equity Volume Data'!P420*'Equity Price Data'!S421</f>
        <v>13744.44</v>
      </c>
      <c r="N420" s="30">
        <f>'Equity Volume Data'!Q420*'Equity Price Data'!T421</f>
        <v>4416.8</v>
      </c>
      <c r="O420" s="30">
        <f>'Equity Volume Data'!R420*'Equity Price Data'!U421</f>
        <v>95479.5</v>
      </c>
      <c r="P420" s="30">
        <f>'Equity Volume Data'!S420*'Equity Price Data'!V421</f>
        <v>45419.64</v>
      </c>
      <c r="Q420" s="30">
        <f>'Equity Volume Data'!T420*'Equity Price Data'!W421</f>
        <v>22388.4</v>
      </c>
      <c r="R420" s="30">
        <f>'Equity Volume Data'!U420*'Equity Price Data'!X421</f>
        <v>13109.6</v>
      </c>
      <c r="S420" s="30">
        <f>'Equity Volume Data'!V420*'Equity Price Data'!Y421</f>
        <v>23919.28</v>
      </c>
      <c r="T420" s="30">
        <f>'Equity Volume Data'!W420*'Equity Price Data'!Z421</f>
        <v>14945</v>
      </c>
      <c r="U420" s="30">
        <f>'Equity Volume Data'!X420*'Equity Price Data'!AA421</f>
        <v>18807.36</v>
      </c>
      <c r="V420" s="30">
        <f>'Equity Volume Data'!Y420*'Equity Price Data'!AB421</f>
        <v>16133.81</v>
      </c>
      <c r="W420" s="30">
        <f>'Equity Volume Data'!Z420*'Equity Price Data'!AC421</f>
        <v>11088.99</v>
      </c>
      <c r="X420" s="30">
        <f>'Equity Volume Data'!AA420*'Equity Price Data'!AD421</f>
        <v>0</v>
      </c>
      <c r="Y420" s="30">
        <f>'Equity Volume Data'!AB420*'Equity Price Data'!AE421</f>
        <v>5341.83</v>
      </c>
      <c r="Z420" s="30">
        <f>'Equity Volume Data'!AC420*'Equity Price Data'!AF421</f>
        <v>14155.5</v>
      </c>
      <c r="AA420" s="30">
        <f>'Equity Volume Data'!AD420*'Equity Price Data'!AG421</f>
        <v>21511.8</v>
      </c>
      <c r="AB420" s="30">
        <f>'Equity Volume Data'!AE420*'Equity Price Data'!AH421</f>
        <v>18579.6</v>
      </c>
      <c r="AC420" s="30">
        <f>'Equity Volume Data'!AF420*'Equity Price Data'!AI421</f>
        <v>14403.6</v>
      </c>
      <c r="AD420" s="30">
        <f>'Equity Volume Data'!AG420*'Equity Price Data'!AJ421</f>
        <v>16348.5</v>
      </c>
      <c r="AE420" s="30">
        <f>'Equity Volume Data'!AH420*'Equity Price Data'!AK421</f>
        <v>0</v>
      </c>
      <c r="AF420" s="30">
        <f>'Equity Volume Data'!AI420*'Equity Price Data'!AL421</f>
        <v>24960.8</v>
      </c>
      <c r="AG420" s="30">
        <f>'Equity Volume Data'!AJ420*'Equity Price Data'!AM421</f>
        <v>56289</v>
      </c>
      <c r="AH420" s="30">
        <f>'Equity Volume Data'!AK420*'Equity Price Data'!AN421</f>
        <v>37974</v>
      </c>
      <c r="AI420" s="30">
        <f>'Equity Volume Data'!AL420*'Equity Price Data'!AO421</f>
        <v>32103.75</v>
      </c>
      <c r="AJ420" s="30">
        <f>'Equity Volume Data'!AM420*'Equity Price Data'!AP421</f>
        <v>21669.7</v>
      </c>
      <c r="AK420" s="30">
        <f>'Equity Volume Data'!AN420*'Equity Price Data'!AQ421</f>
        <v>26405.54</v>
      </c>
      <c r="AL420" s="30">
        <f>'Equity Volume Data'!AO420*'Equity Price Data'!AR421</f>
        <v>49744</v>
      </c>
      <c r="AM420" s="30">
        <f>'Equity Volume Data'!AP420*'Equity Price Data'!AS421</f>
        <v>39081</v>
      </c>
      <c r="AN420" s="30">
        <f>'Equity Volume Data'!AQ420*'Equity Price Data'!AT421</f>
        <v>0</v>
      </c>
      <c r="AO420" s="30">
        <f>'Equity Volume Data'!AR420*'Equity Price Data'!AU421</f>
        <v>31418.66</v>
      </c>
      <c r="AP420" s="30">
        <f>'Equity Volume Data'!AS420*'Equity Price Data'!AV421</f>
        <v>24105</v>
      </c>
      <c r="AQ420" s="30">
        <f>'Equity Volume Data'!AT420*'Equity Price Data'!AW421</f>
        <v>16957.6</v>
      </c>
      <c r="AR420" s="30">
        <f>'Equity Volume Data'!AU420*'Equity Price Data'!AX421</f>
        <v>14231.86</v>
      </c>
      <c r="AS420" s="30">
        <f>'Equity Volume Data'!AV420*'Equity Price Data'!AY421</f>
        <v>56480.4</v>
      </c>
      <c r="AT420" s="30">
        <f>'Equity Volume Data'!AW420*'Equity Price Data'!AZ421</f>
        <v>31349.76</v>
      </c>
      <c r="AU420" s="30">
        <f>'Equity Volume Data'!AX420*'Equity Price Data'!BA421</f>
        <v>0</v>
      </c>
      <c r="AV420" s="30">
        <f>'Equity Volume Data'!AY420*'Equity Price Data'!BB421</f>
        <v>26385.02</v>
      </c>
      <c r="AW420" s="30">
        <f>'Equity Volume Data'!AZ420*'Equity Price Data'!BC421</f>
        <v>3591.2</v>
      </c>
      <c r="AX420" s="30">
        <f>'Equity Volume Data'!BA420*'Equity Price Data'!BD421</f>
        <v>0</v>
      </c>
      <c r="AY420" s="30">
        <f>'Equity Volume Data'!BB420*'Equity Price Data'!BE421</f>
        <v>40266</v>
      </c>
      <c r="AZ420" s="30">
        <f>'Equity Volume Data'!BC420*'Equity Price Data'!BF421</f>
        <v>8484</v>
      </c>
      <c r="BA420" s="30">
        <f>'Equity Volume Data'!BD420*'Equity Price Data'!BG421</f>
        <v>4778.5</v>
      </c>
      <c r="BB420" s="30">
        <f>'Equity Volume Data'!BE420*'Equity Price Data'!BH421</f>
        <v>15526.4</v>
      </c>
      <c r="BC420" s="30">
        <f>'Equity Volume Data'!BF420*'Equity Price Data'!BI421</f>
        <v>39343.6</v>
      </c>
      <c r="BD420" s="30">
        <f>'Equity Volume Data'!BG420*'Equity Price Data'!BJ421</f>
        <v>40399.71</v>
      </c>
      <c r="BE420" s="30">
        <f>'Equity Volume Data'!BH420*'Equity Price Data'!BK421</f>
        <v>13962.84</v>
      </c>
      <c r="BF420" s="30">
        <f>'Equity Volume Data'!BI420*'Equity Price Data'!BL421</f>
        <v>9161.2</v>
      </c>
      <c r="BG420" s="30">
        <f>'Equity Volume Data'!BJ420*'Equity Price Data'!BM421</f>
        <v>39673.38</v>
      </c>
      <c r="BH420" s="30">
        <f>'Equity Volume Data'!BK420*'Equity Price Data'!BN421</f>
        <v>0</v>
      </c>
      <c r="BI420" s="30">
        <f>'Equity Volume Data'!BL420*'Equity Price Data'!BO421</f>
        <v>36686.4</v>
      </c>
      <c r="BJ420" s="30">
        <f>'Equity Volume Data'!BM420*'Equity Price Data'!BP421</f>
        <v>25044.75</v>
      </c>
      <c r="BK420" s="30">
        <f>'Equity Volume Data'!BN420*'Equity Price Data'!BQ421</f>
        <v>89253.06</v>
      </c>
      <c r="BL420" s="30">
        <f>'Equity Volume Data'!BO420*'Equity Price Data'!BR421</f>
        <v>628.39</v>
      </c>
      <c r="BM420" s="30">
        <f>'Equity Volume Data'!BP420*'Equity Price Data'!BS421</f>
        <v>10376.64</v>
      </c>
      <c r="BN420" s="30">
        <f>'Equity Volume Data'!BQ420*'Equity Price Data'!BT421</f>
        <v>21240.24</v>
      </c>
      <c r="BO420" s="30">
        <f>'Equity Volume Data'!BR420*'Equity Price Data'!BU421</f>
        <v>68782</v>
      </c>
    </row>
    <row r="421">
      <c r="A421" s="25">
        <f>'Equity Price Data'!A422</f>
        <v>46036.66667</v>
      </c>
      <c r="B421" s="29">
        <f t="shared" si="1"/>
        <v>1636340.01</v>
      </c>
      <c r="C421" s="30">
        <f>'Equity Volume Data'!F421*'Equity Price Data'!I422</f>
        <v>3957.72</v>
      </c>
      <c r="D421" s="30">
        <f>'Equity Volume Data'!G421*'Equity Price Data'!J422</f>
        <v>61529</v>
      </c>
      <c r="E421" s="30">
        <f>'Equity Volume Data'!H421*'Equity Price Data'!K422</f>
        <v>14569.5</v>
      </c>
      <c r="F421" s="30">
        <f>'Equity Volume Data'!I421*'Equity Price Data'!L422</f>
        <v>66549.76</v>
      </c>
      <c r="G421" s="30">
        <f>'Equity Volume Data'!J421*'Equity Price Data'!M422</f>
        <v>25056.87</v>
      </c>
      <c r="H421" s="30">
        <f>'Equity Volume Data'!K421*'Equity Price Data'!N422</f>
        <v>23422.92</v>
      </c>
      <c r="I421" s="30">
        <f>'Equity Volume Data'!L421*'Equity Price Data'!O422</f>
        <v>25890</v>
      </c>
      <c r="J421" s="30">
        <f>'Equity Volume Data'!M421*'Equity Price Data'!P422</f>
        <v>50301.3</v>
      </c>
      <c r="K421" s="30">
        <f>'Equity Volume Data'!N421*'Equity Price Data'!Q422</f>
        <v>13204</v>
      </c>
      <c r="L421" s="30">
        <f>'Equity Volume Data'!O421*'Equity Price Data'!R422</f>
        <v>20486.51</v>
      </c>
      <c r="M421" s="30">
        <f>'Equity Volume Data'!P421*'Equity Price Data'!S422</f>
        <v>13686.04</v>
      </c>
      <c r="N421" s="30">
        <f>'Equity Volume Data'!Q421*'Equity Price Data'!T422</f>
        <v>4448</v>
      </c>
      <c r="O421" s="30">
        <f>'Equity Volume Data'!R421*'Equity Price Data'!U422</f>
        <v>95812.5</v>
      </c>
      <c r="P421" s="30">
        <f>'Equity Volume Data'!S421*'Equity Price Data'!V422</f>
        <v>46199.43</v>
      </c>
      <c r="Q421" s="30">
        <f>'Equity Volume Data'!T421*'Equity Price Data'!W422</f>
        <v>22580.4</v>
      </c>
      <c r="R421" s="30">
        <f>'Equity Volume Data'!U421*'Equity Price Data'!X422</f>
        <v>13379.2</v>
      </c>
      <c r="S421" s="30">
        <f>'Equity Volume Data'!V421*'Equity Price Data'!Y422</f>
        <v>23848</v>
      </c>
      <c r="T421" s="30">
        <f>'Equity Volume Data'!W421*'Equity Price Data'!Z422</f>
        <v>14982.5</v>
      </c>
      <c r="U421" s="30">
        <f>'Equity Volume Data'!X421*'Equity Price Data'!AA422</f>
        <v>18860.16</v>
      </c>
      <c r="V421" s="30">
        <f>'Equity Volume Data'!Y421*'Equity Price Data'!AB422</f>
        <v>16336.67</v>
      </c>
      <c r="W421" s="30">
        <f>'Equity Volume Data'!Z421*'Equity Price Data'!AC422</f>
        <v>10988.94</v>
      </c>
      <c r="X421" s="30">
        <f>'Equity Volume Data'!AA421*'Equity Price Data'!AD422</f>
        <v>0</v>
      </c>
      <c r="Y421" s="30">
        <f>'Equity Volume Data'!AB421*'Equity Price Data'!AE422</f>
        <v>5295.94</v>
      </c>
      <c r="Z421" s="30">
        <f>'Equity Volume Data'!AC421*'Equity Price Data'!AF422</f>
        <v>14163</v>
      </c>
      <c r="AA421" s="30">
        <f>'Equity Volume Data'!AD421*'Equity Price Data'!AG422</f>
        <v>22134</v>
      </c>
      <c r="AB421" s="30">
        <f>'Equity Volume Data'!AE421*'Equity Price Data'!AH422</f>
        <v>18813</v>
      </c>
      <c r="AC421" s="30">
        <f>'Equity Volume Data'!AF421*'Equity Price Data'!AI422</f>
        <v>14135.6</v>
      </c>
      <c r="AD421" s="30">
        <f>'Equity Volume Data'!AG421*'Equity Price Data'!AJ422</f>
        <v>16470</v>
      </c>
      <c r="AE421" s="30">
        <f>'Equity Volume Data'!AH421*'Equity Price Data'!AK422</f>
        <v>0</v>
      </c>
      <c r="AF421" s="30">
        <f>'Equity Volume Data'!AI421*'Equity Price Data'!AL422</f>
        <v>25434.35</v>
      </c>
      <c r="AG421" s="30">
        <f>'Equity Volume Data'!AJ421*'Equity Price Data'!AM422</f>
        <v>55960.2</v>
      </c>
      <c r="AH421" s="30">
        <f>'Equity Volume Data'!AK421*'Equity Price Data'!AN422</f>
        <v>37595</v>
      </c>
      <c r="AI421" s="30">
        <f>'Equity Volume Data'!AL421*'Equity Price Data'!AO422</f>
        <v>32151</v>
      </c>
      <c r="AJ421" s="30">
        <f>'Equity Volume Data'!AM421*'Equity Price Data'!AP422</f>
        <v>22482.2</v>
      </c>
      <c r="AK421" s="30">
        <f>'Equity Volume Data'!AN421*'Equity Price Data'!AQ422</f>
        <v>25697.72</v>
      </c>
      <c r="AL421" s="30">
        <f>'Equity Volume Data'!AO421*'Equity Price Data'!AR422</f>
        <v>49259.2</v>
      </c>
      <c r="AM421" s="30">
        <f>'Equity Volume Data'!AP421*'Equity Price Data'!AS422</f>
        <v>40089</v>
      </c>
      <c r="AN421" s="30">
        <f>'Equity Volume Data'!AQ421*'Equity Price Data'!AT422</f>
        <v>0</v>
      </c>
      <c r="AO421" s="30">
        <f>'Equity Volume Data'!AR421*'Equity Price Data'!AU422</f>
        <v>31879.82</v>
      </c>
      <c r="AP421" s="30">
        <f>'Equity Volume Data'!AS421*'Equity Price Data'!AV422</f>
        <v>24685</v>
      </c>
      <c r="AQ421" s="30">
        <f>'Equity Volume Data'!AT421*'Equity Price Data'!AW422</f>
        <v>17303</v>
      </c>
      <c r="AR421" s="30">
        <f>'Equity Volume Data'!AU421*'Equity Price Data'!AX422</f>
        <v>15453.9</v>
      </c>
      <c r="AS421" s="30">
        <f>'Equity Volume Data'!AV421*'Equity Price Data'!AY422</f>
        <v>55125.6</v>
      </c>
      <c r="AT421" s="30">
        <f>'Equity Volume Data'!AW421*'Equity Price Data'!AZ422</f>
        <v>31480.32</v>
      </c>
      <c r="AU421" s="30">
        <f>'Equity Volume Data'!AX421*'Equity Price Data'!BA422</f>
        <v>0</v>
      </c>
      <c r="AV421" s="30">
        <f>'Equity Volume Data'!AY421*'Equity Price Data'!BB422</f>
        <v>26005.88</v>
      </c>
      <c r="AW421" s="30">
        <f>'Equity Volume Data'!AZ421*'Equity Price Data'!BC422</f>
        <v>3598</v>
      </c>
      <c r="AX421" s="30">
        <f>'Equity Volume Data'!BA421*'Equity Price Data'!BD422</f>
        <v>0</v>
      </c>
      <c r="AY421" s="30">
        <f>'Equity Volume Data'!BB421*'Equity Price Data'!BE422</f>
        <v>40140</v>
      </c>
      <c r="AZ421" s="30">
        <f>'Equity Volume Data'!BC421*'Equity Price Data'!BF422</f>
        <v>8649</v>
      </c>
      <c r="BA421" s="30">
        <f>'Equity Volume Data'!BD421*'Equity Price Data'!BG422</f>
        <v>4860.2</v>
      </c>
      <c r="BB421" s="30">
        <f>'Equity Volume Data'!BE421*'Equity Price Data'!BH422</f>
        <v>15907.2</v>
      </c>
      <c r="BC421" s="30">
        <f>'Equity Volume Data'!BF421*'Equity Price Data'!BI422</f>
        <v>39760.16</v>
      </c>
      <c r="BD421" s="30">
        <f>'Equity Volume Data'!BG421*'Equity Price Data'!BJ422</f>
        <v>40900.26</v>
      </c>
      <c r="BE421" s="30">
        <f>'Equity Volume Data'!BH421*'Equity Price Data'!BK422</f>
        <v>14302.09</v>
      </c>
      <c r="BF421" s="30">
        <f>'Equity Volume Data'!BI421*'Equity Price Data'!BL422</f>
        <v>9092</v>
      </c>
      <c r="BG421" s="30">
        <f>'Equity Volume Data'!BJ421*'Equity Price Data'!BM422</f>
        <v>39464.88</v>
      </c>
      <c r="BH421" s="30">
        <f>'Equity Volume Data'!BK421*'Equity Price Data'!BN422</f>
        <v>0</v>
      </c>
      <c r="BI421" s="30">
        <f>'Equity Volume Data'!BL421*'Equity Price Data'!BO422</f>
        <v>36342.4</v>
      </c>
      <c r="BJ421" s="30">
        <f>'Equity Volume Data'!BM421*'Equity Price Data'!BP422</f>
        <v>25122</v>
      </c>
      <c r="BK421" s="30">
        <f>'Equity Volume Data'!BN421*'Equity Price Data'!BQ422</f>
        <v>89253.06</v>
      </c>
      <c r="BL421" s="30">
        <f>'Equity Volume Data'!BO421*'Equity Price Data'!BR422</f>
        <v>618.05</v>
      </c>
      <c r="BM421" s="30">
        <f>'Equity Volume Data'!BP421*'Equity Price Data'!BS422</f>
        <v>10501.92</v>
      </c>
      <c r="BN421" s="30">
        <f>'Equity Volume Data'!BQ421*'Equity Price Data'!BT422</f>
        <v>21343.64</v>
      </c>
      <c r="BO421" s="30">
        <f>'Equity Volume Data'!BR421*'Equity Price Data'!BU422</f>
        <v>68782</v>
      </c>
    </row>
    <row r="422">
      <c r="A422" s="25">
        <f>'Equity Price Data'!A423</f>
        <v>46037.66667</v>
      </c>
      <c r="B422" s="29">
        <f t="shared" si="1"/>
        <v>1644630.77</v>
      </c>
      <c r="C422" s="30">
        <f>'Equity Volume Data'!F422*'Equity Price Data'!I423</f>
        <v>3953.17</v>
      </c>
      <c r="D422" s="30">
        <f>'Equity Volume Data'!G422*'Equity Price Data'!J423</f>
        <v>61926.8</v>
      </c>
      <c r="E422" s="30">
        <f>'Equity Volume Data'!H422*'Equity Price Data'!K423</f>
        <v>14668.5</v>
      </c>
      <c r="F422" s="30">
        <f>'Equity Volume Data'!I422*'Equity Price Data'!L423</f>
        <v>66101.76</v>
      </c>
      <c r="G422" s="30">
        <f>'Equity Volume Data'!J422*'Equity Price Data'!M423</f>
        <v>26483.64</v>
      </c>
      <c r="H422" s="30">
        <f>'Equity Volume Data'!K422*'Equity Price Data'!N423</f>
        <v>23306.36</v>
      </c>
      <c r="I422" s="30">
        <f>'Equity Volume Data'!L422*'Equity Price Data'!O423</f>
        <v>25900</v>
      </c>
      <c r="J422" s="30">
        <f>'Equity Volume Data'!M422*'Equity Price Data'!P423</f>
        <v>50247.24</v>
      </c>
      <c r="K422" s="30">
        <f>'Equity Volume Data'!N422*'Equity Price Data'!Q423</f>
        <v>13206</v>
      </c>
      <c r="L422" s="30">
        <f>'Equity Volume Data'!O422*'Equity Price Data'!R423</f>
        <v>20396.97</v>
      </c>
      <c r="M422" s="30">
        <f>'Equity Volume Data'!P422*'Equity Price Data'!S423</f>
        <v>13144.38</v>
      </c>
      <c r="N422" s="30">
        <f>'Equity Volume Data'!Q422*'Equity Price Data'!T423</f>
        <v>4444</v>
      </c>
      <c r="O422" s="30">
        <f>'Equity Volume Data'!R422*'Equity Price Data'!U423</f>
        <v>97077</v>
      </c>
      <c r="P422" s="30">
        <f>'Equity Volume Data'!S422*'Equity Price Data'!V423</f>
        <v>47054.28</v>
      </c>
      <c r="Q422" s="30">
        <f>'Equity Volume Data'!T422*'Equity Price Data'!W423</f>
        <v>22624.8</v>
      </c>
      <c r="R422" s="30">
        <f>'Equity Volume Data'!U422*'Equity Price Data'!X423</f>
        <v>13292.8</v>
      </c>
      <c r="S422" s="30">
        <f>'Equity Volume Data'!V422*'Equity Price Data'!Y423</f>
        <v>24458.72</v>
      </c>
      <c r="T422" s="30">
        <f>'Equity Volume Data'!W422*'Equity Price Data'!Z423</f>
        <v>15152.5</v>
      </c>
      <c r="U422" s="30">
        <f>'Equity Volume Data'!X422*'Equity Price Data'!AA423</f>
        <v>18606.72</v>
      </c>
      <c r="V422" s="30">
        <f>'Equity Volume Data'!Y422*'Equity Price Data'!AB423</f>
        <v>16515.38</v>
      </c>
      <c r="W422" s="30">
        <f>'Equity Volume Data'!Z422*'Equity Price Data'!AC423</f>
        <v>11079.33</v>
      </c>
      <c r="X422" s="30">
        <f>'Equity Volume Data'!AA422*'Equity Price Data'!AD423</f>
        <v>0</v>
      </c>
      <c r="Y422" s="30">
        <f>'Equity Volume Data'!AB422*'Equity Price Data'!AE423</f>
        <v>5318.17</v>
      </c>
      <c r="Z422" s="30">
        <f>'Equity Volume Data'!AC422*'Equity Price Data'!AF423</f>
        <v>14410.5</v>
      </c>
      <c r="AA422" s="30">
        <f>'Equity Volume Data'!AD422*'Equity Price Data'!AG423</f>
        <v>21952.1</v>
      </c>
      <c r="AB422" s="30">
        <f>'Equity Volume Data'!AE422*'Equity Price Data'!AH423</f>
        <v>18789.6</v>
      </c>
      <c r="AC422" s="30">
        <f>'Equity Volume Data'!AF422*'Equity Price Data'!AI423</f>
        <v>14182.8</v>
      </c>
      <c r="AD422" s="30">
        <f>'Equity Volume Data'!AG422*'Equity Price Data'!AJ423</f>
        <v>16591.05</v>
      </c>
      <c r="AE422" s="30">
        <f>'Equity Volume Data'!AH422*'Equity Price Data'!AK423</f>
        <v>0</v>
      </c>
      <c r="AF422" s="30">
        <f>'Equity Volume Data'!AI422*'Equity Price Data'!AL423</f>
        <v>24858.3</v>
      </c>
      <c r="AG422" s="30">
        <f>'Equity Volume Data'!AJ422*'Equity Price Data'!AM423</f>
        <v>58551.6</v>
      </c>
      <c r="AH422" s="30">
        <f>'Equity Volume Data'!AK422*'Equity Price Data'!AN423</f>
        <v>37916</v>
      </c>
      <c r="AI422" s="30">
        <f>'Equity Volume Data'!AL422*'Equity Price Data'!AO423</f>
        <v>32476.5</v>
      </c>
      <c r="AJ422" s="30">
        <f>'Equity Volume Data'!AM422*'Equity Price Data'!AP423</f>
        <v>22526.4</v>
      </c>
      <c r="AK422" s="30">
        <f>'Equity Volume Data'!AN422*'Equity Price Data'!AQ423</f>
        <v>25442.98</v>
      </c>
      <c r="AL422" s="30">
        <f>'Equity Volume Data'!AO422*'Equity Price Data'!AR423</f>
        <v>49481.6</v>
      </c>
      <c r="AM422" s="30">
        <f>'Equity Volume Data'!AP422*'Equity Price Data'!AS423</f>
        <v>40452.3</v>
      </c>
      <c r="AN422" s="30">
        <f>'Equity Volume Data'!AQ422*'Equity Price Data'!AT423</f>
        <v>0</v>
      </c>
      <c r="AO422" s="30">
        <f>'Equity Volume Data'!AR422*'Equity Price Data'!AU423</f>
        <v>32110.4</v>
      </c>
      <c r="AP422" s="30">
        <f>'Equity Volume Data'!AS422*'Equity Price Data'!AV423</f>
        <v>24750</v>
      </c>
      <c r="AQ422" s="30">
        <f>'Equity Volume Data'!AT422*'Equity Price Data'!AW423</f>
        <v>17138</v>
      </c>
      <c r="AR422" s="30">
        <f>'Equity Volume Data'!AU422*'Equity Price Data'!AX423</f>
        <v>14874.1</v>
      </c>
      <c r="AS422" s="30">
        <f>'Equity Volume Data'!AV422*'Equity Price Data'!AY423</f>
        <v>54799.2</v>
      </c>
      <c r="AT422" s="30">
        <f>'Equity Volume Data'!AW422*'Equity Price Data'!AZ423</f>
        <v>31560.96</v>
      </c>
      <c r="AU422" s="30">
        <f>'Equity Volume Data'!AX422*'Equity Price Data'!BA423</f>
        <v>0</v>
      </c>
      <c r="AV422" s="30">
        <f>'Equity Volume Data'!AY422*'Equity Price Data'!BB423</f>
        <v>26561.1</v>
      </c>
      <c r="AW422" s="30">
        <f>'Equity Volume Data'!AZ422*'Equity Price Data'!BC423</f>
        <v>3614</v>
      </c>
      <c r="AX422" s="30">
        <f>'Equity Volume Data'!BA422*'Equity Price Data'!BD423</f>
        <v>0</v>
      </c>
      <c r="AY422" s="30">
        <f>'Equity Volume Data'!BB422*'Equity Price Data'!BE423</f>
        <v>39840.75</v>
      </c>
      <c r="AZ422" s="30">
        <f>'Equity Volume Data'!BC422*'Equity Price Data'!BF423</f>
        <v>8511</v>
      </c>
      <c r="BA422" s="30">
        <f>'Equity Volume Data'!BD422*'Equity Price Data'!BG423</f>
        <v>4919.1</v>
      </c>
      <c r="BB422" s="30">
        <f>'Equity Volume Data'!BE422*'Equity Price Data'!BH423</f>
        <v>15986.4</v>
      </c>
      <c r="BC422" s="30">
        <f>'Equity Volume Data'!BF422*'Equity Price Data'!BI423</f>
        <v>40432.56</v>
      </c>
      <c r="BD422" s="30">
        <f>'Equity Volume Data'!BG422*'Equity Price Data'!BJ423</f>
        <v>40610.58</v>
      </c>
      <c r="BE422" s="30">
        <f>'Equity Volume Data'!BH422*'Equity Price Data'!BK423</f>
        <v>14366.95</v>
      </c>
      <c r="BF422" s="30">
        <f>'Equity Volume Data'!BI422*'Equity Price Data'!BL423</f>
        <v>9293.2</v>
      </c>
      <c r="BG422" s="30">
        <f>'Equity Volume Data'!BJ422*'Equity Price Data'!BM423</f>
        <v>39945.82</v>
      </c>
      <c r="BH422" s="30">
        <f>'Equity Volume Data'!BK422*'Equity Price Data'!BN423</f>
        <v>0</v>
      </c>
      <c r="BI422" s="30">
        <f>'Equity Volume Data'!BL422*'Equity Price Data'!BO423</f>
        <v>36881.6</v>
      </c>
      <c r="BJ422" s="30">
        <f>'Equity Volume Data'!BM422*'Equity Price Data'!BP423</f>
        <v>25422</v>
      </c>
      <c r="BK422" s="30">
        <f>'Equity Volume Data'!BN422*'Equity Price Data'!BQ423</f>
        <v>89162.96</v>
      </c>
      <c r="BL422" s="30">
        <f>'Equity Volume Data'!BO422*'Equity Price Data'!BR423</f>
        <v>603.48</v>
      </c>
      <c r="BM422" s="30">
        <f>'Equity Volume Data'!BP422*'Equity Price Data'!BS423</f>
        <v>10553.28</v>
      </c>
      <c r="BN422" s="30">
        <f>'Equity Volume Data'!BQ422*'Equity Price Data'!BT423</f>
        <v>21321.08</v>
      </c>
      <c r="BO422" s="30">
        <f>'Equity Volume Data'!BR422*'Equity Price Data'!BU423</f>
        <v>68782</v>
      </c>
    </row>
    <row r="423">
      <c r="A423" s="25">
        <f>'Equity Price Data'!A424</f>
        <v>46038.66667</v>
      </c>
      <c r="B423" s="29">
        <f t="shared" si="1"/>
        <v>1639537.65</v>
      </c>
      <c r="C423" s="30">
        <f>'Equity Volume Data'!F423*'Equity Price Data'!I424</f>
        <v>3849.56</v>
      </c>
      <c r="D423" s="30">
        <f>'Equity Volume Data'!G423*'Equity Price Data'!J424</f>
        <v>62171.2</v>
      </c>
      <c r="E423" s="30">
        <f>'Equity Volume Data'!H423*'Equity Price Data'!K424</f>
        <v>14667.4</v>
      </c>
      <c r="F423" s="30">
        <f>'Equity Volume Data'!I423*'Equity Price Data'!L424</f>
        <v>65415.68</v>
      </c>
      <c r="G423" s="30">
        <f>'Equity Volume Data'!J423*'Equity Price Data'!M424</f>
        <v>27141.83</v>
      </c>
      <c r="H423" s="30">
        <f>'Equity Volume Data'!K423*'Equity Price Data'!N424</f>
        <v>22810.04</v>
      </c>
      <c r="I423" s="30">
        <f>'Equity Volume Data'!L423*'Equity Price Data'!O424</f>
        <v>26170</v>
      </c>
      <c r="J423" s="30">
        <f>'Equity Volume Data'!M423*'Equity Price Data'!P424</f>
        <v>50315.58</v>
      </c>
      <c r="K423" s="30">
        <f>'Equity Volume Data'!N423*'Equity Price Data'!Q424</f>
        <v>12972</v>
      </c>
      <c r="L423" s="30">
        <f>'Equity Volume Data'!O423*'Equity Price Data'!R424</f>
        <v>19894.82</v>
      </c>
      <c r="M423" s="30">
        <f>'Equity Volume Data'!P423*'Equity Price Data'!S424</f>
        <v>12858.22</v>
      </c>
      <c r="N423" s="30">
        <f>'Equity Volume Data'!Q423*'Equity Price Data'!T424</f>
        <v>4495.2</v>
      </c>
      <c r="O423" s="30">
        <f>'Equity Volume Data'!R423*'Equity Price Data'!U424</f>
        <v>97033.5</v>
      </c>
      <c r="P423" s="30">
        <f>'Equity Volume Data'!S423*'Equity Price Data'!V424</f>
        <v>48555.48</v>
      </c>
      <c r="Q423" s="30">
        <f>'Equity Volume Data'!T423*'Equity Price Data'!W424</f>
        <v>22264.8</v>
      </c>
      <c r="R423" s="30">
        <f>'Equity Volume Data'!U423*'Equity Price Data'!X424</f>
        <v>13300.8</v>
      </c>
      <c r="S423" s="30">
        <f>'Equity Volume Data'!V423*'Equity Price Data'!Y424</f>
        <v>23954.48</v>
      </c>
      <c r="T423" s="30">
        <f>'Equity Volume Data'!W423*'Equity Price Data'!Z424</f>
        <v>15205</v>
      </c>
      <c r="U423" s="30">
        <f>'Equity Volume Data'!X423*'Equity Price Data'!AA424</f>
        <v>18596.16</v>
      </c>
      <c r="V423" s="30">
        <f>'Equity Volume Data'!Y423*'Equity Price Data'!AB424</f>
        <v>16713.41</v>
      </c>
      <c r="W423" s="30">
        <f>'Equity Volume Data'!Z423*'Equity Price Data'!AC424</f>
        <v>11288.4</v>
      </c>
      <c r="X423" s="30">
        <f>'Equity Volume Data'!AA423*'Equity Price Data'!AD424</f>
        <v>0</v>
      </c>
      <c r="Y423" s="30">
        <f>'Equity Volume Data'!AB423*'Equity Price Data'!AE424</f>
        <v>5203.64</v>
      </c>
      <c r="Z423" s="30">
        <f>'Equity Volume Data'!AC423*'Equity Price Data'!AF424</f>
        <v>13954.5</v>
      </c>
      <c r="AA423" s="30">
        <f>'Equity Volume Data'!AD423*'Equity Price Data'!AG424</f>
        <v>22081.3</v>
      </c>
      <c r="AB423" s="30">
        <f>'Equity Volume Data'!AE423*'Equity Price Data'!AH424</f>
        <v>18490.8</v>
      </c>
      <c r="AC423" s="30">
        <f>'Equity Volume Data'!AF423*'Equity Price Data'!AI424</f>
        <v>13809.2</v>
      </c>
      <c r="AD423" s="30">
        <f>'Equity Volume Data'!AG423*'Equity Price Data'!AJ424</f>
        <v>16532.1</v>
      </c>
      <c r="AE423" s="30">
        <f>'Equity Volume Data'!AH423*'Equity Price Data'!AK424</f>
        <v>0</v>
      </c>
      <c r="AF423" s="30">
        <f>'Equity Volume Data'!AI423*'Equity Price Data'!AL424</f>
        <v>25606.55</v>
      </c>
      <c r="AG423" s="30">
        <f>'Equity Volume Data'!AJ423*'Equity Price Data'!AM424</f>
        <v>57720</v>
      </c>
      <c r="AH423" s="30">
        <f>'Equity Volume Data'!AK423*'Equity Price Data'!AN424</f>
        <v>38017</v>
      </c>
      <c r="AI423" s="30">
        <f>'Equity Volume Data'!AL423*'Equity Price Data'!AO424</f>
        <v>32105.5</v>
      </c>
      <c r="AJ423" s="30">
        <f>'Equity Volume Data'!AM423*'Equity Price Data'!AP424</f>
        <v>22617.4</v>
      </c>
      <c r="AK423" s="30">
        <f>'Equity Volume Data'!AN423*'Equity Price Data'!AQ424</f>
        <v>25145</v>
      </c>
      <c r="AL423" s="30">
        <f>'Equity Volume Data'!AO423*'Equity Price Data'!AR424</f>
        <v>49995.2</v>
      </c>
      <c r="AM423" s="30">
        <f>'Equity Volume Data'!AP423*'Equity Price Data'!AS424</f>
        <v>40770.1</v>
      </c>
      <c r="AN423" s="30">
        <f>'Equity Volume Data'!AQ423*'Equity Price Data'!AT424</f>
        <v>0</v>
      </c>
      <c r="AO423" s="30">
        <f>'Equity Volume Data'!AR423*'Equity Price Data'!AU424</f>
        <v>31913.98</v>
      </c>
      <c r="AP423" s="30">
        <f>'Equity Volume Data'!AS423*'Equity Price Data'!AV424</f>
        <v>24190</v>
      </c>
      <c r="AQ423" s="30">
        <f>'Equity Volume Data'!AT423*'Equity Price Data'!AW424</f>
        <v>16889.4</v>
      </c>
      <c r="AR423" s="30">
        <f>'Equity Volume Data'!AU423*'Equity Price Data'!AX424</f>
        <v>15382.54</v>
      </c>
      <c r="AS423" s="30">
        <f>'Equity Volume Data'!AV423*'Equity Price Data'!AY424</f>
        <v>55183.2</v>
      </c>
      <c r="AT423" s="30">
        <f>'Equity Volume Data'!AW423*'Equity Price Data'!AZ424</f>
        <v>32113.92</v>
      </c>
      <c r="AU423" s="30">
        <f>'Equity Volume Data'!AX423*'Equity Price Data'!BA424</f>
        <v>0</v>
      </c>
      <c r="AV423" s="30">
        <f>'Equity Volume Data'!AY423*'Equity Price Data'!BB424</f>
        <v>26444.66</v>
      </c>
      <c r="AW423" s="30">
        <f>'Equity Volume Data'!AZ423*'Equity Price Data'!BC424</f>
        <v>3606.4</v>
      </c>
      <c r="AX423" s="30">
        <f>'Equity Volume Data'!BA423*'Equity Price Data'!BD424</f>
        <v>0</v>
      </c>
      <c r="AY423" s="30">
        <f>'Equity Volume Data'!BB423*'Equity Price Data'!BE424</f>
        <v>38466</v>
      </c>
      <c r="AZ423" s="30">
        <f>'Equity Volume Data'!BC423*'Equity Price Data'!BF424</f>
        <v>8533.5</v>
      </c>
      <c r="BA423" s="30">
        <f>'Equity Volume Data'!BD423*'Equity Price Data'!BG424</f>
        <v>4873.5</v>
      </c>
      <c r="BB423" s="30">
        <f>'Equity Volume Data'!BE423*'Equity Price Data'!BH424</f>
        <v>16153.6</v>
      </c>
      <c r="BC423" s="30">
        <f>'Equity Volume Data'!BF423*'Equity Price Data'!BI424</f>
        <v>39451.84</v>
      </c>
      <c r="BD423" s="30">
        <f>'Equity Volume Data'!BG423*'Equity Price Data'!BJ424</f>
        <v>39686.16</v>
      </c>
      <c r="BE423" s="30">
        <f>'Equity Volume Data'!BH423*'Equity Price Data'!BK424</f>
        <v>14230.56</v>
      </c>
      <c r="BF423" s="30">
        <f>'Equity Volume Data'!BI423*'Equity Price Data'!BL424</f>
        <v>9256.8</v>
      </c>
      <c r="BG423" s="30">
        <f>'Equity Volume Data'!BJ423*'Equity Price Data'!BM424</f>
        <v>39856.86</v>
      </c>
      <c r="BH423" s="30">
        <f>'Equity Volume Data'!BK423*'Equity Price Data'!BN424</f>
        <v>0</v>
      </c>
      <c r="BI423" s="30">
        <f>'Equity Volume Data'!BL423*'Equity Price Data'!BO424</f>
        <v>36718.4</v>
      </c>
      <c r="BJ423" s="30">
        <f>'Equity Volume Data'!BM423*'Equity Price Data'!BP424</f>
        <v>24826.5</v>
      </c>
      <c r="BK423" s="30">
        <f>'Equity Volume Data'!BN423*'Equity Price Data'!BQ424</f>
        <v>89126.92</v>
      </c>
      <c r="BL423" s="30">
        <f>'Equity Volume Data'!BO423*'Equity Price Data'!BR424</f>
        <v>604.42</v>
      </c>
      <c r="BM423" s="30">
        <f>'Equity Volume Data'!BP423*'Equity Price Data'!BS424</f>
        <v>10619.04</v>
      </c>
      <c r="BN423" s="30">
        <f>'Equity Volume Data'!BQ423*'Equity Price Data'!BT424</f>
        <v>20905.6</v>
      </c>
      <c r="BO423" s="30">
        <f>'Equity Volume Data'!BR423*'Equity Price Data'!BU424</f>
        <v>68782</v>
      </c>
    </row>
    <row r="424">
      <c r="A424" s="25">
        <f>'Equity Price Data'!A425</f>
        <v>46042.66667</v>
      </c>
      <c r="B424" s="29">
        <f t="shared" si="1"/>
        <v>1614836.93</v>
      </c>
      <c r="C424" s="30">
        <f>'Equity Volume Data'!F424*'Equity Price Data'!I425</f>
        <v>3774.81</v>
      </c>
      <c r="D424" s="30">
        <f>'Equity Volume Data'!G424*'Equity Price Data'!J425</f>
        <v>60060</v>
      </c>
      <c r="E424" s="30">
        <f>'Equity Volume Data'!H424*'Equity Price Data'!K425</f>
        <v>14456.2</v>
      </c>
      <c r="F424" s="30">
        <f>'Equity Volume Data'!I424*'Equity Price Data'!L425</f>
        <v>63155.2</v>
      </c>
      <c r="G424" s="30">
        <f>'Equity Volume Data'!J424*'Equity Price Data'!M425</f>
        <v>26413.09</v>
      </c>
      <c r="H424" s="30">
        <f>'Equity Volume Data'!K424*'Equity Price Data'!N425</f>
        <v>22687.84</v>
      </c>
      <c r="I424" s="30">
        <f>'Equity Volume Data'!L424*'Equity Price Data'!O425</f>
        <v>25630</v>
      </c>
      <c r="J424" s="30">
        <f>'Equity Volume Data'!M424*'Equity Price Data'!P425</f>
        <v>49509.78</v>
      </c>
      <c r="K424" s="30">
        <f>'Equity Volume Data'!N424*'Equity Price Data'!Q425</f>
        <v>12878</v>
      </c>
      <c r="L424" s="30">
        <f>'Equity Volume Data'!O424*'Equity Price Data'!R425</f>
        <v>20010.98</v>
      </c>
      <c r="M424" s="30">
        <f>'Equity Volume Data'!P424*'Equity Price Data'!S425</f>
        <v>13315.2</v>
      </c>
      <c r="N424" s="30">
        <f>'Equity Volume Data'!Q424*'Equity Price Data'!T425</f>
        <v>4416.8</v>
      </c>
      <c r="O424" s="30">
        <f>'Equity Volume Data'!R424*'Equity Price Data'!U425</f>
        <v>94350</v>
      </c>
      <c r="P424" s="30">
        <f>'Equity Volume Data'!S424*'Equity Price Data'!V425</f>
        <v>48288.6</v>
      </c>
      <c r="Q424" s="30">
        <f>'Equity Volume Data'!T424*'Equity Price Data'!W425</f>
        <v>21445.2</v>
      </c>
      <c r="R424" s="30">
        <f>'Equity Volume Data'!U424*'Equity Price Data'!X425</f>
        <v>13224</v>
      </c>
      <c r="S424" s="30">
        <f>'Equity Volume Data'!V424*'Equity Price Data'!Y425</f>
        <v>23869.12</v>
      </c>
      <c r="T424" s="30">
        <f>'Equity Volume Data'!W424*'Equity Price Data'!Z425</f>
        <v>14952.5</v>
      </c>
      <c r="U424" s="30">
        <f>'Equity Volume Data'!X424*'Equity Price Data'!AA425</f>
        <v>18942</v>
      </c>
      <c r="V424" s="30">
        <f>'Equity Volume Data'!Y424*'Equity Price Data'!AB425</f>
        <v>16913.05</v>
      </c>
      <c r="W424" s="30">
        <f>'Equity Volume Data'!Z424*'Equity Price Data'!AC425</f>
        <v>11013.78</v>
      </c>
      <c r="X424" s="30">
        <f>'Equity Volume Data'!AA424*'Equity Price Data'!AD425</f>
        <v>0</v>
      </c>
      <c r="Y424" s="30">
        <f>'Equity Volume Data'!AB424*'Equity Price Data'!AE425</f>
        <v>5039.32</v>
      </c>
      <c r="Z424" s="30">
        <f>'Equity Volume Data'!AC424*'Equity Price Data'!AF425</f>
        <v>13605</v>
      </c>
      <c r="AA424" s="30">
        <f>'Equity Volume Data'!AD424*'Equity Price Data'!AG425</f>
        <v>22178.2</v>
      </c>
      <c r="AB424" s="30">
        <f>'Equity Volume Data'!AE424*'Equity Price Data'!AH425</f>
        <v>18061.8</v>
      </c>
      <c r="AC424" s="30">
        <f>'Equity Volume Data'!AF424*'Equity Price Data'!AI425</f>
        <v>13471.2</v>
      </c>
      <c r="AD424" s="30">
        <f>'Equity Volume Data'!AG424*'Equity Price Data'!AJ425</f>
        <v>16162.65</v>
      </c>
      <c r="AE424" s="30">
        <f>'Equity Volume Data'!AH424*'Equity Price Data'!AK425</f>
        <v>0</v>
      </c>
      <c r="AF424" s="30">
        <f>'Equity Volume Data'!AI424*'Equity Price Data'!AL425</f>
        <v>25448.7</v>
      </c>
      <c r="AG424" s="30">
        <f>'Equity Volume Data'!AJ424*'Equity Price Data'!AM425</f>
        <v>56602.2</v>
      </c>
      <c r="AH424" s="30">
        <f>'Equity Volume Data'!AK424*'Equity Price Data'!AN425</f>
        <v>37511</v>
      </c>
      <c r="AI424" s="30">
        <f>'Equity Volume Data'!AL424*'Equity Price Data'!AO425</f>
        <v>31277.75</v>
      </c>
      <c r="AJ424" s="30">
        <f>'Equity Volume Data'!AM424*'Equity Price Data'!AP425</f>
        <v>22223.5</v>
      </c>
      <c r="AK424" s="30">
        <f>'Equity Volume Data'!AN424*'Equity Price Data'!AQ425</f>
        <v>24789.68</v>
      </c>
      <c r="AL424" s="30">
        <f>'Equity Volume Data'!AO424*'Equity Price Data'!AR425</f>
        <v>48438.4</v>
      </c>
      <c r="AM424" s="30">
        <f>'Equity Volume Data'!AP424*'Equity Price Data'!AS425</f>
        <v>40324.2</v>
      </c>
      <c r="AN424" s="30">
        <f>'Equity Volume Data'!AQ424*'Equity Price Data'!AT425</f>
        <v>0</v>
      </c>
      <c r="AO424" s="30">
        <f>'Equity Volume Data'!AR424*'Equity Price Data'!AU425</f>
        <v>31239.32</v>
      </c>
      <c r="AP424" s="30">
        <f>'Equity Volume Data'!AS424*'Equity Price Data'!AV425</f>
        <v>24650</v>
      </c>
      <c r="AQ424" s="30">
        <f>'Equity Volume Data'!AT424*'Equity Price Data'!AW425</f>
        <v>16625.4</v>
      </c>
      <c r="AR424" s="30">
        <f>'Equity Volume Data'!AU424*'Equity Price Data'!AX425</f>
        <v>15248.74</v>
      </c>
      <c r="AS424" s="30">
        <f>'Equity Volume Data'!AV424*'Equity Price Data'!AY425</f>
        <v>54542.4</v>
      </c>
      <c r="AT424" s="30">
        <f>'Equity Volume Data'!AW424*'Equity Price Data'!AZ425</f>
        <v>32067.84</v>
      </c>
      <c r="AU424" s="30">
        <f>'Equity Volume Data'!AX424*'Equity Price Data'!BA425</f>
        <v>0</v>
      </c>
      <c r="AV424" s="30">
        <f>'Equity Volume Data'!AY424*'Equity Price Data'!BB425</f>
        <v>25285.94</v>
      </c>
      <c r="AW424" s="30">
        <f>'Equity Volume Data'!AZ424*'Equity Price Data'!BC425</f>
        <v>3525.6</v>
      </c>
      <c r="AX424" s="30">
        <f>'Equity Volume Data'!BA424*'Equity Price Data'!BD425</f>
        <v>0</v>
      </c>
      <c r="AY424" s="30">
        <f>'Equity Volume Data'!BB424*'Equity Price Data'!BE425</f>
        <v>37919.25</v>
      </c>
      <c r="AZ424" s="30">
        <f>'Equity Volume Data'!BC424*'Equity Price Data'!BF425</f>
        <v>8262</v>
      </c>
      <c r="BA424" s="30">
        <f>'Equity Volume Data'!BD424*'Equity Price Data'!BG425</f>
        <v>4848.8</v>
      </c>
      <c r="BB424" s="30">
        <f>'Equity Volume Data'!BE424*'Equity Price Data'!BH425</f>
        <v>15708.8</v>
      </c>
      <c r="BC424" s="30">
        <f>'Equity Volume Data'!BF424*'Equity Price Data'!BI425</f>
        <v>38120.16</v>
      </c>
      <c r="BD424" s="30">
        <f>'Equity Volume Data'!BG424*'Equity Price Data'!BJ425</f>
        <v>39117.45</v>
      </c>
      <c r="BE424" s="30">
        <f>'Equity Volume Data'!BH424*'Equity Price Data'!BK425</f>
        <v>14237.23</v>
      </c>
      <c r="BF424" s="30">
        <f>'Equity Volume Data'!BI424*'Equity Price Data'!BL425</f>
        <v>8818.8</v>
      </c>
      <c r="BG424" s="30">
        <f>'Equity Volume Data'!BJ424*'Equity Price Data'!BM425</f>
        <v>39456.54</v>
      </c>
      <c r="BH424" s="30">
        <f>'Equity Volume Data'!BK424*'Equity Price Data'!BN425</f>
        <v>0</v>
      </c>
      <c r="BI424" s="30">
        <f>'Equity Volume Data'!BL424*'Equity Price Data'!BO425</f>
        <v>35470.4</v>
      </c>
      <c r="BJ424" s="30">
        <f>'Equity Volume Data'!BM424*'Equity Price Data'!BP425</f>
        <v>25382.25</v>
      </c>
      <c r="BK424" s="30">
        <f>'Equity Volume Data'!BN424*'Equity Price Data'!BQ425</f>
        <v>89126.92</v>
      </c>
      <c r="BL424" s="30">
        <f>'Equity Volume Data'!BO424*'Equity Price Data'!BR425</f>
        <v>595.02</v>
      </c>
      <c r="BM424" s="30">
        <f>'Equity Volume Data'!BP424*'Equity Price Data'!BS425</f>
        <v>10622.4</v>
      </c>
      <c r="BN424" s="30">
        <f>'Equity Volume Data'!BQ424*'Equity Price Data'!BT425</f>
        <v>20743.92</v>
      </c>
      <c r="BO424" s="30">
        <f>'Equity Volume Data'!BR424*'Equity Price Data'!BU425</f>
        <v>68782</v>
      </c>
    </row>
    <row r="425">
      <c r="A425" s="25">
        <f>'Equity Price Data'!A426</f>
        <v>46043.66667</v>
      </c>
      <c r="B425" s="29">
        <f t="shared" si="1"/>
        <v>1628614.45</v>
      </c>
      <c r="C425" s="30">
        <f>'Equity Volume Data'!F425*'Equity Price Data'!I426</f>
        <v>3824.99</v>
      </c>
      <c r="D425" s="30">
        <f>'Equity Volume Data'!G425*'Equity Price Data'!J426</f>
        <v>60140.6</v>
      </c>
      <c r="E425" s="30">
        <f>'Equity Volume Data'!H425*'Equity Price Data'!K426</f>
        <v>14408.9</v>
      </c>
      <c r="F425" s="30">
        <f>'Equity Volume Data'!I425*'Equity Price Data'!L426</f>
        <v>63398.4</v>
      </c>
      <c r="G425" s="30">
        <f>'Equity Volume Data'!J425*'Equity Price Data'!M426</f>
        <v>26994.92</v>
      </c>
      <c r="H425" s="30">
        <f>'Equity Volume Data'!K425*'Equity Price Data'!N426</f>
        <v>22514.88</v>
      </c>
      <c r="I425" s="30">
        <f>'Equity Volume Data'!L425*'Equity Price Data'!O426</f>
        <v>25840</v>
      </c>
      <c r="J425" s="30">
        <f>'Equity Volume Data'!M425*'Equity Price Data'!P426</f>
        <v>49350.66</v>
      </c>
      <c r="K425" s="30">
        <f>'Equity Volume Data'!N425*'Equity Price Data'!Q426</f>
        <v>13122</v>
      </c>
      <c r="L425" s="30">
        <f>'Equity Volume Data'!O425*'Equity Price Data'!R426</f>
        <v>20887.02</v>
      </c>
      <c r="M425" s="30">
        <f>'Equity Volume Data'!P425*'Equity Price Data'!S426</f>
        <v>13389.66</v>
      </c>
      <c r="N425" s="30">
        <f>'Equity Volume Data'!Q425*'Equity Price Data'!T426</f>
        <v>4619.2</v>
      </c>
      <c r="O425" s="30">
        <f>'Equity Volume Data'!R425*'Equity Price Data'!U426</f>
        <v>96807</v>
      </c>
      <c r="P425" s="30">
        <f>'Equity Volume Data'!S425*'Equity Price Data'!V426</f>
        <v>51011.61</v>
      </c>
      <c r="Q425" s="30">
        <f>'Equity Volume Data'!T425*'Equity Price Data'!W426</f>
        <v>20923.2</v>
      </c>
      <c r="R425" s="30">
        <f>'Equity Volume Data'!U425*'Equity Price Data'!X426</f>
        <v>13338.4</v>
      </c>
      <c r="S425" s="30">
        <f>'Equity Volume Data'!V425*'Equity Price Data'!Y426</f>
        <v>24192.08</v>
      </c>
      <c r="T425" s="30">
        <f>'Equity Volume Data'!W425*'Equity Price Data'!Z426</f>
        <v>16015</v>
      </c>
      <c r="U425" s="30">
        <f>'Equity Volume Data'!X425*'Equity Price Data'!AA426</f>
        <v>19010.64</v>
      </c>
      <c r="V425" s="30">
        <f>'Equity Volume Data'!Y425*'Equity Price Data'!AB426</f>
        <v>16718.24</v>
      </c>
      <c r="W425" s="30">
        <f>'Equity Volume Data'!Z425*'Equity Price Data'!AC426</f>
        <v>10971</v>
      </c>
      <c r="X425" s="30">
        <f>'Equity Volume Data'!AA425*'Equity Price Data'!AD426</f>
        <v>0</v>
      </c>
      <c r="Y425" s="30">
        <f>'Equity Volume Data'!AB425*'Equity Price Data'!AE426</f>
        <v>5185.96</v>
      </c>
      <c r="Z425" s="30">
        <f>'Equity Volume Data'!AC425*'Equity Price Data'!AF426</f>
        <v>13923</v>
      </c>
      <c r="AA425" s="30">
        <f>'Equity Volume Data'!AD425*'Equity Price Data'!AG426</f>
        <v>22713.7</v>
      </c>
      <c r="AB425" s="30">
        <f>'Equity Volume Data'!AE425*'Equity Price Data'!AH426</f>
        <v>18417</v>
      </c>
      <c r="AC425" s="30">
        <f>'Equity Volume Data'!AF425*'Equity Price Data'!AI426</f>
        <v>13667.2</v>
      </c>
      <c r="AD425" s="30">
        <f>'Equity Volume Data'!AG425*'Equity Price Data'!AJ426</f>
        <v>16415.1</v>
      </c>
      <c r="AE425" s="30">
        <f>'Equity Volume Data'!AH425*'Equity Price Data'!AK426</f>
        <v>0</v>
      </c>
      <c r="AF425" s="30">
        <f>'Equity Volume Data'!AI425*'Equity Price Data'!AL426</f>
        <v>26467.55</v>
      </c>
      <c r="AG425" s="30">
        <f>'Equity Volume Data'!AJ425*'Equity Price Data'!AM426</f>
        <v>57180.6</v>
      </c>
      <c r="AH425" s="30">
        <f>'Equity Volume Data'!AK425*'Equity Price Data'!AN426</f>
        <v>38464</v>
      </c>
      <c r="AI425" s="30">
        <f>'Equity Volume Data'!AL425*'Equity Price Data'!AO426</f>
        <v>30871.75</v>
      </c>
      <c r="AJ425" s="30">
        <f>'Equity Volume Data'!AM425*'Equity Price Data'!AP426</f>
        <v>22347</v>
      </c>
      <c r="AK425" s="30">
        <f>'Equity Volume Data'!AN425*'Equity Price Data'!AQ426</f>
        <v>24613.43</v>
      </c>
      <c r="AL425" s="30">
        <f>'Equity Volume Data'!AO425*'Equity Price Data'!AR426</f>
        <v>48326.4</v>
      </c>
      <c r="AM425" s="30">
        <f>'Equity Volume Data'!AP425*'Equity Price Data'!AS426</f>
        <v>41036.1</v>
      </c>
      <c r="AN425" s="30">
        <f>'Equity Volume Data'!AQ425*'Equity Price Data'!AT426</f>
        <v>0</v>
      </c>
      <c r="AO425" s="30">
        <f>'Equity Volume Data'!AR425*'Equity Price Data'!AU426</f>
        <v>31632.16</v>
      </c>
      <c r="AP425" s="30">
        <f>'Equity Volume Data'!AS425*'Equity Price Data'!AV426</f>
        <v>25072.5</v>
      </c>
      <c r="AQ425" s="30">
        <f>'Equity Volume Data'!AT425*'Equity Price Data'!AW426</f>
        <v>16852</v>
      </c>
      <c r="AR425" s="30">
        <f>'Equity Volume Data'!AU425*'Equity Price Data'!AX426</f>
        <v>14416.95</v>
      </c>
      <c r="AS425" s="30">
        <f>'Equity Volume Data'!AV425*'Equity Price Data'!AY426</f>
        <v>53293.2</v>
      </c>
      <c r="AT425" s="30">
        <f>'Equity Volume Data'!AW425*'Equity Price Data'!AZ426</f>
        <v>32198.4</v>
      </c>
      <c r="AU425" s="30">
        <f>'Equity Volume Data'!AX425*'Equity Price Data'!BA426</f>
        <v>0</v>
      </c>
      <c r="AV425" s="30">
        <f>'Equity Volume Data'!AY425*'Equity Price Data'!BB426</f>
        <v>26031.44</v>
      </c>
      <c r="AW425" s="30">
        <f>'Equity Volume Data'!AZ425*'Equity Price Data'!BC426</f>
        <v>3579.2</v>
      </c>
      <c r="AX425" s="30">
        <f>'Equity Volume Data'!BA425*'Equity Price Data'!BD426</f>
        <v>0</v>
      </c>
      <c r="AY425" s="30">
        <f>'Equity Volume Data'!BB425*'Equity Price Data'!BE426</f>
        <v>37199.25</v>
      </c>
      <c r="AZ425" s="30">
        <f>'Equity Volume Data'!BC425*'Equity Price Data'!BF426</f>
        <v>8383.5</v>
      </c>
      <c r="BA425" s="30">
        <f>'Equity Volume Data'!BD425*'Equity Price Data'!BG426</f>
        <v>4919.1</v>
      </c>
      <c r="BB425" s="30">
        <f>'Equity Volume Data'!BE425*'Equity Price Data'!BH426</f>
        <v>15800</v>
      </c>
      <c r="BC425" s="30">
        <f>'Equity Volume Data'!BF425*'Equity Price Data'!BI426</f>
        <v>38549.84</v>
      </c>
      <c r="BD425" s="30">
        <f>'Equity Volume Data'!BG425*'Equity Price Data'!BJ426</f>
        <v>39106.8</v>
      </c>
      <c r="BE425" s="30">
        <f>'Equity Volume Data'!BH425*'Equity Price Data'!BK426</f>
        <v>14634.9</v>
      </c>
      <c r="BF425" s="30">
        <f>'Equity Volume Data'!BI425*'Equity Price Data'!BL426</f>
        <v>9109.6</v>
      </c>
      <c r="BG425" s="30">
        <f>'Equity Volume Data'!BJ425*'Equity Price Data'!BM426</f>
        <v>37199.18</v>
      </c>
      <c r="BH425" s="30">
        <f>'Equity Volume Data'!BK425*'Equity Price Data'!BN426</f>
        <v>0</v>
      </c>
      <c r="BI425" s="30">
        <f>'Equity Volume Data'!BL425*'Equity Price Data'!BO426</f>
        <v>36702.4</v>
      </c>
      <c r="BJ425" s="30">
        <f>'Equity Volume Data'!BM425*'Equity Price Data'!BP426</f>
        <v>26081.25</v>
      </c>
      <c r="BK425" s="30">
        <f>'Equity Volume Data'!BN425*'Equity Price Data'!BQ426</f>
        <v>89199</v>
      </c>
      <c r="BL425" s="30">
        <f>'Equity Volume Data'!BO425*'Equity Price Data'!BR426</f>
        <v>613.35</v>
      </c>
      <c r="BM425" s="30">
        <f>'Equity Volume Data'!BP425*'Equity Price Data'!BS426</f>
        <v>10871.52</v>
      </c>
      <c r="BN425" s="30">
        <f>'Equity Volume Data'!BQ425*'Equity Price Data'!BT426</f>
        <v>21279.72</v>
      </c>
      <c r="BO425" s="30">
        <f>'Equity Volume Data'!BR425*'Equity Price Data'!BU426</f>
        <v>68782</v>
      </c>
    </row>
    <row r="426">
      <c r="A426" s="25">
        <f>'Equity Price Data'!A427</f>
        <v>46044.66667</v>
      </c>
      <c r="B426" s="29">
        <f t="shared" si="1"/>
        <v>1637426.61</v>
      </c>
      <c r="C426" s="30">
        <f>'Equity Volume Data'!F426*'Equity Price Data'!I427</f>
        <v>3896.49</v>
      </c>
      <c r="D426" s="30">
        <f>'Equity Volume Data'!G426*'Equity Price Data'!J427</f>
        <v>60928.4</v>
      </c>
      <c r="E426" s="30">
        <f>'Equity Volume Data'!H426*'Equity Price Data'!K427</f>
        <v>14471.6</v>
      </c>
      <c r="F426" s="30">
        <f>'Equity Volume Data'!I426*'Equity Price Data'!L427</f>
        <v>63577.6</v>
      </c>
      <c r="G426" s="30">
        <f>'Equity Volume Data'!J426*'Equity Price Data'!M427</f>
        <v>26459.57</v>
      </c>
      <c r="H426" s="30">
        <f>'Equity Volume Data'!K426*'Equity Price Data'!N427</f>
        <v>22593.84</v>
      </c>
      <c r="I426" s="30">
        <f>'Equity Volume Data'!L426*'Equity Price Data'!O427</f>
        <v>26130</v>
      </c>
      <c r="J426" s="30">
        <f>'Equity Volume Data'!M426*'Equity Price Data'!P427</f>
        <v>49417.98</v>
      </c>
      <c r="K426" s="30">
        <f>'Equity Volume Data'!N426*'Equity Price Data'!Q427</f>
        <v>12994</v>
      </c>
      <c r="L426" s="30">
        <f>'Equity Volume Data'!O426*'Equity Price Data'!R427</f>
        <v>21029.8</v>
      </c>
      <c r="M426" s="30">
        <f>'Equity Volume Data'!P426*'Equity Price Data'!S427</f>
        <v>13328.34</v>
      </c>
      <c r="N426" s="30">
        <f>'Equity Volume Data'!Q426*'Equity Price Data'!T427</f>
        <v>4595.2</v>
      </c>
      <c r="O426" s="30">
        <f>'Equity Volume Data'!R426*'Equity Price Data'!U427</f>
        <v>97261.5</v>
      </c>
      <c r="P426" s="30">
        <f>'Equity Volume Data'!S426*'Equity Price Data'!V427</f>
        <v>50819.79</v>
      </c>
      <c r="Q426" s="30">
        <f>'Equity Volume Data'!T426*'Equity Price Data'!W427</f>
        <v>21379.2</v>
      </c>
      <c r="R426" s="30">
        <f>'Equity Volume Data'!U426*'Equity Price Data'!X427</f>
        <v>13332.8</v>
      </c>
      <c r="S426" s="30">
        <f>'Equity Volume Data'!V426*'Equity Price Data'!Y427</f>
        <v>24674.32</v>
      </c>
      <c r="T426" s="30">
        <f>'Equity Volume Data'!W426*'Equity Price Data'!Z427</f>
        <v>16062.5</v>
      </c>
      <c r="U426" s="30">
        <f>'Equity Volume Data'!X426*'Equity Price Data'!AA427</f>
        <v>18973.68</v>
      </c>
      <c r="V426" s="30">
        <f>'Equity Volume Data'!Y426*'Equity Price Data'!AB427</f>
        <v>16611.98</v>
      </c>
      <c r="W426" s="30">
        <f>'Equity Volume Data'!Z426*'Equity Price Data'!AC427</f>
        <v>10950.99</v>
      </c>
      <c r="X426" s="30">
        <f>'Equity Volume Data'!AA426*'Equity Price Data'!AD427</f>
        <v>0</v>
      </c>
      <c r="Y426" s="30">
        <f>'Equity Volume Data'!AB426*'Equity Price Data'!AE427</f>
        <v>5269.29</v>
      </c>
      <c r="Z426" s="30">
        <f>'Equity Volume Data'!AC426*'Equity Price Data'!AF427</f>
        <v>14082</v>
      </c>
      <c r="AA426" s="30">
        <f>'Equity Volume Data'!AD426*'Equity Price Data'!AG427</f>
        <v>22718.8</v>
      </c>
      <c r="AB426" s="30">
        <f>'Equity Volume Data'!AE426*'Equity Price Data'!AH427</f>
        <v>18588.6</v>
      </c>
      <c r="AC426" s="30">
        <f>'Equity Volume Data'!AF426*'Equity Price Data'!AI427</f>
        <v>13502</v>
      </c>
      <c r="AD426" s="30">
        <f>'Equity Volume Data'!AG426*'Equity Price Data'!AJ427</f>
        <v>16462.35</v>
      </c>
      <c r="AE426" s="30">
        <f>'Equity Volume Data'!AH426*'Equity Price Data'!AK427</f>
        <v>0</v>
      </c>
      <c r="AF426" s="30">
        <f>'Equity Volume Data'!AI426*'Equity Price Data'!AL427</f>
        <v>26883.7</v>
      </c>
      <c r="AG426" s="30">
        <f>'Equity Volume Data'!AJ426*'Equity Price Data'!AM427</f>
        <v>57279</v>
      </c>
      <c r="AH426" s="30">
        <f>'Equity Volume Data'!AK426*'Equity Price Data'!AN427</f>
        <v>38103</v>
      </c>
      <c r="AI426" s="30">
        <f>'Equity Volume Data'!AL426*'Equity Price Data'!AO427</f>
        <v>30352</v>
      </c>
      <c r="AJ426" s="30">
        <f>'Equity Volume Data'!AM426*'Equity Price Data'!AP427</f>
        <v>22665.5</v>
      </c>
      <c r="AK426" s="30">
        <f>'Equity Volume Data'!AN426*'Equity Price Data'!AQ427</f>
        <v>24713.07</v>
      </c>
      <c r="AL426" s="30">
        <f>'Equity Volume Data'!AO426*'Equity Price Data'!AR427</f>
        <v>48580.8</v>
      </c>
      <c r="AM426" s="30">
        <f>'Equity Volume Data'!AP426*'Equity Price Data'!AS427</f>
        <v>41573.7</v>
      </c>
      <c r="AN426" s="30">
        <f>'Equity Volume Data'!AQ426*'Equity Price Data'!AT427</f>
        <v>0</v>
      </c>
      <c r="AO426" s="30">
        <f>'Equity Volume Data'!AR426*'Equity Price Data'!AU427</f>
        <v>31384.5</v>
      </c>
      <c r="AP426" s="30">
        <f>'Equity Volume Data'!AS426*'Equity Price Data'!AV427</f>
        <v>25335</v>
      </c>
      <c r="AQ426" s="30">
        <f>'Equity Volume Data'!AT426*'Equity Price Data'!AW427</f>
        <v>16922.4</v>
      </c>
      <c r="AR426" s="30">
        <f>'Equity Volume Data'!AU426*'Equity Price Data'!AX427</f>
        <v>15246.51</v>
      </c>
      <c r="AS426" s="30">
        <f>'Equity Volume Data'!AV426*'Equity Price Data'!AY427</f>
        <v>54136.8</v>
      </c>
      <c r="AT426" s="30">
        <f>'Equity Volume Data'!AW426*'Equity Price Data'!AZ427</f>
        <v>32666.88</v>
      </c>
      <c r="AU426" s="30">
        <f>'Equity Volume Data'!AX426*'Equity Price Data'!BA427</f>
        <v>0</v>
      </c>
      <c r="AV426" s="30">
        <f>'Equity Volume Data'!AY426*'Equity Price Data'!BB427</f>
        <v>26247.28</v>
      </c>
      <c r="AW426" s="30">
        <f>'Equity Volume Data'!AZ426*'Equity Price Data'!BC427</f>
        <v>3610.8</v>
      </c>
      <c r="AX426" s="30">
        <f>'Equity Volume Data'!BA426*'Equity Price Data'!BD427</f>
        <v>0</v>
      </c>
      <c r="AY426" s="30">
        <f>'Equity Volume Data'!BB426*'Equity Price Data'!BE427</f>
        <v>37327.5</v>
      </c>
      <c r="AZ426" s="30">
        <f>'Equity Volume Data'!BC426*'Equity Price Data'!BF427</f>
        <v>8572.5</v>
      </c>
      <c r="BA426" s="30">
        <f>'Equity Volume Data'!BD426*'Equity Price Data'!BG427</f>
        <v>4959</v>
      </c>
      <c r="BB426" s="30">
        <f>'Equity Volume Data'!BE426*'Equity Price Data'!BH427</f>
        <v>15707.2</v>
      </c>
      <c r="BC426" s="30">
        <f>'Equity Volume Data'!BF426*'Equity Price Data'!BI427</f>
        <v>38969.68</v>
      </c>
      <c r="BD426" s="30">
        <f>'Equity Volume Data'!BG426*'Equity Price Data'!BJ427</f>
        <v>39488.07</v>
      </c>
      <c r="BE426" s="30">
        <f>'Equity Volume Data'!BH426*'Equity Price Data'!BK427</f>
        <v>14707.35</v>
      </c>
      <c r="BF426" s="30">
        <f>'Equity Volume Data'!BI426*'Equity Price Data'!BL427</f>
        <v>9081.6</v>
      </c>
      <c r="BG426" s="30">
        <f>'Equity Volume Data'!BJ426*'Equity Price Data'!BM427</f>
        <v>38389.02</v>
      </c>
      <c r="BH426" s="30">
        <f>'Equity Volume Data'!BK426*'Equity Price Data'!BN427</f>
        <v>0</v>
      </c>
      <c r="BI426" s="30">
        <f>'Equity Volume Data'!BL426*'Equity Price Data'!BO427</f>
        <v>37019.2</v>
      </c>
      <c r="BJ426" s="30">
        <f>'Equity Volume Data'!BM426*'Equity Price Data'!BP427</f>
        <v>26585.25</v>
      </c>
      <c r="BK426" s="30">
        <f>'Equity Volume Data'!BN426*'Equity Price Data'!BQ427</f>
        <v>89126.92</v>
      </c>
      <c r="BL426" s="30">
        <f>'Equity Volume Data'!BO426*'Equity Price Data'!BR427</f>
        <v>622.28</v>
      </c>
      <c r="BM426" s="30">
        <f>'Equity Volume Data'!BP426*'Equity Price Data'!BS427</f>
        <v>10992</v>
      </c>
      <c r="BN426" s="30">
        <f>'Equity Volume Data'!BQ426*'Equity Price Data'!BT427</f>
        <v>21283.48</v>
      </c>
      <c r="BO426" s="30">
        <f>'Equity Volume Data'!BR426*'Equity Price Data'!BU427</f>
        <v>68782</v>
      </c>
    </row>
    <row r="427">
      <c r="A427" s="25">
        <f>'Equity Price Data'!A428</f>
        <v>46045.66667</v>
      </c>
      <c r="B427" s="29">
        <f t="shared" si="1"/>
        <v>1634253.6</v>
      </c>
      <c r="C427" s="30">
        <f>'Equity Volume Data'!F427*'Equity Price Data'!I428</f>
        <v>3913.91</v>
      </c>
      <c r="D427" s="30">
        <f>'Equity Volume Data'!G427*'Equity Price Data'!J428</f>
        <v>62181.6</v>
      </c>
      <c r="E427" s="30">
        <f>'Equity Volume Data'!H427*'Equity Price Data'!K428</f>
        <v>14268.1</v>
      </c>
      <c r="F427" s="30">
        <f>'Equity Volume Data'!I427*'Equity Price Data'!L428</f>
        <v>63498.24</v>
      </c>
      <c r="G427" s="30">
        <f>'Equity Volume Data'!J427*'Equity Price Data'!M428</f>
        <v>26757.54</v>
      </c>
      <c r="H427" s="30">
        <f>'Equity Volume Data'!K427*'Equity Price Data'!N428</f>
        <v>22110.68</v>
      </c>
      <c r="I427" s="30">
        <f>'Equity Volume Data'!L427*'Equity Price Data'!O428</f>
        <v>26200</v>
      </c>
      <c r="J427" s="30">
        <f>'Equity Volume Data'!M427*'Equity Price Data'!P428</f>
        <v>48854.94</v>
      </c>
      <c r="K427" s="30">
        <f>'Equity Volume Data'!N427*'Equity Price Data'!Q428</f>
        <v>13504</v>
      </c>
      <c r="L427" s="30">
        <f>'Equity Volume Data'!O427*'Equity Price Data'!R428</f>
        <v>20762.39</v>
      </c>
      <c r="M427" s="30">
        <f>'Equity Volume Data'!P427*'Equity Price Data'!S428</f>
        <v>13506.46</v>
      </c>
      <c r="N427" s="30">
        <f>'Equity Volume Data'!Q427*'Equity Price Data'!T428</f>
        <v>4584</v>
      </c>
      <c r="O427" s="30">
        <f>'Equity Volume Data'!R427*'Equity Price Data'!U428</f>
        <v>93993</v>
      </c>
      <c r="P427" s="30">
        <f>'Equity Volume Data'!S427*'Equity Price Data'!V428</f>
        <v>51724.68</v>
      </c>
      <c r="Q427" s="30">
        <f>'Equity Volume Data'!T427*'Equity Price Data'!W428</f>
        <v>21747.6</v>
      </c>
      <c r="R427" s="30">
        <f>'Equity Volume Data'!U427*'Equity Price Data'!X428</f>
        <v>13337.6</v>
      </c>
      <c r="S427" s="30">
        <f>'Equity Volume Data'!V427*'Equity Price Data'!Y428</f>
        <v>24569.6</v>
      </c>
      <c r="T427" s="30">
        <f>'Equity Volume Data'!W427*'Equity Price Data'!Z428</f>
        <v>15660</v>
      </c>
      <c r="U427" s="30">
        <f>'Equity Volume Data'!X427*'Equity Price Data'!AA428</f>
        <v>19240.32</v>
      </c>
      <c r="V427" s="30">
        <f>'Equity Volume Data'!Y427*'Equity Price Data'!AB428</f>
        <v>16723.07</v>
      </c>
      <c r="W427" s="30">
        <f>'Equity Volume Data'!Z427*'Equity Price Data'!AC428</f>
        <v>10982.04</v>
      </c>
      <c r="X427" s="30">
        <f>'Equity Volume Data'!AA427*'Equity Price Data'!AD428</f>
        <v>0</v>
      </c>
      <c r="Y427" s="30">
        <f>'Equity Volume Data'!AB427*'Equity Price Data'!AE428</f>
        <v>5349.5</v>
      </c>
      <c r="Z427" s="30">
        <f>'Equity Volume Data'!AC427*'Equity Price Data'!AF428</f>
        <v>14041.5</v>
      </c>
      <c r="AA427" s="30">
        <f>'Equity Volume Data'!AD427*'Equity Price Data'!AG428</f>
        <v>22944.9</v>
      </c>
      <c r="AB427" s="30">
        <f>'Equity Volume Data'!AE427*'Equity Price Data'!AH428</f>
        <v>18252.6</v>
      </c>
      <c r="AC427" s="30">
        <f>'Equity Volume Data'!AF427*'Equity Price Data'!AI428</f>
        <v>13541.2</v>
      </c>
      <c r="AD427" s="30">
        <f>'Equity Volume Data'!AG427*'Equity Price Data'!AJ428</f>
        <v>16347.15</v>
      </c>
      <c r="AE427" s="30">
        <f>'Equity Volume Data'!AH427*'Equity Price Data'!AK428</f>
        <v>0</v>
      </c>
      <c r="AF427" s="30">
        <f>'Equity Volume Data'!AI427*'Equity Price Data'!AL428</f>
        <v>27865.65</v>
      </c>
      <c r="AG427" s="30">
        <f>'Equity Volume Data'!AJ427*'Equity Price Data'!AM428</f>
        <v>55132.8</v>
      </c>
      <c r="AH427" s="30">
        <f>'Equity Volume Data'!AK427*'Equity Price Data'!AN428</f>
        <v>38377</v>
      </c>
      <c r="AI427" s="30">
        <f>'Equity Volume Data'!AL427*'Equity Price Data'!AO428</f>
        <v>29984.5</v>
      </c>
      <c r="AJ427" s="30">
        <f>'Equity Volume Data'!AM427*'Equity Price Data'!AP428</f>
        <v>22480.9</v>
      </c>
      <c r="AK427" s="30">
        <f>'Equity Volume Data'!AN427*'Equity Price Data'!AQ428</f>
        <v>24627.53</v>
      </c>
      <c r="AL427" s="30">
        <f>'Equity Volume Data'!AO427*'Equity Price Data'!AR428</f>
        <v>47635.2</v>
      </c>
      <c r="AM427" s="30">
        <f>'Equity Volume Data'!AP427*'Equity Price Data'!AS428</f>
        <v>41357.4</v>
      </c>
      <c r="AN427" s="30">
        <f>'Equity Volume Data'!AQ427*'Equity Price Data'!AT428</f>
        <v>0</v>
      </c>
      <c r="AO427" s="30">
        <f>'Equity Volume Data'!AR427*'Equity Price Data'!AU428</f>
        <v>31555.3</v>
      </c>
      <c r="AP427" s="30">
        <f>'Equity Volume Data'!AS427*'Equity Price Data'!AV428</f>
        <v>25220</v>
      </c>
      <c r="AQ427" s="30">
        <f>'Equity Volume Data'!AT427*'Equity Price Data'!AW428</f>
        <v>16678.2</v>
      </c>
      <c r="AR427" s="30">
        <f>'Equity Volume Data'!AU427*'Equity Price Data'!AX428</f>
        <v>15516.34</v>
      </c>
      <c r="AS427" s="30">
        <f>'Equity Volume Data'!AV427*'Equity Price Data'!AY428</f>
        <v>55914</v>
      </c>
      <c r="AT427" s="30">
        <f>'Equity Volume Data'!AW427*'Equity Price Data'!AZ428</f>
        <v>32567.04</v>
      </c>
      <c r="AU427" s="30">
        <f>'Equity Volume Data'!AX427*'Equity Price Data'!BA428</f>
        <v>0</v>
      </c>
      <c r="AV427" s="30">
        <f>'Equity Volume Data'!AY427*'Equity Price Data'!BB428</f>
        <v>26649.14</v>
      </c>
      <c r="AW427" s="30">
        <f>'Equity Volume Data'!AZ427*'Equity Price Data'!BC428</f>
        <v>3639.2</v>
      </c>
      <c r="AX427" s="30">
        <f>'Equity Volume Data'!BA427*'Equity Price Data'!BD428</f>
        <v>0</v>
      </c>
      <c r="AY427" s="30">
        <f>'Equity Volume Data'!BB427*'Equity Price Data'!BE428</f>
        <v>38160</v>
      </c>
      <c r="AZ427" s="30">
        <f>'Equity Volume Data'!BC427*'Equity Price Data'!BF428</f>
        <v>8493</v>
      </c>
      <c r="BA427" s="30">
        <f>'Equity Volume Data'!BD427*'Equity Price Data'!BG428</f>
        <v>4873.5</v>
      </c>
      <c r="BB427" s="30">
        <f>'Equity Volume Data'!BE427*'Equity Price Data'!BH428</f>
        <v>15674.4</v>
      </c>
      <c r="BC427" s="30">
        <f>'Equity Volume Data'!BF427*'Equity Price Data'!BI428</f>
        <v>38582.64</v>
      </c>
      <c r="BD427" s="30">
        <f>'Equity Volume Data'!BG427*'Equity Price Data'!BJ428</f>
        <v>39624.39</v>
      </c>
      <c r="BE427" s="30">
        <f>'Equity Volume Data'!BH427*'Equity Price Data'!BK428</f>
        <v>14397.54</v>
      </c>
      <c r="BF427" s="30">
        <f>'Equity Volume Data'!BI427*'Equity Price Data'!BL428</f>
        <v>9051.2</v>
      </c>
      <c r="BG427" s="30">
        <f>'Equity Volume Data'!BJ427*'Equity Price Data'!BM428</f>
        <v>37613.4</v>
      </c>
      <c r="BH427" s="30">
        <f>'Equity Volume Data'!BK427*'Equity Price Data'!BN428</f>
        <v>0</v>
      </c>
      <c r="BI427" s="30">
        <f>'Equity Volume Data'!BL427*'Equity Price Data'!BO428</f>
        <v>36744</v>
      </c>
      <c r="BJ427" s="30">
        <f>'Equity Volume Data'!BM427*'Equity Price Data'!BP428</f>
        <v>26719.5</v>
      </c>
      <c r="BK427" s="30">
        <f>'Equity Volume Data'!BN427*'Equity Price Data'!BQ428</f>
        <v>89253.06</v>
      </c>
      <c r="BL427" s="30">
        <f>'Equity Volume Data'!BO427*'Equity Price Data'!BR428</f>
        <v>620.87</v>
      </c>
      <c r="BM427" s="30">
        <f>'Equity Volume Data'!BP427*'Equity Price Data'!BS428</f>
        <v>11003.04</v>
      </c>
      <c r="BN427" s="30">
        <f>'Equity Volume Data'!BQ427*'Equity Price Data'!BT428</f>
        <v>20864.24</v>
      </c>
      <c r="BO427" s="30">
        <f>'Equity Volume Data'!BR427*'Equity Price Data'!BU428</f>
        <v>68782</v>
      </c>
    </row>
    <row r="428">
      <c r="A428" s="25">
        <f>'Equity Price Data'!A429</f>
        <v>46048.66667</v>
      </c>
      <c r="B428" s="29">
        <f t="shared" si="1"/>
        <v>1634670.85</v>
      </c>
      <c r="C428" s="30">
        <f>'Equity Volume Data'!F428*'Equity Price Data'!I429</f>
        <v>3961.36</v>
      </c>
      <c r="D428" s="30">
        <f>'Equity Volume Data'!G428*'Equity Price Data'!J429</f>
        <v>61989.2</v>
      </c>
      <c r="E428" s="30">
        <f>'Equity Volume Data'!H428*'Equity Price Data'!K429</f>
        <v>14381.4</v>
      </c>
      <c r="F428" s="30">
        <f>'Equity Volume Data'!I428*'Equity Price Data'!L429</f>
        <v>65384.96</v>
      </c>
      <c r="G428" s="30">
        <f>'Equity Volume Data'!J428*'Equity Price Data'!M429</f>
        <v>26515.18</v>
      </c>
      <c r="H428" s="30">
        <f>'Equity Volume Data'!K428*'Equity Price Data'!N429</f>
        <v>22375.76</v>
      </c>
      <c r="I428" s="30">
        <f>'Equity Volume Data'!L428*'Equity Price Data'!O429</f>
        <v>26380</v>
      </c>
      <c r="J428" s="30">
        <f>'Equity Volume Data'!M428*'Equity Price Data'!P429</f>
        <v>49313.94</v>
      </c>
      <c r="K428" s="30">
        <f>'Equity Volume Data'!N428*'Equity Price Data'!Q429</f>
        <v>13554</v>
      </c>
      <c r="L428" s="30">
        <f>'Equity Volume Data'!O428*'Equity Price Data'!R429</f>
        <v>20947.52</v>
      </c>
      <c r="M428" s="30">
        <f>'Equity Volume Data'!P428*'Equity Price Data'!S429</f>
        <v>13658.3</v>
      </c>
      <c r="N428" s="30">
        <f>'Equity Volume Data'!Q428*'Equity Price Data'!T429</f>
        <v>4589.6</v>
      </c>
      <c r="O428" s="30">
        <f>'Equity Volume Data'!R428*'Equity Price Data'!U429</f>
        <v>95388</v>
      </c>
      <c r="P428" s="30">
        <f>'Equity Volume Data'!S428*'Equity Price Data'!V429</f>
        <v>50565.42</v>
      </c>
      <c r="Q428" s="30">
        <f>'Equity Volume Data'!T428*'Equity Price Data'!W429</f>
        <v>22165.2</v>
      </c>
      <c r="R428" s="30">
        <f>'Equity Volume Data'!U428*'Equity Price Data'!X429</f>
        <v>13400</v>
      </c>
      <c r="S428" s="30">
        <f>'Equity Volume Data'!V428*'Equity Price Data'!Y429</f>
        <v>24676.08</v>
      </c>
      <c r="T428" s="30">
        <f>'Equity Volume Data'!W428*'Equity Price Data'!Z429</f>
        <v>15630</v>
      </c>
      <c r="U428" s="30">
        <f>'Equity Volume Data'!X428*'Equity Price Data'!AA429</f>
        <v>19155.84</v>
      </c>
      <c r="V428" s="30">
        <f>'Equity Volume Data'!Y428*'Equity Price Data'!AB429</f>
        <v>16838.99</v>
      </c>
      <c r="W428" s="30">
        <f>'Equity Volume Data'!Z428*'Equity Price Data'!AC429</f>
        <v>11148.33</v>
      </c>
      <c r="X428" s="30">
        <f>'Equity Volume Data'!AA428*'Equity Price Data'!AD429</f>
        <v>0</v>
      </c>
      <c r="Y428" s="30">
        <f>'Equity Volume Data'!AB428*'Equity Price Data'!AE429</f>
        <v>5380.83</v>
      </c>
      <c r="Z428" s="30">
        <f>'Equity Volume Data'!AC428*'Equity Price Data'!AF429</f>
        <v>14163</v>
      </c>
      <c r="AA428" s="30">
        <f>'Equity Volume Data'!AD428*'Equity Price Data'!AG429</f>
        <v>22922.8</v>
      </c>
      <c r="AB428" s="30">
        <f>'Equity Volume Data'!AE428*'Equity Price Data'!AH429</f>
        <v>18268.2</v>
      </c>
      <c r="AC428" s="30">
        <f>'Equity Volume Data'!AF428*'Equity Price Data'!AI429</f>
        <v>13618</v>
      </c>
      <c r="AD428" s="30">
        <f>'Equity Volume Data'!AG428*'Equity Price Data'!AJ429</f>
        <v>16359.3</v>
      </c>
      <c r="AE428" s="30">
        <f>'Equity Volume Data'!AH428*'Equity Price Data'!AK429</f>
        <v>0</v>
      </c>
      <c r="AF428" s="30">
        <f>'Equity Volume Data'!AI428*'Equity Price Data'!AL429</f>
        <v>28244.9</v>
      </c>
      <c r="AG428" s="30">
        <f>'Equity Volume Data'!AJ428*'Equity Price Data'!AM429</f>
        <v>55911.6</v>
      </c>
      <c r="AH428" s="30">
        <f>'Equity Volume Data'!AK428*'Equity Price Data'!AN429</f>
        <v>38653</v>
      </c>
      <c r="AI428" s="30">
        <f>'Equity Volume Data'!AL428*'Equity Price Data'!AO429</f>
        <v>30437.75</v>
      </c>
      <c r="AJ428" s="30">
        <f>'Equity Volume Data'!AM428*'Equity Price Data'!AP429</f>
        <v>22763</v>
      </c>
      <c r="AK428" s="30">
        <f>'Equity Volume Data'!AN428*'Equity Price Data'!AQ429</f>
        <v>24854.07</v>
      </c>
      <c r="AL428" s="30">
        <f>'Equity Volume Data'!AO428*'Equity Price Data'!AR429</f>
        <v>48166.4</v>
      </c>
      <c r="AM428" s="30">
        <f>'Equity Volume Data'!AP428*'Equity Price Data'!AS429</f>
        <v>40716.2</v>
      </c>
      <c r="AN428" s="30">
        <f>'Equity Volume Data'!AQ428*'Equity Price Data'!AT429</f>
        <v>0</v>
      </c>
      <c r="AO428" s="30">
        <f>'Equity Volume Data'!AR428*'Equity Price Data'!AU429</f>
        <v>31700.48</v>
      </c>
      <c r="AP428" s="30">
        <f>'Equity Volume Data'!AS428*'Equity Price Data'!AV429</f>
        <v>25167.5</v>
      </c>
      <c r="AQ428" s="30">
        <f>'Equity Volume Data'!AT428*'Equity Price Data'!AW429</f>
        <v>16977.4</v>
      </c>
      <c r="AR428" s="30">
        <f>'Equity Volume Data'!AU428*'Equity Price Data'!AX429</f>
        <v>14147.12</v>
      </c>
      <c r="AS428" s="30">
        <f>'Equity Volume Data'!AV428*'Equity Price Data'!AY429</f>
        <v>56433.6</v>
      </c>
      <c r="AT428" s="30">
        <f>'Equity Volume Data'!AW428*'Equity Price Data'!AZ429</f>
        <v>32820.48</v>
      </c>
      <c r="AU428" s="30">
        <f>'Equity Volume Data'!AX428*'Equity Price Data'!BA429</f>
        <v>0</v>
      </c>
      <c r="AV428" s="30">
        <f>'Equity Volume Data'!AY428*'Equity Price Data'!BB429</f>
        <v>26478.74</v>
      </c>
      <c r="AW428" s="30">
        <f>'Equity Volume Data'!AZ428*'Equity Price Data'!BC429</f>
        <v>3623.2</v>
      </c>
      <c r="AX428" s="30">
        <f>'Equity Volume Data'!BA428*'Equity Price Data'!BD429</f>
        <v>0</v>
      </c>
      <c r="AY428" s="30">
        <f>'Equity Volume Data'!BB428*'Equity Price Data'!BE429</f>
        <v>37680.75</v>
      </c>
      <c r="AZ428" s="30">
        <f>'Equity Volume Data'!BC428*'Equity Price Data'!BF429</f>
        <v>8490</v>
      </c>
      <c r="BA428" s="30">
        <f>'Equity Volume Data'!BD428*'Equity Price Data'!BG429</f>
        <v>4917.2</v>
      </c>
      <c r="BB428" s="30">
        <f>'Equity Volume Data'!BE428*'Equity Price Data'!BH429</f>
        <v>15530.4</v>
      </c>
      <c r="BC428" s="30">
        <f>'Equity Volume Data'!BF428*'Equity Price Data'!BI429</f>
        <v>32071.84</v>
      </c>
      <c r="BD428" s="30">
        <f>'Equity Volume Data'!BG428*'Equity Price Data'!BJ429</f>
        <v>40035.48</v>
      </c>
      <c r="BE428" s="30">
        <f>'Equity Volume Data'!BH428*'Equity Price Data'!BK429</f>
        <v>14412.26</v>
      </c>
      <c r="BF428" s="30">
        <f>'Equity Volume Data'!BI428*'Equity Price Data'!BL429</f>
        <v>9024.8</v>
      </c>
      <c r="BG428" s="30">
        <f>'Equity Volume Data'!BJ428*'Equity Price Data'!BM429</f>
        <v>38733.74</v>
      </c>
      <c r="BH428" s="30">
        <f>'Equity Volume Data'!BK428*'Equity Price Data'!BN429</f>
        <v>0</v>
      </c>
      <c r="BI428" s="30">
        <f>'Equity Volume Data'!BL428*'Equity Price Data'!BO429</f>
        <v>36942.4</v>
      </c>
      <c r="BJ428" s="30">
        <f>'Equity Volume Data'!BM428*'Equity Price Data'!BP429</f>
        <v>26373</v>
      </c>
      <c r="BK428" s="30">
        <f>'Equity Volume Data'!BN428*'Equity Price Data'!BQ429</f>
        <v>89253.06</v>
      </c>
      <c r="BL428" s="30">
        <f>'Equity Volume Data'!BO428*'Equity Price Data'!BR429</f>
        <v>618.99</v>
      </c>
      <c r="BM428" s="30">
        <f>'Equity Volume Data'!BP428*'Equity Price Data'!BS429</f>
        <v>11052</v>
      </c>
      <c r="BN428" s="30">
        <f>'Equity Volume Data'!BQ428*'Equity Price Data'!BT429</f>
        <v>20926.28</v>
      </c>
      <c r="BO428" s="30">
        <f>'Equity Volume Data'!BR428*'Equity Price Data'!BU429</f>
        <v>68782</v>
      </c>
    </row>
    <row r="429">
      <c r="A429" s="25">
        <f>'Equity Price Data'!A430</f>
        <v>46049.66667</v>
      </c>
      <c r="B429" s="29">
        <f t="shared" si="1"/>
        <v>1639064.27</v>
      </c>
      <c r="C429" s="30">
        <f>'Equity Volume Data'!F429*'Equity Price Data'!I430</f>
        <v>3866.46</v>
      </c>
      <c r="D429" s="30">
        <f>'Equity Volume Data'!G429*'Equity Price Data'!J430</f>
        <v>63616.8</v>
      </c>
      <c r="E429" s="30">
        <f>'Equity Volume Data'!H429*'Equity Price Data'!K430</f>
        <v>14358.3</v>
      </c>
      <c r="F429" s="30">
        <f>'Equity Volume Data'!I429*'Equity Price Data'!L430</f>
        <v>66117.12</v>
      </c>
      <c r="G429" s="30">
        <f>'Equity Volume Data'!J429*'Equity Price Data'!M430</f>
        <v>27614.93</v>
      </c>
      <c r="H429" s="30">
        <f>'Equity Volume Data'!K429*'Equity Price Data'!N430</f>
        <v>22347.56</v>
      </c>
      <c r="I429" s="30">
        <f>'Equity Volume Data'!L429*'Equity Price Data'!O430</f>
        <v>27190</v>
      </c>
      <c r="J429" s="30">
        <f>'Equity Volume Data'!M429*'Equity Price Data'!P430</f>
        <v>48416.34</v>
      </c>
      <c r="K429" s="30">
        <f>'Equity Volume Data'!N429*'Equity Price Data'!Q430</f>
        <v>14098</v>
      </c>
      <c r="L429" s="30">
        <f>'Equity Volume Data'!O429*'Equity Price Data'!R430</f>
        <v>21068.52</v>
      </c>
      <c r="M429" s="30">
        <f>'Equity Volume Data'!P429*'Equity Price Data'!S430</f>
        <v>13667.06</v>
      </c>
      <c r="N429" s="30">
        <f>'Equity Volume Data'!Q429*'Equity Price Data'!T430</f>
        <v>4565.6</v>
      </c>
      <c r="O429" s="30">
        <f>'Equity Volume Data'!R429*'Equity Price Data'!U430</f>
        <v>95836.5</v>
      </c>
      <c r="P429" s="30">
        <f>'Equity Volume Data'!S429*'Equity Price Data'!V430</f>
        <v>52529.49</v>
      </c>
      <c r="Q429" s="30">
        <f>'Equity Volume Data'!T429*'Equity Price Data'!W430</f>
        <v>21952.8</v>
      </c>
      <c r="R429" s="30">
        <f>'Equity Volume Data'!U429*'Equity Price Data'!X430</f>
        <v>13524</v>
      </c>
      <c r="S429" s="30">
        <f>'Equity Volume Data'!V429*'Equity Price Data'!Y430</f>
        <v>23767.92</v>
      </c>
      <c r="T429" s="30">
        <f>'Equity Volume Data'!W429*'Equity Price Data'!Z430</f>
        <v>15855</v>
      </c>
      <c r="U429" s="30">
        <f>'Equity Volume Data'!X429*'Equity Price Data'!AA430</f>
        <v>19417.2</v>
      </c>
      <c r="V429" s="30">
        <f>'Equity Volume Data'!Y429*'Equity Price Data'!AB430</f>
        <v>16961.35</v>
      </c>
      <c r="W429" s="30">
        <f>'Equity Volume Data'!Z429*'Equity Price Data'!AC430</f>
        <v>11258.04</v>
      </c>
      <c r="X429" s="30">
        <f>'Equity Volume Data'!AA429*'Equity Price Data'!AD430</f>
        <v>0</v>
      </c>
      <c r="Y429" s="30">
        <f>'Equity Volume Data'!AB429*'Equity Price Data'!AE430</f>
        <v>5380.31</v>
      </c>
      <c r="Z429" s="30">
        <f>'Equity Volume Data'!AC429*'Equity Price Data'!AF430</f>
        <v>14280</v>
      </c>
      <c r="AA429" s="30">
        <f>'Equity Volume Data'!AD429*'Equity Price Data'!AG430</f>
        <v>23261.1</v>
      </c>
      <c r="AB429" s="30">
        <f>'Equity Volume Data'!AE429*'Equity Price Data'!AH430</f>
        <v>18745.2</v>
      </c>
      <c r="AC429" s="30">
        <f>'Equity Volume Data'!AF429*'Equity Price Data'!AI430</f>
        <v>13496</v>
      </c>
      <c r="AD429" s="30">
        <f>'Equity Volume Data'!AG429*'Equity Price Data'!AJ430</f>
        <v>16497.9</v>
      </c>
      <c r="AE429" s="30">
        <f>'Equity Volume Data'!AH429*'Equity Price Data'!AK430</f>
        <v>0</v>
      </c>
      <c r="AF429" s="30">
        <f>'Equity Volume Data'!AI429*'Equity Price Data'!AL430</f>
        <v>28898.85</v>
      </c>
      <c r="AG429" s="30">
        <f>'Equity Volume Data'!AJ429*'Equity Price Data'!AM430</f>
        <v>55783.2</v>
      </c>
      <c r="AH429" s="30">
        <f>'Equity Volume Data'!AK429*'Equity Price Data'!AN430</f>
        <v>38036</v>
      </c>
      <c r="AI429" s="30">
        <f>'Equity Volume Data'!AL429*'Equity Price Data'!AO430</f>
        <v>29741.25</v>
      </c>
      <c r="AJ429" s="30">
        <f>'Equity Volume Data'!AM429*'Equity Price Data'!AP430</f>
        <v>22526.4</v>
      </c>
      <c r="AK429" s="30">
        <f>'Equity Volume Data'!AN429*'Equity Price Data'!AQ430</f>
        <v>24676.88</v>
      </c>
      <c r="AL429" s="30">
        <f>'Equity Volume Data'!AO429*'Equity Price Data'!AR430</f>
        <v>48049.6</v>
      </c>
      <c r="AM429" s="30">
        <f>'Equity Volume Data'!AP429*'Equity Price Data'!AS430</f>
        <v>41646.5</v>
      </c>
      <c r="AN429" s="30">
        <f>'Equity Volume Data'!AQ429*'Equity Price Data'!AT430</f>
        <v>0</v>
      </c>
      <c r="AO429" s="30">
        <f>'Equity Volume Data'!AR429*'Equity Price Data'!AU430</f>
        <v>31913.98</v>
      </c>
      <c r="AP429" s="30">
        <f>'Equity Volume Data'!AS429*'Equity Price Data'!AV430</f>
        <v>25172.5</v>
      </c>
      <c r="AQ429" s="30">
        <f>'Equity Volume Data'!AT429*'Equity Price Data'!AW430</f>
        <v>16871.8</v>
      </c>
      <c r="AR429" s="30">
        <f>'Equity Volume Data'!AU429*'Equity Price Data'!AX430</f>
        <v>14880.79</v>
      </c>
      <c r="AS429" s="30">
        <f>'Equity Volume Data'!AV429*'Equity Price Data'!AY430</f>
        <v>57669.6</v>
      </c>
      <c r="AT429" s="30">
        <f>'Equity Volume Data'!AW429*'Equity Price Data'!AZ430</f>
        <v>33465.6</v>
      </c>
      <c r="AU429" s="30">
        <f>'Equity Volume Data'!AX429*'Equity Price Data'!BA430</f>
        <v>0</v>
      </c>
      <c r="AV429" s="30">
        <f>'Equity Volume Data'!AY429*'Equity Price Data'!BB430</f>
        <v>26769.84</v>
      </c>
      <c r="AW429" s="30">
        <f>'Equity Volume Data'!AZ429*'Equity Price Data'!BC430</f>
        <v>3622</v>
      </c>
      <c r="AX429" s="30">
        <f>'Equity Volume Data'!BA429*'Equity Price Data'!BD430</f>
        <v>0</v>
      </c>
      <c r="AY429" s="30">
        <f>'Equity Volume Data'!BB429*'Equity Price Data'!BE430</f>
        <v>37282.5</v>
      </c>
      <c r="AZ429" s="30">
        <f>'Equity Volume Data'!BC429*'Equity Price Data'!BF430</f>
        <v>8326.5</v>
      </c>
      <c r="BA429" s="30">
        <f>'Equity Volume Data'!BD429*'Equity Price Data'!BG430</f>
        <v>5035</v>
      </c>
      <c r="BB429" s="30">
        <f>'Equity Volume Data'!BE429*'Equity Price Data'!BH430</f>
        <v>16102.4</v>
      </c>
      <c r="BC429" s="30">
        <f>'Equity Volume Data'!BF429*'Equity Price Data'!BI430</f>
        <v>32740.96</v>
      </c>
      <c r="BD429" s="30">
        <f>'Equity Volume Data'!BG429*'Equity Price Data'!BJ430</f>
        <v>39296.37</v>
      </c>
      <c r="BE429" s="30">
        <f>'Equity Volume Data'!BH429*'Equity Price Data'!BK430</f>
        <v>14349.93</v>
      </c>
      <c r="BF429" s="30">
        <f>'Equity Volume Data'!BI429*'Equity Price Data'!BL430</f>
        <v>8964.8</v>
      </c>
      <c r="BG429" s="30">
        <f>'Equity Volume Data'!BJ429*'Equity Price Data'!BM430</f>
        <v>38500.22</v>
      </c>
      <c r="BH429" s="30">
        <f>'Equity Volume Data'!BK429*'Equity Price Data'!BN430</f>
        <v>0</v>
      </c>
      <c r="BI429" s="30">
        <f>'Equity Volume Data'!BL429*'Equity Price Data'!BO430</f>
        <v>37208</v>
      </c>
      <c r="BJ429" s="30">
        <f>'Equity Volume Data'!BM429*'Equity Price Data'!BP430</f>
        <v>21202.5</v>
      </c>
      <c r="BK429" s="30">
        <f>'Equity Volume Data'!BN429*'Equity Price Data'!BQ430</f>
        <v>89343.16</v>
      </c>
      <c r="BL429" s="30">
        <f>'Equity Volume Data'!BO429*'Equity Price Data'!BR430</f>
        <v>616.64</v>
      </c>
      <c r="BM429" s="30">
        <f>'Equity Volume Data'!BP429*'Equity Price Data'!BS430</f>
        <v>11104.32</v>
      </c>
      <c r="BN429" s="30">
        <f>'Equity Volume Data'!BQ429*'Equity Price Data'!BT430</f>
        <v>20794.68</v>
      </c>
      <c r="BO429" s="30">
        <f>'Equity Volume Data'!BR429*'Equity Price Data'!BU430</f>
        <v>68782</v>
      </c>
    </row>
    <row r="430">
      <c r="A430" s="25">
        <f>'Equity Price Data'!A431</f>
        <v>46050.66667</v>
      </c>
      <c r="B430" s="29">
        <f t="shared" si="1"/>
        <v>1638616.39</v>
      </c>
      <c r="C430" s="30">
        <f>'Equity Volume Data'!F430*'Equity Price Data'!I431</f>
        <v>3894.54</v>
      </c>
      <c r="D430" s="30">
        <f>'Equity Volume Data'!G430*'Equity Price Data'!J431</f>
        <v>63182.6</v>
      </c>
      <c r="E430" s="30">
        <f>'Equity Volume Data'!H430*'Equity Price Data'!K431</f>
        <v>13975.5</v>
      </c>
      <c r="F430" s="30">
        <f>'Equity Volume Data'!I430*'Equity Price Data'!L431</f>
        <v>65648.64</v>
      </c>
      <c r="G430" s="30">
        <f>'Equity Volume Data'!J430*'Equity Price Data'!M431</f>
        <v>27950.25</v>
      </c>
      <c r="H430" s="30">
        <f>'Equity Volume Data'!K430*'Equity Price Data'!N431</f>
        <v>22353.2</v>
      </c>
      <c r="I430" s="30">
        <f>'Equity Volume Data'!L430*'Equity Price Data'!O431</f>
        <v>26550</v>
      </c>
      <c r="J430" s="30">
        <f>'Equity Volume Data'!M430*'Equity Price Data'!P431</f>
        <v>48295.98</v>
      </c>
      <c r="K430" s="30">
        <f>'Equity Volume Data'!N430*'Equity Price Data'!Q431</f>
        <v>14192</v>
      </c>
      <c r="L430" s="30">
        <f>'Equity Volume Data'!O430*'Equity Price Data'!R431</f>
        <v>21154.43</v>
      </c>
      <c r="M430" s="30">
        <f>'Equity Volume Data'!P430*'Equity Price Data'!S431</f>
        <v>13693.34</v>
      </c>
      <c r="N430" s="30">
        <f>'Equity Volume Data'!Q430*'Equity Price Data'!T431</f>
        <v>4632.8</v>
      </c>
      <c r="O430" s="30">
        <f>'Equity Volume Data'!R430*'Equity Price Data'!U431</f>
        <v>96492</v>
      </c>
      <c r="P430" s="30">
        <f>'Equity Volume Data'!S430*'Equity Price Data'!V431</f>
        <v>55915.53</v>
      </c>
      <c r="Q430" s="30">
        <f>'Equity Volume Data'!T430*'Equity Price Data'!W431</f>
        <v>21628.8</v>
      </c>
      <c r="R430" s="30">
        <f>'Equity Volume Data'!U430*'Equity Price Data'!X431</f>
        <v>13594.4</v>
      </c>
      <c r="S430" s="30">
        <f>'Equity Volume Data'!V430*'Equity Price Data'!Y431</f>
        <v>23969.44</v>
      </c>
      <c r="T430" s="30">
        <f>'Equity Volume Data'!W430*'Equity Price Data'!Z431</f>
        <v>15730</v>
      </c>
      <c r="U430" s="30">
        <f>'Equity Volume Data'!X430*'Equity Price Data'!AA431</f>
        <v>19287.84</v>
      </c>
      <c r="V430" s="30">
        <f>'Equity Volume Data'!Y430*'Equity Price Data'!AB431</f>
        <v>16933.98</v>
      </c>
      <c r="W430" s="30">
        <f>'Equity Volume Data'!Z430*'Equity Price Data'!AC431</f>
        <v>11261.49</v>
      </c>
      <c r="X430" s="30">
        <f>'Equity Volume Data'!AA430*'Equity Price Data'!AD431</f>
        <v>0</v>
      </c>
      <c r="Y430" s="30">
        <f>'Equity Volume Data'!AB430*'Equity Price Data'!AE431</f>
        <v>5269.81</v>
      </c>
      <c r="Z430" s="30">
        <f>'Equity Volume Data'!AC430*'Equity Price Data'!AF431</f>
        <v>14275.5</v>
      </c>
      <c r="AA430" s="30">
        <f>'Equity Volume Data'!AD430*'Equity Price Data'!AG431</f>
        <v>23388.6</v>
      </c>
      <c r="AB430" s="30">
        <f>'Equity Volume Data'!AE430*'Equity Price Data'!AH431</f>
        <v>18879</v>
      </c>
      <c r="AC430" s="30">
        <f>'Equity Volume Data'!AF430*'Equity Price Data'!AI431</f>
        <v>13338.4</v>
      </c>
      <c r="AD430" s="30">
        <f>'Equity Volume Data'!AG430*'Equity Price Data'!AJ431</f>
        <v>16050.6</v>
      </c>
      <c r="AE430" s="30">
        <f>'Equity Volume Data'!AH430*'Equity Price Data'!AK431</f>
        <v>0</v>
      </c>
      <c r="AF430" s="30">
        <f>'Equity Volume Data'!AI430*'Equity Price Data'!AL431</f>
        <v>28642.6</v>
      </c>
      <c r="AG430" s="30">
        <f>'Equity Volume Data'!AJ430*'Equity Price Data'!AM431</f>
        <v>56208.6</v>
      </c>
      <c r="AH430" s="30">
        <f>'Equity Volume Data'!AK430*'Equity Price Data'!AN431</f>
        <v>37530</v>
      </c>
      <c r="AI430" s="30">
        <f>'Equity Volume Data'!AL430*'Equity Price Data'!AO431</f>
        <v>29613.5</v>
      </c>
      <c r="AJ430" s="30">
        <f>'Equity Volume Data'!AM430*'Equity Price Data'!AP431</f>
        <v>22417.2</v>
      </c>
      <c r="AK430" s="30">
        <f>'Equity Volume Data'!AN430*'Equity Price Data'!AQ431</f>
        <v>24535.88</v>
      </c>
      <c r="AL430" s="30">
        <f>'Equity Volume Data'!AO430*'Equity Price Data'!AR431</f>
        <v>48123.2</v>
      </c>
      <c r="AM430" s="30">
        <f>'Equity Volume Data'!AP430*'Equity Price Data'!AS431</f>
        <v>41808.9</v>
      </c>
      <c r="AN430" s="30">
        <f>'Equity Volume Data'!AQ430*'Equity Price Data'!AT431</f>
        <v>0</v>
      </c>
      <c r="AO430" s="30">
        <f>'Equity Volume Data'!AR430*'Equity Price Data'!AU431</f>
        <v>32212.88</v>
      </c>
      <c r="AP430" s="30">
        <f>'Equity Volume Data'!AS430*'Equity Price Data'!AV431</f>
        <v>25197.5</v>
      </c>
      <c r="AQ430" s="30">
        <f>'Equity Volume Data'!AT430*'Equity Price Data'!AW431</f>
        <v>16777.2</v>
      </c>
      <c r="AR430" s="30">
        <f>'Equity Volume Data'!AU430*'Equity Price Data'!AX431</f>
        <v>14943.23</v>
      </c>
      <c r="AS430" s="30">
        <f>'Equity Volume Data'!AV430*'Equity Price Data'!AY431</f>
        <v>57795.6</v>
      </c>
      <c r="AT430" s="30">
        <f>'Equity Volume Data'!AW430*'Equity Price Data'!AZ431</f>
        <v>33626.88</v>
      </c>
      <c r="AU430" s="30">
        <f>'Equity Volume Data'!AX430*'Equity Price Data'!BA431</f>
        <v>0</v>
      </c>
      <c r="AV430" s="30">
        <f>'Equity Volume Data'!AY430*'Equity Price Data'!BB431</f>
        <v>27195.84</v>
      </c>
      <c r="AW430" s="30">
        <f>'Equity Volume Data'!AZ430*'Equity Price Data'!BC431</f>
        <v>3544</v>
      </c>
      <c r="AX430" s="30">
        <f>'Equity Volume Data'!BA430*'Equity Price Data'!BD431</f>
        <v>0</v>
      </c>
      <c r="AY430" s="30">
        <f>'Equity Volume Data'!BB430*'Equity Price Data'!BE431</f>
        <v>35403.75</v>
      </c>
      <c r="AZ430" s="30">
        <f>'Equity Volume Data'!BC430*'Equity Price Data'!BF431</f>
        <v>8112</v>
      </c>
      <c r="BA430" s="30">
        <f>'Equity Volume Data'!BD430*'Equity Price Data'!BG431</f>
        <v>4913.4</v>
      </c>
      <c r="BB430" s="30">
        <f>'Equity Volume Data'!BE430*'Equity Price Data'!BH431</f>
        <v>15956.8</v>
      </c>
      <c r="BC430" s="30">
        <f>'Equity Volume Data'!BF430*'Equity Price Data'!BI431</f>
        <v>31924.24</v>
      </c>
      <c r="BD430" s="30">
        <f>'Equity Volume Data'!BG430*'Equity Price Data'!BJ431</f>
        <v>39671.25</v>
      </c>
      <c r="BE430" s="30">
        <f>'Equity Volume Data'!BH430*'Equity Price Data'!BK431</f>
        <v>13984.46</v>
      </c>
      <c r="BF430" s="30">
        <f>'Equity Volume Data'!BI430*'Equity Price Data'!BL431</f>
        <v>8755.6</v>
      </c>
      <c r="BG430" s="30">
        <f>'Equity Volume Data'!BJ430*'Equity Price Data'!BM431</f>
        <v>39195.22</v>
      </c>
      <c r="BH430" s="30">
        <f>'Equity Volume Data'!BK430*'Equity Price Data'!BN431</f>
        <v>0</v>
      </c>
      <c r="BI430" s="30">
        <f>'Equity Volume Data'!BL430*'Equity Price Data'!BO431</f>
        <v>36433.6</v>
      </c>
      <c r="BJ430" s="30">
        <f>'Equity Volume Data'!BM430*'Equity Price Data'!BP431</f>
        <v>22051.5</v>
      </c>
      <c r="BK430" s="30">
        <f>'Equity Volume Data'!BN430*'Equity Price Data'!BQ431</f>
        <v>89397.22</v>
      </c>
      <c r="BL430" s="30">
        <f>'Equity Volume Data'!BO430*'Equity Price Data'!BR431</f>
        <v>609.59</v>
      </c>
      <c r="BM430" s="30">
        <f>'Equity Volume Data'!BP430*'Equity Price Data'!BS431</f>
        <v>11116.8</v>
      </c>
      <c r="BN430" s="30">
        <f>'Equity Volume Data'!BQ430*'Equity Price Data'!BT431</f>
        <v>20597.28</v>
      </c>
      <c r="BO430" s="30">
        <f>'Equity Volume Data'!BR430*'Equity Price Data'!BU431</f>
        <v>68782</v>
      </c>
    </row>
    <row r="431">
      <c r="A431" s="25">
        <f>'Equity Price Data'!A432</f>
        <v>46051.66667</v>
      </c>
      <c r="B431" s="29">
        <f t="shared" si="1"/>
        <v>1641209.65</v>
      </c>
      <c r="C431" s="30">
        <f>'Equity Volume Data'!F431*'Equity Price Data'!I432</f>
        <v>3791.45</v>
      </c>
      <c r="D431" s="30">
        <f>'Equity Volume Data'!G431*'Equity Price Data'!J432</f>
        <v>62849.8</v>
      </c>
      <c r="E431" s="30">
        <f>'Equity Volume Data'!H431*'Equity Price Data'!K432</f>
        <v>14190</v>
      </c>
      <c r="F431" s="30">
        <f>'Equity Volume Data'!I431*'Equity Price Data'!L432</f>
        <v>66119.68</v>
      </c>
      <c r="G431" s="30">
        <f>'Equity Volume Data'!J431*'Equity Price Data'!M432</f>
        <v>28331.22</v>
      </c>
      <c r="H431" s="30">
        <f>'Equity Volume Data'!K431*'Equity Price Data'!N432</f>
        <v>22840.12</v>
      </c>
      <c r="I431" s="30">
        <f>'Equity Volume Data'!L431*'Equity Price Data'!O432</f>
        <v>26880</v>
      </c>
      <c r="J431" s="30">
        <f>'Equity Volume Data'!M431*'Equity Price Data'!P432</f>
        <v>48632.58</v>
      </c>
      <c r="K431" s="30">
        <f>'Equity Volume Data'!N431*'Equity Price Data'!Q432</f>
        <v>14434</v>
      </c>
      <c r="L431" s="30">
        <f>'Equity Volume Data'!O431*'Equity Price Data'!R432</f>
        <v>21317.78</v>
      </c>
      <c r="M431" s="30">
        <f>'Equity Volume Data'!P431*'Equity Price Data'!S432</f>
        <v>13480.18</v>
      </c>
      <c r="N431" s="30">
        <f>'Equity Volume Data'!Q431*'Equity Price Data'!T432</f>
        <v>4783.2</v>
      </c>
      <c r="O431" s="30">
        <f>'Equity Volume Data'!R431*'Equity Price Data'!U432</f>
        <v>99786</v>
      </c>
      <c r="P431" s="30">
        <f>'Equity Volume Data'!S431*'Equity Price Data'!V432</f>
        <v>55740.39</v>
      </c>
      <c r="Q431" s="30">
        <f>'Equity Volume Data'!T431*'Equity Price Data'!W432</f>
        <v>21385.2</v>
      </c>
      <c r="R431" s="30">
        <f>'Equity Volume Data'!U431*'Equity Price Data'!X432</f>
        <v>13695.2</v>
      </c>
      <c r="S431" s="30">
        <f>'Equity Volume Data'!V431*'Equity Price Data'!Y432</f>
        <v>23871.76</v>
      </c>
      <c r="T431" s="30">
        <f>'Equity Volume Data'!W431*'Equity Price Data'!Z432</f>
        <v>15872.5</v>
      </c>
      <c r="U431" s="30">
        <f>'Equity Volume Data'!X431*'Equity Price Data'!AA432</f>
        <v>19385.52</v>
      </c>
      <c r="V431" s="30">
        <f>'Equity Volume Data'!Y431*'Equity Price Data'!AB432</f>
        <v>17059.56</v>
      </c>
      <c r="W431" s="30">
        <f>'Equity Volume Data'!Z431*'Equity Price Data'!AC432</f>
        <v>11553.36</v>
      </c>
      <c r="X431" s="30">
        <f>'Equity Volume Data'!AA431*'Equity Price Data'!AD432</f>
        <v>0</v>
      </c>
      <c r="Y431" s="30">
        <f>'Equity Volume Data'!AB431*'Equity Price Data'!AE432</f>
        <v>5292.04</v>
      </c>
      <c r="Z431" s="30">
        <f>'Equity Volume Data'!AC431*'Equity Price Data'!AF432</f>
        <v>14161.5</v>
      </c>
      <c r="AA431" s="30">
        <f>'Equity Volume Data'!AD431*'Equity Price Data'!AG432</f>
        <v>23886.7</v>
      </c>
      <c r="AB431" s="30">
        <f>'Equity Volume Data'!AE431*'Equity Price Data'!AH432</f>
        <v>19195.8</v>
      </c>
      <c r="AC431" s="30">
        <f>'Equity Volume Data'!AF431*'Equity Price Data'!AI432</f>
        <v>13538</v>
      </c>
      <c r="AD431" s="30">
        <f>'Equity Volume Data'!AG431*'Equity Price Data'!AJ432</f>
        <v>15747.75</v>
      </c>
      <c r="AE431" s="30">
        <f>'Equity Volume Data'!AH431*'Equity Price Data'!AK432</f>
        <v>0</v>
      </c>
      <c r="AF431" s="30">
        <f>'Equity Volume Data'!AI431*'Equity Price Data'!AL432</f>
        <v>28607.75</v>
      </c>
      <c r="AG431" s="30">
        <f>'Equity Volume Data'!AJ431*'Equity Price Data'!AM432</f>
        <v>56407.2</v>
      </c>
      <c r="AH431" s="30">
        <f>'Equity Volume Data'!AK431*'Equity Price Data'!AN432</f>
        <v>37181</v>
      </c>
      <c r="AI431" s="30">
        <f>'Equity Volume Data'!AL431*'Equity Price Data'!AO432</f>
        <v>29193.5</v>
      </c>
      <c r="AJ431" s="30">
        <f>'Equity Volume Data'!AM431*'Equity Price Data'!AP432</f>
        <v>22763</v>
      </c>
      <c r="AK431" s="30">
        <f>'Equity Volume Data'!AN431*'Equity Price Data'!AQ432</f>
        <v>23854.85</v>
      </c>
      <c r="AL431" s="30">
        <f>'Equity Volume Data'!AO431*'Equity Price Data'!AR432</f>
        <v>49027.2</v>
      </c>
      <c r="AM431" s="30">
        <f>'Equity Volume Data'!AP431*'Equity Price Data'!AS432</f>
        <v>43575.7</v>
      </c>
      <c r="AN431" s="30">
        <f>'Equity Volume Data'!AQ431*'Equity Price Data'!AT432</f>
        <v>0</v>
      </c>
      <c r="AO431" s="30">
        <f>'Equity Volume Data'!AR431*'Equity Price Data'!AU432</f>
        <v>32921.7</v>
      </c>
      <c r="AP431" s="30">
        <f>'Equity Volume Data'!AS431*'Equity Price Data'!AV432</f>
        <v>25250</v>
      </c>
      <c r="AQ431" s="30">
        <f>'Equity Volume Data'!AT431*'Equity Price Data'!AW432</f>
        <v>17210.6</v>
      </c>
      <c r="AR431" s="30">
        <f>'Equity Volume Data'!AU431*'Equity Price Data'!AX432</f>
        <v>13861.68</v>
      </c>
      <c r="AS431" s="30">
        <f>'Equity Volume Data'!AV431*'Equity Price Data'!AY432</f>
        <v>52020</v>
      </c>
      <c r="AT431" s="30">
        <f>'Equity Volume Data'!AW431*'Equity Price Data'!AZ432</f>
        <v>33861.12</v>
      </c>
      <c r="AU431" s="30">
        <f>'Equity Volume Data'!AX431*'Equity Price Data'!BA432</f>
        <v>0</v>
      </c>
      <c r="AV431" s="30">
        <f>'Equity Volume Data'!AY431*'Equity Price Data'!BB432</f>
        <v>27336.42</v>
      </c>
      <c r="AW431" s="30">
        <f>'Equity Volume Data'!AZ431*'Equity Price Data'!BC432</f>
        <v>3486.4</v>
      </c>
      <c r="AX431" s="30">
        <f>'Equity Volume Data'!BA431*'Equity Price Data'!BD432</f>
        <v>0</v>
      </c>
      <c r="AY431" s="30">
        <f>'Equity Volume Data'!BB431*'Equity Price Data'!BE432</f>
        <v>34168.5</v>
      </c>
      <c r="AZ431" s="30">
        <f>'Equity Volume Data'!BC431*'Equity Price Data'!BF432</f>
        <v>7966.5</v>
      </c>
      <c r="BA431" s="30">
        <f>'Equity Volume Data'!BD431*'Equity Price Data'!BG432</f>
        <v>4959</v>
      </c>
      <c r="BB431" s="30">
        <f>'Equity Volume Data'!BE431*'Equity Price Data'!BH432</f>
        <v>15990.4</v>
      </c>
      <c r="BC431" s="30">
        <f>'Equity Volume Data'!BF431*'Equity Price Data'!BI432</f>
        <v>32209.6</v>
      </c>
      <c r="BD431" s="30">
        <f>'Equity Volume Data'!BG431*'Equity Price Data'!BJ432</f>
        <v>40316.64</v>
      </c>
      <c r="BE431" s="30">
        <f>'Equity Volume Data'!BH431*'Equity Price Data'!BK432</f>
        <v>13619.68</v>
      </c>
      <c r="BF431" s="30">
        <f>'Equity Volume Data'!BI431*'Equity Price Data'!BL432</f>
        <v>9082.8</v>
      </c>
      <c r="BG431" s="30">
        <f>'Equity Volume Data'!BJ431*'Equity Price Data'!BM432</f>
        <v>38633.66</v>
      </c>
      <c r="BH431" s="30">
        <f>'Equity Volume Data'!BK431*'Equity Price Data'!BN432</f>
        <v>0</v>
      </c>
      <c r="BI431" s="30">
        <f>'Equity Volume Data'!BL431*'Equity Price Data'!BO432</f>
        <v>37372.8</v>
      </c>
      <c r="BJ431" s="30">
        <f>'Equity Volume Data'!BM431*'Equity Price Data'!BP432</f>
        <v>21921.75</v>
      </c>
      <c r="BK431" s="30">
        <f>'Equity Volume Data'!BN431*'Equity Price Data'!BQ432</f>
        <v>89505.34</v>
      </c>
      <c r="BL431" s="30">
        <f>'Equity Volume Data'!BO431*'Equity Price Data'!BR432</f>
        <v>614.29</v>
      </c>
      <c r="BM431" s="30">
        <f>'Equity Volume Data'!BP431*'Equity Price Data'!BS432</f>
        <v>10710.24</v>
      </c>
      <c r="BN431" s="30">
        <f>'Equity Volume Data'!BQ431*'Equity Price Data'!BT432</f>
        <v>20977.04</v>
      </c>
      <c r="BO431" s="30">
        <f>'Equity Volume Data'!BR431*'Equity Price Data'!BU432</f>
        <v>68782</v>
      </c>
    </row>
    <row r="432">
      <c r="A432" s="25">
        <f>'Equity Price Data'!A433</f>
        <v>46052.66667</v>
      </c>
      <c r="B432" s="29">
        <f t="shared" si="1"/>
        <v>1633174.56</v>
      </c>
      <c r="C432" s="30">
        <f>'Equity Volume Data'!F432*'Equity Price Data'!I433</f>
        <v>3812.25</v>
      </c>
      <c r="D432" s="30">
        <f>'Equity Volume Data'!G432*'Equity Price Data'!J433</f>
        <v>62218</v>
      </c>
      <c r="E432" s="30">
        <f>'Equity Volume Data'!H432*'Equity Price Data'!K433</f>
        <v>14204.3</v>
      </c>
      <c r="F432" s="30">
        <f>'Equity Volume Data'!I432*'Equity Price Data'!L433</f>
        <v>66426.88</v>
      </c>
      <c r="G432" s="30">
        <f>'Equity Volume Data'!J432*'Equity Price Data'!M433</f>
        <v>26752.56</v>
      </c>
      <c r="H432" s="30">
        <f>'Equity Volume Data'!K432*'Equity Price Data'!N433</f>
        <v>22544.96</v>
      </c>
      <c r="I432" s="30">
        <f>'Equity Volume Data'!L432*'Equity Price Data'!O433</f>
        <v>26750</v>
      </c>
      <c r="J432" s="30">
        <f>'Equity Volume Data'!M432*'Equity Price Data'!P433</f>
        <v>49014.06</v>
      </c>
      <c r="K432" s="30">
        <f>'Equity Volume Data'!N432*'Equity Price Data'!Q433</f>
        <v>13746</v>
      </c>
      <c r="L432" s="30">
        <f>'Equity Volume Data'!O432*'Equity Price Data'!R433</f>
        <v>21766.69</v>
      </c>
      <c r="M432" s="30">
        <f>'Equity Volume Data'!P432*'Equity Price Data'!S433</f>
        <v>13655.38</v>
      </c>
      <c r="N432" s="30">
        <f>'Equity Volume Data'!Q432*'Equity Price Data'!T433</f>
        <v>4766.4</v>
      </c>
      <c r="O432" s="30">
        <f>'Equity Volume Data'!R432*'Equity Price Data'!U433</f>
        <v>98604</v>
      </c>
      <c r="P432" s="30">
        <f>'Equity Volume Data'!S432*'Equity Price Data'!V433</f>
        <v>51453.63</v>
      </c>
      <c r="Q432" s="30">
        <f>'Equity Volume Data'!T432*'Equity Price Data'!W433</f>
        <v>21541.2</v>
      </c>
      <c r="R432" s="30">
        <f>'Equity Volume Data'!U432*'Equity Price Data'!X433</f>
        <v>14152</v>
      </c>
      <c r="S432" s="30">
        <f>'Equity Volume Data'!V432*'Equity Price Data'!Y433</f>
        <v>24121.68</v>
      </c>
      <c r="T432" s="30">
        <f>'Equity Volume Data'!W432*'Equity Price Data'!Z433</f>
        <v>15745</v>
      </c>
      <c r="U432" s="30">
        <f>'Equity Volume Data'!X432*'Equity Price Data'!AA433</f>
        <v>19749.84</v>
      </c>
      <c r="V432" s="30">
        <f>'Equity Volume Data'!Y432*'Equity Price Data'!AB433</f>
        <v>17167.43</v>
      </c>
      <c r="W432" s="30">
        <f>'Equity Volume Data'!Z432*'Equity Price Data'!AC433</f>
        <v>11450.55</v>
      </c>
      <c r="X432" s="30">
        <f>'Equity Volume Data'!AA432*'Equity Price Data'!AD433</f>
        <v>0</v>
      </c>
      <c r="Y432" s="30">
        <f>'Equity Volume Data'!AB432*'Equity Price Data'!AE433</f>
        <v>5334.29</v>
      </c>
      <c r="Z432" s="30">
        <f>'Equity Volume Data'!AC432*'Equity Price Data'!AF433</f>
        <v>13683</v>
      </c>
      <c r="AA432" s="30">
        <f>'Equity Volume Data'!AD432*'Equity Price Data'!AG433</f>
        <v>24038</v>
      </c>
      <c r="AB432" s="30">
        <f>'Equity Volume Data'!AE432*'Equity Price Data'!AH433</f>
        <v>19335</v>
      </c>
      <c r="AC432" s="30">
        <f>'Equity Volume Data'!AF432*'Equity Price Data'!AI433</f>
        <v>13326.8</v>
      </c>
      <c r="AD432" s="30">
        <f>'Equity Volume Data'!AG432*'Equity Price Data'!AJ433</f>
        <v>15799.05</v>
      </c>
      <c r="AE432" s="30">
        <f>'Equity Volume Data'!AH432*'Equity Price Data'!AK433</f>
        <v>0</v>
      </c>
      <c r="AF432" s="30">
        <f>'Equity Volume Data'!AI432*'Equity Price Data'!AL433</f>
        <v>29099.75</v>
      </c>
      <c r="AG432" s="30">
        <f>'Equity Volume Data'!AJ432*'Equity Price Data'!AM433</f>
        <v>56124.6</v>
      </c>
      <c r="AH432" s="30">
        <f>'Equity Volume Data'!AK432*'Equity Price Data'!AN433</f>
        <v>37459</v>
      </c>
      <c r="AI432" s="30">
        <f>'Equity Volume Data'!AL432*'Equity Price Data'!AO433</f>
        <v>29575</v>
      </c>
      <c r="AJ432" s="30">
        <f>'Equity Volume Data'!AM432*'Equity Price Data'!AP433</f>
        <v>22591.4</v>
      </c>
      <c r="AK432" s="30">
        <f>'Equity Volume Data'!AN432*'Equity Price Data'!AQ433</f>
        <v>23698.34</v>
      </c>
      <c r="AL432" s="30">
        <f>'Equity Volume Data'!AO432*'Equity Price Data'!AR433</f>
        <v>48942.4</v>
      </c>
      <c r="AM432" s="30">
        <f>'Equity Volume Data'!AP432*'Equity Price Data'!AS433</f>
        <v>44395.4</v>
      </c>
      <c r="AN432" s="30">
        <f>'Equity Volume Data'!AQ432*'Equity Price Data'!AT433</f>
        <v>0</v>
      </c>
      <c r="AO432" s="30">
        <f>'Equity Volume Data'!AR432*'Equity Price Data'!AU433</f>
        <v>32545.94</v>
      </c>
      <c r="AP432" s="30">
        <f>'Equity Volume Data'!AS432*'Equity Price Data'!AV433</f>
        <v>25740</v>
      </c>
      <c r="AQ432" s="30">
        <f>'Equity Volume Data'!AT432*'Equity Price Data'!AW433</f>
        <v>17353.6</v>
      </c>
      <c r="AR432" s="30">
        <f>'Equity Volume Data'!AU432*'Equity Price Data'!AX433</f>
        <v>13105.71</v>
      </c>
      <c r="AS432" s="30">
        <f>'Equity Volume Data'!AV432*'Equity Price Data'!AY433</f>
        <v>51634.8</v>
      </c>
      <c r="AT432" s="30">
        <f>'Equity Volume Data'!AW432*'Equity Price Data'!AZ433</f>
        <v>33753.6</v>
      </c>
      <c r="AU432" s="30">
        <f>'Equity Volume Data'!AX432*'Equity Price Data'!BA433</f>
        <v>0</v>
      </c>
      <c r="AV432" s="30">
        <f>'Equity Volume Data'!AY432*'Equity Price Data'!BB433</f>
        <v>27140.46</v>
      </c>
      <c r="AW432" s="30">
        <f>'Equity Volume Data'!AZ432*'Equity Price Data'!BC433</f>
        <v>3416.8</v>
      </c>
      <c r="AX432" s="30">
        <f>'Equity Volume Data'!BA432*'Equity Price Data'!BD433</f>
        <v>0</v>
      </c>
      <c r="AY432" s="30">
        <f>'Equity Volume Data'!BB432*'Equity Price Data'!BE433</f>
        <v>32982.75</v>
      </c>
      <c r="AZ432" s="30">
        <f>'Equity Volume Data'!BC432*'Equity Price Data'!BF433</f>
        <v>7903.5</v>
      </c>
      <c r="BA432" s="30">
        <f>'Equity Volume Data'!BD432*'Equity Price Data'!BG433</f>
        <v>5023.6</v>
      </c>
      <c r="BB432" s="30">
        <f>'Equity Volume Data'!BE432*'Equity Price Data'!BH433</f>
        <v>16074.4</v>
      </c>
      <c r="BC432" s="30">
        <f>'Equity Volume Data'!BF432*'Equity Price Data'!BI433</f>
        <v>31799.6</v>
      </c>
      <c r="BD432" s="30">
        <f>'Equity Volume Data'!BG432*'Equity Price Data'!BJ433</f>
        <v>42005.73</v>
      </c>
      <c r="BE432" s="30">
        <f>'Equity Volume Data'!BH432*'Equity Price Data'!BK433</f>
        <v>13308.03</v>
      </c>
      <c r="BF432" s="30">
        <f>'Equity Volume Data'!BI432*'Equity Price Data'!BL433</f>
        <v>9074.4</v>
      </c>
      <c r="BG432" s="30">
        <f>'Equity Volume Data'!BJ432*'Equity Price Data'!BM433</f>
        <v>37246.44</v>
      </c>
      <c r="BH432" s="30">
        <f>'Equity Volume Data'!BK432*'Equity Price Data'!BN433</f>
        <v>0</v>
      </c>
      <c r="BI432" s="30">
        <f>'Equity Volume Data'!BL432*'Equity Price Data'!BO433</f>
        <v>37616</v>
      </c>
      <c r="BJ432" s="30">
        <f>'Equity Volume Data'!BM432*'Equity Price Data'!BP433</f>
        <v>21519.75</v>
      </c>
      <c r="BK432" s="30">
        <f>'Equity Volume Data'!BN432*'Equity Price Data'!BQ433</f>
        <v>89613.46</v>
      </c>
      <c r="BL432" s="30">
        <f>'Equity Volume Data'!BO432*'Equity Price Data'!BR433</f>
        <v>615.23</v>
      </c>
      <c r="BM432" s="30">
        <f>'Equity Volume Data'!BP432*'Equity Price Data'!BS433</f>
        <v>10667.52</v>
      </c>
      <c r="BN432" s="30">
        <f>'Equity Volume Data'!BQ432*'Equity Price Data'!BT433</f>
        <v>21206.4</v>
      </c>
      <c r="BO432" s="30">
        <f>'Equity Volume Data'!BR432*'Equity Price Data'!BU433</f>
        <v>68782</v>
      </c>
    </row>
    <row r="433">
      <c r="A433" s="25">
        <f>'Equity Price Data'!A434</f>
        <v>46055.66667</v>
      </c>
      <c r="B433" s="29">
        <f t="shared" si="1"/>
        <v>1641409.35</v>
      </c>
      <c r="C433" s="30">
        <f>'Equity Volume Data'!F433*'Equity Price Data'!I434</f>
        <v>3813.94</v>
      </c>
      <c r="D433" s="30">
        <f>'Equity Volume Data'!G433*'Equity Price Data'!J434</f>
        <v>63169.6</v>
      </c>
      <c r="E433" s="30">
        <f>'Equity Volume Data'!H433*'Equity Price Data'!K434</f>
        <v>13922.7</v>
      </c>
      <c r="F433" s="30">
        <f>'Equity Volume Data'!I433*'Equity Price Data'!L434</f>
        <v>69122.56</v>
      </c>
      <c r="G433" s="30">
        <f>'Equity Volume Data'!J433*'Equity Price Data'!M434</f>
        <v>27257.2</v>
      </c>
      <c r="H433" s="30">
        <f>'Equity Volume Data'!K433*'Equity Price Data'!N434</f>
        <v>22862.68</v>
      </c>
      <c r="I433" s="30">
        <f>'Equity Volume Data'!L433*'Equity Price Data'!O434</f>
        <v>27510</v>
      </c>
      <c r="J433" s="30">
        <f>'Equity Volume Data'!M433*'Equity Price Data'!P434</f>
        <v>49703.58</v>
      </c>
      <c r="K433" s="30">
        <f>'Equity Volume Data'!N433*'Equity Price Data'!Q434</f>
        <v>13878</v>
      </c>
      <c r="L433" s="30">
        <f>'Equity Volume Data'!O433*'Equity Price Data'!R434</f>
        <v>21669.89</v>
      </c>
      <c r="M433" s="30">
        <f>'Equity Volume Data'!P433*'Equity Price Data'!S434</f>
        <v>13413.02</v>
      </c>
      <c r="N433" s="30">
        <f>'Equity Volume Data'!Q433*'Equity Price Data'!T434</f>
        <v>4828.8</v>
      </c>
      <c r="O433" s="30">
        <f>'Equity Volume Data'!R433*'Equity Price Data'!U434</f>
        <v>103636.5</v>
      </c>
      <c r="P433" s="30">
        <f>'Equity Volume Data'!S433*'Equity Price Data'!V434</f>
        <v>50127.57</v>
      </c>
      <c r="Q433" s="30">
        <f>'Equity Volume Data'!T433*'Equity Price Data'!W434</f>
        <v>21625.2</v>
      </c>
      <c r="R433" s="30">
        <f>'Equity Volume Data'!U433*'Equity Price Data'!X434</f>
        <v>13922.4</v>
      </c>
      <c r="S433" s="30">
        <f>'Equity Volume Data'!V433*'Equity Price Data'!Y434</f>
        <v>23895.52</v>
      </c>
      <c r="T433" s="30">
        <f>'Equity Volume Data'!W433*'Equity Price Data'!Z434</f>
        <v>16215</v>
      </c>
      <c r="U433" s="30">
        <f>'Equity Volume Data'!X433*'Equity Price Data'!AA434</f>
        <v>19887.12</v>
      </c>
      <c r="V433" s="30">
        <f>'Equity Volume Data'!Y433*'Equity Price Data'!AB434</f>
        <v>16972.62</v>
      </c>
      <c r="W433" s="30">
        <f>'Equity Volume Data'!Z433*'Equity Price Data'!AC434</f>
        <v>11392.59</v>
      </c>
      <c r="X433" s="30">
        <f>'Equity Volume Data'!AA433*'Equity Price Data'!AD434</f>
        <v>0</v>
      </c>
      <c r="Y433" s="30">
        <f>'Equity Volume Data'!AB433*'Equity Price Data'!AE434</f>
        <v>5319.86</v>
      </c>
      <c r="Z433" s="30">
        <f>'Equity Volume Data'!AC433*'Equity Price Data'!AF434</f>
        <v>14067</v>
      </c>
      <c r="AA433" s="30">
        <f>'Equity Volume Data'!AD433*'Equity Price Data'!AG434</f>
        <v>23528</v>
      </c>
      <c r="AB433" s="30">
        <f>'Equity Volume Data'!AE433*'Equity Price Data'!AH434</f>
        <v>20118</v>
      </c>
      <c r="AC433" s="30">
        <f>'Equity Volume Data'!AF433*'Equity Price Data'!AI434</f>
        <v>13453.2</v>
      </c>
      <c r="AD433" s="30">
        <f>'Equity Volume Data'!AG433*'Equity Price Data'!AJ434</f>
        <v>15586.65</v>
      </c>
      <c r="AE433" s="30">
        <f>'Equity Volume Data'!AH433*'Equity Price Data'!AK434</f>
        <v>0</v>
      </c>
      <c r="AF433" s="30">
        <f>'Equity Volume Data'!AI433*'Equity Price Data'!AL434</f>
        <v>29292.45</v>
      </c>
      <c r="AG433" s="30">
        <f>'Equity Volume Data'!AJ433*'Equity Price Data'!AM434</f>
        <v>56779.8</v>
      </c>
      <c r="AH433" s="30">
        <f>'Equity Volume Data'!AK433*'Equity Price Data'!AN434</f>
        <v>37812</v>
      </c>
      <c r="AI433" s="30">
        <f>'Equity Volume Data'!AL433*'Equity Price Data'!AO434</f>
        <v>30164.75</v>
      </c>
      <c r="AJ433" s="30">
        <f>'Equity Volume Data'!AM433*'Equity Price Data'!AP434</f>
        <v>22513.4</v>
      </c>
      <c r="AK433" s="30">
        <f>'Equity Volume Data'!AN433*'Equity Price Data'!AQ434</f>
        <v>23346.31</v>
      </c>
      <c r="AL433" s="30">
        <f>'Equity Volume Data'!AO433*'Equity Price Data'!AR434</f>
        <v>49302.4</v>
      </c>
      <c r="AM433" s="30">
        <f>'Equity Volume Data'!AP433*'Equity Price Data'!AS434</f>
        <v>44520</v>
      </c>
      <c r="AN433" s="30">
        <f>'Equity Volume Data'!AQ433*'Equity Price Data'!AT434</f>
        <v>0</v>
      </c>
      <c r="AO433" s="30">
        <f>'Equity Volume Data'!AR433*'Equity Price Data'!AU434</f>
        <v>32776.52</v>
      </c>
      <c r="AP433" s="30">
        <f>'Equity Volume Data'!AS433*'Equity Price Data'!AV434</f>
        <v>25677.5</v>
      </c>
      <c r="AQ433" s="30">
        <f>'Equity Volume Data'!AT433*'Equity Price Data'!AW434</f>
        <v>17562.6</v>
      </c>
      <c r="AR433" s="30">
        <f>'Equity Volume Data'!AU433*'Equity Price Data'!AX434</f>
        <v>13181.53</v>
      </c>
      <c r="AS433" s="30">
        <f>'Equity Volume Data'!AV433*'Equity Price Data'!AY434</f>
        <v>50804.4</v>
      </c>
      <c r="AT433" s="30">
        <f>'Equity Volume Data'!AW433*'Equity Price Data'!AZ434</f>
        <v>33150.72</v>
      </c>
      <c r="AU433" s="30">
        <f>'Equity Volume Data'!AX433*'Equity Price Data'!BA434</f>
        <v>0</v>
      </c>
      <c r="AV433" s="30">
        <f>'Equity Volume Data'!AY433*'Equity Price Data'!BB434</f>
        <v>26356.62</v>
      </c>
      <c r="AW433" s="30">
        <f>'Equity Volume Data'!AZ433*'Equity Price Data'!BC434</f>
        <v>3446</v>
      </c>
      <c r="AX433" s="30">
        <f>'Equity Volume Data'!BA433*'Equity Price Data'!BD434</f>
        <v>0</v>
      </c>
      <c r="AY433" s="30">
        <f>'Equity Volume Data'!BB433*'Equity Price Data'!BE434</f>
        <v>33246</v>
      </c>
      <c r="AZ433" s="30">
        <f>'Equity Volume Data'!BC433*'Equity Price Data'!BF434</f>
        <v>7849.5</v>
      </c>
      <c r="BA433" s="30">
        <f>'Equity Volume Data'!BD433*'Equity Price Data'!BG434</f>
        <v>5065.4</v>
      </c>
      <c r="BB433" s="30">
        <f>'Equity Volume Data'!BE433*'Equity Price Data'!BH434</f>
        <v>16087.2</v>
      </c>
      <c r="BC433" s="30">
        <f>'Equity Volume Data'!BF433*'Equity Price Data'!BI434</f>
        <v>31868.48</v>
      </c>
      <c r="BD433" s="30">
        <f>'Equity Volume Data'!BG433*'Equity Price Data'!BJ434</f>
        <v>41532.87</v>
      </c>
      <c r="BE433" s="30">
        <f>'Equity Volume Data'!BH433*'Equity Price Data'!BK434</f>
        <v>13380.71</v>
      </c>
      <c r="BF433" s="30">
        <f>'Equity Volume Data'!BI433*'Equity Price Data'!BL434</f>
        <v>9263.2</v>
      </c>
      <c r="BG433" s="30">
        <f>'Equity Volume Data'!BJ433*'Equity Price Data'!BM434</f>
        <v>37249.22</v>
      </c>
      <c r="BH433" s="30">
        <f>'Equity Volume Data'!BK433*'Equity Price Data'!BN434</f>
        <v>0</v>
      </c>
      <c r="BI433" s="30">
        <f>'Equity Volume Data'!BL433*'Equity Price Data'!BO434</f>
        <v>37636.8</v>
      </c>
      <c r="BJ433" s="30">
        <f>'Equity Volume Data'!BM433*'Equity Price Data'!BP434</f>
        <v>21419.25</v>
      </c>
      <c r="BK433" s="30">
        <f>'Equity Volume Data'!BN433*'Equity Price Data'!BQ434</f>
        <v>89451.28</v>
      </c>
      <c r="BL433" s="30">
        <f>'Equity Volume Data'!BO433*'Equity Price Data'!BR434</f>
        <v>642.96</v>
      </c>
      <c r="BM433" s="30">
        <f>'Equity Volume Data'!BP433*'Equity Price Data'!BS434</f>
        <v>10711.68</v>
      </c>
      <c r="BN433" s="30">
        <f>'Equity Volume Data'!BQ433*'Equity Price Data'!BT434</f>
        <v>19636.6</v>
      </c>
      <c r="BO433" s="30">
        <f>'Equity Volume Data'!BR433*'Equity Price Data'!BU434</f>
        <v>68782</v>
      </c>
    </row>
    <row r="434">
      <c r="A434" s="25">
        <f>'Equity Price Data'!A435</f>
        <v>46056.66667</v>
      </c>
      <c r="B434" s="29">
        <f t="shared" si="1"/>
        <v>1645092.01</v>
      </c>
      <c r="C434" s="30">
        <f>'Equity Volume Data'!F434*'Equity Price Data'!I435</f>
        <v>3535.09</v>
      </c>
      <c r="D434" s="30">
        <f>'Equity Volume Data'!G434*'Equity Price Data'!J435</f>
        <v>62041.2</v>
      </c>
      <c r="E434" s="30">
        <f>'Equity Volume Data'!H434*'Equity Price Data'!K435</f>
        <v>13847.9</v>
      </c>
      <c r="F434" s="30">
        <f>'Equity Volume Data'!I434*'Equity Price Data'!L435</f>
        <v>68986.88</v>
      </c>
      <c r="G434" s="30">
        <f>'Equity Volume Data'!J434*'Equity Price Data'!M435</f>
        <v>26449.61</v>
      </c>
      <c r="H434" s="30">
        <f>'Equity Volume Data'!K434*'Equity Price Data'!N435</f>
        <v>22432.16</v>
      </c>
      <c r="I434" s="30">
        <f>'Equity Volume Data'!L434*'Equity Price Data'!O435</f>
        <v>27520</v>
      </c>
      <c r="J434" s="30">
        <f>'Equity Volume Data'!M434*'Equity Price Data'!P435</f>
        <v>50361.48</v>
      </c>
      <c r="K434" s="30">
        <f>'Equity Volume Data'!N434*'Equity Price Data'!Q435</f>
        <v>14548</v>
      </c>
      <c r="L434" s="30">
        <f>'Equity Volume Data'!O434*'Equity Price Data'!R435</f>
        <v>21387.96</v>
      </c>
      <c r="M434" s="30">
        <f>'Equity Volume Data'!P434*'Equity Price Data'!S435</f>
        <v>13376.52</v>
      </c>
      <c r="N434" s="30">
        <f>'Equity Volume Data'!Q434*'Equity Price Data'!T435</f>
        <v>4896</v>
      </c>
      <c r="O434" s="30">
        <f>'Equity Volume Data'!R434*'Equity Price Data'!U435</f>
        <v>105433.5</v>
      </c>
      <c r="P434" s="30">
        <f>'Equity Volume Data'!S434*'Equity Price Data'!V435</f>
        <v>52604.55</v>
      </c>
      <c r="Q434" s="30">
        <f>'Equity Volume Data'!T434*'Equity Price Data'!W435</f>
        <v>20888.4</v>
      </c>
      <c r="R434" s="30">
        <f>'Equity Volume Data'!U434*'Equity Price Data'!X435</f>
        <v>14243.2</v>
      </c>
      <c r="S434" s="30">
        <f>'Equity Volume Data'!V434*'Equity Price Data'!Y435</f>
        <v>24234.32</v>
      </c>
      <c r="T434" s="30">
        <f>'Equity Volume Data'!W434*'Equity Price Data'!Z435</f>
        <v>16492.5</v>
      </c>
      <c r="U434" s="30">
        <f>'Equity Volume Data'!X434*'Equity Price Data'!AA435</f>
        <v>20298.96</v>
      </c>
      <c r="V434" s="30">
        <f>'Equity Volume Data'!Y434*'Equity Price Data'!AB435</f>
        <v>17299.45</v>
      </c>
      <c r="W434" s="30">
        <f>'Equity Volume Data'!Z434*'Equity Price Data'!AC435</f>
        <v>11347.05</v>
      </c>
      <c r="X434" s="30">
        <f>'Equity Volume Data'!AA434*'Equity Price Data'!AD435</f>
        <v>0</v>
      </c>
      <c r="Y434" s="30">
        <f>'Equity Volume Data'!AB434*'Equity Price Data'!AE435</f>
        <v>5214.43</v>
      </c>
      <c r="Z434" s="30">
        <f>'Equity Volume Data'!AC434*'Equity Price Data'!AF435</f>
        <v>13857</v>
      </c>
      <c r="AA434" s="30">
        <f>'Equity Volume Data'!AD434*'Equity Price Data'!AG435</f>
        <v>24434.1</v>
      </c>
      <c r="AB434" s="30">
        <f>'Equity Volume Data'!AE434*'Equity Price Data'!AH435</f>
        <v>21205.8</v>
      </c>
      <c r="AC434" s="30">
        <f>'Equity Volume Data'!AF434*'Equity Price Data'!AI435</f>
        <v>13212.8</v>
      </c>
      <c r="AD434" s="30">
        <f>'Equity Volume Data'!AG434*'Equity Price Data'!AJ435</f>
        <v>15988.95</v>
      </c>
      <c r="AE434" s="30">
        <f>'Equity Volume Data'!AH434*'Equity Price Data'!AK435</f>
        <v>0</v>
      </c>
      <c r="AF434" s="30">
        <f>'Equity Volume Data'!AI434*'Equity Price Data'!AL435</f>
        <v>29372.4</v>
      </c>
      <c r="AG434" s="30">
        <f>'Equity Volume Data'!AJ434*'Equity Price Data'!AM435</f>
        <v>56339.4</v>
      </c>
      <c r="AH434" s="30">
        <f>'Equity Volume Data'!AK434*'Equity Price Data'!AN435</f>
        <v>38110</v>
      </c>
      <c r="AI434" s="30">
        <f>'Equity Volume Data'!AL434*'Equity Price Data'!AO435</f>
        <v>28983.5</v>
      </c>
      <c r="AJ434" s="30">
        <f>'Equity Volume Data'!AM434*'Equity Price Data'!AP435</f>
        <v>21199.1</v>
      </c>
      <c r="AK434" s="30">
        <f>'Equity Volume Data'!AN434*'Equity Price Data'!AQ435</f>
        <v>22507.36</v>
      </c>
      <c r="AL434" s="30">
        <f>'Equity Volume Data'!AO434*'Equity Price Data'!AR435</f>
        <v>50376</v>
      </c>
      <c r="AM434" s="30">
        <f>'Equity Volume Data'!AP434*'Equity Price Data'!AS435</f>
        <v>43978.2</v>
      </c>
      <c r="AN434" s="30">
        <f>'Equity Volume Data'!AQ434*'Equity Price Data'!AT435</f>
        <v>0</v>
      </c>
      <c r="AO434" s="30">
        <f>'Equity Volume Data'!AR434*'Equity Price Data'!AU435</f>
        <v>32503.24</v>
      </c>
      <c r="AP434" s="30">
        <f>'Equity Volume Data'!AS434*'Equity Price Data'!AV435</f>
        <v>25795</v>
      </c>
      <c r="AQ434" s="30">
        <f>'Equity Volume Data'!AT434*'Equity Price Data'!AW435</f>
        <v>16918</v>
      </c>
      <c r="AR434" s="30">
        <f>'Equity Volume Data'!AU434*'Equity Price Data'!AX435</f>
        <v>14408.03</v>
      </c>
      <c r="AS434" s="30">
        <f>'Equity Volume Data'!AV434*'Equity Price Data'!AY435</f>
        <v>49345.2</v>
      </c>
      <c r="AT434" s="30">
        <f>'Equity Volume Data'!AW434*'Equity Price Data'!AZ435</f>
        <v>34106.88</v>
      </c>
      <c r="AU434" s="30">
        <f>'Equity Volume Data'!AX434*'Equity Price Data'!BA435</f>
        <v>0</v>
      </c>
      <c r="AV434" s="30">
        <f>'Equity Volume Data'!AY434*'Equity Price Data'!BB435</f>
        <v>25608.28</v>
      </c>
      <c r="AW434" s="30">
        <f>'Equity Volume Data'!AZ434*'Equity Price Data'!BC435</f>
        <v>3486.4</v>
      </c>
      <c r="AX434" s="30">
        <f>'Equity Volume Data'!BA434*'Equity Price Data'!BD435</f>
        <v>0</v>
      </c>
      <c r="AY434" s="30">
        <f>'Equity Volume Data'!BB434*'Equity Price Data'!BE435</f>
        <v>35523</v>
      </c>
      <c r="AZ434" s="30">
        <f>'Equity Volume Data'!BC434*'Equity Price Data'!BF435</f>
        <v>6255</v>
      </c>
      <c r="BA434" s="30">
        <f>'Equity Volume Data'!BD434*'Equity Price Data'!BG435</f>
        <v>4896.3</v>
      </c>
      <c r="BB434" s="30">
        <f>'Equity Volume Data'!BE434*'Equity Price Data'!BH435</f>
        <v>16280</v>
      </c>
      <c r="BC434" s="30">
        <f>'Equity Volume Data'!BF434*'Equity Price Data'!BI435</f>
        <v>31478.16</v>
      </c>
      <c r="BD434" s="30">
        <f>'Equity Volume Data'!BG434*'Equity Price Data'!BJ435</f>
        <v>42105.84</v>
      </c>
      <c r="BE434" s="30">
        <f>'Equity Volume Data'!BH434*'Equity Price Data'!BK435</f>
        <v>13112.07</v>
      </c>
      <c r="BF434" s="30">
        <f>'Equity Volume Data'!BI434*'Equity Price Data'!BL435</f>
        <v>9256.8</v>
      </c>
      <c r="BG434" s="30">
        <f>'Equity Volume Data'!BJ434*'Equity Price Data'!BM435</f>
        <v>37730.16</v>
      </c>
      <c r="BH434" s="30">
        <f>'Equity Volume Data'!BK434*'Equity Price Data'!BN435</f>
        <v>0</v>
      </c>
      <c r="BI434" s="30">
        <f>'Equity Volume Data'!BL434*'Equity Price Data'!BO435</f>
        <v>38638.4</v>
      </c>
      <c r="BJ434" s="30">
        <f>'Equity Volume Data'!BM434*'Equity Price Data'!BP435</f>
        <v>21313.5</v>
      </c>
      <c r="BK434" s="30">
        <f>'Equity Volume Data'!BN434*'Equity Price Data'!BQ435</f>
        <v>89505.34</v>
      </c>
      <c r="BL434" s="30">
        <f>'Equity Volume Data'!BO434*'Equity Price Data'!BR435</f>
        <v>642.96</v>
      </c>
      <c r="BM434" s="30">
        <f>'Equity Volume Data'!BP434*'Equity Price Data'!BS435</f>
        <v>10804.32</v>
      </c>
      <c r="BN434" s="30">
        <f>'Equity Volume Data'!BQ434*'Equity Price Data'!BT435</f>
        <v>19593.36</v>
      </c>
      <c r="BO434" s="30">
        <f>'Equity Volume Data'!BR434*'Equity Price Data'!BU435</f>
        <v>68782</v>
      </c>
    </row>
    <row r="435">
      <c r="A435" s="25">
        <f>'Equity Price Data'!A436</f>
        <v>46057.66667</v>
      </c>
      <c r="B435" s="29">
        <f t="shared" si="1"/>
        <v>1631278.34</v>
      </c>
      <c r="C435" s="30">
        <f>'Equity Volume Data'!F435*'Equity Price Data'!I436</f>
        <v>3636.23</v>
      </c>
      <c r="D435" s="30">
        <f>'Equity Volume Data'!G435*'Equity Price Data'!J436</f>
        <v>60577.4</v>
      </c>
      <c r="E435" s="30">
        <f>'Equity Volume Data'!H435*'Equity Price Data'!K436</f>
        <v>13673</v>
      </c>
      <c r="F435" s="30">
        <f>'Equity Volume Data'!I435*'Equity Price Data'!L436</f>
        <v>70781.44</v>
      </c>
      <c r="G435" s="30">
        <f>'Equity Volume Data'!J435*'Equity Price Data'!M436</f>
        <v>24700.8</v>
      </c>
      <c r="H435" s="30">
        <f>'Equity Volume Data'!K435*'Equity Price Data'!N436</f>
        <v>22808.16</v>
      </c>
      <c r="I435" s="30">
        <f>'Equity Volume Data'!L435*'Equity Price Data'!O436</f>
        <v>26520</v>
      </c>
      <c r="J435" s="30">
        <f>'Equity Volume Data'!M435*'Equity Price Data'!P436</f>
        <v>51390.66</v>
      </c>
      <c r="K435" s="30">
        <f>'Equity Volume Data'!N435*'Equity Price Data'!Q436</f>
        <v>14444</v>
      </c>
      <c r="L435" s="30">
        <f>'Equity Volume Data'!O435*'Equity Price Data'!R436</f>
        <v>22439.45</v>
      </c>
      <c r="M435" s="30">
        <f>'Equity Volume Data'!P435*'Equity Price Data'!S436</f>
        <v>11023</v>
      </c>
      <c r="N435" s="30">
        <f>'Equity Volume Data'!Q435*'Equity Price Data'!T436</f>
        <v>5084</v>
      </c>
      <c r="O435" s="30">
        <f>'Equity Volume Data'!R435*'Equity Price Data'!U436</f>
        <v>103773</v>
      </c>
      <c r="P435" s="30">
        <f>'Equity Volume Data'!S435*'Equity Price Data'!V436</f>
        <v>47879.94</v>
      </c>
      <c r="Q435" s="30">
        <f>'Equity Volume Data'!T435*'Equity Price Data'!W436</f>
        <v>21178.8</v>
      </c>
      <c r="R435" s="30">
        <f>'Equity Volume Data'!U435*'Equity Price Data'!X436</f>
        <v>14498.4</v>
      </c>
      <c r="S435" s="30">
        <f>'Equity Volume Data'!V435*'Equity Price Data'!Y436</f>
        <v>23910.48</v>
      </c>
      <c r="T435" s="30">
        <f>'Equity Volume Data'!W435*'Equity Price Data'!Z436</f>
        <v>16650</v>
      </c>
      <c r="U435" s="30">
        <f>'Equity Volume Data'!X435*'Equity Price Data'!AA436</f>
        <v>20420.4</v>
      </c>
      <c r="V435" s="30">
        <f>'Equity Volume Data'!Y435*'Equity Price Data'!AB436</f>
        <v>17449.18</v>
      </c>
      <c r="W435" s="30">
        <f>'Equity Volume Data'!Z435*'Equity Price Data'!AC436</f>
        <v>11508.51</v>
      </c>
      <c r="X435" s="30">
        <f>'Equity Volume Data'!AA435*'Equity Price Data'!AD436</f>
        <v>0</v>
      </c>
      <c r="Y435" s="30">
        <f>'Equity Volume Data'!AB435*'Equity Price Data'!AE436</f>
        <v>5222.49</v>
      </c>
      <c r="Z435" s="30">
        <f>'Equity Volume Data'!AC435*'Equity Price Data'!AF436</f>
        <v>12876</v>
      </c>
      <c r="AA435" s="30">
        <f>'Equity Volume Data'!AD435*'Equity Price Data'!AG436</f>
        <v>25090.3</v>
      </c>
      <c r="AB435" s="30">
        <f>'Equity Volume Data'!AE435*'Equity Price Data'!AH436</f>
        <v>21752.4</v>
      </c>
      <c r="AC435" s="30">
        <f>'Equity Volume Data'!AF435*'Equity Price Data'!AI436</f>
        <v>13573.2</v>
      </c>
      <c r="AD435" s="30">
        <f>'Equity Volume Data'!AG435*'Equity Price Data'!AJ436</f>
        <v>15901.65</v>
      </c>
      <c r="AE435" s="30">
        <f>'Equity Volume Data'!AH435*'Equity Price Data'!AK436</f>
        <v>0</v>
      </c>
      <c r="AF435" s="30">
        <f>'Equity Volume Data'!AI435*'Equity Price Data'!AL436</f>
        <v>29977.15</v>
      </c>
      <c r="AG435" s="30">
        <f>'Equity Volume Data'!AJ435*'Equity Price Data'!AM436</f>
        <v>54798</v>
      </c>
      <c r="AH435" s="30">
        <f>'Equity Volume Data'!AK435*'Equity Price Data'!AN436</f>
        <v>38720</v>
      </c>
      <c r="AI435" s="30">
        <f>'Equity Volume Data'!AL435*'Equity Price Data'!AO436</f>
        <v>28957.25</v>
      </c>
      <c r="AJ435" s="30">
        <f>'Equity Volume Data'!AM435*'Equity Price Data'!AP436</f>
        <v>21430.5</v>
      </c>
      <c r="AK435" s="30">
        <f>'Equity Volume Data'!AN435*'Equity Price Data'!AQ436</f>
        <v>22489.03</v>
      </c>
      <c r="AL435" s="30">
        <f>'Equity Volume Data'!AO435*'Equity Price Data'!AR436</f>
        <v>50763.2</v>
      </c>
      <c r="AM435" s="30">
        <f>'Equity Volume Data'!AP435*'Equity Price Data'!AS436</f>
        <v>42193.2</v>
      </c>
      <c r="AN435" s="30">
        <f>'Equity Volume Data'!AQ435*'Equity Price Data'!AT436</f>
        <v>0</v>
      </c>
      <c r="AO435" s="30">
        <f>'Equity Volume Data'!AR435*'Equity Price Data'!AU436</f>
        <v>32007.92</v>
      </c>
      <c r="AP435" s="30">
        <f>'Equity Volume Data'!AS435*'Equity Price Data'!AV436</f>
        <v>25460</v>
      </c>
      <c r="AQ435" s="30">
        <f>'Equity Volume Data'!AT435*'Equity Price Data'!AW436</f>
        <v>17162.2</v>
      </c>
      <c r="AR435" s="30">
        <f>'Equity Volume Data'!AU435*'Equity Price Data'!AX436</f>
        <v>13502.65</v>
      </c>
      <c r="AS435" s="30">
        <f>'Equity Volume Data'!AV435*'Equity Price Data'!AY436</f>
        <v>49702.8</v>
      </c>
      <c r="AT435" s="30">
        <f>'Equity Volume Data'!AW435*'Equity Price Data'!AZ436</f>
        <v>34548.48</v>
      </c>
      <c r="AU435" s="30">
        <f>'Equity Volume Data'!AX435*'Equity Price Data'!BA436</f>
        <v>0</v>
      </c>
      <c r="AV435" s="30">
        <f>'Equity Volume Data'!AY435*'Equity Price Data'!BB436</f>
        <v>24734.98</v>
      </c>
      <c r="AW435" s="30">
        <f>'Equity Volume Data'!AZ435*'Equity Price Data'!BC436</f>
        <v>3614.8</v>
      </c>
      <c r="AX435" s="30">
        <f>'Equity Volume Data'!BA435*'Equity Price Data'!BD436</f>
        <v>0</v>
      </c>
      <c r="AY435" s="30">
        <f>'Equity Volume Data'!BB435*'Equity Price Data'!BE436</f>
        <v>31396.5</v>
      </c>
      <c r="AZ435" s="30">
        <f>'Equity Volume Data'!BC435*'Equity Price Data'!BF436</f>
        <v>6154.5</v>
      </c>
      <c r="BA435" s="30">
        <f>'Equity Volume Data'!BD435*'Equity Price Data'!BG436</f>
        <v>5088.2</v>
      </c>
      <c r="BB435" s="30">
        <f>'Equity Volume Data'!BE435*'Equity Price Data'!BH436</f>
        <v>15739.2</v>
      </c>
      <c r="BC435" s="30">
        <f>'Equity Volume Data'!BF435*'Equity Price Data'!BI436</f>
        <v>31655.28</v>
      </c>
      <c r="BD435" s="30">
        <f>'Equity Volume Data'!BG435*'Equity Price Data'!BJ436</f>
        <v>42981.27</v>
      </c>
      <c r="BE435" s="30">
        <f>'Equity Volume Data'!BH435*'Equity Price Data'!BK436</f>
        <v>13000.06</v>
      </c>
      <c r="BF435" s="30">
        <f>'Equity Volume Data'!BI435*'Equity Price Data'!BL436</f>
        <v>9655.6</v>
      </c>
      <c r="BG435" s="30">
        <f>'Equity Volume Data'!BJ435*'Equity Price Data'!BM436</f>
        <v>36242.86</v>
      </c>
      <c r="BH435" s="30">
        <f>'Equity Volume Data'!BK435*'Equity Price Data'!BN436</f>
        <v>0</v>
      </c>
      <c r="BI435" s="30">
        <f>'Equity Volume Data'!BL435*'Equity Price Data'!BO436</f>
        <v>39961.6</v>
      </c>
      <c r="BJ435" s="30">
        <f>'Equity Volume Data'!BM435*'Equity Price Data'!BP436</f>
        <v>20694</v>
      </c>
      <c r="BK435" s="30">
        <f>'Equity Volume Data'!BN435*'Equity Price Data'!BQ436</f>
        <v>89433.26</v>
      </c>
      <c r="BL435" s="30">
        <f>'Equity Volume Data'!BO435*'Equity Price Data'!BR436</f>
        <v>674.92</v>
      </c>
      <c r="BM435" s="30">
        <f>'Equity Volume Data'!BP435*'Equity Price Data'!BS436</f>
        <v>10868.64</v>
      </c>
      <c r="BN435" s="30">
        <f>'Equity Volume Data'!BQ435*'Equity Price Data'!BT436</f>
        <v>20125.4</v>
      </c>
      <c r="BO435" s="30">
        <f>'Equity Volume Data'!BR435*'Equity Price Data'!BU436</f>
        <v>68782</v>
      </c>
    </row>
    <row r="436">
      <c r="A436" s="25">
        <f>'Equity Price Data'!A437</f>
        <v>46058.66667</v>
      </c>
      <c r="B436" s="29">
        <f t="shared" si="1"/>
        <v>1615128.89</v>
      </c>
      <c r="C436" s="30">
        <f>'Equity Volume Data'!F436*'Equity Price Data'!I437</f>
        <v>3502.07</v>
      </c>
      <c r="D436" s="30">
        <f>'Equity Volume Data'!G436*'Equity Price Data'!J437</f>
        <v>57899.4</v>
      </c>
      <c r="E436" s="30">
        <f>'Equity Volume Data'!H436*'Equity Price Data'!K437</f>
        <v>13824.8</v>
      </c>
      <c r="F436" s="30">
        <f>'Equity Volume Data'!I436*'Equity Price Data'!L437</f>
        <v>70632.96</v>
      </c>
      <c r="G436" s="30">
        <f>'Equity Volume Data'!J436*'Equity Price Data'!M437</f>
        <v>25231.17</v>
      </c>
      <c r="H436" s="30">
        <f>'Equity Volume Data'!K436*'Equity Price Data'!N437</f>
        <v>22655.88</v>
      </c>
      <c r="I436" s="30">
        <f>'Equity Volume Data'!L436*'Equity Price Data'!O437</f>
        <v>25480</v>
      </c>
      <c r="J436" s="30">
        <f>'Equity Volume Data'!M436*'Equity Price Data'!P437</f>
        <v>51396.78</v>
      </c>
      <c r="K436" s="30">
        <f>'Equity Volume Data'!N436*'Equity Price Data'!Q437</f>
        <v>13820</v>
      </c>
      <c r="L436" s="30">
        <f>'Equity Volume Data'!O436*'Equity Price Data'!R437</f>
        <v>22428.56</v>
      </c>
      <c r="M436" s="30">
        <f>'Equity Volume Data'!P436*'Equity Price Data'!S437</f>
        <v>11335.44</v>
      </c>
      <c r="N436" s="30">
        <f>'Equity Volume Data'!Q436*'Equity Price Data'!T437</f>
        <v>5048</v>
      </c>
      <c r="O436" s="30">
        <f>'Equity Volume Data'!R436*'Equity Price Data'!U437</f>
        <v>101746.5</v>
      </c>
      <c r="P436" s="30">
        <f>'Equity Volume Data'!S436*'Equity Price Data'!V437</f>
        <v>45569.76</v>
      </c>
      <c r="Q436" s="30">
        <f>'Equity Volume Data'!T436*'Equity Price Data'!W437</f>
        <v>21150</v>
      </c>
      <c r="R436" s="30">
        <f>'Equity Volume Data'!U436*'Equity Price Data'!X437</f>
        <v>14338.4</v>
      </c>
      <c r="S436" s="30">
        <f>'Equity Volume Data'!V436*'Equity Price Data'!Y437</f>
        <v>25038.64</v>
      </c>
      <c r="T436" s="30">
        <f>'Equity Volume Data'!W436*'Equity Price Data'!Z437</f>
        <v>16655</v>
      </c>
      <c r="U436" s="30">
        <f>'Equity Volume Data'!X436*'Equity Price Data'!AA437</f>
        <v>20726.64</v>
      </c>
      <c r="V436" s="30">
        <f>'Equity Volume Data'!Y436*'Equity Price Data'!AB437</f>
        <v>17528.07</v>
      </c>
      <c r="W436" s="30">
        <f>'Equity Volume Data'!Z436*'Equity Price Data'!AC437</f>
        <v>11360.85</v>
      </c>
      <c r="X436" s="30">
        <f>'Equity Volume Data'!AA436*'Equity Price Data'!AD437</f>
        <v>0</v>
      </c>
      <c r="Y436" s="30">
        <f>'Equity Volume Data'!AB436*'Equity Price Data'!AE437</f>
        <v>5114.59</v>
      </c>
      <c r="Z436" s="30">
        <f>'Equity Volume Data'!AC436*'Equity Price Data'!AF437</f>
        <v>12978</v>
      </c>
      <c r="AA436" s="30">
        <f>'Equity Volume Data'!AD436*'Equity Price Data'!AG437</f>
        <v>24833.6</v>
      </c>
      <c r="AB436" s="30">
        <f>'Equity Volume Data'!AE436*'Equity Price Data'!AH437</f>
        <v>21837.6</v>
      </c>
      <c r="AC436" s="30">
        <f>'Equity Volume Data'!AF436*'Equity Price Data'!AI437</f>
        <v>13390.4</v>
      </c>
      <c r="AD436" s="30">
        <f>'Equity Volume Data'!AG436*'Equity Price Data'!AJ437</f>
        <v>15842.25</v>
      </c>
      <c r="AE436" s="30">
        <f>'Equity Volume Data'!AH436*'Equity Price Data'!AK437</f>
        <v>0</v>
      </c>
      <c r="AF436" s="30">
        <f>'Equity Volume Data'!AI436*'Equity Price Data'!AL437</f>
        <v>30620.85</v>
      </c>
      <c r="AG436" s="30">
        <f>'Equity Volume Data'!AJ436*'Equity Price Data'!AM437</f>
        <v>53424.6</v>
      </c>
      <c r="AH436" s="30">
        <f>'Equity Volume Data'!AK436*'Equity Price Data'!AN437</f>
        <v>38237</v>
      </c>
      <c r="AI436" s="30">
        <f>'Equity Volume Data'!AL436*'Equity Price Data'!AO437</f>
        <v>30126.25</v>
      </c>
      <c r="AJ436" s="30">
        <f>'Equity Volume Data'!AM436*'Equity Price Data'!AP437</f>
        <v>21877.7</v>
      </c>
      <c r="AK436" s="30">
        <f>'Equity Volume Data'!AN436*'Equity Price Data'!AQ437</f>
        <v>22387.04</v>
      </c>
      <c r="AL436" s="30">
        <f>'Equity Volume Data'!AO436*'Equity Price Data'!AR437</f>
        <v>49625.6</v>
      </c>
      <c r="AM436" s="30">
        <f>'Equity Volume Data'!AP436*'Equity Price Data'!AS437</f>
        <v>42642.6</v>
      </c>
      <c r="AN436" s="30">
        <f>'Equity Volume Data'!AQ436*'Equity Price Data'!AT437</f>
        <v>0</v>
      </c>
      <c r="AO436" s="30">
        <f>'Equity Volume Data'!AR436*'Equity Price Data'!AU437</f>
        <v>31913.98</v>
      </c>
      <c r="AP436" s="30">
        <f>'Equity Volume Data'!AS436*'Equity Price Data'!AV437</f>
        <v>25737.5</v>
      </c>
      <c r="AQ436" s="30">
        <f>'Equity Volume Data'!AT436*'Equity Price Data'!AW437</f>
        <v>16570.4</v>
      </c>
      <c r="AR436" s="30">
        <f>'Equity Volume Data'!AU436*'Equity Price Data'!AX437</f>
        <v>12610.65</v>
      </c>
      <c r="AS436" s="30">
        <f>'Equity Volume Data'!AV436*'Equity Price Data'!AY437</f>
        <v>47240.4</v>
      </c>
      <c r="AT436" s="30">
        <f>'Equity Volume Data'!AW436*'Equity Price Data'!AZ437</f>
        <v>34256.64</v>
      </c>
      <c r="AU436" s="30">
        <f>'Equity Volume Data'!AX436*'Equity Price Data'!BA437</f>
        <v>0</v>
      </c>
      <c r="AV436" s="30">
        <f>'Equity Volume Data'!AY436*'Equity Price Data'!BB437</f>
        <v>24406.96</v>
      </c>
      <c r="AW436" s="30">
        <f>'Equity Volume Data'!AZ436*'Equity Price Data'!BC437</f>
        <v>3649.6</v>
      </c>
      <c r="AX436" s="30">
        <f>'Equity Volume Data'!BA436*'Equity Price Data'!BD437</f>
        <v>0</v>
      </c>
      <c r="AY436" s="30">
        <f>'Equity Volume Data'!BB436*'Equity Price Data'!BE437</f>
        <v>29252.25</v>
      </c>
      <c r="AZ436" s="30">
        <f>'Equity Volume Data'!BC436*'Equity Price Data'!BF437</f>
        <v>5985</v>
      </c>
      <c r="BA436" s="30">
        <f>'Equity Volume Data'!BD436*'Equity Price Data'!BG437</f>
        <v>5033.1</v>
      </c>
      <c r="BB436" s="30">
        <f>'Equity Volume Data'!BE436*'Equity Price Data'!BH437</f>
        <v>15677.6</v>
      </c>
      <c r="BC436" s="30">
        <f>'Equity Volume Data'!BF436*'Equity Price Data'!BI437</f>
        <v>31537.2</v>
      </c>
      <c r="BD436" s="30">
        <f>'Equity Volume Data'!BG436*'Equity Price Data'!BJ437</f>
        <v>42996.18</v>
      </c>
      <c r="BE436" s="30">
        <f>'Equity Volume Data'!BH436*'Equity Price Data'!BK437</f>
        <v>12474.28</v>
      </c>
      <c r="BF436" s="30">
        <f>'Equity Volume Data'!BI436*'Equity Price Data'!BL437</f>
        <v>9487.6</v>
      </c>
      <c r="BG436" s="30">
        <f>'Equity Volume Data'!BJ436*'Equity Price Data'!BM437</f>
        <v>36028.8</v>
      </c>
      <c r="BH436" s="30">
        <f>'Equity Volume Data'!BK436*'Equity Price Data'!BN437</f>
        <v>0</v>
      </c>
      <c r="BI436" s="30">
        <f>'Equity Volume Data'!BL436*'Equity Price Data'!BO437</f>
        <v>40232</v>
      </c>
      <c r="BJ436" s="30">
        <f>'Equity Volume Data'!BM436*'Equity Price Data'!BP437</f>
        <v>20141.25</v>
      </c>
      <c r="BK436" s="30">
        <f>'Equity Volume Data'!BN436*'Equity Price Data'!BQ437</f>
        <v>89523.36</v>
      </c>
      <c r="BL436" s="30">
        <f>'Equity Volume Data'!BO436*'Equity Price Data'!BR437</f>
        <v>673.98</v>
      </c>
      <c r="BM436" s="30">
        <f>'Equity Volume Data'!BP436*'Equity Price Data'!BS437</f>
        <v>10876.8</v>
      </c>
      <c r="BN436" s="30">
        <f>'Equity Volume Data'!BQ436*'Equity Price Data'!BT437</f>
        <v>19734.36</v>
      </c>
      <c r="BO436" s="30">
        <f>'Equity Volume Data'!BR436*'Equity Price Data'!BU437</f>
        <v>68782</v>
      </c>
    </row>
    <row r="437">
      <c r="A437" s="25">
        <f>'Equity Price Data'!A438</f>
        <v>46059.66667</v>
      </c>
      <c r="B437" s="29">
        <f t="shared" si="1"/>
        <v>1645769.65</v>
      </c>
      <c r="C437" s="30">
        <f>'Equity Volume Data'!F437*'Equity Price Data'!I438</f>
        <v>3488.94</v>
      </c>
      <c r="D437" s="30">
        <f>'Equity Volume Data'!G437*'Equity Price Data'!J438</f>
        <v>54683.2</v>
      </c>
      <c r="E437" s="30">
        <f>'Equity Volume Data'!H437*'Equity Price Data'!K438</f>
        <v>13676.3</v>
      </c>
      <c r="F437" s="30">
        <f>'Equity Volume Data'!I437*'Equity Price Data'!L438</f>
        <v>71198.72</v>
      </c>
      <c r="G437" s="30">
        <f>'Equity Volume Data'!J437*'Equity Price Data'!M438</f>
        <v>26768.33</v>
      </c>
      <c r="H437" s="30">
        <f>'Equity Volume Data'!K437*'Equity Price Data'!N438</f>
        <v>23372.16</v>
      </c>
      <c r="I437" s="30">
        <f>'Equity Volume Data'!L437*'Equity Price Data'!O438</f>
        <v>26410</v>
      </c>
      <c r="J437" s="30">
        <f>'Equity Volume Data'!M437*'Equity Price Data'!P438</f>
        <v>51825.18</v>
      </c>
      <c r="K437" s="30">
        <f>'Equity Volume Data'!N437*'Equity Price Data'!Q438</f>
        <v>13928</v>
      </c>
      <c r="L437" s="30">
        <f>'Equity Volume Data'!O437*'Equity Price Data'!R438</f>
        <v>24342.78</v>
      </c>
      <c r="M437" s="30">
        <f>'Equity Volume Data'!P437*'Equity Price Data'!S438</f>
        <v>11135.42</v>
      </c>
      <c r="N437" s="30">
        <f>'Equity Volume Data'!Q437*'Equity Price Data'!T438</f>
        <v>5113.6</v>
      </c>
      <c r="O437" s="30">
        <f>'Equity Volume Data'!R437*'Equity Price Data'!U438</f>
        <v>108930</v>
      </c>
      <c r="P437" s="30">
        <f>'Equity Volume Data'!S437*'Equity Price Data'!V438</f>
        <v>47383.71</v>
      </c>
      <c r="Q437" s="30">
        <f>'Equity Volume Data'!T437*'Equity Price Data'!W438</f>
        <v>21709.2</v>
      </c>
      <c r="R437" s="30">
        <f>'Equity Volume Data'!U437*'Equity Price Data'!X438</f>
        <v>14468.8</v>
      </c>
      <c r="S437" s="30">
        <f>'Equity Volume Data'!V437*'Equity Price Data'!Y438</f>
        <v>25700.4</v>
      </c>
      <c r="T437" s="30">
        <f>'Equity Volume Data'!W437*'Equity Price Data'!Z438</f>
        <v>17030</v>
      </c>
      <c r="U437" s="30">
        <f>'Equity Volume Data'!X437*'Equity Price Data'!AA438</f>
        <v>20863.92</v>
      </c>
      <c r="V437" s="30">
        <f>'Equity Volume Data'!Y437*'Equity Price Data'!AB438</f>
        <v>17281.74</v>
      </c>
      <c r="W437" s="30">
        <f>'Equity Volume Data'!Z437*'Equity Price Data'!AC438</f>
        <v>11841.78</v>
      </c>
      <c r="X437" s="30">
        <f>'Equity Volume Data'!AA437*'Equity Price Data'!AD438</f>
        <v>0</v>
      </c>
      <c r="Y437" s="30">
        <f>'Equity Volume Data'!AB437*'Equity Price Data'!AE438</f>
        <v>5133.44</v>
      </c>
      <c r="Z437" s="30">
        <f>'Equity Volume Data'!AC437*'Equity Price Data'!AF438</f>
        <v>12982.5</v>
      </c>
      <c r="AA437" s="30">
        <f>'Equity Volume Data'!AD437*'Equity Price Data'!AG438</f>
        <v>25338.5</v>
      </c>
      <c r="AB437" s="30">
        <f>'Equity Volume Data'!AE437*'Equity Price Data'!AH438</f>
        <v>22153.8</v>
      </c>
      <c r="AC437" s="30">
        <f>'Equity Volume Data'!AF437*'Equity Price Data'!AI438</f>
        <v>13351.6</v>
      </c>
      <c r="AD437" s="30">
        <f>'Equity Volume Data'!AG437*'Equity Price Data'!AJ438</f>
        <v>16203.15</v>
      </c>
      <c r="AE437" s="30">
        <f>'Equity Volume Data'!AH437*'Equity Price Data'!AK438</f>
        <v>0</v>
      </c>
      <c r="AF437" s="30">
        <f>'Equity Volume Data'!AI437*'Equity Price Data'!AL438</f>
        <v>31262.5</v>
      </c>
      <c r="AG437" s="30">
        <f>'Equity Volume Data'!AJ437*'Equity Price Data'!AM438</f>
        <v>55725</v>
      </c>
      <c r="AH437" s="30">
        <f>'Equity Volume Data'!AK437*'Equity Price Data'!AN438</f>
        <v>38515</v>
      </c>
      <c r="AI437" s="30">
        <f>'Equity Volume Data'!AL437*'Equity Price Data'!AO438</f>
        <v>29692.25</v>
      </c>
      <c r="AJ437" s="30">
        <f>'Equity Volume Data'!AM437*'Equity Price Data'!AP438</f>
        <v>21970</v>
      </c>
      <c r="AK437" s="30">
        <f>'Equity Volume Data'!AN437*'Equity Price Data'!AQ438</f>
        <v>22943.05</v>
      </c>
      <c r="AL437" s="30">
        <f>'Equity Volume Data'!AO437*'Equity Price Data'!AR438</f>
        <v>51584</v>
      </c>
      <c r="AM437" s="30">
        <f>'Equity Volume Data'!AP437*'Equity Price Data'!AS438</f>
        <v>43650.6</v>
      </c>
      <c r="AN437" s="30">
        <f>'Equity Volume Data'!AQ437*'Equity Price Data'!AT438</f>
        <v>0</v>
      </c>
      <c r="AO437" s="30">
        <f>'Equity Volume Data'!AR437*'Equity Price Data'!AU438</f>
        <v>32486.16</v>
      </c>
      <c r="AP437" s="30">
        <f>'Equity Volume Data'!AS437*'Equity Price Data'!AV438</f>
        <v>25725</v>
      </c>
      <c r="AQ437" s="30">
        <f>'Equity Volume Data'!AT437*'Equity Price Data'!AW438</f>
        <v>16803.6</v>
      </c>
      <c r="AR437" s="30">
        <f>'Equity Volume Data'!AU437*'Equity Price Data'!AX438</f>
        <v>13660.98</v>
      </c>
      <c r="AS437" s="30">
        <f>'Equity Volume Data'!AV437*'Equity Price Data'!AY438</f>
        <v>48136.8</v>
      </c>
      <c r="AT437" s="30">
        <f>'Equity Volume Data'!AW437*'Equity Price Data'!AZ438</f>
        <v>34356.48</v>
      </c>
      <c r="AU437" s="30">
        <f>'Equity Volume Data'!AX437*'Equity Price Data'!BA438</f>
        <v>0</v>
      </c>
      <c r="AV437" s="30">
        <f>'Equity Volume Data'!AY437*'Equity Price Data'!BB438</f>
        <v>26328.22</v>
      </c>
      <c r="AW437" s="30">
        <f>'Equity Volume Data'!AZ437*'Equity Price Data'!BC438</f>
        <v>3594</v>
      </c>
      <c r="AX437" s="30">
        <f>'Equity Volume Data'!BA437*'Equity Price Data'!BD438</f>
        <v>0</v>
      </c>
      <c r="AY437" s="30">
        <f>'Equity Volume Data'!BB437*'Equity Price Data'!BE438</f>
        <v>30577.5</v>
      </c>
      <c r="AZ437" s="30">
        <f>'Equity Volume Data'!BC437*'Equity Price Data'!BF438</f>
        <v>0</v>
      </c>
      <c r="BA437" s="30">
        <f>'Equity Volume Data'!BD437*'Equity Price Data'!BG438</f>
        <v>5171.8</v>
      </c>
      <c r="BB437" s="30">
        <f>'Equity Volume Data'!BE437*'Equity Price Data'!BH438</f>
        <v>15892.8</v>
      </c>
      <c r="BC437" s="30">
        <f>'Equity Volume Data'!BF437*'Equity Price Data'!BI438</f>
        <v>31976.72</v>
      </c>
      <c r="BD437" s="30">
        <f>'Equity Volume Data'!BG437*'Equity Price Data'!BJ438</f>
        <v>42044.07</v>
      </c>
      <c r="BE437" s="30">
        <f>'Equity Volume Data'!BH437*'Equity Price Data'!BK438</f>
        <v>12485.09</v>
      </c>
      <c r="BF437" s="30">
        <f>'Equity Volume Data'!BI437*'Equity Price Data'!BL438</f>
        <v>9768.8</v>
      </c>
      <c r="BG437" s="30">
        <f>'Equity Volume Data'!BJ437*'Equity Price Data'!BM438</f>
        <v>37546.68</v>
      </c>
      <c r="BH437" s="30">
        <f>'Equity Volume Data'!BK437*'Equity Price Data'!BN438</f>
        <v>0</v>
      </c>
      <c r="BI437" s="30">
        <f>'Equity Volume Data'!BL437*'Equity Price Data'!BO438</f>
        <v>40419.2</v>
      </c>
      <c r="BJ437" s="30">
        <f>'Equity Volume Data'!BM437*'Equity Price Data'!BP438</f>
        <v>20748.75</v>
      </c>
      <c r="BK437" s="30">
        <f>'Equity Volume Data'!BN437*'Equity Price Data'!BQ438</f>
        <v>89559.4</v>
      </c>
      <c r="BL437" s="30">
        <f>'Equity Volume Data'!BO437*'Equity Price Data'!BR438</f>
        <v>685.26</v>
      </c>
      <c r="BM437" s="30">
        <f>'Equity Volume Data'!BP437*'Equity Price Data'!BS438</f>
        <v>10885.92</v>
      </c>
      <c r="BN437" s="30">
        <f>'Equity Volume Data'!BQ437*'Equity Price Data'!BT438</f>
        <v>20435.6</v>
      </c>
      <c r="BO437" s="30">
        <f>'Equity Volume Data'!BR437*'Equity Price Data'!BU438</f>
        <v>74823.25</v>
      </c>
    </row>
    <row r="438">
      <c r="A438" s="25">
        <f>'Equity Price Data'!A439</f>
        <v>46062.66667</v>
      </c>
      <c r="B438" s="29">
        <f t="shared" si="1"/>
        <v>1652367.07</v>
      </c>
      <c r="C438" s="30">
        <f>'Equity Volume Data'!F438*'Equity Price Data'!I439</f>
        <v>3469.7</v>
      </c>
      <c r="D438" s="30">
        <f>'Equity Volume Data'!G438*'Equity Price Data'!J439</f>
        <v>54267.2</v>
      </c>
      <c r="E438" s="30">
        <f>'Equity Volume Data'!H438*'Equity Price Data'!K439</f>
        <v>13524.5</v>
      </c>
      <c r="F438" s="30">
        <f>'Equity Volume Data'!I438*'Equity Price Data'!L439</f>
        <v>70302.72</v>
      </c>
      <c r="G438" s="30">
        <f>'Equity Volume Data'!J438*'Equity Price Data'!M439</f>
        <v>27437.31</v>
      </c>
      <c r="H438" s="30">
        <f>'Equity Volume Data'!K438*'Equity Price Data'!N439</f>
        <v>23990.68</v>
      </c>
      <c r="I438" s="30">
        <f>'Equity Volume Data'!L438*'Equity Price Data'!O439</f>
        <v>26710</v>
      </c>
      <c r="J438" s="30">
        <f>'Equity Volume Data'!M438*'Equity Price Data'!P439</f>
        <v>50804.16</v>
      </c>
      <c r="K438" s="30">
        <f>'Equity Volume Data'!N438*'Equity Price Data'!Q439</f>
        <v>14334</v>
      </c>
      <c r="L438" s="30">
        <f>'Equity Volume Data'!O438*'Equity Price Data'!R439</f>
        <v>23451.01</v>
      </c>
      <c r="M438" s="30">
        <f>'Equity Volume Data'!P438*'Equity Price Data'!S439</f>
        <v>10821.52</v>
      </c>
      <c r="N438" s="30">
        <f>'Equity Volume Data'!Q438*'Equity Price Data'!T439</f>
        <v>5225.6</v>
      </c>
      <c r="O438" s="30">
        <f>'Equity Volume Data'!R438*'Equity Price Data'!U439</f>
        <v>111318</v>
      </c>
      <c r="P438" s="30">
        <f>'Equity Volume Data'!S438*'Equity Price Data'!V439</f>
        <v>50323.56</v>
      </c>
      <c r="Q438" s="30">
        <f>'Equity Volume Data'!T438*'Equity Price Data'!W439</f>
        <v>21752.4</v>
      </c>
      <c r="R438" s="30">
        <f>'Equity Volume Data'!U438*'Equity Price Data'!X439</f>
        <v>14608</v>
      </c>
      <c r="S438" s="30">
        <f>'Equity Volume Data'!V438*'Equity Price Data'!Y439</f>
        <v>25907.2</v>
      </c>
      <c r="T438" s="30">
        <f>'Equity Volume Data'!W438*'Equity Price Data'!Z439</f>
        <v>16925</v>
      </c>
      <c r="U438" s="30">
        <f>'Equity Volume Data'!X438*'Equity Price Data'!AA439</f>
        <v>20584.08</v>
      </c>
      <c r="V438" s="30">
        <f>'Equity Volume Data'!Y438*'Equity Price Data'!AB439</f>
        <v>17175.48</v>
      </c>
      <c r="W438" s="30">
        <f>'Equity Volume Data'!Z438*'Equity Price Data'!AC439</f>
        <v>11876.97</v>
      </c>
      <c r="X438" s="30">
        <f>'Equity Volume Data'!AA438*'Equity Price Data'!AD439</f>
        <v>0</v>
      </c>
      <c r="Y438" s="30">
        <f>'Equity Volume Data'!AB438*'Equity Price Data'!AE439</f>
        <v>5098.08</v>
      </c>
      <c r="Z438" s="30">
        <f>'Equity Volume Data'!AC438*'Equity Price Data'!AF439</f>
        <v>13104</v>
      </c>
      <c r="AA438" s="30">
        <f>'Equity Volume Data'!AD438*'Equity Price Data'!AG439</f>
        <v>25705.7</v>
      </c>
      <c r="AB438" s="30">
        <f>'Equity Volume Data'!AE438*'Equity Price Data'!AH439</f>
        <v>21876</v>
      </c>
      <c r="AC438" s="30">
        <f>'Equity Volume Data'!AF438*'Equity Price Data'!AI439</f>
        <v>13445.2</v>
      </c>
      <c r="AD438" s="30">
        <f>'Equity Volume Data'!AG438*'Equity Price Data'!AJ439</f>
        <v>16204.5</v>
      </c>
      <c r="AE438" s="30">
        <f>'Equity Volume Data'!AH438*'Equity Price Data'!AK439</f>
        <v>0</v>
      </c>
      <c r="AF438" s="30">
        <f>'Equity Volume Data'!AI438*'Equity Price Data'!AL439</f>
        <v>31094.4</v>
      </c>
      <c r="AG438" s="30">
        <f>'Equity Volume Data'!AJ438*'Equity Price Data'!AM439</f>
        <v>56617.2</v>
      </c>
      <c r="AH438" s="30">
        <f>'Equity Volume Data'!AK438*'Equity Price Data'!AN439</f>
        <v>38100</v>
      </c>
      <c r="AI438" s="30">
        <f>'Equity Volume Data'!AL438*'Equity Price Data'!AO439</f>
        <v>26960.5</v>
      </c>
      <c r="AJ438" s="30">
        <f>'Equity Volume Data'!AM438*'Equity Price Data'!AP439</f>
        <v>22032.4</v>
      </c>
      <c r="AK438" s="30">
        <f>'Equity Volume Data'!AN438*'Equity Price Data'!AQ439</f>
        <v>23163.48</v>
      </c>
      <c r="AL438" s="30">
        <f>'Equity Volume Data'!AO438*'Equity Price Data'!AR439</f>
        <v>51536</v>
      </c>
      <c r="AM438" s="30">
        <f>'Equity Volume Data'!AP438*'Equity Price Data'!AS439</f>
        <v>44680.3</v>
      </c>
      <c r="AN438" s="30">
        <f>'Equity Volume Data'!AQ438*'Equity Price Data'!AT439</f>
        <v>0</v>
      </c>
      <c r="AO438" s="30">
        <f>'Equity Volume Data'!AR438*'Equity Price Data'!AU439</f>
        <v>32452</v>
      </c>
      <c r="AP438" s="30">
        <f>'Equity Volume Data'!AS438*'Equity Price Data'!AV439</f>
        <v>25412.5</v>
      </c>
      <c r="AQ438" s="30">
        <f>'Equity Volume Data'!AT438*'Equity Price Data'!AW439</f>
        <v>16781.6</v>
      </c>
      <c r="AR438" s="30">
        <f>'Equity Volume Data'!AU438*'Equity Price Data'!AX439</f>
        <v>14004.4</v>
      </c>
      <c r="AS438" s="30">
        <f>'Equity Volume Data'!AV438*'Equity Price Data'!AY439</f>
        <v>49632</v>
      </c>
      <c r="AT438" s="30">
        <f>'Equity Volume Data'!AW438*'Equity Price Data'!AZ439</f>
        <v>34360.32</v>
      </c>
      <c r="AU438" s="30">
        <f>'Equity Volume Data'!AX438*'Equity Price Data'!BA439</f>
        <v>0</v>
      </c>
      <c r="AV438" s="30">
        <f>'Equity Volume Data'!AY438*'Equity Price Data'!BB439</f>
        <v>26985.68</v>
      </c>
      <c r="AW438" s="30">
        <f>'Equity Volume Data'!AZ438*'Equity Price Data'!BC439</f>
        <v>3572</v>
      </c>
      <c r="AX438" s="30">
        <f>'Equity Volume Data'!BA438*'Equity Price Data'!BD439</f>
        <v>0</v>
      </c>
      <c r="AY438" s="30">
        <f>'Equity Volume Data'!BB438*'Equity Price Data'!BE439</f>
        <v>32154.75</v>
      </c>
      <c r="AZ438" s="30">
        <f>'Equity Volume Data'!BC438*'Equity Price Data'!BF439</f>
        <v>0</v>
      </c>
      <c r="BA438" s="30">
        <f>'Equity Volume Data'!BD438*'Equity Price Data'!BG439</f>
        <v>5139.5</v>
      </c>
      <c r="BB438" s="30">
        <f>'Equity Volume Data'!BE438*'Equity Price Data'!BH439</f>
        <v>15695.2</v>
      </c>
      <c r="BC438" s="30">
        <f>'Equity Volume Data'!BF438*'Equity Price Data'!BI439</f>
        <v>31730.72</v>
      </c>
      <c r="BD438" s="30">
        <f>'Equity Volume Data'!BG438*'Equity Price Data'!BJ439</f>
        <v>42101.58</v>
      </c>
      <c r="BE438" s="30">
        <f>'Equity Volume Data'!BH438*'Equity Price Data'!BK439</f>
        <v>12575.48</v>
      </c>
      <c r="BF438" s="30">
        <f>'Equity Volume Data'!BI438*'Equity Price Data'!BL439</f>
        <v>9695.6</v>
      </c>
      <c r="BG438" s="30">
        <f>'Equity Volume Data'!BJ438*'Equity Price Data'!BM439</f>
        <v>37902.52</v>
      </c>
      <c r="BH438" s="30">
        <f>'Equity Volume Data'!BK438*'Equity Price Data'!BN439</f>
        <v>0</v>
      </c>
      <c r="BI438" s="30">
        <f>'Equity Volume Data'!BL438*'Equity Price Data'!BO439</f>
        <v>40694.4</v>
      </c>
      <c r="BJ438" s="30">
        <f>'Equity Volume Data'!BM438*'Equity Price Data'!BP439</f>
        <v>20677.5</v>
      </c>
      <c r="BK438" s="30">
        <f>'Equity Volume Data'!BN438*'Equity Price Data'!BQ439</f>
        <v>89613.46</v>
      </c>
      <c r="BL438" s="30">
        <f>'Equity Volume Data'!BO438*'Equity Price Data'!BR439</f>
        <v>731.32</v>
      </c>
      <c r="BM438" s="30">
        <f>'Equity Volume Data'!BP438*'Equity Price Data'!BS439</f>
        <v>11064</v>
      </c>
      <c r="BN438" s="30">
        <f>'Equity Volume Data'!BQ438*'Equity Price Data'!BT439</f>
        <v>20140.44</v>
      </c>
      <c r="BO438" s="30">
        <f>'Equity Volume Data'!BR438*'Equity Price Data'!BU439</f>
        <v>74823.25</v>
      </c>
    </row>
    <row r="439">
      <c r="A439" s="25">
        <f>'Equity Price Data'!A440</f>
        <v>46063.66667</v>
      </c>
      <c r="B439" s="29">
        <f t="shared" si="1"/>
        <v>1649606.66</v>
      </c>
      <c r="C439" s="30">
        <f>'Equity Volume Data'!F439*'Equity Price Data'!I440</f>
        <v>3440.71</v>
      </c>
      <c r="D439" s="30">
        <f>'Equity Volume Data'!G439*'Equity Price Data'!J440</f>
        <v>53809.6</v>
      </c>
      <c r="E439" s="30">
        <f>'Equity Volume Data'!H439*'Equity Price Data'!K440</f>
        <v>13753.3</v>
      </c>
      <c r="F439" s="30">
        <f>'Equity Volume Data'!I439*'Equity Price Data'!L440</f>
        <v>70062.08</v>
      </c>
      <c r="G439" s="30">
        <f>'Equity Volume Data'!J439*'Equity Price Data'!M440</f>
        <v>27312.81</v>
      </c>
      <c r="H439" s="30">
        <f>'Equity Volume Data'!K439*'Equity Price Data'!N440</f>
        <v>23772.6</v>
      </c>
      <c r="I439" s="30">
        <f>'Equity Volume Data'!L439*'Equity Price Data'!O440</f>
        <v>26160</v>
      </c>
      <c r="J439" s="30">
        <f>'Equity Volume Data'!M439*'Equity Price Data'!P440</f>
        <v>51030.6</v>
      </c>
      <c r="K439" s="30">
        <f>'Equity Volume Data'!N439*'Equity Price Data'!Q440</f>
        <v>14470</v>
      </c>
      <c r="L439" s="30">
        <f>'Equity Volume Data'!O439*'Equity Price Data'!R440</f>
        <v>22867.79</v>
      </c>
      <c r="M439" s="30">
        <f>'Equity Volume Data'!P439*'Equity Price Data'!S440</f>
        <v>10840.5</v>
      </c>
      <c r="N439" s="30">
        <f>'Equity Volume Data'!Q439*'Equity Price Data'!T440</f>
        <v>5265.6</v>
      </c>
      <c r="O439" s="30">
        <f>'Equity Volume Data'!R439*'Equity Price Data'!U440</f>
        <v>111355.5</v>
      </c>
      <c r="P439" s="30">
        <f>'Equity Volume Data'!S439*'Equity Price Data'!V440</f>
        <v>49243.53</v>
      </c>
      <c r="Q439" s="30">
        <f>'Equity Volume Data'!T439*'Equity Price Data'!W440</f>
        <v>21668.4</v>
      </c>
      <c r="R439" s="30">
        <f>'Equity Volume Data'!U439*'Equity Price Data'!X440</f>
        <v>14580.8</v>
      </c>
      <c r="S439" s="30">
        <f>'Equity Volume Data'!V439*'Equity Price Data'!Y440</f>
        <v>25327.28</v>
      </c>
      <c r="T439" s="30">
        <f>'Equity Volume Data'!W439*'Equity Price Data'!Z440</f>
        <v>16887.5</v>
      </c>
      <c r="U439" s="30">
        <f>'Equity Volume Data'!X439*'Equity Price Data'!AA440</f>
        <v>20277.84</v>
      </c>
      <c r="V439" s="30">
        <f>'Equity Volume Data'!Y439*'Equity Price Data'!AB440</f>
        <v>17457.23</v>
      </c>
      <c r="W439" s="30">
        <f>'Equity Volume Data'!Z439*'Equity Price Data'!AC440</f>
        <v>11904.57</v>
      </c>
      <c r="X439" s="30">
        <f>'Equity Volume Data'!AA439*'Equity Price Data'!AD440</f>
        <v>0</v>
      </c>
      <c r="Y439" s="30">
        <f>'Equity Volume Data'!AB439*'Equity Price Data'!AE440</f>
        <v>5066.49</v>
      </c>
      <c r="Z439" s="30">
        <f>'Equity Volume Data'!AC439*'Equity Price Data'!AF440</f>
        <v>13122</v>
      </c>
      <c r="AA439" s="30">
        <f>'Equity Volume Data'!AD439*'Equity Price Data'!AG440</f>
        <v>25770.3</v>
      </c>
      <c r="AB439" s="30">
        <f>'Equity Volume Data'!AE439*'Equity Price Data'!AH440</f>
        <v>22077</v>
      </c>
      <c r="AC439" s="30">
        <f>'Equity Volume Data'!AF439*'Equity Price Data'!AI440</f>
        <v>14528.8</v>
      </c>
      <c r="AD439" s="30">
        <f>'Equity Volume Data'!AG439*'Equity Price Data'!AJ440</f>
        <v>16147.35</v>
      </c>
      <c r="AE439" s="30">
        <f>'Equity Volume Data'!AH439*'Equity Price Data'!AK440</f>
        <v>0</v>
      </c>
      <c r="AF439" s="30">
        <f>'Equity Volume Data'!AI439*'Equity Price Data'!AL440</f>
        <v>30182.15</v>
      </c>
      <c r="AG439" s="30">
        <f>'Equity Volume Data'!AJ439*'Equity Price Data'!AM440</f>
        <v>56939.4</v>
      </c>
      <c r="AH439" s="30">
        <f>'Equity Volume Data'!AK439*'Equity Price Data'!AN440</f>
        <v>38968</v>
      </c>
      <c r="AI439" s="30">
        <f>'Equity Volume Data'!AL439*'Equity Price Data'!AO440</f>
        <v>25525.5</v>
      </c>
      <c r="AJ439" s="30">
        <f>'Equity Volume Data'!AM439*'Equity Price Data'!AP440</f>
        <v>21425.3</v>
      </c>
      <c r="AK439" s="30">
        <f>'Equity Volume Data'!AN439*'Equity Price Data'!AQ440</f>
        <v>23272.05</v>
      </c>
      <c r="AL439" s="30">
        <f>'Equity Volume Data'!AO439*'Equity Price Data'!AR440</f>
        <v>50924.8</v>
      </c>
      <c r="AM439" s="30">
        <f>'Equity Volume Data'!AP439*'Equity Price Data'!AS440</f>
        <v>44069.2</v>
      </c>
      <c r="AN439" s="30">
        <f>'Equity Volume Data'!AQ439*'Equity Price Data'!AT440</f>
        <v>0</v>
      </c>
      <c r="AO439" s="30">
        <f>'Equity Volume Data'!AR439*'Equity Price Data'!AU440</f>
        <v>32674.04</v>
      </c>
      <c r="AP439" s="30">
        <f>'Equity Volume Data'!AS439*'Equity Price Data'!AV440</f>
        <v>25355</v>
      </c>
      <c r="AQ439" s="30">
        <f>'Equity Volume Data'!AT439*'Equity Price Data'!AW440</f>
        <v>17142.4</v>
      </c>
      <c r="AR439" s="30">
        <f>'Equity Volume Data'!AU439*'Equity Price Data'!AX440</f>
        <v>13901.82</v>
      </c>
      <c r="AS439" s="30">
        <f>'Equity Volume Data'!AV439*'Equity Price Data'!AY440</f>
        <v>49592.4</v>
      </c>
      <c r="AT439" s="30">
        <f>'Equity Volume Data'!AW439*'Equity Price Data'!AZ440</f>
        <v>34878.72</v>
      </c>
      <c r="AU439" s="30">
        <f>'Equity Volume Data'!AX439*'Equity Price Data'!BA440</f>
        <v>0</v>
      </c>
      <c r="AV439" s="30">
        <f>'Equity Volume Data'!AY439*'Equity Price Data'!BB440</f>
        <v>26772.68</v>
      </c>
      <c r="AW439" s="30">
        <f>'Equity Volume Data'!AZ439*'Equity Price Data'!BC440</f>
        <v>3602.4</v>
      </c>
      <c r="AX439" s="30">
        <f>'Equity Volume Data'!BA439*'Equity Price Data'!BD440</f>
        <v>0</v>
      </c>
      <c r="AY439" s="30">
        <f>'Equity Volume Data'!BB439*'Equity Price Data'!BE440</f>
        <v>31389.75</v>
      </c>
      <c r="AZ439" s="30">
        <f>'Equity Volume Data'!BC439*'Equity Price Data'!BF440</f>
        <v>0</v>
      </c>
      <c r="BA439" s="30">
        <f>'Equity Volume Data'!BD439*'Equity Price Data'!BG440</f>
        <v>5245.9</v>
      </c>
      <c r="BB439" s="30">
        <f>'Equity Volume Data'!BE439*'Equity Price Data'!BH440</f>
        <v>15615.2</v>
      </c>
      <c r="BC439" s="30">
        <f>'Equity Volume Data'!BF439*'Equity Price Data'!BI440</f>
        <v>31481.44</v>
      </c>
      <c r="BD439" s="30">
        <f>'Equity Volume Data'!BG439*'Equity Price Data'!BJ440</f>
        <v>42478.59</v>
      </c>
      <c r="BE439" s="30">
        <f>'Equity Volume Data'!BH439*'Equity Price Data'!BK440</f>
        <v>12415.4</v>
      </c>
      <c r="BF439" s="30">
        <f>'Equity Volume Data'!BI439*'Equity Price Data'!BL440</f>
        <v>9529.6</v>
      </c>
      <c r="BG439" s="30">
        <f>'Equity Volume Data'!BJ439*'Equity Price Data'!BM440</f>
        <v>38722.62</v>
      </c>
      <c r="BH439" s="30">
        <f>'Equity Volume Data'!BK439*'Equity Price Data'!BN440</f>
        <v>0</v>
      </c>
      <c r="BI439" s="30">
        <f>'Equity Volume Data'!BL439*'Equity Price Data'!BO440</f>
        <v>41811.2</v>
      </c>
      <c r="BJ439" s="30">
        <f>'Equity Volume Data'!BM439*'Equity Price Data'!BP440</f>
        <v>20491.5</v>
      </c>
      <c r="BK439" s="30">
        <f>'Equity Volume Data'!BN439*'Equity Price Data'!BQ440</f>
        <v>89631.48</v>
      </c>
      <c r="BL439" s="30">
        <f>'Equity Volume Data'!BO439*'Equity Price Data'!BR440</f>
        <v>749.65</v>
      </c>
      <c r="BM439" s="30">
        <f>'Equity Volume Data'!BP439*'Equity Price Data'!BS440</f>
        <v>11122.56</v>
      </c>
      <c r="BN439" s="30">
        <f>'Equity Volume Data'!BQ439*'Equity Price Data'!BT440</f>
        <v>20672.48</v>
      </c>
      <c r="BO439" s="30">
        <f>'Equity Volume Data'!BR439*'Equity Price Data'!BU440</f>
        <v>74823.25</v>
      </c>
    </row>
    <row r="440">
      <c r="A440" s="25">
        <f>'Equity Price Data'!A441</f>
        <v>46064.66667</v>
      </c>
      <c r="B440" s="29">
        <f t="shared" si="1"/>
        <v>1651944.99</v>
      </c>
      <c r="C440" s="30">
        <f>'Equity Volume Data'!F440*'Equity Price Data'!I441</f>
        <v>3343.08</v>
      </c>
      <c r="D440" s="30">
        <f>'Equity Volume Data'!G440*'Equity Price Data'!J441</f>
        <v>53060.8</v>
      </c>
      <c r="E440" s="30">
        <f>'Equity Volume Data'!H440*'Equity Price Data'!K441</f>
        <v>13605.9</v>
      </c>
      <c r="F440" s="30">
        <f>'Equity Volume Data'!I440*'Equity Price Data'!L441</f>
        <v>70528</v>
      </c>
      <c r="G440" s="30">
        <f>'Equity Volume Data'!J440*'Equity Price Data'!M441</f>
        <v>28210.04</v>
      </c>
      <c r="H440" s="30">
        <f>'Equity Volume Data'!K440*'Equity Price Data'!N441</f>
        <v>22879.6</v>
      </c>
      <c r="I440" s="30">
        <f>'Equity Volume Data'!L440*'Equity Price Data'!O441</f>
        <v>26160</v>
      </c>
      <c r="J440" s="30">
        <f>'Equity Volume Data'!M440*'Equity Price Data'!P441</f>
        <v>51002.04</v>
      </c>
      <c r="K440" s="30">
        <f>'Equity Volume Data'!N440*'Equity Price Data'!Q441</f>
        <v>15026</v>
      </c>
      <c r="L440" s="30">
        <f>'Equity Volume Data'!O440*'Equity Price Data'!R441</f>
        <v>23135.2</v>
      </c>
      <c r="M440" s="30">
        <f>'Equity Volume Data'!P440*'Equity Price Data'!S441</f>
        <v>10726.62</v>
      </c>
      <c r="N440" s="30">
        <f>'Equity Volume Data'!Q440*'Equity Price Data'!T441</f>
        <v>5366.4</v>
      </c>
      <c r="O440" s="30">
        <f>'Equity Volume Data'!R440*'Equity Price Data'!U441</f>
        <v>116250</v>
      </c>
      <c r="P440" s="30">
        <f>'Equity Volume Data'!S440*'Equity Price Data'!V441</f>
        <v>49698.06</v>
      </c>
      <c r="Q440" s="30">
        <f>'Equity Volume Data'!T440*'Equity Price Data'!W441</f>
        <v>21176.4</v>
      </c>
      <c r="R440" s="30">
        <f>'Equity Volume Data'!U440*'Equity Price Data'!X441</f>
        <v>14865.6</v>
      </c>
      <c r="S440" s="30">
        <f>'Equity Volume Data'!V440*'Equity Price Data'!Y441</f>
        <v>25936.24</v>
      </c>
      <c r="T440" s="30">
        <f>'Equity Volume Data'!W440*'Equity Price Data'!Z441</f>
        <v>16715</v>
      </c>
      <c r="U440" s="30">
        <f>'Equity Volume Data'!X440*'Equity Price Data'!AA441</f>
        <v>20750.4</v>
      </c>
      <c r="V440" s="30">
        <f>'Equity Volume Data'!Y440*'Equity Price Data'!AB441</f>
        <v>17689.07</v>
      </c>
      <c r="W440" s="30">
        <f>'Equity Volume Data'!Z440*'Equity Price Data'!AC441</f>
        <v>12045.33</v>
      </c>
      <c r="X440" s="30">
        <f>'Equity Volume Data'!AA440*'Equity Price Data'!AD441</f>
        <v>0</v>
      </c>
      <c r="Y440" s="30">
        <f>'Equity Volume Data'!AB440*'Equity Price Data'!AE441</f>
        <v>4992</v>
      </c>
      <c r="Z440" s="30">
        <f>'Equity Volume Data'!AC440*'Equity Price Data'!AF441</f>
        <v>12432</v>
      </c>
      <c r="AA440" s="30">
        <f>'Equity Volume Data'!AD440*'Equity Price Data'!AG441</f>
        <v>26445.2</v>
      </c>
      <c r="AB440" s="30">
        <f>'Equity Volume Data'!AE440*'Equity Price Data'!AH441</f>
        <v>22029.6</v>
      </c>
      <c r="AC440" s="30">
        <f>'Equity Volume Data'!AF440*'Equity Price Data'!AI441</f>
        <v>15318.4</v>
      </c>
      <c r="AD440" s="30">
        <f>'Equity Volume Data'!AG440*'Equity Price Data'!AJ441</f>
        <v>15585.3</v>
      </c>
      <c r="AE440" s="30">
        <f>'Equity Volume Data'!AH440*'Equity Price Data'!AK441</f>
        <v>0</v>
      </c>
      <c r="AF440" s="30">
        <f>'Equity Volume Data'!AI440*'Equity Price Data'!AL441</f>
        <v>31939</v>
      </c>
      <c r="AG440" s="30">
        <f>'Equity Volume Data'!AJ440*'Equity Price Data'!AM441</f>
        <v>56675.4</v>
      </c>
      <c r="AH440" s="30">
        <f>'Equity Volume Data'!AK440*'Equity Price Data'!AN441</f>
        <v>39068</v>
      </c>
      <c r="AI440" s="30">
        <f>'Equity Volume Data'!AL440*'Equity Price Data'!AO441</f>
        <v>22944.25</v>
      </c>
      <c r="AJ440" s="30">
        <f>'Equity Volume Data'!AM440*'Equity Price Data'!AP441</f>
        <v>19758.7</v>
      </c>
      <c r="AK440" s="30">
        <f>'Equity Volume Data'!AN440*'Equity Price Data'!AQ441</f>
        <v>23317.64</v>
      </c>
      <c r="AL440" s="30">
        <f>'Equity Volume Data'!AO440*'Equity Price Data'!AR441</f>
        <v>49731.2</v>
      </c>
      <c r="AM440" s="30">
        <f>'Equity Volume Data'!AP440*'Equity Price Data'!AS441</f>
        <v>44009</v>
      </c>
      <c r="AN440" s="30">
        <f>'Equity Volume Data'!AQ440*'Equity Price Data'!AT441</f>
        <v>0</v>
      </c>
      <c r="AO440" s="30">
        <f>'Equity Volume Data'!AR440*'Equity Price Data'!AU441</f>
        <v>32358.06</v>
      </c>
      <c r="AP440" s="30">
        <f>'Equity Volume Data'!AS440*'Equity Price Data'!AV441</f>
        <v>25270</v>
      </c>
      <c r="AQ440" s="30">
        <f>'Equity Volume Data'!AT440*'Equity Price Data'!AW441</f>
        <v>17355.8</v>
      </c>
      <c r="AR440" s="30">
        <f>'Equity Volume Data'!AU440*'Equity Price Data'!AX441</f>
        <v>13509.34</v>
      </c>
      <c r="AS440" s="30">
        <f>'Equity Volume Data'!AV440*'Equity Price Data'!AY441</f>
        <v>48524.4</v>
      </c>
      <c r="AT440" s="30">
        <f>'Equity Volume Data'!AW440*'Equity Price Data'!AZ441</f>
        <v>35082.24</v>
      </c>
      <c r="AU440" s="30">
        <f>'Equity Volume Data'!AX440*'Equity Price Data'!BA441</f>
        <v>0</v>
      </c>
      <c r="AV440" s="30">
        <f>'Equity Volume Data'!AY440*'Equity Price Data'!BB441</f>
        <v>26987.1</v>
      </c>
      <c r="AW440" s="30">
        <f>'Equity Volume Data'!AZ440*'Equity Price Data'!BC441</f>
        <v>3576.8</v>
      </c>
      <c r="AX440" s="30">
        <f>'Equity Volume Data'!BA440*'Equity Price Data'!BD441</f>
        <v>0</v>
      </c>
      <c r="AY440" s="30">
        <f>'Equity Volume Data'!BB440*'Equity Price Data'!BE441</f>
        <v>30528</v>
      </c>
      <c r="AZ440" s="30">
        <f>'Equity Volume Data'!BC440*'Equity Price Data'!BF441</f>
        <v>0</v>
      </c>
      <c r="BA440" s="30">
        <f>'Equity Volume Data'!BD440*'Equity Price Data'!BG441</f>
        <v>5268.7</v>
      </c>
      <c r="BB440" s="30">
        <f>'Equity Volume Data'!BE440*'Equity Price Data'!BH441</f>
        <v>15720.8</v>
      </c>
      <c r="BC440" s="30">
        <f>'Equity Volume Data'!BF440*'Equity Price Data'!BI441</f>
        <v>32140.72</v>
      </c>
      <c r="BD440" s="30">
        <f>'Equity Volume Data'!BG440*'Equity Price Data'!BJ441</f>
        <v>44632.02</v>
      </c>
      <c r="BE440" s="30">
        <f>'Equity Volume Data'!BH440*'Equity Price Data'!BK441</f>
        <v>12124.91</v>
      </c>
      <c r="BF440" s="30">
        <f>'Equity Volume Data'!BI440*'Equity Price Data'!BL441</f>
        <v>9712.4</v>
      </c>
      <c r="BG440" s="30">
        <f>'Equity Volume Data'!BJ440*'Equity Price Data'!BM441</f>
        <v>37057.4</v>
      </c>
      <c r="BH440" s="30">
        <f>'Equity Volume Data'!BK440*'Equity Price Data'!BN441</f>
        <v>0</v>
      </c>
      <c r="BI440" s="30">
        <f>'Equity Volume Data'!BL440*'Equity Price Data'!BO441</f>
        <v>42049.6</v>
      </c>
      <c r="BJ440" s="30">
        <f>'Equity Volume Data'!BM440*'Equity Price Data'!BP441</f>
        <v>20918.25</v>
      </c>
      <c r="BK440" s="30">
        <f>'Equity Volume Data'!BN440*'Equity Price Data'!BQ441</f>
        <v>89541.38</v>
      </c>
      <c r="BL440" s="30">
        <f>'Equity Volume Data'!BO440*'Equity Price Data'!BR441</f>
        <v>758.11</v>
      </c>
      <c r="BM440" s="30">
        <f>'Equity Volume Data'!BP440*'Equity Price Data'!BS441</f>
        <v>11263.68</v>
      </c>
      <c r="BN440" s="30">
        <f>'Equity Volume Data'!BQ440*'Equity Price Data'!BT441</f>
        <v>20326.56</v>
      </c>
      <c r="BO440" s="30">
        <f>'Equity Volume Data'!BR440*'Equity Price Data'!BU441</f>
        <v>74823.25</v>
      </c>
    </row>
    <row r="441">
      <c r="A441" s="25">
        <f>'Equity Price Data'!A442</f>
        <v>46065.66667</v>
      </c>
      <c r="B441" s="29">
        <f t="shared" si="1"/>
        <v>1625557.5</v>
      </c>
      <c r="C441" s="30">
        <f>'Equity Volume Data'!F441*'Equity Price Data'!I442</f>
        <v>3412.5</v>
      </c>
      <c r="D441" s="30">
        <f>'Equity Volume Data'!G441*'Equity Price Data'!J442</f>
        <v>51896</v>
      </c>
      <c r="E441" s="30">
        <f>'Equity Volume Data'!H441*'Equity Price Data'!K442</f>
        <v>14120.7</v>
      </c>
      <c r="F441" s="30">
        <f>'Equity Volume Data'!I441*'Equity Price Data'!L442</f>
        <v>67002.88</v>
      </c>
      <c r="G441" s="30">
        <f>'Equity Volume Data'!J441*'Equity Price Data'!M442</f>
        <v>27256.37</v>
      </c>
      <c r="H441" s="30">
        <f>'Equity Volume Data'!K441*'Equity Price Data'!N442</f>
        <v>21603.08</v>
      </c>
      <c r="I441" s="30">
        <f>'Equity Volume Data'!L441*'Equity Price Data'!O442</f>
        <v>25540</v>
      </c>
      <c r="J441" s="30">
        <f>'Equity Volume Data'!M441*'Equity Price Data'!P442</f>
        <v>51001.02</v>
      </c>
      <c r="K441" s="30">
        <f>'Equity Volume Data'!N441*'Equity Price Data'!Q442</f>
        <v>14552</v>
      </c>
      <c r="L441" s="30">
        <f>'Equity Volume Data'!O441*'Equity Price Data'!R442</f>
        <v>23655.5</v>
      </c>
      <c r="M441" s="30">
        <f>'Equity Volume Data'!P441*'Equity Price Data'!S442</f>
        <v>10821.52</v>
      </c>
      <c r="N441" s="30">
        <f>'Equity Volume Data'!Q441*'Equity Price Data'!T442</f>
        <v>5191.2</v>
      </c>
      <c r="O441" s="30">
        <f>'Equity Volume Data'!R441*'Equity Price Data'!U442</f>
        <v>113743.5</v>
      </c>
      <c r="P441" s="30">
        <f>'Equity Volume Data'!S441*'Equity Price Data'!V442</f>
        <v>48534.63</v>
      </c>
      <c r="Q441" s="30">
        <f>'Equity Volume Data'!T441*'Equity Price Data'!W442</f>
        <v>19736.4</v>
      </c>
      <c r="R441" s="30">
        <f>'Equity Volume Data'!U441*'Equity Price Data'!X442</f>
        <v>14592</v>
      </c>
      <c r="S441" s="30">
        <f>'Equity Volume Data'!V441*'Equity Price Data'!Y442</f>
        <v>25309.68</v>
      </c>
      <c r="T441" s="30">
        <f>'Equity Volume Data'!W441*'Equity Price Data'!Z442</f>
        <v>16195</v>
      </c>
      <c r="U441" s="30">
        <f>'Equity Volume Data'!X441*'Equity Price Data'!AA442</f>
        <v>20856</v>
      </c>
      <c r="V441" s="30">
        <f>'Equity Volume Data'!Y441*'Equity Price Data'!AB442</f>
        <v>17986.92</v>
      </c>
      <c r="W441" s="30">
        <f>'Equity Volume Data'!Z441*'Equity Price Data'!AC442</f>
        <v>12441.39</v>
      </c>
      <c r="X441" s="30">
        <f>'Equity Volume Data'!AA441*'Equity Price Data'!AD442</f>
        <v>0</v>
      </c>
      <c r="Y441" s="30">
        <f>'Equity Volume Data'!AB441*'Equity Price Data'!AE442</f>
        <v>4963.14</v>
      </c>
      <c r="Z441" s="30">
        <f>'Equity Volume Data'!AC441*'Equity Price Data'!AF442</f>
        <v>11911.5</v>
      </c>
      <c r="AA441" s="30">
        <f>'Equity Volume Data'!AD441*'Equity Price Data'!AG442</f>
        <v>25488.1</v>
      </c>
      <c r="AB441" s="30">
        <f>'Equity Volume Data'!AE441*'Equity Price Data'!AH442</f>
        <v>22167.6</v>
      </c>
      <c r="AC441" s="30">
        <f>'Equity Volume Data'!AF441*'Equity Price Data'!AI442</f>
        <v>15648.4</v>
      </c>
      <c r="AD441" s="30">
        <f>'Equity Volume Data'!AG441*'Equity Price Data'!AJ442</f>
        <v>15333.75</v>
      </c>
      <c r="AE441" s="30">
        <f>'Equity Volume Data'!AH441*'Equity Price Data'!AK442</f>
        <v>0</v>
      </c>
      <c r="AF441" s="30">
        <f>'Equity Volume Data'!AI441*'Equity Price Data'!AL442</f>
        <v>31121.05</v>
      </c>
      <c r="AG441" s="30">
        <f>'Equity Volume Data'!AJ441*'Equity Price Data'!AM442</f>
        <v>54273</v>
      </c>
      <c r="AH441" s="30">
        <f>'Equity Volume Data'!AK441*'Equity Price Data'!AN442</f>
        <v>39022</v>
      </c>
      <c r="AI441" s="30">
        <f>'Equity Volume Data'!AL441*'Equity Price Data'!AO442</f>
        <v>21950.25</v>
      </c>
      <c r="AJ441" s="30">
        <f>'Equity Volume Data'!AM441*'Equity Price Data'!AP442</f>
        <v>19477.9</v>
      </c>
      <c r="AK441" s="30">
        <f>'Equity Volume Data'!AN441*'Equity Price Data'!AQ442</f>
        <v>22494.2</v>
      </c>
      <c r="AL441" s="30">
        <f>'Equity Volume Data'!AO441*'Equity Price Data'!AR442</f>
        <v>48422.4</v>
      </c>
      <c r="AM441" s="30">
        <f>'Equity Volume Data'!AP441*'Equity Price Data'!AS442</f>
        <v>44620.1</v>
      </c>
      <c r="AN441" s="30">
        <f>'Equity Volume Data'!AQ441*'Equity Price Data'!AT442</f>
        <v>0</v>
      </c>
      <c r="AO441" s="30">
        <f>'Equity Volume Data'!AR441*'Equity Price Data'!AU442</f>
        <v>30581.74</v>
      </c>
      <c r="AP441" s="30">
        <f>'Equity Volume Data'!AS441*'Equity Price Data'!AV442</f>
        <v>25220</v>
      </c>
      <c r="AQ441" s="30">
        <f>'Equity Volume Data'!AT441*'Equity Price Data'!AW442</f>
        <v>17019.2</v>
      </c>
      <c r="AR441" s="30">
        <f>'Equity Volume Data'!AU441*'Equity Price Data'!AX442</f>
        <v>12777.9</v>
      </c>
      <c r="AS441" s="30">
        <f>'Equity Volume Data'!AV441*'Equity Price Data'!AY442</f>
        <v>48220.8</v>
      </c>
      <c r="AT441" s="30">
        <f>'Equity Volume Data'!AW441*'Equity Price Data'!AZ442</f>
        <v>35301.12</v>
      </c>
      <c r="AU441" s="30">
        <f>'Equity Volume Data'!AX441*'Equity Price Data'!BA442</f>
        <v>0</v>
      </c>
      <c r="AV441" s="30">
        <f>'Equity Volume Data'!AY441*'Equity Price Data'!BB442</f>
        <v>26545.48</v>
      </c>
      <c r="AW441" s="30">
        <f>'Equity Volume Data'!AZ441*'Equity Price Data'!BC442</f>
        <v>3670</v>
      </c>
      <c r="AX441" s="30">
        <f>'Equity Volume Data'!BA441*'Equity Price Data'!BD442</f>
        <v>0</v>
      </c>
      <c r="AY441" s="30">
        <f>'Equity Volume Data'!BB441*'Equity Price Data'!BE442</f>
        <v>29054.25</v>
      </c>
      <c r="AZ441" s="30">
        <f>'Equity Volume Data'!BC441*'Equity Price Data'!BF442</f>
        <v>0</v>
      </c>
      <c r="BA441" s="30">
        <f>'Equity Volume Data'!BD441*'Equity Price Data'!BG442</f>
        <v>5219.3</v>
      </c>
      <c r="BB441" s="30">
        <f>'Equity Volume Data'!BE441*'Equity Price Data'!BH442</f>
        <v>16091.2</v>
      </c>
      <c r="BC441" s="30">
        <f>'Equity Volume Data'!BF441*'Equity Price Data'!BI442</f>
        <v>31924.24</v>
      </c>
      <c r="BD441" s="30">
        <f>'Equity Volume Data'!BG441*'Equity Price Data'!BJ442</f>
        <v>45726.84</v>
      </c>
      <c r="BE441" s="30">
        <f>'Equity Volume Data'!BH441*'Equity Price Data'!BK442</f>
        <v>11725.86</v>
      </c>
      <c r="BF441" s="30">
        <f>'Equity Volume Data'!BI441*'Equity Price Data'!BL442</f>
        <v>9665.6</v>
      </c>
      <c r="BG441" s="30">
        <f>'Equity Volume Data'!BJ441*'Equity Price Data'!BM442</f>
        <v>35728.56</v>
      </c>
      <c r="BH441" s="30">
        <f>'Equity Volume Data'!BK441*'Equity Price Data'!BN442</f>
        <v>0</v>
      </c>
      <c r="BI441" s="30">
        <f>'Equity Volume Data'!BL441*'Equity Price Data'!BO442</f>
        <v>41883.2</v>
      </c>
      <c r="BJ441" s="30">
        <f>'Equity Volume Data'!BM441*'Equity Price Data'!BP442</f>
        <v>21327.75</v>
      </c>
      <c r="BK441" s="30">
        <f>'Equity Volume Data'!BN441*'Equity Price Data'!BQ442</f>
        <v>89631.48</v>
      </c>
      <c r="BL441" s="30">
        <f>'Equity Volume Data'!BO441*'Equity Price Data'!BR442</f>
        <v>742.13</v>
      </c>
      <c r="BM441" s="30">
        <f>'Equity Volume Data'!BP441*'Equity Price Data'!BS442</f>
        <v>11088.48</v>
      </c>
      <c r="BN441" s="30">
        <f>'Equity Volume Data'!BQ441*'Equity Price Data'!BT442</f>
        <v>19247.44</v>
      </c>
      <c r="BO441" s="30">
        <f>'Equity Volume Data'!BR441*'Equity Price Data'!BU442</f>
        <v>74823.25</v>
      </c>
    </row>
    <row r="442">
      <c r="A442" s="25">
        <f>'Equity Price Data'!A443</f>
        <v>46066.66667</v>
      </c>
      <c r="B442" s="29">
        <f t="shared" si="1"/>
        <v>1635889.9</v>
      </c>
      <c r="C442" s="30">
        <f>'Equity Volume Data'!F442*'Equity Price Data'!I443</f>
        <v>3431.61</v>
      </c>
      <c r="D442" s="30">
        <f>'Equity Volume Data'!G442*'Equity Price Data'!J443</f>
        <v>51685.4</v>
      </c>
      <c r="E442" s="30">
        <f>'Equity Volume Data'!H442*'Equity Price Data'!K443</f>
        <v>14685</v>
      </c>
      <c r="F442" s="30">
        <f>'Equity Volume Data'!I442*'Equity Price Data'!L443</f>
        <v>65479.68</v>
      </c>
      <c r="G442" s="30">
        <f>'Equity Volume Data'!J442*'Equity Price Data'!M443</f>
        <v>29457.53</v>
      </c>
      <c r="H442" s="30">
        <f>'Equity Volume Data'!K442*'Equity Price Data'!N443</f>
        <v>22135.12</v>
      </c>
      <c r="I442" s="30">
        <f>'Equity Volume Data'!L442*'Equity Price Data'!O443</f>
        <v>25310</v>
      </c>
      <c r="J442" s="30">
        <f>'Equity Volume Data'!M442*'Equity Price Data'!P443</f>
        <v>50750.1</v>
      </c>
      <c r="K442" s="30">
        <f>'Equity Volume Data'!N442*'Equity Price Data'!Q443</f>
        <v>14676</v>
      </c>
      <c r="L442" s="30">
        <f>'Equity Volume Data'!O442*'Equity Price Data'!R443</f>
        <v>23778.92</v>
      </c>
      <c r="M442" s="30">
        <f>'Equity Volume Data'!P442*'Equity Price Data'!S443</f>
        <v>10910.58</v>
      </c>
      <c r="N442" s="30">
        <f>'Equity Volume Data'!Q442*'Equity Price Data'!T443</f>
        <v>5232</v>
      </c>
      <c r="O442" s="30">
        <f>'Equity Volume Data'!R442*'Equity Price Data'!U443</f>
        <v>116130</v>
      </c>
      <c r="P442" s="30">
        <f>'Equity Volume Data'!S442*'Equity Price Data'!V443</f>
        <v>47079.3</v>
      </c>
      <c r="Q442" s="30">
        <f>'Equity Volume Data'!T442*'Equity Price Data'!W443</f>
        <v>20577.6</v>
      </c>
      <c r="R442" s="30">
        <f>'Equity Volume Data'!U442*'Equity Price Data'!X443</f>
        <v>14699.2</v>
      </c>
      <c r="S442" s="30">
        <f>'Equity Volume Data'!V442*'Equity Price Data'!Y443</f>
        <v>25646.72</v>
      </c>
      <c r="T442" s="30">
        <f>'Equity Volume Data'!W442*'Equity Price Data'!Z443</f>
        <v>16275</v>
      </c>
      <c r="U442" s="30">
        <f>'Equity Volume Data'!X442*'Equity Price Data'!AA443</f>
        <v>20771.52</v>
      </c>
      <c r="V442" s="30">
        <f>'Equity Volume Data'!Y442*'Equity Price Data'!AB443</f>
        <v>18308.92</v>
      </c>
      <c r="W442" s="30">
        <f>'Equity Volume Data'!Z442*'Equity Price Data'!AC443</f>
        <v>12486.93</v>
      </c>
      <c r="X442" s="30">
        <f>'Equity Volume Data'!AA442*'Equity Price Data'!AD443</f>
        <v>0</v>
      </c>
      <c r="Y442" s="30">
        <f>'Equity Volume Data'!AB442*'Equity Price Data'!AE443</f>
        <v>4881.5</v>
      </c>
      <c r="Z442" s="30">
        <f>'Equity Volume Data'!AC442*'Equity Price Data'!AF443</f>
        <v>12357</v>
      </c>
      <c r="AA442" s="30">
        <f>'Equity Volume Data'!AD442*'Equity Price Data'!AG443</f>
        <v>25236.5</v>
      </c>
      <c r="AB442" s="30">
        <f>'Equity Volume Data'!AE442*'Equity Price Data'!AH443</f>
        <v>22483.2</v>
      </c>
      <c r="AC442" s="30">
        <f>'Equity Volume Data'!AF442*'Equity Price Data'!AI443</f>
        <v>15163.2</v>
      </c>
      <c r="AD442" s="30">
        <f>'Equity Volume Data'!AG442*'Equity Price Data'!AJ443</f>
        <v>15643.8</v>
      </c>
      <c r="AE442" s="30">
        <f>'Equity Volume Data'!AH442*'Equity Price Data'!AK443</f>
        <v>0</v>
      </c>
      <c r="AF442" s="30">
        <f>'Equity Volume Data'!AI442*'Equity Price Data'!AL443</f>
        <v>31770.9</v>
      </c>
      <c r="AG442" s="30">
        <f>'Equity Volume Data'!AJ442*'Equity Price Data'!AM443</f>
        <v>54308.4</v>
      </c>
      <c r="AH442" s="30">
        <f>'Equity Volume Data'!AK442*'Equity Price Data'!AN443</f>
        <v>39105</v>
      </c>
      <c r="AI442" s="30">
        <f>'Equity Volume Data'!AL442*'Equity Price Data'!AO443</f>
        <v>21938</v>
      </c>
      <c r="AJ442" s="30">
        <f>'Equity Volume Data'!AM442*'Equity Price Data'!AP443</f>
        <v>19796.4</v>
      </c>
      <c r="AK442" s="30">
        <f>'Equity Volume Data'!AN442*'Equity Price Data'!AQ443</f>
        <v>22834.48</v>
      </c>
      <c r="AL442" s="30">
        <f>'Equity Volume Data'!AO442*'Equity Price Data'!AR443</f>
        <v>48408</v>
      </c>
      <c r="AM442" s="30">
        <f>'Equity Volume Data'!AP442*'Equity Price Data'!AS443</f>
        <v>45680.6</v>
      </c>
      <c r="AN442" s="30">
        <f>'Equity Volume Data'!AQ442*'Equity Price Data'!AT443</f>
        <v>0</v>
      </c>
      <c r="AO442" s="30">
        <f>'Equity Volume Data'!AR442*'Equity Price Data'!AU443</f>
        <v>31401.58</v>
      </c>
      <c r="AP442" s="30">
        <f>'Equity Volume Data'!AS442*'Equity Price Data'!AV443</f>
        <v>24872.5</v>
      </c>
      <c r="AQ442" s="30">
        <f>'Equity Volume Data'!AT442*'Equity Price Data'!AW443</f>
        <v>17008.2</v>
      </c>
      <c r="AR442" s="30">
        <f>'Equity Volume Data'!AU442*'Equity Price Data'!AX443</f>
        <v>12940.69</v>
      </c>
      <c r="AS442" s="30">
        <f>'Equity Volume Data'!AV442*'Equity Price Data'!AY443</f>
        <v>48158.4</v>
      </c>
      <c r="AT442" s="30">
        <f>'Equity Volume Data'!AW442*'Equity Price Data'!AZ443</f>
        <v>36019.2</v>
      </c>
      <c r="AU442" s="30">
        <f>'Equity Volume Data'!AX442*'Equity Price Data'!BA443</f>
        <v>0</v>
      </c>
      <c r="AV442" s="30">
        <f>'Equity Volume Data'!AY442*'Equity Price Data'!BB443</f>
        <v>25959.02</v>
      </c>
      <c r="AW442" s="30">
        <f>'Equity Volume Data'!AZ442*'Equity Price Data'!BC443</f>
        <v>3593.2</v>
      </c>
      <c r="AX442" s="30">
        <f>'Equity Volume Data'!BA442*'Equity Price Data'!BD443</f>
        <v>0</v>
      </c>
      <c r="AY442" s="30">
        <f>'Equity Volume Data'!BB442*'Equity Price Data'!BE443</f>
        <v>29567.25</v>
      </c>
      <c r="AZ442" s="30">
        <f>'Equity Volume Data'!BC442*'Equity Price Data'!BF443</f>
        <v>0</v>
      </c>
      <c r="BA442" s="30">
        <f>'Equity Volume Data'!BD442*'Equity Price Data'!BG443</f>
        <v>5240.2</v>
      </c>
      <c r="BB442" s="30">
        <f>'Equity Volume Data'!BE442*'Equity Price Data'!BH443</f>
        <v>16004.8</v>
      </c>
      <c r="BC442" s="30">
        <f>'Equity Volume Data'!BF442*'Equity Price Data'!BI443</f>
        <v>31589.68</v>
      </c>
      <c r="BD442" s="30">
        <f>'Equity Volume Data'!BG442*'Equity Price Data'!BJ443</f>
        <v>46753.5</v>
      </c>
      <c r="BE442" s="30">
        <f>'Equity Volume Data'!BH442*'Equity Price Data'!BK443</f>
        <v>11610.86</v>
      </c>
      <c r="BF442" s="30">
        <f>'Equity Volume Data'!BI442*'Equity Price Data'!BL443</f>
        <v>9931.6</v>
      </c>
      <c r="BG442" s="30">
        <f>'Equity Volume Data'!BJ442*'Equity Price Data'!BM443</f>
        <v>36095.52</v>
      </c>
      <c r="BH442" s="30">
        <f>'Equity Volume Data'!BK442*'Equity Price Data'!BN443</f>
        <v>0</v>
      </c>
      <c r="BI442" s="30">
        <f>'Equity Volume Data'!BL442*'Equity Price Data'!BO443</f>
        <v>41708.8</v>
      </c>
      <c r="BJ442" s="30">
        <f>'Equity Volume Data'!BM442*'Equity Price Data'!BP443</f>
        <v>21989.25</v>
      </c>
      <c r="BK442" s="30">
        <f>'Equity Volume Data'!BN442*'Equity Price Data'!BQ443</f>
        <v>89685.54</v>
      </c>
      <c r="BL442" s="30">
        <f>'Equity Volume Data'!BO442*'Equity Price Data'!BR443</f>
        <v>741.19</v>
      </c>
      <c r="BM442" s="30">
        <f>'Equity Volume Data'!BP442*'Equity Price Data'!BS443</f>
        <v>11256.96</v>
      </c>
      <c r="BN442" s="30">
        <f>'Equity Volume Data'!BQ442*'Equity Price Data'!BT443</f>
        <v>19824.6</v>
      </c>
      <c r="BO442" s="30">
        <f>'Equity Volume Data'!BR442*'Equity Price Data'!BU443</f>
        <v>74823.25</v>
      </c>
    </row>
    <row r="443">
      <c r="A443" s="25">
        <f>'Equity Price Data'!A444</f>
        <v>46070.66667</v>
      </c>
      <c r="B443" s="29">
        <f t="shared" si="1"/>
        <v>1651139.12</v>
      </c>
      <c r="C443" s="30">
        <f>'Equity Volume Data'!F443*'Equity Price Data'!I444</f>
        <v>3385.85</v>
      </c>
      <c r="D443" s="30">
        <f>'Equity Volume Data'!G443*'Equity Price Data'!J444</f>
        <v>52299</v>
      </c>
      <c r="E443" s="30">
        <f>'Equity Volume Data'!H443*'Equity Price Data'!K444</f>
        <v>14686.1</v>
      </c>
      <c r="F443" s="30">
        <f>'Equity Volume Data'!I443*'Equity Price Data'!L444</f>
        <v>67553.28</v>
      </c>
      <c r="G443" s="30">
        <f>'Equity Volume Data'!J443*'Equity Price Data'!M444</f>
        <v>29807.79</v>
      </c>
      <c r="H443" s="30">
        <f>'Equity Volume Data'!K443*'Equity Price Data'!N444</f>
        <v>22334.4</v>
      </c>
      <c r="I443" s="30">
        <f>'Equity Volume Data'!L443*'Equity Price Data'!O444</f>
        <v>25960</v>
      </c>
      <c r="J443" s="30">
        <f>'Equity Volume Data'!M443*'Equity Price Data'!P444</f>
        <v>51347.82</v>
      </c>
      <c r="K443" s="30">
        <f>'Equity Volume Data'!N443*'Equity Price Data'!Q444</f>
        <v>14858</v>
      </c>
      <c r="L443" s="30">
        <f>'Equity Volume Data'!O443*'Equity Price Data'!R444</f>
        <v>23670.02</v>
      </c>
      <c r="M443" s="30">
        <f>'Equity Volume Data'!P443*'Equity Price Data'!S444</f>
        <v>11138.34</v>
      </c>
      <c r="N443" s="30">
        <f>'Equity Volume Data'!Q443*'Equity Price Data'!T444</f>
        <v>5314.4</v>
      </c>
      <c r="O443" s="30">
        <f>'Equity Volume Data'!R443*'Equity Price Data'!U444</f>
        <v>114714</v>
      </c>
      <c r="P443" s="30">
        <f>'Equity Volume Data'!S443*'Equity Price Data'!V444</f>
        <v>47095.98</v>
      </c>
      <c r="Q443" s="30">
        <f>'Equity Volume Data'!T443*'Equity Price Data'!W444</f>
        <v>19802.4</v>
      </c>
      <c r="R443" s="30">
        <f>'Equity Volume Data'!U443*'Equity Price Data'!X444</f>
        <v>14444</v>
      </c>
      <c r="S443" s="30">
        <f>'Equity Volume Data'!V443*'Equity Price Data'!Y444</f>
        <v>25582.48</v>
      </c>
      <c r="T443" s="30">
        <f>'Equity Volume Data'!W443*'Equity Price Data'!Z444</f>
        <v>16097.5</v>
      </c>
      <c r="U443" s="30">
        <f>'Equity Volume Data'!X443*'Equity Price Data'!AA444</f>
        <v>21003.84</v>
      </c>
      <c r="V443" s="30">
        <f>'Equity Volume Data'!Y443*'Equity Price Data'!AB444</f>
        <v>18341.12</v>
      </c>
      <c r="W443" s="30">
        <f>'Equity Volume Data'!Z443*'Equity Price Data'!AC444</f>
        <v>12412.41</v>
      </c>
      <c r="X443" s="30">
        <f>'Equity Volume Data'!AA443*'Equity Price Data'!AD444</f>
        <v>0</v>
      </c>
      <c r="Y443" s="30">
        <f>'Equity Volume Data'!AB443*'Equity Price Data'!AE444</f>
        <v>4855.5</v>
      </c>
      <c r="Z443" s="30">
        <f>'Equity Volume Data'!AC443*'Equity Price Data'!AF444</f>
        <v>11992.5</v>
      </c>
      <c r="AA443" s="30">
        <f>'Equity Volume Data'!AD443*'Equity Price Data'!AG444</f>
        <v>24852.3</v>
      </c>
      <c r="AB443" s="30">
        <f>'Equity Volume Data'!AE443*'Equity Price Data'!AH444</f>
        <v>22518</v>
      </c>
      <c r="AC443" s="30">
        <f>'Equity Volume Data'!AF443*'Equity Price Data'!AI444</f>
        <v>14999.6</v>
      </c>
      <c r="AD443" s="30">
        <f>'Equity Volume Data'!AG443*'Equity Price Data'!AJ444</f>
        <v>15413.4</v>
      </c>
      <c r="AE443" s="30">
        <f>'Equity Volume Data'!AH443*'Equity Price Data'!AK444</f>
        <v>0</v>
      </c>
      <c r="AF443" s="30">
        <f>'Equity Volume Data'!AI443*'Equity Price Data'!AL444</f>
        <v>31830.35</v>
      </c>
      <c r="AG443" s="30">
        <f>'Equity Volume Data'!AJ443*'Equity Price Data'!AM444</f>
        <v>54962.4</v>
      </c>
      <c r="AH443" s="30">
        <f>'Equity Volume Data'!AK443*'Equity Price Data'!AN444</f>
        <v>38304</v>
      </c>
      <c r="AI443" s="30">
        <f>'Equity Volume Data'!AL443*'Equity Price Data'!AO444</f>
        <v>22786.75</v>
      </c>
      <c r="AJ443" s="30">
        <f>'Equity Volume Data'!AM443*'Equity Price Data'!AP444</f>
        <v>19947.2</v>
      </c>
      <c r="AK443" s="30">
        <f>'Equity Volume Data'!AN443*'Equity Price Data'!AQ444</f>
        <v>23187.45</v>
      </c>
      <c r="AL443" s="30">
        <f>'Equity Volume Data'!AO443*'Equity Price Data'!AR444</f>
        <v>49140.8</v>
      </c>
      <c r="AM443" s="30">
        <f>'Equity Volume Data'!AP443*'Equity Price Data'!AS444</f>
        <v>45470.6</v>
      </c>
      <c r="AN443" s="30">
        <f>'Equity Volume Data'!AQ443*'Equity Price Data'!AT444</f>
        <v>0</v>
      </c>
      <c r="AO443" s="30">
        <f>'Equity Volume Data'!AR443*'Equity Price Data'!AU444</f>
        <v>31743.18</v>
      </c>
      <c r="AP443" s="30">
        <f>'Equity Volume Data'!AS443*'Equity Price Data'!AV444</f>
        <v>24102.5</v>
      </c>
      <c r="AQ443" s="30">
        <f>'Equity Volume Data'!AT443*'Equity Price Data'!AW444</f>
        <v>17287.6</v>
      </c>
      <c r="AR443" s="30">
        <f>'Equity Volume Data'!AU443*'Equity Price Data'!AX444</f>
        <v>12699.85</v>
      </c>
      <c r="AS443" s="30">
        <f>'Equity Volume Data'!AV443*'Equity Price Data'!AY444</f>
        <v>47623.2</v>
      </c>
      <c r="AT443" s="30">
        <f>'Equity Volume Data'!AW443*'Equity Price Data'!AZ444</f>
        <v>35600.64</v>
      </c>
      <c r="AU443" s="30">
        <f>'Equity Volume Data'!AX443*'Equity Price Data'!BA444</f>
        <v>19773.3</v>
      </c>
      <c r="AV443" s="30">
        <f>'Equity Volume Data'!AY443*'Equity Price Data'!BB444</f>
        <v>26265.74</v>
      </c>
      <c r="AW443" s="30">
        <f>'Equity Volume Data'!AZ443*'Equity Price Data'!BC444</f>
        <v>3697.6</v>
      </c>
      <c r="AX443" s="30">
        <f>'Equity Volume Data'!BA443*'Equity Price Data'!BD444</f>
        <v>0</v>
      </c>
      <c r="AY443" s="30">
        <f>'Equity Volume Data'!BB443*'Equity Price Data'!BE444</f>
        <v>29929.5</v>
      </c>
      <c r="AZ443" s="30">
        <f>'Equity Volume Data'!BC443*'Equity Price Data'!BF444</f>
        <v>0</v>
      </c>
      <c r="BA443" s="30">
        <f>'Equity Volume Data'!BD443*'Equity Price Data'!BG444</f>
        <v>5200.3</v>
      </c>
      <c r="BB443" s="30">
        <f>'Equity Volume Data'!BE443*'Equity Price Data'!BH444</f>
        <v>16280</v>
      </c>
      <c r="BC443" s="30">
        <f>'Equity Volume Data'!BF443*'Equity Price Data'!BI444</f>
        <v>33000.08</v>
      </c>
      <c r="BD443" s="30">
        <f>'Equity Volume Data'!BG443*'Equity Price Data'!BJ444</f>
        <v>46776.93</v>
      </c>
      <c r="BE443" s="30">
        <f>'Equity Volume Data'!BH443*'Equity Price Data'!BK444</f>
        <v>11536.57</v>
      </c>
      <c r="BF443" s="30">
        <f>'Equity Volume Data'!BI443*'Equity Price Data'!BL444</f>
        <v>9820.4</v>
      </c>
      <c r="BG443" s="30">
        <f>'Equity Volume Data'!BJ443*'Equity Price Data'!BM444</f>
        <v>37201.96</v>
      </c>
      <c r="BH443" s="30">
        <f>'Equity Volume Data'!BK443*'Equity Price Data'!BN444</f>
        <v>0</v>
      </c>
      <c r="BI443" s="30">
        <f>'Equity Volume Data'!BL443*'Equity Price Data'!BO444</f>
        <v>42048</v>
      </c>
      <c r="BJ443" s="30">
        <f>'Equity Volume Data'!BM443*'Equity Price Data'!BP444</f>
        <v>21681.75</v>
      </c>
      <c r="BK443" s="30">
        <f>'Equity Volume Data'!BN443*'Equity Price Data'!BQ444</f>
        <v>89541.38</v>
      </c>
      <c r="BL443" s="30">
        <f>'Equity Volume Data'!BO443*'Equity Price Data'!BR444</f>
        <v>739.78</v>
      </c>
      <c r="BM443" s="30">
        <f>'Equity Volume Data'!BP443*'Equity Price Data'!BS444</f>
        <v>11290.56</v>
      </c>
      <c r="BN443" s="30">
        <f>'Equity Volume Data'!BQ443*'Equity Price Data'!BT444</f>
        <v>19822.72</v>
      </c>
      <c r="BO443" s="30">
        <v>65366.0</v>
      </c>
    </row>
    <row r="444">
      <c r="A444" s="25">
        <f>'Equity Price Data'!A445</f>
        <v>46071.66667</v>
      </c>
      <c r="B444" s="29">
        <f t="shared" si="1"/>
        <v>1656436.75</v>
      </c>
      <c r="C444" s="30">
        <f>'Equity Volume Data'!F444*'Equity Price Data'!I445</f>
        <v>3421.21</v>
      </c>
      <c r="D444" s="30">
        <f>'Equity Volume Data'!G444*'Equity Price Data'!J445</f>
        <v>53245.4</v>
      </c>
      <c r="E444" s="30">
        <f>'Equity Volume Data'!H444*'Equity Price Data'!K445</f>
        <v>14427.6</v>
      </c>
      <c r="F444" s="30">
        <f>'Equity Volume Data'!I444*'Equity Price Data'!L445</f>
        <v>67673.6</v>
      </c>
      <c r="G444" s="30">
        <f>'Equity Volume Data'!J444*'Equity Price Data'!M445</f>
        <v>30651.9</v>
      </c>
      <c r="H444" s="30">
        <f>'Equity Volume Data'!K444*'Equity Price Data'!N445</f>
        <v>22464.12</v>
      </c>
      <c r="I444" s="30">
        <f>'Equity Volume Data'!L444*'Equity Price Data'!O445</f>
        <v>26420</v>
      </c>
      <c r="J444" s="30">
        <f>'Equity Volume Data'!M444*'Equity Price Data'!P445</f>
        <v>50905.14</v>
      </c>
      <c r="K444" s="30">
        <f>'Equity Volume Data'!N444*'Equity Price Data'!Q445</f>
        <v>14906</v>
      </c>
      <c r="L444" s="30">
        <f>'Equity Volume Data'!O444*'Equity Price Data'!R445</f>
        <v>23489.73</v>
      </c>
      <c r="M444" s="30">
        <f>'Equity Volume Data'!P444*'Equity Price Data'!S445</f>
        <v>11136.88</v>
      </c>
      <c r="N444" s="30">
        <f>'Equity Volume Data'!Q444*'Equity Price Data'!T445</f>
        <v>5146.4</v>
      </c>
      <c r="O444" s="30">
        <f>'Equity Volume Data'!R444*'Equity Price Data'!U445</f>
        <v>112795.5</v>
      </c>
      <c r="P444" s="30">
        <f>'Equity Volume Data'!S444*'Equity Price Data'!V445</f>
        <v>48580.5</v>
      </c>
      <c r="Q444" s="30">
        <f>'Equity Volume Data'!T444*'Equity Price Data'!W445</f>
        <v>19681.2</v>
      </c>
      <c r="R444" s="30">
        <f>'Equity Volume Data'!U444*'Equity Price Data'!X445</f>
        <v>14709.6</v>
      </c>
      <c r="S444" s="30">
        <f>'Equity Volume Data'!V444*'Equity Price Data'!Y445</f>
        <v>25530.56</v>
      </c>
      <c r="T444" s="30">
        <f>'Equity Volume Data'!W444*'Equity Price Data'!Z445</f>
        <v>16260</v>
      </c>
      <c r="U444" s="30">
        <f>'Equity Volume Data'!X444*'Equity Price Data'!AA445</f>
        <v>20985.36</v>
      </c>
      <c r="V444" s="30">
        <f>'Equity Volume Data'!Y444*'Equity Price Data'!AB445</f>
        <v>17969.21</v>
      </c>
      <c r="W444" s="30">
        <f>'Equity Volume Data'!Z444*'Equity Price Data'!AC445</f>
        <v>12145.38</v>
      </c>
      <c r="X444" s="30">
        <f>'Equity Volume Data'!AA444*'Equity Price Data'!AD445</f>
        <v>0</v>
      </c>
      <c r="Y444" s="30">
        <f>'Equity Volume Data'!AB444*'Equity Price Data'!AE445</f>
        <v>4978.87</v>
      </c>
      <c r="Z444" s="30">
        <f>'Equity Volume Data'!AC444*'Equity Price Data'!AF445</f>
        <v>12327</v>
      </c>
      <c r="AA444" s="30">
        <f>'Equity Volume Data'!AD444*'Equity Price Data'!AG445</f>
        <v>25615.6</v>
      </c>
      <c r="AB444" s="30">
        <f>'Equity Volume Data'!AE444*'Equity Price Data'!AH445</f>
        <v>22984.8</v>
      </c>
      <c r="AC444" s="30">
        <f>'Equity Volume Data'!AF444*'Equity Price Data'!AI445</f>
        <v>14657.2</v>
      </c>
      <c r="AD444" s="30">
        <f>'Equity Volume Data'!AG444*'Equity Price Data'!AJ445</f>
        <v>15727.05</v>
      </c>
      <c r="AE444" s="30">
        <f>'Equity Volume Data'!AH444*'Equity Price Data'!AK445</f>
        <v>0</v>
      </c>
      <c r="AF444" s="30">
        <f>'Equity Volume Data'!AI444*'Equity Price Data'!AL445</f>
        <v>31311.7</v>
      </c>
      <c r="AG444" s="30">
        <f>'Equity Volume Data'!AJ444*'Equity Price Data'!AM445</f>
        <v>56023.8</v>
      </c>
      <c r="AH444" s="30">
        <f>'Equity Volume Data'!AK444*'Equity Price Data'!AN445</f>
        <v>38352</v>
      </c>
      <c r="AI444" s="30">
        <f>'Equity Volume Data'!AL444*'Equity Price Data'!AO445</f>
        <v>23383.5</v>
      </c>
      <c r="AJ444" s="30">
        <f>'Equity Volume Data'!AM444*'Equity Price Data'!AP445</f>
        <v>20174.7</v>
      </c>
      <c r="AK444" s="30">
        <f>'Equity Volume Data'!AN444*'Equity Price Data'!AQ445</f>
        <v>23535.72</v>
      </c>
      <c r="AL444" s="30">
        <f>'Equity Volume Data'!AO444*'Equity Price Data'!AR445</f>
        <v>49404.8</v>
      </c>
      <c r="AM444" s="30">
        <f>'Equity Volume Data'!AP444*'Equity Price Data'!AS445</f>
        <v>45486.7</v>
      </c>
      <c r="AN444" s="30">
        <f>'Equity Volume Data'!AQ444*'Equity Price Data'!AT445</f>
        <v>0</v>
      </c>
      <c r="AO444" s="30">
        <f>'Equity Volume Data'!AR444*'Equity Price Data'!AU445</f>
        <v>31580.92</v>
      </c>
      <c r="AP444" s="30">
        <f>'Equity Volume Data'!AS444*'Equity Price Data'!AV445</f>
        <v>24622.5</v>
      </c>
      <c r="AQ444" s="30">
        <f>'Equity Volume Data'!AT444*'Equity Price Data'!AW445</f>
        <v>17428.4</v>
      </c>
      <c r="AR444" s="30">
        <f>'Equity Volume Data'!AU444*'Equity Price Data'!AX445</f>
        <v>12920.62</v>
      </c>
      <c r="AS444" s="30">
        <f>'Equity Volume Data'!AV444*'Equity Price Data'!AY445</f>
        <v>47952</v>
      </c>
      <c r="AT444" s="30">
        <f>'Equity Volume Data'!AW444*'Equity Price Data'!AZ445</f>
        <v>35028.48</v>
      </c>
      <c r="AU444" s="30">
        <f>'Equity Volume Data'!AX444*'Equity Price Data'!BA445</f>
        <v>19500.84</v>
      </c>
      <c r="AV444" s="30">
        <f>'Equity Volume Data'!AY444*'Equity Price Data'!BB445</f>
        <v>26693.16</v>
      </c>
      <c r="AW444" s="30">
        <f>'Equity Volume Data'!AZ444*'Equity Price Data'!BC445</f>
        <v>3710.8</v>
      </c>
      <c r="AX444" s="30">
        <f>'Equity Volume Data'!BA444*'Equity Price Data'!BD445</f>
        <v>0</v>
      </c>
      <c r="AY444" s="30">
        <f>'Equity Volume Data'!BB444*'Equity Price Data'!BE445</f>
        <v>30460.5</v>
      </c>
      <c r="AZ444" s="30">
        <f>'Equity Volume Data'!BC444*'Equity Price Data'!BF445</f>
        <v>0</v>
      </c>
      <c r="BA444" s="30">
        <f>'Equity Volume Data'!BD444*'Equity Price Data'!BG445</f>
        <v>5200.3</v>
      </c>
      <c r="BB444" s="30">
        <f>'Equity Volume Data'!BE444*'Equity Price Data'!BH445</f>
        <v>16384.8</v>
      </c>
      <c r="BC444" s="30">
        <f>'Equity Volume Data'!BF444*'Equity Price Data'!BI445</f>
        <v>32731.12</v>
      </c>
      <c r="BD444" s="30">
        <f>'Equity Volume Data'!BG444*'Equity Price Data'!BJ445</f>
        <v>45422.25</v>
      </c>
      <c r="BE444" s="30">
        <f>'Equity Volume Data'!BH444*'Equity Price Data'!BK445</f>
        <v>11811.88</v>
      </c>
      <c r="BF444" s="30">
        <f>'Equity Volume Data'!BI444*'Equity Price Data'!BL445</f>
        <v>9728</v>
      </c>
      <c r="BG444" s="30">
        <f>'Equity Volume Data'!BJ444*'Equity Price Data'!BM445</f>
        <v>37669</v>
      </c>
      <c r="BH444" s="30">
        <f>'Equity Volume Data'!BK444*'Equity Price Data'!BN445</f>
        <v>0</v>
      </c>
      <c r="BI444" s="30">
        <f>'Equity Volume Data'!BL444*'Equity Price Data'!BO445</f>
        <v>42400</v>
      </c>
      <c r="BJ444" s="30">
        <f>'Equity Volume Data'!BM444*'Equity Price Data'!BP445</f>
        <v>21615</v>
      </c>
      <c r="BK444" s="30">
        <f>'Equity Volume Data'!BN444*'Equity Price Data'!BQ445</f>
        <v>89577.42</v>
      </c>
      <c r="BL444" s="30">
        <f>'Equity Volume Data'!BO444*'Equity Price Data'!BR445</f>
        <v>754.35</v>
      </c>
      <c r="BM444" s="30">
        <f>'Equity Volume Data'!BP444*'Equity Price Data'!BS445</f>
        <v>11234.88</v>
      </c>
      <c r="BN444" s="30">
        <f>'Equity Volume Data'!BQ444*'Equity Price Data'!BT445</f>
        <v>20134.8</v>
      </c>
      <c r="BO444" s="30">
        <v>65366.0</v>
      </c>
    </row>
    <row r="445">
      <c r="A445" s="25">
        <f>'Equity Price Data'!A446</f>
        <v>46072.66667</v>
      </c>
      <c r="B445" s="29">
        <f t="shared" si="1"/>
        <v>1654261.47</v>
      </c>
      <c r="C445" s="30">
        <f>'Equity Volume Data'!F445*'Equity Price Data'!I446</f>
        <v>3369.73</v>
      </c>
      <c r="D445" s="30">
        <f>'Equity Volume Data'!G445*'Equity Price Data'!J446</f>
        <v>53263.6</v>
      </c>
      <c r="E445" s="30">
        <f>'Equity Volume Data'!H445*'Equity Price Data'!K446</f>
        <v>14449.6</v>
      </c>
      <c r="F445" s="30">
        <f>'Equity Volume Data'!I445*'Equity Price Data'!L446</f>
        <v>66708.48</v>
      </c>
      <c r="G445" s="30">
        <f>'Equity Volume Data'!J445*'Equity Price Data'!M446</f>
        <v>30695.89</v>
      </c>
      <c r="H445" s="30">
        <f>'Equity Volume Data'!K445*'Equity Price Data'!N446</f>
        <v>22214.08</v>
      </c>
      <c r="I445" s="30">
        <f>'Equity Volume Data'!L445*'Equity Price Data'!O446</f>
        <v>25910</v>
      </c>
      <c r="J445" s="30">
        <f>'Equity Volume Data'!M445*'Equity Price Data'!P446</f>
        <v>50687.88</v>
      </c>
      <c r="K445" s="30">
        <f>'Equity Volume Data'!N445*'Equity Price Data'!Q446</f>
        <v>15014</v>
      </c>
      <c r="L445" s="30">
        <f>'Equity Volume Data'!O445*'Equity Price Data'!R446</f>
        <v>23241.68</v>
      </c>
      <c r="M445" s="30">
        <f>'Equity Volume Data'!P445*'Equity Price Data'!S446</f>
        <v>11055.12</v>
      </c>
      <c r="N445" s="30">
        <f>'Equity Volume Data'!Q445*'Equity Price Data'!T446</f>
        <v>5033.6</v>
      </c>
      <c r="O445" s="30">
        <f>'Equity Volume Data'!R445*'Equity Price Data'!U446</f>
        <v>114079.5</v>
      </c>
      <c r="P445" s="30">
        <f>'Equity Volume Data'!S445*'Equity Price Data'!V446</f>
        <v>49635.51</v>
      </c>
      <c r="Q445" s="30">
        <f>'Equity Volume Data'!T445*'Equity Price Data'!W446</f>
        <v>19086</v>
      </c>
      <c r="R445" s="30">
        <f>'Equity Volume Data'!U445*'Equity Price Data'!X446</f>
        <v>14782.4</v>
      </c>
      <c r="S445" s="30">
        <f>'Equity Volume Data'!V445*'Equity Price Data'!Y446</f>
        <v>25160.96</v>
      </c>
      <c r="T445" s="30">
        <f>'Equity Volume Data'!W445*'Equity Price Data'!Z446</f>
        <v>16147.5</v>
      </c>
      <c r="U445" s="30">
        <f>'Equity Volume Data'!X445*'Equity Price Data'!AA446</f>
        <v>20832.24</v>
      </c>
      <c r="V445" s="30">
        <f>'Equity Volume Data'!Y445*'Equity Price Data'!AB446</f>
        <v>18019.12</v>
      </c>
      <c r="W445" s="30">
        <f>'Equity Volume Data'!Z445*'Equity Price Data'!AC446</f>
        <v>12206.1</v>
      </c>
      <c r="X445" s="30">
        <f>'Equity Volume Data'!AA445*'Equity Price Data'!AD446</f>
        <v>0</v>
      </c>
      <c r="Y445" s="30">
        <f>'Equity Volume Data'!AB445*'Equity Price Data'!AE446</f>
        <v>5006.69</v>
      </c>
      <c r="Z445" s="30">
        <f>'Equity Volume Data'!AC445*'Equity Price Data'!AF446</f>
        <v>12712.5</v>
      </c>
      <c r="AA445" s="30">
        <f>'Equity Volume Data'!AD445*'Equity Price Data'!AG446</f>
        <v>25664.9</v>
      </c>
      <c r="AB445" s="30">
        <f>'Equity Volume Data'!AE445*'Equity Price Data'!AH446</f>
        <v>22988.4</v>
      </c>
      <c r="AC445" s="30">
        <f>'Equity Volume Data'!AF445*'Equity Price Data'!AI446</f>
        <v>14660</v>
      </c>
      <c r="AD445" s="30">
        <f>'Equity Volume Data'!AG445*'Equity Price Data'!AJ446</f>
        <v>15945.3</v>
      </c>
      <c r="AE445" s="30">
        <f>'Equity Volume Data'!AH445*'Equity Price Data'!AK446</f>
        <v>0</v>
      </c>
      <c r="AF445" s="30">
        <f>'Equity Volume Data'!AI445*'Equity Price Data'!AL446</f>
        <v>30979.6</v>
      </c>
      <c r="AG445" s="30">
        <f>'Equity Volume Data'!AJ445*'Equity Price Data'!AM446</f>
        <v>54999</v>
      </c>
      <c r="AH445" s="30">
        <f>'Equity Volume Data'!AK445*'Equity Price Data'!AN446</f>
        <v>37858</v>
      </c>
      <c r="AI445" s="30">
        <f>'Equity Volume Data'!AL445*'Equity Price Data'!AO446</f>
        <v>22914.5</v>
      </c>
      <c r="AJ445" s="30">
        <f>'Equity Volume Data'!AM445*'Equity Price Data'!AP446</f>
        <v>20034.3</v>
      </c>
      <c r="AK445" s="30">
        <f>'Equity Volume Data'!AN445*'Equity Price Data'!AQ446</f>
        <v>23477.91</v>
      </c>
      <c r="AL445" s="30">
        <f>'Equity Volume Data'!AO445*'Equity Price Data'!AR446</f>
        <v>49288</v>
      </c>
      <c r="AM445" s="30">
        <f>'Equity Volume Data'!AP445*'Equity Price Data'!AS446</f>
        <v>46655.7</v>
      </c>
      <c r="AN445" s="30">
        <f>'Equity Volume Data'!AQ445*'Equity Price Data'!AT446</f>
        <v>0</v>
      </c>
      <c r="AO445" s="30">
        <f>'Equity Volume Data'!AR445*'Equity Price Data'!AU446</f>
        <v>30889.18</v>
      </c>
      <c r="AP445" s="30">
        <f>'Equity Volume Data'!AS445*'Equity Price Data'!AV446</f>
        <v>24395</v>
      </c>
      <c r="AQ445" s="30">
        <f>'Equity Volume Data'!AT445*'Equity Price Data'!AW446</f>
        <v>17182</v>
      </c>
      <c r="AR445" s="30">
        <f>'Equity Volume Data'!AU445*'Equity Price Data'!AX446</f>
        <v>13058.88</v>
      </c>
      <c r="AS445" s="30">
        <f>'Equity Volume Data'!AV445*'Equity Price Data'!AY446</f>
        <v>47815.2</v>
      </c>
      <c r="AT445" s="30">
        <f>'Equity Volume Data'!AW445*'Equity Price Data'!AZ446</f>
        <v>35189.76</v>
      </c>
      <c r="AU445" s="30">
        <f>'Equity Volume Data'!AX445*'Equity Price Data'!BA446</f>
        <v>19951.14</v>
      </c>
      <c r="AV445" s="30">
        <f>'Equity Volume Data'!AY445*'Equity Price Data'!BB446</f>
        <v>26681.8</v>
      </c>
      <c r="AW445" s="30">
        <f>'Equity Volume Data'!AZ445*'Equity Price Data'!BC446</f>
        <v>3721.6</v>
      </c>
      <c r="AX445" s="30">
        <f>'Equity Volume Data'!BA445*'Equity Price Data'!BD446</f>
        <v>0</v>
      </c>
      <c r="AY445" s="30">
        <f>'Equity Volume Data'!BB445*'Equity Price Data'!BE446</f>
        <v>30350.25</v>
      </c>
      <c r="AZ445" s="30">
        <f>'Equity Volume Data'!BC445*'Equity Price Data'!BF446</f>
        <v>0</v>
      </c>
      <c r="BA445" s="30">
        <f>'Equity Volume Data'!BD445*'Equity Price Data'!BG446</f>
        <v>5103.4</v>
      </c>
      <c r="BB445" s="30">
        <f>'Equity Volume Data'!BE445*'Equity Price Data'!BH446</f>
        <v>16432.8</v>
      </c>
      <c r="BC445" s="30">
        <f>'Equity Volume Data'!BF445*'Equity Price Data'!BI446</f>
        <v>33698.72</v>
      </c>
      <c r="BD445" s="30">
        <f>'Equity Volume Data'!BG445*'Equity Price Data'!BJ446</f>
        <v>45858.9</v>
      </c>
      <c r="BE445" s="30">
        <f>'Equity Volume Data'!BH445*'Equity Price Data'!BK446</f>
        <v>11847.76</v>
      </c>
      <c r="BF445" s="30">
        <f>'Equity Volume Data'!BI445*'Equity Price Data'!BL446</f>
        <v>9666</v>
      </c>
      <c r="BG445" s="30">
        <f>'Equity Volume Data'!BJ445*'Equity Price Data'!BM446</f>
        <v>36940.64</v>
      </c>
      <c r="BH445" s="30">
        <f>'Equity Volume Data'!BK445*'Equity Price Data'!BN446</f>
        <v>0</v>
      </c>
      <c r="BI445" s="30">
        <f>'Equity Volume Data'!BL445*'Equity Price Data'!BO446</f>
        <v>42075.2</v>
      </c>
      <c r="BJ445" s="30">
        <f>'Equity Volume Data'!BM445*'Equity Price Data'!BP446</f>
        <v>21744.75</v>
      </c>
      <c r="BK445" s="30">
        <f>'Equity Volume Data'!BN445*'Equity Price Data'!BQ446</f>
        <v>89631.48</v>
      </c>
      <c r="BL445" s="30">
        <f>'Equity Volume Data'!BO445*'Equity Price Data'!BR446</f>
        <v>751.06</v>
      </c>
      <c r="BM445" s="30">
        <f>'Equity Volume Data'!BP445*'Equity Price Data'!BS446</f>
        <v>11204.16</v>
      </c>
      <c r="BN445" s="30">
        <f>'Equity Volume Data'!BQ445*'Equity Price Data'!BT446</f>
        <v>19928</v>
      </c>
      <c r="BO445" s="30">
        <v>65366.0</v>
      </c>
    </row>
    <row r="446">
      <c r="A446" s="25">
        <f>'Equity Price Data'!A447</f>
        <v>46073.66667</v>
      </c>
      <c r="B446" s="29">
        <f t="shared" si="1"/>
        <v>1659413.9</v>
      </c>
      <c r="C446" s="30">
        <f>'Equity Volume Data'!F446*'Equity Price Data'!I447</f>
        <v>3361.93</v>
      </c>
      <c r="D446" s="30">
        <f>'Equity Volume Data'!G446*'Equity Price Data'!J447</f>
        <v>54628.6</v>
      </c>
      <c r="E446" s="30">
        <f>'Equity Volume Data'!H446*'Equity Price Data'!K447</f>
        <v>14230.7</v>
      </c>
      <c r="F446" s="30">
        <f>'Equity Volume Data'!I446*'Equity Price Data'!L447</f>
        <v>67732.48</v>
      </c>
      <c r="G446" s="30">
        <f>'Equity Volume Data'!J446*'Equity Price Data'!M447</f>
        <v>31156.54</v>
      </c>
      <c r="H446" s="30">
        <f>'Equity Volume Data'!K446*'Equity Price Data'!N447</f>
        <v>22219.72</v>
      </c>
      <c r="I446" s="30">
        <f>'Equity Volume Data'!L446*'Equity Price Data'!O447</f>
        <v>25990</v>
      </c>
      <c r="J446" s="30">
        <f>'Equity Volume Data'!M446*'Equity Price Data'!P447</f>
        <v>50816.4</v>
      </c>
      <c r="K446" s="30">
        <f>'Equity Volume Data'!N446*'Equity Price Data'!Q447</f>
        <v>15364</v>
      </c>
      <c r="L446" s="30">
        <f>'Equity Volume Data'!O446*'Equity Price Data'!R447</f>
        <v>23235.63</v>
      </c>
      <c r="M446" s="30">
        <f>'Equity Volume Data'!P446*'Equity Price Data'!S447</f>
        <v>10888.68</v>
      </c>
      <c r="N446" s="30">
        <f>'Equity Volume Data'!Q446*'Equity Price Data'!T447</f>
        <v>5131.2</v>
      </c>
      <c r="O446" s="30">
        <f>'Equity Volume Data'!R446*'Equity Price Data'!U447</f>
        <v>113961</v>
      </c>
      <c r="P446" s="30">
        <f>'Equity Volume Data'!S446*'Equity Price Data'!V447</f>
        <v>50602.95</v>
      </c>
      <c r="Q446" s="30">
        <f>'Equity Volume Data'!T446*'Equity Price Data'!W447</f>
        <v>19084.8</v>
      </c>
      <c r="R446" s="30">
        <f>'Equity Volume Data'!U446*'Equity Price Data'!X447</f>
        <v>14714.4</v>
      </c>
      <c r="S446" s="30">
        <f>'Equity Volume Data'!V446*'Equity Price Data'!Y447</f>
        <v>24667.28</v>
      </c>
      <c r="T446" s="30">
        <f>'Equity Volume Data'!W446*'Equity Price Data'!Z447</f>
        <v>16322.5</v>
      </c>
      <c r="U446" s="30">
        <f>'Equity Volume Data'!X446*'Equity Price Data'!AA447</f>
        <v>21077.76</v>
      </c>
      <c r="V446" s="30">
        <f>'Equity Volume Data'!Y446*'Equity Price Data'!AB447</f>
        <v>17679.41</v>
      </c>
      <c r="W446" s="30">
        <f>'Equity Volume Data'!Z446*'Equity Price Data'!AC447</f>
        <v>12121.92</v>
      </c>
      <c r="X446" s="30">
        <f>'Equity Volume Data'!AA446*'Equity Price Data'!AD447</f>
        <v>0</v>
      </c>
      <c r="Y446" s="30">
        <f>'Equity Volume Data'!AB446*'Equity Price Data'!AE447</f>
        <v>4999.93</v>
      </c>
      <c r="Z446" s="30">
        <f>'Equity Volume Data'!AC446*'Equity Price Data'!AF447</f>
        <v>13210.5</v>
      </c>
      <c r="AA446" s="30">
        <f>'Equity Volume Data'!AD446*'Equity Price Data'!AG447</f>
        <v>25037.6</v>
      </c>
      <c r="AB446" s="30">
        <f>'Equity Volume Data'!AE446*'Equity Price Data'!AH447</f>
        <v>23308.8</v>
      </c>
      <c r="AC446" s="30">
        <f>'Equity Volume Data'!AF446*'Equity Price Data'!AI447</f>
        <v>14678</v>
      </c>
      <c r="AD446" s="30">
        <f>'Equity Volume Data'!AG446*'Equity Price Data'!AJ447</f>
        <v>15813.9</v>
      </c>
      <c r="AE446" s="30">
        <f>'Equity Volume Data'!AH446*'Equity Price Data'!AK447</f>
        <v>0</v>
      </c>
      <c r="AF446" s="30">
        <f>'Equity Volume Data'!AI446*'Equity Price Data'!AL447</f>
        <v>31037</v>
      </c>
      <c r="AG446" s="30">
        <f>'Equity Volume Data'!AJ446*'Equity Price Data'!AM447</f>
        <v>55334.4</v>
      </c>
      <c r="AH446" s="30">
        <f>'Equity Volume Data'!AK446*'Equity Price Data'!AN447</f>
        <v>38225</v>
      </c>
      <c r="AI446" s="30">
        <f>'Equity Volume Data'!AL446*'Equity Price Data'!AO447</f>
        <v>23017.75</v>
      </c>
      <c r="AJ446" s="30">
        <f>'Equity Volume Data'!AM446*'Equity Price Data'!AP447</f>
        <v>20021.3</v>
      </c>
      <c r="AK446" s="30">
        <f>'Equity Volume Data'!AN446*'Equity Price Data'!AQ447</f>
        <v>23690.35</v>
      </c>
      <c r="AL446" s="30">
        <f>'Equity Volume Data'!AO446*'Equity Price Data'!AR447</f>
        <v>49726.4</v>
      </c>
      <c r="AM446" s="30">
        <f>'Equity Volume Data'!AP446*'Equity Price Data'!AS447</f>
        <v>46078.2</v>
      </c>
      <c r="AN446" s="30">
        <f>'Equity Volume Data'!AQ446*'Equity Price Data'!AT447</f>
        <v>0</v>
      </c>
      <c r="AO446" s="30">
        <f>'Equity Volume Data'!AR446*'Equity Price Data'!AU447</f>
        <v>31324.72</v>
      </c>
      <c r="AP446" s="30">
        <f>'Equity Volume Data'!AS446*'Equity Price Data'!AV447</f>
        <v>24215</v>
      </c>
      <c r="AQ446" s="30">
        <f>'Equity Volume Data'!AT446*'Equity Price Data'!AW447</f>
        <v>17402</v>
      </c>
      <c r="AR446" s="30">
        <f>'Equity Volume Data'!AU446*'Equity Price Data'!AX447</f>
        <v>12340.82</v>
      </c>
      <c r="AS446" s="30">
        <f>'Equity Volume Data'!AV446*'Equity Price Data'!AY447</f>
        <v>47667.6</v>
      </c>
      <c r="AT446" s="30">
        <f>'Equity Volume Data'!AW446*'Equity Price Data'!AZ447</f>
        <v>35397.12</v>
      </c>
      <c r="AU446" s="30">
        <f>'Equity Volume Data'!AX446*'Equity Price Data'!BA447</f>
        <v>20426.52</v>
      </c>
      <c r="AV446" s="30">
        <f>'Equity Volume Data'!AY446*'Equity Price Data'!BB447</f>
        <v>26954.44</v>
      </c>
      <c r="AW446" s="30">
        <f>'Equity Volume Data'!AZ446*'Equity Price Data'!BC447</f>
        <v>3706.8</v>
      </c>
      <c r="AX446" s="30">
        <f>'Equity Volume Data'!BA446*'Equity Price Data'!BD447</f>
        <v>0</v>
      </c>
      <c r="AY446" s="30">
        <f>'Equity Volume Data'!BB446*'Equity Price Data'!BE447</f>
        <v>30429</v>
      </c>
      <c r="AZ446" s="30">
        <f>'Equity Volume Data'!BC446*'Equity Price Data'!BF447</f>
        <v>0</v>
      </c>
      <c r="BA446" s="30">
        <f>'Equity Volume Data'!BD446*'Equity Price Data'!BG447</f>
        <v>5063.5</v>
      </c>
      <c r="BB446" s="30">
        <f>'Equity Volume Data'!BE446*'Equity Price Data'!BH447</f>
        <v>16393.6</v>
      </c>
      <c r="BC446" s="30">
        <f>'Equity Volume Data'!BF446*'Equity Price Data'!BI447</f>
        <v>33400.24</v>
      </c>
      <c r="BD446" s="30">
        <f>'Equity Volume Data'!BG446*'Equity Price Data'!BJ447</f>
        <v>45892.98</v>
      </c>
      <c r="BE446" s="30">
        <f>'Equity Volume Data'!BH446*'Equity Price Data'!BK447</f>
        <v>11751.39</v>
      </c>
      <c r="BF446" s="30">
        <f>'Equity Volume Data'!BI446*'Equity Price Data'!BL447</f>
        <v>9584</v>
      </c>
      <c r="BG446" s="30">
        <f>'Equity Volume Data'!BJ446*'Equity Price Data'!BM447</f>
        <v>37321.5</v>
      </c>
      <c r="BH446" s="30">
        <f>'Equity Volume Data'!BK446*'Equity Price Data'!BN447</f>
        <v>0</v>
      </c>
      <c r="BI446" s="30">
        <f>'Equity Volume Data'!BL446*'Equity Price Data'!BO447</f>
        <v>42576</v>
      </c>
      <c r="BJ446" s="30">
        <f>'Equity Volume Data'!BM446*'Equity Price Data'!BP447</f>
        <v>21750</v>
      </c>
      <c r="BK446" s="30">
        <f>'Equity Volume Data'!BN446*'Equity Price Data'!BQ447</f>
        <v>89631.48</v>
      </c>
      <c r="BL446" s="30">
        <f>'Equity Volume Data'!BO446*'Equity Price Data'!BR447</f>
        <v>748.24</v>
      </c>
      <c r="BM446" s="30">
        <f>'Equity Volume Data'!BP446*'Equity Price Data'!BS447</f>
        <v>11054.88</v>
      </c>
      <c r="BN446" s="30">
        <f>'Equity Volume Data'!BQ446*'Equity Price Data'!BT447</f>
        <v>19849.04</v>
      </c>
      <c r="BO446" s="30">
        <v>65366.0</v>
      </c>
    </row>
    <row r="447">
      <c r="A447" s="25">
        <f>'Equity Price Data'!A448</f>
        <v>46076.66667</v>
      </c>
      <c r="B447" s="29">
        <f t="shared" si="1"/>
        <v>1646791.15</v>
      </c>
      <c r="C447" s="30">
        <f>'Equity Volume Data'!F447*'Equity Price Data'!I448</f>
        <v>3206.84</v>
      </c>
      <c r="D447" s="30">
        <f>'Equity Volume Data'!G447*'Equity Price Data'!J448</f>
        <v>53370.2</v>
      </c>
      <c r="E447" s="30">
        <f>'Equity Volume Data'!H447*'Equity Price Data'!K448</f>
        <v>14621.2</v>
      </c>
      <c r="F447" s="30">
        <f>'Equity Volume Data'!I447*'Equity Price Data'!L448</f>
        <v>68142.08</v>
      </c>
      <c r="G447" s="30">
        <f>'Equity Volume Data'!J447*'Equity Price Data'!M448</f>
        <v>31004.65</v>
      </c>
      <c r="H447" s="30">
        <f>'Equity Volume Data'!K447*'Equity Price Data'!N448</f>
        <v>21721.52</v>
      </c>
      <c r="I447" s="30">
        <f>'Equity Volume Data'!L447*'Equity Price Data'!O448</f>
        <v>25110</v>
      </c>
      <c r="J447" s="30">
        <f>'Equity Volume Data'!M447*'Equity Price Data'!P448</f>
        <v>50397.18</v>
      </c>
      <c r="K447" s="30">
        <f>'Equity Volume Data'!N447*'Equity Price Data'!Q448</f>
        <v>15602</v>
      </c>
      <c r="L447" s="30">
        <f>'Equity Volume Data'!O447*'Equity Price Data'!R448</f>
        <v>23757.14</v>
      </c>
      <c r="M447" s="30">
        <f>'Equity Volume Data'!P447*'Equity Price Data'!S448</f>
        <v>10858.02</v>
      </c>
      <c r="N447" s="30">
        <f>'Equity Volume Data'!Q447*'Equity Price Data'!T448</f>
        <v>5076.8</v>
      </c>
      <c r="O447" s="30">
        <f>'Equity Volume Data'!R447*'Equity Price Data'!U448</f>
        <v>113470.5</v>
      </c>
      <c r="P447" s="30">
        <f>'Equity Volume Data'!S447*'Equity Price Data'!V448</f>
        <v>49518.75</v>
      </c>
      <c r="Q447" s="30">
        <f>'Equity Volume Data'!T447*'Equity Price Data'!W448</f>
        <v>18586.8</v>
      </c>
      <c r="R447" s="30">
        <f>'Equity Volume Data'!U447*'Equity Price Data'!X448</f>
        <v>14792.8</v>
      </c>
      <c r="S447" s="30">
        <f>'Equity Volume Data'!V447*'Equity Price Data'!Y448</f>
        <v>24919.84</v>
      </c>
      <c r="T447" s="30">
        <f>'Equity Volume Data'!W447*'Equity Price Data'!Z448</f>
        <v>15622.5</v>
      </c>
      <c r="U447" s="30">
        <f>'Equity Volume Data'!X447*'Equity Price Data'!AA448</f>
        <v>21267.84</v>
      </c>
      <c r="V447" s="30">
        <f>'Equity Volume Data'!Y447*'Equity Price Data'!AB448</f>
        <v>18054.54</v>
      </c>
      <c r="W447" s="30">
        <f>'Equity Volume Data'!Z447*'Equity Price Data'!AC448</f>
        <v>12150.21</v>
      </c>
      <c r="X447" s="30">
        <f>'Equity Volume Data'!AA447*'Equity Price Data'!AD448</f>
        <v>0</v>
      </c>
      <c r="Y447" s="30">
        <f>'Equity Volume Data'!AB447*'Equity Price Data'!AE448</f>
        <v>5204.68</v>
      </c>
      <c r="Z447" s="30">
        <f>'Equity Volume Data'!AC447*'Equity Price Data'!AF448</f>
        <v>12646.5</v>
      </c>
      <c r="AA447" s="30">
        <f>'Equity Volume Data'!AD447*'Equity Price Data'!AG448</f>
        <v>25629.2</v>
      </c>
      <c r="AB447" s="30">
        <f>'Equity Volume Data'!AE447*'Equity Price Data'!AH448</f>
        <v>23022.6</v>
      </c>
      <c r="AC447" s="30">
        <f>'Equity Volume Data'!AF447*'Equity Price Data'!AI448</f>
        <v>14336.8</v>
      </c>
      <c r="AD447" s="30">
        <f>'Equity Volume Data'!AG447*'Equity Price Data'!AJ448</f>
        <v>15704.1</v>
      </c>
      <c r="AE447" s="30">
        <f>'Equity Volume Data'!AH447*'Equity Price Data'!AK448</f>
        <v>0</v>
      </c>
      <c r="AF447" s="30">
        <f>'Equity Volume Data'!AI447*'Equity Price Data'!AL448</f>
        <v>30715.15</v>
      </c>
      <c r="AG447" s="30">
        <f>'Equity Volume Data'!AJ447*'Equity Price Data'!AM448</f>
        <v>53538.6</v>
      </c>
      <c r="AH447" s="30">
        <f>'Equity Volume Data'!AK447*'Equity Price Data'!AN448</f>
        <v>37699</v>
      </c>
      <c r="AI447" s="30">
        <f>'Equity Volume Data'!AL447*'Equity Price Data'!AO448</f>
        <v>22265.25</v>
      </c>
      <c r="AJ447" s="30">
        <f>'Equity Volume Data'!AM447*'Equity Price Data'!AP448</f>
        <v>20033</v>
      </c>
      <c r="AK447" s="30">
        <f>'Equity Volume Data'!AN447*'Equity Price Data'!AQ448</f>
        <v>23128.7</v>
      </c>
      <c r="AL447" s="30">
        <f>'Equity Volume Data'!AO447*'Equity Price Data'!AR448</f>
        <v>47627.2</v>
      </c>
      <c r="AM447" s="30">
        <f>'Equity Volume Data'!AP447*'Equity Price Data'!AS448</f>
        <v>46243.4</v>
      </c>
      <c r="AN447" s="30">
        <f>'Equity Volume Data'!AQ447*'Equity Price Data'!AT448</f>
        <v>0</v>
      </c>
      <c r="AO447" s="30">
        <f>'Equity Volume Data'!AR447*'Equity Price Data'!AU448</f>
        <v>30675.68</v>
      </c>
      <c r="AP447" s="30">
        <f>'Equity Volume Data'!AS447*'Equity Price Data'!AV448</f>
        <v>24652.5</v>
      </c>
      <c r="AQ447" s="30">
        <f>'Equity Volume Data'!AT447*'Equity Price Data'!AW448</f>
        <v>16552.8</v>
      </c>
      <c r="AR447" s="30">
        <f>'Equity Volume Data'!AU447*'Equity Price Data'!AX448</f>
        <v>12421.1</v>
      </c>
      <c r="AS447" s="30">
        <f>'Equity Volume Data'!AV447*'Equity Price Data'!AY448</f>
        <v>46136.4</v>
      </c>
      <c r="AT447" s="30">
        <f>'Equity Volume Data'!AW447*'Equity Price Data'!AZ448</f>
        <v>36119.04</v>
      </c>
      <c r="AU447" s="30">
        <f>'Equity Volume Data'!AX447*'Equity Price Data'!BA448</f>
        <v>20123.28</v>
      </c>
      <c r="AV447" s="30">
        <f>'Equity Volume Data'!AY447*'Equity Price Data'!BB448</f>
        <v>27200.1</v>
      </c>
      <c r="AW447" s="30">
        <f>'Equity Volume Data'!AZ447*'Equity Price Data'!BC448</f>
        <v>3622</v>
      </c>
      <c r="AX447" s="30">
        <f>'Equity Volume Data'!BA447*'Equity Price Data'!BD448</f>
        <v>0</v>
      </c>
      <c r="AY447" s="30">
        <f>'Equity Volume Data'!BB447*'Equity Price Data'!BE448</f>
        <v>29385</v>
      </c>
      <c r="AZ447" s="30">
        <f>'Equity Volume Data'!BC447*'Equity Price Data'!BF448</f>
        <v>0</v>
      </c>
      <c r="BA447" s="30">
        <f>'Equity Volume Data'!BD447*'Equity Price Data'!BG448</f>
        <v>5141.4</v>
      </c>
      <c r="BB447" s="30">
        <f>'Equity Volume Data'!BE447*'Equity Price Data'!BH448</f>
        <v>16153.6</v>
      </c>
      <c r="BC447" s="30">
        <f>'Equity Volume Data'!BF447*'Equity Price Data'!BI448</f>
        <v>34007.04</v>
      </c>
      <c r="BD447" s="30">
        <f>'Equity Volume Data'!BG447*'Equity Price Data'!BJ448</f>
        <v>46849.35</v>
      </c>
      <c r="BE447" s="30">
        <f>'Equity Volume Data'!BH447*'Equity Price Data'!BK448</f>
        <v>11878.12</v>
      </c>
      <c r="BF447" s="30">
        <f>'Equity Volume Data'!BI447*'Equity Price Data'!BL448</f>
        <v>9521.2</v>
      </c>
      <c r="BG447" s="30">
        <f>'Equity Volume Data'!BJ447*'Equity Price Data'!BM448</f>
        <v>37432.7</v>
      </c>
      <c r="BH447" s="30">
        <f>'Equity Volume Data'!BK447*'Equity Price Data'!BN448</f>
        <v>0</v>
      </c>
      <c r="BI447" s="30">
        <f>'Equity Volume Data'!BL447*'Equity Price Data'!BO448</f>
        <v>42201.6</v>
      </c>
      <c r="BJ447" s="30">
        <f>'Equity Volume Data'!BM447*'Equity Price Data'!BP448</f>
        <v>21175.5</v>
      </c>
      <c r="BK447" s="30">
        <f>'Equity Volume Data'!BN447*'Equity Price Data'!BQ448</f>
        <v>89685.54</v>
      </c>
      <c r="BL447" s="30">
        <f>'Equity Volume Data'!BO447*'Equity Price Data'!BR448</f>
        <v>749.65</v>
      </c>
      <c r="BM447" s="30">
        <f>'Equity Volume Data'!BP447*'Equity Price Data'!BS448</f>
        <v>11066.88</v>
      </c>
      <c r="BN447" s="30">
        <f>'Equity Volume Data'!BQ447*'Equity Price Data'!BT448</f>
        <v>19629.08</v>
      </c>
      <c r="BO447" s="30">
        <v>65366.0</v>
      </c>
    </row>
    <row r="448">
      <c r="A448" s="25">
        <f>'Equity Price Data'!A449</f>
        <v>46077.66667</v>
      </c>
      <c r="B448" s="29">
        <f t="shared" si="1"/>
        <v>1658009.01</v>
      </c>
      <c r="C448" s="30">
        <f>'Equity Volume Data'!F448*'Equity Price Data'!I449</f>
        <v>3317.21</v>
      </c>
      <c r="D448" s="30">
        <f>'Equity Volume Data'!G448*'Equity Price Data'!J449</f>
        <v>54225.6</v>
      </c>
      <c r="E448" s="30">
        <f>'Equity Volume Data'!H448*'Equity Price Data'!K449</f>
        <v>14748.8</v>
      </c>
      <c r="F448" s="30">
        <f>'Equity Volume Data'!I448*'Equity Price Data'!L449</f>
        <v>69667.84</v>
      </c>
      <c r="G448" s="30">
        <f>'Equity Volume Data'!J448*'Equity Price Data'!M449</f>
        <v>31368.19</v>
      </c>
      <c r="H448" s="30">
        <f>'Equity Volume Data'!K448*'Equity Price Data'!N449</f>
        <v>21911.4</v>
      </c>
      <c r="I448" s="30">
        <f>'Equity Volume Data'!L448*'Equity Price Data'!O449</f>
        <v>25140</v>
      </c>
      <c r="J448" s="30">
        <f>'Equity Volume Data'!M448*'Equity Price Data'!P449</f>
        <v>50440.02</v>
      </c>
      <c r="K448" s="30">
        <f>'Equity Volume Data'!N448*'Equity Price Data'!Q449</f>
        <v>15930</v>
      </c>
      <c r="L448" s="30">
        <f>'Equity Volume Data'!O448*'Equity Price Data'!R449</f>
        <v>23610.73</v>
      </c>
      <c r="M448" s="30">
        <f>'Equity Volume Data'!P448*'Equity Price Data'!S449</f>
        <v>10971.9</v>
      </c>
      <c r="N448" s="30">
        <f>'Equity Volume Data'!Q448*'Equity Price Data'!T449</f>
        <v>5082.4</v>
      </c>
      <c r="O448" s="30">
        <f>'Equity Volume Data'!R448*'Equity Price Data'!U449</f>
        <v>115234.5</v>
      </c>
      <c r="P448" s="30">
        <f>'Equity Volume Data'!S448*'Equity Price Data'!V449</f>
        <v>50490.36</v>
      </c>
      <c r="Q448" s="30">
        <f>'Equity Volume Data'!T448*'Equity Price Data'!W449</f>
        <v>18292.8</v>
      </c>
      <c r="R448" s="30">
        <f>'Equity Volume Data'!U448*'Equity Price Data'!X449</f>
        <v>14827.2</v>
      </c>
      <c r="S448" s="30">
        <f>'Equity Volume Data'!V448*'Equity Price Data'!Y449</f>
        <v>24728</v>
      </c>
      <c r="T448" s="30">
        <f>'Equity Volume Data'!W448*'Equity Price Data'!Z449</f>
        <v>15517.5</v>
      </c>
      <c r="U448" s="30">
        <f>'Equity Volume Data'!X448*'Equity Price Data'!AA449</f>
        <v>21310.08</v>
      </c>
      <c r="V448" s="30">
        <f>'Equity Volume Data'!Y448*'Equity Price Data'!AB449</f>
        <v>17872.61</v>
      </c>
      <c r="W448" s="30">
        <f>'Equity Volume Data'!Z448*'Equity Price Data'!AC449</f>
        <v>12298.56</v>
      </c>
      <c r="X448" s="30">
        <f>'Equity Volume Data'!AA448*'Equity Price Data'!AD449</f>
        <v>0</v>
      </c>
      <c r="Y448" s="30">
        <f>'Equity Volume Data'!AB448*'Equity Price Data'!AE449</f>
        <v>5384.6</v>
      </c>
      <c r="Z448" s="30">
        <f>'Equity Volume Data'!AC448*'Equity Price Data'!AF449</f>
        <v>12795</v>
      </c>
      <c r="AA448" s="30">
        <f>'Equity Volume Data'!AD448*'Equity Price Data'!AG449</f>
        <v>25374.2</v>
      </c>
      <c r="AB448" s="30">
        <f>'Equity Volume Data'!AE448*'Equity Price Data'!AH449</f>
        <v>23193.6</v>
      </c>
      <c r="AC448" s="30">
        <f>'Equity Volume Data'!AF448*'Equity Price Data'!AI449</f>
        <v>14956.8</v>
      </c>
      <c r="AD448" s="30">
        <f>'Equity Volume Data'!AG448*'Equity Price Data'!AJ449</f>
        <v>15803.1</v>
      </c>
      <c r="AE448" s="30">
        <f>'Equity Volume Data'!AH448*'Equity Price Data'!AK449</f>
        <v>0</v>
      </c>
      <c r="AF448" s="30">
        <f>'Equity Volume Data'!AI448*'Equity Price Data'!AL449</f>
        <v>30266.2</v>
      </c>
      <c r="AG448" s="30">
        <f>'Equity Volume Data'!AJ448*'Equity Price Data'!AM449</f>
        <v>54136.2</v>
      </c>
      <c r="AH448" s="30">
        <f>'Equity Volume Data'!AK448*'Equity Price Data'!AN449</f>
        <v>38448</v>
      </c>
      <c r="AI448" s="30">
        <f>'Equity Volume Data'!AL448*'Equity Price Data'!AO449</f>
        <v>22078</v>
      </c>
      <c r="AJ448" s="30">
        <f>'Equity Volume Data'!AM448*'Equity Price Data'!AP449</f>
        <v>20196.8</v>
      </c>
      <c r="AK448" s="30">
        <f>'Equity Volume Data'!AN448*'Equity Price Data'!AQ449</f>
        <v>23218.94</v>
      </c>
      <c r="AL448" s="30">
        <f>'Equity Volume Data'!AO448*'Equity Price Data'!AR449</f>
        <v>47568</v>
      </c>
      <c r="AM448" s="30">
        <f>'Equity Volume Data'!AP448*'Equity Price Data'!AS449</f>
        <v>46510.1</v>
      </c>
      <c r="AN448" s="30">
        <f>'Equity Volume Data'!AQ448*'Equity Price Data'!AT449</f>
        <v>0</v>
      </c>
      <c r="AO448" s="30">
        <f>'Equity Volume Data'!AR448*'Equity Price Data'!AU449</f>
        <v>30564.66</v>
      </c>
      <c r="AP448" s="30">
        <f>'Equity Volume Data'!AS448*'Equity Price Data'!AV449</f>
        <v>24187.5</v>
      </c>
      <c r="AQ448" s="30">
        <f>'Equity Volume Data'!AT448*'Equity Price Data'!AW449</f>
        <v>16574.8</v>
      </c>
      <c r="AR448" s="30">
        <f>'Equity Volume Data'!AU448*'Equity Price Data'!AX449</f>
        <v>13032.12</v>
      </c>
      <c r="AS448" s="30">
        <f>'Equity Volume Data'!AV448*'Equity Price Data'!AY449</f>
        <v>46680</v>
      </c>
      <c r="AT448" s="30">
        <f>'Equity Volume Data'!AW448*'Equity Price Data'!AZ449</f>
        <v>36741.12</v>
      </c>
      <c r="AU448" s="30">
        <f>'Equity Volume Data'!AX448*'Equity Price Data'!BA449</f>
        <v>20979.42</v>
      </c>
      <c r="AV448" s="30">
        <f>'Equity Volume Data'!AY448*'Equity Price Data'!BB449</f>
        <v>27384.7</v>
      </c>
      <c r="AW448" s="30">
        <f>'Equity Volume Data'!AZ448*'Equity Price Data'!BC449</f>
        <v>3596.4</v>
      </c>
      <c r="AX448" s="30">
        <f>'Equity Volume Data'!BA448*'Equity Price Data'!BD449</f>
        <v>0</v>
      </c>
      <c r="AY448" s="30">
        <f>'Equity Volume Data'!BB448*'Equity Price Data'!BE449</f>
        <v>28989</v>
      </c>
      <c r="AZ448" s="30">
        <f>'Equity Volume Data'!BC448*'Equity Price Data'!BF449</f>
        <v>0</v>
      </c>
      <c r="BA448" s="30">
        <f>'Equity Volume Data'!BD448*'Equity Price Data'!BG449</f>
        <v>5156.6</v>
      </c>
      <c r="BB448" s="30">
        <f>'Equity Volume Data'!BE448*'Equity Price Data'!BH449</f>
        <v>15876.8</v>
      </c>
      <c r="BC448" s="30">
        <f>'Equity Volume Data'!BF448*'Equity Price Data'!BI449</f>
        <v>34384.24</v>
      </c>
      <c r="BD448" s="30">
        <f>'Equity Volume Data'!BG448*'Equity Price Data'!BJ449</f>
        <v>47281.74</v>
      </c>
      <c r="BE448" s="30">
        <f>'Equity Volume Data'!BH448*'Equity Price Data'!BK449</f>
        <v>11858.8</v>
      </c>
      <c r="BF448" s="30">
        <f>'Equity Volume Data'!BI448*'Equity Price Data'!BL449</f>
        <v>9545.6</v>
      </c>
      <c r="BG448" s="30">
        <f>'Equity Volume Data'!BJ448*'Equity Price Data'!BM449</f>
        <v>38302.84</v>
      </c>
      <c r="BH448" s="30">
        <f>'Equity Volume Data'!BK448*'Equity Price Data'!BN449</f>
        <v>0</v>
      </c>
      <c r="BI448" s="30">
        <f>'Equity Volume Data'!BL448*'Equity Price Data'!BO449</f>
        <v>42665.6</v>
      </c>
      <c r="BJ448" s="30">
        <f>'Equity Volume Data'!BM448*'Equity Price Data'!BP449</f>
        <v>20546.25</v>
      </c>
      <c r="BK448" s="30">
        <f>'Equity Volume Data'!BN448*'Equity Price Data'!BQ449</f>
        <v>89667.52</v>
      </c>
      <c r="BL448" s="30">
        <f>'Equity Volume Data'!BO448*'Equity Price Data'!BR449</f>
        <v>754.82</v>
      </c>
      <c r="BM448" s="30">
        <f>'Equity Volume Data'!BP448*'Equity Price Data'!BS449</f>
        <v>11019.84</v>
      </c>
      <c r="BN448" s="30">
        <f>'Equity Volume Data'!BQ448*'Equity Price Data'!BT449</f>
        <v>19937.4</v>
      </c>
      <c r="BO448" s="30">
        <v>65366.0</v>
      </c>
    </row>
    <row r="449">
      <c r="A449" s="25" t="str">
        <f>'Equity Price Data'!A450</f>
        <v/>
      </c>
      <c r="B449" s="29">
        <f t="shared" si="1"/>
        <v>65366</v>
      </c>
      <c r="C449" s="30">
        <f>'Equity Volume Data'!F449*'Equity Price Data'!I450</f>
        <v>0</v>
      </c>
      <c r="D449" s="30">
        <f>'Equity Volume Data'!G449*'Equity Price Data'!J450</f>
        <v>0</v>
      </c>
      <c r="E449" s="30">
        <f>'Equity Volume Data'!H449*'Equity Price Data'!K450</f>
        <v>0</v>
      </c>
      <c r="F449" s="30">
        <f>'Equity Volume Data'!I449*'Equity Price Data'!L450</f>
        <v>0</v>
      </c>
      <c r="G449" s="30">
        <f>'Equity Volume Data'!J449*'Equity Price Data'!M450</f>
        <v>0</v>
      </c>
      <c r="H449" s="30">
        <f>'Equity Volume Data'!K449*'Equity Price Data'!N450</f>
        <v>0</v>
      </c>
      <c r="I449" s="30">
        <f>'Equity Volume Data'!L449*'Equity Price Data'!O450</f>
        <v>0</v>
      </c>
      <c r="J449" s="30">
        <f>'Equity Volume Data'!M449*'Equity Price Data'!P450</f>
        <v>0</v>
      </c>
      <c r="K449" s="30">
        <f>'Equity Volume Data'!N449*'Equity Price Data'!Q450</f>
        <v>0</v>
      </c>
      <c r="L449" s="30">
        <f>'Equity Volume Data'!O449*'Equity Price Data'!R450</f>
        <v>0</v>
      </c>
      <c r="M449" s="30">
        <f>'Equity Volume Data'!P449*'Equity Price Data'!S450</f>
        <v>0</v>
      </c>
      <c r="N449" s="30">
        <f>'Equity Volume Data'!Q449*'Equity Price Data'!T450</f>
        <v>0</v>
      </c>
      <c r="O449" s="30">
        <f>'Equity Volume Data'!R449*'Equity Price Data'!U450</f>
        <v>0</v>
      </c>
      <c r="P449" s="30">
        <f>'Equity Volume Data'!S449*'Equity Price Data'!V450</f>
        <v>0</v>
      </c>
      <c r="Q449" s="30">
        <f>'Equity Volume Data'!T449*'Equity Price Data'!W450</f>
        <v>0</v>
      </c>
      <c r="R449" s="30">
        <f>'Equity Volume Data'!U449*'Equity Price Data'!X450</f>
        <v>0</v>
      </c>
      <c r="S449" s="30">
        <f>'Equity Volume Data'!V449*'Equity Price Data'!Y450</f>
        <v>0</v>
      </c>
      <c r="T449" s="30">
        <f>'Equity Volume Data'!W449*'Equity Price Data'!Z450</f>
        <v>0</v>
      </c>
      <c r="U449" s="30">
        <f>'Equity Volume Data'!X449*'Equity Price Data'!AA450</f>
        <v>0</v>
      </c>
      <c r="V449" s="30">
        <f>'Equity Volume Data'!Y449*'Equity Price Data'!AB450</f>
        <v>0</v>
      </c>
      <c r="W449" s="30">
        <f>'Equity Volume Data'!Z449*'Equity Price Data'!AC450</f>
        <v>0</v>
      </c>
      <c r="X449" s="30">
        <f>'Equity Volume Data'!AA449*'Equity Price Data'!AD450</f>
        <v>0</v>
      </c>
      <c r="Y449" s="30">
        <f>'Equity Volume Data'!AB449*'Equity Price Data'!AE450</f>
        <v>0</v>
      </c>
      <c r="Z449" s="30">
        <f>'Equity Volume Data'!AC449*'Equity Price Data'!AF450</f>
        <v>0</v>
      </c>
      <c r="AA449" s="30">
        <f>'Equity Volume Data'!AD449*'Equity Price Data'!AG450</f>
        <v>0</v>
      </c>
      <c r="AB449" s="30">
        <f>'Equity Volume Data'!AE449*'Equity Price Data'!AH450</f>
        <v>0</v>
      </c>
      <c r="AC449" s="30">
        <f>'Equity Volume Data'!AF449*'Equity Price Data'!AI450</f>
        <v>0</v>
      </c>
      <c r="AD449" s="30">
        <f>'Equity Volume Data'!AG449*'Equity Price Data'!AJ450</f>
        <v>0</v>
      </c>
      <c r="AE449" s="30">
        <f>'Equity Volume Data'!AH449*'Equity Price Data'!AK450</f>
        <v>0</v>
      </c>
      <c r="AF449" s="30">
        <f>'Equity Volume Data'!AI449*'Equity Price Data'!AL450</f>
        <v>0</v>
      </c>
      <c r="AG449" s="30">
        <f>'Equity Volume Data'!AJ449*'Equity Price Data'!AM450</f>
        <v>0</v>
      </c>
      <c r="AH449" s="30">
        <f>'Equity Volume Data'!AK449*'Equity Price Data'!AN450</f>
        <v>0</v>
      </c>
      <c r="AI449" s="30">
        <f>'Equity Volume Data'!AL449*'Equity Price Data'!AO450</f>
        <v>0</v>
      </c>
      <c r="AJ449" s="30">
        <f>'Equity Volume Data'!AM449*'Equity Price Data'!AP450</f>
        <v>0</v>
      </c>
      <c r="AK449" s="30">
        <f>'Equity Volume Data'!AN449*'Equity Price Data'!AQ450</f>
        <v>0</v>
      </c>
      <c r="AL449" s="30">
        <f>'Equity Volume Data'!AO449*'Equity Price Data'!AR450</f>
        <v>0</v>
      </c>
      <c r="AM449" s="30">
        <f>'Equity Volume Data'!AP449*'Equity Price Data'!AS450</f>
        <v>0</v>
      </c>
      <c r="AN449" s="30">
        <f>'Equity Volume Data'!AQ449*'Equity Price Data'!AT450</f>
        <v>0</v>
      </c>
      <c r="AO449" s="30">
        <f>'Equity Volume Data'!AR449*'Equity Price Data'!AU450</f>
        <v>0</v>
      </c>
      <c r="AP449" s="30">
        <f>'Equity Volume Data'!AS449*'Equity Price Data'!AV450</f>
        <v>0</v>
      </c>
      <c r="AQ449" s="30">
        <f>'Equity Volume Data'!AT449*'Equity Price Data'!AW450</f>
        <v>0</v>
      </c>
      <c r="AR449" s="30">
        <f>'Equity Volume Data'!AU449*'Equity Price Data'!AX450</f>
        <v>0</v>
      </c>
      <c r="AS449" s="30">
        <f>'Equity Volume Data'!AV449*'Equity Price Data'!AY450</f>
        <v>0</v>
      </c>
      <c r="AT449" s="30">
        <f>'Equity Volume Data'!AW449*'Equity Price Data'!AZ450</f>
        <v>0</v>
      </c>
      <c r="AU449" s="30">
        <f>'Equity Volume Data'!AX449*'Equity Price Data'!BA450</f>
        <v>0</v>
      </c>
      <c r="AV449" s="30">
        <f>'Equity Volume Data'!AY449*'Equity Price Data'!BB450</f>
        <v>0</v>
      </c>
      <c r="AW449" s="30">
        <f>'Equity Volume Data'!AZ449*'Equity Price Data'!BC450</f>
        <v>0</v>
      </c>
      <c r="AX449" s="30">
        <f>'Equity Volume Data'!BA449*'Equity Price Data'!BD450</f>
        <v>0</v>
      </c>
      <c r="AY449" s="30">
        <f>'Equity Volume Data'!BB449*'Equity Price Data'!BE450</f>
        <v>0</v>
      </c>
      <c r="AZ449" s="30">
        <f>'Equity Volume Data'!BC449*'Equity Price Data'!BF450</f>
        <v>0</v>
      </c>
      <c r="BA449" s="30">
        <f>'Equity Volume Data'!BD449*'Equity Price Data'!BG450</f>
        <v>0</v>
      </c>
      <c r="BB449" s="30">
        <f>'Equity Volume Data'!BE449*'Equity Price Data'!BH450</f>
        <v>0</v>
      </c>
      <c r="BC449" s="30">
        <f>'Equity Volume Data'!BF449*'Equity Price Data'!BI450</f>
        <v>0</v>
      </c>
      <c r="BD449" s="30">
        <f>'Equity Volume Data'!BG449*'Equity Price Data'!BJ450</f>
        <v>0</v>
      </c>
      <c r="BE449" s="30">
        <f>'Equity Volume Data'!BH449*'Equity Price Data'!BK450</f>
        <v>0</v>
      </c>
      <c r="BF449" s="30">
        <f>'Equity Volume Data'!BI449*'Equity Price Data'!BL450</f>
        <v>0</v>
      </c>
      <c r="BG449" s="30">
        <f>'Equity Volume Data'!BJ449*'Equity Price Data'!BM450</f>
        <v>0</v>
      </c>
      <c r="BH449" s="30">
        <f>'Equity Volume Data'!BK449*'Equity Price Data'!BN450</f>
        <v>0</v>
      </c>
      <c r="BI449" s="30">
        <f>'Equity Volume Data'!BL449*'Equity Price Data'!BO450</f>
        <v>0</v>
      </c>
      <c r="BJ449" s="30">
        <f>'Equity Volume Data'!BM449*'Equity Price Data'!BP450</f>
        <v>0</v>
      </c>
      <c r="BK449" s="30">
        <f>'Equity Volume Data'!BN449*'Equity Price Data'!BQ450</f>
        <v>0</v>
      </c>
      <c r="BL449" s="30">
        <f>'Equity Volume Data'!BO449*'Equity Price Data'!BR450</f>
        <v>0</v>
      </c>
      <c r="BM449" s="30">
        <f>'Equity Volume Data'!BP449*'Equity Price Data'!BS450</f>
        <v>0</v>
      </c>
      <c r="BN449" s="30">
        <f>'Equity Volume Data'!BQ449*'Equity Price Data'!BT450</f>
        <v>0</v>
      </c>
      <c r="BO449" s="30">
        <v>65366.0</v>
      </c>
    </row>
    <row r="450">
      <c r="A450" s="25" t="str">
        <f>'Equity Price Data'!A451</f>
        <v/>
      </c>
      <c r="B450" s="29">
        <f t="shared" si="1"/>
        <v>65366</v>
      </c>
      <c r="C450" s="30">
        <f>'Equity Volume Data'!F450*'Equity Price Data'!I451</f>
        <v>0</v>
      </c>
      <c r="D450" s="30">
        <f>'Equity Volume Data'!G450*'Equity Price Data'!J451</f>
        <v>0</v>
      </c>
      <c r="E450" s="30">
        <f>'Equity Volume Data'!H450*'Equity Price Data'!K451</f>
        <v>0</v>
      </c>
      <c r="F450" s="30">
        <f>'Equity Volume Data'!I450*'Equity Price Data'!L451</f>
        <v>0</v>
      </c>
      <c r="G450" s="30">
        <f>'Equity Volume Data'!J450*'Equity Price Data'!M451</f>
        <v>0</v>
      </c>
      <c r="H450" s="30">
        <f>'Equity Volume Data'!K450*'Equity Price Data'!N451</f>
        <v>0</v>
      </c>
      <c r="I450" s="30">
        <f>'Equity Volume Data'!L450*'Equity Price Data'!O451</f>
        <v>0</v>
      </c>
      <c r="J450" s="30">
        <f>'Equity Volume Data'!M450*'Equity Price Data'!P451</f>
        <v>0</v>
      </c>
      <c r="K450" s="30">
        <f>'Equity Volume Data'!N450*'Equity Price Data'!Q451</f>
        <v>0</v>
      </c>
      <c r="L450" s="30">
        <f>'Equity Volume Data'!O450*'Equity Price Data'!R451</f>
        <v>0</v>
      </c>
      <c r="M450" s="30">
        <f>'Equity Volume Data'!P450*'Equity Price Data'!S451</f>
        <v>0</v>
      </c>
      <c r="N450" s="30">
        <f>'Equity Volume Data'!Q450*'Equity Price Data'!T451</f>
        <v>0</v>
      </c>
      <c r="O450" s="30">
        <f>'Equity Volume Data'!R450*'Equity Price Data'!U451</f>
        <v>0</v>
      </c>
      <c r="P450" s="30">
        <f>'Equity Volume Data'!S450*'Equity Price Data'!V451</f>
        <v>0</v>
      </c>
      <c r="Q450" s="30">
        <f>'Equity Volume Data'!T450*'Equity Price Data'!W451</f>
        <v>0</v>
      </c>
      <c r="R450" s="30">
        <f>'Equity Volume Data'!U450*'Equity Price Data'!X451</f>
        <v>0</v>
      </c>
      <c r="S450" s="30">
        <f>'Equity Volume Data'!V450*'Equity Price Data'!Y451</f>
        <v>0</v>
      </c>
      <c r="T450" s="30">
        <f>'Equity Volume Data'!W450*'Equity Price Data'!Z451</f>
        <v>0</v>
      </c>
      <c r="U450" s="30">
        <f>'Equity Volume Data'!X450*'Equity Price Data'!AA451</f>
        <v>0</v>
      </c>
      <c r="V450" s="30">
        <f>'Equity Volume Data'!Y450*'Equity Price Data'!AB451</f>
        <v>0</v>
      </c>
      <c r="W450" s="30">
        <f>'Equity Volume Data'!Z450*'Equity Price Data'!AC451</f>
        <v>0</v>
      </c>
      <c r="X450" s="30">
        <f>'Equity Volume Data'!AA450*'Equity Price Data'!AD451</f>
        <v>0</v>
      </c>
      <c r="Y450" s="30">
        <f>'Equity Volume Data'!AB450*'Equity Price Data'!AE451</f>
        <v>0</v>
      </c>
      <c r="Z450" s="30">
        <f>'Equity Volume Data'!AC450*'Equity Price Data'!AF451</f>
        <v>0</v>
      </c>
      <c r="AA450" s="30">
        <f>'Equity Volume Data'!AD450*'Equity Price Data'!AG451</f>
        <v>0</v>
      </c>
      <c r="AB450" s="30">
        <f>'Equity Volume Data'!AE450*'Equity Price Data'!AH451</f>
        <v>0</v>
      </c>
      <c r="AC450" s="30">
        <f>'Equity Volume Data'!AF450*'Equity Price Data'!AI451</f>
        <v>0</v>
      </c>
      <c r="AD450" s="30">
        <f>'Equity Volume Data'!AG450*'Equity Price Data'!AJ451</f>
        <v>0</v>
      </c>
      <c r="AE450" s="30">
        <f>'Equity Volume Data'!AH450*'Equity Price Data'!AK451</f>
        <v>0</v>
      </c>
      <c r="AF450" s="30">
        <f>'Equity Volume Data'!AI450*'Equity Price Data'!AL451</f>
        <v>0</v>
      </c>
      <c r="AG450" s="30">
        <f>'Equity Volume Data'!AJ450*'Equity Price Data'!AM451</f>
        <v>0</v>
      </c>
      <c r="AH450" s="30">
        <f>'Equity Volume Data'!AK450*'Equity Price Data'!AN451</f>
        <v>0</v>
      </c>
      <c r="AI450" s="30">
        <f>'Equity Volume Data'!AL450*'Equity Price Data'!AO451</f>
        <v>0</v>
      </c>
      <c r="AJ450" s="30">
        <f>'Equity Volume Data'!AM450*'Equity Price Data'!AP451</f>
        <v>0</v>
      </c>
      <c r="AK450" s="30">
        <f>'Equity Volume Data'!AN450*'Equity Price Data'!AQ451</f>
        <v>0</v>
      </c>
      <c r="AL450" s="30">
        <f>'Equity Volume Data'!AO450*'Equity Price Data'!AR451</f>
        <v>0</v>
      </c>
      <c r="AM450" s="30">
        <f>'Equity Volume Data'!AP450*'Equity Price Data'!AS451</f>
        <v>0</v>
      </c>
      <c r="AN450" s="30">
        <f>'Equity Volume Data'!AQ450*'Equity Price Data'!AT451</f>
        <v>0</v>
      </c>
      <c r="AO450" s="30">
        <f>'Equity Volume Data'!AR450*'Equity Price Data'!AU451</f>
        <v>0</v>
      </c>
      <c r="AP450" s="30">
        <f>'Equity Volume Data'!AS450*'Equity Price Data'!AV451</f>
        <v>0</v>
      </c>
      <c r="AQ450" s="30">
        <f>'Equity Volume Data'!AT450*'Equity Price Data'!AW451</f>
        <v>0</v>
      </c>
      <c r="AR450" s="30">
        <f>'Equity Volume Data'!AU450*'Equity Price Data'!AX451</f>
        <v>0</v>
      </c>
      <c r="AS450" s="30">
        <f>'Equity Volume Data'!AV450*'Equity Price Data'!AY451</f>
        <v>0</v>
      </c>
      <c r="AT450" s="30">
        <f>'Equity Volume Data'!AW450*'Equity Price Data'!AZ451</f>
        <v>0</v>
      </c>
      <c r="AU450" s="30">
        <f>'Equity Volume Data'!AX450*'Equity Price Data'!BA451</f>
        <v>0</v>
      </c>
      <c r="AV450" s="30">
        <f>'Equity Volume Data'!AY450*'Equity Price Data'!BB451</f>
        <v>0</v>
      </c>
      <c r="AW450" s="30">
        <f>'Equity Volume Data'!AZ450*'Equity Price Data'!BC451</f>
        <v>0</v>
      </c>
      <c r="AX450" s="30">
        <f>'Equity Volume Data'!BA450*'Equity Price Data'!BD451</f>
        <v>0</v>
      </c>
      <c r="AY450" s="30">
        <f>'Equity Volume Data'!BB450*'Equity Price Data'!BE451</f>
        <v>0</v>
      </c>
      <c r="AZ450" s="30">
        <f>'Equity Volume Data'!BC450*'Equity Price Data'!BF451</f>
        <v>0</v>
      </c>
      <c r="BA450" s="30">
        <f>'Equity Volume Data'!BD450*'Equity Price Data'!BG451</f>
        <v>0</v>
      </c>
      <c r="BB450" s="30">
        <f>'Equity Volume Data'!BE450*'Equity Price Data'!BH451</f>
        <v>0</v>
      </c>
      <c r="BC450" s="30">
        <f>'Equity Volume Data'!BF450*'Equity Price Data'!BI451</f>
        <v>0</v>
      </c>
      <c r="BD450" s="30">
        <f>'Equity Volume Data'!BG450*'Equity Price Data'!BJ451</f>
        <v>0</v>
      </c>
      <c r="BE450" s="30">
        <f>'Equity Volume Data'!BH450*'Equity Price Data'!BK451</f>
        <v>0</v>
      </c>
      <c r="BF450" s="30">
        <f>'Equity Volume Data'!BI450*'Equity Price Data'!BL451</f>
        <v>0</v>
      </c>
      <c r="BG450" s="30">
        <f>'Equity Volume Data'!BJ450*'Equity Price Data'!BM451</f>
        <v>0</v>
      </c>
      <c r="BH450" s="30">
        <f>'Equity Volume Data'!BK450*'Equity Price Data'!BN451</f>
        <v>0</v>
      </c>
      <c r="BI450" s="30">
        <f>'Equity Volume Data'!BL450*'Equity Price Data'!BO451</f>
        <v>0</v>
      </c>
      <c r="BJ450" s="30">
        <f>'Equity Volume Data'!BM450*'Equity Price Data'!BP451</f>
        <v>0</v>
      </c>
      <c r="BK450" s="30">
        <f>'Equity Volume Data'!BN450*'Equity Price Data'!BQ451</f>
        <v>0</v>
      </c>
      <c r="BL450" s="30">
        <f>'Equity Volume Data'!BO450*'Equity Price Data'!BR451</f>
        <v>0</v>
      </c>
      <c r="BM450" s="30">
        <f>'Equity Volume Data'!BP450*'Equity Price Data'!BS451</f>
        <v>0</v>
      </c>
      <c r="BN450" s="30">
        <f>'Equity Volume Data'!BQ450*'Equity Price Data'!BT451</f>
        <v>0</v>
      </c>
      <c r="BO450" s="30">
        <v>65366.0</v>
      </c>
    </row>
    <row r="451">
      <c r="A451" s="25" t="str">
        <f>'Equity Price Data'!A452</f>
        <v/>
      </c>
      <c r="B451" s="29">
        <f t="shared" si="1"/>
        <v>65366</v>
      </c>
      <c r="C451" s="30">
        <f>'Equity Volume Data'!F451*'Equity Price Data'!I452</f>
        <v>0</v>
      </c>
      <c r="D451" s="30">
        <f>'Equity Volume Data'!G451*'Equity Price Data'!J452</f>
        <v>0</v>
      </c>
      <c r="E451" s="30">
        <f>'Equity Volume Data'!H451*'Equity Price Data'!K452</f>
        <v>0</v>
      </c>
      <c r="F451" s="30">
        <f>'Equity Volume Data'!I451*'Equity Price Data'!L452</f>
        <v>0</v>
      </c>
      <c r="G451" s="30">
        <f>'Equity Volume Data'!J451*'Equity Price Data'!M452</f>
        <v>0</v>
      </c>
      <c r="H451" s="30">
        <f>'Equity Volume Data'!K451*'Equity Price Data'!N452</f>
        <v>0</v>
      </c>
      <c r="I451" s="30">
        <f>'Equity Volume Data'!L451*'Equity Price Data'!O452</f>
        <v>0</v>
      </c>
      <c r="J451" s="30">
        <f>'Equity Volume Data'!M451*'Equity Price Data'!P452</f>
        <v>0</v>
      </c>
      <c r="K451" s="30">
        <f>'Equity Volume Data'!N451*'Equity Price Data'!Q452</f>
        <v>0</v>
      </c>
      <c r="L451" s="30">
        <f>'Equity Volume Data'!O451*'Equity Price Data'!R452</f>
        <v>0</v>
      </c>
      <c r="M451" s="30">
        <f>'Equity Volume Data'!P451*'Equity Price Data'!S452</f>
        <v>0</v>
      </c>
      <c r="N451" s="30">
        <f>'Equity Volume Data'!Q451*'Equity Price Data'!T452</f>
        <v>0</v>
      </c>
      <c r="O451" s="30">
        <f>'Equity Volume Data'!R451*'Equity Price Data'!U452</f>
        <v>0</v>
      </c>
      <c r="P451" s="30">
        <f>'Equity Volume Data'!S451*'Equity Price Data'!V452</f>
        <v>0</v>
      </c>
      <c r="Q451" s="30">
        <f>'Equity Volume Data'!T451*'Equity Price Data'!W452</f>
        <v>0</v>
      </c>
      <c r="R451" s="30">
        <f>'Equity Volume Data'!U451*'Equity Price Data'!X452</f>
        <v>0</v>
      </c>
      <c r="S451" s="30">
        <f>'Equity Volume Data'!V451*'Equity Price Data'!Y452</f>
        <v>0</v>
      </c>
      <c r="T451" s="30">
        <f>'Equity Volume Data'!W451*'Equity Price Data'!Z452</f>
        <v>0</v>
      </c>
      <c r="U451" s="30">
        <f>'Equity Volume Data'!X451*'Equity Price Data'!AA452</f>
        <v>0</v>
      </c>
      <c r="V451" s="30">
        <f>'Equity Volume Data'!Y451*'Equity Price Data'!AB452</f>
        <v>0</v>
      </c>
      <c r="W451" s="30">
        <f>'Equity Volume Data'!Z451*'Equity Price Data'!AC452</f>
        <v>0</v>
      </c>
      <c r="X451" s="30">
        <f>'Equity Volume Data'!AA451*'Equity Price Data'!AD452</f>
        <v>0</v>
      </c>
      <c r="Y451" s="30">
        <f>'Equity Volume Data'!AB451*'Equity Price Data'!AE452</f>
        <v>0</v>
      </c>
      <c r="Z451" s="30">
        <f>'Equity Volume Data'!AC451*'Equity Price Data'!AF452</f>
        <v>0</v>
      </c>
      <c r="AA451" s="30">
        <f>'Equity Volume Data'!AD451*'Equity Price Data'!AG452</f>
        <v>0</v>
      </c>
      <c r="AB451" s="30">
        <f>'Equity Volume Data'!AE451*'Equity Price Data'!AH452</f>
        <v>0</v>
      </c>
      <c r="AC451" s="30">
        <f>'Equity Volume Data'!AF451*'Equity Price Data'!AI452</f>
        <v>0</v>
      </c>
      <c r="AD451" s="30">
        <f>'Equity Volume Data'!AG451*'Equity Price Data'!AJ452</f>
        <v>0</v>
      </c>
      <c r="AE451" s="30">
        <f>'Equity Volume Data'!AH451*'Equity Price Data'!AK452</f>
        <v>0</v>
      </c>
      <c r="AF451" s="30">
        <f>'Equity Volume Data'!AI451*'Equity Price Data'!AL452</f>
        <v>0</v>
      </c>
      <c r="AG451" s="30">
        <f>'Equity Volume Data'!AJ451*'Equity Price Data'!AM452</f>
        <v>0</v>
      </c>
      <c r="AH451" s="30">
        <f>'Equity Volume Data'!AK451*'Equity Price Data'!AN452</f>
        <v>0</v>
      </c>
      <c r="AI451" s="30">
        <f>'Equity Volume Data'!AL451*'Equity Price Data'!AO452</f>
        <v>0</v>
      </c>
      <c r="AJ451" s="30">
        <f>'Equity Volume Data'!AM451*'Equity Price Data'!AP452</f>
        <v>0</v>
      </c>
      <c r="AK451" s="30">
        <f>'Equity Volume Data'!AN451*'Equity Price Data'!AQ452</f>
        <v>0</v>
      </c>
      <c r="AL451" s="30">
        <f>'Equity Volume Data'!AO451*'Equity Price Data'!AR452</f>
        <v>0</v>
      </c>
      <c r="AM451" s="30">
        <f>'Equity Volume Data'!AP451*'Equity Price Data'!AS452</f>
        <v>0</v>
      </c>
      <c r="AN451" s="30">
        <f>'Equity Volume Data'!AQ451*'Equity Price Data'!AT452</f>
        <v>0</v>
      </c>
      <c r="AO451" s="30">
        <f>'Equity Volume Data'!AR451*'Equity Price Data'!AU452</f>
        <v>0</v>
      </c>
      <c r="AP451" s="30">
        <f>'Equity Volume Data'!AS451*'Equity Price Data'!AV452</f>
        <v>0</v>
      </c>
      <c r="AQ451" s="30">
        <f>'Equity Volume Data'!AT451*'Equity Price Data'!AW452</f>
        <v>0</v>
      </c>
      <c r="AR451" s="30">
        <f>'Equity Volume Data'!AU451*'Equity Price Data'!AX452</f>
        <v>0</v>
      </c>
      <c r="AS451" s="30">
        <f>'Equity Volume Data'!AV451*'Equity Price Data'!AY452</f>
        <v>0</v>
      </c>
      <c r="AT451" s="30">
        <f>'Equity Volume Data'!AW451*'Equity Price Data'!AZ452</f>
        <v>0</v>
      </c>
      <c r="AU451" s="30">
        <f>'Equity Volume Data'!AX451*'Equity Price Data'!BA452</f>
        <v>0</v>
      </c>
      <c r="AV451" s="30">
        <f>'Equity Volume Data'!AY451*'Equity Price Data'!BB452</f>
        <v>0</v>
      </c>
      <c r="AW451" s="30">
        <f>'Equity Volume Data'!AZ451*'Equity Price Data'!BC452</f>
        <v>0</v>
      </c>
      <c r="AX451" s="30">
        <f>'Equity Volume Data'!BA451*'Equity Price Data'!BD452</f>
        <v>0</v>
      </c>
      <c r="AY451" s="30">
        <f>'Equity Volume Data'!BB451*'Equity Price Data'!BE452</f>
        <v>0</v>
      </c>
      <c r="AZ451" s="30">
        <f>'Equity Volume Data'!BC451*'Equity Price Data'!BF452</f>
        <v>0</v>
      </c>
      <c r="BA451" s="30">
        <f>'Equity Volume Data'!BD451*'Equity Price Data'!BG452</f>
        <v>0</v>
      </c>
      <c r="BB451" s="30">
        <f>'Equity Volume Data'!BE451*'Equity Price Data'!BH452</f>
        <v>0</v>
      </c>
      <c r="BC451" s="30">
        <f>'Equity Volume Data'!BF451*'Equity Price Data'!BI452</f>
        <v>0</v>
      </c>
      <c r="BD451" s="30">
        <f>'Equity Volume Data'!BG451*'Equity Price Data'!BJ452</f>
        <v>0</v>
      </c>
      <c r="BE451" s="30">
        <f>'Equity Volume Data'!BH451*'Equity Price Data'!BK452</f>
        <v>0</v>
      </c>
      <c r="BF451" s="30">
        <f>'Equity Volume Data'!BI451*'Equity Price Data'!BL452</f>
        <v>0</v>
      </c>
      <c r="BG451" s="30">
        <f>'Equity Volume Data'!BJ451*'Equity Price Data'!BM452</f>
        <v>0</v>
      </c>
      <c r="BH451" s="30">
        <f>'Equity Volume Data'!BK451*'Equity Price Data'!BN452</f>
        <v>0</v>
      </c>
      <c r="BI451" s="30">
        <f>'Equity Volume Data'!BL451*'Equity Price Data'!BO452</f>
        <v>0</v>
      </c>
      <c r="BJ451" s="30">
        <f>'Equity Volume Data'!BM451*'Equity Price Data'!BP452</f>
        <v>0</v>
      </c>
      <c r="BK451" s="30">
        <f>'Equity Volume Data'!BN451*'Equity Price Data'!BQ452</f>
        <v>0</v>
      </c>
      <c r="BL451" s="30">
        <f>'Equity Volume Data'!BO451*'Equity Price Data'!BR452</f>
        <v>0</v>
      </c>
      <c r="BM451" s="30">
        <f>'Equity Volume Data'!BP451*'Equity Price Data'!BS452</f>
        <v>0</v>
      </c>
      <c r="BN451" s="30">
        <f>'Equity Volume Data'!BQ451*'Equity Price Data'!BT452</f>
        <v>0</v>
      </c>
      <c r="BO451" s="30">
        <v>65366.0</v>
      </c>
    </row>
    <row r="452">
      <c r="A452" s="25" t="str">
        <f>'Equity Price Data'!A453</f>
        <v/>
      </c>
      <c r="B452" s="29">
        <f t="shared" si="1"/>
        <v>65366</v>
      </c>
      <c r="C452" s="30">
        <f>'Equity Volume Data'!F452*'Equity Price Data'!I453</f>
        <v>0</v>
      </c>
      <c r="D452" s="30">
        <f>'Equity Volume Data'!G452*'Equity Price Data'!J453</f>
        <v>0</v>
      </c>
      <c r="E452" s="30">
        <f>'Equity Volume Data'!H452*'Equity Price Data'!K453</f>
        <v>0</v>
      </c>
      <c r="F452" s="30">
        <f>'Equity Volume Data'!I452*'Equity Price Data'!L453</f>
        <v>0</v>
      </c>
      <c r="G452" s="30">
        <f>'Equity Volume Data'!J452*'Equity Price Data'!M453</f>
        <v>0</v>
      </c>
      <c r="H452" s="30">
        <f>'Equity Volume Data'!K452*'Equity Price Data'!N453</f>
        <v>0</v>
      </c>
      <c r="I452" s="30">
        <f>'Equity Volume Data'!L452*'Equity Price Data'!O453</f>
        <v>0</v>
      </c>
      <c r="J452" s="30">
        <f>'Equity Volume Data'!M452*'Equity Price Data'!P453</f>
        <v>0</v>
      </c>
      <c r="K452" s="30">
        <f>'Equity Volume Data'!N452*'Equity Price Data'!Q453</f>
        <v>0</v>
      </c>
      <c r="L452" s="30">
        <f>'Equity Volume Data'!O452*'Equity Price Data'!R453</f>
        <v>0</v>
      </c>
      <c r="M452" s="30">
        <f>'Equity Volume Data'!P452*'Equity Price Data'!S453</f>
        <v>0</v>
      </c>
      <c r="N452" s="30">
        <f>'Equity Volume Data'!Q452*'Equity Price Data'!T453</f>
        <v>0</v>
      </c>
      <c r="O452" s="30">
        <f>'Equity Volume Data'!R452*'Equity Price Data'!U453</f>
        <v>0</v>
      </c>
      <c r="P452" s="30">
        <f>'Equity Volume Data'!S452*'Equity Price Data'!V453</f>
        <v>0</v>
      </c>
      <c r="Q452" s="30">
        <f>'Equity Volume Data'!T452*'Equity Price Data'!W453</f>
        <v>0</v>
      </c>
      <c r="R452" s="30">
        <f>'Equity Volume Data'!U452*'Equity Price Data'!X453</f>
        <v>0</v>
      </c>
      <c r="S452" s="30">
        <f>'Equity Volume Data'!V452*'Equity Price Data'!Y453</f>
        <v>0</v>
      </c>
      <c r="T452" s="30">
        <f>'Equity Volume Data'!W452*'Equity Price Data'!Z453</f>
        <v>0</v>
      </c>
      <c r="U452" s="30">
        <f>'Equity Volume Data'!X452*'Equity Price Data'!AA453</f>
        <v>0</v>
      </c>
      <c r="V452" s="30">
        <f>'Equity Volume Data'!Y452*'Equity Price Data'!AB453</f>
        <v>0</v>
      </c>
      <c r="W452" s="30">
        <f>'Equity Volume Data'!Z452*'Equity Price Data'!AC453</f>
        <v>0</v>
      </c>
      <c r="X452" s="30">
        <f>'Equity Volume Data'!AA452*'Equity Price Data'!AD453</f>
        <v>0</v>
      </c>
      <c r="Y452" s="30">
        <f>'Equity Volume Data'!AB452*'Equity Price Data'!AE453</f>
        <v>0</v>
      </c>
      <c r="Z452" s="30">
        <f>'Equity Volume Data'!AC452*'Equity Price Data'!AF453</f>
        <v>0</v>
      </c>
      <c r="AA452" s="30">
        <f>'Equity Volume Data'!AD452*'Equity Price Data'!AG453</f>
        <v>0</v>
      </c>
      <c r="AB452" s="30">
        <f>'Equity Volume Data'!AE452*'Equity Price Data'!AH453</f>
        <v>0</v>
      </c>
      <c r="AC452" s="30">
        <f>'Equity Volume Data'!AF452*'Equity Price Data'!AI453</f>
        <v>0</v>
      </c>
      <c r="AD452" s="30">
        <f>'Equity Volume Data'!AG452*'Equity Price Data'!AJ453</f>
        <v>0</v>
      </c>
      <c r="AE452" s="30">
        <f>'Equity Volume Data'!AH452*'Equity Price Data'!AK453</f>
        <v>0</v>
      </c>
      <c r="AF452" s="30">
        <f>'Equity Volume Data'!AI452*'Equity Price Data'!AL453</f>
        <v>0</v>
      </c>
      <c r="AG452" s="30">
        <f>'Equity Volume Data'!AJ452*'Equity Price Data'!AM453</f>
        <v>0</v>
      </c>
      <c r="AH452" s="30">
        <f>'Equity Volume Data'!AK452*'Equity Price Data'!AN453</f>
        <v>0</v>
      </c>
      <c r="AI452" s="30">
        <f>'Equity Volume Data'!AL452*'Equity Price Data'!AO453</f>
        <v>0</v>
      </c>
      <c r="AJ452" s="30">
        <f>'Equity Volume Data'!AM452*'Equity Price Data'!AP453</f>
        <v>0</v>
      </c>
      <c r="AK452" s="30">
        <f>'Equity Volume Data'!AN452*'Equity Price Data'!AQ453</f>
        <v>0</v>
      </c>
      <c r="AL452" s="30">
        <f>'Equity Volume Data'!AO452*'Equity Price Data'!AR453</f>
        <v>0</v>
      </c>
      <c r="AM452" s="30">
        <f>'Equity Volume Data'!AP452*'Equity Price Data'!AS453</f>
        <v>0</v>
      </c>
      <c r="AN452" s="30">
        <f>'Equity Volume Data'!AQ452*'Equity Price Data'!AT453</f>
        <v>0</v>
      </c>
      <c r="AO452" s="30">
        <f>'Equity Volume Data'!AR452*'Equity Price Data'!AU453</f>
        <v>0</v>
      </c>
      <c r="AP452" s="30">
        <f>'Equity Volume Data'!AS452*'Equity Price Data'!AV453</f>
        <v>0</v>
      </c>
      <c r="AQ452" s="30">
        <f>'Equity Volume Data'!AT452*'Equity Price Data'!AW453</f>
        <v>0</v>
      </c>
      <c r="AR452" s="30">
        <f>'Equity Volume Data'!AU452*'Equity Price Data'!AX453</f>
        <v>0</v>
      </c>
      <c r="AS452" s="30">
        <f>'Equity Volume Data'!AV452*'Equity Price Data'!AY453</f>
        <v>0</v>
      </c>
      <c r="AT452" s="30">
        <f>'Equity Volume Data'!AW452*'Equity Price Data'!AZ453</f>
        <v>0</v>
      </c>
      <c r="AU452" s="30">
        <f>'Equity Volume Data'!AX452*'Equity Price Data'!BA453</f>
        <v>0</v>
      </c>
      <c r="AV452" s="30">
        <f>'Equity Volume Data'!AY452*'Equity Price Data'!BB453</f>
        <v>0</v>
      </c>
      <c r="AW452" s="30">
        <f>'Equity Volume Data'!AZ452*'Equity Price Data'!BC453</f>
        <v>0</v>
      </c>
      <c r="AX452" s="30">
        <f>'Equity Volume Data'!BA452*'Equity Price Data'!BD453</f>
        <v>0</v>
      </c>
      <c r="AY452" s="30">
        <f>'Equity Volume Data'!BB452*'Equity Price Data'!BE453</f>
        <v>0</v>
      </c>
      <c r="AZ452" s="30">
        <f>'Equity Volume Data'!BC452*'Equity Price Data'!BF453</f>
        <v>0</v>
      </c>
      <c r="BA452" s="30">
        <f>'Equity Volume Data'!BD452*'Equity Price Data'!BG453</f>
        <v>0</v>
      </c>
      <c r="BB452" s="30">
        <f>'Equity Volume Data'!BE452*'Equity Price Data'!BH453</f>
        <v>0</v>
      </c>
      <c r="BC452" s="30">
        <f>'Equity Volume Data'!BF452*'Equity Price Data'!BI453</f>
        <v>0</v>
      </c>
      <c r="BD452" s="30">
        <f>'Equity Volume Data'!BG452*'Equity Price Data'!BJ453</f>
        <v>0</v>
      </c>
      <c r="BE452" s="30">
        <f>'Equity Volume Data'!BH452*'Equity Price Data'!BK453</f>
        <v>0</v>
      </c>
      <c r="BF452" s="30">
        <f>'Equity Volume Data'!BI452*'Equity Price Data'!BL453</f>
        <v>0</v>
      </c>
      <c r="BG452" s="30">
        <f>'Equity Volume Data'!BJ452*'Equity Price Data'!BM453</f>
        <v>0</v>
      </c>
      <c r="BH452" s="30">
        <f>'Equity Volume Data'!BK452*'Equity Price Data'!BN453</f>
        <v>0</v>
      </c>
      <c r="BI452" s="30">
        <f>'Equity Volume Data'!BL452*'Equity Price Data'!BO453</f>
        <v>0</v>
      </c>
      <c r="BJ452" s="30">
        <f>'Equity Volume Data'!BM452*'Equity Price Data'!BP453</f>
        <v>0</v>
      </c>
      <c r="BK452" s="30">
        <f>'Equity Volume Data'!BN452*'Equity Price Data'!BQ453</f>
        <v>0</v>
      </c>
      <c r="BL452" s="30">
        <f>'Equity Volume Data'!BO452*'Equity Price Data'!BR453</f>
        <v>0</v>
      </c>
      <c r="BM452" s="30">
        <f>'Equity Volume Data'!BP452*'Equity Price Data'!BS453</f>
        <v>0</v>
      </c>
      <c r="BN452" s="30">
        <f>'Equity Volume Data'!BQ452*'Equity Price Data'!BT453</f>
        <v>0</v>
      </c>
      <c r="BO452" s="30">
        <v>65366.0</v>
      </c>
    </row>
    <row r="453">
      <c r="A453" s="25" t="str">
        <f>'Equity Price Data'!A454</f>
        <v/>
      </c>
      <c r="B453" s="29">
        <f t="shared" si="1"/>
        <v>65366</v>
      </c>
      <c r="C453" s="30">
        <f>'Equity Volume Data'!F453*'Equity Price Data'!I454</f>
        <v>0</v>
      </c>
      <c r="D453" s="30">
        <f>'Equity Volume Data'!G453*'Equity Price Data'!J454</f>
        <v>0</v>
      </c>
      <c r="E453" s="30">
        <f>'Equity Volume Data'!H453*'Equity Price Data'!K454</f>
        <v>0</v>
      </c>
      <c r="F453" s="30">
        <f>'Equity Volume Data'!I453*'Equity Price Data'!L454</f>
        <v>0</v>
      </c>
      <c r="G453" s="30">
        <f>'Equity Volume Data'!J453*'Equity Price Data'!M454</f>
        <v>0</v>
      </c>
      <c r="H453" s="30">
        <f>'Equity Volume Data'!K453*'Equity Price Data'!N454</f>
        <v>0</v>
      </c>
      <c r="I453" s="30">
        <f>'Equity Volume Data'!L453*'Equity Price Data'!O454</f>
        <v>0</v>
      </c>
      <c r="J453" s="30">
        <f>'Equity Volume Data'!M453*'Equity Price Data'!P454</f>
        <v>0</v>
      </c>
      <c r="K453" s="30">
        <f>'Equity Volume Data'!N453*'Equity Price Data'!Q454</f>
        <v>0</v>
      </c>
      <c r="L453" s="30">
        <f>'Equity Volume Data'!O453*'Equity Price Data'!R454</f>
        <v>0</v>
      </c>
      <c r="M453" s="30">
        <f>'Equity Volume Data'!P453*'Equity Price Data'!S454</f>
        <v>0</v>
      </c>
      <c r="N453" s="30">
        <f>'Equity Volume Data'!Q453*'Equity Price Data'!T454</f>
        <v>0</v>
      </c>
      <c r="O453" s="30">
        <f>'Equity Volume Data'!R453*'Equity Price Data'!U454</f>
        <v>0</v>
      </c>
      <c r="P453" s="30">
        <f>'Equity Volume Data'!S453*'Equity Price Data'!V454</f>
        <v>0</v>
      </c>
      <c r="Q453" s="30">
        <f>'Equity Volume Data'!T453*'Equity Price Data'!W454</f>
        <v>0</v>
      </c>
      <c r="R453" s="30">
        <f>'Equity Volume Data'!U453*'Equity Price Data'!X454</f>
        <v>0</v>
      </c>
      <c r="S453" s="30">
        <f>'Equity Volume Data'!V453*'Equity Price Data'!Y454</f>
        <v>0</v>
      </c>
      <c r="T453" s="30">
        <f>'Equity Volume Data'!W453*'Equity Price Data'!Z454</f>
        <v>0</v>
      </c>
      <c r="U453" s="30">
        <f>'Equity Volume Data'!X453*'Equity Price Data'!AA454</f>
        <v>0</v>
      </c>
      <c r="V453" s="30">
        <f>'Equity Volume Data'!Y453*'Equity Price Data'!AB454</f>
        <v>0</v>
      </c>
      <c r="W453" s="30">
        <f>'Equity Volume Data'!Z453*'Equity Price Data'!AC454</f>
        <v>0</v>
      </c>
      <c r="X453" s="30">
        <f>'Equity Volume Data'!AA453*'Equity Price Data'!AD454</f>
        <v>0</v>
      </c>
      <c r="Y453" s="30">
        <f>'Equity Volume Data'!AB453*'Equity Price Data'!AE454</f>
        <v>0</v>
      </c>
      <c r="Z453" s="30">
        <f>'Equity Volume Data'!AC453*'Equity Price Data'!AF454</f>
        <v>0</v>
      </c>
      <c r="AA453" s="30">
        <f>'Equity Volume Data'!AD453*'Equity Price Data'!AG454</f>
        <v>0</v>
      </c>
      <c r="AB453" s="30">
        <f>'Equity Volume Data'!AE453*'Equity Price Data'!AH454</f>
        <v>0</v>
      </c>
      <c r="AC453" s="30">
        <f>'Equity Volume Data'!AF453*'Equity Price Data'!AI454</f>
        <v>0</v>
      </c>
      <c r="AD453" s="30">
        <f>'Equity Volume Data'!AG453*'Equity Price Data'!AJ454</f>
        <v>0</v>
      </c>
      <c r="AE453" s="30">
        <f>'Equity Volume Data'!AH453*'Equity Price Data'!AK454</f>
        <v>0</v>
      </c>
      <c r="AF453" s="30">
        <f>'Equity Volume Data'!AI453*'Equity Price Data'!AL454</f>
        <v>0</v>
      </c>
      <c r="AG453" s="30">
        <f>'Equity Volume Data'!AJ453*'Equity Price Data'!AM454</f>
        <v>0</v>
      </c>
      <c r="AH453" s="30">
        <f>'Equity Volume Data'!AK453*'Equity Price Data'!AN454</f>
        <v>0</v>
      </c>
      <c r="AI453" s="30">
        <f>'Equity Volume Data'!AL453*'Equity Price Data'!AO454</f>
        <v>0</v>
      </c>
      <c r="AJ453" s="30">
        <f>'Equity Volume Data'!AM453*'Equity Price Data'!AP454</f>
        <v>0</v>
      </c>
      <c r="AK453" s="30">
        <f>'Equity Volume Data'!AN453*'Equity Price Data'!AQ454</f>
        <v>0</v>
      </c>
      <c r="AL453" s="30">
        <f>'Equity Volume Data'!AO453*'Equity Price Data'!AR454</f>
        <v>0</v>
      </c>
      <c r="AM453" s="30">
        <f>'Equity Volume Data'!AP453*'Equity Price Data'!AS454</f>
        <v>0</v>
      </c>
      <c r="AN453" s="30">
        <f>'Equity Volume Data'!AQ453*'Equity Price Data'!AT454</f>
        <v>0</v>
      </c>
      <c r="AO453" s="30">
        <f>'Equity Volume Data'!AR453*'Equity Price Data'!AU454</f>
        <v>0</v>
      </c>
      <c r="AP453" s="30">
        <f>'Equity Volume Data'!AS453*'Equity Price Data'!AV454</f>
        <v>0</v>
      </c>
      <c r="AQ453" s="30">
        <f>'Equity Volume Data'!AT453*'Equity Price Data'!AW454</f>
        <v>0</v>
      </c>
      <c r="AR453" s="30">
        <f>'Equity Volume Data'!AU453*'Equity Price Data'!AX454</f>
        <v>0</v>
      </c>
      <c r="AS453" s="30">
        <f>'Equity Volume Data'!AV453*'Equity Price Data'!AY454</f>
        <v>0</v>
      </c>
      <c r="AT453" s="30">
        <f>'Equity Volume Data'!AW453*'Equity Price Data'!AZ454</f>
        <v>0</v>
      </c>
      <c r="AU453" s="30">
        <f>'Equity Volume Data'!AX453*'Equity Price Data'!BA454</f>
        <v>0</v>
      </c>
      <c r="AV453" s="30">
        <f>'Equity Volume Data'!AY453*'Equity Price Data'!BB454</f>
        <v>0</v>
      </c>
      <c r="AW453" s="30">
        <f>'Equity Volume Data'!AZ453*'Equity Price Data'!BC454</f>
        <v>0</v>
      </c>
      <c r="AX453" s="30">
        <f>'Equity Volume Data'!BA453*'Equity Price Data'!BD454</f>
        <v>0</v>
      </c>
      <c r="AY453" s="30">
        <f>'Equity Volume Data'!BB453*'Equity Price Data'!BE454</f>
        <v>0</v>
      </c>
      <c r="AZ453" s="30">
        <f>'Equity Volume Data'!BC453*'Equity Price Data'!BF454</f>
        <v>0</v>
      </c>
      <c r="BA453" s="30">
        <f>'Equity Volume Data'!BD453*'Equity Price Data'!BG454</f>
        <v>0</v>
      </c>
      <c r="BB453" s="30">
        <f>'Equity Volume Data'!BE453*'Equity Price Data'!BH454</f>
        <v>0</v>
      </c>
      <c r="BC453" s="30">
        <f>'Equity Volume Data'!BF453*'Equity Price Data'!BI454</f>
        <v>0</v>
      </c>
      <c r="BD453" s="30">
        <f>'Equity Volume Data'!BG453*'Equity Price Data'!BJ454</f>
        <v>0</v>
      </c>
      <c r="BE453" s="30">
        <f>'Equity Volume Data'!BH453*'Equity Price Data'!BK454</f>
        <v>0</v>
      </c>
      <c r="BF453" s="30">
        <f>'Equity Volume Data'!BI453*'Equity Price Data'!BL454</f>
        <v>0</v>
      </c>
      <c r="BG453" s="30">
        <f>'Equity Volume Data'!BJ453*'Equity Price Data'!BM454</f>
        <v>0</v>
      </c>
      <c r="BH453" s="30">
        <f>'Equity Volume Data'!BK453*'Equity Price Data'!BN454</f>
        <v>0</v>
      </c>
      <c r="BI453" s="30">
        <f>'Equity Volume Data'!BL453*'Equity Price Data'!BO454</f>
        <v>0</v>
      </c>
      <c r="BJ453" s="30">
        <f>'Equity Volume Data'!BM453*'Equity Price Data'!BP454</f>
        <v>0</v>
      </c>
      <c r="BK453" s="30">
        <f>'Equity Volume Data'!BN453*'Equity Price Data'!BQ454</f>
        <v>0</v>
      </c>
      <c r="BL453" s="30">
        <f>'Equity Volume Data'!BO453*'Equity Price Data'!BR454</f>
        <v>0</v>
      </c>
      <c r="BM453" s="30">
        <f>'Equity Volume Data'!BP453*'Equity Price Data'!BS454</f>
        <v>0</v>
      </c>
      <c r="BN453" s="30">
        <f>'Equity Volume Data'!BQ453*'Equity Price Data'!BT454</f>
        <v>0</v>
      </c>
      <c r="BO453" s="30">
        <v>65366.0</v>
      </c>
    </row>
    <row r="454">
      <c r="A454" s="25" t="str">
        <f>'Equity Price Data'!A455</f>
        <v/>
      </c>
      <c r="B454" s="29">
        <f t="shared" si="1"/>
        <v>65366</v>
      </c>
      <c r="C454" s="30">
        <f>'Equity Volume Data'!F454*'Equity Price Data'!I455</f>
        <v>0</v>
      </c>
      <c r="D454" s="30">
        <f>'Equity Volume Data'!G454*'Equity Price Data'!J455</f>
        <v>0</v>
      </c>
      <c r="E454" s="30">
        <f>'Equity Volume Data'!H454*'Equity Price Data'!K455</f>
        <v>0</v>
      </c>
      <c r="F454" s="30">
        <f>'Equity Volume Data'!I454*'Equity Price Data'!L455</f>
        <v>0</v>
      </c>
      <c r="G454" s="30">
        <f>'Equity Volume Data'!J454*'Equity Price Data'!M455</f>
        <v>0</v>
      </c>
      <c r="H454" s="30">
        <f>'Equity Volume Data'!K454*'Equity Price Data'!N455</f>
        <v>0</v>
      </c>
      <c r="I454" s="30">
        <f>'Equity Volume Data'!L454*'Equity Price Data'!O455</f>
        <v>0</v>
      </c>
      <c r="J454" s="30">
        <f>'Equity Volume Data'!M454*'Equity Price Data'!P455</f>
        <v>0</v>
      </c>
      <c r="K454" s="30">
        <f>'Equity Volume Data'!N454*'Equity Price Data'!Q455</f>
        <v>0</v>
      </c>
      <c r="L454" s="30">
        <f>'Equity Volume Data'!O454*'Equity Price Data'!R455</f>
        <v>0</v>
      </c>
      <c r="M454" s="30">
        <f>'Equity Volume Data'!P454*'Equity Price Data'!S455</f>
        <v>0</v>
      </c>
      <c r="N454" s="30">
        <f>'Equity Volume Data'!Q454*'Equity Price Data'!T455</f>
        <v>0</v>
      </c>
      <c r="O454" s="30">
        <f>'Equity Volume Data'!R454*'Equity Price Data'!U455</f>
        <v>0</v>
      </c>
      <c r="P454" s="30">
        <f>'Equity Volume Data'!S454*'Equity Price Data'!V455</f>
        <v>0</v>
      </c>
      <c r="Q454" s="30">
        <f>'Equity Volume Data'!T454*'Equity Price Data'!W455</f>
        <v>0</v>
      </c>
      <c r="R454" s="30">
        <f>'Equity Volume Data'!U454*'Equity Price Data'!X455</f>
        <v>0</v>
      </c>
      <c r="S454" s="30">
        <f>'Equity Volume Data'!V454*'Equity Price Data'!Y455</f>
        <v>0</v>
      </c>
      <c r="T454" s="30">
        <f>'Equity Volume Data'!W454*'Equity Price Data'!Z455</f>
        <v>0</v>
      </c>
      <c r="U454" s="30">
        <f>'Equity Volume Data'!X454*'Equity Price Data'!AA455</f>
        <v>0</v>
      </c>
      <c r="V454" s="30">
        <f>'Equity Volume Data'!Y454*'Equity Price Data'!AB455</f>
        <v>0</v>
      </c>
      <c r="W454" s="30">
        <f>'Equity Volume Data'!Z454*'Equity Price Data'!AC455</f>
        <v>0</v>
      </c>
      <c r="X454" s="30">
        <f>'Equity Volume Data'!AA454*'Equity Price Data'!AD455</f>
        <v>0</v>
      </c>
      <c r="Y454" s="30">
        <f>'Equity Volume Data'!AB454*'Equity Price Data'!AE455</f>
        <v>0</v>
      </c>
      <c r="Z454" s="30">
        <f>'Equity Volume Data'!AC454*'Equity Price Data'!AF455</f>
        <v>0</v>
      </c>
      <c r="AA454" s="30">
        <f>'Equity Volume Data'!AD454*'Equity Price Data'!AG455</f>
        <v>0</v>
      </c>
      <c r="AB454" s="30">
        <f>'Equity Volume Data'!AE454*'Equity Price Data'!AH455</f>
        <v>0</v>
      </c>
      <c r="AC454" s="30">
        <f>'Equity Volume Data'!AF454*'Equity Price Data'!AI455</f>
        <v>0</v>
      </c>
      <c r="AD454" s="30">
        <f>'Equity Volume Data'!AG454*'Equity Price Data'!AJ455</f>
        <v>0</v>
      </c>
      <c r="AE454" s="30">
        <f>'Equity Volume Data'!AH454*'Equity Price Data'!AK455</f>
        <v>0</v>
      </c>
      <c r="AF454" s="30">
        <f>'Equity Volume Data'!AI454*'Equity Price Data'!AL455</f>
        <v>0</v>
      </c>
      <c r="AG454" s="30">
        <f>'Equity Volume Data'!AJ454*'Equity Price Data'!AM455</f>
        <v>0</v>
      </c>
      <c r="AH454" s="30">
        <f>'Equity Volume Data'!AK454*'Equity Price Data'!AN455</f>
        <v>0</v>
      </c>
      <c r="AI454" s="30">
        <f>'Equity Volume Data'!AL454*'Equity Price Data'!AO455</f>
        <v>0</v>
      </c>
      <c r="AJ454" s="30">
        <f>'Equity Volume Data'!AM454*'Equity Price Data'!AP455</f>
        <v>0</v>
      </c>
      <c r="AK454" s="30">
        <f>'Equity Volume Data'!AN454*'Equity Price Data'!AQ455</f>
        <v>0</v>
      </c>
      <c r="AL454" s="30">
        <f>'Equity Volume Data'!AO454*'Equity Price Data'!AR455</f>
        <v>0</v>
      </c>
      <c r="AM454" s="30">
        <f>'Equity Volume Data'!AP454*'Equity Price Data'!AS455</f>
        <v>0</v>
      </c>
      <c r="AN454" s="30">
        <f>'Equity Volume Data'!AQ454*'Equity Price Data'!AT455</f>
        <v>0</v>
      </c>
      <c r="AO454" s="30">
        <f>'Equity Volume Data'!AR454*'Equity Price Data'!AU455</f>
        <v>0</v>
      </c>
      <c r="AP454" s="30">
        <f>'Equity Volume Data'!AS454*'Equity Price Data'!AV455</f>
        <v>0</v>
      </c>
      <c r="AQ454" s="30">
        <f>'Equity Volume Data'!AT454*'Equity Price Data'!AW455</f>
        <v>0</v>
      </c>
      <c r="AR454" s="30">
        <f>'Equity Volume Data'!AU454*'Equity Price Data'!AX455</f>
        <v>0</v>
      </c>
      <c r="AS454" s="30">
        <f>'Equity Volume Data'!AV454*'Equity Price Data'!AY455</f>
        <v>0</v>
      </c>
      <c r="AT454" s="30">
        <f>'Equity Volume Data'!AW454*'Equity Price Data'!AZ455</f>
        <v>0</v>
      </c>
      <c r="AU454" s="30">
        <f>'Equity Volume Data'!AX454*'Equity Price Data'!BA455</f>
        <v>0</v>
      </c>
      <c r="AV454" s="30">
        <f>'Equity Volume Data'!AY454*'Equity Price Data'!BB455</f>
        <v>0</v>
      </c>
      <c r="AW454" s="30">
        <f>'Equity Volume Data'!AZ454*'Equity Price Data'!BC455</f>
        <v>0</v>
      </c>
      <c r="AX454" s="30">
        <f>'Equity Volume Data'!BA454*'Equity Price Data'!BD455</f>
        <v>0</v>
      </c>
      <c r="AY454" s="30">
        <f>'Equity Volume Data'!BB454*'Equity Price Data'!BE455</f>
        <v>0</v>
      </c>
      <c r="AZ454" s="30">
        <f>'Equity Volume Data'!BC454*'Equity Price Data'!BF455</f>
        <v>0</v>
      </c>
      <c r="BA454" s="30">
        <f>'Equity Volume Data'!BD454*'Equity Price Data'!BG455</f>
        <v>0</v>
      </c>
      <c r="BB454" s="30">
        <f>'Equity Volume Data'!BE454*'Equity Price Data'!BH455</f>
        <v>0</v>
      </c>
      <c r="BC454" s="30">
        <f>'Equity Volume Data'!BF454*'Equity Price Data'!BI455</f>
        <v>0</v>
      </c>
      <c r="BD454" s="30">
        <f>'Equity Volume Data'!BG454*'Equity Price Data'!BJ455</f>
        <v>0</v>
      </c>
      <c r="BE454" s="30">
        <f>'Equity Volume Data'!BH454*'Equity Price Data'!BK455</f>
        <v>0</v>
      </c>
      <c r="BF454" s="30">
        <f>'Equity Volume Data'!BI454*'Equity Price Data'!BL455</f>
        <v>0</v>
      </c>
      <c r="BG454" s="30">
        <f>'Equity Volume Data'!BJ454*'Equity Price Data'!BM455</f>
        <v>0</v>
      </c>
      <c r="BH454" s="30">
        <f>'Equity Volume Data'!BK454*'Equity Price Data'!BN455</f>
        <v>0</v>
      </c>
      <c r="BI454" s="30">
        <f>'Equity Volume Data'!BL454*'Equity Price Data'!BO455</f>
        <v>0</v>
      </c>
      <c r="BJ454" s="30">
        <f>'Equity Volume Data'!BM454*'Equity Price Data'!BP455</f>
        <v>0</v>
      </c>
      <c r="BK454" s="30">
        <f>'Equity Volume Data'!BN454*'Equity Price Data'!BQ455</f>
        <v>0</v>
      </c>
      <c r="BL454" s="30">
        <f>'Equity Volume Data'!BO454*'Equity Price Data'!BR455</f>
        <v>0</v>
      </c>
      <c r="BM454" s="30">
        <f>'Equity Volume Data'!BP454*'Equity Price Data'!BS455</f>
        <v>0</v>
      </c>
      <c r="BN454" s="30">
        <f>'Equity Volume Data'!BQ454*'Equity Price Data'!BT455</f>
        <v>0</v>
      </c>
      <c r="BO454" s="30">
        <v>65366.0</v>
      </c>
    </row>
    <row r="455">
      <c r="A455" s="25" t="str">
        <f>'Equity Price Data'!A456</f>
        <v/>
      </c>
      <c r="B455" s="29">
        <f t="shared" si="1"/>
        <v>65366</v>
      </c>
      <c r="C455" s="30">
        <f>'Equity Volume Data'!F455*'Equity Price Data'!I456</f>
        <v>0</v>
      </c>
      <c r="D455" s="30">
        <f>'Equity Volume Data'!G455*'Equity Price Data'!J456</f>
        <v>0</v>
      </c>
      <c r="E455" s="30">
        <f>'Equity Volume Data'!H455*'Equity Price Data'!K456</f>
        <v>0</v>
      </c>
      <c r="F455" s="30">
        <f>'Equity Volume Data'!I455*'Equity Price Data'!L456</f>
        <v>0</v>
      </c>
      <c r="G455" s="30">
        <f>'Equity Volume Data'!J455*'Equity Price Data'!M456</f>
        <v>0</v>
      </c>
      <c r="H455" s="30">
        <f>'Equity Volume Data'!K455*'Equity Price Data'!N456</f>
        <v>0</v>
      </c>
      <c r="I455" s="30">
        <f>'Equity Volume Data'!L455*'Equity Price Data'!O456</f>
        <v>0</v>
      </c>
      <c r="J455" s="30">
        <f>'Equity Volume Data'!M455*'Equity Price Data'!P456</f>
        <v>0</v>
      </c>
      <c r="K455" s="30">
        <f>'Equity Volume Data'!N455*'Equity Price Data'!Q456</f>
        <v>0</v>
      </c>
      <c r="L455" s="30">
        <f>'Equity Volume Data'!O455*'Equity Price Data'!R456</f>
        <v>0</v>
      </c>
      <c r="M455" s="30">
        <f>'Equity Volume Data'!P455*'Equity Price Data'!S456</f>
        <v>0</v>
      </c>
      <c r="N455" s="30">
        <f>'Equity Volume Data'!Q455*'Equity Price Data'!T456</f>
        <v>0</v>
      </c>
      <c r="O455" s="30">
        <f>'Equity Volume Data'!R455*'Equity Price Data'!U456</f>
        <v>0</v>
      </c>
      <c r="P455" s="30">
        <f>'Equity Volume Data'!S455*'Equity Price Data'!V456</f>
        <v>0</v>
      </c>
      <c r="Q455" s="30">
        <f>'Equity Volume Data'!T455*'Equity Price Data'!W456</f>
        <v>0</v>
      </c>
      <c r="R455" s="30">
        <f>'Equity Volume Data'!U455*'Equity Price Data'!X456</f>
        <v>0</v>
      </c>
      <c r="S455" s="30">
        <f>'Equity Volume Data'!V455*'Equity Price Data'!Y456</f>
        <v>0</v>
      </c>
      <c r="T455" s="30">
        <f>'Equity Volume Data'!W455*'Equity Price Data'!Z456</f>
        <v>0</v>
      </c>
      <c r="U455" s="30">
        <f>'Equity Volume Data'!X455*'Equity Price Data'!AA456</f>
        <v>0</v>
      </c>
      <c r="V455" s="30">
        <f>'Equity Volume Data'!Y455*'Equity Price Data'!AB456</f>
        <v>0</v>
      </c>
      <c r="W455" s="30">
        <f>'Equity Volume Data'!Z455*'Equity Price Data'!AC456</f>
        <v>0</v>
      </c>
      <c r="X455" s="30">
        <f>'Equity Volume Data'!AA455*'Equity Price Data'!AD456</f>
        <v>0</v>
      </c>
      <c r="Y455" s="30">
        <f>'Equity Volume Data'!AB455*'Equity Price Data'!AE456</f>
        <v>0</v>
      </c>
      <c r="Z455" s="30">
        <f>'Equity Volume Data'!AC455*'Equity Price Data'!AF456</f>
        <v>0</v>
      </c>
      <c r="AA455" s="30">
        <f>'Equity Volume Data'!AD455*'Equity Price Data'!AG456</f>
        <v>0</v>
      </c>
      <c r="AB455" s="30">
        <f>'Equity Volume Data'!AE455*'Equity Price Data'!AH456</f>
        <v>0</v>
      </c>
      <c r="AC455" s="30">
        <f>'Equity Volume Data'!AF455*'Equity Price Data'!AI456</f>
        <v>0</v>
      </c>
      <c r="AD455" s="30">
        <f>'Equity Volume Data'!AG455*'Equity Price Data'!AJ456</f>
        <v>0</v>
      </c>
      <c r="AE455" s="30">
        <f>'Equity Volume Data'!AH455*'Equity Price Data'!AK456</f>
        <v>0</v>
      </c>
      <c r="AF455" s="30">
        <f>'Equity Volume Data'!AI455*'Equity Price Data'!AL456</f>
        <v>0</v>
      </c>
      <c r="AG455" s="30">
        <f>'Equity Volume Data'!AJ455*'Equity Price Data'!AM456</f>
        <v>0</v>
      </c>
      <c r="AH455" s="30">
        <f>'Equity Volume Data'!AK455*'Equity Price Data'!AN456</f>
        <v>0</v>
      </c>
      <c r="AI455" s="30">
        <f>'Equity Volume Data'!AL455*'Equity Price Data'!AO456</f>
        <v>0</v>
      </c>
      <c r="AJ455" s="30">
        <f>'Equity Volume Data'!AM455*'Equity Price Data'!AP456</f>
        <v>0</v>
      </c>
      <c r="AK455" s="30">
        <f>'Equity Volume Data'!AN455*'Equity Price Data'!AQ456</f>
        <v>0</v>
      </c>
      <c r="AL455" s="30">
        <f>'Equity Volume Data'!AO455*'Equity Price Data'!AR456</f>
        <v>0</v>
      </c>
      <c r="AM455" s="30">
        <f>'Equity Volume Data'!AP455*'Equity Price Data'!AS456</f>
        <v>0</v>
      </c>
      <c r="AN455" s="30">
        <f>'Equity Volume Data'!AQ455*'Equity Price Data'!AT456</f>
        <v>0</v>
      </c>
      <c r="AO455" s="30">
        <f>'Equity Volume Data'!AR455*'Equity Price Data'!AU456</f>
        <v>0</v>
      </c>
      <c r="AP455" s="30">
        <f>'Equity Volume Data'!AS455*'Equity Price Data'!AV456</f>
        <v>0</v>
      </c>
      <c r="AQ455" s="30">
        <f>'Equity Volume Data'!AT455*'Equity Price Data'!AW456</f>
        <v>0</v>
      </c>
      <c r="AR455" s="30">
        <f>'Equity Volume Data'!AU455*'Equity Price Data'!AX456</f>
        <v>0</v>
      </c>
      <c r="AS455" s="30">
        <f>'Equity Volume Data'!AV455*'Equity Price Data'!AY456</f>
        <v>0</v>
      </c>
      <c r="AT455" s="30">
        <f>'Equity Volume Data'!AW455*'Equity Price Data'!AZ456</f>
        <v>0</v>
      </c>
      <c r="AU455" s="30">
        <f>'Equity Volume Data'!AX455*'Equity Price Data'!BA456</f>
        <v>0</v>
      </c>
      <c r="AV455" s="30">
        <f>'Equity Volume Data'!AY455*'Equity Price Data'!BB456</f>
        <v>0</v>
      </c>
      <c r="AW455" s="30">
        <f>'Equity Volume Data'!AZ455*'Equity Price Data'!BC456</f>
        <v>0</v>
      </c>
      <c r="AX455" s="30">
        <f>'Equity Volume Data'!BA455*'Equity Price Data'!BD456</f>
        <v>0</v>
      </c>
      <c r="AY455" s="30">
        <f>'Equity Volume Data'!BB455*'Equity Price Data'!BE456</f>
        <v>0</v>
      </c>
      <c r="AZ455" s="30">
        <f>'Equity Volume Data'!BC455*'Equity Price Data'!BF456</f>
        <v>0</v>
      </c>
      <c r="BA455" s="30">
        <f>'Equity Volume Data'!BD455*'Equity Price Data'!BG456</f>
        <v>0</v>
      </c>
      <c r="BB455" s="30">
        <f>'Equity Volume Data'!BE455*'Equity Price Data'!BH456</f>
        <v>0</v>
      </c>
      <c r="BC455" s="30">
        <f>'Equity Volume Data'!BF455*'Equity Price Data'!BI456</f>
        <v>0</v>
      </c>
      <c r="BD455" s="30">
        <f>'Equity Volume Data'!BG455*'Equity Price Data'!BJ456</f>
        <v>0</v>
      </c>
      <c r="BE455" s="30">
        <f>'Equity Volume Data'!BH455*'Equity Price Data'!BK456</f>
        <v>0</v>
      </c>
      <c r="BF455" s="30">
        <f>'Equity Volume Data'!BI455*'Equity Price Data'!BL456</f>
        <v>0</v>
      </c>
      <c r="BG455" s="30">
        <f>'Equity Volume Data'!BJ455*'Equity Price Data'!BM456</f>
        <v>0</v>
      </c>
      <c r="BH455" s="30">
        <f>'Equity Volume Data'!BK455*'Equity Price Data'!BN456</f>
        <v>0</v>
      </c>
      <c r="BI455" s="30">
        <f>'Equity Volume Data'!BL455*'Equity Price Data'!BO456</f>
        <v>0</v>
      </c>
      <c r="BJ455" s="30">
        <f>'Equity Volume Data'!BM455*'Equity Price Data'!BP456</f>
        <v>0</v>
      </c>
      <c r="BK455" s="30">
        <f>'Equity Volume Data'!BN455*'Equity Price Data'!BQ456</f>
        <v>0</v>
      </c>
      <c r="BL455" s="30">
        <f>'Equity Volume Data'!BO455*'Equity Price Data'!BR456</f>
        <v>0</v>
      </c>
      <c r="BM455" s="30">
        <f>'Equity Volume Data'!BP455*'Equity Price Data'!BS456</f>
        <v>0</v>
      </c>
      <c r="BN455" s="30">
        <f>'Equity Volume Data'!BQ455*'Equity Price Data'!BT456</f>
        <v>0</v>
      </c>
      <c r="BO455" s="30">
        <v>65366.0</v>
      </c>
    </row>
    <row r="456">
      <c r="A456" s="25" t="str">
        <f>'Equity Price Data'!A457</f>
        <v/>
      </c>
      <c r="B456" s="29">
        <f t="shared" si="1"/>
        <v>65366</v>
      </c>
      <c r="C456" s="30">
        <f>'Equity Volume Data'!F456*'Equity Price Data'!I457</f>
        <v>0</v>
      </c>
      <c r="D456" s="30">
        <f>'Equity Volume Data'!G456*'Equity Price Data'!J457</f>
        <v>0</v>
      </c>
      <c r="E456" s="30">
        <f>'Equity Volume Data'!H456*'Equity Price Data'!K457</f>
        <v>0</v>
      </c>
      <c r="F456" s="30">
        <f>'Equity Volume Data'!I456*'Equity Price Data'!L457</f>
        <v>0</v>
      </c>
      <c r="G456" s="30">
        <f>'Equity Volume Data'!J456*'Equity Price Data'!M457</f>
        <v>0</v>
      </c>
      <c r="H456" s="30">
        <f>'Equity Volume Data'!K456*'Equity Price Data'!N457</f>
        <v>0</v>
      </c>
      <c r="I456" s="30">
        <f>'Equity Volume Data'!L456*'Equity Price Data'!O457</f>
        <v>0</v>
      </c>
      <c r="J456" s="30">
        <f>'Equity Volume Data'!M456*'Equity Price Data'!P457</f>
        <v>0</v>
      </c>
      <c r="K456" s="30">
        <f>'Equity Volume Data'!N456*'Equity Price Data'!Q457</f>
        <v>0</v>
      </c>
      <c r="L456" s="30">
        <f>'Equity Volume Data'!O456*'Equity Price Data'!R457</f>
        <v>0</v>
      </c>
      <c r="M456" s="30">
        <f>'Equity Volume Data'!P456*'Equity Price Data'!S457</f>
        <v>0</v>
      </c>
      <c r="N456" s="30">
        <f>'Equity Volume Data'!Q456*'Equity Price Data'!T457</f>
        <v>0</v>
      </c>
      <c r="O456" s="30">
        <f>'Equity Volume Data'!R456*'Equity Price Data'!U457</f>
        <v>0</v>
      </c>
      <c r="P456" s="30">
        <f>'Equity Volume Data'!S456*'Equity Price Data'!V457</f>
        <v>0</v>
      </c>
      <c r="Q456" s="30">
        <f>'Equity Volume Data'!T456*'Equity Price Data'!W457</f>
        <v>0</v>
      </c>
      <c r="R456" s="30">
        <f>'Equity Volume Data'!U456*'Equity Price Data'!X457</f>
        <v>0</v>
      </c>
      <c r="S456" s="30">
        <f>'Equity Volume Data'!V456*'Equity Price Data'!Y457</f>
        <v>0</v>
      </c>
      <c r="T456" s="30">
        <f>'Equity Volume Data'!W456*'Equity Price Data'!Z457</f>
        <v>0</v>
      </c>
      <c r="U456" s="30">
        <f>'Equity Volume Data'!X456*'Equity Price Data'!AA457</f>
        <v>0</v>
      </c>
      <c r="V456" s="30">
        <f>'Equity Volume Data'!Y456*'Equity Price Data'!AB457</f>
        <v>0</v>
      </c>
      <c r="W456" s="30">
        <f>'Equity Volume Data'!Z456*'Equity Price Data'!AC457</f>
        <v>0</v>
      </c>
      <c r="X456" s="30">
        <f>'Equity Volume Data'!AA456*'Equity Price Data'!AD457</f>
        <v>0</v>
      </c>
      <c r="Y456" s="30">
        <f>'Equity Volume Data'!AB456*'Equity Price Data'!AE457</f>
        <v>0</v>
      </c>
      <c r="Z456" s="30">
        <f>'Equity Volume Data'!AC456*'Equity Price Data'!AF457</f>
        <v>0</v>
      </c>
      <c r="AA456" s="30">
        <f>'Equity Volume Data'!AD456*'Equity Price Data'!AG457</f>
        <v>0</v>
      </c>
      <c r="AB456" s="30">
        <f>'Equity Volume Data'!AE456*'Equity Price Data'!AH457</f>
        <v>0</v>
      </c>
      <c r="AC456" s="30">
        <f>'Equity Volume Data'!AF456*'Equity Price Data'!AI457</f>
        <v>0</v>
      </c>
      <c r="AD456" s="30">
        <f>'Equity Volume Data'!AG456*'Equity Price Data'!AJ457</f>
        <v>0</v>
      </c>
      <c r="AE456" s="30">
        <f>'Equity Volume Data'!AH456*'Equity Price Data'!AK457</f>
        <v>0</v>
      </c>
      <c r="AF456" s="30">
        <f>'Equity Volume Data'!AI456*'Equity Price Data'!AL457</f>
        <v>0</v>
      </c>
      <c r="AG456" s="30">
        <f>'Equity Volume Data'!AJ456*'Equity Price Data'!AM457</f>
        <v>0</v>
      </c>
      <c r="AH456" s="30">
        <f>'Equity Volume Data'!AK456*'Equity Price Data'!AN457</f>
        <v>0</v>
      </c>
      <c r="AI456" s="30">
        <f>'Equity Volume Data'!AL456*'Equity Price Data'!AO457</f>
        <v>0</v>
      </c>
      <c r="AJ456" s="30">
        <f>'Equity Volume Data'!AM456*'Equity Price Data'!AP457</f>
        <v>0</v>
      </c>
      <c r="AK456" s="30">
        <f>'Equity Volume Data'!AN456*'Equity Price Data'!AQ457</f>
        <v>0</v>
      </c>
      <c r="AL456" s="30">
        <f>'Equity Volume Data'!AO456*'Equity Price Data'!AR457</f>
        <v>0</v>
      </c>
      <c r="AM456" s="30">
        <f>'Equity Volume Data'!AP456*'Equity Price Data'!AS457</f>
        <v>0</v>
      </c>
      <c r="AN456" s="30">
        <f>'Equity Volume Data'!AQ456*'Equity Price Data'!AT457</f>
        <v>0</v>
      </c>
      <c r="AO456" s="30">
        <f>'Equity Volume Data'!AR456*'Equity Price Data'!AU457</f>
        <v>0</v>
      </c>
      <c r="AP456" s="30">
        <f>'Equity Volume Data'!AS456*'Equity Price Data'!AV457</f>
        <v>0</v>
      </c>
      <c r="AQ456" s="30">
        <f>'Equity Volume Data'!AT456*'Equity Price Data'!AW457</f>
        <v>0</v>
      </c>
      <c r="AR456" s="30">
        <f>'Equity Volume Data'!AU456*'Equity Price Data'!AX457</f>
        <v>0</v>
      </c>
      <c r="AS456" s="30">
        <f>'Equity Volume Data'!AV456*'Equity Price Data'!AY457</f>
        <v>0</v>
      </c>
      <c r="AT456" s="30">
        <f>'Equity Volume Data'!AW456*'Equity Price Data'!AZ457</f>
        <v>0</v>
      </c>
      <c r="AU456" s="30">
        <f>'Equity Volume Data'!AX456*'Equity Price Data'!BA457</f>
        <v>0</v>
      </c>
      <c r="AV456" s="30">
        <f>'Equity Volume Data'!AY456*'Equity Price Data'!BB457</f>
        <v>0</v>
      </c>
      <c r="AW456" s="30">
        <f>'Equity Volume Data'!AZ456*'Equity Price Data'!BC457</f>
        <v>0</v>
      </c>
      <c r="AX456" s="30">
        <f>'Equity Volume Data'!BA456*'Equity Price Data'!BD457</f>
        <v>0</v>
      </c>
      <c r="AY456" s="30">
        <f>'Equity Volume Data'!BB456*'Equity Price Data'!BE457</f>
        <v>0</v>
      </c>
      <c r="AZ456" s="30">
        <f>'Equity Volume Data'!BC456*'Equity Price Data'!BF457</f>
        <v>0</v>
      </c>
      <c r="BA456" s="30">
        <f>'Equity Volume Data'!BD456*'Equity Price Data'!BG457</f>
        <v>0</v>
      </c>
      <c r="BB456" s="30">
        <f>'Equity Volume Data'!BE456*'Equity Price Data'!BH457</f>
        <v>0</v>
      </c>
      <c r="BC456" s="30">
        <f>'Equity Volume Data'!BF456*'Equity Price Data'!BI457</f>
        <v>0</v>
      </c>
      <c r="BD456" s="30">
        <f>'Equity Volume Data'!BG456*'Equity Price Data'!BJ457</f>
        <v>0</v>
      </c>
      <c r="BE456" s="30">
        <f>'Equity Volume Data'!BH456*'Equity Price Data'!BK457</f>
        <v>0</v>
      </c>
      <c r="BF456" s="30">
        <f>'Equity Volume Data'!BI456*'Equity Price Data'!BL457</f>
        <v>0</v>
      </c>
      <c r="BG456" s="30">
        <f>'Equity Volume Data'!BJ456*'Equity Price Data'!BM457</f>
        <v>0</v>
      </c>
      <c r="BH456" s="30">
        <f>'Equity Volume Data'!BK456*'Equity Price Data'!BN457</f>
        <v>0</v>
      </c>
      <c r="BI456" s="30">
        <f>'Equity Volume Data'!BL456*'Equity Price Data'!BO457</f>
        <v>0</v>
      </c>
      <c r="BJ456" s="30">
        <f>'Equity Volume Data'!BM456*'Equity Price Data'!BP457</f>
        <v>0</v>
      </c>
      <c r="BK456" s="30">
        <f>'Equity Volume Data'!BN456*'Equity Price Data'!BQ457</f>
        <v>0</v>
      </c>
      <c r="BL456" s="30">
        <f>'Equity Volume Data'!BO456*'Equity Price Data'!BR457</f>
        <v>0</v>
      </c>
      <c r="BM456" s="30">
        <f>'Equity Volume Data'!BP456*'Equity Price Data'!BS457</f>
        <v>0</v>
      </c>
      <c r="BN456" s="30">
        <f>'Equity Volume Data'!BQ456*'Equity Price Data'!BT457</f>
        <v>0</v>
      </c>
      <c r="BO456" s="30">
        <v>65366.0</v>
      </c>
    </row>
    <row r="457">
      <c r="A457" s="25" t="str">
        <f>'Equity Price Data'!A458</f>
        <v/>
      </c>
      <c r="B457" s="29">
        <f t="shared" si="1"/>
        <v>65366</v>
      </c>
      <c r="C457" s="30">
        <f>'Equity Volume Data'!F457*'Equity Price Data'!I458</f>
        <v>0</v>
      </c>
      <c r="D457" s="30">
        <f>'Equity Volume Data'!G457*'Equity Price Data'!J458</f>
        <v>0</v>
      </c>
      <c r="E457" s="30">
        <f>'Equity Volume Data'!H457*'Equity Price Data'!K458</f>
        <v>0</v>
      </c>
      <c r="F457" s="30">
        <f>'Equity Volume Data'!I457*'Equity Price Data'!L458</f>
        <v>0</v>
      </c>
      <c r="G457" s="30">
        <f>'Equity Volume Data'!J457*'Equity Price Data'!M458</f>
        <v>0</v>
      </c>
      <c r="H457" s="30">
        <f>'Equity Volume Data'!K457*'Equity Price Data'!N458</f>
        <v>0</v>
      </c>
      <c r="I457" s="30">
        <f>'Equity Volume Data'!L457*'Equity Price Data'!O458</f>
        <v>0</v>
      </c>
      <c r="J457" s="30">
        <f>'Equity Volume Data'!M457*'Equity Price Data'!P458</f>
        <v>0</v>
      </c>
      <c r="K457" s="30">
        <f>'Equity Volume Data'!N457*'Equity Price Data'!Q458</f>
        <v>0</v>
      </c>
      <c r="L457" s="30">
        <f>'Equity Volume Data'!O457*'Equity Price Data'!R458</f>
        <v>0</v>
      </c>
      <c r="M457" s="30">
        <f>'Equity Volume Data'!P457*'Equity Price Data'!S458</f>
        <v>0</v>
      </c>
      <c r="N457" s="30">
        <f>'Equity Volume Data'!Q457*'Equity Price Data'!T458</f>
        <v>0</v>
      </c>
      <c r="O457" s="30">
        <f>'Equity Volume Data'!R457*'Equity Price Data'!U458</f>
        <v>0</v>
      </c>
      <c r="P457" s="30">
        <f>'Equity Volume Data'!S457*'Equity Price Data'!V458</f>
        <v>0</v>
      </c>
      <c r="Q457" s="30">
        <f>'Equity Volume Data'!T457*'Equity Price Data'!W458</f>
        <v>0</v>
      </c>
      <c r="R457" s="30">
        <f>'Equity Volume Data'!U457*'Equity Price Data'!X458</f>
        <v>0</v>
      </c>
      <c r="S457" s="30">
        <f>'Equity Volume Data'!V457*'Equity Price Data'!Y458</f>
        <v>0</v>
      </c>
      <c r="T457" s="30">
        <f>'Equity Volume Data'!W457*'Equity Price Data'!Z458</f>
        <v>0</v>
      </c>
      <c r="U457" s="30">
        <f>'Equity Volume Data'!X457*'Equity Price Data'!AA458</f>
        <v>0</v>
      </c>
      <c r="V457" s="30">
        <f>'Equity Volume Data'!Y457*'Equity Price Data'!AB458</f>
        <v>0</v>
      </c>
      <c r="W457" s="30">
        <f>'Equity Volume Data'!Z457*'Equity Price Data'!AC458</f>
        <v>0</v>
      </c>
      <c r="X457" s="30">
        <f>'Equity Volume Data'!AA457*'Equity Price Data'!AD458</f>
        <v>0</v>
      </c>
      <c r="Y457" s="30">
        <f>'Equity Volume Data'!AB457*'Equity Price Data'!AE458</f>
        <v>0</v>
      </c>
      <c r="Z457" s="30">
        <f>'Equity Volume Data'!AC457*'Equity Price Data'!AF458</f>
        <v>0</v>
      </c>
      <c r="AA457" s="30">
        <f>'Equity Volume Data'!AD457*'Equity Price Data'!AG458</f>
        <v>0</v>
      </c>
      <c r="AB457" s="30">
        <f>'Equity Volume Data'!AE457*'Equity Price Data'!AH458</f>
        <v>0</v>
      </c>
      <c r="AC457" s="30">
        <f>'Equity Volume Data'!AF457*'Equity Price Data'!AI458</f>
        <v>0</v>
      </c>
      <c r="AD457" s="30">
        <f>'Equity Volume Data'!AG457*'Equity Price Data'!AJ458</f>
        <v>0</v>
      </c>
      <c r="AE457" s="30">
        <f>'Equity Volume Data'!AH457*'Equity Price Data'!AK458</f>
        <v>0</v>
      </c>
      <c r="AF457" s="30">
        <f>'Equity Volume Data'!AI457*'Equity Price Data'!AL458</f>
        <v>0</v>
      </c>
      <c r="AG457" s="30">
        <f>'Equity Volume Data'!AJ457*'Equity Price Data'!AM458</f>
        <v>0</v>
      </c>
      <c r="AH457" s="30">
        <f>'Equity Volume Data'!AK457*'Equity Price Data'!AN458</f>
        <v>0</v>
      </c>
      <c r="AI457" s="30">
        <f>'Equity Volume Data'!AL457*'Equity Price Data'!AO458</f>
        <v>0</v>
      </c>
      <c r="AJ457" s="30">
        <f>'Equity Volume Data'!AM457*'Equity Price Data'!AP458</f>
        <v>0</v>
      </c>
      <c r="AK457" s="30">
        <f>'Equity Volume Data'!AN457*'Equity Price Data'!AQ458</f>
        <v>0</v>
      </c>
      <c r="AL457" s="30">
        <f>'Equity Volume Data'!AO457*'Equity Price Data'!AR458</f>
        <v>0</v>
      </c>
      <c r="AM457" s="30">
        <f>'Equity Volume Data'!AP457*'Equity Price Data'!AS458</f>
        <v>0</v>
      </c>
      <c r="AN457" s="30">
        <f>'Equity Volume Data'!AQ457*'Equity Price Data'!AT458</f>
        <v>0</v>
      </c>
      <c r="AO457" s="30">
        <f>'Equity Volume Data'!AR457*'Equity Price Data'!AU458</f>
        <v>0</v>
      </c>
      <c r="AP457" s="30">
        <f>'Equity Volume Data'!AS457*'Equity Price Data'!AV458</f>
        <v>0</v>
      </c>
      <c r="AQ457" s="30">
        <f>'Equity Volume Data'!AT457*'Equity Price Data'!AW458</f>
        <v>0</v>
      </c>
      <c r="AR457" s="30">
        <f>'Equity Volume Data'!AU457*'Equity Price Data'!AX458</f>
        <v>0</v>
      </c>
      <c r="AS457" s="30">
        <f>'Equity Volume Data'!AV457*'Equity Price Data'!AY458</f>
        <v>0</v>
      </c>
      <c r="AT457" s="30">
        <f>'Equity Volume Data'!AW457*'Equity Price Data'!AZ458</f>
        <v>0</v>
      </c>
      <c r="AU457" s="30">
        <f>'Equity Volume Data'!AX457*'Equity Price Data'!BA458</f>
        <v>0</v>
      </c>
      <c r="AV457" s="30">
        <f>'Equity Volume Data'!AY457*'Equity Price Data'!BB458</f>
        <v>0</v>
      </c>
      <c r="AW457" s="30">
        <f>'Equity Volume Data'!AZ457*'Equity Price Data'!BC458</f>
        <v>0</v>
      </c>
      <c r="AX457" s="30">
        <f>'Equity Volume Data'!BA457*'Equity Price Data'!BD458</f>
        <v>0</v>
      </c>
      <c r="AY457" s="30">
        <f>'Equity Volume Data'!BB457*'Equity Price Data'!BE458</f>
        <v>0</v>
      </c>
      <c r="AZ457" s="30">
        <f>'Equity Volume Data'!BC457*'Equity Price Data'!BF458</f>
        <v>0</v>
      </c>
      <c r="BA457" s="30">
        <f>'Equity Volume Data'!BD457*'Equity Price Data'!BG458</f>
        <v>0</v>
      </c>
      <c r="BB457" s="30">
        <f>'Equity Volume Data'!BE457*'Equity Price Data'!BH458</f>
        <v>0</v>
      </c>
      <c r="BC457" s="30">
        <f>'Equity Volume Data'!BF457*'Equity Price Data'!BI458</f>
        <v>0</v>
      </c>
      <c r="BD457" s="30">
        <f>'Equity Volume Data'!BG457*'Equity Price Data'!BJ458</f>
        <v>0</v>
      </c>
      <c r="BE457" s="30">
        <f>'Equity Volume Data'!BH457*'Equity Price Data'!BK458</f>
        <v>0</v>
      </c>
      <c r="BF457" s="30">
        <f>'Equity Volume Data'!BI457*'Equity Price Data'!BL458</f>
        <v>0</v>
      </c>
      <c r="BG457" s="30">
        <f>'Equity Volume Data'!BJ457*'Equity Price Data'!BM458</f>
        <v>0</v>
      </c>
      <c r="BH457" s="30">
        <f>'Equity Volume Data'!BK457*'Equity Price Data'!BN458</f>
        <v>0</v>
      </c>
      <c r="BI457" s="30">
        <f>'Equity Volume Data'!BL457*'Equity Price Data'!BO458</f>
        <v>0</v>
      </c>
      <c r="BJ457" s="30">
        <f>'Equity Volume Data'!BM457*'Equity Price Data'!BP458</f>
        <v>0</v>
      </c>
      <c r="BK457" s="30">
        <f>'Equity Volume Data'!BN457*'Equity Price Data'!BQ458</f>
        <v>0</v>
      </c>
      <c r="BL457" s="30">
        <f>'Equity Volume Data'!BO457*'Equity Price Data'!BR458</f>
        <v>0</v>
      </c>
      <c r="BM457" s="30">
        <f>'Equity Volume Data'!BP457*'Equity Price Data'!BS458</f>
        <v>0</v>
      </c>
      <c r="BN457" s="30">
        <f>'Equity Volume Data'!BQ457*'Equity Price Data'!BT458</f>
        <v>0</v>
      </c>
      <c r="BO457" s="30">
        <v>65366.0</v>
      </c>
    </row>
    <row r="458">
      <c r="A458" s="25" t="str">
        <f>'Equity Price Data'!A459</f>
        <v/>
      </c>
      <c r="B458" s="29">
        <f t="shared" si="1"/>
        <v>65366</v>
      </c>
      <c r="C458" s="30">
        <f>'Equity Volume Data'!F458*'Equity Price Data'!I459</f>
        <v>0</v>
      </c>
      <c r="D458" s="30">
        <f>'Equity Volume Data'!G458*'Equity Price Data'!J459</f>
        <v>0</v>
      </c>
      <c r="E458" s="30">
        <f>'Equity Volume Data'!H458*'Equity Price Data'!K459</f>
        <v>0</v>
      </c>
      <c r="F458" s="30">
        <f>'Equity Volume Data'!I458*'Equity Price Data'!L459</f>
        <v>0</v>
      </c>
      <c r="G458" s="30">
        <f>'Equity Volume Data'!J458*'Equity Price Data'!M459</f>
        <v>0</v>
      </c>
      <c r="H458" s="30">
        <f>'Equity Volume Data'!K458*'Equity Price Data'!N459</f>
        <v>0</v>
      </c>
      <c r="I458" s="30">
        <f>'Equity Volume Data'!L458*'Equity Price Data'!O459</f>
        <v>0</v>
      </c>
      <c r="J458" s="30">
        <f>'Equity Volume Data'!M458*'Equity Price Data'!P459</f>
        <v>0</v>
      </c>
      <c r="K458" s="30">
        <f>'Equity Volume Data'!N458*'Equity Price Data'!Q459</f>
        <v>0</v>
      </c>
      <c r="L458" s="30">
        <f>'Equity Volume Data'!O458*'Equity Price Data'!R459</f>
        <v>0</v>
      </c>
      <c r="M458" s="30">
        <f>'Equity Volume Data'!P458*'Equity Price Data'!S459</f>
        <v>0</v>
      </c>
      <c r="N458" s="30">
        <f>'Equity Volume Data'!Q458*'Equity Price Data'!T459</f>
        <v>0</v>
      </c>
      <c r="O458" s="30">
        <f>'Equity Volume Data'!R458*'Equity Price Data'!U459</f>
        <v>0</v>
      </c>
      <c r="P458" s="30">
        <f>'Equity Volume Data'!S458*'Equity Price Data'!V459</f>
        <v>0</v>
      </c>
      <c r="Q458" s="30">
        <f>'Equity Volume Data'!T458*'Equity Price Data'!W459</f>
        <v>0</v>
      </c>
      <c r="R458" s="30">
        <f>'Equity Volume Data'!U458*'Equity Price Data'!X459</f>
        <v>0</v>
      </c>
      <c r="S458" s="30">
        <f>'Equity Volume Data'!V458*'Equity Price Data'!Y459</f>
        <v>0</v>
      </c>
      <c r="T458" s="30">
        <f>'Equity Volume Data'!W458*'Equity Price Data'!Z459</f>
        <v>0</v>
      </c>
      <c r="U458" s="30">
        <f>'Equity Volume Data'!X458*'Equity Price Data'!AA459</f>
        <v>0</v>
      </c>
      <c r="V458" s="30">
        <f>'Equity Volume Data'!Y458*'Equity Price Data'!AB459</f>
        <v>0</v>
      </c>
      <c r="W458" s="30">
        <f>'Equity Volume Data'!Z458*'Equity Price Data'!AC459</f>
        <v>0</v>
      </c>
      <c r="X458" s="30">
        <f>'Equity Volume Data'!AA458*'Equity Price Data'!AD459</f>
        <v>0</v>
      </c>
      <c r="Y458" s="30">
        <f>'Equity Volume Data'!AB458*'Equity Price Data'!AE459</f>
        <v>0</v>
      </c>
      <c r="Z458" s="30">
        <f>'Equity Volume Data'!AC458*'Equity Price Data'!AF459</f>
        <v>0</v>
      </c>
      <c r="AA458" s="30">
        <f>'Equity Volume Data'!AD458*'Equity Price Data'!AG459</f>
        <v>0</v>
      </c>
      <c r="AB458" s="30">
        <f>'Equity Volume Data'!AE458*'Equity Price Data'!AH459</f>
        <v>0</v>
      </c>
      <c r="AC458" s="30">
        <f>'Equity Volume Data'!AF458*'Equity Price Data'!AI459</f>
        <v>0</v>
      </c>
      <c r="AD458" s="30">
        <f>'Equity Volume Data'!AG458*'Equity Price Data'!AJ459</f>
        <v>0</v>
      </c>
      <c r="AE458" s="30">
        <f>'Equity Volume Data'!AH458*'Equity Price Data'!AK459</f>
        <v>0</v>
      </c>
      <c r="AF458" s="30">
        <f>'Equity Volume Data'!AI458*'Equity Price Data'!AL459</f>
        <v>0</v>
      </c>
      <c r="AG458" s="30">
        <f>'Equity Volume Data'!AJ458*'Equity Price Data'!AM459</f>
        <v>0</v>
      </c>
      <c r="AH458" s="30">
        <f>'Equity Volume Data'!AK458*'Equity Price Data'!AN459</f>
        <v>0</v>
      </c>
      <c r="AI458" s="30">
        <f>'Equity Volume Data'!AL458*'Equity Price Data'!AO459</f>
        <v>0</v>
      </c>
      <c r="AJ458" s="30">
        <f>'Equity Volume Data'!AM458*'Equity Price Data'!AP459</f>
        <v>0</v>
      </c>
      <c r="AK458" s="30">
        <f>'Equity Volume Data'!AN458*'Equity Price Data'!AQ459</f>
        <v>0</v>
      </c>
      <c r="AL458" s="30">
        <f>'Equity Volume Data'!AO458*'Equity Price Data'!AR459</f>
        <v>0</v>
      </c>
      <c r="AM458" s="30">
        <f>'Equity Volume Data'!AP458*'Equity Price Data'!AS459</f>
        <v>0</v>
      </c>
      <c r="AN458" s="30">
        <f>'Equity Volume Data'!AQ458*'Equity Price Data'!AT459</f>
        <v>0</v>
      </c>
      <c r="AO458" s="30">
        <f>'Equity Volume Data'!AR458*'Equity Price Data'!AU459</f>
        <v>0</v>
      </c>
      <c r="AP458" s="30">
        <f>'Equity Volume Data'!AS458*'Equity Price Data'!AV459</f>
        <v>0</v>
      </c>
      <c r="AQ458" s="30">
        <f>'Equity Volume Data'!AT458*'Equity Price Data'!AW459</f>
        <v>0</v>
      </c>
      <c r="AR458" s="30">
        <f>'Equity Volume Data'!AU458*'Equity Price Data'!AX459</f>
        <v>0</v>
      </c>
      <c r="AS458" s="30">
        <f>'Equity Volume Data'!AV458*'Equity Price Data'!AY459</f>
        <v>0</v>
      </c>
      <c r="AT458" s="30">
        <f>'Equity Volume Data'!AW458*'Equity Price Data'!AZ459</f>
        <v>0</v>
      </c>
      <c r="AU458" s="30">
        <f>'Equity Volume Data'!AX458*'Equity Price Data'!BA459</f>
        <v>0</v>
      </c>
      <c r="AV458" s="30">
        <f>'Equity Volume Data'!AY458*'Equity Price Data'!BB459</f>
        <v>0</v>
      </c>
      <c r="AW458" s="30">
        <f>'Equity Volume Data'!AZ458*'Equity Price Data'!BC459</f>
        <v>0</v>
      </c>
      <c r="AX458" s="30">
        <f>'Equity Volume Data'!BA458*'Equity Price Data'!BD459</f>
        <v>0</v>
      </c>
      <c r="AY458" s="30">
        <f>'Equity Volume Data'!BB458*'Equity Price Data'!BE459</f>
        <v>0</v>
      </c>
      <c r="AZ458" s="30">
        <f>'Equity Volume Data'!BC458*'Equity Price Data'!BF459</f>
        <v>0</v>
      </c>
      <c r="BA458" s="30">
        <f>'Equity Volume Data'!BD458*'Equity Price Data'!BG459</f>
        <v>0</v>
      </c>
      <c r="BB458" s="30">
        <f>'Equity Volume Data'!BE458*'Equity Price Data'!BH459</f>
        <v>0</v>
      </c>
      <c r="BC458" s="30">
        <f>'Equity Volume Data'!BF458*'Equity Price Data'!BI459</f>
        <v>0</v>
      </c>
      <c r="BD458" s="30">
        <f>'Equity Volume Data'!BG458*'Equity Price Data'!BJ459</f>
        <v>0</v>
      </c>
      <c r="BE458" s="30">
        <f>'Equity Volume Data'!BH458*'Equity Price Data'!BK459</f>
        <v>0</v>
      </c>
      <c r="BF458" s="30">
        <f>'Equity Volume Data'!BI458*'Equity Price Data'!BL459</f>
        <v>0</v>
      </c>
      <c r="BG458" s="30">
        <f>'Equity Volume Data'!BJ458*'Equity Price Data'!BM459</f>
        <v>0</v>
      </c>
      <c r="BH458" s="30">
        <f>'Equity Volume Data'!BK458*'Equity Price Data'!BN459</f>
        <v>0</v>
      </c>
      <c r="BI458" s="30">
        <f>'Equity Volume Data'!BL458*'Equity Price Data'!BO459</f>
        <v>0</v>
      </c>
      <c r="BJ458" s="30">
        <f>'Equity Volume Data'!BM458*'Equity Price Data'!BP459</f>
        <v>0</v>
      </c>
      <c r="BK458" s="30">
        <f>'Equity Volume Data'!BN458*'Equity Price Data'!BQ459</f>
        <v>0</v>
      </c>
      <c r="BL458" s="30">
        <f>'Equity Volume Data'!BO458*'Equity Price Data'!BR459</f>
        <v>0</v>
      </c>
      <c r="BM458" s="30">
        <f>'Equity Volume Data'!BP458*'Equity Price Data'!BS459</f>
        <v>0</v>
      </c>
      <c r="BN458" s="30">
        <f>'Equity Volume Data'!BQ458*'Equity Price Data'!BT459</f>
        <v>0</v>
      </c>
      <c r="BO458" s="30">
        <v>65366.0</v>
      </c>
    </row>
    <row r="459">
      <c r="A459" s="25" t="str">
        <f>'Equity Price Data'!A460</f>
        <v/>
      </c>
      <c r="B459" s="29">
        <f t="shared" si="1"/>
        <v>65366</v>
      </c>
      <c r="C459" s="30">
        <f>'Equity Volume Data'!F459*'Equity Price Data'!I460</f>
        <v>0</v>
      </c>
      <c r="D459" s="30">
        <f>'Equity Volume Data'!G459*'Equity Price Data'!J460</f>
        <v>0</v>
      </c>
      <c r="E459" s="30">
        <f>'Equity Volume Data'!H459*'Equity Price Data'!K460</f>
        <v>0</v>
      </c>
      <c r="F459" s="30">
        <f>'Equity Volume Data'!I459*'Equity Price Data'!L460</f>
        <v>0</v>
      </c>
      <c r="G459" s="30">
        <f>'Equity Volume Data'!J459*'Equity Price Data'!M460</f>
        <v>0</v>
      </c>
      <c r="H459" s="30">
        <f>'Equity Volume Data'!K459*'Equity Price Data'!N460</f>
        <v>0</v>
      </c>
      <c r="I459" s="30">
        <f>'Equity Volume Data'!L459*'Equity Price Data'!O460</f>
        <v>0</v>
      </c>
      <c r="J459" s="30">
        <f>'Equity Volume Data'!M459*'Equity Price Data'!P460</f>
        <v>0</v>
      </c>
      <c r="K459" s="30">
        <f>'Equity Volume Data'!N459*'Equity Price Data'!Q460</f>
        <v>0</v>
      </c>
      <c r="L459" s="30">
        <f>'Equity Volume Data'!O459*'Equity Price Data'!R460</f>
        <v>0</v>
      </c>
      <c r="M459" s="30">
        <f>'Equity Volume Data'!P459*'Equity Price Data'!S460</f>
        <v>0</v>
      </c>
      <c r="N459" s="30">
        <f>'Equity Volume Data'!Q459*'Equity Price Data'!T460</f>
        <v>0</v>
      </c>
      <c r="O459" s="30">
        <f>'Equity Volume Data'!R459*'Equity Price Data'!U460</f>
        <v>0</v>
      </c>
      <c r="P459" s="30">
        <f>'Equity Volume Data'!S459*'Equity Price Data'!V460</f>
        <v>0</v>
      </c>
      <c r="Q459" s="30">
        <f>'Equity Volume Data'!T459*'Equity Price Data'!W460</f>
        <v>0</v>
      </c>
      <c r="R459" s="30">
        <f>'Equity Volume Data'!U459*'Equity Price Data'!X460</f>
        <v>0</v>
      </c>
      <c r="S459" s="30">
        <f>'Equity Volume Data'!V459*'Equity Price Data'!Y460</f>
        <v>0</v>
      </c>
      <c r="T459" s="30">
        <f>'Equity Volume Data'!W459*'Equity Price Data'!Z460</f>
        <v>0</v>
      </c>
      <c r="U459" s="30">
        <f>'Equity Volume Data'!X459*'Equity Price Data'!AA460</f>
        <v>0</v>
      </c>
      <c r="V459" s="30">
        <f>'Equity Volume Data'!Y459*'Equity Price Data'!AB460</f>
        <v>0</v>
      </c>
      <c r="W459" s="30">
        <f>'Equity Volume Data'!Z459*'Equity Price Data'!AC460</f>
        <v>0</v>
      </c>
      <c r="X459" s="30">
        <f>'Equity Volume Data'!AA459*'Equity Price Data'!AD460</f>
        <v>0</v>
      </c>
      <c r="Y459" s="30">
        <f>'Equity Volume Data'!AB459*'Equity Price Data'!AE460</f>
        <v>0</v>
      </c>
      <c r="Z459" s="30">
        <f>'Equity Volume Data'!AC459*'Equity Price Data'!AF460</f>
        <v>0</v>
      </c>
      <c r="AA459" s="30">
        <f>'Equity Volume Data'!AD459*'Equity Price Data'!AG460</f>
        <v>0</v>
      </c>
      <c r="AB459" s="30">
        <f>'Equity Volume Data'!AE459*'Equity Price Data'!AH460</f>
        <v>0</v>
      </c>
      <c r="AC459" s="30">
        <f>'Equity Volume Data'!AF459*'Equity Price Data'!AI460</f>
        <v>0</v>
      </c>
      <c r="AD459" s="30">
        <f>'Equity Volume Data'!AG459*'Equity Price Data'!AJ460</f>
        <v>0</v>
      </c>
      <c r="AE459" s="30">
        <f>'Equity Volume Data'!AH459*'Equity Price Data'!AK460</f>
        <v>0</v>
      </c>
      <c r="AF459" s="30">
        <f>'Equity Volume Data'!AI459*'Equity Price Data'!AL460</f>
        <v>0</v>
      </c>
      <c r="AG459" s="30">
        <f>'Equity Volume Data'!AJ459*'Equity Price Data'!AM460</f>
        <v>0</v>
      </c>
      <c r="AH459" s="30">
        <f>'Equity Volume Data'!AK459*'Equity Price Data'!AN460</f>
        <v>0</v>
      </c>
      <c r="AI459" s="30">
        <f>'Equity Volume Data'!AL459*'Equity Price Data'!AO460</f>
        <v>0</v>
      </c>
      <c r="AJ459" s="30">
        <f>'Equity Volume Data'!AM459*'Equity Price Data'!AP460</f>
        <v>0</v>
      </c>
      <c r="AK459" s="30">
        <f>'Equity Volume Data'!AN459*'Equity Price Data'!AQ460</f>
        <v>0</v>
      </c>
      <c r="AL459" s="30">
        <f>'Equity Volume Data'!AO459*'Equity Price Data'!AR460</f>
        <v>0</v>
      </c>
      <c r="AM459" s="30">
        <f>'Equity Volume Data'!AP459*'Equity Price Data'!AS460</f>
        <v>0</v>
      </c>
      <c r="AN459" s="30">
        <f>'Equity Volume Data'!AQ459*'Equity Price Data'!AT460</f>
        <v>0</v>
      </c>
      <c r="AO459" s="30">
        <f>'Equity Volume Data'!AR459*'Equity Price Data'!AU460</f>
        <v>0</v>
      </c>
      <c r="AP459" s="30">
        <f>'Equity Volume Data'!AS459*'Equity Price Data'!AV460</f>
        <v>0</v>
      </c>
      <c r="AQ459" s="30">
        <f>'Equity Volume Data'!AT459*'Equity Price Data'!AW460</f>
        <v>0</v>
      </c>
      <c r="AR459" s="30">
        <f>'Equity Volume Data'!AU459*'Equity Price Data'!AX460</f>
        <v>0</v>
      </c>
      <c r="AS459" s="30">
        <f>'Equity Volume Data'!AV459*'Equity Price Data'!AY460</f>
        <v>0</v>
      </c>
      <c r="AT459" s="30">
        <f>'Equity Volume Data'!AW459*'Equity Price Data'!AZ460</f>
        <v>0</v>
      </c>
      <c r="AU459" s="30">
        <f>'Equity Volume Data'!AX459*'Equity Price Data'!BA460</f>
        <v>0</v>
      </c>
      <c r="AV459" s="30">
        <f>'Equity Volume Data'!AY459*'Equity Price Data'!BB460</f>
        <v>0</v>
      </c>
      <c r="AW459" s="30">
        <f>'Equity Volume Data'!AZ459*'Equity Price Data'!BC460</f>
        <v>0</v>
      </c>
      <c r="AX459" s="30">
        <f>'Equity Volume Data'!BA459*'Equity Price Data'!BD460</f>
        <v>0</v>
      </c>
      <c r="AY459" s="30">
        <f>'Equity Volume Data'!BB459*'Equity Price Data'!BE460</f>
        <v>0</v>
      </c>
      <c r="AZ459" s="30">
        <f>'Equity Volume Data'!BC459*'Equity Price Data'!BF460</f>
        <v>0</v>
      </c>
      <c r="BA459" s="30">
        <f>'Equity Volume Data'!BD459*'Equity Price Data'!BG460</f>
        <v>0</v>
      </c>
      <c r="BB459" s="30">
        <f>'Equity Volume Data'!BE459*'Equity Price Data'!BH460</f>
        <v>0</v>
      </c>
      <c r="BC459" s="30">
        <f>'Equity Volume Data'!BF459*'Equity Price Data'!BI460</f>
        <v>0</v>
      </c>
      <c r="BD459" s="30">
        <f>'Equity Volume Data'!BG459*'Equity Price Data'!BJ460</f>
        <v>0</v>
      </c>
      <c r="BE459" s="30">
        <f>'Equity Volume Data'!BH459*'Equity Price Data'!BK460</f>
        <v>0</v>
      </c>
      <c r="BF459" s="30">
        <f>'Equity Volume Data'!BI459*'Equity Price Data'!BL460</f>
        <v>0</v>
      </c>
      <c r="BG459" s="30">
        <f>'Equity Volume Data'!BJ459*'Equity Price Data'!BM460</f>
        <v>0</v>
      </c>
      <c r="BH459" s="30">
        <f>'Equity Volume Data'!BK459*'Equity Price Data'!BN460</f>
        <v>0</v>
      </c>
      <c r="BI459" s="30">
        <f>'Equity Volume Data'!BL459*'Equity Price Data'!BO460</f>
        <v>0</v>
      </c>
      <c r="BJ459" s="30">
        <f>'Equity Volume Data'!BM459*'Equity Price Data'!BP460</f>
        <v>0</v>
      </c>
      <c r="BK459" s="30">
        <f>'Equity Volume Data'!BN459*'Equity Price Data'!BQ460</f>
        <v>0</v>
      </c>
      <c r="BL459" s="30">
        <f>'Equity Volume Data'!BO459*'Equity Price Data'!BR460</f>
        <v>0</v>
      </c>
      <c r="BM459" s="30">
        <f>'Equity Volume Data'!BP459*'Equity Price Data'!BS460</f>
        <v>0</v>
      </c>
      <c r="BN459" s="30">
        <f>'Equity Volume Data'!BQ459*'Equity Price Data'!BT460</f>
        <v>0</v>
      </c>
      <c r="BO459" s="30">
        <v>65366.0</v>
      </c>
    </row>
    <row r="460">
      <c r="A460" s="25" t="str">
        <f>'Equity Price Data'!A461</f>
        <v/>
      </c>
      <c r="B460" s="29">
        <f t="shared" si="1"/>
        <v>65366</v>
      </c>
      <c r="C460" s="30">
        <f>'Equity Volume Data'!F460*'Equity Price Data'!I461</f>
        <v>0</v>
      </c>
      <c r="D460" s="30">
        <f>'Equity Volume Data'!G460*'Equity Price Data'!J461</f>
        <v>0</v>
      </c>
      <c r="E460" s="30">
        <f>'Equity Volume Data'!H460*'Equity Price Data'!K461</f>
        <v>0</v>
      </c>
      <c r="F460" s="30">
        <f>'Equity Volume Data'!I460*'Equity Price Data'!L461</f>
        <v>0</v>
      </c>
      <c r="G460" s="30">
        <f>'Equity Volume Data'!J460*'Equity Price Data'!M461</f>
        <v>0</v>
      </c>
      <c r="H460" s="30">
        <f>'Equity Volume Data'!K460*'Equity Price Data'!N461</f>
        <v>0</v>
      </c>
      <c r="I460" s="30">
        <f>'Equity Volume Data'!L460*'Equity Price Data'!O461</f>
        <v>0</v>
      </c>
      <c r="J460" s="30">
        <f>'Equity Volume Data'!M460*'Equity Price Data'!P461</f>
        <v>0</v>
      </c>
      <c r="K460" s="30">
        <f>'Equity Volume Data'!N460*'Equity Price Data'!Q461</f>
        <v>0</v>
      </c>
      <c r="L460" s="30">
        <f>'Equity Volume Data'!O460*'Equity Price Data'!R461</f>
        <v>0</v>
      </c>
      <c r="M460" s="30">
        <f>'Equity Volume Data'!P460*'Equity Price Data'!S461</f>
        <v>0</v>
      </c>
      <c r="N460" s="30">
        <f>'Equity Volume Data'!Q460*'Equity Price Data'!T461</f>
        <v>0</v>
      </c>
      <c r="O460" s="30">
        <f>'Equity Volume Data'!R460*'Equity Price Data'!U461</f>
        <v>0</v>
      </c>
      <c r="P460" s="30">
        <f>'Equity Volume Data'!S460*'Equity Price Data'!V461</f>
        <v>0</v>
      </c>
      <c r="Q460" s="30">
        <f>'Equity Volume Data'!T460*'Equity Price Data'!W461</f>
        <v>0</v>
      </c>
      <c r="R460" s="30">
        <f>'Equity Volume Data'!U460*'Equity Price Data'!X461</f>
        <v>0</v>
      </c>
      <c r="S460" s="30">
        <f>'Equity Volume Data'!V460*'Equity Price Data'!Y461</f>
        <v>0</v>
      </c>
      <c r="T460" s="30">
        <f>'Equity Volume Data'!W460*'Equity Price Data'!Z461</f>
        <v>0</v>
      </c>
      <c r="U460" s="30">
        <f>'Equity Volume Data'!X460*'Equity Price Data'!AA461</f>
        <v>0</v>
      </c>
      <c r="V460" s="30">
        <f>'Equity Volume Data'!Y460*'Equity Price Data'!AB461</f>
        <v>0</v>
      </c>
      <c r="W460" s="30">
        <f>'Equity Volume Data'!Z460*'Equity Price Data'!AC461</f>
        <v>0</v>
      </c>
      <c r="X460" s="30">
        <f>'Equity Volume Data'!AA460*'Equity Price Data'!AD461</f>
        <v>0</v>
      </c>
      <c r="Y460" s="30">
        <f>'Equity Volume Data'!AB460*'Equity Price Data'!AE461</f>
        <v>0</v>
      </c>
      <c r="Z460" s="30">
        <f>'Equity Volume Data'!AC460*'Equity Price Data'!AF461</f>
        <v>0</v>
      </c>
      <c r="AA460" s="30">
        <f>'Equity Volume Data'!AD460*'Equity Price Data'!AG461</f>
        <v>0</v>
      </c>
      <c r="AB460" s="30">
        <f>'Equity Volume Data'!AE460*'Equity Price Data'!AH461</f>
        <v>0</v>
      </c>
      <c r="AC460" s="30">
        <f>'Equity Volume Data'!AF460*'Equity Price Data'!AI461</f>
        <v>0</v>
      </c>
      <c r="AD460" s="30">
        <f>'Equity Volume Data'!AG460*'Equity Price Data'!AJ461</f>
        <v>0</v>
      </c>
      <c r="AE460" s="30">
        <f>'Equity Volume Data'!AH460*'Equity Price Data'!AK461</f>
        <v>0</v>
      </c>
      <c r="AF460" s="30">
        <f>'Equity Volume Data'!AI460*'Equity Price Data'!AL461</f>
        <v>0</v>
      </c>
      <c r="AG460" s="30">
        <f>'Equity Volume Data'!AJ460*'Equity Price Data'!AM461</f>
        <v>0</v>
      </c>
      <c r="AH460" s="30">
        <f>'Equity Volume Data'!AK460*'Equity Price Data'!AN461</f>
        <v>0</v>
      </c>
      <c r="AI460" s="30">
        <f>'Equity Volume Data'!AL460*'Equity Price Data'!AO461</f>
        <v>0</v>
      </c>
      <c r="AJ460" s="30">
        <f>'Equity Volume Data'!AM460*'Equity Price Data'!AP461</f>
        <v>0</v>
      </c>
      <c r="AK460" s="30">
        <f>'Equity Volume Data'!AN460*'Equity Price Data'!AQ461</f>
        <v>0</v>
      </c>
      <c r="AL460" s="30">
        <f>'Equity Volume Data'!AO460*'Equity Price Data'!AR461</f>
        <v>0</v>
      </c>
      <c r="AM460" s="30">
        <f>'Equity Volume Data'!AP460*'Equity Price Data'!AS461</f>
        <v>0</v>
      </c>
      <c r="AN460" s="30">
        <f>'Equity Volume Data'!AQ460*'Equity Price Data'!AT461</f>
        <v>0</v>
      </c>
      <c r="AO460" s="30">
        <f>'Equity Volume Data'!AR460*'Equity Price Data'!AU461</f>
        <v>0</v>
      </c>
      <c r="AP460" s="30">
        <f>'Equity Volume Data'!AS460*'Equity Price Data'!AV461</f>
        <v>0</v>
      </c>
      <c r="AQ460" s="30">
        <f>'Equity Volume Data'!AT460*'Equity Price Data'!AW461</f>
        <v>0</v>
      </c>
      <c r="AR460" s="30">
        <f>'Equity Volume Data'!AU460*'Equity Price Data'!AX461</f>
        <v>0</v>
      </c>
      <c r="AS460" s="30">
        <f>'Equity Volume Data'!AV460*'Equity Price Data'!AY461</f>
        <v>0</v>
      </c>
      <c r="AT460" s="30">
        <f>'Equity Volume Data'!AW460*'Equity Price Data'!AZ461</f>
        <v>0</v>
      </c>
      <c r="AU460" s="30">
        <f>'Equity Volume Data'!AX460*'Equity Price Data'!BA461</f>
        <v>0</v>
      </c>
      <c r="AV460" s="30">
        <f>'Equity Volume Data'!AY460*'Equity Price Data'!BB461</f>
        <v>0</v>
      </c>
      <c r="AW460" s="30">
        <f>'Equity Volume Data'!AZ460*'Equity Price Data'!BC461</f>
        <v>0</v>
      </c>
      <c r="AX460" s="30">
        <f>'Equity Volume Data'!BA460*'Equity Price Data'!BD461</f>
        <v>0</v>
      </c>
      <c r="AY460" s="30">
        <f>'Equity Volume Data'!BB460*'Equity Price Data'!BE461</f>
        <v>0</v>
      </c>
      <c r="AZ460" s="30">
        <f>'Equity Volume Data'!BC460*'Equity Price Data'!BF461</f>
        <v>0</v>
      </c>
      <c r="BA460" s="30">
        <f>'Equity Volume Data'!BD460*'Equity Price Data'!BG461</f>
        <v>0</v>
      </c>
      <c r="BB460" s="30">
        <f>'Equity Volume Data'!BE460*'Equity Price Data'!BH461</f>
        <v>0</v>
      </c>
      <c r="BC460" s="30">
        <f>'Equity Volume Data'!BF460*'Equity Price Data'!BI461</f>
        <v>0</v>
      </c>
      <c r="BD460" s="30">
        <f>'Equity Volume Data'!BG460*'Equity Price Data'!BJ461</f>
        <v>0</v>
      </c>
      <c r="BE460" s="30">
        <f>'Equity Volume Data'!BH460*'Equity Price Data'!BK461</f>
        <v>0</v>
      </c>
      <c r="BF460" s="30">
        <f>'Equity Volume Data'!BI460*'Equity Price Data'!BL461</f>
        <v>0</v>
      </c>
      <c r="BG460" s="30">
        <f>'Equity Volume Data'!BJ460*'Equity Price Data'!BM461</f>
        <v>0</v>
      </c>
      <c r="BH460" s="30">
        <f>'Equity Volume Data'!BK460*'Equity Price Data'!BN461</f>
        <v>0</v>
      </c>
      <c r="BI460" s="30">
        <f>'Equity Volume Data'!BL460*'Equity Price Data'!BO461</f>
        <v>0</v>
      </c>
      <c r="BJ460" s="30">
        <f>'Equity Volume Data'!BM460*'Equity Price Data'!BP461</f>
        <v>0</v>
      </c>
      <c r="BK460" s="30">
        <f>'Equity Volume Data'!BN460*'Equity Price Data'!BQ461</f>
        <v>0</v>
      </c>
      <c r="BL460" s="30">
        <f>'Equity Volume Data'!BO460*'Equity Price Data'!BR461</f>
        <v>0</v>
      </c>
      <c r="BM460" s="30">
        <f>'Equity Volume Data'!BP460*'Equity Price Data'!BS461</f>
        <v>0</v>
      </c>
      <c r="BN460" s="30">
        <f>'Equity Volume Data'!BQ460*'Equity Price Data'!BT461</f>
        <v>0</v>
      </c>
      <c r="BO460" s="30">
        <v>65366.0</v>
      </c>
    </row>
    <row r="461">
      <c r="A461" s="25" t="str">
        <f>'Equity Price Data'!A462</f>
        <v/>
      </c>
      <c r="B461" s="29">
        <f t="shared" si="1"/>
        <v>65366</v>
      </c>
      <c r="C461" s="30">
        <f>'Equity Volume Data'!F461*'Equity Price Data'!I462</f>
        <v>0</v>
      </c>
      <c r="D461" s="30">
        <f>'Equity Volume Data'!G461*'Equity Price Data'!J462</f>
        <v>0</v>
      </c>
      <c r="E461" s="30">
        <f>'Equity Volume Data'!H461*'Equity Price Data'!K462</f>
        <v>0</v>
      </c>
      <c r="F461" s="30">
        <f>'Equity Volume Data'!I461*'Equity Price Data'!L462</f>
        <v>0</v>
      </c>
      <c r="G461" s="30">
        <f>'Equity Volume Data'!J461*'Equity Price Data'!M462</f>
        <v>0</v>
      </c>
      <c r="H461" s="30">
        <f>'Equity Volume Data'!K461*'Equity Price Data'!N462</f>
        <v>0</v>
      </c>
      <c r="I461" s="30">
        <f>'Equity Volume Data'!L461*'Equity Price Data'!O462</f>
        <v>0</v>
      </c>
      <c r="J461" s="30">
        <f>'Equity Volume Data'!M461*'Equity Price Data'!P462</f>
        <v>0</v>
      </c>
      <c r="K461" s="30">
        <f>'Equity Volume Data'!N461*'Equity Price Data'!Q462</f>
        <v>0</v>
      </c>
      <c r="L461" s="30">
        <f>'Equity Volume Data'!O461*'Equity Price Data'!R462</f>
        <v>0</v>
      </c>
      <c r="M461" s="30">
        <f>'Equity Volume Data'!P461*'Equity Price Data'!S462</f>
        <v>0</v>
      </c>
      <c r="N461" s="30">
        <f>'Equity Volume Data'!Q461*'Equity Price Data'!T462</f>
        <v>0</v>
      </c>
      <c r="O461" s="30">
        <f>'Equity Volume Data'!R461*'Equity Price Data'!U462</f>
        <v>0</v>
      </c>
      <c r="P461" s="30">
        <f>'Equity Volume Data'!S461*'Equity Price Data'!V462</f>
        <v>0</v>
      </c>
      <c r="Q461" s="30">
        <f>'Equity Volume Data'!T461*'Equity Price Data'!W462</f>
        <v>0</v>
      </c>
      <c r="R461" s="30">
        <f>'Equity Volume Data'!U461*'Equity Price Data'!X462</f>
        <v>0</v>
      </c>
      <c r="S461" s="30">
        <f>'Equity Volume Data'!V461*'Equity Price Data'!Y462</f>
        <v>0</v>
      </c>
      <c r="T461" s="30">
        <f>'Equity Volume Data'!W461*'Equity Price Data'!Z462</f>
        <v>0</v>
      </c>
      <c r="U461" s="30">
        <f>'Equity Volume Data'!X461*'Equity Price Data'!AA462</f>
        <v>0</v>
      </c>
      <c r="V461" s="30">
        <f>'Equity Volume Data'!Y461*'Equity Price Data'!AB462</f>
        <v>0</v>
      </c>
      <c r="W461" s="30">
        <f>'Equity Volume Data'!Z461*'Equity Price Data'!AC462</f>
        <v>0</v>
      </c>
      <c r="X461" s="30">
        <f>'Equity Volume Data'!AA461*'Equity Price Data'!AD462</f>
        <v>0</v>
      </c>
      <c r="Y461" s="30">
        <f>'Equity Volume Data'!AB461*'Equity Price Data'!AE462</f>
        <v>0</v>
      </c>
      <c r="Z461" s="30">
        <f>'Equity Volume Data'!AC461*'Equity Price Data'!AF462</f>
        <v>0</v>
      </c>
      <c r="AA461" s="30">
        <f>'Equity Volume Data'!AD461*'Equity Price Data'!AG462</f>
        <v>0</v>
      </c>
      <c r="AB461" s="30">
        <f>'Equity Volume Data'!AE461*'Equity Price Data'!AH462</f>
        <v>0</v>
      </c>
      <c r="AC461" s="30">
        <f>'Equity Volume Data'!AF461*'Equity Price Data'!AI462</f>
        <v>0</v>
      </c>
      <c r="AD461" s="30">
        <f>'Equity Volume Data'!AG461*'Equity Price Data'!AJ462</f>
        <v>0</v>
      </c>
      <c r="AE461" s="30">
        <f>'Equity Volume Data'!AH461*'Equity Price Data'!AK462</f>
        <v>0</v>
      </c>
      <c r="AF461" s="30">
        <f>'Equity Volume Data'!AI461*'Equity Price Data'!AL462</f>
        <v>0</v>
      </c>
      <c r="AG461" s="30">
        <f>'Equity Volume Data'!AJ461*'Equity Price Data'!AM462</f>
        <v>0</v>
      </c>
      <c r="AH461" s="30">
        <f>'Equity Volume Data'!AK461*'Equity Price Data'!AN462</f>
        <v>0</v>
      </c>
      <c r="AI461" s="30">
        <f>'Equity Volume Data'!AL461*'Equity Price Data'!AO462</f>
        <v>0</v>
      </c>
      <c r="AJ461" s="30">
        <f>'Equity Volume Data'!AM461*'Equity Price Data'!AP462</f>
        <v>0</v>
      </c>
      <c r="AK461" s="30">
        <f>'Equity Volume Data'!AN461*'Equity Price Data'!AQ462</f>
        <v>0</v>
      </c>
      <c r="AL461" s="30">
        <f>'Equity Volume Data'!AO461*'Equity Price Data'!AR462</f>
        <v>0</v>
      </c>
      <c r="AM461" s="30">
        <f>'Equity Volume Data'!AP461*'Equity Price Data'!AS462</f>
        <v>0</v>
      </c>
      <c r="AN461" s="30">
        <f>'Equity Volume Data'!AQ461*'Equity Price Data'!AT462</f>
        <v>0</v>
      </c>
      <c r="AO461" s="30">
        <f>'Equity Volume Data'!AR461*'Equity Price Data'!AU462</f>
        <v>0</v>
      </c>
      <c r="AP461" s="30">
        <f>'Equity Volume Data'!AS461*'Equity Price Data'!AV462</f>
        <v>0</v>
      </c>
      <c r="AQ461" s="30">
        <f>'Equity Volume Data'!AT461*'Equity Price Data'!AW462</f>
        <v>0</v>
      </c>
      <c r="AR461" s="30">
        <f>'Equity Volume Data'!AU461*'Equity Price Data'!AX462</f>
        <v>0</v>
      </c>
      <c r="AS461" s="30">
        <f>'Equity Volume Data'!AV461*'Equity Price Data'!AY462</f>
        <v>0</v>
      </c>
      <c r="AT461" s="30">
        <f>'Equity Volume Data'!AW461*'Equity Price Data'!AZ462</f>
        <v>0</v>
      </c>
      <c r="AU461" s="30">
        <f>'Equity Volume Data'!AX461*'Equity Price Data'!BA462</f>
        <v>0</v>
      </c>
      <c r="AV461" s="30">
        <f>'Equity Volume Data'!AY461*'Equity Price Data'!BB462</f>
        <v>0</v>
      </c>
      <c r="AW461" s="30">
        <f>'Equity Volume Data'!AZ461*'Equity Price Data'!BC462</f>
        <v>0</v>
      </c>
      <c r="AX461" s="30">
        <f>'Equity Volume Data'!BA461*'Equity Price Data'!BD462</f>
        <v>0</v>
      </c>
      <c r="AY461" s="30">
        <f>'Equity Volume Data'!BB461*'Equity Price Data'!BE462</f>
        <v>0</v>
      </c>
      <c r="AZ461" s="30">
        <f>'Equity Volume Data'!BC461*'Equity Price Data'!BF462</f>
        <v>0</v>
      </c>
      <c r="BA461" s="30">
        <f>'Equity Volume Data'!BD461*'Equity Price Data'!BG462</f>
        <v>0</v>
      </c>
      <c r="BB461" s="30">
        <f>'Equity Volume Data'!BE461*'Equity Price Data'!BH462</f>
        <v>0</v>
      </c>
      <c r="BC461" s="30">
        <f>'Equity Volume Data'!BF461*'Equity Price Data'!BI462</f>
        <v>0</v>
      </c>
      <c r="BD461" s="30">
        <f>'Equity Volume Data'!BG461*'Equity Price Data'!BJ462</f>
        <v>0</v>
      </c>
      <c r="BE461" s="30">
        <f>'Equity Volume Data'!BH461*'Equity Price Data'!BK462</f>
        <v>0</v>
      </c>
      <c r="BF461" s="30">
        <f>'Equity Volume Data'!BI461*'Equity Price Data'!BL462</f>
        <v>0</v>
      </c>
      <c r="BG461" s="30">
        <f>'Equity Volume Data'!BJ461*'Equity Price Data'!BM462</f>
        <v>0</v>
      </c>
      <c r="BH461" s="30">
        <f>'Equity Volume Data'!BK461*'Equity Price Data'!BN462</f>
        <v>0</v>
      </c>
      <c r="BI461" s="30">
        <f>'Equity Volume Data'!BL461*'Equity Price Data'!BO462</f>
        <v>0</v>
      </c>
      <c r="BJ461" s="30">
        <f>'Equity Volume Data'!BM461*'Equity Price Data'!BP462</f>
        <v>0</v>
      </c>
      <c r="BK461" s="30">
        <f>'Equity Volume Data'!BN461*'Equity Price Data'!BQ462</f>
        <v>0</v>
      </c>
      <c r="BL461" s="30">
        <f>'Equity Volume Data'!BO461*'Equity Price Data'!BR462</f>
        <v>0</v>
      </c>
      <c r="BM461" s="30">
        <f>'Equity Volume Data'!BP461*'Equity Price Data'!BS462</f>
        <v>0</v>
      </c>
      <c r="BN461" s="30">
        <f>'Equity Volume Data'!BQ461*'Equity Price Data'!BT462</f>
        <v>0</v>
      </c>
      <c r="BO461" s="30">
        <v>65366.0</v>
      </c>
    </row>
    <row r="462">
      <c r="A462" s="25" t="str">
        <f>'Equity Price Data'!A463</f>
        <v/>
      </c>
      <c r="B462" s="29">
        <f t="shared" si="1"/>
        <v>65366</v>
      </c>
      <c r="C462" s="30">
        <f>'Equity Volume Data'!F462*'Equity Price Data'!I463</f>
        <v>0</v>
      </c>
      <c r="D462" s="30">
        <f>'Equity Volume Data'!G462*'Equity Price Data'!J463</f>
        <v>0</v>
      </c>
      <c r="E462" s="30">
        <f>'Equity Volume Data'!H462*'Equity Price Data'!K463</f>
        <v>0</v>
      </c>
      <c r="F462" s="30">
        <f>'Equity Volume Data'!I462*'Equity Price Data'!L463</f>
        <v>0</v>
      </c>
      <c r="G462" s="30">
        <f>'Equity Volume Data'!J462*'Equity Price Data'!M463</f>
        <v>0</v>
      </c>
      <c r="H462" s="30">
        <f>'Equity Volume Data'!K462*'Equity Price Data'!N463</f>
        <v>0</v>
      </c>
      <c r="I462" s="30">
        <f>'Equity Volume Data'!L462*'Equity Price Data'!O463</f>
        <v>0</v>
      </c>
      <c r="J462" s="30">
        <f>'Equity Volume Data'!M462*'Equity Price Data'!P463</f>
        <v>0</v>
      </c>
      <c r="K462" s="30">
        <f>'Equity Volume Data'!N462*'Equity Price Data'!Q463</f>
        <v>0</v>
      </c>
      <c r="L462" s="30">
        <f>'Equity Volume Data'!O462*'Equity Price Data'!R463</f>
        <v>0</v>
      </c>
      <c r="M462" s="30">
        <f>'Equity Volume Data'!P462*'Equity Price Data'!S463</f>
        <v>0</v>
      </c>
      <c r="N462" s="30">
        <f>'Equity Volume Data'!Q462*'Equity Price Data'!T463</f>
        <v>0</v>
      </c>
      <c r="O462" s="30">
        <f>'Equity Volume Data'!R462*'Equity Price Data'!U463</f>
        <v>0</v>
      </c>
      <c r="P462" s="30">
        <f>'Equity Volume Data'!S462*'Equity Price Data'!V463</f>
        <v>0</v>
      </c>
      <c r="Q462" s="30">
        <f>'Equity Volume Data'!T462*'Equity Price Data'!W463</f>
        <v>0</v>
      </c>
      <c r="R462" s="30">
        <f>'Equity Volume Data'!U462*'Equity Price Data'!X463</f>
        <v>0</v>
      </c>
      <c r="S462" s="30">
        <f>'Equity Volume Data'!V462*'Equity Price Data'!Y463</f>
        <v>0</v>
      </c>
      <c r="T462" s="30">
        <f>'Equity Volume Data'!W462*'Equity Price Data'!Z463</f>
        <v>0</v>
      </c>
      <c r="U462" s="30">
        <f>'Equity Volume Data'!X462*'Equity Price Data'!AA463</f>
        <v>0</v>
      </c>
      <c r="V462" s="30">
        <f>'Equity Volume Data'!Y462*'Equity Price Data'!AB463</f>
        <v>0</v>
      </c>
      <c r="W462" s="30">
        <f>'Equity Volume Data'!Z462*'Equity Price Data'!AC463</f>
        <v>0</v>
      </c>
      <c r="X462" s="30">
        <f>'Equity Volume Data'!AA462*'Equity Price Data'!AD463</f>
        <v>0</v>
      </c>
      <c r="Y462" s="30">
        <f>'Equity Volume Data'!AB462*'Equity Price Data'!AE463</f>
        <v>0</v>
      </c>
      <c r="Z462" s="30">
        <f>'Equity Volume Data'!AC462*'Equity Price Data'!AF463</f>
        <v>0</v>
      </c>
      <c r="AA462" s="30">
        <f>'Equity Volume Data'!AD462*'Equity Price Data'!AG463</f>
        <v>0</v>
      </c>
      <c r="AB462" s="30">
        <f>'Equity Volume Data'!AE462*'Equity Price Data'!AH463</f>
        <v>0</v>
      </c>
      <c r="AC462" s="30">
        <f>'Equity Volume Data'!AF462*'Equity Price Data'!AI463</f>
        <v>0</v>
      </c>
      <c r="AD462" s="30">
        <f>'Equity Volume Data'!AG462*'Equity Price Data'!AJ463</f>
        <v>0</v>
      </c>
      <c r="AE462" s="30">
        <f>'Equity Volume Data'!AH462*'Equity Price Data'!AK463</f>
        <v>0</v>
      </c>
      <c r="AF462" s="30">
        <f>'Equity Volume Data'!AI462*'Equity Price Data'!AL463</f>
        <v>0</v>
      </c>
      <c r="AG462" s="30">
        <f>'Equity Volume Data'!AJ462*'Equity Price Data'!AM463</f>
        <v>0</v>
      </c>
      <c r="AH462" s="30">
        <f>'Equity Volume Data'!AK462*'Equity Price Data'!AN463</f>
        <v>0</v>
      </c>
      <c r="AI462" s="30">
        <f>'Equity Volume Data'!AL462*'Equity Price Data'!AO463</f>
        <v>0</v>
      </c>
      <c r="AJ462" s="30">
        <f>'Equity Volume Data'!AM462*'Equity Price Data'!AP463</f>
        <v>0</v>
      </c>
      <c r="AK462" s="30">
        <f>'Equity Volume Data'!AN462*'Equity Price Data'!AQ463</f>
        <v>0</v>
      </c>
      <c r="AL462" s="30">
        <f>'Equity Volume Data'!AO462*'Equity Price Data'!AR463</f>
        <v>0</v>
      </c>
      <c r="AM462" s="30">
        <f>'Equity Volume Data'!AP462*'Equity Price Data'!AS463</f>
        <v>0</v>
      </c>
      <c r="AN462" s="30">
        <f>'Equity Volume Data'!AQ462*'Equity Price Data'!AT463</f>
        <v>0</v>
      </c>
      <c r="AO462" s="30">
        <f>'Equity Volume Data'!AR462*'Equity Price Data'!AU463</f>
        <v>0</v>
      </c>
      <c r="AP462" s="30">
        <f>'Equity Volume Data'!AS462*'Equity Price Data'!AV463</f>
        <v>0</v>
      </c>
      <c r="AQ462" s="30">
        <f>'Equity Volume Data'!AT462*'Equity Price Data'!AW463</f>
        <v>0</v>
      </c>
      <c r="AR462" s="30">
        <f>'Equity Volume Data'!AU462*'Equity Price Data'!AX463</f>
        <v>0</v>
      </c>
      <c r="AS462" s="30">
        <f>'Equity Volume Data'!AV462*'Equity Price Data'!AY463</f>
        <v>0</v>
      </c>
      <c r="AT462" s="30">
        <f>'Equity Volume Data'!AW462*'Equity Price Data'!AZ463</f>
        <v>0</v>
      </c>
      <c r="AU462" s="30">
        <f>'Equity Volume Data'!AX462*'Equity Price Data'!BA463</f>
        <v>0</v>
      </c>
      <c r="AV462" s="30">
        <f>'Equity Volume Data'!AY462*'Equity Price Data'!BB463</f>
        <v>0</v>
      </c>
      <c r="AW462" s="30">
        <f>'Equity Volume Data'!AZ462*'Equity Price Data'!BC463</f>
        <v>0</v>
      </c>
      <c r="AX462" s="30">
        <f>'Equity Volume Data'!BA462*'Equity Price Data'!BD463</f>
        <v>0</v>
      </c>
      <c r="AY462" s="30">
        <f>'Equity Volume Data'!BB462*'Equity Price Data'!BE463</f>
        <v>0</v>
      </c>
      <c r="AZ462" s="30">
        <f>'Equity Volume Data'!BC462*'Equity Price Data'!BF463</f>
        <v>0</v>
      </c>
      <c r="BA462" s="30">
        <f>'Equity Volume Data'!BD462*'Equity Price Data'!BG463</f>
        <v>0</v>
      </c>
      <c r="BB462" s="30">
        <f>'Equity Volume Data'!BE462*'Equity Price Data'!BH463</f>
        <v>0</v>
      </c>
      <c r="BC462" s="30">
        <f>'Equity Volume Data'!BF462*'Equity Price Data'!BI463</f>
        <v>0</v>
      </c>
      <c r="BD462" s="30">
        <f>'Equity Volume Data'!BG462*'Equity Price Data'!BJ463</f>
        <v>0</v>
      </c>
      <c r="BE462" s="30">
        <f>'Equity Volume Data'!BH462*'Equity Price Data'!BK463</f>
        <v>0</v>
      </c>
      <c r="BF462" s="30">
        <f>'Equity Volume Data'!BI462*'Equity Price Data'!BL463</f>
        <v>0</v>
      </c>
      <c r="BG462" s="30">
        <f>'Equity Volume Data'!BJ462*'Equity Price Data'!BM463</f>
        <v>0</v>
      </c>
      <c r="BH462" s="30">
        <f>'Equity Volume Data'!BK462*'Equity Price Data'!BN463</f>
        <v>0</v>
      </c>
      <c r="BI462" s="30">
        <f>'Equity Volume Data'!BL462*'Equity Price Data'!BO463</f>
        <v>0</v>
      </c>
      <c r="BJ462" s="30">
        <f>'Equity Volume Data'!BM462*'Equity Price Data'!BP463</f>
        <v>0</v>
      </c>
      <c r="BK462" s="30">
        <f>'Equity Volume Data'!BN462*'Equity Price Data'!BQ463</f>
        <v>0</v>
      </c>
      <c r="BL462" s="30">
        <f>'Equity Volume Data'!BO462*'Equity Price Data'!BR463</f>
        <v>0</v>
      </c>
      <c r="BM462" s="30">
        <f>'Equity Volume Data'!BP462*'Equity Price Data'!BS463</f>
        <v>0</v>
      </c>
      <c r="BN462" s="30">
        <f>'Equity Volume Data'!BQ462*'Equity Price Data'!BT463</f>
        <v>0</v>
      </c>
      <c r="BO462" s="30">
        <v>65366.0</v>
      </c>
    </row>
    <row r="463">
      <c r="A463" s="25" t="str">
        <f>'Equity Price Data'!A464</f>
        <v/>
      </c>
      <c r="B463" s="29">
        <f t="shared" si="1"/>
        <v>65366</v>
      </c>
      <c r="C463" s="30">
        <f>'Equity Volume Data'!F463*'Equity Price Data'!I464</f>
        <v>0</v>
      </c>
      <c r="D463" s="30">
        <f>'Equity Volume Data'!G463*'Equity Price Data'!J464</f>
        <v>0</v>
      </c>
      <c r="E463" s="30">
        <f>'Equity Volume Data'!H463*'Equity Price Data'!K464</f>
        <v>0</v>
      </c>
      <c r="F463" s="30">
        <f>'Equity Volume Data'!I463*'Equity Price Data'!L464</f>
        <v>0</v>
      </c>
      <c r="G463" s="30">
        <f>'Equity Volume Data'!J463*'Equity Price Data'!M464</f>
        <v>0</v>
      </c>
      <c r="H463" s="30">
        <f>'Equity Volume Data'!K463*'Equity Price Data'!N464</f>
        <v>0</v>
      </c>
      <c r="I463" s="30">
        <f>'Equity Volume Data'!L463*'Equity Price Data'!O464</f>
        <v>0</v>
      </c>
      <c r="J463" s="30">
        <f>'Equity Volume Data'!M463*'Equity Price Data'!P464</f>
        <v>0</v>
      </c>
      <c r="K463" s="30">
        <f>'Equity Volume Data'!N463*'Equity Price Data'!Q464</f>
        <v>0</v>
      </c>
      <c r="L463" s="30">
        <f>'Equity Volume Data'!O463*'Equity Price Data'!R464</f>
        <v>0</v>
      </c>
      <c r="M463" s="30">
        <f>'Equity Volume Data'!P463*'Equity Price Data'!S464</f>
        <v>0</v>
      </c>
      <c r="N463" s="30">
        <f>'Equity Volume Data'!Q463*'Equity Price Data'!T464</f>
        <v>0</v>
      </c>
      <c r="O463" s="30">
        <f>'Equity Volume Data'!R463*'Equity Price Data'!U464</f>
        <v>0</v>
      </c>
      <c r="P463" s="30">
        <f>'Equity Volume Data'!S463*'Equity Price Data'!V464</f>
        <v>0</v>
      </c>
      <c r="Q463" s="30">
        <f>'Equity Volume Data'!T463*'Equity Price Data'!W464</f>
        <v>0</v>
      </c>
      <c r="R463" s="30">
        <f>'Equity Volume Data'!U463*'Equity Price Data'!X464</f>
        <v>0</v>
      </c>
      <c r="S463" s="30">
        <f>'Equity Volume Data'!V463*'Equity Price Data'!Y464</f>
        <v>0</v>
      </c>
      <c r="T463" s="30">
        <f>'Equity Volume Data'!W463*'Equity Price Data'!Z464</f>
        <v>0</v>
      </c>
      <c r="U463" s="30">
        <f>'Equity Volume Data'!X463*'Equity Price Data'!AA464</f>
        <v>0</v>
      </c>
      <c r="V463" s="30">
        <f>'Equity Volume Data'!Y463*'Equity Price Data'!AB464</f>
        <v>0</v>
      </c>
      <c r="W463" s="30">
        <f>'Equity Volume Data'!Z463*'Equity Price Data'!AC464</f>
        <v>0</v>
      </c>
      <c r="X463" s="30">
        <f>'Equity Volume Data'!AA463*'Equity Price Data'!AD464</f>
        <v>0</v>
      </c>
      <c r="Y463" s="30">
        <f>'Equity Volume Data'!AB463*'Equity Price Data'!AE464</f>
        <v>0</v>
      </c>
      <c r="Z463" s="30">
        <f>'Equity Volume Data'!AC463*'Equity Price Data'!AF464</f>
        <v>0</v>
      </c>
      <c r="AA463" s="30">
        <f>'Equity Volume Data'!AD463*'Equity Price Data'!AG464</f>
        <v>0</v>
      </c>
      <c r="AB463" s="30">
        <f>'Equity Volume Data'!AE463*'Equity Price Data'!AH464</f>
        <v>0</v>
      </c>
      <c r="AC463" s="30">
        <f>'Equity Volume Data'!AF463*'Equity Price Data'!AI464</f>
        <v>0</v>
      </c>
      <c r="AD463" s="30">
        <f>'Equity Volume Data'!AG463*'Equity Price Data'!AJ464</f>
        <v>0</v>
      </c>
      <c r="AE463" s="30">
        <f>'Equity Volume Data'!AH463*'Equity Price Data'!AK464</f>
        <v>0</v>
      </c>
      <c r="AF463" s="30">
        <f>'Equity Volume Data'!AI463*'Equity Price Data'!AL464</f>
        <v>0</v>
      </c>
      <c r="AG463" s="30">
        <f>'Equity Volume Data'!AJ463*'Equity Price Data'!AM464</f>
        <v>0</v>
      </c>
      <c r="AH463" s="30">
        <f>'Equity Volume Data'!AK463*'Equity Price Data'!AN464</f>
        <v>0</v>
      </c>
      <c r="AI463" s="30">
        <f>'Equity Volume Data'!AL463*'Equity Price Data'!AO464</f>
        <v>0</v>
      </c>
      <c r="AJ463" s="30">
        <f>'Equity Volume Data'!AM463*'Equity Price Data'!AP464</f>
        <v>0</v>
      </c>
      <c r="AK463" s="30">
        <f>'Equity Volume Data'!AN463*'Equity Price Data'!AQ464</f>
        <v>0</v>
      </c>
      <c r="AL463" s="30">
        <f>'Equity Volume Data'!AO463*'Equity Price Data'!AR464</f>
        <v>0</v>
      </c>
      <c r="AM463" s="30">
        <f>'Equity Volume Data'!AP463*'Equity Price Data'!AS464</f>
        <v>0</v>
      </c>
      <c r="AN463" s="30">
        <f>'Equity Volume Data'!AQ463*'Equity Price Data'!AT464</f>
        <v>0</v>
      </c>
      <c r="AO463" s="30">
        <f>'Equity Volume Data'!AR463*'Equity Price Data'!AU464</f>
        <v>0</v>
      </c>
      <c r="AP463" s="30">
        <f>'Equity Volume Data'!AS463*'Equity Price Data'!AV464</f>
        <v>0</v>
      </c>
      <c r="AQ463" s="30">
        <f>'Equity Volume Data'!AT463*'Equity Price Data'!AW464</f>
        <v>0</v>
      </c>
      <c r="AR463" s="30">
        <f>'Equity Volume Data'!AU463*'Equity Price Data'!AX464</f>
        <v>0</v>
      </c>
      <c r="AS463" s="30">
        <f>'Equity Volume Data'!AV463*'Equity Price Data'!AY464</f>
        <v>0</v>
      </c>
      <c r="AT463" s="30">
        <f>'Equity Volume Data'!AW463*'Equity Price Data'!AZ464</f>
        <v>0</v>
      </c>
      <c r="AU463" s="30">
        <f>'Equity Volume Data'!AX463*'Equity Price Data'!BA464</f>
        <v>0</v>
      </c>
      <c r="AV463" s="30">
        <f>'Equity Volume Data'!AY463*'Equity Price Data'!BB464</f>
        <v>0</v>
      </c>
      <c r="AW463" s="30">
        <f>'Equity Volume Data'!AZ463*'Equity Price Data'!BC464</f>
        <v>0</v>
      </c>
      <c r="AX463" s="30">
        <f>'Equity Volume Data'!BA463*'Equity Price Data'!BD464</f>
        <v>0</v>
      </c>
      <c r="AY463" s="30">
        <f>'Equity Volume Data'!BB463*'Equity Price Data'!BE464</f>
        <v>0</v>
      </c>
      <c r="AZ463" s="30">
        <f>'Equity Volume Data'!BC463*'Equity Price Data'!BF464</f>
        <v>0</v>
      </c>
      <c r="BA463" s="30">
        <f>'Equity Volume Data'!BD463*'Equity Price Data'!BG464</f>
        <v>0</v>
      </c>
      <c r="BB463" s="30">
        <f>'Equity Volume Data'!BE463*'Equity Price Data'!BH464</f>
        <v>0</v>
      </c>
      <c r="BC463" s="30">
        <f>'Equity Volume Data'!BF463*'Equity Price Data'!BI464</f>
        <v>0</v>
      </c>
      <c r="BD463" s="30">
        <f>'Equity Volume Data'!BG463*'Equity Price Data'!BJ464</f>
        <v>0</v>
      </c>
      <c r="BE463" s="30">
        <f>'Equity Volume Data'!BH463*'Equity Price Data'!BK464</f>
        <v>0</v>
      </c>
      <c r="BF463" s="30">
        <f>'Equity Volume Data'!BI463*'Equity Price Data'!BL464</f>
        <v>0</v>
      </c>
      <c r="BG463" s="30">
        <f>'Equity Volume Data'!BJ463*'Equity Price Data'!BM464</f>
        <v>0</v>
      </c>
      <c r="BH463" s="30">
        <f>'Equity Volume Data'!BK463*'Equity Price Data'!BN464</f>
        <v>0</v>
      </c>
      <c r="BI463" s="30">
        <f>'Equity Volume Data'!BL463*'Equity Price Data'!BO464</f>
        <v>0</v>
      </c>
      <c r="BJ463" s="30">
        <f>'Equity Volume Data'!BM463*'Equity Price Data'!BP464</f>
        <v>0</v>
      </c>
      <c r="BK463" s="30">
        <f>'Equity Volume Data'!BN463*'Equity Price Data'!BQ464</f>
        <v>0</v>
      </c>
      <c r="BL463" s="30">
        <f>'Equity Volume Data'!BO463*'Equity Price Data'!BR464</f>
        <v>0</v>
      </c>
      <c r="BM463" s="30">
        <f>'Equity Volume Data'!BP463*'Equity Price Data'!BS464</f>
        <v>0</v>
      </c>
      <c r="BN463" s="30">
        <f>'Equity Volume Data'!BQ463*'Equity Price Data'!BT464</f>
        <v>0</v>
      </c>
      <c r="BO463" s="30">
        <v>65366.0</v>
      </c>
    </row>
    <row r="464">
      <c r="A464" s="25" t="str">
        <f>'Equity Price Data'!A465</f>
        <v/>
      </c>
      <c r="B464" s="29">
        <f t="shared" si="1"/>
        <v>65366</v>
      </c>
      <c r="C464" s="30">
        <f>'Equity Volume Data'!F464*'Equity Price Data'!I465</f>
        <v>0</v>
      </c>
      <c r="D464" s="30">
        <f>'Equity Volume Data'!G464*'Equity Price Data'!J465</f>
        <v>0</v>
      </c>
      <c r="E464" s="30">
        <f>'Equity Volume Data'!H464*'Equity Price Data'!K465</f>
        <v>0</v>
      </c>
      <c r="F464" s="30">
        <f>'Equity Volume Data'!I464*'Equity Price Data'!L465</f>
        <v>0</v>
      </c>
      <c r="G464" s="30">
        <f>'Equity Volume Data'!J464*'Equity Price Data'!M465</f>
        <v>0</v>
      </c>
      <c r="H464" s="30">
        <f>'Equity Volume Data'!K464*'Equity Price Data'!N465</f>
        <v>0</v>
      </c>
      <c r="I464" s="30">
        <f>'Equity Volume Data'!L464*'Equity Price Data'!O465</f>
        <v>0</v>
      </c>
      <c r="J464" s="30">
        <f>'Equity Volume Data'!M464*'Equity Price Data'!P465</f>
        <v>0</v>
      </c>
      <c r="K464" s="30">
        <f>'Equity Volume Data'!N464*'Equity Price Data'!Q465</f>
        <v>0</v>
      </c>
      <c r="L464" s="30">
        <f>'Equity Volume Data'!O464*'Equity Price Data'!R465</f>
        <v>0</v>
      </c>
      <c r="M464" s="30">
        <f>'Equity Volume Data'!P464*'Equity Price Data'!S465</f>
        <v>0</v>
      </c>
      <c r="N464" s="30">
        <f>'Equity Volume Data'!Q464*'Equity Price Data'!T465</f>
        <v>0</v>
      </c>
      <c r="O464" s="30">
        <f>'Equity Volume Data'!R464*'Equity Price Data'!U465</f>
        <v>0</v>
      </c>
      <c r="P464" s="30">
        <f>'Equity Volume Data'!S464*'Equity Price Data'!V465</f>
        <v>0</v>
      </c>
      <c r="Q464" s="30">
        <f>'Equity Volume Data'!T464*'Equity Price Data'!W465</f>
        <v>0</v>
      </c>
      <c r="R464" s="30">
        <f>'Equity Volume Data'!U464*'Equity Price Data'!X465</f>
        <v>0</v>
      </c>
      <c r="S464" s="30">
        <f>'Equity Volume Data'!V464*'Equity Price Data'!Y465</f>
        <v>0</v>
      </c>
      <c r="T464" s="30">
        <f>'Equity Volume Data'!W464*'Equity Price Data'!Z465</f>
        <v>0</v>
      </c>
      <c r="U464" s="30">
        <f>'Equity Volume Data'!X464*'Equity Price Data'!AA465</f>
        <v>0</v>
      </c>
      <c r="V464" s="30">
        <f>'Equity Volume Data'!Y464*'Equity Price Data'!AB465</f>
        <v>0</v>
      </c>
      <c r="W464" s="30">
        <f>'Equity Volume Data'!Z464*'Equity Price Data'!AC465</f>
        <v>0</v>
      </c>
      <c r="X464" s="30">
        <f>'Equity Volume Data'!AA464*'Equity Price Data'!AD465</f>
        <v>0</v>
      </c>
      <c r="Y464" s="30">
        <f>'Equity Volume Data'!AB464*'Equity Price Data'!AE465</f>
        <v>0</v>
      </c>
      <c r="Z464" s="30">
        <f>'Equity Volume Data'!AC464*'Equity Price Data'!AF465</f>
        <v>0</v>
      </c>
      <c r="AA464" s="30">
        <f>'Equity Volume Data'!AD464*'Equity Price Data'!AG465</f>
        <v>0</v>
      </c>
      <c r="AB464" s="30">
        <f>'Equity Volume Data'!AE464*'Equity Price Data'!AH465</f>
        <v>0</v>
      </c>
      <c r="AC464" s="30">
        <f>'Equity Volume Data'!AF464*'Equity Price Data'!AI465</f>
        <v>0</v>
      </c>
      <c r="AD464" s="30">
        <f>'Equity Volume Data'!AG464*'Equity Price Data'!AJ465</f>
        <v>0</v>
      </c>
      <c r="AE464" s="30">
        <f>'Equity Volume Data'!AH464*'Equity Price Data'!AK465</f>
        <v>0</v>
      </c>
      <c r="AF464" s="30">
        <f>'Equity Volume Data'!AI464*'Equity Price Data'!AL465</f>
        <v>0</v>
      </c>
      <c r="AG464" s="30">
        <f>'Equity Volume Data'!AJ464*'Equity Price Data'!AM465</f>
        <v>0</v>
      </c>
      <c r="AH464" s="30">
        <f>'Equity Volume Data'!AK464*'Equity Price Data'!AN465</f>
        <v>0</v>
      </c>
      <c r="AI464" s="30">
        <f>'Equity Volume Data'!AL464*'Equity Price Data'!AO465</f>
        <v>0</v>
      </c>
      <c r="AJ464" s="30">
        <f>'Equity Volume Data'!AM464*'Equity Price Data'!AP465</f>
        <v>0</v>
      </c>
      <c r="AK464" s="30">
        <f>'Equity Volume Data'!AN464*'Equity Price Data'!AQ465</f>
        <v>0</v>
      </c>
      <c r="AL464" s="30">
        <f>'Equity Volume Data'!AO464*'Equity Price Data'!AR465</f>
        <v>0</v>
      </c>
      <c r="AM464" s="30">
        <f>'Equity Volume Data'!AP464*'Equity Price Data'!AS465</f>
        <v>0</v>
      </c>
      <c r="AN464" s="30">
        <f>'Equity Volume Data'!AQ464*'Equity Price Data'!AT465</f>
        <v>0</v>
      </c>
      <c r="AO464" s="30">
        <f>'Equity Volume Data'!AR464*'Equity Price Data'!AU465</f>
        <v>0</v>
      </c>
      <c r="AP464" s="30">
        <f>'Equity Volume Data'!AS464*'Equity Price Data'!AV465</f>
        <v>0</v>
      </c>
      <c r="AQ464" s="30">
        <f>'Equity Volume Data'!AT464*'Equity Price Data'!AW465</f>
        <v>0</v>
      </c>
      <c r="AR464" s="30">
        <f>'Equity Volume Data'!AU464*'Equity Price Data'!AX465</f>
        <v>0</v>
      </c>
      <c r="AS464" s="30">
        <f>'Equity Volume Data'!AV464*'Equity Price Data'!AY465</f>
        <v>0</v>
      </c>
      <c r="AT464" s="30">
        <f>'Equity Volume Data'!AW464*'Equity Price Data'!AZ465</f>
        <v>0</v>
      </c>
      <c r="AU464" s="30">
        <f>'Equity Volume Data'!AX464*'Equity Price Data'!BA465</f>
        <v>0</v>
      </c>
      <c r="AV464" s="30">
        <f>'Equity Volume Data'!AY464*'Equity Price Data'!BB465</f>
        <v>0</v>
      </c>
      <c r="AW464" s="30">
        <f>'Equity Volume Data'!AZ464*'Equity Price Data'!BC465</f>
        <v>0</v>
      </c>
      <c r="AX464" s="30">
        <f>'Equity Volume Data'!BA464*'Equity Price Data'!BD465</f>
        <v>0</v>
      </c>
      <c r="AY464" s="30">
        <f>'Equity Volume Data'!BB464*'Equity Price Data'!BE465</f>
        <v>0</v>
      </c>
      <c r="AZ464" s="30">
        <f>'Equity Volume Data'!BC464*'Equity Price Data'!BF465</f>
        <v>0</v>
      </c>
      <c r="BA464" s="30">
        <f>'Equity Volume Data'!BD464*'Equity Price Data'!BG465</f>
        <v>0</v>
      </c>
      <c r="BB464" s="30">
        <f>'Equity Volume Data'!BE464*'Equity Price Data'!BH465</f>
        <v>0</v>
      </c>
      <c r="BC464" s="30">
        <f>'Equity Volume Data'!BF464*'Equity Price Data'!BI465</f>
        <v>0</v>
      </c>
      <c r="BD464" s="30">
        <f>'Equity Volume Data'!BG464*'Equity Price Data'!BJ465</f>
        <v>0</v>
      </c>
      <c r="BE464" s="30">
        <f>'Equity Volume Data'!BH464*'Equity Price Data'!BK465</f>
        <v>0</v>
      </c>
      <c r="BF464" s="30">
        <f>'Equity Volume Data'!BI464*'Equity Price Data'!BL465</f>
        <v>0</v>
      </c>
      <c r="BG464" s="30">
        <f>'Equity Volume Data'!BJ464*'Equity Price Data'!BM465</f>
        <v>0</v>
      </c>
      <c r="BH464" s="30">
        <f>'Equity Volume Data'!BK464*'Equity Price Data'!BN465</f>
        <v>0</v>
      </c>
      <c r="BI464" s="30">
        <f>'Equity Volume Data'!BL464*'Equity Price Data'!BO465</f>
        <v>0</v>
      </c>
      <c r="BJ464" s="30">
        <f>'Equity Volume Data'!BM464*'Equity Price Data'!BP465</f>
        <v>0</v>
      </c>
      <c r="BK464" s="30">
        <f>'Equity Volume Data'!BN464*'Equity Price Data'!BQ465</f>
        <v>0</v>
      </c>
      <c r="BL464" s="30">
        <f>'Equity Volume Data'!BO464*'Equity Price Data'!BR465</f>
        <v>0</v>
      </c>
      <c r="BM464" s="30">
        <f>'Equity Volume Data'!BP464*'Equity Price Data'!BS465</f>
        <v>0</v>
      </c>
      <c r="BN464" s="30">
        <f>'Equity Volume Data'!BQ464*'Equity Price Data'!BT465</f>
        <v>0</v>
      </c>
      <c r="BO464" s="30">
        <v>65366.0</v>
      </c>
    </row>
    <row r="465">
      <c r="A465" s="25" t="str">
        <f>'Equity Price Data'!A466</f>
        <v/>
      </c>
      <c r="B465" s="29">
        <f t="shared" si="1"/>
        <v>65366</v>
      </c>
      <c r="C465" s="30">
        <f>'Equity Volume Data'!F465*'Equity Price Data'!I466</f>
        <v>0</v>
      </c>
      <c r="D465" s="30">
        <f>'Equity Volume Data'!G465*'Equity Price Data'!J466</f>
        <v>0</v>
      </c>
      <c r="E465" s="30">
        <f>'Equity Volume Data'!H465*'Equity Price Data'!K466</f>
        <v>0</v>
      </c>
      <c r="F465" s="30">
        <f>'Equity Volume Data'!I465*'Equity Price Data'!L466</f>
        <v>0</v>
      </c>
      <c r="G465" s="30">
        <f>'Equity Volume Data'!J465*'Equity Price Data'!M466</f>
        <v>0</v>
      </c>
      <c r="H465" s="30">
        <f>'Equity Volume Data'!K465*'Equity Price Data'!N466</f>
        <v>0</v>
      </c>
      <c r="I465" s="30">
        <f>'Equity Volume Data'!L465*'Equity Price Data'!O466</f>
        <v>0</v>
      </c>
      <c r="J465" s="30">
        <f>'Equity Volume Data'!M465*'Equity Price Data'!P466</f>
        <v>0</v>
      </c>
      <c r="K465" s="30">
        <f>'Equity Volume Data'!N465*'Equity Price Data'!Q466</f>
        <v>0</v>
      </c>
      <c r="L465" s="30">
        <f>'Equity Volume Data'!O465*'Equity Price Data'!R466</f>
        <v>0</v>
      </c>
      <c r="M465" s="30">
        <f>'Equity Volume Data'!P465*'Equity Price Data'!S466</f>
        <v>0</v>
      </c>
      <c r="N465" s="30">
        <f>'Equity Volume Data'!Q465*'Equity Price Data'!T466</f>
        <v>0</v>
      </c>
      <c r="O465" s="30">
        <f>'Equity Volume Data'!R465*'Equity Price Data'!U466</f>
        <v>0</v>
      </c>
      <c r="P465" s="30">
        <f>'Equity Volume Data'!S465*'Equity Price Data'!V466</f>
        <v>0</v>
      </c>
      <c r="Q465" s="30">
        <f>'Equity Volume Data'!T465*'Equity Price Data'!W466</f>
        <v>0</v>
      </c>
      <c r="R465" s="30">
        <f>'Equity Volume Data'!U465*'Equity Price Data'!X466</f>
        <v>0</v>
      </c>
      <c r="S465" s="30">
        <f>'Equity Volume Data'!V465*'Equity Price Data'!Y466</f>
        <v>0</v>
      </c>
      <c r="T465" s="30">
        <f>'Equity Volume Data'!W465*'Equity Price Data'!Z466</f>
        <v>0</v>
      </c>
      <c r="U465" s="30">
        <f>'Equity Volume Data'!X465*'Equity Price Data'!AA466</f>
        <v>0</v>
      </c>
      <c r="V465" s="30">
        <f>'Equity Volume Data'!Y465*'Equity Price Data'!AB466</f>
        <v>0</v>
      </c>
      <c r="W465" s="30">
        <f>'Equity Volume Data'!Z465*'Equity Price Data'!AC466</f>
        <v>0</v>
      </c>
      <c r="X465" s="30">
        <f>'Equity Volume Data'!AA465*'Equity Price Data'!AD466</f>
        <v>0</v>
      </c>
      <c r="Y465" s="30">
        <f>'Equity Volume Data'!AB465*'Equity Price Data'!AE466</f>
        <v>0</v>
      </c>
      <c r="Z465" s="30">
        <f>'Equity Volume Data'!AC465*'Equity Price Data'!AF466</f>
        <v>0</v>
      </c>
      <c r="AA465" s="30">
        <f>'Equity Volume Data'!AD465*'Equity Price Data'!AG466</f>
        <v>0</v>
      </c>
      <c r="AB465" s="30">
        <f>'Equity Volume Data'!AE465*'Equity Price Data'!AH466</f>
        <v>0</v>
      </c>
      <c r="AC465" s="30">
        <f>'Equity Volume Data'!AF465*'Equity Price Data'!AI466</f>
        <v>0</v>
      </c>
      <c r="AD465" s="30">
        <f>'Equity Volume Data'!AG465*'Equity Price Data'!AJ466</f>
        <v>0</v>
      </c>
      <c r="AE465" s="30">
        <f>'Equity Volume Data'!AH465*'Equity Price Data'!AK466</f>
        <v>0</v>
      </c>
      <c r="AF465" s="30">
        <f>'Equity Volume Data'!AI465*'Equity Price Data'!AL466</f>
        <v>0</v>
      </c>
      <c r="AG465" s="30">
        <f>'Equity Volume Data'!AJ465*'Equity Price Data'!AM466</f>
        <v>0</v>
      </c>
      <c r="AH465" s="30">
        <f>'Equity Volume Data'!AK465*'Equity Price Data'!AN466</f>
        <v>0</v>
      </c>
      <c r="AI465" s="30">
        <f>'Equity Volume Data'!AL465*'Equity Price Data'!AO466</f>
        <v>0</v>
      </c>
      <c r="AJ465" s="30">
        <f>'Equity Volume Data'!AM465*'Equity Price Data'!AP466</f>
        <v>0</v>
      </c>
      <c r="AK465" s="30">
        <f>'Equity Volume Data'!AN465*'Equity Price Data'!AQ466</f>
        <v>0</v>
      </c>
      <c r="AL465" s="30">
        <f>'Equity Volume Data'!AO465*'Equity Price Data'!AR466</f>
        <v>0</v>
      </c>
      <c r="AM465" s="30">
        <f>'Equity Volume Data'!AP465*'Equity Price Data'!AS466</f>
        <v>0</v>
      </c>
      <c r="AN465" s="30">
        <f>'Equity Volume Data'!AQ465*'Equity Price Data'!AT466</f>
        <v>0</v>
      </c>
      <c r="AO465" s="30">
        <f>'Equity Volume Data'!AR465*'Equity Price Data'!AU466</f>
        <v>0</v>
      </c>
      <c r="AP465" s="30">
        <f>'Equity Volume Data'!AS465*'Equity Price Data'!AV466</f>
        <v>0</v>
      </c>
      <c r="AQ465" s="30">
        <f>'Equity Volume Data'!AT465*'Equity Price Data'!AW466</f>
        <v>0</v>
      </c>
      <c r="AR465" s="30">
        <f>'Equity Volume Data'!AU465*'Equity Price Data'!AX466</f>
        <v>0</v>
      </c>
      <c r="AS465" s="30">
        <f>'Equity Volume Data'!AV465*'Equity Price Data'!AY466</f>
        <v>0</v>
      </c>
      <c r="AT465" s="30">
        <f>'Equity Volume Data'!AW465*'Equity Price Data'!AZ466</f>
        <v>0</v>
      </c>
      <c r="AU465" s="30">
        <f>'Equity Volume Data'!AX465*'Equity Price Data'!BA466</f>
        <v>0</v>
      </c>
      <c r="AV465" s="30">
        <f>'Equity Volume Data'!AY465*'Equity Price Data'!BB466</f>
        <v>0</v>
      </c>
      <c r="AW465" s="30">
        <f>'Equity Volume Data'!AZ465*'Equity Price Data'!BC466</f>
        <v>0</v>
      </c>
      <c r="AX465" s="30">
        <f>'Equity Volume Data'!BA465*'Equity Price Data'!BD466</f>
        <v>0</v>
      </c>
      <c r="AY465" s="30">
        <f>'Equity Volume Data'!BB465*'Equity Price Data'!BE466</f>
        <v>0</v>
      </c>
      <c r="AZ465" s="30">
        <f>'Equity Volume Data'!BC465*'Equity Price Data'!BF466</f>
        <v>0</v>
      </c>
      <c r="BA465" s="30">
        <f>'Equity Volume Data'!BD465*'Equity Price Data'!BG466</f>
        <v>0</v>
      </c>
      <c r="BB465" s="30">
        <f>'Equity Volume Data'!BE465*'Equity Price Data'!BH466</f>
        <v>0</v>
      </c>
      <c r="BC465" s="30">
        <f>'Equity Volume Data'!BF465*'Equity Price Data'!BI466</f>
        <v>0</v>
      </c>
      <c r="BD465" s="30">
        <f>'Equity Volume Data'!BG465*'Equity Price Data'!BJ466</f>
        <v>0</v>
      </c>
      <c r="BE465" s="30">
        <f>'Equity Volume Data'!BH465*'Equity Price Data'!BK466</f>
        <v>0</v>
      </c>
      <c r="BF465" s="30">
        <f>'Equity Volume Data'!BI465*'Equity Price Data'!BL466</f>
        <v>0</v>
      </c>
      <c r="BG465" s="30">
        <f>'Equity Volume Data'!BJ465*'Equity Price Data'!BM466</f>
        <v>0</v>
      </c>
      <c r="BH465" s="30">
        <f>'Equity Volume Data'!BK465*'Equity Price Data'!BN466</f>
        <v>0</v>
      </c>
      <c r="BI465" s="30">
        <f>'Equity Volume Data'!BL465*'Equity Price Data'!BO466</f>
        <v>0</v>
      </c>
      <c r="BJ465" s="30">
        <f>'Equity Volume Data'!BM465*'Equity Price Data'!BP466</f>
        <v>0</v>
      </c>
      <c r="BK465" s="30">
        <f>'Equity Volume Data'!BN465*'Equity Price Data'!BQ466</f>
        <v>0</v>
      </c>
      <c r="BL465" s="30">
        <f>'Equity Volume Data'!BO465*'Equity Price Data'!BR466</f>
        <v>0</v>
      </c>
      <c r="BM465" s="30">
        <f>'Equity Volume Data'!BP465*'Equity Price Data'!BS466</f>
        <v>0</v>
      </c>
      <c r="BN465" s="30">
        <f>'Equity Volume Data'!BQ465*'Equity Price Data'!BT466</f>
        <v>0</v>
      </c>
      <c r="BO465" s="30">
        <v>65366.0</v>
      </c>
    </row>
    <row r="466">
      <c r="A466" s="25" t="str">
        <f>'Equity Price Data'!A467</f>
        <v/>
      </c>
      <c r="B466" s="29">
        <f t="shared" si="1"/>
        <v>65366</v>
      </c>
      <c r="C466" s="30">
        <f>'Equity Volume Data'!F466*'Equity Price Data'!I467</f>
        <v>0</v>
      </c>
      <c r="D466" s="30">
        <f>'Equity Volume Data'!G466*'Equity Price Data'!J467</f>
        <v>0</v>
      </c>
      <c r="E466" s="30">
        <f>'Equity Volume Data'!H466*'Equity Price Data'!K467</f>
        <v>0</v>
      </c>
      <c r="F466" s="30">
        <f>'Equity Volume Data'!I466*'Equity Price Data'!L467</f>
        <v>0</v>
      </c>
      <c r="G466" s="30">
        <f>'Equity Volume Data'!J466*'Equity Price Data'!M467</f>
        <v>0</v>
      </c>
      <c r="H466" s="30">
        <f>'Equity Volume Data'!K466*'Equity Price Data'!N467</f>
        <v>0</v>
      </c>
      <c r="I466" s="30">
        <f>'Equity Volume Data'!L466*'Equity Price Data'!O467</f>
        <v>0</v>
      </c>
      <c r="J466" s="30">
        <f>'Equity Volume Data'!M466*'Equity Price Data'!P467</f>
        <v>0</v>
      </c>
      <c r="K466" s="30">
        <f>'Equity Volume Data'!N466*'Equity Price Data'!Q467</f>
        <v>0</v>
      </c>
      <c r="L466" s="30">
        <f>'Equity Volume Data'!O466*'Equity Price Data'!R467</f>
        <v>0</v>
      </c>
      <c r="M466" s="30">
        <f>'Equity Volume Data'!P466*'Equity Price Data'!S467</f>
        <v>0</v>
      </c>
      <c r="N466" s="30">
        <f>'Equity Volume Data'!Q466*'Equity Price Data'!T467</f>
        <v>0</v>
      </c>
      <c r="O466" s="30">
        <f>'Equity Volume Data'!R466*'Equity Price Data'!U467</f>
        <v>0</v>
      </c>
      <c r="P466" s="30">
        <f>'Equity Volume Data'!S466*'Equity Price Data'!V467</f>
        <v>0</v>
      </c>
      <c r="Q466" s="30">
        <f>'Equity Volume Data'!T466*'Equity Price Data'!W467</f>
        <v>0</v>
      </c>
      <c r="R466" s="30">
        <f>'Equity Volume Data'!U466*'Equity Price Data'!X467</f>
        <v>0</v>
      </c>
      <c r="S466" s="30">
        <f>'Equity Volume Data'!V466*'Equity Price Data'!Y467</f>
        <v>0</v>
      </c>
      <c r="T466" s="30">
        <f>'Equity Volume Data'!W466*'Equity Price Data'!Z467</f>
        <v>0</v>
      </c>
      <c r="U466" s="30">
        <f>'Equity Volume Data'!X466*'Equity Price Data'!AA467</f>
        <v>0</v>
      </c>
      <c r="V466" s="30">
        <f>'Equity Volume Data'!Y466*'Equity Price Data'!AB467</f>
        <v>0</v>
      </c>
      <c r="W466" s="30">
        <f>'Equity Volume Data'!Z466*'Equity Price Data'!AC467</f>
        <v>0</v>
      </c>
      <c r="X466" s="30">
        <f>'Equity Volume Data'!AA466*'Equity Price Data'!AD467</f>
        <v>0</v>
      </c>
      <c r="Y466" s="30">
        <f>'Equity Volume Data'!AB466*'Equity Price Data'!AE467</f>
        <v>0</v>
      </c>
      <c r="Z466" s="30">
        <f>'Equity Volume Data'!AC466*'Equity Price Data'!AF467</f>
        <v>0</v>
      </c>
      <c r="AA466" s="30">
        <f>'Equity Volume Data'!AD466*'Equity Price Data'!AG467</f>
        <v>0</v>
      </c>
      <c r="AB466" s="30">
        <f>'Equity Volume Data'!AE466*'Equity Price Data'!AH467</f>
        <v>0</v>
      </c>
      <c r="AC466" s="30">
        <f>'Equity Volume Data'!AF466*'Equity Price Data'!AI467</f>
        <v>0</v>
      </c>
      <c r="AD466" s="30">
        <f>'Equity Volume Data'!AG466*'Equity Price Data'!AJ467</f>
        <v>0</v>
      </c>
      <c r="AE466" s="30">
        <f>'Equity Volume Data'!AH466*'Equity Price Data'!AK467</f>
        <v>0</v>
      </c>
      <c r="AF466" s="30">
        <f>'Equity Volume Data'!AI466*'Equity Price Data'!AL467</f>
        <v>0</v>
      </c>
      <c r="AG466" s="30">
        <f>'Equity Volume Data'!AJ466*'Equity Price Data'!AM467</f>
        <v>0</v>
      </c>
      <c r="AH466" s="30">
        <f>'Equity Volume Data'!AK466*'Equity Price Data'!AN467</f>
        <v>0</v>
      </c>
      <c r="AI466" s="30">
        <f>'Equity Volume Data'!AL466*'Equity Price Data'!AO467</f>
        <v>0</v>
      </c>
      <c r="AJ466" s="30">
        <f>'Equity Volume Data'!AM466*'Equity Price Data'!AP467</f>
        <v>0</v>
      </c>
      <c r="AK466" s="30">
        <f>'Equity Volume Data'!AN466*'Equity Price Data'!AQ467</f>
        <v>0</v>
      </c>
      <c r="AL466" s="30">
        <f>'Equity Volume Data'!AO466*'Equity Price Data'!AR467</f>
        <v>0</v>
      </c>
      <c r="AM466" s="30">
        <f>'Equity Volume Data'!AP466*'Equity Price Data'!AS467</f>
        <v>0</v>
      </c>
      <c r="AN466" s="30">
        <f>'Equity Volume Data'!AQ466*'Equity Price Data'!AT467</f>
        <v>0</v>
      </c>
      <c r="AO466" s="30">
        <f>'Equity Volume Data'!AR466*'Equity Price Data'!AU467</f>
        <v>0</v>
      </c>
      <c r="AP466" s="30">
        <f>'Equity Volume Data'!AS466*'Equity Price Data'!AV467</f>
        <v>0</v>
      </c>
      <c r="AQ466" s="30">
        <f>'Equity Volume Data'!AT466*'Equity Price Data'!AW467</f>
        <v>0</v>
      </c>
      <c r="AR466" s="30">
        <f>'Equity Volume Data'!AU466*'Equity Price Data'!AX467</f>
        <v>0</v>
      </c>
      <c r="AS466" s="30">
        <f>'Equity Volume Data'!AV466*'Equity Price Data'!AY467</f>
        <v>0</v>
      </c>
      <c r="AT466" s="30">
        <f>'Equity Volume Data'!AW466*'Equity Price Data'!AZ467</f>
        <v>0</v>
      </c>
      <c r="AU466" s="30">
        <f>'Equity Volume Data'!AX466*'Equity Price Data'!BA467</f>
        <v>0</v>
      </c>
      <c r="AV466" s="30">
        <f>'Equity Volume Data'!AY466*'Equity Price Data'!BB467</f>
        <v>0</v>
      </c>
      <c r="AW466" s="30">
        <f>'Equity Volume Data'!AZ466*'Equity Price Data'!BC467</f>
        <v>0</v>
      </c>
      <c r="AX466" s="30">
        <f>'Equity Volume Data'!BA466*'Equity Price Data'!BD467</f>
        <v>0</v>
      </c>
      <c r="AY466" s="30">
        <f>'Equity Volume Data'!BB466*'Equity Price Data'!BE467</f>
        <v>0</v>
      </c>
      <c r="AZ466" s="30">
        <f>'Equity Volume Data'!BC466*'Equity Price Data'!BF467</f>
        <v>0</v>
      </c>
      <c r="BA466" s="30">
        <f>'Equity Volume Data'!BD466*'Equity Price Data'!BG467</f>
        <v>0</v>
      </c>
      <c r="BB466" s="30">
        <f>'Equity Volume Data'!BE466*'Equity Price Data'!BH467</f>
        <v>0</v>
      </c>
      <c r="BC466" s="30">
        <f>'Equity Volume Data'!BF466*'Equity Price Data'!BI467</f>
        <v>0</v>
      </c>
      <c r="BD466" s="30">
        <f>'Equity Volume Data'!BG466*'Equity Price Data'!BJ467</f>
        <v>0</v>
      </c>
      <c r="BE466" s="30">
        <f>'Equity Volume Data'!BH466*'Equity Price Data'!BK467</f>
        <v>0</v>
      </c>
      <c r="BF466" s="30">
        <f>'Equity Volume Data'!BI466*'Equity Price Data'!BL467</f>
        <v>0</v>
      </c>
      <c r="BG466" s="30">
        <f>'Equity Volume Data'!BJ466*'Equity Price Data'!BM467</f>
        <v>0</v>
      </c>
      <c r="BH466" s="30">
        <f>'Equity Volume Data'!BK466*'Equity Price Data'!BN467</f>
        <v>0</v>
      </c>
      <c r="BI466" s="30">
        <f>'Equity Volume Data'!BL466*'Equity Price Data'!BO467</f>
        <v>0</v>
      </c>
      <c r="BJ466" s="30">
        <f>'Equity Volume Data'!BM466*'Equity Price Data'!BP467</f>
        <v>0</v>
      </c>
      <c r="BK466" s="30">
        <f>'Equity Volume Data'!BN466*'Equity Price Data'!BQ467</f>
        <v>0</v>
      </c>
      <c r="BL466" s="30">
        <f>'Equity Volume Data'!BO466*'Equity Price Data'!BR467</f>
        <v>0</v>
      </c>
      <c r="BM466" s="30">
        <f>'Equity Volume Data'!BP466*'Equity Price Data'!BS467</f>
        <v>0</v>
      </c>
      <c r="BN466" s="30">
        <f>'Equity Volume Data'!BQ466*'Equity Price Data'!BT467</f>
        <v>0</v>
      </c>
      <c r="BO466" s="30">
        <v>65366.0</v>
      </c>
    </row>
    <row r="467">
      <c r="A467" s="25" t="str">
        <f>'Equity Price Data'!A468</f>
        <v/>
      </c>
      <c r="B467" s="29">
        <f t="shared" si="1"/>
        <v>65366</v>
      </c>
      <c r="C467" s="30">
        <f>'Equity Volume Data'!F467*'Equity Price Data'!I468</f>
        <v>0</v>
      </c>
      <c r="D467" s="30">
        <f>'Equity Volume Data'!G467*'Equity Price Data'!J468</f>
        <v>0</v>
      </c>
      <c r="E467" s="30">
        <f>'Equity Volume Data'!H467*'Equity Price Data'!K468</f>
        <v>0</v>
      </c>
      <c r="F467" s="30">
        <f>'Equity Volume Data'!I467*'Equity Price Data'!L468</f>
        <v>0</v>
      </c>
      <c r="G467" s="30">
        <f>'Equity Volume Data'!J467*'Equity Price Data'!M468</f>
        <v>0</v>
      </c>
      <c r="H467" s="30">
        <f>'Equity Volume Data'!K467*'Equity Price Data'!N468</f>
        <v>0</v>
      </c>
      <c r="I467" s="30">
        <f>'Equity Volume Data'!L467*'Equity Price Data'!O468</f>
        <v>0</v>
      </c>
      <c r="J467" s="30">
        <f>'Equity Volume Data'!M467*'Equity Price Data'!P468</f>
        <v>0</v>
      </c>
      <c r="K467" s="30">
        <f>'Equity Volume Data'!N467*'Equity Price Data'!Q468</f>
        <v>0</v>
      </c>
      <c r="L467" s="30">
        <f>'Equity Volume Data'!O467*'Equity Price Data'!R468</f>
        <v>0</v>
      </c>
      <c r="M467" s="30">
        <f>'Equity Volume Data'!P467*'Equity Price Data'!S468</f>
        <v>0</v>
      </c>
      <c r="N467" s="30">
        <f>'Equity Volume Data'!Q467*'Equity Price Data'!T468</f>
        <v>0</v>
      </c>
      <c r="O467" s="30">
        <f>'Equity Volume Data'!R467*'Equity Price Data'!U468</f>
        <v>0</v>
      </c>
      <c r="P467" s="30">
        <f>'Equity Volume Data'!S467*'Equity Price Data'!V468</f>
        <v>0</v>
      </c>
      <c r="Q467" s="30">
        <f>'Equity Volume Data'!T467*'Equity Price Data'!W468</f>
        <v>0</v>
      </c>
      <c r="R467" s="30">
        <f>'Equity Volume Data'!U467*'Equity Price Data'!X468</f>
        <v>0</v>
      </c>
      <c r="S467" s="30">
        <f>'Equity Volume Data'!V467*'Equity Price Data'!Y468</f>
        <v>0</v>
      </c>
      <c r="T467" s="30">
        <f>'Equity Volume Data'!W467*'Equity Price Data'!Z468</f>
        <v>0</v>
      </c>
      <c r="U467" s="30">
        <f>'Equity Volume Data'!X467*'Equity Price Data'!AA468</f>
        <v>0</v>
      </c>
      <c r="V467" s="30">
        <f>'Equity Volume Data'!Y467*'Equity Price Data'!AB468</f>
        <v>0</v>
      </c>
      <c r="W467" s="30">
        <f>'Equity Volume Data'!Z467*'Equity Price Data'!AC468</f>
        <v>0</v>
      </c>
      <c r="X467" s="30">
        <f>'Equity Volume Data'!AA467*'Equity Price Data'!AD468</f>
        <v>0</v>
      </c>
      <c r="Y467" s="30">
        <f>'Equity Volume Data'!AB467*'Equity Price Data'!AE468</f>
        <v>0</v>
      </c>
      <c r="Z467" s="30">
        <f>'Equity Volume Data'!AC467*'Equity Price Data'!AF468</f>
        <v>0</v>
      </c>
      <c r="AA467" s="30">
        <f>'Equity Volume Data'!AD467*'Equity Price Data'!AG468</f>
        <v>0</v>
      </c>
      <c r="AB467" s="30">
        <f>'Equity Volume Data'!AE467*'Equity Price Data'!AH468</f>
        <v>0</v>
      </c>
      <c r="AC467" s="30">
        <f>'Equity Volume Data'!AF467*'Equity Price Data'!AI468</f>
        <v>0</v>
      </c>
      <c r="AD467" s="30">
        <f>'Equity Volume Data'!AG467*'Equity Price Data'!AJ468</f>
        <v>0</v>
      </c>
      <c r="AE467" s="30">
        <f>'Equity Volume Data'!AH467*'Equity Price Data'!AK468</f>
        <v>0</v>
      </c>
      <c r="AF467" s="30">
        <f>'Equity Volume Data'!AI467*'Equity Price Data'!AL468</f>
        <v>0</v>
      </c>
      <c r="AG467" s="30">
        <f>'Equity Volume Data'!AJ467*'Equity Price Data'!AM468</f>
        <v>0</v>
      </c>
      <c r="AH467" s="30">
        <f>'Equity Volume Data'!AK467*'Equity Price Data'!AN468</f>
        <v>0</v>
      </c>
      <c r="AI467" s="30">
        <f>'Equity Volume Data'!AL467*'Equity Price Data'!AO468</f>
        <v>0</v>
      </c>
      <c r="AJ467" s="30">
        <f>'Equity Volume Data'!AM467*'Equity Price Data'!AP468</f>
        <v>0</v>
      </c>
      <c r="AK467" s="30">
        <f>'Equity Volume Data'!AN467*'Equity Price Data'!AQ468</f>
        <v>0</v>
      </c>
      <c r="AL467" s="30">
        <f>'Equity Volume Data'!AO467*'Equity Price Data'!AR468</f>
        <v>0</v>
      </c>
      <c r="AM467" s="30">
        <f>'Equity Volume Data'!AP467*'Equity Price Data'!AS468</f>
        <v>0</v>
      </c>
      <c r="AN467" s="30">
        <f>'Equity Volume Data'!AQ467*'Equity Price Data'!AT468</f>
        <v>0</v>
      </c>
      <c r="AO467" s="30">
        <f>'Equity Volume Data'!AR467*'Equity Price Data'!AU468</f>
        <v>0</v>
      </c>
      <c r="AP467" s="30">
        <f>'Equity Volume Data'!AS467*'Equity Price Data'!AV468</f>
        <v>0</v>
      </c>
      <c r="AQ467" s="30">
        <f>'Equity Volume Data'!AT467*'Equity Price Data'!AW468</f>
        <v>0</v>
      </c>
      <c r="AR467" s="30">
        <f>'Equity Volume Data'!AU467*'Equity Price Data'!AX468</f>
        <v>0</v>
      </c>
      <c r="AS467" s="30">
        <f>'Equity Volume Data'!AV467*'Equity Price Data'!AY468</f>
        <v>0</v>
      </c>
      <c r="AT467" s="30">
        <f>'Equity Volume Data'!AW467*'Equity Price Data'!AZ468</f>
        <v>0</v>
      </c>
      <c r="AU467" s="30">
        <f>'Equity Volume Data'!AX467*'Equity Price Data'!BA468</f>
        <v>0</v>
      </c>
      <c r="AV467" s="30">
        <f>'Equity Volume Data'!AY467*'Equity Price Data'!BB468</f>
        <v>0</v>
      </c>
      <c r="AW467" s="30">
        <f>'Equity Volume Data'!AZ467*'Equity Price Data'!BC468</f>
        <v>0</v>
      </c>
      <c r="AX467" s="30">
        <f>'Equity Volume Data'!BA467*'Equity Price Data'!BD468</f>
        <v>0</v>
      </c>
      <c r="AY467" s="30">
        <f>'Equity Volume Data'!BB467*'Equity Price Data'!BE468</f>
        <v>0</v>
      </c>
      <c r="AZ467" s="30">
        <f>'Equity Volume Data'!BC467*'Equity Price Data'!BF468</f>
        <v>0</v>
      </c>
      <c r="BA467" s="30">
        <f>'Equity Volume Data'!BD467*'Equity Price Data'!BG468</f>
        <v>0</v>
      </c>
      <c r="BB467" s="30">
        <f>'Equity Volume Data'!BE467*'Equity Price Data'!BH468</f>
        <v>0</v>
      </c>
      <c r="BC467" s="30">
        <f>'Equity Volume Data'!BF467*'Equity Price Data'!BI468</f>
        <v>0</v>
      </c>
      <c r="BD467" s="30">
        <f>'Equity Volume Data'!BG467*'Equity Price Data'!BJ468</f>
        <v>0</v>
      </c>
      <c r="BE467" s="30">
        <f>'Equity Volume Data'!BH467*'Equity Price Data'!BK468</f>
        <v>0</v>
      </c>
      <c r="BF467" s="30">
        <f>'Equity Volume Data'!BI467*'Equity Price Data'!BL468</f>
        <v>0</v>
      </c>
      <c r="BG467" s="30">
        <f>'Equity Volume Data'!BJ467*'Equity Price Data'!BM468</f>
        <v>0</v>
      </c>
      <c r="BH467" s="30">
        <f>'Equity Volume Data'!BK467*'Equity Price Data'!BN468</f>
        <v>0</v>
      </c>
      <c r="BI467" s="30">
        <f>'Equity Volume Data'!BL467*'Equity Price Data'!BO468</f>
        <v>0</v>
      </c>
      <c r="BJ467" s="30">
        <f>'Equity Volume Data'!BM467*'Equity Price Data'!BP468</f>
        <v>0</v>
      </c>
      <c r="BK467" s="30">
        <f>'Equity Volume Data'!BN467*'Equity Price Data'!BQ468</f>
        <v>0</v>
      </c>
      <c r="BL467" s="30">
        <f>'Equity Volume Data'!BO467*'Equity Price Data'!BR468</f>
        <v>0</v>
      </c>
      <c r="BM467" s="30">
        <f>'Equity Volume Data'!BP467*'Equity Price Data'!BS468</f>
        <v>0</v>
      </c>
      <c r="BN467" s="30">
        <f>'Equity Volume Data'!BQ467*'Equity Price Data'!BT468</f>
        <v>0</v>
      </c>
      <c r="BO467" s="30">
        <v>65366.0</v>
      </c>
    </row>
    <row r="468">
      <c r="A468" s="25" t="str">
        <f>'Equity Price Data'!A469</f>
        <v/>
      </c>
      <c r="B468" s="29">
        <f t="shared" si="1"/>
        <v>65366</v>
      </c>
      <c r="C468" s="30">
        <f>'Equity Volume Data'!F468*'Equity Price Data'!I469</f>
        <v>0</v>
      </c>
      <c r="D468" s="30">
        <f>'Equity Volume Data'!G468*'Equity Price Data'!J469</f>
        <v>0</v>
      </c>
      <c r="E468" s="30">
        <f>'Equity Volume Data'!H468*'Equity Price Data'!K469</f>
        <v>0</v>
      </c>
      <c r="F468" s="30">
        <f>'Equity Volume Data'!I468*'Equity Price Data'!L469</f>
        <v>0</v>
      </c>
      <c r="G468" s="30">
        <f>'Equity Volume Data'!J468*'Equity Price Data'!M469</f>
        <v>0</v>
      </c>
      <c r="H468" s="30">
        <f>'Equity Volume Data'!K468*'Equity Price Data'!N469</f>
        <v>0</v>
      </c>
      <c r="I468" s="30">
        <f>'Equity Volume Data'!L468*'Equity Price Data'!O469</f>
        <v>0</v>
      </c>
      <c r="J468" s="30">
        <f>'Equity Volume Data'!M468*'Equity Price Data'!P469</f>
        <v>0</v>
      </c>
      <c r="K468" s="30">
        <f>'Equity Volume Data'!N468*'Equity Price Data'!Q469</f>
        <v>0</v>
      </c>
      <c r="L468" s="30">
        <f>'Equity Volume Data'!O468*'Equity Price Data'!R469</f>
        <v>0</v>
      </c>
      <c r="M468" s="30">
        <f>'Equity Volume Data'!P468*'Equity Price Data'!S469</f>
        <v>0</v>
      </c>
      <c r="N468" s="30">
        <f>'Equity Volume Data'!Q468*'Equity Price Data'!T469</f>
        <v>0</v>
      </c>
      <c r="O468" s="30">
        <f>'Equity Volume Data'!R468*'Equity Price Data'!U469</f>
        <v>0</v>
      </c>
      <c r="P468" s="30">
        <f>'Equity Volume Data'!S468*'Equity Price Data'!V469</f>
        <v>0</v>
      </c>
      <c r="Q468" s="30">
        <f>'Equity Volume Data'!T468*'Equity Price Data'!W469</f>
        <v>0</v>
      </c>
      <c r="R468" s="30">
        <f>'Equity Volume Data'!U468*'Equity Price Data'!X469</f>
        <v>0</v>
      </c>
      <c r="S468" s="30">
        <f>'Equity Volume Data'!V468*'Equity Price Data'!Y469</f>
        <v>0</v>
      </c>
      <c r="T468" s="30">
        <f>'Equity Volume Data'!W468*'Equity Price Data'!Z469</f>
        <v>0</v>
      </c>
      <c r="U468" s="30">
        <f>'Equity Volume Data'!X468*'Equity Price Data'!AA469</f>
        <v>0</v>
      </c>
      <c r="V468" s="30">
        <f>'Equity Volume Data'!Y468*'Equity Price Data'!AB469</f>
        <v>0</v>
      </c>
      <c r="W468" s="30">
        <f>'Equity Volume Data'!Z468*'Equity Price Data'!AC469</f>
        <v>0</v>
      </c>
      <c r="X468" s="30">
        <f>'Equity Volume Data'!AA468*'Equity Price Data'!AD469</f>
        <v>0</v>
      </c>
      <c r="Y468" s="30">
        <f>'Equity Volume Data'!AB468*'Equity Price Data'!AE469</f>
        <v>0</v>
      </c>
      <c r="Z468" s="30">
        <f>'Equity Volume Data'!AC468*'Equity Price Data'!AF469</f>
        <v>0</v>
      </c>
      <c r="AA468" s="30">
        <f>'Equity Volume Data'!AD468*'Equity Price Data'!AG469</f>
        <v>0</v>
      </c>
      <c r="AB468" s="30">
        <f>'Equity Volume Data'!AE468*'Equity Price Data'!AH469</f>
        <v>0</v>
      </c>
      <c r="AC468" s="30">
        <f>'Equity Volume Data'!AF468*'Equity Price Data'!AI469</f>
        <v>0</v>
      </c>
      <c r="AD468" s="30">
        <f>'Equity Volume Data'!AG468*'Equity Price Data'!AJ469</f>
        <v>0</v>
      </c>
      <c r="AE468" s="30">
        <f>'Equity Volume Data'!AH468*'Equity Price Data'!AK469</f>
        <v>0</v>
      </c>
      <c r="AF468" s="30">
        <f>'Equity Volume Data'!AI468*'Equity Price Data'!AL469</f>
        <v>0</v>
      </c>
      <c r="AG468" s="30">
        <f>'Equity Volume Data'!AJ468*'Equity Price Data'!AM469</f>
        <v>0</v>
      </c>
      <c r="AH468" s="30">
        <f>'Equity Volume Data'!AK468*'Equity Price Data'!AN469</f>
        <v>0</v>
      </c>
      <c r="AI468" s="30">
        <f>'Equity Volume Data'!AL468*'Equity Price Data'!AO469</f>
        <v>0</v>
      </c>
      <c r="AJ468" s="30">
        <f>'Equity Volume Data'!AM468*'Equity Price Data'!AP469</f>
        <v>0</v>
      </c>
      <c r="AK468" s="30">
        <f>'Equity Volume Data'!AN468*'Equity Price Data'!AQ469</f>
        <v>0</v>
      </c>
      <c r="AL468" s="30">
        <f>'Equity Volume Data'!AO468*'Equity Price Data'!AR469</f>
        <v>0</v>
      </c>
      <c r="AM468" s="30">
        <f>'Equity Volume Data'!AP468*'Equity Price Data'!AS469</f>
        <v>0</v>
      </c>
      <c r="AN468" s="30">
        <f>'Equity Volume Data'!AQ468*'Equity Price Data'!AT469</f>
        <v>0</v>
      </c>
      <c r="AO468" s="30">
        <f>'Equity Volume Data'!AR468*'Equity Price Data'!AU469</f>
        <v>0</v>
      </c>
      <c r="AP468" s="30">
        <f>'Equity Volume Data'!AS468*'Equity Price Data'!AV469</f>
        <v>0</v>
      </c>
      <c r="AQ468" s="30">
        <f>'Equity Volume Data'!AT468*'Equity Price Data'!AW469</f>
        <v>0</v>
      </c>
      <c r="AR468" s="30">
        <f>'Equity Volume Data'!AU468*'Equity Price Data'!AX469</f>
        <v>0</v>
      </c>
      <c r="AS468" s="30">
        <f>'Equity Volume Data'!AV468*'Equity Price Data'!AY469</f>
        <v>0</v>
      </c>
      <c r="AT468" s="30">
        <f>'Equity Volume Data'!AW468*'Equity Price Data'!AZ469</f>
        <v>0</v>
      </c>
      <c r="AU468" s="30">
        <f>'Equity Volume Data'!AX468*'Equity Price Data'!BA469</f>
        <v>0</v>
      </c>
      <c r="AV468" s="30">
        <f>'Equity Volume Data'!AY468*'Equity Price Data'!BB469</f>
        <v>0</v>
      </c>
      <c r="AW468" s="30">
        <f>'Equity Volume Data'!AZ468*'Equity Price Data'!BC469</f>
        <v>0</v>
      </c>
      <c r="AX468" s="30">
        <f>'Equity Volume Data'!BA468*'Equity Price Data'!BD469</f>
        <v>0</v>
      </c>
      <c r="AY468" s="30">
        <f>'Equity Volume Data'!BB468*'Equity Price Data'!BE469</f>
        <v>0</v>
      </c>
      <c r="AZ468" s="30">
        <f>'Equity Volume Data'!BC468*'Equity Price Data'!BF469</f>
        <v>0</v>
      </c>
      <c r="BA468" s="30">
        <f>'Equity Volume Data'!BD468*'Equity Price Data'!BG469</f>
        <v>0</v>
      </c>
      <c r="BB468" s="30">
        <f>'Equity Volume Data'!BE468*'Equity Price Data'!BH469</f>
        <v>0</v>
      </c>
      <c r="BC468" s="30">
        <f>'Equity Volume Data'!BF468*'Equity Price Data'!BI469</f>
        <v>0</v>
      </c>
      <c r="BD468" s="30">
        <f>'Equity Volume Data'!BG468*'Equity Price Data'!BJ469</f>
        <v>0</v>
      </c>
      <c r="BE468" s="30">
        <f>'Equity Volume Data'!BH468*'Equity Price Data'!BK469</f>
        <v>0</v>
      </c>
      <c r="BF468" s="30">
        <f>'Equity Volume Data'!BI468*'Equity Price Data'!BL469</f>
        <v>0</v>
      </c>
      <c r="BG468" s="30">
        <f>'Equity Volume Data'!BJ468*'Equity Price Data'!BM469</f>
        <v>0</v>
      </c>
      <c r="BH468" s="30">
        <f>'Equity Volume Data'!BK468*'Equity Price Data'!BN469</f>
        <v>0</v>
      </c>
      <c r="BI468" s="30">
        <f>'Equity Volume Data'!BL468*'Equity Price Data'!BO469</f>
        <v>0</v>
      </c>
      <c r="BJ468" s="30">
        <f>'Equity Volume Data'!BM468*'Equity Price Data'!BP469</f>
        <v>0</v>
      </c>
      <c r="BK468" s="30">
        <f>'Equity Volume Data'!BN468*'Equity Price Data'!BQ469</f>
        <v>0</v>
      </c>
      <c r="BL468" s="30">
        <f>'Equity Volume Data'!BO468*'Equity Price Data'!BR469</f>
        <v>0</v>
      </c>
      <c r="BM468" s="30">
        <f>'Equity Volume Data'!BP468*'Equity Price Data'!BS469</f>
        <v>0</v>
      </c>
      <c r="BN468" s="30">
        <f>'Equity Volume Data'!BQ468*'Equity Price Data'!BT469</f>
        <v>0</v>
      </c>
      <c r="BO468" s="30">
        <v>65366.0</v>
      </c>
    </row>
    <row r="469">
      <c r="A469" s="25" t="str">
        <f>'Equity Price Data'!A470</f>
        <v/>
      </c>
      <c r="B469" s="29">
        <f t="shared" si="1"/>
        <v>65366</v>
      </c>
      <c r="C469" s="30">
        <f>'Equity Volume Data'!F469*'Equity Price Data'!I470</f>
        <v>0</v>
      </c>
      <c r="D469" s="30">
        <f>'Equity Volume Data'!G469*'Equity Price Data'!J470</f>
        <v>0</v>
      </c>
      <c r="E469" s="30">
        <f>'Equity Volume Data'!H469*'Equity Price Data'!K470</f>
        <v>0</v>
      </c>
      <c r="F469" s="30">
        <f>'Equity Volume Data'!I469*'Equity Price Data'!L470</f>
        <v>0</v>
      </c>
      <c r="G469" s="30">
        <f>'Equity Volume Data'!J469*'Equity Price Data'!M470</f>
        <v>0</v>
      </c>
      <c r="H469" s="30">
        <f>'Equity Volume Data'!K469*'Equity Price Data'!N470</f>
        <v>0</v>
      </c>
      <c r="I469" s="30">
        <f>'Equity Volume Data'!L469*'Equity Price Data'!O470</f>
        <v>0</v>
      </c>
      <c r="J469" s="30">
        <f>'Equity Volume Data'!M469*'Equity Price Data'!P470</f>
        <v>0</v>
      </c>
      <c r="K469" s="30">
        <f>'Equity Volume Data'!N469*'Equity Price Data'!Q470</f>
        <v>0</v>
      </c>
      <c r="L469" s="30">
        <f>'Equity Volume Data'!O469*'Equity Price Data'!R470</f>
        <v>0</v>
      </c>
      <c r="M469" s="30">
        <f>'Equity Volume Data'!P469*'Equity Price Data'!S470</f>
        <v>0</v>
      </c>
      <c r="N469" s="30">
        <f>'Equity Volume Data'!Q469*'Equity Price Data'!T470</f>
        <v>0</v>
      </c>
      <c r="O469" s="30">
        <f>'Equity Volume Data'!R469*'Equity Price Data'!U470</f>
        <v>0</v>
      </c>
      <c r="P469" s="30">
        <f>'Equity Volume Data'!S469*'Equity Price Data'!V470</f>
        <v>0</v>
      </c>
      <c r="Q469" s="30">
        <f>'Equity Volume Data'!T469*'Equity Price Data'!W470</f>
        <v>0</v>
      </c>
      <c r="R469" s="30">
        <f>'Equity Volume Data'!U469*'Equity Price Data'!X470</f>
        <v>0</v>
      </c>
      <c r="S469" s="30">
        <f>'Equity Volume Data'!V469*'Equity Price Data'!Y470</f>
        <v>0</v>
      </c>
      <c r="T469" s="30">
        <f>'Equity Volume Data'!W469*'Equity Price Data'!Z470</f>
        <v>0</v>
      </c>
      <c r="U469" s="30">
        <f>'Equity Volume Data'!X469*'Equity Price Data'!AA470</f>
        <v>0</v>
      </c>
      <c r="V469" s="30">
        <f>'Equity Volume Data'!Y469*'Equity Price Data'!AB470</f>
        <v>0</v>
      </c>
      <c r="W469" s="30">
        <f>'Equity Volume Data'!Z469*'Equity Price Data'!AC470</f>
        <v>0</v>
      </c>
      <c r="X469" s="30">
        <f>'Equity Volume Data'!AA469*'Equity Price Data'!AD470</f>
        <v>0</v>
      </c>
      <c r="Y469" s="30">
        <f>'Equity Volume Data'!AB469*'Equity Price Data'!AE470</f>
        <v>0</v>
      </c>
      <c r="Z469" s="30">
        <f>'Equity Volume Data'!AC469*'Equity Price Data'!AF470</f>
        <v>0</v>
      </c>
      <c r="AA469" s="30">
        <f>'Equity Volume Data'!AD469*'Equity Price Data'!AG470</f>
        <v>0</v>
      </c>
      <c r="AB469" s="30">
        <f>'Equity Volume Data'!AE469*'Equity Price Data'!AH470</f>
        <v>0</v>
      </c>
      <c r="AC469" s="30">
        <f>'Equity Volume Data'!AF469*'Equity Price Data'!AI470</f>
        <v>0</v>
      </c>
      <c r="AD469" s="30">
        <f>'Equity Volume Data'!AG469*'Equity Price Data'!AJ470</f>
        <v>0</v>
      </c>
      <c r="AE469" s="30">
        <f>'Equity Volume Data'!AH469*'Equity Price Data'!AK470</f>
        <v>0</v>
      </c>
      <c r="AF469" s="30">
        <f>'Equity Volume Data'!AI469*'Equity Price Data'!AL470</f>
        <v>0</v>
      </c>
      <c r="AG469" s="30">
        <f>'Equity Volume Data'!AJ469*'Equity Price Data'!AM470</f>
        <v>0</v>
      </c>
      <c r="AH469" s="30">
        <f>'Equity Volume Data'!AK469*'Equity Price Data'!AN470</f>
        <v>0</v>
      </c>
      <c r="AI469" s="30">
        <f>'Equity Volume Data'!AL469*'Equity Price Data'!AO470</f>
        <v>0</v>
      </c>
      <c r="AJ469" s="30">
        <f>'Equity Volume Data'!AM469*'Equity Price Data'!AP470</f>
        <v>0</v>
      </c>
      <c r="AK469" s="30">
        <f>'Equity Volume Data'!AN469*'Equity Price Data'!AQ470</f>
        <v>0</v>
      </c>
      <c r="AL469" s="30">
        <f>'Equity Volume Data'!AO469*'Equity Price Data'!AR470</f>
        <v>0</v>
      </c>
      <c r="AM469" s="30">
        <f>'Equity Volume Data'!AP469*'Equity Price Data'!AS470</f>
        <v>0</v>
      </c>
      <c r="AN469" s="30">
        <f>'Equity Volume Data'!AQ469*'Equity Price Data'!AT470</f>
        <v>0</v>
      </c>
      <c r="AO469" s="30">
        <f>'Equity Volume Data'!AR469*'Equity Price Data'!AU470</f>
        <v>0</v>
      </c>
      <c r="AP469" s="30">
        <f>'Equity Volume Data'!AS469*'Equity Price Data'!AV470</f>
        <v>0</v>
      </c>
      <c r="AQ469" s="30">
        <f>'Equity Volume Data'!AT469*'Equity Price Data'!AW470</f>
        <v>0</v>
      </c>
      <c r="AR469" s="30">
        <f>'Equity Volume Data'!AU469*'Equity Price Data'!AX470</f>
        <v>0</v>
      </c>
      <c r="AS469" s="30">
        <f>'Equity Volume Data'!AV469*'Equity Price Data'!AY470</f>
        <v>0</v>
      </c>
      <c r="AT469" s="30">
        <f>'Equity Volume Data'!AW469*'Equity Price Data'!AZ470</f>
        <v>0</v>
      </c>
      <c r="AU469" s="30">
        <f>'Equity Volume Data'!AX469*'Equity Price Data'!BA470</f>
        <v>0</v>
      </c>
      <c r="AV469" s="30">
        <f>'Equity Volume Data'!AY469*'Equity Price Data'!BB470</f>
        <v>0</v>
      </c>
      <c r="AW469" s="30">
        <f>'Equity Volume Data'!AZ469*'Equity Price Data'!BC470</f>
        <v>0</v>
      </c>
      <c r="AX469" s="30">
        <f>'Equity Volume Data'!BA469*'Equity Price Data'!BD470</f>
        <v>0</v>
      </c>
      <c r="AY469" s="30">
        <f>'Equity Volume Data'!BB469*'Equity Price Data'!BE470</f>
        <v>0</v>
      </c>
      <c r="AZ469" s="30">
        <f>'Equity Volume Data'!BC469*'Equity Price Data'!BF470</f>
        <v>0</v>
      </c>
      <c r="BA469" s="30">
        <f>'Equity Volume Data'!BD469*'Equity Price Data'!BG470</f>
        <v>0</v>
      </c>
      <c r="BB469" s="30">
        <f>'Equity Volume Data'!BE469*'Equity Price Data'!BH470</f>
        <v>0</v>
      </c>
      <c r="BC469" s="30">
        <f>'Equity Volume Data'!BF469*'Equity Price Data'!BI470</f>
        <v>0</v>
      </c>
      <c r="BD469" s="30">
        <f>'Equity Volume Data'!BG469*'Equity Price Data'!BJ470</f>
        <v>0</v>
      </c>
      <c r="BE469" s="30">
        <f>'Equity Volume Data'!BH469*'Equity Price Data'!BK470</f>
        <v>0</v>
      </c>
      <c r="BF469" s="30">
        <f>'Equity Volume Data'!BI469*'Equity Price Data'!BL470</f>
        <v>0</v>
      </c>
      <c r="BG469" s="30">
        <f>'Equity Volume Data'!BJ469*'Equity Price Data'!BM470</f>
        <v>0</v>
      </c>
      <c r="BH469" s="30">
        <f>'Equity Volume Data'!BK469*'Equity Price Data'!BN470</f>
        <v>0</v>
      </c>
      <c r="BI469" s="30">
        <f>'Equity Volume Data'!BL469*'Equity Price Data'!BO470</f>
        <v>0</v>
      </c>
      <c r="BJ469" s="30">
        <f>'Equity Volume Data'!BM469*'Equity Price Data'!BP470</f>
        <v>0</v>
      </c>
      <c r="BK469" s="30">
        <f>'Equity Volume Data'!BN469*'Equity Price Data'!BQ470</f>
        <v>0</v>
      </c>
      <c r="BL469" s="30">
        <f>'Equity Volume Data'!BO469*'Equity Price Data'!BR470</f>
        <v>0</v>
      </c>
      <c r="BM469" s="30">
        <f>'Equity Volume Data'!BP469*'Equity Price Data'!BS470</f>
        <v>0</v>
      </c>
      <c r="BN469" s="30">
        <f>'Equity Volume Data'!BQ469*'Equity Price Data'!BT470</f>
        <v>0</v>
      </c>
      <c r="BO469" s="30">
        <v>65366.0</v>
      </c>
    </row>
    <row r="470">
      <c r="A470" s="25" t="str">
        <f>'Equity Price Data'!A471</f>
        <v/>
      </c>
      <c r="B470" s="29">
        <f t="shared" si="1"/>
        <v>65366</v>
      </c>
      <c r="C470" s="30">
        <f>'Equity Volume Data'!F470*'Equity Price Data'!I471</f>
        <v>0</v>
      </c>
      <c r="D470" s="30">
        <f>'Equity Volume Data'!G470*'Equity Price Data'!J471</f>
        <v>0</v>
      </c>
      <c r="E470" s="30">
        <f>'Equity Volume Data'!H470*'Equity Price Data'!K471</f>
        <v>0</v>
      </c>
      <c r="F470" s="30">
        <f>'Equity Volume Data'!I470*'Equity Price Data'!L471</f>
        <v>0</v>
      </c>
      <c r="G470" s="30">
        <f>'Equity Volume Data'!J470*'Equity Price Data'!M471</f>
        <v>0</v>
      </c>
      <c r="H470" s="30">
        <f>'Equity Volume Data'!K470*'Equity Price Data'!N471</f>
        <v>0</v>
      </c>
      <c r="I470" s="30">
        <f>'Equity Volume Data'!L470*'Equity Price Data'!O471</f>
        <v>0</v>
      </c>
      <c r="J470" s="30">
        <f>'Equity Volume Data'!M470*'Equity Price Data'!P471</f>
        <v>0</v>
      </c>
      <c r="K470" s="30">
        <f>'Equity Volume Data'!N470*'Equity Price Data'!Q471</f>
        <v>0</v>
      </c>
      <c r="L470" s="30">
        <f>'Equity Volume Data'!O470*'Equity Price Data'!R471</f>
        <v>0</v>
      </c>
      <c r="M470" s="30">
        <f>'Equity Volume Data'!P470*'Equity Price Data'!S471</f>
        <v>0</v>
      </c>
      <c r="N470" s="30">
        <f>'Equity Volume Data'!Q470*'Equity Price Data'!T471</f>
        <v>0</v>
      </c>
      <c r="O470" s="30">
        <f>'Equity Volume Data'!R470*'Equity Price Data'!U471</f>
        <v>0</v>
      </c>
      <c r="P470" s="30">
        <f>'Equity Volume Data'!S470*'Equity Price Data'!V471</f>
        <v>0</v>
      </c>
      <c r="Q470" s="30">
        <f>'Equity Volume Data'!T470*'Equity Price Data'!W471</f>
        <v>0</v>
      </c>
      <c r="R470" s="30">
        <f>'Equity Volume Data'!U470*'Equity Price Data'!X471</f>
        <v>0</v>
      </c>
      <c r="S470" s="30">
        <f>'Equity Volume Data'!V470*'Equity Price Data'!Y471</f>
        <v>0</v>
      </c>
      <c r="T470" s="30">
        <f>'Equity Volume Data'!W470*'Equity Price Data'!Z471</f>
        <v>0</v>
      </c>
      <c r="U470" s="30">
        <f>'Equity Volume Data'!X470*'Equity Price Data'!AA471</f>
        <v>0</v>
      </c>
      <c r="V470" s="30">
        <f>'Equity Volume Data'!Y470*'Equity Price Data'!AB471</f>
        <v>0</v>
      </c>
      <c r="W470" s="30">
        <f>'Equity Volume Data'!Z470*'Equity Price Data'!AC471</f>
        <v>0</v>
      </c>
      <c r="X470" s="30">
        <f>'Equity Volume Data'!AA470*'Equity Price Data'!AD471</f>
        <v>0</v>
      </c>
      <c r="Y470" s="30">
        <f>'Equity Volume Data'!AB470*'Equity Price Data'!AE471</f>
        <v>0</v>
      </c>
      <c r="Z470" s="30">
        <f>'Equity Volume Data'!AC470*'Equity Price Data'!AF471</f>
        <v>0</v>
      </c>
      <c r="AA470" s="30">
        <f>'Equity Volume Data'!AD470*'Equity Price Data'!AG471</f>
        <v>0</v>
      </c>
      <c r="AB470" s="30">
        <f>'Equity Volume Data'!AE470*'Equity Price Data'!AH471</f>
        <v>0</v>
      </c>
      <c r="AC470" s="30">
        <f>'Equity Volume Data'!AF470*'Equity Price Data'!AI471</f>
        <v>0</v>
      </c>
      <c r="AD470" s="30">
        <f>'Equity Volume Data'!AG470*'Equity Price Data'!AJ471</f>
        <v>0</v>
      </c>
      <c r="AE470" s="30">
        <f>'Equity Volume Data'!AH470*'Equity Price Data'!AK471</f>
        <v>0</v>
      </c>
      <c r="AF470" s="30">
        <f>'Equity Volume Data'!AI470*'Equity Price Data'!AL471</f>
        <v>0</v>
      </c>
      <c r="AG470" s="30">
        <f>'Equity Volume Data'!AJ470*'Equity Price Data'!AM471</f>
        <v>0</v>
      </c>
      <c r="AH470" s="30">
        <f>'Equity Volume Data'!AK470*'Equity Price Data'!AN471</f>
        <v>0</v>
      </c>
      <c r="AI470" s="30">
        <f>'Equity Volume Data'!AL470*'Equity Price Data'!AO471</f>
        <v>0</v>
      </c>
      <c r="AJ470" s="30">
        <f>'Equity Volume Data'!AM470*'Equity Price Data'!AP471</f>
        <v>0</v>
      </c>
      <c r="AK470" s="30">
        <f>'Equity Volume Data'!AN470*'Equity Price Data'!AQ471</f>
        <v>0</v>
      </c>
      <c r="AL470" s="30">
        <f>'Equity Volume Data'!AO470*'Equity Price Data'!AR471</f>
        <v>0</v>
      </c>
      <c r="AM470" s="30">
        <f>'Equity Volume Data'!AP470*'Equity Price Data'!AS471</f>
        <v>0</v>
      </c>
      <c r="AN470" s="30">
        <f>'Equity Volume Data'!AQ470*'Equity Price Data'!AT471</f>
        <v>0</v>
      </c>
      <c r="AO470" s="30">
        <f>'Equity Volume Data'!AR470*'Equity Price Data'!AU471</f>
        <v>0</v>
      </c>
      <c r="AP470" s="30">
        <f>'Equity Volume Data'!AS470*'Equity Price Data'!AV471</f>
        <v>0</v>
      </c>
      <c r="AQ470" s="30">
        <f>'Equity Volume Data'!AT470*'Equity Price Data'!AW471</f>
        <v>0</v>
      </c>
      <c r="AR470" s="30">
        <f>'Equity Volume Data'!AU470*'Equity Price Data'!AX471</f>
        <v>0</v>
      </c>
      <c r="AS470" s="30">
        <f>'Equity Volume Data'!AV470*'Equity Price Data'!AY471</f>
        <v>0</v>
      </c>
      <c r="AT470" s="30">
        <f>'Equity Volume Data'!AW470*'Equity Price Data'!AZ471</f>
        <v>0</v>
      </c>
      <c r="AU470" s="30">
        <f>'Equity Volume Data'!AX470*'Equity Price Data'!BA471</f>
        <v>0</v>
      </c>
      <c r="AV470" s="30">
        <f>'Equity Volume Data'!AY470*'Equity Price Data'!BB471</f>
        <v>0</v>
      </c>
      <c r="AW470" s="30">
        <f>'Equity Volume Data'!AZ470*'Equity Price Data'!BC471</f>
        <v>0</v>
      </c>
      <c r="AX470" s="30">
        <f>'Equity Volume Data'!BA470*'Equity Price Data'!BD471</f>
        <v>0</v>
      </c>
      <c r="AY470" s="30">
        <f>'Equity Volume Data'!BB470*'Equity Price Data'!BE471</f>
        <v>0</v>
      </c>
      <c r="AZ470" s="30">
        <f>'Equity Volume Data'!BC470*'Equity Price Data'!BF471</f>
        <v>0</v>
      </c>
      <c r="BA470" s="30">
        <f>'Equity Volume Data'!BD470*'Equity Price Data'!BG471</f>
        <v>0</v>
      </c>
      <c r="BB470" s="30">
        <f>'Equity Volume Data'!BE470*'Equity Price Data'!BH471</f>
        <v>0</v>
      </c>
      <c r="BC470" s="30">
        <f>'Equity Volume Data'!BF470*'Equity Price Data'!BI471</f>
        <v>0</v>
      </c>
      <c r="BD470" s="30">
        <f>'Equity Volume Data'!BG470*'Equity Price Data'!BJ471</f>
        <v>0</v>
      </c>
      <c r="BE470" s="30">
        <f>'Equity Volume Data'!BH470*'Equity Price Data'!BK471</f>
        <v>0</v>
      </c>
      <c r="BF470" s="30">
        <f>'Equity Volume Data'!BI470*'Equity Price Data'!BL471</f>
        <v>0</v>
      </c>
      <c r="BG470" s="30">
        <f>'Equity Volume Data'!BJ470*'Equity Price Data'!BM471</f>
        <v>0</v>
      </c>
      <c r="BH470" s="30">
        <f>'Equity Volume Data'!BK470*'Equity Price Data'!BN471</f>
        <v>0</v>
      </c>
      <c r="BI470" s="30">
        <f>'Equity Volume Data'!BL470*'Equity Price Data'!BO471</f>
        <v>0</v>
      </c>
      <c r="BJ470" s="30">
        <f>'Equity Volume Data'!BM470*'Equity Price Data'!BP471</f>
        <v>0</v>
      </c>
      <c r="BK470" s="30">
        <f>'Equity Volume Data'!BN470*'Equity Price Data'!BQ471</f>
        <v>0</v>
      </c>
      <c r="BL470" s="30">
        <f>'Equity Volume Data'!BO470*'Equity Price Data'!BR471</f>
        <v>0</v>
      </c>
      <c r="BM470" s="30">
        <f>'Equity Volume Data'!BP470*'Equity Price Data'!BS471</f>
        <v>0</v>
      </c>
      <c r="BN470" s="30">
        <f>'Equity Volume Data'!BQ470*'Equity Price Data'!BT471</f>
        <v>0</v>
      </c>
      <c r="BO470" s="30">
        <v>65366.0</v>
      </c>
    </row>
    <row r="471">
      <c r="A471" s="25" t="str">
        <f>'Equity Price Data'!A472</f>
        <v/>
      </c>
      <c r="B471" s="29">
        <f t="shared" si="1"/>
        <v>65366</v>
      </c>
      <c r="C471" s="30">
        <f>'Equity Volume Data'!F471*'Equity Price Data'!I472</f>
        <v>0</v>
      </c>
      <c r="D471" s="30">
        <f>'Equity Volume Data'!G471*'Equity Price Data'!J472</f>
        <v>0</v>
      </c>
      <c r="E471" s="30">
        <f>'Equity Volume Data'!H471*'Equity Price Data'!K472</f>
        <v>0</v>
      </c>
      <c r="F471" s="30">
        <f>'Equity Volume Data'!I471*'Equity Price Data'!L472</f>
        <v>0</v>
      </c>
      <c r="G471" s="30">
        <f>'Equity Volume Data'!J471*'Equity Price Data'!M472</f>
        <v>0</v>
      </c>
      <c r="H471" s="30">
        <f>'Equity Volume Data'!K471*'Equity Price Data'!N472</f>
        <v>0</v>
      </c>
      <c r="I471" s="30">
        <f>'Equity Volume Data'!L471*'Equity Price Data'!O472</f>
        <v>0</v>
      </c>
      <c r="J471" s="30">
        <f>'Equity Volume Data'!M471*'Equity Price Data'!P472</f>
        <v>0</v>
      </c>
      <c r="K471" s="30">
        <f>'Equity Volume Data'!N471*'Equity Price Data'!Q472</f>
        <v>0</v>
      </c>
      <c r="L471" s="30">
        <f>'Equity Volume Data'!O471*'Equity Price Data'!R472</f>
        <v>0</v>
      </c>
      <c r="M471" s="30">
        <f>'Equity Volume Data'!P471*'Equity Price Data'!S472</f>
        <v>0</v>
      </c>
      <c r="N471" s="30">
        <f>'Equity Volume Data'!Q471*'Equity Price Data'!T472</f>
        <v>0</v>
      </c>
      <c r="O471" s="30">
        <f>'Equity Volume Data'!R471*'Equity Price Data'!U472</f>
        <v>0</v>
      </c>
      <c r="P471" s="30">
        <f>'Equity Volume Data'!S471*'Equity Price Data'!V472</f>
        <v>0</v>
      </c>
      <c r="Q471" s="30">
        <f>'Equity Volume Data'!T471*'Equity Price Data'!W472</f>
        <v>0</v>
      </c>
      <c r="R471" s="30">
        <f>'Equity Volume Data'!U471*'Equity Price Data'!X472</f>
        <v>0</v>
      </c>
      <c r="S471" s="30">
        <f>'Equity Volume Data'!V471*'Equity Price Data'!Y472</f>
        <v>0</v>
      </c>
      <c r="T471" s="30">
        <f>'Equity Volume Data'!W471*'Equity Price Data'!Z472</f>
        <v>0</v>
      </c>
      <c r="U471" s="30">
        <f>'Equity Volume Data'!X471*'Equity Price Data'!AA472</f>
        <v>0</v>
      </c>
      <c r="V471" s="30">
        <f>'Equity Volume Data'!Y471*'Equity Price Data'!AB472</f>
        <v>0</v>
      </c>
      <c r="W471" s="30">
        <f>'Equity Volume Data'!Z471*'Equity Price Data'!AC472</f>
        <v>0</v>
      </c>
      <c r="X471" s="30">
        <f>'Equity Volume Data'!AA471*'Equity Price Data'!AD472</f>
        <v>0</v>
      </c>
      <c r="Y471" s="30">
        <f>'Equity Volume Data'!AB471*'Equity Price Data'!AE472</f>
        <v>0</v>
      </c>
      <c r="Z471" s="30">
        <f>'Equity Volume Data'!AC471*'Equity Price Data'!AF472</f>
        <v>0</v>
      </c>
      <c r="AA471" s="30">
        <f>'Equity Volume Data'!AD471*'Equity Price Data'!AG472</f>
        <v>0</v>
      </c>
      <c r="AB471" s="30">
        <f>'Equity Volume Data'!AE471*'Equity Price Data'!AH472</f>
        <v>0</v>
      </c>
      <c r="AC471" s="30">
        <f>'Equity Volume Data'!AF471*'Equity Price Data'!AI472</f>
        <v>0</v>
      </c>
      <c r="AD471" s="30">
        <f>'Equity Volume Data'!AG471*'Equity Price Data'!AJ472</f>
        <v>0</v>
      </c>
      <c r="AE471" s="30">
        <f>'Equity Volume Data'!AH471*'Equity Price Data'!AK472</f>
        <v>0</v>
      </c>
      <c r="AF471" s="30">
        <f>'Equity Volume Data'!AI471*'Equity Price Data'!AL472</f>
        <v>0</v>
      </c>
      <c r="AG471" s="30">
        <f>'Equity Volume Data'!AJ471*'Equity Price Data'!AM472</f>
        <v>0</v>
      </c>
      <c r="AH471" s="30">
        <f>'Equity Volume Data'!AK471*'Equity Price Data'!AN472</f>
        <v>0</v>
      </c>
      <c r="AI471" s="30">
        <f>'Equity Volume Data'!AL471*'Equity Price Data'!AO472</f>
        <v>0</v>
      </c>
      <c r="AJ471" s="30">
        <f>'Equity Volume Data'!AM471*'Equity Price Data'!AP472</f>
        <v>0</v>
      </c>
      <c r="AK471" s="30">
        <f>'Equity Volume Data'!AN471*'Equity Price Data'!AQ472</f>
        <v>0</v>
      </c>
      <c r="AL471" s="30">
        <f>'Equity Volume Data'!AO471*'Equity Price Data'!AR472</f>
        <v>0</v>
      </c>
      <c r="AM471" s="30">
        <f>'Equity Volume Data'!AP471*'Equity Price Data'!AS472</f>
        <v>0</v>
      </c>
      <c r="AN471" s="30">
        <f>'Equity Volume Data'!AQ471*'Equity Price Data'!AT472</f>
        <v>0</v>
      </c>
      <c r="AO471" s="30">
        <f>'Equity Volume Data'!AR471*'Equity Price Data'!AU472</f>
        <v>0</v>
      </c>
      <c r="AP471" s="30">
        <f>'Equity Volume Data'!AS471*'Equity Price Data'!AV472</f>
        <v>0</v>
      </c>
      <c r="AQ471" s="30">
        <f>'Equity Volume Data'!AT471*'Equity Price Data'!AW472</f>
        <v>0</v>
      </c>
      <c r="AR471" s="30">
        <f>'Equity Volume Data'!AU471*'Equity Price Data'!AX472</f>
        <v>0</v>
      </c>
      <c r="AS471" s="30">
        <f>'Equity Volume Data'!AV471*'Equity Price Data'!AY472</f>
        <v>0</v>
      </c>
      <c r="AT471" s="30">
        <f>'Equity Volume Data'!AW471*'Equity Price Data'!AZ472</f>
        <v>0</v>
      </c>
      <c r="AU471" s="30">
        <f>'Equity Volume Data'!AX471*'Equity Price Data'!BA472</f>
        <v>0</v>
      </c>
      <c r="AV471" s="30">
        <f>'Equity Volume Data'!AY471*'Equity Price Data'!BB472</f>
        <v>0</v>
      </c>
      <c r="AW471" s="30">
        <f>'Equity Volume Data'!AZ471*'Equity Price Data'!BC472</f>
        <v>0</v>
      </c>
      <c r="AX471" s="30">
        <f>'Equity Volume Data'!BA471*'Equity Price Data'!BD472</f>
        <v>0</v>
      </c>
      <c r="AY471" s="30">
        <f>'Equity Volume Data'!BB471*'Equity Price Data'!BE472</f>
        <v>0</v>
      </c>
      <c r="AZ471" s="30">
        <f>'Equity Volume Data'!BC471*'Equity Price Data'!BF472</f>
        <v>0</v>
      </c>
      <c r="BA471" s="30">
        <f>'Equity Volume Data'!BD471*'Equity Price Data'!BG472</f>
        <v>0</v>
      </c>
      <c r="BB471" s="30">
        <f>'Equity Volume Data'!BE471*'Equity Price Data'!BH472</f>
        <v>0</v>
      </c>
      <c r="BC471" s="30">
        <f>'Equity Volume Data'!BF471*'Equity Price Data'!BI472</f>
        <v>0</v>
      </c>
      <c r="BD471" s="30">
        <f>'Equity Volume Data'!BG471*'Equity Price Data'!BJ472</f>
        <v>0</v>
      </c>
      <c r="BE471" s="30">
        <f>'Equity Volume Data'!BH471*'Equity Price Data'!BK472</f>
        <v>0</v>
      </c>
      <c r="BF471" s="30">
        <f>'Equity Volume Data'!BI471*'Equity Price Data'!BL472</f>
        <v>0</v>
      </c>
      <c r="BG471" s="30">
        <f>'Equity Volume Data'!BJ471*'Equity Price Data'!BM472</f>
        <v>0</v>
      </c>
      <c r="BH471" s="30">
        <f>'Equity Volume Data'!BK471*'Equity Price Data'!BN472</f>
        <v>0</v>
      </c>
      <c r="BI471" s="30">
        <f>'Equity Volume Data'!BL471*'Equity Price Data'!BO472</f>
        <v>0</v>
      </c>
      <c r="BJ471" s="30">
        <f>'Equity Volume Data'!BM471*'Equity Price Data'!BP472</f>
        <v>0</v>
      </c>
      <c r="BK471" s="30">
        <f>'Equity Volume Data'!BN471*'Equity Price Data'!BQ472</f>
        <v>0</v>
      </c>
      <c r="BL471" s="30">
        <f>'Equity Volume Data'!BO471*'Equity Price Data'!BR472</f>
        <v>0</v>
      </c>
      <c r="BM471" s="30">
        <f>'Equity Volume Data'!BP471*'Equity Price Data'!BS472</f>
        <v>0</v>
      </c>
      <c r="BN471" s="30">
        <f>'Equity Volume Data'!BQ471*'Equity Price Data'!BT472</f>
        <v>0</v>
      </c>
      <c r="BO471" s="30">
        <v>65366.0</v>
      </c>
    </row>
    <row r="472">
      <c r="A472" s="25" t="str">
        <f>'Equity Price Data'!A473</f>
        <v/>
      </c>
      <c r="B472" s="29">
        <f t="shared" si="1"/>
        <v>65366</v>
      </c>
      <c r="C472" s="30">
        <f>'Equity Volume Data'!F472*'Equity Price Data'!I473</f>
        <v>0</v>
      </c>
      <c r="D472" s="30">
        <f>'Equity Volume Data'!G472*'Equity Price Data'!J473</f>
        <v>0</v>
      </c>
      <c r="E472" s="30">
        <f>'Equity Volume Data'!H472*'Equity Price Data'!K473</f>
        <v>0</v>
      </c>
      <c r="F472" s="30">
        <f>'Equity Volume Data'!I472*'Equity Price Data'!L473</f>
        <v>0</v>
      </c>
      <c r="G472" s="30">
        <f>'Equity Volume Data'!J472*'Equity Price Data'!M473</f>
        <v>0</v>
      </c>
      <c r="H472" s="30">
        <f>'Equity Volume Data'!K472*'Equity Price Data'!N473</f>
        <v>0</v>
      </c>
      <c r="I472" s="30">
        <f>'Equity Volume Data'!L472*'Equity Price Data'!O473</f>
        <v>0</v>
      </c>
      <c r="J472" s="30">
        <f>'Equity Volume Data'!M472*'Equity Price Data'!P473</f>
        <v>0</v>
      </c>
      <c r="K472" s="30">
        <f>'Equity Volume Data'!N472*'Equity Price Data'!Q473</f>
        <v>0</v>
      </c>
      <c r="L472" s="30">
        <f>'Equity Volume Data'!O472*'Equity Price Data'!R473</f>
        <v>0</v>
      </c>
      <c r="M472" s="30">
        <f>'Equity Volume Data'!P472*'Equity Price Data'!S473</f>
        <v>0</v>
      </c>
      <c r="N472" s="30">
        <f>'Equity Volume Data'!Q472*'Equity Price Data'!T473</f>
        <v>0</v>
      </c>
      <c r="O472" s="30">
        <f>'Equity Volume Data'!R472*'Equity Price Data'!U473</f>
        <v>0</v>
      </c>
      <c r="P472" s="30">
        <f>'Equity Volume Data'!S472*'Equity Price Data'!V473</f>
        <v>0</v>
      </c>
      <c r="Q472" s="30">
        <f>'Equity Volume Data'!T472*'Equity Price Data'!W473</f>
        <v>0</v>
      </c>
      <c r="R472" s="30">
        <f>'Equity Volume Data'!U472*'Equity Price Data'!X473</f>
        <v>0</v>
      </c>
      <c r="S472" s="30">
        <f>'Equity Volume Data'!V472*'Equity Price Data'!Y473</f>
        <v>0</v>
      </c>
      <c r="T472" s="30">
        <f>'Equity Volume Data'!W472*'Equity Price Data'!Z473</f>
        <v>0</v>
      </c>
      <c r="U472" s="30">
        <f>'Equity Volume Data'!X472*'Equity Price Data'!AA473</f>
        <v>0</v>
      </c>
      <c r="V472" s="30">
        <f>'Equity Volume Data'!Y472*'Equity Price Data'!AB473</f>
        <v>0</v>
      </c>
      <c r="W472" s="30">
        <f>'Equity Volume Data'!Z472*'Equity Price Data'!AC473</f>
        <v>0</v>
      </c>
      <c r="X472" s="30">
        <f>'Equity Volume Data'!AA472*'Equity Price Data'!AD473</f>
        <v>0</v>
      </c>
      <c r="Y472" s="30">
        <f>'Equity Volume Data'!AB472*'Equity Price Data'!AE473</f>
        <v>0</v>
      </c>
      <c r="Z472" s="30">
        <f>'Equity Volume Data'!AC472*'Equity Price Data'!AF473</f>
        <v>0</v>
      </c>
      <c r="AA472" s="30">
        <f>'Equity Volume Data'!AD472*'Equity Price Data'!AG473</f>
        <v>0</v>
      </c>
      <c r="AB472" s="30">
        <f>'Equity Volume Data'!AE472*'Equity Price Data'!AH473</f>
        <v>0</v>
      </c>
      <c r="AC472" s="30">
        <f>'Equity Volume Data'!AF472*'Equity Price Data'!AI473</f>
        <v>0</v>
      </c>
      <c r="AD472" s="30">
        <f>'Equity Volume Data'!AG472*'Equity Price Data'!AJ473</f>
        <v>0</v>
      </c>
      <c r="AE472" s="30">
        <f>'Equity Volume Data'!AH472*'Equity Price Data'!AK473</f>
        <v>0</v>
      </c>
      <c r="AF472" s="30">
        <f>'Equity Volume Data'!AI472*'Equity Price Data'!AL473</f>
        <v>0</v>
      </c>
      <c r="AG472" s="30">
        <f>'Equity Volume Data'!AJ472*'Equity Price Data'!AM473</f>
        <v>0</v>
      </c>
      <c r="AH472" s="30">
        <f>'Equity Volume Data'!AK472*'Equity Price Data'!AN473</f>
        <v>0</v>
      </c>
      <c r="AI472" s="30">
        <f>'Equity Volume Data'!AL472*'Equity Price Data'!AO473</f>
        <v>0</v>
      </c>
      <c r="AJ472" s="30">
        <f>'Equity Volume Data'!AM472*'Equity Price Data'!AP473</f>
        <v>0</v>
      </c>
      <c r="AK472" s="30">
        <f>'Equity Volume Data'!AN472*'Equity Price Data'!AQ473</f>
        <v>0</v>
      </c>
      <c r="AL472" s="30">
        <f>'Equity Volume Data'!AO472*'Equity Price Data'!AR473</f>
        <v>0</v>
      </c>
      <c r="AM472" s="30">
        <f>'Equity Volume Data'!AP472*'Equity Price Data'!AS473</f>
        <v>0</v>
      </c>
      <c r="AN472" s="30">
        <f>'Equity Volume Data'!AQ472*'Equity Price Data'!AT473</f>
        <v>0</v>
      </c>
      <c r="AO472" s="30">
        <f>'Equity Volume Data'!AR472*'Equity Price Data'!AU473</f>
        <v>0</v>
      </c>
      <c r="AP472" s="30">
        <f>'Equity Volume Data'!AS472*'Equity Price Data'!AV473</f>
        <v>0</v>
      </c>
      <c r="AQ472" s="30">
        <f>'Equity Volume Data'!AT472*'Equity Price Data'!AW473</f>
        <v>0</v>
      </c>
      <c r="AR472" s="30">
        <f>'Equity Volume Data'!AU472*'Equity Price Data'!AX473</f>
        <v>0</v>
      </c>
      <c r="AS472" s="30">
        <f>'Equity Volume Data'!AV472*'Equity Price Data'!AY473</f>
        <v>0</v>
      </c>
      <c r="AT472" s="30">
        <f>'Equity Volume Data'!AW472*'Equity Price Data'!AZ473</f>
        <v>0</v>
      </c>
      <c r="AU472" s="30">
        <f>'Equity Volume Data'!AX472*'Equity Price Data'!BA473</f>
        <v>0</v>
      </c>
      <c r="AV472" s="30">
        <f>'Equity Volume Data'!AY472*'Equity Price Data'!BB473</f>
        <v>0</v>
      </c>
      <c r="AW472" s="30">
        <f>'Equity Volume Data'!AZ472*'Equity Price Data'!BC473</f>
        <v>0</v>
      </c>
      <c r="AX472" s="30">
        <f>'Equity Volume Data'!BA472*'Equity Price Data'!BD473</f>
        <v>0</v>
      </c>
      <c r="AY472" s="30">
        <f>'Equity Volume Data'!BB472*'Equity Price Data'!BE473</f>
        <v>0</v>
      </c>
      <c r="AZ472" s="30">
        <f>'Equity Volume Data'!BC472*'Equity Price Data'!BF473</f>
        <v>0</v>
      </c>
      <c r="BA472" s="30">
        <f>'Equity Volume Data'!BD472*'Equity Price Data'!BG473</f>
        <v>0</v>
      </c>
      <c r="BB472" s="30">
        <f>'Equity Volume Data'!BE472*'Equity Price Data'!BH473</f>
        <v>0</v>
      </c>
      <c r="BC472" s="30">
        <f>'Equity Volume Data'!BF472*'Equity Price Data'!BI473</f>
        <v>0</v>
      </c>
      <c r="BD472" s="30">
        <f>'Equity Volume Data'!BG472*'Equity Price Data'!BJ473</f>
        <v>0</v>
      </c>
      <c r="BE472" s="30">
        <f>'Equity Volume Data'!BH472*'Equity Price Data'!BK473</f>
        <v>0</v>
      </c>
      <c r="BF472" s="30">
        <f>'Equity Volume Data'!BI472*'Equity Price Data'!BL473</f>
        <v>0</v>
      </c>
      <c r="BG472" s="30">
        <f>'Equity Volume Data'!BJ472*'Equity Price Data'!BM473</f>
        <v>0</v>
      </c>
      <c r="BH472" s="30">
        <f>'Equity Volume Data'!BK472*'Equity Price Data'!BN473</f>
        <v>0</v>
      </c>
      <c r="BI472" s="30">
        <f>'Equity Volume Data'!BL472*'Equity Price Data'!BO473</f>
        <v>0</v>
      </c>
      <c r="BJ472" s="30">
        <f>'Equity Volume Data'!BM472*'Equity Price Data'!BP473</f>
        <v>0</v>
      </c>
      <c r="BK472" s="30">
        <f>'Equity Volume Data'!BN472*'Equity Price Data'!BQ473</f>
        <v>0</v>
      </c>
      <c r="BL472" s="30">
        <f>'Equity Volume Data'!BO472*'Equity Price Data'!BR473</f>
        <v>0</v>
      </c>
      <c r="BM472" s="30">
        <f>'Equity Volume Data'!BP472*'Equity Price Data'!BS473</f>
        <v>0</v>
      </c>
      <c r="BN472" s="30">
        <f>'Equity Volume Data'!BQ472*'Equity Price Data'!BT473</f>
        <v>0</v>
      </c>
      <c r="BO472" s="30">
        <v>65366.0</v>
      </c>
    </row>
    <row r="473">
      <c r="A473" s="25" t="str">
        <f>'Equity Price Data'!A474</f>
        <v/>
      </c>
      <c r="B473" s="29">
        <f t="shared" si="1"/>
        <v>65366</v>
      </c>
      <c r="C473" s="30">
        <f>'Equity Volume Data'!F473*'Equity Price Data'!I474</f>
        <v>0</v>
      </c>
      <c r="D473" s="30">
        <f>'Equity Volume Data'!G473*'Equity Price Data'!J474</f>
        <v>0</v>
      </c>
      <c r="E473" s="30">
        <f>'Equity Volume Data'!H473*'Equity Price Data'!K474</f>
        <v>0</v>
      </c>
      <c r="F473" s="30">
        <f>'Equity Volume Data'!I473*'Equity Price Data'!L474</f>
        <v>0</v>
      </c>
      <c r="G473" s="30">
        <f>'Equity Volume Data'!J473*'Equity Price Data'!M474</f>
        <v>0</v>
      </c>
      <c r="H473" s="30">
        <f>'Equity Volume Data'!K473*'Equity Price Data'!N474</f>
        <v>0</v>
      </c>
      <c r="I473" s="30">
        <f>'Equity Volume Data'!L473*'Equity Price Data'!O474</f>
        <v>0</v>
      </c>
      <c r="J473" s="30">
        <f>'Equity Volume Data'!M473*'Equity Price Data'!P474</f>
        <v>0</v>
      </c>
      <c r="K473" s="30">
        <f>'Equity Volume Data'!N473*'Equity Price Data'!Q474</f>
        <v>0</v>
      </c>
      <c r="L473" s="30">
        <f>'Equity Volume Data'!O473*'Equity Price Data'!R474</f>
        <v>0</v>
      </c>
      <c r="M473" s="30">
        <f>'Equity Volume Data'!P473*'Equity Price Data'!S474</f>
        <v>0</v>
      </c>
      <c r="N473" s="30">
        <f>'Equity Volume Data'!Q473*'Equity Price Data'!T474</f>
        <v>0</v>
      </c>
      <c r="O473" s="30">
        <f>'Equity Volume Data'!R473*'Equity Price Data'!U474</f>
        <v>0</v>
      </c>
      <c r="P473" s="30">
        <f>'Equity Volume Data'!S473*'Equity Price Data'!V474</f>
        <v>0</v>
      </c>
      <c r="Q473" s="30">
        <f>'Equity Volume Data'!T473*'Equity Price Data'!W474</f>
        <v>0</v>
      </c>
      <c r="R473" s="30">
        <f>'Equity Volume Data'!U473*'Equity Price Data'!X474</f>
        <v>0</v>
      </c>
      <c r="S473" s="30">
        <f>'Equity Volume Data'!V473*'Equity Price Data'!Y474</f>
        <v>0</v>
      </c>
      <c r="T473" s="30">
        <f>'Equity Volume Data'!W473*'Equity Price Data'!Z474</f>
        <v>0</v>
      </c>
      <c r="U473" s="30">
        <f>'Equity Volume Data'!X473*'Equity Price Data'!AA474</f>
        <v>0</v>
      </c>
      <c r="V473" s="30">
        <f>'Equity Volume Data'!Y473*'Equity Price Data'!AB474</f>
        <v>0</v>
      </c>
      <c r="W473" s="30">
        <f>'Equity Volume Data'!Z473*'Equity Price Data'!AC474</f>
        <v>0</v>
      </c>
      <c r="X473" s="30">
        <f>'Equity Volume Data'!AA473*'Equity Price Data'!AD474</f>
        <v>0</v>
      </c>
      <c r="Y473" s="30">
        <f>'Equity Volume Data'!AB473*'Equity Price Data'!AE474</f>
        <v>0</v>
      </c>
      <c r="Z473" s="30">
        <f>'Equity Volume Data'!AC473*'Equity Price Data'!AF474</f>
        <v>0</v>
      </c>
      <c r="AA473" s="30">
        <f>'Equity Volume Data'!AD473*'Equity Price Data'!AG474</f>
        <v>0</v>
      </c>
      <c r="AB473" s="30">
        <f>'Equity Volume Data'!AE473*'Equity Price Data'!AH474</f>
        <v>0</v>
      </c>
      <c r="AC473" s="30">
        <f>'Equity Volume Data'!AF473*'Equity Price Data'!AI474</f>
        <v>0</v>
      </c>
      <c r="AD473" s="30">
        <f>'Equity Volume Data'!AG473*'Equity Price Data'!AJ474</f>
        <v>0</v>
      </c>
      <c r="AE473" s="30">
        <f>'Equity Volume Data'!AH473*'Equity Price Data'!AK474</f>
        <v>0</v>
      </c>
      <c r="AF473" s="30">
        <f>'Equity Volume Data'!AI473*'Equity Price Data'!AL474</f>
        <v>0</v>
      </c>
      <c r="AG473" s="30">
        <f>'Equity Volume Data'!AJ473*'Equity Price Data'!AM474</f>
        <v>0</v>
      </c>
      <c r="AH473" s="30">
        <f>'Equity Volume Data'!AK473*'Equity Price Data'!AN474</f>
        <v>0</v>
      </c>
      <c r="AI473" s="30">
        <f>'Equity Volume Data'!AL473*'Equity Price Data'!AO474</f>
        <v>0</v>
      </c>
      <c r="AJ473" s="30">
        <f>'Equity Volume Data'!AM473*'Equity Price Data'!AP474</f>
        <v>0</v>
      </c>
      <c r="AK473" s="30">
        <f>'Equity Volume Data'!AN473*'Equity Price Data'!AQ474</f>
        <v>0</v>
      </c>
      <c r="AL473" s="30">
        <f>'Equity Volume Data'!AO473*'Equity Price Data'!AR474</f>
        <v>0</v>
      </c>
      <c r="AM473" s="30">
        <f>'Equity Volume Data'!AP473*'Equity Price Data'!AS474</f>
        <v>0</v>
      </c>
      <c r="AN473" s="30">
        <f>'Equity Volume Data'!AQ473*'Equity Price Data'!AT474</f>
        <v>0</v>
      </c>
      <c r="AO473" s="30">
        <f>'Equity Volume Data'!AR473*'Equity Price Data'!AU474</f>
        <v>0</v>
      </c>
      <c r="AP473" s="30">
        <f>'Equity Volume Data'!AS473*'Equity Price Data'!AV474</f>
        <v>0</v>
      </c>
      <c r="AQ473" s="30">
        <f>'Equity Volume Data'!AT473*'Equity Price Data'!AW474</f>
        <v>0</v>
      </c>
      <c r="AR473" s="30">
        <f>'Equity Volume Data'!AU473*'Equity Price Data'!AX474</f>
        <v>0</v>
      </c>
      <c r="AS473" s="30">
        <f>'Equity Volume Data'!AV473*'Equity Price Data'!AY474</f>
        <v>0</v>
      </c>
      <c r="AT473" s="30">
        <f>'Equity Volume Data'!AW473*'Equity Price Data'!AZ474</f>
        <v>0</v>
      </c>
      <c r="AU473" s="30">
        <f>'Equity Volume Data'!AX473*'Equity Price Data'!BA474</f>
        <v>0</v>
      </c>
      <c r="AV473" s="30">
        <f>'Equity Volume Data'!AY473*'Equity Price Data'!BB474</f>
        <v>0</v>
      </c>
      <c r="AW473" s="30">
        <f>'Equity Volume Data'!AZ473*'Equity Price Data'!BC474</f>
        <v>0</v>
      </c>
      <c r="AX473" s="30">
        <f>'Equity Volume Data'!BA473*'Equity Price Data'!BD474</f>
        <v>0</v>
      </c>
      <c r="AY473" s="30">
        <f>'Equity Volume Data'!BB473*'Equity Price Data'!BE474</f>
        <v>0</v>
      </c>
      <c r="AZ473" s="30">
        <f>'Equity Volume Data'!BC473*'Equity Price Data'!BF474</f>
        <v>0</v>
      </c>
      <c r="BA473" s="30">
        <f>'Equity Volume Data'!BD473*'Equity Price Data'!BG474</f>
        <v>0</v>
      </c>
      <c r="BB473" s="30">
        <f>'Equity Volume Data'!BE473*'Equity Price Data'!BH474</f>
        <v>0</v>
      </c>
      <c r="BC473" s="30">
        <f>'Equity Volume Data'!BF473*'Equity Price Data'!BI474</f>
        <v>0</v>
      </c>
      <c r="BD473" s="30">
        <f>'Equity Volume Data'!BG473*'Equity Price Data'!BJ474</f>
        <v>0</v>
      </c>
      <c r="BE473" s="30">
        <f>'Equity Volume Data'!BH473*'Equity Price Data'!BK474</f>
        <v>0</v>
      </c>
      <c r="BF473" s="30">
        <f>'Equity Volume Data'!BI473*'Equity Price Data'!BL474</f>
        <v>0</v>
      </c>
      <c r="BG473" s="30">
        <f>'Equity Volume Data'!BJ473*'Equity Price Data'!BM474</f>
        <v>0</v>
      </c>
      <c r="BH473" s="30">
        <f>'Equity Volume Data'!BK473*'Equity Price Data'!BN474</f>
        <v>0</v>
      </c>
      <c r="BI473" s="30">
        <f>'Equity Volume Data'!BL473*'Equity Price Data'!BO474</f>
        <v>0</v>
      </c>
      <c r="BJ473" s="30">
        <f>'Equity Volume Data'!BM473*'Equity Price Data'!BP474</f>
        <v>0</v>
      </c>
      <c r="BK473" s="30">
        <f>'Equity Volume Data'!BN473*'Equity Price Data'!BQ474</f>
        <v>0</v>
      </c>
      <c r="BL473" s="30">
        <f>'Equity Volume Data'!BO473*'Equity Price Data'!BR474</f>
        <v>0</v>
      </c>
      <c r="BM473" s="30">
        <f>'Equity Volume Data'!BP473*'Equity Price Data'!BS474</f>
        <v>0</v>
      </c>
      <c r="BN473" s="30">
        <f>'Equity Volume Data'!BQ473*'Equity Price Data'!BT474</f>
        <v>0</v>
      </c>
      <c r="BO473" s="30">
        <v>65366.0</v>
      </c>
    </row>
    <row r="474">
      <c r="A474" s="25" t="str">
        <f>'Equity Price Data'!A475</f>
        <v/>
      </c>
      <c r="B474" s="29">
        <f t="shared" si="1"/>
        <v>65366</v>
      </c>
      <c r="C474" s="30">
        <f>'Equity Volume Data'!F474*'Equity Price Data'!I475</f>
        <v>0</v>
      </c>
      <c r="D474" s="30">
        <f>'Equity Volume Data'!G474*'Equity Price Data'!J475</f>
        <v>0</v>
      </c>
      <c r="E474" s="30">
        <f>'Equity Volume Data'!H474*'Equity Price Data'!K475</f>
        <v>0</v>
      </c>
      <c r="F474" s="30">
        <f>'Equity Volume Data'!I474*'Equity Price Data'!L475</f>
        <v>0</v>
      </c>
      <c r="G474" s="30">
        <f>'Equity Volume Data'!J474*'Equity Price Data'!M475</f>
        <v>0</v>
      </c>
      <c r="H474" s="30">
        <f>'Equity Volume Data'!K474*'Equity Price Data'!N475</f>
        <v>0</v>
      </c>
      <c r="I474" s="30">
        <f>'Equity Volume Data'!L474*'Equity Price Data'!O475</f>
        <v>0</v>
      </c>
      <c r="J474" s="30">
        <f>'Equity Volume Data'!M474*'Equity Price Data'!P475</f>
        <v>0</v>
      </c>
      <c r="K474" s="30">
        <f>'Equity Volume Data'!N474*'Equity Price Data'!Q475</f>
        <v>0</v>
      </c>
      <c r="L474" s="30">
        <f>'Equity Volume Data'!O474*'Equity Price Data'!R475</f>
        <v>0</v>
      </c>
      <c r="M474" s="30">
        <f>'Equity Volume Data'!P474*'Equity Price Data'!S475</f>
        <v>0</v>
      </c>
      <c r="N474" s="30">
        <f>'Equity Volume Data'!Q474*'Equity Price Data'!T475</f>
        <v>0</v>
      </c>
      <c r="O474" s="30">
        <f>'Equity Volume Data'!R474*'Equity Price Data'!U475</f>
        <v>0</v>
      </c>
      <c r="P474" s="30">
        <f>'Equity Volume Data'!S474*'Equity Price Data'!V475</f>
        <v>0</v>
      </c>
      <c r="Q474" s="30">
        <f>'Equity Volume Data'!T474*'Equity Price Data'!W475</f>
        <v>0</v>
      </c>
      <c r="R474" s="30">
        <f>'Equity Volume Data'!U474*'Equity Price Data'!X475</f>
        <v>0</v>
      </c>
      <c r="S474" s="30">
        <f>'Equity Volume Data'!V474*'Equity Price Data'!Y475</f>
        <v>0</v>
      </c>
      <c r="T474" s="30">
        <f>'Equity Volume Data'!W474*'Equity Price Data'!Z475</f>
        <v>0</v>
      </c>
      <c r="U474" s="30">
        <f>'Equity Volume Data'!X474*'Equity Price Data'!AA475</f>
        <v>0</v>
      </c>
      <c r="V474" s="30">
        <f>'Equity Volume Data'!Y474*'Equity Price Data'!AB475</f>
        <v>0</v>
      </c>
      <c r="W474" s="30">
        <f>'Equity Volume Data'!Z474*'Equity Price Data'!AC475</f>
        <v>0</v>
      </c>
      <c r="X474" s="30">
        <f>'Equity Volume Data'!AA474*'Equity Price Data'!AD475</f>
        <v>0</v>
      </c>
      <c r="Y474" s="30">
        <f>'Equity Volume Data'!AB474*'Equity Price Data'!AE475</f>
        <v>0</v>
      </c>
      <c r="Z474" s="30">
        <f>'Equity Volume Data'!AC474*'Equity Price Data'!AF475</f>
        <v>0</v>
      </c>
      <c r="AA474" s="30">
        <f>'Equity Volume Data'!AD474*'Equity Price Data'!AG475</f>
        <v>0</v>
      </c>
      <c r="AB474" s="30">
        <f>'Equity Volume Data'!AE474*'Equity Price Data'!AH475</f>
        <v>0</v>
      </c>
      <c r="AC474" s="30">
        <f>'Equity Volume Data'!AF474*'Equity Price Data'!AI475</f>
        <v>0</v>
      </c>
      <c r="AD474" s="30">
        <f>'Equity Volume Data'!AG474*'Equity Price Data'!AJ475</f>
        <v>0</v>
      </c>
      <c r="AE474" s="30">
        <f>'Equity Volume Data'!AH474*'Equity Price Data'!AK475</f>
        <v>0</v>
      </c>
      <c r="AF474" s="30">
        <f>'Equity Volume Data'!AI474*'Equity Price Data'!AL475</f>
        <v>0</v>
      </c>
      <c r="AG474" s="30">
        <f>'Equity Volume Data'!AJ474*'Equity Price Data'!AM475</f>
        <v>0</v>
      </c>
      <c r="AH474" s="30">
        <f>'Equity Volume Data'!AK474*'Equity Price Data'!AN475</f>
        <v>0</v>
      </c>
      <c r="AI474" s="30">
        <f>'Equity Volume Data'!AL474*'Equity Price Data'!AO475</f>
        <v>0</v>
      </c>
      <c r="AJ474" s="30">
        <f>'Equity Volume Data'!AM474*'Equity Price Data'!AP475</f>
        <v>0</v>
      </c>
      <c r="AK474" s="30">
        <f>'Equity Volume Data'!AN474*'Equity Price Data'!AQ475</f>
        <v>0</v>
      </c>
      <c r="AL474" s="30">
        <f>'Equity Volume Data'!AO474*'Equity Price Data'!AR475</f>
        <v>0</v>
      </c>
      <c r="AM474" s="30">
        <f>'Equity Volume Data'!AP474*'Equity Price Data'!AS475</f>
        <v>0</v>
      </c>
      <c r="AN474" s="30">
        <f>'Equity Volume Data'!AQ474*'Equity Price Data'!AT475</f>
        <v>0</v>
      </c>
      <c r="AO474" s="30">
        <f>'Equity Volume Data'!AR474*'Equity Price Data'!AU475</f>
        <v>0</v>
      </c>
      <c r="AP474" s="30">
        <f>'Equity Volume Data'!AS474*'Equity Price Data'!AV475</f>
        <v>0</v>
      </c>
      <c r="AQ474" s="30">
        <f>'Equity Volume Data'!AT474*'Equity Price Data'!AW475</f>
        <v>0</v>
      </c>
      <c r="AR474" s="30">
        <f>'Equity Volume Data'!AU474*'Equity Price Data'!AX475</f>
        <v>0</v>
      </c>
      <c r="AS474" s="30">
        <f>'Equity Volume Data'!AV474*'Equity Price Data'!AY475</f>
        <v>0</v>
      </c>
      <c r="AT474" s="30">
        <f>'Equity Volume Data'!AW474*'Equity Price Data'!AZ475</f>
        <v>0</v>
      </c>
      <c r="AU474" s="30">
        <f>'Equity Volume Data'!AX474*'Equity Price Data'!BA475</f>
        <v>0</v>
      </c>
      <c r="AV474" s="30">
        <f>'Equity Volume Data'!AY474*'Equity Price Data'!BB475</f>
        <v>0</v>
      </c>
      <c r="AW474" s="30">
        <f>'Equity Volume Data'!AZ474*'Equity Price Data'!BC475</f>
        <v>0</v>
      </c>
      <c r="AX474" s="30">
        <f>'Equity Volume Data'!BA474*'Equity Price Data'!BD475</f>
        <v>0</v>
      </c>
      <c r="AY474" s="30">
        <f>'Equity Volume Data'!BB474*'Equity Price Data'!BE475</f>
        <v>0</v>
      </c>
      <c r="AZ474" s="30">
        <f>'Equity Volume Data'!BC474*'Equity Price Data'!BF475</f>
        <v>0</v>
      </c>
      <c r="BA474" s="30">
        <f>'Equity Volume Data'!BD474*'Equity Price Data'!BG475</f>
        <v>0</v>
      </c>
      <c r="BB474" s="30">
        <f>'Equity Volume Data'!BE474*'Equity Price Data'!BH475</f>
        <v>0</v>
      </c>
      <c r="BC474" s="30">
        <f>'Equity Volume Data'!BF474*'Equity Price Data'!BI475</f>
        <v>0</v>
      </c>
      <c r="BD474" s="30">
        <f>'Equity Volume Data'!BG474*'Equity Price Data'!BJ475</f>
        <v>0</v>
      </c>
      <c r="BE474" s="30">
        <f>'Equity Volume Data'!BH474*'Equity Price Data'!BK475</f>
        <v>0</v>
      </c>
      <c r="BF474" s="30">
        <f>'Equity Volume Data'!BI474*'Equity Price Data'!BL475</f>
        <v>0</v>
      </c>
      <c r="BG474" s="30">
        <f>'Equity Volume Data'!BJ474*'Equity Price Data'!BM475</f>
        <v>0</v>
      </c>
      <c r="BH474" s="30">
        <f>'Equity Volume Data'!BK474*'Equity Price Data'!BN475</f>
        <v>0</v>
      </c>
      <c r="BI474" s="30">
        <f>'Equity Volume Data'!BL474*'Equity Price Data'!BO475</f>
        <v>0</v>
      </c>
      <c r="BJ474" s="30">
        <f>'Equity Volume Data'!BM474*'Equity Price Data'!BP475</f>
        <v>0</v>
      </c>
      <c r="BK474" s="30">
        <f>'Equity Volume Data'!BN474*'Equity Price Data'!BQ475</f>
        <v>0</v>
      </c>
      <c r="BL474" s="30">
        <f>'Equity Volume Data'!BO474*'Equity Price Data'!BR475</f>
        <v>0</v>
      </c>
      <c r="BM474" s="30">
        <f>'Equity Volume Data'!BP474*'Equity Price Data'!BS475</f>
        <v>0</v>
      </c>
      <c r="BN474" s="30">
        <f>'Equity Volume Data'!BQ474*'Equity Price Data'!BT475</f>
        <v>0</v>
      </c>
      <c r="BO474" s="30">
        <v>65366.0</v>
      </c>
    </row>
    <row r="475">
      <c r="A475" s="25" t="str">
        <f>'Equity Price Data'!A476</f>
        <v/>
      </c>
      <c r="B475" s="29">
        <f t="shared" si="1"/>
        <v>65366</v>
      </c>
      <c r="C475" s="30">
        <f>'Equity Volume Data'!F475*'Equity Price Data'!I476</f>
        <v>0</v>
      </c>
      <c r="D475" s="30">
        <f>'Equity Volume Data'!G475*'Equity Price Data'!J476</f>
        <v>0</v>
      </c>
      <c r="E475" s="30">
        <f>'Equity Volume Data'!H475*'Equity Price Data'!K476</f>
        <v>0</v>
      </c>
      <c r="F475" s="30">
        <f>'Equity Volume Data'!I475*'Equity Price Data'!L476</f>
        <v>0</v>
      </c>
      <c r="G475" s="30">
        <f>'Equity Volume Data'!J475*'Equity Price Data'!M476</f>
        <v>0</v>
      </c>
      <c r="H475" s="30">
        <f>'Equity Volume Data'!K475*'Equity Price Data'!N476</f>
        <v>0</v>
      </c>
      <c r="I475" s="30">
        <f>'Equity Volume Data'!L475*'Equity Price Data'!O476</f>
        <v>0</v>
      </c>
      <c r="J475" s="30">
        <f>'Equity Volume Data'!M475*'Equity Price Data'!P476</f>
        <v>0</v>
      </c>
      <c r="K475" s="30">
        <f>'Equity Volume Data'!N475*'Equity Price Data'!Q476</f>
        <v>0</v>
      </c>
      <c r="L475" s="30">
        <f>'Equity Volume Data'!O475*'Equity Price Data'!R476</f>
        <v>0</v>
      </c>
      <c r="M475" s="30">
        <f>'Equity Volume Data'!P475*'Equity Price Data'!S476</f>
        <v>0</v>
      </c>
      <c r="N475" s="30">
        <f>'Equity Volume Data'!Q475*'Equity Price Data'!T476</f>
        <v>0</v>
      </c>
      <c r="O475" s="30">
        <f>'Equity Volume Data'!R475*'Equity Price Data'!U476</f>
        <v>0</v>
      </c>
      <c r="P475" s="30">
        <f>'Equity Volume Data'!S475*'Equity Price Data'!V476</f>
        <v>0</v>
      </c>
      <c r="Q475" s="30">
        <f>'Equity Volume Data'!T475*'Equity Price Data'!W476</f>
        <v>0</v>
      </c>
      <c r="R475" s="30">
        <f>'Equity Volume Data'!U475*'Equity Price Data'!X476</f>
        <v>0</v>
      </c>
      <c r="S475" s="30">
        <f>'Equity Volume Data'!V475*'Equity Price Data'!Y476</f>
        <v>0</v>
      </c>
      <c r="T475" s="30">
        <f>'Equity Volume Data'!W475*'Equity Price Data'!Z476</f>
        <v>0</v>
      </c>
      <c r="U475" s="30">
        <f>'Equity Volume Data'!X475*'Equity Price Data'!AA476</f>
        <v>0</v>
      </c>
      <c r="V475" s="30">
        <f>'Equity Volume Data'!Y475*'Equity Price Data'!AB476</f>
        <v>0</v>
      </c>
      <c r="W475" s="30">
        <f>'Equity Volume Data'!Z475*'Equity Price Data'!AC476</f>
        <v>0</v>
      </c>
      <c r="X475" s="30">
        <f>'Equity Volume Data'!AA475*'Equity Price Data'!AD476</f>
        <v>0</v>
      </c>
      <c r="Y475" s="30">
        <f>'Equity Volume Data'!AB475*'Equity Price Data'!AE476</f>
        <v>0</v>
      </c>
      <c r="Z475" s="30">
        <f>'Equity Volume Data'!AC475*'Equity Price Data'!AF476</f>
        <v>0</v>
      </c>
      <c r="AA475" s="30">
        <f>'Equity Volume Data'!AD475*'Equity Price Data'!AG476</f>
        <v>0</v>
      </c>
      <c r="AB475" s="30">
        <f>'Equity Volume Data'!AE475*'Equity Price Data'!AH476</f>
        <v>0</v>
      </c>
      <c r="AC475" s="30">
        <f>'Equity Volume Data'!AF475*'Equity Price Data'!AI476</f>
        <v>0</v>
      </c>
      <c r="AD475" s="30">
        <f>'Equity Volume Data'!AG475*'Equity Price Data'!AJ476</f>
        <v>0</v>
      </c>
      <c r="AE475" s="30">
        <f>'Equity Volume Data'!AH475*'Equity Price Data'!AK476</f>
        <v>0</v>
      </c>
      <c r="AF475" s="30">
        <f>'Equity Volume Data'!AI475*'Equity Price Data'!AL476</f>
        <v>0</v>
      </c>
      <c r="AG475" s="30">
        <f>'Equity Volume Data'!AJ475*'Equity Price Data'!AM476</f>
        <v>0</v>
      </c>
      <c r="AH475" s="30">
        <f>'Equity Volume Data'!AK475*'Equity Price Data'!AN476</f>
        <v>0</v>
      </c>
      <c r="AI475" s="30">
        <f>'Equity Volume Data'!AL475*'Equity Price Data'!AO476</f>
        <v>0</v>
      </c>
      <c r="AJ475" s="30">
        <f>'Equity Volume Data'!AM475*'Equity Price Data'!AP476</f>
        <v>0</v>
      </c>
      <c r="AK475" s="30">
        <f>'Equity Volume Data'!AN475*'Equity Price Data'!AQ476</f>
        <v>0</v>
      </c>
      <c r="AL475" s="30">
        <f>'Equity Volume Data'!AO475*'Equity Price Data'!AR476</f>
        <v>0</v>
      </c>
      <c r="AM475" s="30">
        <f>'Equity Volume Data'!AP475*'Equity Price Data'!AS476</f>
        <v>0</v>
      </c>
      <c r="AN475" s="30">
        <f>'Equity Volume Data'!AQ475*'Equity Price Data'!AT476</f>
        <v>0</v>
      </c>
      <c r="AO475" s="30">
        <f>'Equity Volume Data'!AR475*'Equity Price Data'!AU476</f>
        <v>0</v>
      </c>
      <c r="AP475" s="30">
        <f>'Equity Volume Data'!AS475*'Equity Price Data'!AV476</f>
        <v>0</v>
      </c>
      <c r="AQ475" s="30">
        <f>'Equity Volume Data'!AT475*'Equity Price Data'!AW476</f>
        <v>0</v>
      </c>
      <c r="AR475" s="30">
        <f>'Equity Volume Data'!AU475*'Equity Price Data'!AX476</f>
        <v>0</v>
      </c>
      <c r="AS475" s="30">
        <f>'Equity Volume Data'!AV475*'Equity Price Data'!AY476</f>
        <v>0</v>
      </c>
      <c r="AT475" s="30">
        <f>'Equity Volume Data'!AW475*'Equity Price Data'!AZ476</f>
        <v>0</v>
      </c>
      <c r="AU475" s="30">
        <f>'Equity Volume Data'!AX475*'Equity Price Data'!BA476</f>
        <v>0</v>
      </c>
      <c r="AV475" s="30">
        <f>'Equity Volume Data'!AY475*'Equity Price Data'!BB476</f>
        <v>0</v>
      </c>
      <c r="AW475" s="30">
        <f>'Equity Volume Data'!AZ475*'Equity Price Data'!BC476</f>
        <v>0</v>
      </c>
      <c r="AX475" s="30">
        <f>'Equity Volume Data'!BA475*'Equity Price Data'!BD476</f>
        <v>0</v>
      </c>
      <c r="AY475" s="30">
        <f>'Equity Volume Data'!BB475*'Equity Price Data'!BE476</f>
        <v>0</v>
      </c>
      <c r="AZ475" s="30">
        <f>'Equity Volume Data'!BC475*'Equity Price Data'!BF476</f>
        <v>0</v>
      </c>
      <c r="BA475" s="30">
        <f>'Equity Volume Data'!BD475*'Equity Price Data'!BG476</f>
        <v>0</v>
      </c>
      <c r="BB475" s="30">
        <f>'Equity Volume Data'!BE475*'Equity Price Data'!BH476</f>
        <v>0</v>
      </c>
      <c r="BC475" s="30">
        <f>'Equity Volume Data'!BF475*'Equity Price Data'!BI476</f>
        <v>0</v>
      </c>
      <c r="BD475" s="30">
        <f>'Equity Volume Data'!BG475*'Equity Price Data'!BJ476</f>
        <v>0</v>
      </c>
      <c r="BE475" s="30">
        <f>'Equity Volume Data'!BH475*'Equity Price Data'!BK476</f>
        <v>0</v>
      </c>
      <c r="BF475" s="30">
        <f>'Equity Volume Data'!BI475*'Equity Price Data'!BL476</f>
        <v>0</v>
      </c>
      <c r="BG475" s="30">
        <f>'Equity Volume Data'!BJ475*'Equity Price Data'!BM476</f>
        <v>0</v>
      </c>
      <c r="BH475" s="30">
        <f>'Equity Volume Data'!BK475*'Equity Price Data'!BN476</f>
        <v>0</v>
      </c>
      <c r="BI475" s="30">
        <f>'Equity Volume Data'!BL475*'Equity Price Data'!BO476</f>
        <v>0</v>
      </c>
      <c r="BJ475" s="30">
        <f>'Equity Volume Data'!BM475*'Equity Price Data'!BP476</f>
        <v>0</v>
      </c>
      <c r="BK475" s="30">
        <f>'Equity Volume Data'!BN475*'Equity Price Data'!BQ476</f>
        <v>0</v>
      </c>
      <c r="BL475" s="30">
        <f>'Equity Volume Data'!BO475*'Equity Price Data'!BR476</f>
        <v>0</v>
      </c>
      <c r="BM475" s="30">
        <f>'Equity Volume Data'!BP475*'Equity Price Data'!BS476</f>
        <v>0</v>
      </c>
      <c r="BN475" s="30">
        <f>'Equity Volume Data'!BQ475*'Equity Price Data'!BT476</f>
        <v>0</v>
      </c>
      <c r="BO475" s="30">
        <v>65366.0</v>
      </c>
    </row>
    <row r="476">
      <c r="A476" s="25" t="str">
        <f>'Equity Price Data'!A477</f>
        <v/>
      </c>
      <c r="B476" s="29">
        <f t="shared" si="1"/>
        <v>65366</v>
      </c>
      <c r="C476" s="30">
        <f>'Equity Volume Data'!F476*'Equity Price Data'!I477</f>
        <v>0</v>
      </c>
      <c r="D476" s="30">
        <f>'Equity Volume Data'!G476*'Equity Price Data'!J477</f>
        <v>0</v>
      </c>
      <c r="E476" s="30">
        <f>'Equity Volume Data'!H476*'Equity Price Data'!K477</f>
        <v>0</v>
      </c>
      <c r="F476" s="30">
        <f>'Equity Volume Data'!I476*'Equity Price Data'!L477</f>
        <v>0</v>
      </c>
      <c r="G476" s="30">
        <f>'Equity Volume Data'!J476*'Equity Price Data'!M477</f>
        <v>0</v>
      </c>
      <c r="H476" s="30">
        <f>'Equity Volume Data'!K476*'Equity Price Data'!N477</f>
        <v>0</v>
      </c>
      <c r="I476" s="30">
        <f>'Equity Volume Data'!L476*'Equity Price Data'!O477</f>
        <v>0</v>
      </c>
      <c r="J476" s="30">
        <f>'Equity Volume Data'!M476*'Equity Price Data'!P477</f>
        <v>0</v>
      </c>
      <c r="K476" s="30">
        <f>'Equity Volume Data'!N476*'Equity Price Data'!Q477</f>
        <v>0</v>
      </c>
      <c r="L476" s="30">
        <f>'Equity Volume Data'!O476*'Equity Price Data'!R477</f>
        <v>0</v>
      </c>
      <c r="M476" s="30">
        <f>'Equity Volume Data'!P476*'Equity Price Data'!S477</f>
        <v>0</v>
      </c>
      <c r="N476" s="30">
        <f>'Equity Volume Data'!Q476*'Equity Price Data'!T477</f>
        <v>0</v>
      </c>
      <c r="O476" s="30">
        <f>'Equity Volume Data'!R476*'Equity Price Data'!U477</f>
        <v>0</v>
      </c>
      <c r="P476" s="30">
        <f>'Equity Volume Data'!S476*'Equity Price Data'!V477</f>
        <v>0</v>
      </c>
      <c r="Q476" s="30">
        <f>'Equity Volume Data'!T476*'Equity Price Data'!W477</f>
        <v>0</v>
      </c>
      <c r="R476" s="30">
        <f>'Equity Volume Data'!U476*'Equity Price Data'!X477</f>
        <v>0</v>
      </c>
      <c r="S476" s="30">
        <f>'Equity Volume Data'!V476*'Equity Price Data'!Y477</f>
        <v>0</v>
      </c>
      <c r="T476" s="30">
        <f>'Equity Volume Data'!W476*'Equity Price Data'!Z477</f>
        <v>0</v>
      </c>
      <c r="U476" s="30">
        <f>'Equity Volume Data'!X476*'Equity Price Data'!AA477</f>
        <v>0</v>
      </c>
      <c r="V476" s="30">
        <f>'Equity Volume Data'!Y476*'Equity Price Data'!AB477</f>
        <v>0</v>
      </c>
      <c r="W476" s="30">
        <f>'Equity Volume Data'!Z476*'Equity Price Data'!AC477</f>
        <v>0</v>
      </c>
      <c r="X476" s="30">
        <f>'Equity Volume Data'!AA476*'Equity Price Data'!AD477</f>
        <v>0</v>
      </c>
      <c r="Y476" s="30">
        <f>'Equity Volume Data'!AB476*'Equity Price Data'!AE477</f>
        <v>0</v>
      </c>
      <c r="Z476" s="30">
        <f>'Equity Volume Data'!AC476*'Equity Price Data'!AF477</f>
        <v>0</v>
      </c>
      <c r="AA476" s="30">
        <f>'Equity Volume Data'!AD476*'Equity Price Data'!AG477</f>
        <v>0</v>
      </c>
      <c r="AB476" s="30">
        <f>'Equity Volume Data'!AE476*'Equity Price Data'!AH477</f>
        <v>0</v>
      </c>
      <c r="AC476" s="30">
        <f>'Equity Volume Data'!AF476*'Equity Price Data'!AI477</f>
        <v>0</v>
      </c>
      <c r="AD476" s="30">
        <f>'Equity Volume Data'!AG476*'Equity Price Data'!AJ477</f>
        <v>0</v>
      </c>
      <c r="AE476" s="30">
        <f>'Equity Volume Data'!AH476*'Equity Price Data'!AK477</f>
        <v>0</v>
      </c>
      <c r="AF476" s="30">
        <f>'Equity Volume Data'!AI476*'Equity Price Data'!AL477</f>
        <v>0</v>
      </c>
      <c r="AG476" s="30">
        <f>'Equity Volume Data'!AJ476*'Equity Price Data'!AM477</f>
        <v>0</v>
      </c>
      <c r="AH476" s="30">
        <f>'Equity Volume Data'!AK476*'Equity Price Data'!AN477</f>
        <v>0</v>
      </c>
      <c r="AI476" s="30">
        <f>'Equity Volume Data'!AL476*'Equity Price Data'!AO477</f>
        <v>0</v>
      </c>
      <c r="AJ476" s="30">
        <f>'Equity Volume Data'!AM476*'Equity Price Data'!AP477</f>
        <v>0</v>
      </c>
      <c r="AK476" s="30">
        <f>'Equity Volume Data'!AN476*'Equity Price Data'!AQ477</f>
        <v>0</v>
      </c>
      <c r="AL476" s="30">
        <f>'Equity Volume Data'!AO476*'Equity Price Data'!AR477</f>
        <v>0</v>
      </c>
      <c r="AM476" s="30">
        <f>'Equity Volume Data'!AP476*'Equity Price Data'!AS477</f>
        <v>0</v>
      </c>
      <c r="AN476" s="30">
        <f>'Equity Volume Data'!AQ476*'Equity Price Data'!AT477</f>
        <v>0</v>
      </c>
      <c r="AO476" s="30">
        <f>'Equity Volume Data'!AR476*'Equity Price Data'!AU477</f>
        <v>0</v>
      </c>
      <c r="AP476" s="30">
        <f>'Equity Volume Data'!AS476*'Equity Price Data'!AV477</f>
        <v>0</v>
      </c>
      <c r="AQ476" s="30">
        <f>'Equity Volume Data'!AT476*'Equity Price Data'!AW477</f>
        <v>0</v>
      </c>
      <c r="AR476" s="30">
        <f>'Equity Volume Data'!AU476*'Equity Price Data'!AX477</f>
        <v>0</v>
      </c>
      <c r="AS476" s="30">
        <f>'Equity Volume Data'!AV476*'Equity Price Data'!AY477</f>
        <v>0</v>
      </c>
      <c r="AT476" s="30">
        <f>'Equity Volume Data'!AW476*'Equity Price Data'!AZ477</f>
        <v>0</v>
      </c>
      <c r="AU476" s="30">
        <f>'Equity Volume Data'!AX476*'Equity Price Data'!BA477</f>
        <v>0</v>
      </c>
      <c r="AV476" s="30">
        <f>'Equity Volume Data'!AY476*'Equity Price Data'!BB477</f>
        <v>0</v>
      </c>
      <c r="AW476" s="30">
        <f>'Equity Volume Data'!AZ476*'Equity Price Data'!BC477</f>
        <v>0</v>
      </c>
      <c r="AX476" s="30">
        <f>'Equity Volume Data'!BA476*'Equity Price Data'!BD477</f>
        <v>0</v>
      </c>
      <c r="AY476" s="30">
        <f>'Equity Volume Data'!BB476*'Equity Price Data'!BE477</f>
        <v>0</v>
      </c>
      <c r="AZ476" s="30">
        <f>'Equity Volume Data'!BC476*'Equity Price Data'!BF477</f>
        <v>0</v>
      </c>
      <c r="BA476" s="30">
        <f>'Equity Volume Data'!BD476*'Equity Price Data'!BG477</f>
        <v>0</v>
      </c>
      <c r="BB476" s="30">
        <f>'Equity Volume Data'!BE476*'Equity Price Data'!BH477</f>
        <v>0</v>
      </c>
      <c r="BC476" s="30">
        <f>'Equity Volume Data'!BF476*'Equity Price Data'!BI477</f>
        <v>0</v>
      </c>
      <c r="BD476" s="30">
        <f>'Equity Volume Data'!BG476*'Equity Price Data'!BJ477</f>
        <v>0</v>
      </c>
      <c r="BE476" s="30">
        <f>'Equity Volume Data'!BH476*'Equity Price Data'!BK477</f>
        <v>0</v>
      </c>
      <c r="BF476" s="30">
        <f>'Equity Volume Data'!BI476*'Equity Price Data'!BL477</f>
        <v>0</v>
      </c>
      <c r="BG476" s="30">
        <f>'Equity Volume Data'!BJ476*'Equity Price Data'!BM477</f>
        <v>0</v>
      </c>
      <c r="BH476" s="30">
        <f>'Equity Volume Data'!BK476*'Equity Price Data'!BN477</f>
        <v>0</v>
      </c>
      <c r="BI476" s="30">
        <f>'Equity Volume Data'!BL476*'Equity Price Data'!BO477</f>
        <v>0</v>
      </c>
      <c r="BJ476" s="30">
        <f>'Equity Volume Data'!BM476*'Equity Price Data'!BP477</f>
        <v>0</v>
      </c>
      <c r="BK476" s="30">
        <f>'Equity Volume Data'!BN476*'Equity Price Data'!BQ477</f>
        <v>0</v>
      </c>
      <c r="BL476" s="30">
        <f>'Equity Volume Data'!BO476*'Equity Price Data'!BR477</f>
        <v>0</v>
      </c>
      <c r="BM476" s="30">
        <f>'Equity Volume Data'!BP476*'Equity Price Data'!BS477</f>
        <v>0</v>
      </c>
      <c r="BN476" s="30">
        <f>'Equity Volume Data'!BQ476*'Equity Price Data'!BT477</f>
        <v>0</v>
      </c>
      <c r="BO476" s="30">
        <v>65366.0</v>
      </c>
    </row>
    <row r="477">
      <c r="A477" s="25" t="str">
        <f>'Equity Price Data'!A478</f>
        <v/>
      </c>
      <c r="B477" s="29">
        <f t="shared" si="1"/>
        <v>65366</v>
      </c>
      <c r="C477" s="30">
        <f>'Equity Volume Data'!F477*'Equity Price Data'!I478</f>
        <v>0</v>
      </c>
      <c r="D477" s="30">
        <f>'Equity Volume Data'!G477*'Equity Price Data'!J478</f>
        <v>0</v>
      </c>
      <c r="E477" s="30">
        <f>'Equity Volume Data'!H477*'Equity Price Data'!K478</f>
        <v>0</v>
      </c>
      <c r="F477" s="30">
        <f>'Equity Volume Data'!I477*'Equity Price Data'!L478</f>
        <v>0</v>
      </c>
      <c r="G477" s="30">
        <f>'Equity Volume Data'!J477*'Equity Price Data'!M478</f>
        <v>0</v>
      </c>
      <c r="H477" s="30">
        <f>'Equity Volume Data'!K477*'Equity Price Data'!N478</f>
        <v>0</v>
      </c>
      <c r="I477" s="30">
        <f>'Equity Volume Data'!L477*'Equity Price Data'!O478</f>
        <v>0</v>
      </c>
      <c r="J477" s="30">
        <f>'Equity Volume Data'!M477*'Equity Price Data'!P478</f>
        <v>0</v>
      </c>
      <c r="K477" s="30">
        <f>'Equity Volume Data'!N477*'Equity Price Data'!Q478</f>
        <v>0</v>
      </c>
      <c r="L477" s="30">
        <f>'Equity Volume Data'!O477*'Equity Price Data'!R478</f>
        <v>0</v>
      </c>
      <c r="M477" s="30">
        <f>'Equity Volume Data'!P477*'Equity Price Data'!S478</f>
        <v>0</v>
      </c>
      <c r="N477" s="30">
        <f>'Equity Volume Data'!Q477*'Equity Price Data'!T478</f>
        <v>0</v>
      </c>
      <c r="O477" s="30">
        <f>'Equity Volume Data'!R477*'Equity Price Data'!U478</f>
        <v>0</v>
      </c>
      <c r="P477" s="30">
        <f>'Equity Volume Data'!S477*'Equity Price Data'!V478</f>
        <v>0</v>
      </c>
      <c r="Q477" s="30">
        <f>'Equity Volume Data'!T477*'Equity Price Data'!W478</f>
        <v>0</v>
      </c>
      <c r="R477" s="30">
        <f>'Equity Volume Data'!U477*'Equity Price Data'!X478</f>
        <v>0</v>
      </c>
      <c r="S477" s="30">
        <f>'Equity Volume Data'!V477*'Equity Price Data'!Y478</f>
        <v>0</v>
      </c>
      <c r="T477" s="30">
        <f>'Equity Volume Data'!W477*'Equity Price Data'!Z478</f>
        <v>0</v>
      </c>
      <c r="U477" s="30">
        <f>'Equity Volume Data'!X477*'Equity Price Data'!AA478</f>
        <v>0</v>
      </c>
      <c r="V477" s="30">
        <f>'Equity Volume Data'!Y477*'Equity Price Data'!AB478</f>
        <v>0</v>
      </c>
      <c r="W477" s="30">
        <f>'Equity Volume Data'!Z477*'Equity Price Data'!AC478</f>
        <v>0</v>
      </c>
      <c r="X477" s="30">
        <f>'Equity Volume Data'!AA477*'Equity Price Data'!AD478</f>
        <v>0</v>
      </c>
      <c r="Y477" s="30">
        <f>'Equity Volume Data'!AB477*'Equity Price Data'!AE478</f>
        <v>0</v>
      </c>
      <c r="Z477" s="30">
        <f>'Equity Volume Data'!AC477*'Equity Price Data'!AF478</f>
        <v>0</v>
      </c>
      <c r="AA477" s="30">
        <f>'Equity Volume Data'!AD477*'Equity Price Data'!AG478</f>
        <v>0</v>
      </c>
      <c r="AB477" s="30">
        <f>'Equity Volume Data'!AE477*'Equity Price Data'!AH478</f>
        <v>0</v>
      </c>
      <c r="AC477" s="30">
        <f>'Equity Volume Data'!AF477*'Equity Price Data'!AI478</f>
        <v>0</v>
      </c>
      <c r="AD477" s="30">
        <f>'Equity Volume Data'!AG477*'Equity Price Data'!AJ478</f>
        <v>0</v>
      </c>
      <c r="AE477" s="30">
        <f>'Equity Volume Data'!AH477*'Equity Price Data'!AK478</f>
        <v>0</v>
      </c>
      <c r="AF477" s="30">
        <f>'Equity Volume Data'!AI477*'Equity Price Data'!AL478</f>
        <v>0</v>
      </c>
      <c r="AG477" s="30">
        <f>'Equity Volume Data'!AJ477*'Equity Price Data'!AM478</f>
        <v>0</v>
      </c>
      <c r="AH477" s="30">
        <f>'Equity Volume Data'!AK477*'Equity Price Data'!AN478</f>
        <v>0</v>
      </c>
      <c r="AI477" s="30">
        <f>'Equity Volume Data'!AL477*'Equity Price Data'!AO478</f>
        <v>0</v>
      </c>
      <c r="AJ477" s="30">
        <f>'Equity Volume Data'!AM477*'Equity Price Data'!AP478</f>
        <v>0</v>
      </c>
      <c r="AK477" s="30">
        <f>'Equity Volume Data'!AN477*'Equity Price Data'!AQ478</f>
        <v>0</v>
      </c>
      <c r="AL477" s="30">
        <f>'Equity Volume Data'!AO477*'Equity Price Data'!AR478</f>
        <v>0</v>
      </c>
      <c r="AM477" s="30">
        <f>'Equity Volume Data'!AP477*'Equity Price Data'!AS478</f>
        <v>0</v>
      </c>
      <c r="AN477" s="30">
        <f>'Equity Volume Data'!AQ477*'Equity Price Data'!AT478</f>
        <v>0</v>
      </c>
      <c r="AO477" s="30">
        <f>'Equity Volume Data'!AR477*'Equity Price Data'!AU478</f>
        <v>0</v>
      </c>
      <c r="AP477" s="30">
        <f>'Equity Volume Data'!AS477*'Equity Price Data'!AV478</f>
        <v>0</v>
      </c>
      <c r="AQ477" s="30">
        <f>'Equity Volume Data'!AT477*'Equity Price Data'!AW478</f>
        <v>0</v>
      </c>
      <c r="AR477" s="30">
        <f>'Equity Volume Data'!AU477*'Equity Price Data'!AX478</f>
        <v>0</v>
      </c>
      <c r="AS477" s="30">
        <f>'Equity Volume Data'!AV477*'Equity Price Data'!AY478</f>
        <v>0</v>
      </c>
      <c r="AT477" s="30">
        <f>'Equity Volume Data'!AW477*'Equity Price Data'!AZ478</f>
        <v>0</v>
      </c>
      <c r="AU477" s="30">
        <f>'Equity Volume Data'!AX477*'Equity Price Data'!BA478</f>
        <v>0</v>
      </c>
      <c r="AV477" s="30">
        <f>'Equity Volume Data'!AY477*'Equity Price Data'!BB478</f>
        <v>0</v>
      </c>
      <c r="AW477" s="30">
        <f>'Equity Volume Data'!AZ477*'Equity Price Data'!BC478</f>
        <v>0</v>
      </c>
      <c r="AX477" s="30">
        <f>'Equity Volume Data'!BA477*'Equity Price Data'!BD478</f>
        <v>0</v>
      </c>
      <c r="AY477" s="30">
        <f>'Equity Volume Data'!BB477*'Equity Price Data'!BE478</f>
        <v>0</v>
      </c>
      <c r="AZ477" s="30">
        <f>'Equity Volume Data'!BC477*'Equity Price Data'!BF478</f>
        <v>0</v>
      </c>
      <c r="BA477" s="30">
        <f>'Equity Volume Data'!BD477*'Equity Price Data'!BG478</f>
        <v>0</v>
      </c>
      <c r="BB477" s="30">
        <f>'Equity Volume Data'!BE477*'Equity Price Data'!BH478</f>
        <v>0</v>
      </c>
      <c r="BC477" s="30">
        <f>'Equity Volume Data'!BF477*'Equity Price Data'!BI478</f>
        <v>0</v>
      </c>
      <c r="BD477" s="30">
        <f>'Equity Volume Data'!BG477*'Equity Price Data'!BJ478</f>
        <v>0</v>
      </c>
      <c r="BE477" s="30">
        <f>'Equity Volume Data'!BH477*'Equity Price Data'!BK478</f>
        <v>0</v>
      </c>
      <c r="BF477" s="30">
        <f>'Equity Volume Data'!BI477*'Equity Price Data'!BL478</f>
        <v>0</v>
      </c>
      <c r="BG477" s="30">
        <f>'Equity Volume Data'!BJ477*'Equity Price Data'!BM478</f>
        <v>0</v>
      </c>
      <c r="BH477" s="30">
        <f>'Equity Volume Data'!BK477*'Equity Price Data'!BN478</f>
        <v>0</v>
      </c>
      <c r="BI477" s="30">
        <f>'Equity Volume Data'!BL477*'Equity Price Data'!BO478</f>
        <v>0</v>
      </c>
      <c r="BJ477" s="30">
        <f>'Equity Volume Data'!BM477*'Equity Price Data'!BP478</f>
        <v>0</v>
      </c>
      <c r="BK477" s="30">
        <f>'Equity Volume Data'!BN477*'Equity Price Data'!BQ478</f>
        <v>0</v>
      </c>
      <c r="BL477" s="30">
        <f>'Equity Volume Data'!BO477*'Equity Price Data'!BR478</f>
        <v>0</v>
      </c>
      <c r="BM477" s="30">
        <f>'Equity Volume Data'!BP477*'Equity Price Data'!BS478</f>
        <v>0</v>
      </c>
      <c r="BN477" s="30">
        <f>'Equity Volume Data'!BQ477*'Equity Price Data'!BT478</f>
        <v>0</v>
      </c>
      <c r="BO477" s="30">
        <v>65366.0</v>
      </c>
    </row>
    <row r="478">
      <c r="A478" s="25" t="str">
        <f>'Equity Price Data'!A479</f>
        <v/>
      </c>
      <c r="B478" s="29">
        <f t="shared" si="1"/>
        <v>65366</v>
      </c>
      <c r="C478" s="30">
        <f>'Equity Volume Data'!F478*'Equity Price Data'!I479</f>
        <v>0</v>
      </c>
      <c r="D478" s="30">
        <f>'Equity Volume Data'!G478*'Equity Price Data'!J479</f>
        <v>0</v>
      </c>
      <c r="E478" s="30">
        <f>'Equity Volume Data'!H478*'Equity Price Data'!K479</f>
        <v>0</v>
      </c>
      <c r="F478" s="30">
        <f>'Equity Volume Data'!I478*'Equity Price Data'!L479</f>
        <v>0</v>
      </c>
      <c r="G478" s="30">
        <f>'Equity Volume Data'!J478*'Equity Price Data'!M479</f>
        <v>0</v>
      </c>
      <c r="H478" s="30">
        <f>'Equity Volume Data'!K478*'Equity Price Data'!N479</f>
        <v>0</v>
      </c>
      <c r="I478" s="30">
        <f>'Equity Volume Data'!L478*'Equity Price Data'!O479</f>
        <v>0</v>
      </c>
      <c r="J478" s="30">
        <f>'Equity Volume Data'!M478*'Equity Price Data'!P479</f>
        <v>0</v>
      </c>
      <c r="K478" s="30">
        <f>'Equity Volume Data'!N478*'Equity Price Data'!Q479</f>
        <v>0</v>
      </c>
      <c r="L478" s="30">
        <f>'Equity Volume Data'!O478*'Equity Price Data'!R479</f>
        <v>0</v>
      </c>
      <c r="M478" s="30">
        <f>'Equity Volume Data'!P478*'Equity Price Data'!S479</f>
        <v>0</v>
      </c>
      <c r="N478" s="30">
        <f>'Equity Volume Data'!Q478*'Equity Price Data'!T479</f>
        <v>0</v>
      </c>
      <c r="O478" s="30">
        <f>'Equity Volume Data'!R478*'Equity Price Data'!U479</f>
        <v>0</v>
      </c>
      <c r="P478" s="30">
        <f>'Equity Volume Data'!S478*'Equity Price Data'!V479</f>
        <v>0</v>
      </c>
      <c r="Q478" s="30">
        <f>'Equity Volume Data'!T478*'Equity Price Data'!W479</f>
        <v>0</v>
      </c>
      <c r="R478" s="30">
        <f>'Equity Volume Data'!U478*'Equity Price Data'!X479</f>
        <v>0</v>
      </c>
      <c r="S478" s="30">
        <f>'Equity Volume Data'!V478*'Equity Price Data'!Y479</f>
        <v>0</v>
      </c>
      <c r="T478" s="30">
        <f>'Equity Volume Data'!W478*'Equity Price Data'!Z479</f>
        <v>0</v>
      </c>
      <c r="U478" s="30">
        <f>'Equity Volume Data'!X478*'Equity Price Data'!AA479</f>
        <v>0</v>
      </c>
      <c r="V478" s="30">
        <f>'Equity Volume Data'!Y478*'Equity Price Data'!AB479</f>
        <v>0</v>
      </c>
      <c r="W478" s="30">
        <f>'Equity Volume Data'!Z478*'Equity Price Data'!AC479</f>
        <v>0</v>
      </c>
      <c r="X478" s="30">
        <f>'Equity Volume Data'!AA478*'Equity Price Data'!AD479</f>
        <v>0</v>
      </c>
      <c r="Y478" s="30">
        <f>'Equity Volume Data'!AB478*'Equity Price Data'!AE479</f>
        <v>0</v>
      </c>
      <c r="Z478" s="30">
        <f>'Equity Volume Data'!AC478*'Equity Price Data'!AF479</f>
        <v>0</v>
      </c>
      <c r="AA478" s="30">
        <f>'Equity Volume Data'!AD478*'Equity Price Data'!AG479</f>
        <v>0</v>
      </c>
      <c r="AB478" s="30">
        <f>'Equity Volume Data'!AE478*'Equity Price Data'!AH479</f>
        <v>0</v>
      </c>
      <c r="AC478" s="30">
        <f>'Equity Volume Data'!AF478*'Equity Price Data'!AI479</f>
        <v>0</v>
      </c>
      <c r="AD478" s="30">
        <f>'Equity Volume Data'!AG478*'Equity Price Data'!AJ479</f>
        <v>0</v>
      </c>
      <c r="AE478" s="30">
        <f>'Equity Volume Data'!AH478*'Equity Price Data'!AK479</f>
        <v>0</v>
      </c>
      <c r="AF478" s="30">
        <f>'Equity Volume Data'!AI478*'Equity Price Data'!AL479</f>
        <v>0</v>
      </c>
      <c r="AG478" s="30">
        <f>'Equity Volume Data'!AJ478*'Equity Price Data'!AM479</f>
        <v>0</v>
      </c>
      <c r="AH478" s="30">
        <f>'Equity Volume Data'!AK478*'Equity Price Data'!AN479</f>
        <v>0</v>
      </c>
      <c r="AI478" s="30">
        <f>'Equity Volume Data'!AL478*'Equity Price Data'!AO479</f>
        <v>0</v>
      </c>
      <c r="AJ478" s="30">
        <f>'Equity Volume Data'!AM478*'Equity Price Data'!AP479</f>
        <v>0</v>
      </c>
      <c r="AK478" s="30">
        <f>'Equity Volume Data'!AN478*'Equity Price Data'!AQ479</f>
        <v>0</v>
      </c>
      <c r="AL478" s="30">
        <f>'Equity Volume Data'!AO478*'Equity Price Data'!AR479</f>
        <v>0</v>
      </c>
      <c r="AM478" s="30">
        <f>'Equity Volume Data'!AP478*'Equity Price Data'!AS479</f>
        <v>0</v>
      </c>
      <c r="AN478" s="30">
        <f>'Equity Volume Data'!AQ478*'Equity Price Data'!AT479</f>
        <v>0</v>
      </c>
      <c r="AO478" s="30">
        <f>'Equity Volume Data'!AR478*'Equity Price Data'!AU479</f>
        <v>0</v>
      </c>
      <c r="AP478" s="30">
        <f>'Equity Volume Data'!AS478*'Equity Price Data'!AV479</f>
        <v>0</v>
      </c>
      <c r="AQ478" s="30">
        <f>'Equity Volume Data'!AT478*'Equity Price Data'!AW479</f>
        <v>0</v>
      </c>
      <c r="AR478" s="30">
        <f>'Equity Volume Data'!AU478*'Equity Price Data'!AX479</f>
        <v>0</v>
      </c>
      <c r="AS478" s="30">
        <f>'Equity Volume Data'!AV478*'Equity Price Data'!AY479</f>
        <v>0</v>
      </c>
      <c r="AT478" s="30">
        <f>'Equity Volume Data'!AW478*'Equity Price Data'!AZ479</f>
        <v>0</v>
      </c>
      <c r="AU478" s="30">
        <f>'Equity Volume Data'!AX478*'Equity Price Data'!BA479</f>
        <v>0</v>
      </c>
      <c r="AV478" s="30">
        <f>'Equity Volume Data'!AY478*'Equity Price Data'!BB479</f>
        <v>0</v>
      </c>
      <c r="AW478" s="30">
        <f>'Equity Volume Data'!AZ478*'Equity Price Data'!BC479</f>
        <v>0</v>
      </c>
      <c r="AX478" s="30">
        <f>'Equity Volume Data'!BA478*'Equity Price Data'!BD479</f>
        <v>0</v>
      </c>
      <c r="AY478" s="30">
        <f>'Equity Volume Data'!BB478*'Equity Price Data'!BE479</f>
        <v>0</v>
      </c>
      <c r="AZ478" s="30">
        <f>'Equity Volume Data'!BC478*'Equity Price Data'!BF479</f>
        <v>0</v>
      </c>
      <c r="BA478" s="30">
        <f>'Equity Volume Data'!BD478*'Equity Price Data'!BG479</f>
        <v>0</v>
      </c>
      <c r="BB478" s="30">
        <f>'Equity Volume Data'!BE478*'Equity Price Data'!BH479</f>
        <v>0</v>
      </c>
      <c r="BC478" s="30">
        <f>'Equity Volume Data'!BF478*'Equity Price Data'!BI479</f>
        <v>0</v>
      </c>
      <c r="BD478" s="30">
        <f>'Equity Volume Data'!BG478*'Equity Price Data'!BJ479</f>
        <v>0</v>
      </c>
      <c r="BE478" s="30">
        <f>'Equity Volume Data'!BH478*'Equity Price Data'!BK479</f>
        <v>0</v>
      </c>
      <c r="BF478" s="30">
        <f>'Equity Volume Data'!BI478*'Equity Price Data'!BL479</f>
        <v>0</v>
      </c>
      <c r="BG478" s="30">
        <f>'Equity Volume Data'!BJ478*'Equity Price Data'!BM479</f>
        <v>0</v>
      </c>
      <c r="BH478" s="30">
        <f>'Equity Volume Data'!BK478*'Equity Price Data'!BN479</f>
        <v>0</v>
      </c>
      <c r="BI478" s="30">
        <f>'Equity Volume Data'!BL478*'Equity Price Data'!BO479</f>
        <v>0</v>
      </c>
      <c r="BJ478" s="30">
        <f>'Equity Volume Data'!BM478*'Equity Price Data'!BP479</f>
        <v>0</v>
      </c>
      <c r="BK478" s="30">
        <f>'Equity Volume Data'!BN478*'Equity Price Data'!BQ479</f>
        <v>0</v>
      </c>
      <c r="BL478" s="30">
        <f>'Equity Volume Data'!BO478*'Equity Price Data'!BR479</f>
        <v>0</v>
      </c>
      <c r="BM478" s="30">
        <f>'Equity Volume Data'!BP478*'Equity Price Data'!BS479</f>
        <v>0</v>
      </c>
      <c r="BN478" s="30">
        <f>'Equity Volume Data'!BQ478*'Equity Price Data'!BT479</f>
        <v>0</v>
      </c>
      <c r="BO478" s="30">
        <v>65366.0</v>
      </c>
    </row>
    <row r="479">
      <c r="A479" s="25" t="str">
        <f>'Equity Price Data'!A480</f>
        <v/>
      </c>
      <c r="B479" s="29">
        <f t="shared" si="1"/>
        <v>65366</v>
      </c>
      <c r="C479" s="30">
        <f>'Equity Volume Data'!F479*'Equity Price Data'!I480</f>
        <v>0</v>
      </c>
      <c r="D479" s="30">
        <f>'Equity Volume Data'!G479*'Equity Price Data'!J480</f>
        <v>0</v>
      </c>
      <c r="E479" s="30">
        <f>'Equity Volume Data'!H479*'Equity Price Data'!K480</f>
        <v>0</v>
      </c>
      <c r="F479" s="30">
        <f>'Equity Volume Data'!I479*'Equity Price Data'!L480</f>
        <v>0</v>
      </c>
      <c r="G479" s="30">
        <f>'Equity Volume Data'!J479*'Equity Price Data'!M480</f>
        <v>0</v>
      </c>
      <c r="H479" s="30">
        <f>'Equity Volume Data'!K479*'Equity Price Data'!N480</f>
        <v>0</v>
      </c>
      <c r="I479" s="30">
        <f>'Equity Volume Data'!L479*'Equity Price Data'!O480</f>
        <v>0</v>
      </c>
      <c r="J479" s="30">
        <f>'Equity Volume Data'!M479*'Equity Price Data'!P480</f>
        <v>0</v>
      </c>
      <c r="K479" s="30">
        <f>'Equity Volume Data'!N479*'Equity Price Data'!Q480</f>
        <v>0</v>
      </c>
      <c r="L479" s="30">
        <f>'Equity Volume Data'!O479*'Equity Price Data'!R480</f>
        <v>0</v>
      </c>
      <c r="M479" s="30">
        <f>'Equity Volume Data'!P479*'Equity Price Data'!S480</f>
        <v>0</v>
      </c>
      <c r="N479" s="30">
        <f>'Equity Volume Data'!Q479*'Equity Price Data'!T480</f>
        <v>0</v>
      </c>
      <c r="O479" s="30">
        <f>'Equity Volume Data'!R479*'Equity Price Data'!U480</f>
        <v>0</v>
      </c>
      <c r="P479" s="30">
        <f>'Equity Volume Data'!S479*'Equity Price Data'!V480</f>
        <v>0</v>
      </c>
      <c r="Q479" s="30">
        <f>'Equity Volume Data'!T479*'Equity Price Data'!W480</f>
        <v>0</v>
      </c>
      <c r="R479" s="30">
        <f>'Equity Volume Data'!U479*'Equity Price Data'!X480</f>
        <v>0</v>
      </c>
      <c r="S479" s="30">
        <f>'Equity Volume Data'!V479*'Equity Price Data'!Y480</f>
        <v>0</v>
      </c>
      <c r="T479" s="30">
        <f>'Equity Volume Data'!W479*'Equity Price Data'!Z480</f>
        <v>0</v>
      </c>
      <c r="U479" s="30">
        <f>'Equity Volume Data'!X479*'Equity Price Data'!AA480</f>
        <v>0</v>
      </c>
      <c r="V479" s="30">
        <f>'Equity Volume Data'!Y479*'Equity Price Data'!AB480</f>
        <v>0</v>
      </c>
      <c r="W479" s="30">
        <f>'Equity Volume Data'!Z479*'Equity Price Data'!AC480</f>
        <v>0</v>
      </c>
      <c r="X479" s="30">
        <f>'Equity Volume Data'!AA479*'Equity Price Data'!AD480</f>
        <v>0</v>
      </c>
      <c r="Y479" s="30">
        <f>'Equity Volume Data'!AB479*'Equity Price Data'!AE480</f>
        <v>0</v>
      </c>
      <c r="Z479" s="30">
        <f>'Equity Volume Data'!AC479*'Equity Price Data'!AF480</f>
        <v>0</v>
      </c>
      <c r="AA479" s="30">
        <f>'Equity Volume Data'!AD479*'Equity Price Data'!AG480</f>
        <v>0</v>
      </c>
      <c r="AB479" s="30">
        <f>'Equity Volume Data'!AE479*'Equity Price Data'!AH480</f>
        <v>0</v>
      </c>
      <c r="AC479" s="30">
        <f>'Equity Volume Data'!AF479*'Equity Price Data'!AI480</f>
        <v>0</v>
      </c>
      <c r="AD479" s="30">
        <f>'Equity Volume Data'!AG479*'Equity Price Data'!AJ480</f>
        <v>0</v>
      </c>
      <c r="AE479" s="30">
        <f>'Equity Volume Data'!AH479*'Equity Price Data'!AK480</f>
        <v>0</v>
      </c>
      <c r="AF479" s="30">
        <f>'Equity Volume Data'!AI479*'Equity Price Data'!AL480</f>
        <v>0</v>
      </c>
      <c r="AG479" s="30">
        <f>'Equity Volume Data'!AJ479*'Equity Price Data'!AM480</f>
        <v>0</v>
      </c>
      <c r="AH479" s="30">
        <f>'Equity Volume Data'!AK479*'Equity Price Data'!AN480</f>
        <v>0</v>
      </c>
      <c r="AI479" s="30">
        <f>'Equity Volume Data'!AL479*'Equity Price Data'!AO480</f>
        <v>0</v>
      </c>
      <c r="AJ479" s="30">
        <f>'Equity Volume Data'!AM479*'Equity Price Data'!AP480</f>
        <v>0</v>
      </c>
      <c r="AK479" s="30">
        <f>'Equity Volume Data'!AN479*'Equity Price Data'!AQ480</f>
        <v>0</v>
      </c>
      <c r="AL479" s="30">
        <f>'Equity Volume Data'!AO479*'Equity Price Data'!AR480</f>
        <v>0</v>
      </c>
      <c r="AM479" s="30">
        <f>'Equity Volume Data'!AP479*'Equity Price Data'!AS480</f>
        <v>0</v>
      </c>
      <c r="AN479" s="30">
        <f>'Equity Volume Data'!AQ479*'Equity Price Data'!AT480</f>
        <v>0</v>
      </c>
      <c r="AO479" s="30">
        <f>'Equity Volume Data'!AR479*'Equity Price Data'!AU480</f>
        <v>0</v>
      </c>
      <c r="AP479" s="30">
        <f>'Equity Volume Data'!AS479*'Equity Price Data'!AV480</f>
        <v>0</v>
      </c>
      <c r="AQ479" s="30">
        <f>'Equity Volume Data'!AT479*'Equity Price Data'!AW480</f>
        <v>0</v>
      </c>
      <c r="AR479" s="30">
        <f>'Equity Volume Data'!AU479*'Equity Price Data'!AX480</f>
        <v>0</v>
      </c>
      <c r="AS479" s="30">
        <f>'Equity Volume Data'!AV479*'Equity Price Data'!AY480</f>
        <v>0</v>
      </c>
      <c r="AT479" s="30">
        <f>'Equity Volume Data'!AW479*'Equity Price Data'!AZ480</f>
        <v>0</v>
      </c>
      <c r="AU479" s="30">
        <f>'Equity Volume Data'!AX479*'Equity Price Data'!BA480</f>
        <v>0</v>
      </c>
      <c r="AV479" s="30">
        <f>'Equity Volume Data'!AY479*'Equity Price Data'!BB480</f>
        <v>0</v>
      </c>
      <c r="AW479" s="30">
        <f>'Equity Volume Data'!AZ479*'Equity Price Data'!BC480</f>
        <v>0</v>
      </c>
      <c r="AX479" s="30">
        <f>'Equity Volume Data'!BA479*'Equity Price Data'!BD480</f>
        <v>0</v>
      </c>
      <c r="AY479" s="30">
        <f>'Equity Volume Data'!BB479*'Equity Price Data'!BE480</f>
        <v>0</v>
      </c>
      <c r="AZ479" s="30">
        <f>'Equity Volume Data'!BC479*'Equity Price Data'!BF480</f>
        <v>0</v>
      </c>
      <c r="BA479" s="30">
        <f>'Equity Volume Data'!BD479*'Equity Price Data'!BG480</f>
        <v>0</v>
      </c>
      <c r="BB479" s="30">
        <f>'Equity Volume Data'!BE479*'Equity Price Data'!BH480</f>
        <v>0</v>
      </c>
      <c r="BC479" s="30">
        <f>'Equity Volume Data'!BF479*'Equity Price Data'!BI480</f>
        <v>0</v>
      </c>
      <c r="BD479" s="30">
        <f>'Equity Volume Data'!BG479*'Equity Price Data'!BJ480</f>
        <v>0</v>
      </c>
      <c r="BE479" s="30">
        <f>'Equity Volume Data'!BH479*'Equity Price Data'!BK480</f>
        <v>0</v>
      </c>
      <c r="BF479" s="30">
        <f>'Equity Volume Data'!BI479*'Equity Price Data'!BL480</f>
        <v>0</v>
      </c>
      <c r="BG479" s="30">
        <f>'Equity Volume Data'!BJ479*'Equity Price Data'!BM480</f>
        <v>0</v>
      </c>
      <c r="BH479" s="30">
        <f>'Equity Volume Data'!BK479*'Equity Price Data'!BN480</f>
        <v>0</v>
      </c>
      <c r="BI479" s="30">
        <f>'Equity Volume Data'!BL479*'Equity Price Data'!BO480</f>
        <v>0</v>
      </c>
      <c r="BJ479" s="30">
        <f>'Equity Volume Data'!BM479*'Equity Price Data'!BP480</f>
        <v>0</v>
      </c>
      <c r="BK479" s="30">
        <f>'Equity Volume Data'!BN479*'Equity Price Data'!BQ480</f>
        <v>0</v>
      </c>
      <c r="BL479" s="30">
        <f>'Equity Volume Data'!BO479*'Equity Price Data'!BR480</f>
        <v>0</v>
      </c>
      <c r="BM479" s="30">
        <f>'Equity Volume Data'!BP479*'Equity Price Data'!BS480</f>
        <v>0</v>
      </c>
      <c r="BN479" s="30">
        <f>'Equity Volume Data'!BQ479*'Equity Price Data'!BT480</f>
        <v>0</v>
      </c>
      <c r="BO479" s="30">
        <v>65366.0</v>
      </c>
    </row>
    <row r="480">
      <c r="A480" s="25" t="str">
        <f>'Equity Price Data'!A481</f>
        <v/>
      </c>
      <c r="B480" s="29">
        <f t="shared" si="1"/>
        <v>65366</v>
      </c>
      <c r="C480" s="30">
        <f>'Equity Volume Data'!F480*'Equity Price Data'!I481</f>
        <v>0</v>
      </c>
      <c r="D480" s="30">
        <f>'Equity Volume Data'!G480*'Equity Price Data'!J481</f>
        <v>0</v>
      </c>
      <c r="E480" s="30">
        <f>'Equity Volume Data'!H480*'Equity Price Data'!K481</f>
        <v>0</v>
      </c>
      <c r="F480" s="30">
        <f>'Equity Volume Data'!I480*'Equity Price Data'!L481</f>
        <v>0</v>
      </c>
      <c r="G480" s="30">
        <f>'Equity Volume Data'!J480*'Equity Price Data'!M481</f>
        <v>0</v>
      </c>
      <c r="H480" s="30">
        <f>'Equity Volume Data'!K480*'Equity Price Data'!N481</f>
        <v>0</v>
      </c>
      <c r="I480" s="30">
        <f>'Equity Volume Data'!L480*'Equity Price Data'!O481</f>
        <v>0</v>
      </c>
      <c r="J480" s="30">
        <f>'Equity Volume Data'!M480*'Equity Price Data'!P481</f>
        <v>0</v>
      </c>
      <c r="K480" s="30">
        <f>'Equity Volume Data'!N480*'Equity Price Data'!Q481</f>
        <v>0</v>
      </c>
      <c r="L480" s="30">
        <f>'Equity Volume Data'!O480*'Equity Price Data'!R481</f>
        <v>0</v>
      </c>
      <c r="M480" s="30">
        <f>'Equity Volume Data'!P480*'Equity Price Data'!S481</f>
        <v>0</v>
      </c>
      <c r="N480" s="30">
        <f>'Equity Volume Data'!Q480*'Equity Price Data'!T481</f>
        <v>0</v>
      </c>
      <c r="O480" s="30">
        <f>'Equity Volume Data'!R480*'Equity Price Data'!U481</f>
        <v>0</v>
      </c>
      <c r="P480" s="30">
        <f>'Equity Volume Data'!S480*'Equity Price Data'!V481</f>
        <v>0</v>
      </c>
      <c r="Q480" s="30">
        <f>'Equity Volume Data'!T480*'Equity Price Data'!W481</f>
        <v>0</v>
      </c>
      <c r="R480" s="30">
        <f>'Equity Volume Data'!U480*'Equity Price Data'!X481</f>
        <v>0</v>
      </c>
      <c r="S480" s="30">
        <f>'Equity Volume Data'!V480*'Equity Price Data'!Y481</f>
        <v>0</v>
      </c>
      <c r="T480" s="30">
        <f>'Equity Volume Data'!W480*'Equity Price Data'!Z481</f>
        <v>0</v>
      </c>
      <c r="U480" s="30">
        <f>'Equity Volume Data'!X480*'Equity Price Data'!AA481</f>
        <v>0</v>
      </c>
      <c r="V480" s="30">
        <f>'Equity Volume Data'!Y480*'Equity Price Data'!AB481</f>
        <v>0</v>
      </c>
      <c r="W480" s="30">
        <f>'Equity Volume Data'!Z480*'Equity Price Data'!AC481</f>
        <v>0</v>
      </c>
      <c r="X480" s="30">
        <f>'Equity Volume Data'!AA480*'Equity Price Data'!AD481</f>
        <v>0</v>
      </c>
      <c r="Y480" s="30">
        <f>'Equity Volume Data'!AB480*'Equity Price Data'!AE481</f>
        <v>0</v>
      </c>
      <c r="Z480" s="30">
        <f>'Equity Volume Data'!AC480*'Equity Price Data'!AF481</f>
        <v>0</v>
      </c>
      <c r="AA480" s="30">
        <f>'Equity Volume Data'!AD480*'Equity Price Data'!AG481</f>
        <v>0</v>
      </c>
      <c r="AB480" s="30">
        <f>'Equity Volume Data'!AE480*'Equity Price Data'!AH481</f>
        <v>0</v>
      </c>
      <c r="AC480" s="30">
        <f>'Equity Volume Data'!AF480*'Equity Price Data'!AI481</f>
        <v>0</v>
      </c>
      <c r="AD480" s="30">
        <f>'Equity Volume Data'!AG480*'Equity Price Data'!AJ481</f>
        <v>0</v>
      </c>
      <c r="AE480" s="30">
        <f>'Equity Volume Data'!AH480*'Equity Price Data'!AK481</f>
        <v>0</v>
      </c>
      <c r="AF480" s="30">
        <f>'Equity Volume Data'!AI480*'Equity Price Data'!AL481</f>
        <v>0</v>
      </c>
      <c r="AG480" s="30">
        <f>'Equity Volume Data'!AJ480*'Equity Price Data'!AM481</f>
        <v>0</v>
      </c>
      <c r="AH480" s="30">
        <f>'Equity Volume Data'!AK480*'Equity Price Data'!AN481</f>
        <v>0</v>
      </c>
      <c r="AI480" s="30">
        <f>'Equity Volume Data'!AL480*'Equity Price Data'!AO481</f>
        <v>0</v>
      </c>
      <c r="AJ480" s="30">
        <f>'Equity Volume Data'!AM480*'Equity Price Data'!AP481</f>
        <v>0</v>
      </c>
      <c r="AK480" s="30">
        <f>'Equity Volume Data'!AN480*'Equity Price Data'!AQ481</f>
        <v>0</v>
      </c>
      <c r="AL480" s="30">
        <f>'Equity Volume Data'!AO480*'Equity Price Data'!AR481</f>
        <v>0</v>
      </c>
      <c r="AM480" s="30">
        <f>'Equity Volume Data'!AP480*'Equity Price Data'!AS481</f>
        <v>0</v>
      </c>
      <c r="AN480" s="30">
        <f>'Equity Volume Data'!AQ480*'Equity Price Data'!AT481</f>
        <v>0</v>
      </c>
      <c r="AO480" s="30">
        <f>'Equity Volume Data'!AR480*'Equity Price Data'!AU481</f>
        <v>0</v>
      </c>
      <c r="AP480" s="30">
        <f>'Equity Volume Data'!AS480*'Equity Price Data'!AV481</f>
        <v>0</v>
      </c>
      <c r="AQ480" s="30">
        <f>'Equity Volume Data'!AT480*'Equity Price Data'!AW481</f>
        <v>0</v>
      </c>
      <c r="AR480" s="30">
        <f>'Equity Volume Data'!AU480*'Equity Price Data'!AX481</f>
        <v>0</v>
      </c>
      <c r="AS480" s="30">
        <f>'Equity Volume Data'!AV480*'Equity Price Data'!AY481</f>
        <v>0</v>
      </c>
      <c r="AT480" s="30">
        <f>'Equity Volume Data'!AW480*'Equity Price Data'!AZ481</f>
        <v>0</v>
      </c>
      <c r="AU480" s="30">
        <f>'Equity Volume Data'!AX480*'Equity Price Data'!BA481</f>
        <v>0</v>
      </c>
      <c r="AV480" s="30">
        <f>'Equity Volume Data'!AY480*'Equity Price Data'!BB481</f>
        <v>0</v>
      </c>
      <c r="AW480" s="30">
        <f>'Equity Volume Data'!AZ480*'Equity Price Data'!BC481</f>
        <v>0</v>
      </c>
      <c r="AX480" s="30">
        <f>'Equity Volume Data'!BA480*'Equity Price Data'!BD481</f>
        <v>0</v>
      </c>
      <c r="AY480" s="30">
        <f>'Equity Volume Data'!BB480*'Equity Price Data'!BE481</f>
        <v>0</v>
      </c>
      <c r="AZ480" s="30">
        <f>'Equity Volume Data'!BC480*'Equity Price Data'!BF481</f>
        <v>0</v>
      </c>
      <c r="BA480" s="30">
        <f>'Equity Volume Data'!BD480*'Equity Price Data'!BG481</f>
        <v>0</v>
      </c>
      <c r="BB480" s="30">
        <f>'Equity Volume Data'!BE480*'Equity Price Data'!BH481</f>
        <v>0</v>
      </c>
      <c r="BC480" s="30">
        <f>'Equity Volume Data'!BF480*'Equity Price Data'!BI481</f>
        <v>0</v>
      </c>
      <c r="BD480" s="30">
        <f>'Equity Volume Data'!BG480*'Equity Price Data'!BJ481</f>
        <v>0</v>
      </c>
      <c r="BE480" s="30">
        <f>'Equity Volume Data'!BH480*'Equity Price Data'!BK481</f>
        <v>0</v>
      </c>
      <c r="BF480" s="30">
        <f>'Equity Volume Data'!BI480*'Equity Price Data'!BL481</f>
        <v>0</v>
      </c>
      <c r="BG480" s="30">
        <f>'Equity Volume Data'!BJ480*'Equity Price Data'!BM481</f>
        <v>0</v>
      </c>
      <c r="BH480" s="30">
        <f>'Equity Volume Data'!BK480*'Equity Price Data'!BN481</f>
        <v>0</v>
      </c>
      <c r="BI480" s="30">
        <f>'Equity Volume Data'!BL480*'Equity Price Data'!BO481</f>
        <v>0</v>
      </c>
      <c r="BJ480" s="30">
        <f>'Equity Volume Data'!BM480*'Equity Price Data'!BP481</f>
        <v>0</v>
      </c>
      <c r="BK480" s="30">
        <f>'Equity Volume Data'!BN480*'Equity Price Data'!BQ481</f>
        <v>0</v>
      </c>
      <c r="BL480" s="30">
        <f>'Equity Volume Data'!BO480*'Equity Price Data'!BR481</f>
        <v>0</v>
      </c>
      <c r="BM480" s="30">
        <f>'Equity Volume Data'!BP480*'Equity Price Data'!BS481</f>
        <v>0</v>
      </c>
      <c r="BN480" s="30">
        <f>'Equity Volume Data'!BQ480*'Equity Price Data'!BT481</f>
        <v>0</v>
      </c>
      <c r="BO480" s="30">
        <v>65366.0</v>
      </c>
    </row>
    <row r="481">
      <c r="A481" s="25" t="str">
        <f>'Equity Price Data'!A482</f>
        <v/>
      </c>
      <c r="B481" s="29">
        <f t="shared" si="1"/>
        <v>65366</v>
      </c>
      <c r="C481" s="30">
        <f>'Equity Volume Data'!F481*'Equity Price Data'!I482</f>
        <v>0</v>
      </c>
      <c r="D481" s="30">
        <f>'Equity Volume Data'!G481*'Equity Price Data'!J482</f>
        <v>0</v>
      </c>
      <c r="E481" s="30">
        <f>'Equity Volume Data'!H481*'Equity Price Data'!K482</f>
        <v>0</v>
      </c>
      <c r="F481" s="30">
        <f>'Equity Volume Data'!I481*'Equity Price Data'!L482</f>
        <v>0</v>
      </c>
      <c r="G481" s="30">
        <f>'Equity Volume Data'!J481*'Equity Price Data'!M482</f>
        <v>0</v>
      </c>
      <c r="H481" s="30">
        <f>'Equity Volume Data'!K481*'Equity Price Data'!N482</f>
        <v>0</v>
      </c>
      <c r="I481" s="30">
        <f>'Equity Volume Data'!L481*'Equity Price Data'!O482</f>
        <v>0</v>
      </c>
      <c r="J481" s="30">
        <f>'Equity Volume Data'!M481*'Equity Price Data'!P482</f>
        <v>0</v>
      </c>
      <c r="K481" s="30">
        <f>'Equity Volume Data'!N481*'Equity Price Data'!Q482</f>
        <v>0</v>
      </c>
      <c r="L481" s="30">
        <f>'Equity Volume Data'!O481*'Equity Price Data'!R482</f>
        <v>0</v>
      </c>
      <c r="M481" s="30">
        <f>'Equity Volume Data'!P481*'Equity Price Data'!S482</f>
        <v>0</v>
      </c>
      <c r="N481" s="30">
        <f>'Equity Volume Data'!Q481*'Equity Price Data'!T482</f>
        <v>0</v>
      </c>
      <c r="O481" s="30">
        <f>'Equity Volume Data'!R481*'Equity Price Data'!U482</f>
        <v>0</v>
      </c>
      <c r="P481" s="30">
        <f>'Equity Volume Data'!S481*'Equity Price Data'!V482</f>
        <v>0</v>
      </c>
      <c r="Q481" s="30">
        <f>'Equity Volume Data'!T481*'Equity Price Data'!W482</f>
        <v>0</v>
      </c>
      <c r="R481" s="30">
        <f>'Equity Volume Data'!U481*'Equity Price Data'!X482</f>
        <v>0</v>
      </c>
      <c r="S481" s="30">
        <f>'Equity Volume Data'!V481*'Equity Price Data'!Y482</f>
        <v>0</v>
      </c>
      <c r="T481" s="30">
        <f>'Equity Volume Data'!W481*'Equity Price Data'!Z482</f>
        <v>0</v>
      </c>
      <c r="U481" s="30">
        <f>'Equity Volume Data'!X481*'Equity Price Data'!AA482</f>
        <v>0</v>
      </c>
      <c r="V481" s="30">
        <f>'Equity Volume Data'!Y481*'Equity Price Data'!AB482</f>
        <v>0</v>
      </c>
      <c r="W481" s="30">
        <f>'Equity Volume Data'!Z481*'Equity Price Data'!AC482</f>
        <v>0</v>
      </c>
      <c r="X481" s="30">
        <f>'Equity Volume Data'!AA481*'Equity Price Data'!AD482</f>
        <v>0</v>
      </c>
      <c r="Y481" s="30">
        <f>'Equity Volume Data'!AB481*'Equity Price Data'!AE482</f>
        <v>0</v>
      </c>
      <c r="Z481" s="30">
        <f>'Equity Volume Data'!AC481*'Equity Price Data'!AF482</f>
        <v>0</v>
      </c>
      <c r="AA481" s="30">
        <f>'Equity Volume Data'!AD481*'Equity Price Data'!AG482</f>
        <v>0</v>
      </c>
      <c r="AB481" s="30">
        <f>'Equity Volume Data'!AE481*'Equity Price Data'!AH482</f>
        <v>0</v>
      </c>
      <c r="AC481" s="30">
        <f>'Equity Volume Data'!AF481*'Equity Price Data'!AI482</f>
        <v>0</v>
      </c>
      <c r="AD481" s="30">
        <f>'Equity Volume Data'!AG481*'Equity Price Data'!AJ482</f>
        <v>0</v>
      </c>
      <c r="AE481" s="30">
        <f>'Equity Volume Data'!AH481*'Equity Price Data'!AK482</f>
        <v>0</v>
      </c>
      <c r="AF481" s="30">
        <f>'Equity Volume Data'!AI481*'Equity Price Data'!AL482</f>
        <v>0</v>
      </c>
      <c r="AG481" s="30">
        <f>'Equity Volume Data'!AJ481*'Equity Price Data'!AM482</f>
        <v>0</v>
      </c>
      <c r="AH481" s="30">
        <f>'Equity Volume Data'!AK481*'Equity Price Data'!AN482</f>
        <v>0</v>
      </c>
      <c r="AI481" s="30">
        <f>'Equity Volume Data'!AL481*'Equity Price Data'!AO482</f>
        <v>0</v>
      </c>
      <c r="AJ481" s="30">
        <f>'Equity Volume Data'!AM481*'Equity Price Data'!AP482</f>
        <v>0</v>
      </c>
      <c r="AK481" s="30">
        <f>'Equity Volume Data'!AN481*'Equity Price Data'!AQ482</f>
        <v>0</v>
      </c>
      <c r="AL481" s="30">
        <f>'Equity Volume Data'!AO481*'Equity Price Data'!AR482</f>
        <v>0</v>
      </c>
      <c r="AM481" s="30">
        <f>'Equity Volume Data'!AP481*'Equity Price Data'!AS482</f>
        <v>0</v>
      </c>
      <c r="AN481" s="30">
        <f>'Equity Volume Data'!AQ481*'Equity Price Data'!AT482</f>
        <v>0</v>
      </c>
      <c r="AO481" s="30">
        <f>'Equity Volume Data'!AR481*'Equity Price Data'!AU482</f>
        <v>0</v>
      </c>
      <c r="AP481" s="30">
        <f>'Equity Volume Data'!AS481*'Equity Price Data'!AV482</f>
        <v>0</v>
      </c>
      <c r="AQ481" s="30">
        <f>'Equity Volume Data'!AT481*'Equity Price Data'!AW482</f>
        <v>0</v>
      </c>
      <c r="AR481" s="30">
        <f>'Equity Volume Data'!AU481*'Equity Price Data'!AX482</f>
        <v>0</v>
      </c>
      <c r="AS481" s="30">
        <f>'Equity Volume Data'!AV481*'Equity Price Data'!AY482</f>
        <v>0</v>
      </c>
      <c r="AT481" s="30">
        <f>'Equity Volume Data'!AW481*'Equity Price Data'!AZ482</f>
        <v>0</v>
      </c>
      <c r="AU481" s="30">
        <f>'Equity Volume Data'!AX481*'Equity Price Data'!BA482</f>
        <v>0</v>
      </c>
      <c r="AV481" s="30">
        <f>'Equity Volume Data'!AY481*'Equity Price Data'!BB482</f>
        <v>0</v>
      </c>
      <c r="AW481" s="30">
        <f>'Equity Volume Data'!AZ481*'Equity Price Data'!BC482</f>
        <v>0</v>
      </c>
      <c r="AX481" s="30">
        <f>'Equity Volume Data'!BA481*'Equity Price Data'!BD482</f>
        <v>0</v>
      </c>
      <c r="AY481" s="30">
        <f>'Equity Volume Data'!BB481*'Equity Price Data'!BE482</f>
        <v>0</v>
      </c>
      <c r="AZ481" s="30">
        <f>'Equity Volume Data'!BC481*'Equity Price Data'!BF482</f>
        <v>0</v>
      </c>
      <c r="BA481" s="30">
        <f>'Equity Volume Data'!BD481*'Equity Price Data'!BG482</f>
        <v>0</v>
      </c>
      <c r="BB481" s="30">
        <f>'Equity Volume Data'!BE481*'Equity Price Data'!BH482</f>
        <v>0</v>
      </c>
      <c r="BC481" s="30">
        <f>'Equity Volume Data'!BF481*'Equity Price Data'!BI482</f>
        <v>0</v>
      </c>
      <c r="BD481" s="30">
        <f>'Equity Volume Data'!BG481*'Equity Price Data'!BJ482</f>
        <v>0</v>
      </c>
      <c r="BE481" s="30">
        <f>'Equity Volume Data'!BH481*'Equity Price Data'!BK482</f>
        <v>0</v>
      </c>
      <c r="BF481" s="30">
        <f>'Equity Volume Data'!BI481*'Equity Price Data'!BL482</f>
        <v>0</v>
      </c>
      <c r="BG481" s="30">
        <f>'Equity Volume Data'!BJ481*'Equity Price Data'!BM482</f>
        <v>0</v>
      </c>
      <c r="BH481" s="30">
        <f>'Equity Volume Data'!BK481*'Equity Price Data'!BN482</f>
        <v>0</v>
      </c>
      <c r="BI481" s="30">
        <f>'Equity Volume Data'!BL481*'Equity Price Data'!BO482</f>
        <v>0</v>
      </c>
      <c r="BJ481" s="30">
        <f>'Equity Volume Data'!BM481*'Equity Price Data'!BP482</f>
        <v>0</v>
      </c>
      <c r="BK481" s="30">
        <f>'Equity Volume Data'!BN481*'Equity Price Data'!BQ482</f>
        <v>0</v>
      </c>
      <c r="BL481" s="30">
        <f>'Equity Volume Data'!BO481*'Equity Price Data'!BR482</f>
        <v>0</v>
      </c>
      <c r="BM481" s="30">
        <f>'Equity Volume Data'!BP481*'Equity Price Data'!BS482</f>
        <v>0</v>
      </c>
      <c r="BN481" s="30">
        <f>'Equity Volume Data'!BQ481*'Equity Price Data'!BT482</f>
        <v>0</v>
      </c>
      <c r="BO481" s="30">
        <v>65366.0</v>
      </c>
    </row>
    <row r="482">
      <c r="A482" s="25" t="str">
        <f>'Equity Price Data'!A483</f>
        <v/>
      </c>
      <c r="B482" s="29">
        <f t="shared" si="1"/>
        <v>65366</v>
      </c>
      <c r="C482" s="30">
        <f>'Equity Volume Data'!F482*'Equity Price Data'!I483</f>
        <v>0</v>
      </c>
      <c r="D482" s="30">
        <f>'Equity Volume Data'!G482*'Equity Price Data'!J483</f>
        <v>0</v>
      </c>
      <c r="E482" s="30">
        <f>'Equity Volume Data'!H482*'Equity Price Data'!K483</f>
        <v>0</v>
      </c>
      <c r="F482" s="30">
        <f>'Equity Volume Data'!I482*'Equity Price Data'!L483</f>
        <v>0</v>
      </c>
      <c r="G482" s="30">
        <f>'Equity Volume Data'!J482*'Equity Price Data'!M483</f>
        <v>0</v>
      </c>
      <c r="H482" s="30">
        <f>'Equity Volume Data'!K482*'Equity Price Data'!N483</f>
        <v>0</v>
      </c>
      <c r="I482" s="30">
        <f>'Equity Volume Data'!L482*'Equity Price Data'!O483</f>
        <v>0</v>
      </c>
      <c r="J482" s="30">
        <f>'Equity Volume Data'!M482*'Equity Price Data'!P483</f>
        <v>0</v>
      </c>
      <c r="K482" s="30">
        <f>'Equity Volume Data'!N482*'Equity Price Data'!Q483</f>
        <v>0</v>
      </c>
      <c r="L482" s="30">
        <f>'Equity Volume Data'!O482*'Equity Price Data'!R483</f>
        <v>0</v>
      </c>
      <c r="M482" s="30">
        <f>'Equity Volume Data'!P482*'Equity Price Data'!S483</f>
        <v>0</v>
      </c>
      <c r="N482" s="30">
        <f>'Equity Volume Data'!Q482*'Equity Price Data'!T483</f>
        <v>0</v>
      </c>
      <c r="O482" s="30">
        <f>'Equity Volume Data'!R482*'Equity Price Data'!U483</f>
        <v>0</v>
      </c>
      <c r="P482" s="30">
        <f>'Equity Volume Data'!S482*'Equity Price Data'!V483</f>
        <v>0</v>
      </c>
      <c r="Q482" s="30">
        <f>'Equity Volume Data'!T482*'Equity Price Data'!W483</f>
        <v>0</v>
      </c>
      <c r="R482" s="30">
        <f>'Equity Volume Data'!U482*'Equity Price Data'!X483</f>
        <v>0</v>
      </c>
      <c r="S482" s="30">
        <f>'Equity Volume Data'!V482*'Equity Price Data'!Y483</f>
        <v>0</v>
      </c>
      <c r="T482" s="30">
        <f>'Equity Volume Data'!W482*'Equity Price Data'!Z483</f>
        <v>0</v>
      </c>
      <c r="U482" s="30">
        <f>'Equity Volume Data'!X482*'Equity Price Data'!AA483</f>
        <v>0</v>
      </c>
      <c r="V482" s="30">
        <f>'Equity Volume Data'!Y482*'Equity Price Data'!AB483</f>
        <v>0</v>
      </c>
      <c r="W482" s="30">
        <f>'Equity Volume Data'!Z482*'Equity Price Data'!AC483</f>
        <v>0</v>
      </c>
      <c r="X482" s="30">
        <f>'Equity Volume Data'!AA482*'Equity Price Data'!AD483</f>
        <v>0</v>
      </c>
      <c r="Y482" s="30">
        <f>'Equity Volume Data'!AB482*'Equity Price Data'!AE483</f>
        <v>0</v>
      </c>
      <c r="Z482" s="30">
        <f>'Equity Volume Data'!AC482*'Equity Price Data'!AF483</f>
        <v>0</v>
      </c>
      <c r="AA482" s="30">
        <f>'Equity Volume Data'!AD482*'Equity Price Data'!AG483</f>
        <v>0</v>
      </c>
      <c r="AB482" s="30">
        <f>'Equity Volume Data'!AE482*'Equity Price Data'!AH483</f>
        <v>0</v>
      </c>
      <c r="AC482" s="30">
        <f>'Equity Volume Data'!AF482*'Equity Price Data'!AI483</f>
        <v>0</v>
      </c>
      <c r="AD482" s="30">
        <f>'Equity Volume Data'!AG482*'Equity Price Data'!AJ483</f>
        <v>0</v>
      </c>
      <c r="AE482" s="30">
        <f>'Equity Volume Data'!AH482*'Equity Price Data'!AK483</f>
        <v>0</v>
      </c>
      <c r="AF482" s="30">
        <f>'Equity Volume Data'!AI482*'Equity Price Data'!AL483</f>
        <v>0</v>
      </c>
      <c r="AG482" s="30">
        <f>'Equity Volume Data'!AJ482*'Equity Price Data'!AM483</f>
        <v>0</v>
      </c>
      <c r="AH482" s="30">
        <f>'Equity Volume Data'!AK482*'Equity Price Data'!AN483</f>
        <v>0</v>
      </c>
      <c r="AI482" s="30">
        <f>'Equity Volume Data'!AL482*'Equity Price Data'!AO483</f>
        <v>0</v>
      </c>
      <c r="AJ482" s="30">
        <f>'Equity Volume Data'!AM482*'Equity Price Data'!AP483</f>
        <v>0</v>
      </c>
      <c r="AK482" s="30">
        <f>'Equity Volume Data'!AN482*'Equity Price Data'!AQ483</f>
        <v>0</v>
      </c>
      <c r="AL482" s="30">
        <f>'Equity Volume Data'!AO482*'Equity Price Data'!AR483</f>
        <v>0</v>
      </c>
      <c r="AM482" s="30">
        <f>'Equity Volume Data'!AP482*'Equity Price Data'!AS483</f>
        <v>0</v>
      </c>
      <c r="AN482" s="30">
        <f>'Equity Volume Data'!AQ482*'Equity Price Data'!AT483</f>
        <v>0</v>
      </c>
      <c r="AO482" s="30">
        <f>'Equity Volume Data'!AR482*'Equity Price Data'!AU483</f>
        <v>0</v>
      </c>
      <c r="AP482" s="30">
        <f>'Equity Volume Data'!AS482*'Equity Price Data'!AV483</f>
        <v>0</v>
      </c>
      <c r="AQ482" s="30">
        <f>'Equity Volume Data'!AT482*'Equity Price Data'!AW483</f>
        <v>0</v>
      </c>
      <c r="AR482" s="30">
        <f>'Equity Volume Data'!AU482*'Equity Price Data'!AX483</f>
        <v>0</v>
      </c>
      <c r="AS482" s="30">
        <f>'Equity Volume Data'!AV482*'Equity Price Data'!AY483</f>
        <v>0</v>
      </c>
      <c r="AT482" s="30">
        <f>'Equity Volume Data'!AW482*'Equity Price Data'!AZ483</f>
        <v>0</v>
      </c>
      <c r="AU482" s="30">
        <f>'Equity Volume Data'!AX482*'Equity Price Data'!BA483</f>
        <v>0</v>
      </c>
      <c r="AV482" s="30">
        <f>'Equity Volume Data'!AY482*'Equity Price Data'!BB483</f>
        <v>0</v>
      </c>
      <c r="AW482" s="30">
        <f>'Equity Volume Data'!AZ482*'Equity Price Data'!BC483</f>
        <v>0</v>
      </c>
      <c r="AX482" s="30">
        <f>'Equity Volume Data'!BA482*'Equity Price Data'!BD483</f>
        <v>0</v>
      </c>
      <c r="AY482" s="30">
        <f>'Equity Volume Data'!BB482*'Equity Price Data'!BE483</f>
        <v>0</v>
      </c>
      <c r="AZ482" s="30">
        <f>'Equity Volume Data'!BC482*'Equity Price Data'!BF483</f>
        <v>0</v>
      </c>
      <c r="BA482" s="30">
        <f>'Equity Volume Data'!BD482*'Equity Price Data'!BG483</f>
        <v>0</v>
      </c>
      <c r="BB482" s="30">
        <f>'Equity Volume Data'!BE482*'Equity Price Data'!BH483</f>
        <v>0</v>
      </c>
      <c r="BC482" s="30">
        <f>'Equity Volume Data'!BF482*'Equity Price Data'!BI483</f>
        <v>0</v>
      </c>
      <c r="BD482" s="30">
        <f>'Equity Volume Data'!BG482*'Equity Price Data'!BJ483</f>
        <v>0</v>
      </c>
      <c r="BE482" s="30">
        <f>'Equity Volume Data'!BH482*'Equity Price Data'!BK483</f>
        <v>0</v>
      </c>
      <c r="BF482" s="30">
        <f>'Equity Volume Data'!BI482*'Equity Price Data'!BL483</f>
        <v>0</v>
      </c>
      <c r="BG482" s="30">
        <f>'Equity Volume Data'!BJ482*'Equity Price Data'!BM483</f>
        <v>0</v>
      </c>
      <c r="BH482" s="30">
        <f>'Equity Volume Data'!BK482*'Equity Price Data'!BN483</f>
        <v>0</v>
      </c>
      <c r="BI482" s="30">
        <f>'Equity Volume Data'!BL482*'Equity Price Data'!BO483</f>
        <v>0</v>
      </c>
      <c r="BJ482" s="30">
        <f>'Equity Volume Data'!BM482*'Equity Price Data'!BP483</f>
        <v>0</v>
      </c>
      <c r="BK482" s="30">
        <f>'Equity Volume Data'!BN482*'Equity Price Data'!BQ483</f>
        <v>0</v>
      </c>
      <c r="BL482" s="30">
        <f>'Equity Volume Data'!BO482*'Equity Price Data'!BR483</f>
        <v>0</v>
      </c>
      <c r="BM482" s="30">
        <f>'Equity Volume Data'!BP482*'Equity Price Data'!BS483</f>
        <v>0</v>
      </c>
      <c r="BN482" s="30">
        <f>'Equity Volume Data'!BQ482*'Equity Price Data'!BT483</f>
        <v>0</v>
      </c>
      <c r="BO482" s="30">
        <v>65366.0</v>
      </c>
    </row>
    <row r="483">
      <c r="A483" s="25" t="str">
        <f>'Equity Price Data'!A484</f>
        <v/>
      </c>
      <c r="B483" s="29">
        <f t="shared" si="1"/>
        <v>65366</v>
      </c>
      <c r="C483" s="30">
        <f>'Equity Volume Data'!F483*'Equity Price Data'!I484</f>
        <v>0</v>
      </c>
      <c r="D483" s="30">
        <f>'Equity Volume Data'!G483*'Equity Price Data'!J484</f>
        <v>0</v>
      </c>
      <c r="E483" s="30">
        <f>'Equity Volume Data'!H483*'Equity Price Data'!K484</f>
        <v>0</v>
      </c>
      <c r="F483" s="30">
        <f>'Equity Volume Data'!I483*'Equity Price Data'!L484</f>
        <v>0</v>
      </c>
      <c r="G483" s="30">
        <f>'Equity Volume Data'!J483*'Equity Price Data'!M484</f>
        <v>0</v>
      </c>
      <c r="H483" s="30">
        <f>'Equity Volume Data'!K483*'Equity Price Data'!N484</f>
        <v>0</v>
      </c>
      <c r="I483" s="30">
        <f>'Equity Volume Data'!L483*'Equity Price Data'!O484</f>
        <v>0</v>
      </c>
      <c r="J483" s="30">
        <f>'Equity Volume Data'!M483*'Equity Price Data'!P484</f>
        <v>0</v>
      </c>
      <c r="K483" s="30">
        <f>'Equity Volume Data'!N483*'Equity Price Data'!Q484</f>
        <v>0</v>
      </c>
      <c r="L483" s="30">
        <f>'Equity Volume Data'!O483*'Equity Price Data'!R484</f>
        <v>0</v>
      </c>
      <c r="M483" s="30">
        <f>'Equity Volume Data'!P483*'Equity Price Data'!S484</f>
        <v>0</v>
      </c>
      <c r="N483" s="30">
        <f>'Equity Volume Data'!Q483*'Equity Price Data'!T484</f>
        <v>0</v>
      </c>
      <c r="O483" s="30">
        <f>'Equity Volume Data'!R483*'Equity Price Data'!U484</f>
        <v>0</v>
      </c>
      <c r="P483" s="30">
        <f>'Equity Volume Data'!S483*'Equity Price Data'!V484</f>
        <v>0</v>
      </c>
      <c r="Q483" s="30">
        <f>'Equity Volume Data'!T483*'Equity Price Data'!W484</f>
        <v>0</v>
      </c>
      <c r="R483" s="30">
        <f>'Equity Volume Data'!U483*'Equity Price Data'!X484</f>
        <v>0</v>
      </c>
      <c r="S483" s="30">
        <f>'Equity Volume Data'!V483*'Equity Price Data'!Y484</f>
        <v>0</v>
      </c>
      <c r="T483" s="30">
        <f>'Equity Volume Data'!W483*'Equity Price Data'!Z484</f>
        <v>0</v>
      </c>
      <c r="U483" s="30">
        <f>'Equity Volume Data'!X483*'Equity Price Data'!AA484</f>
        <v>0</v>
      </c>
      <c r="V483" s="30">
        <f>'Equity Volume Data'!Y483*'Equity Price Data'!AB484</f>
        <v>0</v>
      </c>
      <c r="W483" s="30">
        <f>'Equity Volume Data'!Z483*'Equity Price Data'!AC484</f>
        <v>0</v>
      </c>
      <c r="X483" s="30">
        <f>'Equity Volume Data'!AA483*'Equity Price Data'!AD484</f>
        <v>0</v>
      </c>
      <c r="Y483" s="30">
        <f>'Equity Volume Data'!AB483*'Equity Price Data'!AE484</f>
        <v>0</v>
      </c>
      <c r="Z483" s="30">
        <f>'Equity Volume Data'!AC483*'Equity Price Data'!AF484</f>
        <v>0</v>
      </c>
      <c r="AA483" s="30">
        <f>'Equity Volume Data'!AD483*'Equity Price Data'!AG484</f>
        <v>0</v>
      </c>
      <c r="AB483" s="30">
        <f>'Equity Volume Data'!AE483*'Equity Price Data'!AH484</f>
        <v>0</v>
      </c>
      <c r="AC483" s="30">
        <f>'Equity Volume Data'!AF483*'Equity Price Data'!AI484</f>
        <v>0</v>
      </c>
      <c r="AD483" s="30">
        <f>'Equity Volume Data'!AG483*'Equity Price Data'!AJ484</f>
        <v>0</v>
      </c>
      <c r="AE483" s="30">
        <f>'Equity Volume Data'!AH483*'Equity Price Data'!AK484</f>
        <v>0</v>
      </c>
      <c r="AF483" s="30">
        <f>'Equity Volume Data'!AI483*'Equity Price Data'!AL484</f>
        <v>0</v>
      </c>
      <c r="AG483" s="30">
        <f>'Equity Volume Data'!AJ483*'Equity Price Data'!AM484</f>
        <v>0</v>
      </c>
      <c r="AH483" s="30">
        <f>'Equity Volume Data'!AK483*'Equity Price Data'!AN484</f>
        <v>0</v>
      </c>
      <c r="AI483" s="30">
        <f>'Equity Volume Data'!AL483*'Equity Price Data'!AO484</f>
        <v>0</v>
      </c>
      <c r="AJ483" s="30">
        <f>'Equity Volume Data'!AM483*'Equity Price Data'!AP484</f>
        <v>0</v>
      </c>
      <c r="AK483" s="30">
        <f>'Equity Volume Data'!AN483*'Equity Price Data'!AQ484</f>
        <v>0</v>
      </c>
      <c r="AL483" s="30">
        <f>'Equity Volume Data'!AO483*'Equity Price Data'!AR484</f>
        <v>0</v>
      </c>
      <c r="AM483" s="30">
        <f>'Equity Volume Data'!AP483*'Equity Price Data'!AS484</f>
        <v>0</v>
      </c>
      <c r="AN483" s="30">
        <f>'Equity Volume Data'!AQ483*'Equity Price Data'!AT484</f>
        <v>0</v>
      </c>
      <c r="AO483" s="30">
        <f>'Equity Volume Data'!AR483*'Equity Price Data'!AU484</f>
        <v>0</v>
      </c>
      <c r="AP483" s="30">
        <f>'Equity Volume Data'!AS483*'Equity Price Data'!AV484</f>
        <v>0</v>
      </c>
      <c r="AQ483" s="30">
        <f>'Equity Volume Data'!AT483*'Equity Price Data'!AW484</f>
        <v>0</v>
      </c>
      <c r="AR483" s="30">
        <f>'Equity Volume Data'!AU483*'Equity Price Data'!AX484</f>
        <v>0</v>
      </c>
      <c r="AS483" s="30">
        <f>'Equity Volume Data'!AV483*'Equity Price Data'!AY484</f>
        <v>0</v>
      </c>
      <c r="AT483" s="30">
        <f>'Equity Volume Data'!AW483*'Equity Price Data'!AZ484</f>
        <v>0</v>
      </c>
      <c r="AU483" s="30">
        <f>'Equity Volume Data'!AX483*'Equity Price Data'!BA484</f>
        <v>0</v>
      </c>
      <c r="AV483" s="30">
        <f>'Equity Volume Data'!AY483*'Equity Price Data'!BB484</f>
        <v>0</v>
      </c>
      <c r="AW483" s="30">
        <f>'Equity Volume Data'!AZ483*'Equity Price Data'!BC484</f>
        <v>0</v>
      </c>
      <c r="AX483" s="30">
        <f>'Equity Volume Data'!BA483*'Equity Price Data'!BD484</f>
        <v>0</v>
      </c>
      <c r="AY483" s="30">
        <f>'Equity Volume Data'!BB483*'Equity Price Data'!BE484</f>
        <v>0</v>
      </c>
      <c r="AZ483" s="30">
        <f>'Equity Volume Data'!BC483*'Equity Price Data'!BF484</f>
        <v>0</v>
      </c>
      <c r="BA483" s="30">
        <f>'Equity Volume Data'!BD483*'Equity Price Data'!BG484</f>
        <v>0</v>
      </c>
      <c r="BB483" s="30">
        <f>'Equity Volume Data'!BE483*'Equity Price Data'!BH484</f>
        <v>0</v>
      </c>
      <c r="BC483" s="30">
        <f>'Equity Volume Data'!BF483*'Equity Price Data'!BI484</f>
        <v>0</v>
      </c>
      <c r="BD483" s="30">
        <f>'Equity Volume Data'!BG483*'Equity Price Data'!BJ484</f>
        <v>0</v>
      </c>
      <c r="BE483" s="30">
        <f>'Equity Volume Data'!BH483*'Equity Price Data'!BK484</f>
        <v>0</v>
      </c>
      <c r="BF483" s="30">
        <f>'Equity Volume Data'!BI483*'Equity Price Data'!BL484</f>
        <v>0</v>
      </c>
      <c r="BG483" s="30">
        <f>'Equity Volume Data'!BJ483*'Equity Price Data'!BM484</f>
        <v>0</v>
      </c>
      <c r="BH483" s="30">
        <f>'Equity Volume Data'!BK483*'Equity Price Data'!BN484</f>
        <v>0</v>
      </c>
      <c r="BI483" s="30">
        <f>'Equity Volume Data'!BL483*'Equity Price Data'!BO484</f>
        <v>0</v>
      </c>
      <c r="BJ483" s="30">
        <f>'Equity Volume Data'!BM483*'Equity Price Data'!BP484</f>
        <v>0</v>
      </c>
      <c r="BK483" s="30">
        <f>'Equity Volume Data'!BN483*'Equity Price Data'!BQ484</f>
        <v>0</v>
      </c>
      <c r="BL483" s="30">
        <f>'Equity Volume Data'!BO483*'Equity Price Data'!BR484</f>
        <v>0</v>
      </c>
      <c r="BM483" s="30">
        <f>'Equity Volume Data'!BP483*'Equity Price Data'!BS484</f>
        <v>0</v>
      </c>
      <c r="BN483" s="30">
        <f>'Equity Volume Data'!BQ483*'Equity Price Data'!BT484</f>
        <v>0</v>
      </c>
      <c r="BO483" s="30">
        <v>65366.0</v>
      </c>
    </row>
    <row r="484">
      <c r="A484" s="25" t="str">
        <f>'Equity Price Data'!A485</f>
        <v/>
      </c>
      <c r="B484" s="29">
        <f t="shared" si="1"/>
        <v>65366</v>
      </c>
      <c r="C484" s="30">
        <f>'Equity Volume Data'!F484*'Equity Price Data'!I485</f>
        <v>0</v>
      </c>
      <c r="D484" s="30">
        <f>'Equity Volume Data'!G484*'Equity Price Data'!J485</f>
        <v>0</v>
      </c>
      <c r="E484" s="30">
        <f>'Equity Volume Data'!H484*'Equity Price Data'!K485</f>
        <v>0</v>
      </c>
      <c r="F484" s="30">
        <f>'Equity Volume Data'!I484*'Equity Price Data'!L485</f>
        <v>0</v>
      </c>
      <c r="G484" s="30">
        <f>'Equity Volume Data'!J484*'Equity Price Data'!M485</f>
        <v>0</v>
      </c>
      <c r="H484" s="30">
        <f>'Equity Volume Data'!K484*'Equity Price Data'!N485</f>
        <v>0</v>
      </c>
      <c r="I484" s="30">
        <f>'Equity Volume Data'!L484*'Equity Price Data'!O485</f>
        <v>0</v>
      </c>
      <c r="J484" s="30">
        <f>'Equity Volume Data'!M484*'Equity Price Data'!P485</f>
        <v>0</v>
      </c>
      <c r="K484" s="30">
        <f>'Equity Volume Data'!N484*'Equity Price Data'!Q485</f>
        <v>0</v>
      </c>
      <c r="L484" s="30">
        <f>'Equity Volume Data'!O484*'Equity Price Data'!R485</f>
        <v>0</v>
      </c>
      <c r="M484" s="30">
        <f>'Equity Volume Data'!P484*'Equity Price Data'!S485</f>
        <v>0</v>
      </c>
      <c r="N484" s="30">
        <f>'Equity Volume Data'!Q484*'Equity Price Data'!T485</f>
        <v>0</v>
      </c>
      <c r="O484" s="30">
        <f>'Equity Volume Data'!R484*'Equity Price Data'!U485</f>
        <v>0</v>
      </c>
      <c r="P484" s="30">
        <f>'Equity Volume Data'!S484*'Equity Price Data'!V485</f>
        <v>0</v>
      </c>
      <c r="Q484" s="30">
        <f>'Equity Volume Data'!T484*'Equity Price Data'!W485</f>
        <v>0</v>
      </c>
      <c r="R484" s="30">
        <f>'Equity Volume Data'!U484*'Equity Price Data'!X485</f>
        <v>0</v>
      </c>
      <c r="S484" s="30">
        <f>'Equity Volume Data'!V484*'Equity Price Data'!Y485</f>
        <v>0</v>
      </c>
      <c r="T484" s="30">
        <f>'Equity Volume Data'!W484*'Equity Price Data'!Z485</f>
        <v>0</v>
      </c>
      <c r="U484" s="30">
        <f>'Equity Volume Data'!X484*'Equity Price Data'!AA485</f>
        <v>0</v>
      </c>
      <c r="V484" s="30">
        <f>'Equity Volume Data'!Y484*'Equity Price Data'!AB485</f>
        <v>0</v>
      </c>
      <c r="W484" s="30">
        <f>'Equity Volume Data'!Z484*'Equity Price Data'!AC485</f>
        <v>0</v>
      </c>
      <c r="X484" s="30">
        <f>'Equity Volume Data'!AA484*'Equity Price Data'!AD485</f>
        <v>0</v>
      </c>
      <c r="Y484" s="30">
        <f>'Equity Volume Data'!AB484*'Equity Price Data'!AE485</f>
        <v>0</v>
      </c>
      <c r="Z484" s="30">
        <f>'Equity Volume Data'!AC484*'Equity Price Data'!AF485</f>
        <v>0</v>
      </c>
      <c r="AA484" s="30">
        <f>'Equity Volume Data'!AD484*'Equity Price Data'!AG485</f>
        <v>0</v>
      </c>
      <c r="AB484" s="30">
        <f>'Equity Volume Data'!AE484*'Equity Price Data'!AH485</f>
        <v>0</v>
      </c>
      <c r="AC484" s="30">
        <f>'Equity Volume Data'!AF484*'Equity Price Data'!AI485</f>
        <v>0</v>
      </c>
      <c r="AD484" s="30">
        <f>'Equity Volume Data'!AG484*'Equity Price Data'!AJ485</f>
        <v>0</v>
      </c>
      <c r="AE484" s="30">
        <f>'Equity Volume Data'!AH484*'Equity Price Data'!AK485</f>
        <v>0</v>
      </c>
      <c r="AF484" s="30">
        <f>'Equity Volume Data'!AI484*'Equity Price Data'!AL485</f>
        <v>0</v>
      </c>
      <c r="AG484" s="30">
        <f>'Equity Volume Data'!AJ484*'Equity Price Data'!AM485</f>
        <v>0</v>
      </c>
      <c r="AH484" s="30">
        <f>'Equity Volume Data'!AK484*'Equity Price Data'!AN485</f>
        <v>0</v>
      </c>
      <c r="AI484" s="30">
        <f>'Equity Volume Data'!AL484*'Equity Price Data'!AO485</f>
        <v>0</v>
      </c>
      <c r="AJ484" s="30">
        <f>'Equity Volume Data'!AM484*'Equity Price Data'!AP485</f>
        <v>0</v>
      </c>
      <c r="AK484" s="30">
        <f>'Equity Volume Data'!AN484*'Equity Price Data'!AQ485</f>
        <v>0</v>
      </c>
      <c r="AL484" s="30">
        <f>'Equity Volume Data'!AO484*'Equity Price Data'!AR485</f>
        <v>0</v>
      </c>
      <c r="AM484" s="30">
        <f>'Equity Volume Data'!AP484*'Equity Price Data'!AS485</f>
        <v>0</v>
      </c>
      <c r="AN484" s="30">
        <f>'Equity Volume Data'!AQ484*'Equity Price Data'!AT485</f>
        <v>0</v>
      </c>
      <c r="AO484" s="30">
        <f>'Equity Volume Data'!AR484*'Equity Price Data'!AU485</f>
        <v>0</v>
      </c>
      <c r="AP484" s="30">
        <f>'Equity Volume Data'!AS484*'Equity Price Data'!AV485</f>
        <v>0</v>
      </c>
      <c r="AQ484" s="30">
        <f>'Equity Volume Data'!AT484*'Equity Price Data'!AW485</f>
        <v>0</v>
      </c>
      <c r="AR484" s="30">
        <f>'Equity Volume Data'!AU484*'Equity Price Data'!AX485</f>
        <v>0</v>
      </c>
      <c r="AS484" s="30">
        <f>'Equity Volume Data'!AV484*'Equity Price Data'!AY485</f>
        <v>0</v>
      </c>
      <c r="AT484" s="30">
        <f>'Equity Volume Data'!AW484*'Equity Price Data'!AZ485</f>
        <v>0</v>
      </c>
      <c r="AU484" s="30">
        <f>'Equity Volume Data'!AX484*'Equity Price Data'!BA485</f>
        <v>0</v>
      </c>
      <c r="AV484" s="30">
        <f>'Equity Volume Data'!AY484*'Equity Price Data'!BB485</f>
        <v>0</v>
      </c>
      <c r="AW484" s="30">
        <f>'Equity Volume Data'!AZ484*'Equity Price Data'!BC485</f>
        <v>0</v>
      </c>
      <c r="AX484" s="30">
        <f>'Equity Volume Data'!BA484*'Equity Price Data'!BD485</f>
        <v>0</v>
      </c>
      <c r="AY484" s="30">
        <f>'Equity Volume Data'!BB484*'Equity Price Data'!BE485</f>
        <v>0</v>
      </c>
      <c r="AZ484" s="30">
        <f>'Equity Volume Data'!BC484*'Equity Price Data'!BF485</f>
        <v>0</v>
      </c>
      <c r="BA484" s="30">
        <f>'Equity Volume Data'!BD484*'Equity Price Data'!BG485</f>
        <v>0</v>
      </c>
      <c r="BB484" s="30">
        <f>'Equity Volume Data'!BE484*'Equity Price Data'!BH485</f>
        <v>0</v>
      </c>
      <c r="BC484" s="30">
        <f>'Equity Volume Data'!BF484*'Equity Price Data'!BI485</f>
        <v>0</v>
      </c>
      <c r="BD484" s="30">
        <f>'Equity Volume Data'!BG484*'Equity Price Data'!BJ485</f>
        <v>0</v>
      </c>
      <c r="BE484" s="30">
        <f>'Equity Volume Data'!BH484*'Equity Price Data'!BK485</f>
        <v>0</v>
      </c>
      <c r="BF484" s="30">
        <f>'Equity Volume Data'!BI484*'Equity Price Data'!BL485</f>
        <v>0</v>
      </c>
      <c r="BG484" s="30">
        <f>'Equity Volume Data'!BJ484*'Equity Price Data'!BM485</f>
        <v>0</v>
      </c>
      <c r="BH484" s="30">
        <f>'Equity Volume Data'!BK484*'Equity Price Data'!BN485</f>
        <v>0</v>
      </c>
      <c r="BI484" s="30">
        <f>'Equity Volume Data'!BL484*'Equity Price Data'!BO485</f>
        <v>0</v>
      </c>
      <c r="BJ484" s="30">
        <f>'Equity Volume Data'!BM484*'Equity Price Data'!BP485</f>
        <v>0</v>
      </c>
      <c r="BK484" s="30">
        <f>'Equity Volume Data'!BN484*'Equity Price Data'!BQ485</f>
        <v>0</v>
      </c>
      <c r="BL484" s="30">
        <f>'Equity Volume Data'!BO484*'Equity Price Data'!BR485</f>
        <v>0</v>
      </c>
      <c r="BM484" s="30">
        <f>'Equity Volume Data'!BP484*'Equity Price Data'!BS485</f>
        <v>0</v>
      </c>
      <c r="BN484" s="30">
        <f>'Equity Volume Data'!BQ484*'Equity Price Data'!BT485</f>
        <v>0</v>
      </c>
      <c r="BO484" s="30">
        <v>65366.0</v>
      </c>
    </row>
    <row r="485">
      <c r="A485" s="25" t="str">
        <f>'Equity Price Data'!A486</f>
        <v/>
      </c>
      <c r="B485" s="29">
        <f t="shared" si="1"/>
        <v>65366</v>
      </c>
      <c r="C485" s="30">
        <f>'Equity Volume Data'!F485*'Equity Price Data'!I486</f>
        <v>0</v>
      </c>
      <c r="D485" s="30">
        <f>'Equity Volume Data'!G485*'Equity Price Data'!J486</f>
        <v>0</v>
      </c>
      <c r="E485" s="30">
        <f>'Equity Volume Data'!H485*'Equity Price Data'!K486</f>
        <v>0</v>
      </c>
      <c r="F485" s="30">
        <f>'Equity Volume Data'!I485*'Equity Price Data'!L486</f>
        <v>0</v>
      </c>
      <c r="G485" s="30">
        <f>'Equity Volume Data'!J485*'Equity Price Data'!M486</f>
        <v>0</v>
      </c>
      <c r="H485" s="30">
        <f>'Equity Volume Data'!K485*'Equity Price Data'!N486</f>
        <v>0</v>
      </c>
      <c r="I485" s="30">
        <f>'Equity Volume Data'!L485*'Equity Price Data'!O486</f>
        <v>0</v>
      </c>
      <c r="J485" s="30">
        <f>'Equity Volume Data'!M485*'Equity Price Data'!P486</f>
        <v>0</v>
      </c>
      <c r="K485" s="30">
        <f>'Equity Volume Data'!N485*'Equity Price Data'!Q486</f>
        <v>0</v>
      </c>
      <c r="L485" s="30">
        <f>'Equity Volume Data'!O485*'Equity Price Data'!R486</f>
        <v>0</v>
      </c>
      <c r="M485" s="30">
        <f>'Equity Volume Data'!P485*'Equity Price Data'!S486</f>
        <v>0</v>
      </c>
      <c r="N485" s="30">
        <f>'Equity Volume Data'!Q485*'Equity Price Data'!T486</f>
        <v>0</v>
      </c>
      <c r="O485" s="30">
        <f>'Equity Volume Data'!R485*'Equity Price Data'!U486</f>
        <v>0</v>
      </c>
      <c r="P485" s="30">
        <f>'Equity Volume Data'!S485*'Equity Price Data'!V486</f>
        <v>0</v>
      </c>
      <c r="Q485" s="30">
        <f>'Equity Volume Data'!T485*'Equity Price Data'!W486</f>
        <v>0</v>
      </c>
      <c r="R485" s="30">
        <f>'Equity Volume Data'!U485*'Equity Price Data'!X486</f>
        <v>0</v>
      </c>
      <c r="S485" s="30">
        <f>'Equity Volume Data'!V485*'Equity Price Data'!Y486</f>
        <v>0</v>
      </c>
      <c r="T485" s="30">
        <f>'Equity Volume Data'!W485*'Equity Price Data'!Z486</f>
        <v>0</v>
      </c>
      <c r="U485" s="30">
        <f>'Equity Volume Data'!X485*'Equity Price Data'!AA486</f>
        <v>0</v>
      </c>
      <c r="V485" s="30">
        <f>'Equity Volume Data'!Y485*'Equity Price Data'!AB486</f>
        <v>0</v>
      </c>
      <c r="W485" s="30">
        <f>'Equity Volume Data'!Z485*'Equity Price Data'!AC486</f>
        <v>0</v>
      </c>
      <c r="X485" s="30">
        <f>'Equity Volume Data'!AA485*'Equity Price Data'!AD486</f>
        <v>0</v>
      </c>
      <c r="Y485" s="30">
        <f>'Equity Volume Data'!AB485*'Equity Price Data'!AE486</f>
        <v>0</v>
      </c>
      <c r="Z485" s="30">
        <f>'Equity Volume Data'!AC485*'Equity Price Data'!AF486</f>
        <v>0</v>
      </c>
      <c r="AA485" s="30">
        <f>'Equity Volume Data'!AD485*'Equity Price Data'!AG486</f>
        <v>0</v>
      </c>
      <c r="AB485" s="30">
        <f>'Equity Volume Data'!AE485*'Equity Price Data'!AH486</f>
        <v>0</v>
      </c>
      <c r="AC485" s="30">
        <f>'Equity Volume Data'!AF485*'Equity Price Data'!AI486</f>
        <v>0</v>
      </c>
      <c r="AD485" s="30">
        <f>'Equity Volume Data'!AG485*'Equity Price Data'!AJ486</f>
        <v>0</v>
      </c>
      <c r="AE485" s="30">
        <f>'Equity Volume Data'!AH485*'Equity Price Data'!AK486</f>
        <v>0</v>
      </c>
      <c r="AF485" s="30">
        <f>'Equity Volume Data'!AI485*'Equity Price Data'!AL486</f>
        <v>0</v>
      </c>
      <c r="AG485" s="30">
        <f>'Equity Volume Data'!AJ485*'Equity Price Data'!AM486</f>
        <v>0</v>
      </c>
      <c r="AH485" s="30">
        <f>'Equity Volume Data'!AK485*'Equity Price Data'!AN486</f>
        <v>0</v>
      </c>
      <c r="AI485" s="30">
        <f>'Equity Volume Data'!AL485*'Equity Price Data'!AO486</f>
        <v>0</v>
      </c>
      <c r="AJ485" s="30">
        <f>'Equity Volume Data'!AM485*'Equity Price Data'!AP486</f>
        <v>0</v>
      </c>
      <c r="AK485" s="30">
        <f>'Equity Volume Data'!AN485*'Equity Price Data'!AQ486</f>
        <v>0</v>
      </c>
      <c r="AL485" s="30">
        <f>'Equity Volume Data'!AO485*'Equity Price Data'!AR486</f>
        <v>0</v>
      </c>
      <c r="AM485" s="30">
        <f>'Equity Volume Data'!AP485*'Equity Price Data'!AS486</f>
        <v>0</v>
      </c>
      <c r="AN485" s="30">
        <f>'Equity Volume Data'!AQ485*'Equity Price Data'!AT486</f>
        <v>0</v>
      </c>
      <c r="AO485" s="30">
        <f>'Equity Volume Data'!AR485*'Equity Price Data'!AU486</f>
        <v>0</v>
      </c>
      <c r="AP485" s="30">
        <f>'Equity Volume Data'!AS485*'Equity Price Data'!AV486</f>
        <v>0</v>
      </c>
      <c r="AQ485" s="30">
        <f>'Equity Volume Data'!AT485*'Equity Price Data'!AW486</f>
        <v>0</v>
      </c>
      <c r="AR485" s="30">
        <f>'Equity Volume Data'!AU485*'Equity Price Data'!AX486</f>
        <v>0</v>
      </c>
      <c r="AS485" s="30">
        <f>'Equity Volume Data'!AV485*'Equity Price Data'!AY486</f>
        <v>0</v>
      </c>
      <c r="AT485" s="30">
        <f>'Equity Volume Data'!AW485*'Equity Price Data'!AZ486</f>
        <v>0</v>
      </c>
      <c r="AU485" s="30">
        <f>'Equity Volume Data'!AX485*'Equity Price Data'!BA486</f>
        <v>0</v>
      </c>
      <c r="AV485" s="30">
        <f>'Equity Volume Data'!AY485*'Equity Price Data'!BB486</f>
        <v>0</v>
      </c>
      <c r="AW485" s="30">
        <f>'Equity Volume Data'!AZ485*'Equity Price Data'!BC486</f>
        <v>0</v>
      </c>
      <c r="AX485" s="30">
        <f>'Equity Volume Data'!BA485*'Equity Price Data'!BD486</f>
        <v>0</v>
      </c>
      <c r="AY485" s="30">
        <f>'Equity Volume Data'!BB485*'Equity Price Data'!BE486</f>
        <v>0</v>
      </c>
      <c r="AZ485" s="30">
        <f>'Equity Volume Data'!BC485*'Equity Price Data'!BF486</f>
        <v>0</v>
      </c>
      <c r="BA485" s="30">
        <f>'Equity Volume Data'!BD485*'Equity Price Data'!BG486</f>
        <v>0</v>
      </c>
      <c r="BB485" s="30">
        <f>'Equity Volume Data'!BE485*'Equity Price Data'!BH486</f>
        <v>0</v>
      </c>
      <c r="BC485" s="30">
        <f>'Equity Volume Data'!BF485*'Equity Price Data'!BI486</f>
        <v>0</v>
      </c>
      <c r="BD485" s="30">
        <f>'Equity Volume Data'!BG485*'Equity Price Data'!BJ486</f>
        <v>0</v>
      </c>
      <c r="BE485" s="30">
        <f>'Equity Volume Data'!BH485*'Equity Price Data'!BK486</f>
        <v>0</v>
      </c>
      <c r="BF485" s="30">
        <f>'Equity Volume Data'!BI485*'Equity Price Data'!BL486</f>
        <v>0</v>
      </c>
      <c r="BG485" s="30">
        <f>'Equity Volume Data'!BJ485*'Equity Price Data'!BM486</f>
        <v>0</v>
      </c>
      <c r="BH485" s="30">
        <f>'Equity Volume Data'!BK485*'Equity Price Data'!BN486</f>
        <v>0</v>
      </c>
      <c r="BI485" s="30">
        <f>'Equity Volume Data'!BL485*'Equity Price Data'!BO486</f>
        <v>0</v>
      </c>
      <c r="BJ485" s="30">
        <f>'Equity Volume Data'!BM485*'Equity Price Data'!BP486</f>
        <v>0</v>
      </c>
      <c r="BK485" s="30">
        <f>'Equity Volume Data'!BN485*'Equity Price Data'!BQ486</f>
        <v>0</v>
      </c>
      <c r="BL485" s="30">
        <f>'Equity Volume Data'!BO485*'Equity Price Data'!BR486</f>
        <v>0</v>
      </c>
      <c r="BM485" s="30">
        <f>'Equity Volume Data'!BP485*'Equity Price Data'!BS486</f>
        <v>0</v>
      </c>
      <c r="BN485" s="30">
        <f>'Equity Volume Data'!BQ485*'Equity Price Data'!BT486</f>
        <v>0</v>
      </c>
      <c r="BO485" s="30">
        <v>65366.0</v>
      </c>
    </row>
    <row r="486">
      <c r="A486" s="25" t="str">
        <f>'Equity Price Data'!A487</f>
        <v/>
      </c>
      <c r="B486" s="29">
        <f t="shared" si="1"/>
        <v>65366</v>
      </c>
      <c r="C486" s="30">
        <f>'Equity Volume Data'!F486*'Equity Price Data'!I487</f>
        <v>0</v>
      </c>
      <c r="D486" s="30">
        <f>'Equity Volume Data'!G486*'Equity Price Data'!J487</f>
        <v>0</v>
      </c>
      <c r="E486" s="30">
        <f>'Equity Volume Data'!H486*'Equity Price Data'!K487</f>
        <v>0</v>
      </c>
      <c r="F486" s="30">
        <f>'Equity Volume Data'!I486*'Equity Price Data'!L487</f>
        <v>0</v>
      </c>
      <c r="G486" s="30">
        <f>'Equity Volume Data'!J486*'Equity Price Data'!M487</f>
        <v>0</v>
      </c>
      <c r="H486" s="30">
        <f>'Equity Volume Data'!K486*'Equity Price Data'!N487</f>
        <v>0</v>
      </c>
      <c r="I486" s="30">
        <f>'Equity Volume Data'!L486*'Equity Price Data'!O487</f>
        <v>0</v>
      </c>
      <c r="J486" s="30">
        <f>'Equity Volume Data'!M486*'Equity Price Data'!P487</f>
        <v>0</v>
      </c>
      <c r="K486" s="30">
        <f>'Equity Volume Data'!N486*'Equity Price Data'!Q487</f>
        <v>0</v>
      </c>
      <c r="L486" s="30">
        <f>'Equity Volume Data'!O486*'Equity Price Data'!R487</f>
        <v>0</v>
      </c>
      <c r="M486" s="30">
        <f>'Equity Volume Data'!P486*'Equity Price Data'!S487</f>
        <v>0</v>
      </c>
      <c r="N486" s="30">
        <f>'Equity Volume Data'!Q486*'Equity Price Data'!T487</f>
        <v>0</v>
      </c>
      <c r="O486" s="30">
        <f>'Equity Volume Data'!R486*'Equity Price Data'!U487</f>
        <v>0</v>
      </c>
      <c r="P486" s="30">
        <f>'Equity Volume Data'!S486*'Equity Price Data'!V487</f>
        <v>0</v>
      </c>
      <c r="Q486" s="30">
        <f>'Equity Volume Data'!T486*'Equity Price Data'!W487</f>
        <v>0</v>
      </c>
      <c r="R486" s="30">
        <f>'Equity Volume Data'!U486*'Equity Price Data'!X487</f>
        <v>0</v>
      </c>
      <c r="S486" s="30">
        <f>'Equity Volume Data'!V486*'Equity Price Data'!Y487</f>
        <v>0</v>
      </c>
      <c r="T486" s="30">
        <f>'Equity Volume Data'!W486*'Equity Price Data'!Z487</f>
        <v>0</v>
      </c>
      <c r="U486" s="30">
        <f>'Equity Volume Data'!X486*'Equity Price Data'!AA487</f>
        <v>0</v>
      </c>
      <c r="V486" s="30">
        <f>'Equity Volume Data'!Y486*'Equity Price Data'!AB487</f>
        <v>0</v>
      </c>
      <c r="W486" s="30">
        <f>'Equity Volume Data'!Z486*'Equity Price Data'!AC487</f>
        <v>0</v>
      </c>
      <c r="X486" s="30">
        <f>'Equity Volume Data'!AA486*'Equity Price Data'!AD487</f>
        <v>0</v>
      </c>
      <c r="Y486" s="30">
        <f>'Equity Volume Data'!AB486*'Equity Price Data'!AE487</f>
        <v>0</v>
      </c>
      <c r="Z486" s="30">
        <f>'Equity Volume Data'!AC486*'Equity Price Data'!AF487</f>
        <v>0</v>
      </c>
      <c r="AA486" s="30">
        <f>'Equity Volume Data'!AD486*'Equity Price Data'!AG487</f>
        <v>0</v>
      </c>
      <c r="AB486" s="30">
        <f>'Equity Volume Data'!AE486*'Equity Price Data'!AH487</f>
        <v>0</v>
      </c>
      <c r="AC486" s="30">
        <f>'Equity Volume Data'!AF486*'Equity Price Data'!AI487</f>
        <v>0</v>
      </c>
      <c r="AD486" s="30">
        <f>'Equity Volume Data'!AG486*'Equity Price Data'!AJ487</f>
        <v>0</v>
      </c>
      <c r="AE486" s="30">
        <f>'Equity Volume Data'!AH486*'Equity Price Data'!AK487</f>
        <v>0</v>
      </c>
      <c r="AF486" s="30">
        <f>'Equity Volume Data'!AI486*'Equity Price Data'!AL487</f>
        <v>0</v>
      </c>
      <c r="AG486" s="30">
        <f>'Equity Volume Data'!AJ486*'Equity Price Data'!AM487</f>
        <v>0</v>
      </c>
      <c r="AH486" s="30">
        <f>'Equity Volume Data'!AK486*'Equity Price Data'!AN487</f>
        <v>0</v>
      </c>
      <c r="AI486" s="30">
        <f>'Equity Volume Data'!AL486*'Equity Price Data'!AO487</f>
        <v>0</v>
      </c>
      <c r="AJ486" s="30">
        <f>'Equity Volume Data'!AM486*'Equity Price Data'!AP487</f>
        <v>0</v>
      </c>
      <c r="AK486" s="30">
        <f>'Equity Volume Data'!AN486*'Equity Price Data'!AQ487</f>
        <v>0</v>
      </c>
      <c r="AL486" s="30">
        <f>'Equity Volume Data'!AO486*'Equity Price Data'!AR487</f>
        <v>0</v>
      </c>
      <c r="AM486" s="30">
        <f>'Equity Volume Data'!AP486*'Equity Price Data'!AS487</f>
        <v>0</v>
      </c>
      <c r="AN486" s="30">
        <f>'Equity Volume Data'!AQ486*'Equity Price Data'!AT487</f>
        <v>0</v>
      </c>
      <c r="AO486" s="30">
        <f>'Equity Volume Data'!AR486*'Equity Price Data'!AU487</f>
        <v>0</v>
      </c>
      <c r="AP486" s="30">
        <f>'Equity Volume Data'!AS486*'Equity Price Data'!AV487</f>
        <v>0</v>
      </c>
      <c r="AQ486" s="30">
        <f>'Equity Volume Data'!AT486*'Equity Price Data'!AW487</f>
        <v>0</v>
      </c>
      <c r="AR486" s="30">
        <f>'Equity Volume Data'!AU486*'Equity Price Data'!AX487</f>
        <v>0</v>
      </c>
      <c r="AS486" s="30">
        <f>'Equity Volume Data'!AV486*'Equity Price Data'!AY487</f>
        <v>0</v>
      </c>
      <c r="AT486" s="30">
        <f>'Equity Volume Data'!AW486*'Equity Price Data'!AZ487</f>
        <v>0</v>
      </c>
      <c r="AU486" s="30">
        <f>'Equity Volume Data'!AX486*'Equity Price Data'!BA487</f>
        <v>0</v>
      </c>
      <c r="AV486" s="30">
        <f>'Equity Volume Data'!AY486*'Equity Price Data'!BB487</f>
        <v>0</v>
      </c>
      <c r="AW486" s="30">
        <f>'Equity Volume Data'!AZ486*'Equity Price Data'!BC487</f>
        <v>0</v>
      </c>
      <c r="AX486" s="30">
        <f>'Equity Volume Data'!BA486*'Equity Price Data'!BD487</f>
        <v>0</v>
      </c>
      <c r="AY486" s="30">
        <f>'Equity Volume Data'!BB486*'Equity Price Data'!BE487</f>
        <v>0</v>
      </c>
      <c r="AZ486" s="30">
        <f>'Equity Volume Data'!BC486*'Equity Price Data'!BF487</f>
        <v>0</v>
      </c>
      <c r="BA486" s="30">
        <f>'Equity Volume Data'!BD486*'Equity Price Data'!BG487</f>
        <v>0</v>
      </c>
      <c r="BB486" s="30">
        <f>'Equity Volume Data'!BE486*'Equity Price Data'!BH487</f>
        <v>0</v>
      </c>
      <c r="BC486" s="30">
        <f>'Equity Volume Data'!BF486*'Equity Price Data'!BI487</f>
        <v>0</v>
      </c>
      <c r="BD486" s="30">
        <f>'Equity Volume Data'!BG486*'Equity Price Data'!BJ487</f>
        <v>0</v>
      </c>
      <c r="BE486" s="30">
        <f>'Equity Volume Data'!BH486*'Equity Price Data'!BK487</f>
        <v>0</v>
      </c>
      <c r="BF486" s="30">
        <f>'Equity Volume Data'!BI486*'Equity Price Data'!BL487</f>
        <v>0</v>
      </c>
      <c r="BG486" s="30">
        <f>'Equity Volume Data'!BJ486*'Equity Price Data'!BM487</f>
        <v>0</v>
      </c>
      <c r="BH486" s="30">
        <f>'Equity Volume Data'!BK486*'Equity Price Data'!BN487</f>
        <v>0</v>
      </c>
      <c r="BI486" s="30">
        <f>'Equity Volume Data'!BL486*'Equity Price Data'!BO487</f>
        <v>0</v>
      </c>
      <c r="BJ486" s="30">
        <f>'Equity Volume Data'!BM486*'Equity Price Data'!BP487</f>
        <v>0</v>
      </c>
      <c r="BK486" s="30">
        <f>'Equity Volume Data'!BN486*'Equity Price Data'!BQ487</f>
        <v>0</v>
      </c>
      <c r="BL486" s="30">
        <f>'Equity Volume Data'!BO486*'Equity Price Data'!BR487</f>
        <v>0</v>
      </c>
      <c r="BM486" s="30">
        <f>'Equity Volume Data'!BP486*'Equity Price Data'!BS487</f>
        <v>0</v>
      </c>
      <c r="BN486" s="30">
        <f>'Equity Volume Data'!BQ486*'Equity Price Data'!BT487</f>
        <v>0</v>
      </c>
      <c r="BO486" s="30">
        <v>65366.0</v>
      </c>
    </row>
    <row r="487">
      <c r="A487" s="25" t="str">
        <f>'Equity Price Data'!A488</f>
        <v/>
      </c>
      <c r="B487" s="29">
        <f t="shared" si="1"/>
        <v>65366</v>
      </c>
      <c r="C487" s="30">
        <f>'Equity Volume Data'!F487*'Equity Price Data'!I488</f>
        <v>0</v>
      </c>
      <c r="D487" s="30">
        <f>'Equity Volume Data'!G487*'Equity Price Data'!J488</f>
        <v>0</v>
      </c>
      <c r="E487" s="30">
        <f>'Equity Volume Data'!H487*'Equity Price Data'!K488</f>
        <v>0</v>
      </c>
      <c r="F487" s="30">
        <f>'Equity Volume Data'!I487*'Equity Price Data'!L488</f>
        <v>0</v>
      </c>
      <c r="G487" s="30">
        <f>'Equity Volume Data'!J487*'Equity Price Data'!M488</f>
        <v>0</v>
      </c>
      <c r="H487" s="30">
        <f>'Equity Volume Data'!K487*'Equity Price Data'!N488</f>
        <v>0</v>
      </c>
      <c r="I487" s="30">
        <f>'Equity Volume Data'!L487*'Equity Price Data'!O488</f>
        <v>0</v>
      </c>
      <c r="J487" s="30">
        <f>'Equity Volume Data'!M487*'Equity Price Data'!P488</f>
        <v>0</v>
      </c>
      <c r="K487" s="30">
        <f>'Equity Volume Data'!N487*'Equity Price Data'!Q488</f>
        <v>0</v>
      </c>
      <c r="L487" s="30">
        <f>'Equity Volume Data'!O487*'Equity Price Data'!R488</f>
        <v>0</v>
      </c>
      <c r="M487" s="30">
        <f>'Equity Volume Data'!P487*'Equity Price Data'!S488</f>
        <v>0</v>
      </c>
      <c r="N487" s="30">
        <f>'Equity Volume Data'!Q487*'Equity Price Data'!T488</f>
        <v>0</v>
      </c>
      <c r="O487" s="30">
        <f>'Equity Volume Data'!R487*'Equity Price Data'!U488</f>
        <v>0</v>
      </c>
      <c r="P487" s="30">
        <f>'Equity Volume Data'!S487*'Equity Price Data'!V488</f>
        <v>0</v>
      </c>
      <c r="Q487" s="30">
        <f>'Equity Volume Data'!T487*'Equity Price Data'!W488</f>
        <v>0</v>
      </c>
      <c r="R487" s="30">
        <f>'Equity Volume Data'!U487*'Equity Price Data'!X488</f>
        <v>0</v>
      </c>
      <c r="S487" s="30">
        <f>'Equity Volume Data'!V487*'Equity Price Data'!Y488</f>
        <v>0</v>
      </c>
      <c r="T487" s="30">
        <f>'Equity Volume Data'!W487*'Equity Price Data'!Z488</f>
        <v>0</v>
      </c>
      <c r="U487" s="30">
        <f>'Equity Volume Data'!X487*'Equity Price Data'!AA488</f>
        <v>0</v>
      </c>
      <c r="V487" s="30">
        <f>'Equity Volume Data'!Y487*'Equity Price Data'!AB488</f>
        <v>0</v>
      </c>
      <c r="W487" s="30">
        <f>'Equity Volume Data'!Z487*'Equity Price Data'!AC488</f>
        <v>0</v>
      </c>
      <c r="X487" s="30">
        <f>'Equity Volume Data'!AA487*'Equity Price Data'!AD488</f>
        <v>0</v>
      </c>
      <c r="Y487" s="30">
        <f>'Equity Volume Data'!AB487*'Equity Price Data'!AE488</f>
        <v>0</v>
      </c>
      <c r="Z487" s="30">
        <f>'Equity Volume Data'!AC487*'Equity Price Data'!AF488</f>
        <v>0</v>
      </c>
      <c r="AA487" s="30">
        <f>'Equity Volume Data'!AD487*'Equity Price Data'!AG488</f>
        <v>0</v>
      </c>
      <c r="AB487" s="30">
        <f>'Equity Volume Data'!AE487*'Equity Price Data'!AH488</f>
        <v>0</v>
      </c>
      <c r="AC487" s="30">
        <f>'Equity Volume Data'!AF487*'Equity Price Data'!AI488</f>
        <v>0</v>
      </c>
      <c r="AD487" s="30">
        <f>'Equity Volume Data'!AG487*'Equity Price Data'!AJ488</f>
        <v>0</v>
      </c>
      <c r="AE487" s="30">
        <f>'Equity Volume Data'!AH487*'Equity Price Data'!AK488</f>
        <v>0</v>
      </c>
      <c r="AF487" s="30">
        <f>'Equity Volume Data'!AI487*'Equity Price Data'!AL488</f>
        <v>0</v>
      </c>
      <c r="AG487" s="30">
        <f>'Equity Volume Data'!AJ487*'Equity Price Data'!AM488</f>
        <v>0</v>
      </c>
      <c r="AH487" s="30">
        <f>'Equity Volume Data'!AK487*'Equity Price Data'!AN488</f>
        <v>0</v>
      </c>
      <c r="AI487" s="30">
        <f>'Equity Volume Data'!AL487*'Equity Price Data'!AO488</f>
        <v>0</v>
      </c>
      <c r="AJ487" s="30">
        <f>'Equity Volume Data'!AM487*'Equity Price Data'!AP488</f>
        <v>0</v>
      </c>
      <c r="AK487" s="30">
        <f>'Equity Volume Data'!AN487*'Equity Price Data'!AQ488</f>
        <v>0</v>
      </c>
      <c r="AL487" s="30">
        <f>'Equity Volume Data'!AO487*'Equity Price Data'!AR488</f>
        <v>0</v>
      </c>
      <c r="AM487" s="30">
        <f>'Equity Volume Data'!AP487*'Equity Price Data'!AS488</f>
        <v>0</v>
      </c>
      <c r="AN487" s="30">
        <f>'Equity Volume Data'!AQ487*'Equity Price Data'!AT488</f>
        <v>0</v>
      </c>
      <c r="AO487" s="30">
        <f>'Equity Volume Data'!AR487*'Equity Price Data'!AU488</f>
        <v>0</v>
      </c>
      <c r="AP487" s="30">
        <f>'Equity Volume Data'!AS487*'Equity Price Data'!AV488</f>
        <v>0</v>
      </c>
      <c r="AQ487" s="30">
        <f>'Equity Volume Data'!AT487*'Equity Price Data'!AW488</f>
        <v>0</v>
      </c>
      <c r="AR487" s="30">
        <f>'Equity Volume Data'!AU487*'Equity Price Data'!AX488</f>
        <v>0</v>
      </c>
      <c r="AS487" s="30">
        <f>'Equity Volume Data'!AV487*'Equity Price Data'!AY488</f>
        <v>0</v>
      </c>
      <c r="AT487" s="30">
        <f>'Equity Volume Data'!AW487*'Equity Price Data'!AZ488</f>
        <v>0</v>
      </c>
      <c r="AU487" s="30">
        <f>'Equity Volume Data'!AX487*'Equity Price Data'!BA488</f>
        <v>0</v>
      </c>
      <c r="AV487" s="30">
        <f>'Equity Volume Data'!AY487*'Equity Price Data'!BB488</f>
        <v>0</v>
      </c>
      <c r="AW487" s="30">
        <f>'Equity Volume Data'!AZ487*'Equity Price Data'!BC488</f>
        <v>0</v>
      </c>
      <c r="AX487" s="30">
        <f>'Equity Volume Data'!BA487*'Equity Price Data'!BD488</f>
        <v>0</v>
      </c>
      <c r="AY487" s="30">
        <f>'Equity Volume Data'!BB487*'Equity Price Data'!BE488</f>
        <v>0</v>
      </c>
      <c r="AZ487" s="30">
        <f>'Equity Volume Data'!BC487*'Equity Price Data'!BF488</f>
        <v>0</v>
      </c>
      <c r="BA487" s="30">
        <f>'Equity Volume Data'!BD487*'Equity Price Data'!BG488</f>
        <v>0</v>
      </c>
      <c r="BB487" s="30">
        <f>'Equity Volume Data'!BE487*'Equity Price Data'!BH488</f>
        <v>0</v>
      </c>
      <c r="BC487" s="30">
        <f>'Equity Volume Data'!BF487*'Equity Price Data'!BI488</f>
        <v>0</v>
      </c>
      <c r="BD487" s="30">
        <f>'Equity Volume Data'!BG487*'Equity Price Data'!BJ488</f>
        <v>0</v>
      </c>
      <c r="BE487" s="30">
        <f>'Equity Volume Data'!BH487*'Equity Price Data'!BK488</f>
        <v>0</v>
      </c>
      <c r="BF487" s="30">
        <f>'Equity Volume Data'!BI487*'Equity Price Data'!BL488</f>
        <v>0</v>
      </c>
      <c r="BG487" s="30">
        <f>'Equity Volume Data'!BJ487*'Equity Price Data'!BM488</f>
        <v>0</v>
      </c>
      <c r="BH487" s="30">
        <f>'Equity Volume Data'!BK487*'Equity Price Data'!BN488</f>
        <v>0</v>
      </c>
      <c r="BI487" s="30">
        <f>'Equity Volume Data'!BL487*'Equity Price Data'!BO488</f>
        <v>0</v>
      </c>
      <c r="BJ487" s="30">
        <f>'Equity Volume Data'!BM487*'Equity Price Data'!BP488</f>
        <v>0</v>
      </c>
      <c r="BK487" s="30">
        <f>'Equity Volume Data'!BN487*'Equity Price Data'!BQ488</f>
        <v>0</v>
      </c>
      <c r="BL487" s="30">
        <f>'Equity Volume Data'!BO487*'Equity Price Data'!BR488</f>
        <v>0</v>
      </c>
      <c r="BM487" s="30">
        <f>'Equity Volume Data'!BP487*'Equity Price Data'!BS488</f>
        <v>0</v>
      </c>
      <c r="BN487" s="30">
        <f>'Equity Volume Data'!BQ487*'Equity Price Data'!BT488</f>
        <v>0</v>
      </c>
      <c r="BO487" s="30">
        <v>65366.0</v>
      </c>
    </row>
    <row r="488">
      <c r="A488" s="25" t="str">
        <f>'Equity Price Data'!A489</f>
        <v/>
      </c>
      <c r="B488" s="29">
        <f t="shared" si="1"/>
        <v>65366</v>
      </c>
      <c r="C488" s="30">
        <f>'Equity Volume Data'!F488*'Equity Price Data'!I489</f>
        <v>0</v>
      </c>
      <c r="D488" s="30">
        <f>'Equity Volume Data'!G488*'Equity Price Data'!J489</f>
        <v>0</v>
      </c>
      <c r="E488" s="30">
        <f>'Equity Volume Data'!H488*'Equity Price Data'!K489</f>
        <v>0</v>
      </c>
      <c r="F488" s="30">
        <f>'Equity Volume Data'!I488*'Equity Price Data'!L489</f>
        <v>0</v>
      </c>
      <c r="G488" s="30">
        <f>'Equity Volume Data'!J488*'Equity Price Data'!M489</f>
        <v>0</v>
      </c>
      <c r="H488" s="30">
        <f>'Equity Volume Data'!K488*'Equity Price Data'!N489</f>
        <v>0</v>
      </c>
      <c r="I488" s="30">
        <f>'Equity Volume Data'!L488*'Equity Price Data'!O489</f>
        <v>0</v>
      </c>
      <c r="J488" s="30">
        <f>'Equity Volume Data'!M488*'Equity Price Data'!P489</f>
        <v>0</v>
      </c>
      <c r="K488" s="30">
        <f>'Equity Volume Data'!N488*'Equity Price Data'!Q489</f>
        <v>0</v>
      </c>
      <c r="L488" s="30">
        <f>'Equity Volume Data'!O488*'Equity Price Data'!R489</f>
        <v>0</v>
      </c>
      <c r="M488" s="30">
        <f>'Equity Volume Data'!P488*'Equity Price Data'!S489</f>
        <v>0</v>
      </c>
      <c r="N488" s="30">
        <f>'Equity Volume Data'!Q488*'Equity Price Data'!T489</f>
        <v>0</v>
      </c>
      <c r="O488" s="30">
        <f>'Equity Volume Data'!R488*'Equity Price Data'!U489</f>
        <v>0</v>
      </c>
      <c r="P488" s="30">
        <f>'Equity Volume Data'!S488*'Equity Price Data'!V489</f>
        <v>0</v>
      </c>
      <c r="Q488" s="30">
        <f>'Equity Volume Data'!T488*'Equity Price Data'!W489</f>
        <v>0</v>
      </c>
      <c r="R488" s="30">
        <f>'Equity Volume Data'!U488*'Equity Price Data'!X489</f>
        <v>0</v>
      </c>
      <c r="S488" s="30">
        <f>'Equity Volume Data'!V488*'Equity Price Data'!Y489</f>
        <v>0</v>
      </c>
      <c r="T488" s="30">
        <f>'Equity Volume Data'!W488*'Equity Price Data'!Z489</f>
        <v>0</v>
      </c>
      <c r="U488" s="30">
        <f>'Equity Volume Data'!X488*'Equity Price Data'!AA489</f>
        <v>0</v>
      </c>
      <c r="V488" s="30">
        <f>'Equity Volume Data'!Y488*'Equity Price Data'!AB489</f>
        <v>0</v>
      </c>
      <c r="W488" s="30">
        <f>'Equity Volume Data'!Z488*'Equity Price Data'!AC489</f>
        <v>0</v>
      </c>
      <c r="X488" s="30">
        <f>'Equity Volume Data'!AA488*'Equity Price Data'!AD489</f>
        <v>0</v>
      </c>
      <c r="Y488" s="30">
        <f>'Equity Volume Data'!AB488*'Equity Price Data'!AE489</f>
        <v>0</v>
      </c>
      <c r="Z488" s="30">
        <f>'Equity Volume Data'!AC488*'Equity Price Data'!AF489</f>
        <v>0</v>
      </c>
      <c r="AA488" s="30">
        <f>'Equity Volume Data'!AD488*'Equity Price Data'!AG489</f>
        <v>0</v>
      </c>
      <c r="AB488" s="30">
        <f>'Equity Volume Data'!AE488*'Equity Price Data'!AH489</f>
        <v>0</v>
      </c>
      <c r="AC488" s="30">
        <f>'Equity Volume Data'!AF488*'Equity Price Data'!AI489</f>
        <v>0</v>
      </c>
      <c r="AD488" s="30">
        <f>'Equity Volume Data'!AG488*'Equity Price Data'!AJ489</f>
        <v>0</v>
      </c>
      <c r="AE488" s="30">
        <f>'Equity Volume Data'!AH488*'Equity Price Data'!AK489</f>
        <v>0</v>
      </c>
      <c r="AF488" s="30">
        <f>'Equity Volume Data'!AI488*'Equity Price Data'!AL489</f>
        <v>0</v>
      </c>
      <c r="AG488" s="30">
        <f>'Equity Volume Data'!AJ488*'Equity Price Data'!AM489</f>
        <v>0</v>
      </c>
      <c r="AH488" s="30">
        <f>'Equity Volume Data'!AK488*'Equity Price Data'!AN489</f>
        <v>0</v>
      </c>
      <c r="AI488" s="30">
        <f>'Equity Volume Data'!AL488*'Equity Price Data'!AO489</f>
        <v>0</v>
      </c>
      <c r="AJ488" s="30">
        <f>'Equity Volume Data'!AM488*'Equity Price Data'!AP489</f>
        <v>0</v>
      </c>
      <c r="AK488" s="30">
        <f>'Equity Volume Data'!AN488*'Equity Price Data'!AQ489</f>
        <v>0</v>
      </c>
      <c r="AL488" s="30">
        <f>'Equity Volume Data'!AO488*'Equity Price Data'!AR489</f>
        <v>0</v>
      </c>
      <c r="AM488" s="30">
        <f>'Equity Volume Data'!AP488*'Equity Price Data'!AS489</f>
        <v>0</v>
      </c>
      <c r="AN488" s="30">
        <f>'Equity Volume Data'!AQ488*'Equity Price Data'!AT489</f>
        <v>0</v>
      </c>
      <c r="AO488" s="30">
        <f>'Equity Volume Data'!AR488*'Equity Price Data'!AU489</f>
        <v>0</v>
      </c>
      <c r="AP488" s="30">
        <f>'Equity Volume Data'!AS488*'Equity Price Data'!AV489</f>
        <v>0</v>
      </c>
      <c r="AQ488" s="30">
        <f>'Equity Volume Data'!AT488*'Equity Price Data'!AW489</f>
        <v>0</v>
      </c>
      <c r="AR488" s="30">
        <f>'Equity Volume Data'!AU488*'Equity Price Data'!AX489</f>
        <v>0</v>
      </c>
      <c r="AS488" s="30">
        <f>'Equity Volume Data'!AV488*'Equity Price Data'!AY489</f>
        <v>0</v>
      </c>
      <c r="AT488" s="30">
        <f>'Equity Volume Data'!AW488*'Equity Price Data'!AZ489</f>
        <v>0</v>
      </c>
      <c r="AU488" s="30">
        <f>'Equity Volume Data'!AX488*'Equity Price Data'!BA489</f>
        <v>0</v>
      </c>
      <c r="AV488" s="30">
        <f>'Equity Volume Data'!AY488*'Equity Price Data'!BB489</f>
        <v>0</v>
      </c>
      <c r="AW488" s="30">
        <f>'Equity Volume Data'!AZ488*'Equity Price Data'!BC489</f>
        <v>0</v>
      </c>
      <c r="AX488" s="30">
        <f>'Equity Volume Data'!BA488*'Equity Price Data'!BD489</f>
        <v>0</v>
      </c>
      <c r="AY488" s="30">
        <f>'Equity Volume Data'!BB488*'Equity Price Data'!BE489</f>
        <v>0</v>
      </c>
      <c r="AZ488" s="30">
        <f>'Equity Volume Data'!BC488*'Equity Price Data'!BF489</f>
        <v>0</v>
      </c>
      <c r="BA488" s="30">
        <f>'Equity Volume Data'!BD488*'Equity Price Data'!BG489</f>
        <v>0</v>
      </c>
      <c r="BB488" s="30">
        <f>'Equity Volume Data'!BE488*'Equity Price Data'!BH489</f>
        <v>0</v>
      </c>
      <c r="BC488" s="30">
        <f>'Equity Volume Data'!BF488*'Equity Price Data'!BI489</f>
        <v>0</v>
      </c>
      <c r="BD488" s="30">
        <f>'Equity Volume Data'!BG488*'Equity Price Data'!BJ489</f>
        <v>0</v>
      </c>
      <c r="BE488" s="30">
        <f>'Equity Volume Data'!BH488*'Equity Price Data'!BK489</f>
        <v>0</v>
      </c>
      <c r="BF488" s="30">
        <f>'Equity Volume Data'!BI488*'Equity Price Data'!BL489</f>
        <v>0</v>
      </c>
      <c r="BG488" s="30">
        <f>'Equity Volume Data'!BJ488*'Equity Price Data'!BM489</f>
        <v>0</v>
      </c>
      <c r="BH488" s="30">
        <f>'Equity Volume Data'!BK488*'Equity Price Data'!BN489</f>
        <v>0</v>
      </c>
      <c r="BI488" s="30">
        <f>'Equity Volume Data'!BL488*'Equity Price Data'!BO489</f>
        <v>0</v>
      </c>
      <c r="BJ488" s="30">
        <f>'Equity Volume Data'!BM488*'Equity Price Data'!BP489</f>
        <v>0</v>
      </c>
      <c r="BK488" s="30">
        <f>'Equity Volume Data'!BN488*'Equity Price Data'!BQ489</f>
        <v>0</v>
      </c>
      <c r="BL488" s="30">
        <f>'Equity Volume Data'!BO488*'Equity Price Data'!BR489</f>
        <v>0</v>
      </c>
      <c r="BM488" s="30">
        <f>'Equity Volume Data'!BP488*'Equity Price Data'!BS489</f>
        <v>0</v>
      </c>
      <c r="BN488" s="30">
        <f>'Equity Volume Data'!BQ488*'Equity Price Data'!BT489</f>
        <v>0</v>
      </c>
      <c r="BO488" s="30">
        <v>65366.0</v>
      </c>
    </row>
    <row r="489">
      <c r="A489" s="25" t="str">
        <f>'Equity Price Data'!A490</f>
        <v/>
      </c>
      <c r="B489" s="29">
        <f t="shared" si="1"/>
        <v>65366</v>
      </c>
      <c r="C489" s="30">
        <f>'Equity Volume Data'!F489*'Equity Price Data'!I490</f>
        <v>0</v>
      </c>
      <c r="D489" s="30">
        <f>'Equity Volume Data'!G489*'Equity Price Data'!J490</f>
        <v>0</v>
      </c>
      <c r="E489" s="30">
        <f>'Equity Volume Data'!H489*'Equity Price Data'!K490</f>
        <v>0</v>
      </c>
      <c r="F489" s="30">
        <f>'Equity Volume Data'!I489*'Equity Price Data'!L490</f>
        <v>0</v>
      </c>
      <c r="G489" s="30">
        <f>'Equity Volume Data'!J489*'Equity Price Data'!M490</f>
        <v>0</v>
      </c>
      <c r="H489" s="30">
        <f>'Equity Volume Data'!K489*'Equity Price Data'!N490</f>
        <v>0</v>
      </c>
      <c r="I489" s="30">
        <f>'Equity Volume Data'!L489*'Equity Price Data'!O490</f>
        <v>0</v>
      </c>
      <c r="J489" s="30">
        <f>'Equity Volume Data'!M489*'Equity Price Data'!P490</f>
        <v>0</v>
      </c>
      <c r="K489" s="30">
        <f>'Equity Volume Data'!N489*'Equity Price Data'!Q490</f>
        <v>0</v>
      </c>
      <c r="L489" s="30">
        <f>'Equity Volume Data'!O489*'Equity Price Data'!R490</f>
        <v>0</v>
      </c>
      <c r="M489" s="30">
        <f>'Equity Volume Data'!P489*'Equity Price Data'!S490</f>
        <v>0</v>
      </c>
      <c r="N489" s="30">
        <f>'Equity Volume Data'!Q489*'Equity Price Data'!T490</f>
        <v>0</v>
      </c>
      <c r="O489" s="30">
        <f>'Equity Volume Data'!R489*'Equity Price Data'!U490</f>
        <v>0</v>
      </c>
      <c r="P489" s="30">
        <f>'Equity Volume Data'!S489*'Equity Price Data'!V490</f>
        <v>0</v>
      </c>
      <c r="Q489" s="30">
        <f>'Equity Volume Data'!T489*'Equity Price Data'!W490</f>
        <v>0</v>
      </c>
      <c r="R489" s="30">
        <f>'Equity Volume Data'!U489*'Equity Price Data'!X490</f>
        <v>0</v>
      </c>
      <c r="S489" s="30">
        <f>'Equity Volume Data'!V489*'Equity Price Data'!Y490</f>
        <v>0</v>
      </c>
      <c r="T489" s="30">
        <f>'Equity Volume Data'!W489*'Equity Price Data'!Z490</f>
        <v>0</v>
      </c>
      <c r="U489" s="30">
        <f>'Equity Volume Data'!X489*'Equity Price Data'!AA490</f>
        <v>0</v>
      </c>
      <c r="V489" s="30">
        <f>'Equity Volume Data'!Y489*'Equity Price Data'!AB490</f>
        <v>0</v>
      </c>
      <c r="W489" s="30">
        <f>'Equity Volume Data'!Z489*'Equity Price Data'!AC490</f>
        <v>0</v>
      </c>
      <c r="X489" s="30">
        <f>'Equity Volume Data'!AA489*'Equity Price Data'!AD490</f>
        <v>0</v>
      </c>
      <c r="Y489" s="30">
        <f>'Equity Volume Data'!AB489*'Equity Price Data'!AE490</f>
        <v>0</v>
      </c>
      <c r="Z489" s="30">
        <f>'Equity Volume Data'!AC489*'Equity Price Data'!AF490</f>
        <v>0</v>
      </c>
      <c r="AA489" s="30">
        <f>'Equity Volume Data'!AD489*'Equity Price Data'!AG490</f>
        <v>0</v>
      </c>
      <c r="AB489" s="30">
        <f>'Equity Volume Data'!AE489*'Equity Price Data'!AH490</f>
        <v>0</v>
      </c>
      <c r="AC489" s="30">
        <f>'Equity Volume Data'!AF489*'Equity Price Data'!AI490</f>
        <v>0</v>
      </c>
      <c r="AD489" s="30">
        <f>'Equity Volume Data'!AG489*'Equity Price Data'!AJ490</f>
        <v>0</v>
      </c>
      <c r="AE489" s="30">
        <f>'Equity Volume Data'!AH489*'Equity Price Data'!AK490</f>
        <v>0</v>
      </c>
      <c r="AF489" s="30">
        <f>'Equity Volume Data'!AI489*'Equity Price Data'!AL490</f>
        <v>0</v>
      </c>
      <c r="AG489" s="30">
        <f>'Equity Volume Data'!AJ489*'Equity Price Data'!AM490</f>
        <v>0</v>
      </c>
      <c r="AH489" s="30">
        <f>'Equity Volume Data'!AK489*'Equity Price Data'!AN490</f>
        <v>0</v>
      </c>
      <c r="AI489" s="30">
        <f>'Equity Volume Data'!AL489*'Equity Price Data'!AO490</f>
        <v>0</v>
      </c>
      <c r="AJ489" s="30">
        <f>'Equity Volume Data'!AM489*'Equity Price Data'!AP490</f>
        <v>0</v>
      </c>
      <c r="AK489" s="30">
        <f>'Equity Volume Data'!AN489*'Equity Price Data'!AQ490</f>
        <v>0</v>
      </c>
      <c r="AL489" s="30">
        <f>'Equity Volume Data'!AO489*'Equity Price Data'!AR490</f>
        <v>0</v>
      </c>
      <c r="AM489" s="30">
        <f>'Equity Volume Data'!AP489*'Equity Price Data'!AS490</f>
        <v>0</v>
      </c>
      <c r="AN489" s="30">
        <f>'Equity Volume Data'!AQ489*'Equity Price Data'!AT490</f>
        <v>0</v>
      </c>
      <c r="AO489" s="30">
        <f>'Equity Volume Data'!AR489*'Equity Price Data'!AU490</f>
        <v>0</v>
      </c>
      <c r="AP489" s="30">
        <f>'Equity Volume Data'!AS489*'Equity Price Data'!AV490</f>
        <v>0</v>
      </c>
      <c r="AQ489" s="30">
        <f>'Equity Volume Data'!AT489*'Equity Price Data'!AW490</f>
        <v>0</v>
      </c>
      <c r="AR489" s="30">
        <f>'Equity Volume Data'!AU489*'Equity Price Data'!AX490</f>
        <v>0</v>
      </c>
      <c r="AS489" s="30">
        <f>'Equity Volume Data'!AV489*'Equity Price Data'!AY490</f>
        <v>0</v>
      </c>
      <c r="AT489" s="30">
        <f>'Equity Volume Data'!AW489*'Equity Price Data'!AZ490</f>
        <v>0</v>
      </c>
      <c r="AU489" s="30">
        <f>'Equity Volume Data'!AX489*'Equity Price Data'!BA490</f>
        <v>0</v>
      </c>
      <c r="AV489" s="30">
        <f>'Equity Volume Data'!AY489*'Equity Price Data'!BB490</f>
        <v>0</v>
      </c>
      <c r="AW489" s="30">
        <f>'Equity Volume Data'!AZ489*'Equity Price Data'!BC490</f>
        <v>0</v>
      </c>
      <c r="AX489" s="30">
        <f>'Equity Volume Data'!BA489*'Equity Price Data'!BD490</f>
        <v>0</v>
      </c>
      <c r="AY489" s="30">
        <f>'Equity Volume Data'!BB489*'Equity Price Data'!BE490</f>
        <v>0</v>
      </c>
      <c r="AZ489" s="30">
        <f>'Equity Volume Data'!BC489*'Equity Price Data'!BF490</f>
        <v>0</v>
      </c>
      <c r="BA489" s="30">
        <f>'Equity Volume Data'!BD489*'Equity Price Data'!BG490</f>
        <v>0</v>
      </c>
      <c r="BB489" s="30">
        <f>'Equity Volume Data'!BE489*'Equity Price Data'!BH490</f>
        <v>0</v>
      </c>
      <c r="BC489" s="30">
        <f>'Equity Volume Data'!BF489*'Equity Price Data'!BI490</f>
        <v>0</v>
      </c>
      <c r="BD489" s="30">
        <f>'Equity Volume Data'!BG489*'Equity Price Data'!BJ490</f>
        <v>0</v>
      </c>
      <c r="BE489" s="30">
        <f>'Equity Volume Data'!BH489*'Equity Price Data'!BK490</f>
        <v>0</v>
      </c>
      <c r="BF489" s="30">
        <f>'Equity Volume Data'!BI489*'Equity Price Data'!BL490</f>
        <v>0</v>
      </c>
      <c r="BG489" s="30">
        <f>'Equity Volume Data'!BJ489*'Equity Price Data'!BM490</f>
        <v>0</v>
      </c>
      <c r="BH489" s="30">
        <f>'Equity Volume Data'!BK489*'Equity Price Data'!BN490</f>
        <v>0</v>
      </c>
      <c r="BI489" s="30">
        <f>'Equity Volume Data'!BL489*'Equity Price Data'!BO490</f>
        <v>0</v>
      </c>
      <c r="BJ489" s="30">
        <f>'Equity Volume Data'!BM489*'Equity Price Data'!BP490</f>
        <v>0</v>
      </c>
      <c r="BK489" s="30">
        <f>'Equity Volume Data'!BN489*'Equity Price Data'!BQ490</f>
        <v>0</v>
      </c>
      <c r="BL489" s="30">
        <f>'Equity Volume Data'!BO489*'Equity Price Data'!BR490</f>
        <v>0</v>
      </c>
      <c r="BM489" s="30">
        <f>'Equity Volume Data'!BP489*'Equity Price Data'!BS490</f>
        <v>0</v>
      </c>
      <c r="BN489" s="30">
        <f>'Equity Volume Data'!BQ489*'Equity Price Data'!BT490</f>
        <v>0</v>
      </c>
      <c r="BO489" s="30">
        <v>65366.0</v>
      </c>
    </row>
    <row r="490">
      <c r="A490" s="25" t="str">
        <f>'Equity Price Data'!A491</f>
        <v/>
      </c>
      <c r="B490" s="3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32"/>
      <c r="BL490" s="1"/>
      <c r="BM490" s="1"/>
      <c r="BN490" s="1"/>
      <c r="BO490" s="1"/>
    </row>
    <row r="491">
      <c r="A491" s="25" t="str">
        <f>'Equity Price Data'!A492</f>
        <v/>
      </c>
      <c r="B491" s="3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32"/>
      <c r="BL491" s="1"/>
      <c r="BM491" s="1"/>
      <c r="BN491" s="1"/>
      <c r="BO491" s="1"/>
    </row>
    <row r="492">
      <c r="A492" s="25" t="str">
        <f>'Equity Price Data'!A493</f>
        <v/>
      </c>
      <c r="B492" s="3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32"/>
      <c r="BL492" s="1"/>
      <c r="BM492" s="1"/>
      <c r="BN492" s="1"/>
      <c r="BO492" s="1"/>
    </row>
    <row r="493">
      <c r="A493" s="25" t="str">
        <f>'Equity Price Data'!A494</f>
        <v/>
      </c>
      <c r="B493" s="3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32"/>
      <c r="BL493" s="1"/>
      <c r="BM493" s="1"/>
      <c r="BN493" s="1"/>
      <c r="BO493" s="1"/>
    </row>
    <row r="494">
      <c r="A494" s="25" t="str">
        <f>'Equity Price Data'!A495</f>
        <v/>
      </c>
      <c r="B494" s="3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32"/>
      <c r="BL494" s="1"/>
      <c r="BM494" s="1"/>
      <c r="BN494" s="1"/>
      <c r="BO494" s="1"/>
    </row>
    <row r="495">
      <c r="A495" s="25" t="str">
        <f>'Equity Price Data'!A496</f>
        <v/>
      </c>
      <c r="B495" s="3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32"/>
      <c r="BL495" s="1"/>
      <c r="BM495" s="1"/>
      <c r="BN495" s="1"/>
      <c r="BO495" s="1"/>
    </row>
    <row r="496">
      <c r="A496" s="25" t="str">
        <f>'Equity Price Data'!A497</f>
        <v/>
      </c>
      <c r="B496" s="3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32"/>
      <c r="BL496" s="1"/>
      <c r="BM496" s="1"/>
      <c r="BN496" s="1"/>
      <c r="BO496" s="1"/>
    </row>
    <row r="497">
      <c r="A497" s="25" t="str">
        <f>'Equity Price Data'!A498</f>
        <v/>
      </c>
      <c r="B497" s="3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32"/>
      <c r="BL497" s="1"/>
      <c r="BM497" s="1"/>
      <c r="BN497" s="1"/>
      <c r="BO497" s="1"/>
    </row>
    <row r="498">
      <c r="A498" s="25" t="str">
        <f>'Equity Price Data'!A499</f>
        <v/>
      </c>
      <c r="B498" s="3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32"/>
      <c r="BL498" s="1"/>
      <c r="BM498" s="1"/>
      <c r="BN498" s="1"/>
      <c r="BO498" s="1"/>
    </row>
    <row r="499">
      <c r="A499" s="25" t="str">
        <f>'Equity Price Data'!A500</f>
        <v/>
      </c>
      <c r="B499" s="3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32"/>
      <c r="BL499" s="1"/>
      <c r="BM499" s="1"/>
      <c r="BN499" s="1"/>
      <c r="BO499" s="1"/>
    </row>
    <row r="500">
      <c r="A500" s="25" t="str">
        <f>'Equity Price Data'!A501</f>
        <v/>
      </c>
      <c r="B500" s="3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32"/>
      <c r="BL500" s="1"/>
      <c r="BM500" s="1"/>
      <c r="BN500" s="1"/>
      <c r="BO500" s="1"/>
    </row>
    <row r="501">
      <c r="A501" s="25" t="str">
        <f>'Equity Price Data'!A502</f>
        <v/>
      </c>
      <c r="B501" s="3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32"/>
      <c r="BL501" s="1"/>
      <c r="BM501" s="1"/>
      <c r="BN501" s="1"/>
      <c r="BO501" s="1"/>
    </row>
    <row r="502">
      <c r="A502" s="25" t="str">
        <f>'Equity Price Data'!A503</f>
        <v/>
      </c>
      <c r="B502" s="3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32"/>
      <c r="BL502" s="1"/>
      <c r="BM502" s="1"/>
      <c r="BN502" s="1"/>
      <c r="BO502" s="1"/>
    </row>
    <row r="503">
      <c r="A503" s="25" t="str">
        <f>'Equity Price Data'!A504</f>
        <v/>
      </c>
      <c r="B503" s="3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32"/>
      <c r="BL503" s="1"/>
      <c r="BM503" s="1"/>
      <c r="BN503" s="1"/>
      <c r="BO503" s="1"/>
    </row>
    <row r="504">
      <c r="A504" s="25" t="str">
        <f>'Equity Price Data'!A505</f>
        <v/>
      </c>
      <c r="B504" s="3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32"/>
      <c r="BL504" s="1"/>
      <c r="BM504" s="1"/>
      <c r="BN504" s="1"/>
      <c r="BO504" s="1"/>
    </row>
    <row r="505">
      <c r="A505" s="25" t="str">
        <f>'Equity Price Data'!A506</f>
        <v/>
      </c>
      <c r="B505" s="3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32"/>
      <c r="BL505" s="1"/>
      <c r="BM505" s="1"/>
      <c r="BN505" s="1"/>
      <c r="BO505" s="1"/>
    </row>
    <row r="506">
      <c r="A506" s="25" t="str">
        <f>'Equity Price Data'!A507</f>
        <v/>
      </c>
      <c r="B506" s="3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32"/>
      <c r="BL506" s="1"/>
      <c r="BM506" s="1"/>
      <c r="BN506" s="1"/>
      <c r="BO506" s="1"/>
    </row>
    <row r="507">
      <c r="A507" s="25" t="str">
        <f>'Equity Price Data'!A508</f>
        <v/>
      </c>
      <c r="B507" s="3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32"/>
      <c r="BL507" s="1"/>
      <c r="BM507" s="1"/>
      <c r="BN507" s="1"/>
      <c r="BO507" s="1"/>
    </row>
    <row r="508">
      <c r="A508" s="25" t="str">
        <f>'Equity Price Data'!A509</f>
        <v/>
      </c>
      <c r="B508" s="3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32"/>
      <c r="BL508" s="1"/>
      <c r="BM508" s="1"/>
      <c r="BN508" s="1"/>
      <c r="BO508" s="1"/>
    </row>
    <row r="509">
      <c r="A509" s="25" t="str">
        <f>'Equity Price Data'!A510</f>
        <v/>
      </c>
      <c r="B509" s="3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32"/>
      <c r="BL509" s="1"/>
      <c r="BM509" s="1"/>
      <c r="BN509" s="1"/>
      <c r="BO509" s="1"/>
    </row>
    <row r="510">
      <c r="A510" s="25" t="str">
        <f>'Equity Price Data'!A511</f>
        <v/>
      </c>
      <c r="B510" s="3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32"/>
      <c r="BL510" s="1"/>
      <c r="BM510" s="1"/>
      <c r="BN510" s="1"/>
      <c r="BO510" s="1"/>
    </row>
    <row r="511">
      <c r="A511" s="25" t="str">
        <f>'Equity Price Data'!A512</f>
        <v/>
      </c>
      <c r="B511" s="3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32"/>
      <c r="BL511" s="1"/>
      <c r="BM511" s="1"/>
      <c r="BN511" s="1"/>
      <c r="BO511" s="1"/>
    </row>
    <row r="512">
      <c r="A512" s="25" t="str">
        <f>'Equity Price Data'!A513</f>
        <v/>
      </c>
      <c r="B512" s="3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32"/>
      <c r="BL512" s="1"/>
      <c r="BM512" s="1"/>
      <c r="BN512" s="1"/>
      <c r="BO512" s="1"/>
    </row>
    <row r="513">
      <c r="A513" s="25" t="str">
        <f>'Equity Price Data'!A514</f>
        <v/>
      </c>
      <c r="B513" s="3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32"/>
      <c r="BL513" s="1"/>
      <c r="BM513" s="1"/>
      <c r="BN513" s="1"/>
      <c r="BO513" s="1"/>
    </row>
    <row r="514">
      <c r="A514" s="25" t="str">
        <f>'Equity Price Data'!A515</f>
        <v/>
      </c>
      <c r="B514" s="3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32"/>
      <c r="BL514" s="1"/>
      <c r="BM514" s="1"/>
      <c r="BN514" s="1"/>
      <c r="BO514" s="1"/>
    </row>
    <row r="515">
      <c r="A515" s="25" t="str">
        <f>'Equity Price Data'!A516</f>
        <v/>
      </c>
      <c r="B515" s="3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32"/>
      <c r="BL515" s="1"/>
      <c r="BM515" s="1"/>
      <c r="BN515" s="1"/>
      <c r="BO515" s="1"/>
    </row>
    <row r="516">
      <c r="A516" s="25" t="str">
        <f>'Equity Price Data'!A517</f>
        <v/>
      </c>
      <c r="B516" s="3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32"/>
      <c r="BL516" s="1"/>
      <c r="BM516" s="1"/>
      <c r="BN516" s="1"/>
      <c r="BO516" s="1"/>
    </row>
    <row r="517">
      <c r="A517" s="25" t="str">
        <f>'Equity Price Data'!A518</f>
        <v/>
      </c>
      <c r="B517" s="3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32"/>
      <c r="BL517" s="1"/>
      <c r="BM517" s="1"/>
      <c r="BN517" s="1"/>
      <c r="BO517" s="1"/>
    </row>
    <row r="518">
      <c r="A518" s="25" t="str">
        <f>'Equity Price Data'!A519</f>
        <v/>
      </c>
      <c r="B518" s="3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32"/>
      <c r="BL518" s="1"/>
      <c r="BM518" s="1"/>
      <c r="BN518" s="1"/>
      <c r="BO518" s="1"/>
    </row>
    <row r="519">
      <c r="A519" s="25" t="str">
        <f>'Equity Price Data'!A520</f>
        <v/>
      </c>
      <c r="B519" s="3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32"/>
      <c r="BL519" s="1"/>
      <c r="BM519" s="1"/>
      <c r="BN519" s="1"/>
      <c r="BO519" s="1"/>
    </row>
    <row r="520">
      <c r="A520" s="25" t="str">
        <f>'Equity Price Data'!A521</f>
        <v/>
      </c>
      <c r="B520" s="3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32"/>
      <c r="BL520" s="1"/>
      <c r="BM520" s="1"/>
      <c r="BN520" s="1"/>
      <c r="BO520" s="1"/>
    </row>
    <row r="521">
      <c r="A521" s="25" t="str">
        <f>'Equity Price Data'!A522</f>
        <v/>
      </c>
      <c r="B521" s="3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32"/>
      <c r="BL521" s="1"/>
      <c r="BM521" s="1"/>
      <c r="BN521" s="1"/>
      <c r="BO521" s="1"/>
    </row>
    <row r="522">
      <c r="A522" s="25" t="str">
        <f>'Equity Price Data'!A523</f>
        <v/>
      </c>
      <c r="B522" s="3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32"/>
      <c r="BL522" s="1"/>
      <c r="BM522" s="1"/>
      <c r="BN522" s="1"/>
      <c r="BO522" s="1"/>
    </row>
    <row r="523">
      <c r="A523" s="25" t="str">
        <f>'Equity Price Data'!A524</f>
        <v/>
      </c>
      <c r="B523" s="3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32"/>
      <c r="BL523" s="1"/>
      <c r="BM523" s="1"/>
      <c r="BN523" s="1"/>
      <c r="BO523" s="1"/>
    </row>
    <row r="524">
      <c r="A524" s="25" t="str">
        <f>'Equity Price Data'!A525</f>
        <v/>
      </c>
      <c r="B524" s="3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32"/>
      <c r="BL524" s="1"/>
      <c r="BM524" s="1"/>
      <c r="BN524" s="1"/>
      <c r="BO524" s="1"/>
    </row>
    <row r="525">
      <c r="A525" s="25" t="str">
        <f>'Equity Price Data'!A526</f>
        <v/>
      </c>
      <c r="B525" s="3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32"/>
      <c r="BL525" s="1"/>
      <c r="BM525" s="1"/>
      <c r="BN525" s="1"/>
      <c r="BO525" s="1"/>
    </row>
    <row r="526">
      <c r="A526" s="25" t="str">
        <f>'Equity Price Data'!A527</f>
        <v/>
      </c>
      <c r="B526" s="3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32"/>
      <c r="BL526" s="1"/>
      <c r="BM526" s="1"/>
      <c r="BN526" s="1"/>
      <c r="BO526" s="1"/>
    </row>
    <row r="527">
      <c r="A527" s="25" t="str">
        <f>'Equity Price Data'!A528</f>
        <v/>
      </c>
      <c r="B527" s="3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32"/>
      <c r="BL527" s="1"/>
      <c r="BM527" s="1"/>
      <c r="BN527" s="1"/>
      <c r="BO527" s="1"/>
    </row>
    <row r="528">
      <c r="A528" s="25" t="str">
        <f>'Equity Price Data'!A529</f>
        <v/>
      </c>
      <c r="B528" s="3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32"/>
      <c r="BL528" s="1"/>
      <c r="BM528" s="1"/>
      <c r="BN528" s="1"/>
      <c r="BO528" s="1"/>
    </row>
    <row r="529">
      <c r="A529" s="25" t="str">
        <f>'Equity Price Data'!A530</f>
        <v/>
      </c>
      <c r="B529" s="3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32"/>
      <c r="BL529" s="1"/>
      <c r="BM529" s="1"/>
      <c r="BN529" s="1"/>
      <c r="BO529" s="1"/>
    </row>
    <row r="530">
      <c r="A530" s="25" t="str">
        <f>'Equity Price Data'!A531</f>
        <v/>
      </c>
      <c r="B530" s="3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32"/>
      <c r="BL530" s="1"/>
      <c r="BM530" s="1"/>
      <c r="BN530" s="1"/>
      <c r="BO530" s="1"/>
    </row>
    <row r="531">
      <c r="A531" s="25" t="str">
        <f>'Equity Price Data'!A532</f>
        <v/>
      </c>
      <c r="B531" s="3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32"/>
      <c r="BL531" s="1"/>
      <c r="BM531" s="1"/>
      <c r="BN531" s="1"/>
      <c r="BO531" s="1"/>
    </row>
    <row r="532">
      <c r="A532" s="25" t="str">
        <f>'Equity Price Data'!A533</f>
        <v/>
      </c>
      <c r="B532" s="3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32"/>
      <c r="BL532" s="1"/>
      <c r="BM532" s="1"/>
      <c r="BN532" s="1"/>
      <c r="BO532" s="1"/>
    </row>
    <row r="533">
      <c r="A533" s="25" t="str">
        <f>'Equity Price Data'!A534</f>
        <v/>
      </c>
      <c r="B533" s="3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32"/>
      <c r="BL533" s="1"/>
      <c r="BM533" s="1"/>
      <c r="BN533" s="1"/>
      <c r="BO533" s="1"/>
    </row>
    <row r="534">
      <c r="A534" s="25" t="str">
        <f>'Equity Price Data'!A535</f>
        <v/>
      </c>
      <c r="B534" s="3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32"/>
      <c r="BL534" s="1"/>
      <c r="BM534" s="1"/>
      <c r="BN534" s="1"/>
      <c r="BO534" s="1"/>
    </row>
    <row r="535">
      <c r="A535" s="25" t="str">
        <f>'Equity Price Data'!A536</f>
        <v/>
      </c>
      <c r="B535" s="3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>
      <c r="A536" s="25" t="str">
        <f>'Equity Price Data'!A537</f>
        <v/>
      </c>
      <c r="B536" s="3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>
      <c r="A537" s="25" t="str">
        <f>'Equity Price Data'!A538</f>
        <v/>
      </c>
      <c r="B537" s="3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>
      <c r="A538" s="25" t="str">
        <f>'Equity Price Data'!A539</f>
        <v/>
      </c>
      <c r="B538" s="3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>
      <c r="A539" s="25" t="str">
        <f>'Equity Price Data'!A540</f>
        <v/>
      </c>
      <c r="B539" s="3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>
      <c r="A540" s="25" t="str">
        <f>'Equity Price Data'!A541</f>
        <v/>
      </c>
      <c r="B540" s="3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>
      <c r="A541" s="25" t="str">
        <f>'Equity Price Data'!A542</f>
        <v/>
      </c>
      <c r="B541" s="3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>
      <c r="A542" s="25" t="str">
        <f>'Equity Price Data'!A543</f>
        <v/>
      </c>
      <c r="B542" s="3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>
      <c r="A543" s="25" t="str">
        <f>'Equity Price Data'!A544</f>
        <v/>
      </c>
      <c r="B543" s="3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>
      <c r="A544" s="25" t="str">
        <f>'Equity Price Data'!A545</f>
        <v/>
      </c>
      <c r="B544" s="3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>
      <c r="A545" s="25" t="str">
        <f>'Equity Price Data'!A546</f>
        <v/>
      </c>
      <c r="B545" s="3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>
      <c r="A546" s="25" t="str">
        <f>'Equity Price Data'!A547</f>
        <v/>
      </c>
      <c r="B546" s="3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>
      <c r="A547" s="25" t="str">
        <f>'Equity Price Data'!A548</f>
        <v/>
      </c>
      <c r="B547" s="3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>
      <c r="A548" s="25" t="str">
        <f>'Equity Price Data'!A549</f>
        <v/>
      </c>
      <c r="B548" s="3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>
      <c r="A549" s="25" t="str">
        <f>'Equity Price Data'!A550</f>
        <v/>
      </c>
      <c r="B549" s="3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>
      <c r="A550" s="25" t="str">
        <f>'Equity Price Data'!A551</f>
        <v/>
      </c>
      <c r="B550" s="3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>
      <c r="A551" s="25" t="str">
        <f>'Equity Price Data'!A552</f>
        <v/>
      </c>
      <c r="B551" s="3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>
      <c r="A552" s="25" t="str">
        <f>'Equity Price Data'!A553</f>
        <v/>
      </c>
      <c r="B552" s="3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>
      <c r="A553" s="25" t="str">
        <f>'Equity Price Data'!A554</f>
        <v/>
      </c>
      <c r="B553" s="3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>
      <c r="A554" s="25" t="str">
        <f>'Equity Price Data'!A555</f>
        <v/>
      </c>
      <c r="B554" s="3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>
      <c r="A555" s="25" t="str">
        <f>'Equity Price Data'!A556</f>
        <v/>
      </c>
      <c r="B555" s="3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>
      <c r="A556" s="25" t="str">
        <f>'Equity Price Data'!A557</f>
        <v/>
      </c>
      <c r="B556" s="3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>
      <c r="A557" s="25" t="str">
        <f>'Equity Price Data'!A558</f>
        <v/>
      </c>
      <c r="B557" s="3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>
      <c r="A558" s="25" t="str">
        <f>'Equity Price Data'!A559</f>
        <v/>
      </c>
      <c r="B558" s="3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>
      <c r="A559" s="25" t="str">
        <f>'Equity Price Data'!A560</f>
        <v/>
      </c>
      <c r="B559" s="3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>
      <c r="A560" s="25" t="str">
        <f>'Equity Price Data'!A561</f>
        <v/>
      </c>
      <c r="B560" s="3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>
      <c r="A561" s="25" t="str">
        <f>'Equity Price Data'!A562</f>
        <v/>
      </c>
      <c r="B561" s="3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>
      <c r="A562" s="25" t="str">
        <f>'Equity Price Data'!A563</f>
        <v/>
      </c>
      <c r="B562" s="3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>
      <c r="A563" s="25" t="str">
        <f>'Equity Price Data'!A564</f>
        <v/>
      </c>
      <c r="B563" s="3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>
      <c r="A564" s="25" t="str">
        <f>'Equity Price Data'!A565</f>
        <v/>
      </c>
      <c r="B564" s="3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>
      <c r="A565" s="25" t="str">
        <f>'Equity Price Data'!A566</f>
        <v/>
      </c>
      <c r="B565" s="3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>
      <c r="A566" s="25" t="str">
        <f>'Equity Price Data'!A567</f>
        <v/>
      </c>
      <c r="B566" s="3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>
      <c r="A567" s="25" t="str">
        <f>'Equity Price Data'!A568</f>
        <v/>
      </c>
      <c r="B567" s="3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>
      <c r="A568" s="25" t="str">
        <f>'Equity Price Data'!A569</f>
        <v/>
      </c>
      <c r="B568" s="3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>
      <c r="A569" s="25" t="str">
        <f>'Equity Price Data'!A570</f>
        <v/>
      </c>
      <c r="B569" s="3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>
      <c r="A570" s="25" t="str">
        <f>'Equity Price Data'!A571</f>
        <v/>
      </c>
      <c r="B570" s="3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>
      <c r="A571" s="25" t="str">
        <f>'Equity Price Data'!A572</f>
        <v/>
      </c>
      <c r="B571" s="3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>
      <c r="A572" s="25" t="str">
        <f>'Equity Price Data'!A573</f>
        <v/>
      </c>
      <c r="B572" s="3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>
      <c r="A573" s="25" t="str">
        <f>'Equity Price Data'!A574</f>
        <v/>
      </c>
      <c r="B573" s="3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>
      <c r="A574" s="25" t="str">
        <f>'Equity Price Data'!A575</f>
        <v/>
      </c>
      <c r="B574" s="3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>
      <c r="A575" s="25" t="str">
        <f>'Equity Price Data'!A576</f>
        <v/>
      </c>
      <c r="B575" s="3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>
      <c r="A576" s="25" t="str">
        <f>'Equity Price Data'!A577</f>
        <v/>
      </c>
      <c r="B576" s="3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>
      <c r="A577" s="25" t="str">
        <f>'Equity Price Data'!A578</f>
        <v/>
      </c>
      <c r="B577" s="3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>
      <c r="A578" s="25" t="str">
        <f>'Equity Price Data'!A579</f>
        <v/>
      </c>
      <c r="B578" s="3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>
      <c r="A579" s="25" t="str">
        <f>'Equity Price Data'!A580</f>
        <v/>
      </c>
      <c r="B579" s="3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>
      <c r="A580" s="25" t="str">
        <f>'Equity Price Data'!A581</f>
        <v/>
      </c>
      <c r="B580" s="3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>
      <c r="A581" s="25" t="str">
        <f>'Equity Price Data'!A582</f>
        <v/>
      </c>
      <c r="B581" s="3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>
      <c r="A582" s="25" t="str">
        <f>'Equity Price Data'!A583</f>
        <v/>
      </c>
      <c r="B582" s="3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>
      <c r="A583" s="25" t="str">
        <f>'Equity Price Data'!A584</f>
        <v/>
      </c>
      <c r="B583" s="3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>
      <c r="A584" s="25" t="str">
        <f>'Equity Price Data'!A585</f>
        <v/>
      </c>
      <c r="B584" s="3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>
      <c r="A585" s="25" t="str">
        <f>'Equity Price Data'!A586</f>
        <v/>
      </c>
      <c r="B585" s="3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>
      <c r="A586" s="25" t="str">
        <f>'Equity Price Data'!A587</f>
        <v/>
      </c>
      <c r="B586" s="3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>
      <c r="A587" s="25" t="str">
        <f>'Equity Price Data'!A588</f>
        <v/>
      </c>
      <c r="B587" s="3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>
      <c r="A588" s="25" t="str">
        <f>'Equity Price Data'!A589</f>
        <v/>
      </c>
      <c r="B588" s="3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>
      <c r="A589" s="25" t="str">
        <f>'Equity Price Data'!A590</f>
        <v/>
      </c>
      <c r="B589" s="3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>
      <c r="A590" s="25" t="str">
        <f>'Equity Price Data'!A591</f>
        <v/>
      </c>
      <c r="B590" s="3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>
      <c r="A591" s="25" t="str">
        <f>'Equity Price Data'!A592</f>
        <v/>
      </c>
      <c r="B591" s="3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>
      <c r="A592" s="25" t="str">
        <f>'Equity Price Data'!A593</f>
        <v/>
      </c>
      <c r="B592" s="3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>
      <c r="A593" s="25" t="str">
        <f>'Equity Price Data'!A594</f>
        <v/>
      </c>
      <c r="B593" s="3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>
      <c r="A594" s="25" t="str">
        <f>'Equity Price Data'!A595</f>
        <v/>
      </c>
      <c r="B594" s="3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>
      <c r="A595" s="25" t="str">
        <f>'Equity Price Data'!A596</f>
        <v/>
      </c>
      <c r="B595" s="3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>
      <c r="A596" s="25" t="str">
        <f>'Equity Price Data'!A597</f>
        <v/>
      </c>
      <c r="B596" s="3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>
      <c r="A597" s="25" t="str">
        <f>'Equity Price Data'!A598</f>
        <v/>
      </c>
      <c r="B597" s="3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>
      <c r="A598" s="25" t="str">
        <f>'Equity Price Data'!A599</f>
        <v/>
      </c>
      <c r="B598" s="3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>
      <c r="A599" s="25" t="str">
        <f>'Equity Price Data'!A600</f>
        <v/>
      </c>
      <c r="B599" s="3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>
      <c r="A600" s="25" t="str">
        <f>'Equity Price Data'!A601</f>
        <v/>
      </c>
      <c r="B600" s="3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>
      <c r="A601" s="25" t="str">
        <f>'Equity Price Data'!A602</f>
        <v/>
      </c>
      <c r="B601" s="3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>
      <c r="A602" s="25" t="str">
        <f>'Equity Price Data'!A603</f>
        <v/>
      </c>
      <c r="B602" s="3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>
      <c r="A603" s="25" t="str">
        <f>'Equity Price Data'!A604</f>
        <v/>
      </c>
      <c r="B603" s="3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>
      <c r="A604" s="25" t="str">
        <f>'Equity Price Data'!A605</f>
        <v/>
      </c>
      <c r="B604" s="3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>
      <c r="A605" s="25" t="str">
        <f>'Equity Price Data'!A606</f>
        <v/>
      </c>
      <c r="B605" s="3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>
      <c r="A606" s="25" t="str">
        <f>'Equity Price Data'!A607</f>
        <v/>
      </c>
      <c r="B606" s="3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>
      <c r="A607" s="25" t="str">
        <f>'Equity Price Data'!A608</f>
        <v/>
      </c>
      <c r="B607" s="3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>
      <c r="A608" s="25" t="str">
        <f>'Equity Price Data'!A609</f>
        <v/>
      </c>
      <c r="B608" s="3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>
      <c r="A609" s="25" t="str">
        <f>'Equity Price Data'!A610</f>
        <v/>
      </c>
      <c r="B609" s="3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>
      <c r="A610" s="25" t="str">
        <f>'Equity Price Data'!A611</f>
        <v/>
      </c>
      <c r="B610" s="3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>
      <c r="A611" s="25" t="str">
        <f>'Equity Price Data'!A612</f>
        <v/>
      </c>
      <c r="B611" s="3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>
      <c r="A612" s="25" t="str">
        <f>'Equity Price Data'!A613</f>
        <v/>
      </c>
      <c r="B612" s="3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>
      <c r="A613" s="25" t="str">
        <f>'Equity Price Data'!A614</f>
        <v/>
      </c>
      <c r="B613" s="3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>
      <c r="A614" s="25" t="str">
        <f>'Equity Price Data'!A615</f>
        <v/>
      </c>
      <c r="B614" s="3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>
      <c r="A615" s="25" t="str">
        <f>'Equity Price Data'!A616</f>
        <v/>
      </c>
      <c r="B615" s="3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>
      <c r="A616" s="25" t="str">
        <f>'Equity Price Data'!A617</f>
        <v/>
      </c>
      <c r="B616" s="3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>
      <c r="A617" s="25" t="str">
        <f>'Equity Price Data'!A618</f>
        <v/>
      </c>
      <c r="B617" s="3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>
      <c r="A618" s="25" t="str">
        <f>'Equity Price Data'!A619</f>
        <v/>
      </c>
      <c r="B618" s="3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>
      <c r="A619" s="25" t="str">
        <f>'Equity Price Data'!A620</f>
        <v/>
      </c>
      <c r="B619" s="3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>
      <c r="A620" s="25" t="str">
        <f>'Equity Price Data'!A621</f>
        <v/>
      </c>
      <c r="B620" s="3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>
      <c r="A621" s="25" t="str">
        <f>'Equity Price Data'!A622</f>
        <v/>
      </c>
      <c r="B621" s="3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>
      <c r="A622" s="25" t="str">
        <f>'Equity Price Data'!A623</f>
        <v/>
      </c>
      <c r="B622" s="3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>
      <c r="A623" s="25" t="str">
        <f>'Equity Price Data'!A624</f>
        <v/>
      </c>
      <c r="B623" s="3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>
      <c r="A624" s="25" t="str">
        <f>'Equity Price Data'!A625</f>
        <v/>
      </c>
      <c r="B624" s="3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>
      <c r="A625" s="25" t="str">
        <f>'Equity Price Data'!A626</f>
        <v/>
      </c>
      <c r="B625" s="3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>
      <c r="A626" s="25" t="str">
        <f>'Equity Price Data'!A627</f>
        <v/>
      </c>
      <c r="B626" s="3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>
      <c r="A627" s="25" t="str">
        <f>'Equity Price Data'!A628</f>
        <v/>
      </c>
      <c r="B627" s="3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>
      <c r="A628" s="25" t="str">
        <f>'Equity Price Data'!A629</f>
        <v/>
      </c>
      <c r="B628" s="3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>
      <c r="A629" s="25" t="str">
        <f>'Equity Price Data'!A630</f>
        <v/>
      </c>
      <c r="B629" s="3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>
      <c r="A630" s="25" t="str">
        <f>'Equity Price Data'!A631</f>
        <v/>
      </c>
      <c r="B630" s="3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>
      <c r="A631" s="25" t="str">
        <f>'Equity Price Data'!A632</f>
        <v/>
      </c>
      <c r="B631" s="3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>
      <c r="A632" s="25" t="str">
        <f>'Equity Price Data'!A633</f>
        <v/>
      </c>
      <c r="B632" s="3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>
      <c r="A633" s="25" t="str">
        <f>'Equity Price Data'!A634</f>
        <v/>
      </c>
      <c r="B633" s="3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>
      <c r="A634" s="25" t="str">
        <f>'Equity Price Data'!A635</f>
        <v/>
      </c>
      <c r="B634" s="3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>
      <c r="A635" s="25" t="str">
        <f>'Equity Price Data'!A636</f>
        <v/>
      </c>
      <c r="B635" s="3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>
      <c r="A636" s="25" t="str">
        <f>'Equity Price Data'!A637</f>
        <v/>
      </c>
      <c r="B636" s="3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>
      <c r="A637" s="25" t="str">
        <f>'Equity Price Data'!A638</f>
        <v/>
      </c>
      <c r="B637" s="3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>
      <c r="A638" s="25" t="str">
        <f>'Equity Price Data'!A639</f>
        <v/>
      </c>
      <c r="B638" s="3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>
      <c r="A639" s="25" t="str">
        <f>'Equity Price Data'!A640</f>
        <v/>
      </c>
      <c r="B639" s="3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>
      <c r="A640" s="25" t="str">
        <f>'Equity Price Data'!A641</f>
        <v/>
      </c>
      <c r="B640" s="3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>
      <c r="A641" s="25" t="str">
        <f>'Equity Price Data'!A642</f>
        <v/>
      </c>
      <c r="B641" s="3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>
      <c r="A642" s="25" t="str">
        <f>'Equity Price Data'!A643</f>
        <v/>
      </c>
      <c r="B642" s="3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>
      <c r="A643" s="25" t="str">
        <f>'Equity Price Data'!A644</f>
        <v/>
      </c>
      <c r="B643" s="3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>
      <c r="A644" s="25" t="str">
        <f>'Equity Price Data'!A645</f>
        <v/>
      </c>
      <c r="B644" s="3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>
      <c r="A645" s="25" t="str">
        <f>'Equity Price Data'!A646</f>
        <v/>
      </c>
      <c r="B645" s="3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>
      <c r="A646" s="25" t="str">
        <f>'Equity Price Data'!A647</f>
        <v/>
      </c>
      <c r="B646" s="3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>
      <c r="A647" s="25" t="str">
        <f>'Equity Price Data'!A648</f>
        <v/>
      </c>
      <c r="B647" s="3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>
      <c r="A648" s="25" t="str">
        <f>'Equity Price Data'!A649</f>
        <v/>
      </c>
      <c r="B648" s="3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>
      <c r="A649" s="25" t="str">
        <f>'Equity Price Data'!A650</f>
        <v/>
      </c>
      <c r="B649" s="3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>
      <c r="A650" s="25" t="str">
        <f>'Equity Price Data'!A651</f>
        <v/>
      </c>
      <c r="B650" s="3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>
      <c r="A651" s="25" t="str">
        <f>'Equity Price Data'!A652</f>
        <v/>
      </c>
      <c r="B651" s="3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>
      <c r="A652" s="25" t="str">
        <f>'Equity Price Data'!A653</f>
        <v/>
      </c>
      <c r="B652" s="3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>
      <c r="A653" s="25" t="str">
        <f>'Equity Price Data'!A654</f>
        <v/>
      </c>
      <c r="B653" s="3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>
      <c r="A654" s="25" t="str">
        <f>'Equity Price Data'!A655</f>
        <v/>
      </c>
      <c r="B654" s="3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>
      <c r="A655" s="25" t="str">
        <f>'Equity Price Data'!A656</f>
        <v/>
      </c>
      <c r="B655" s="3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>
      <c r="A656" s="25" t="str">
        <f>'Equity Price Data'!A657</f>
        <v/>
      </c>
      <c r="B656" s="3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>
      <c r="A657" s="25" t="str">
        <f>'Equity Price Data'!A658</f>
        <v/>
      </c>
      <c r="B657" s="3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>
      <c r="A658" s="25" t="str">
        <f>'Equity Price Data'!A659</f>
        <v/>
      </c>
      <c r="B658" s="3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>
      <c r="A659" s="25" t="str">
        <f>'Equity Price Data'!A660</f>
        <v/>
      </c>
      <c r="B659" s="3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>
      <c r="A660" s="25" t="str">
        <f>'Equity Price Data'!A661</f>
        <v/>
      </c>
      <c r="B660" s="3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>
      <c r="A661" s="25" t="str">
        <f>'Equity Price Data'!A662</f>
        <v/>
      </c>
      <c r="B661" s="3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>
      <c r="A662" s="25" t="str">
        <f>'Equity Price Data'!A663</f>
        <v/>
      </c>
      <c r="B662" s="3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>
      <c r="A663" s="25" t="str">
        <f>'Equity Price Data'!A664</f>
        <v/>
      </c>
      <c r="B663" s="3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>
      <c r="A664" s="25" t="str">
        <f>'Equity Price Data'!A665</f>
        <v/>
      </c>
      <c r="B664" s="3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>
      <c r="A665" s="25" t="str">
        <f>'Equity Price Data'!A666</f>
        <v/>
      </c>
      <c r="B665" s="3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>
      <c r="A666" s="25" t="str">
        <f>'Equity Price Data'!A667</f>
        <v/>
      </c>
      <c r="B666" s="3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>
      <c r="A667" s="25" t="str">
        <f>'Equity Price Data'!A668</f>
        <v/>
      </c>
      <c r="B667" s="3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>
      <c r="A668" s="25" t="str">
        <f>'Equity Price Data'!A669</f>
        <v/>
      </c>
      <c r="B668" s="3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>
      <c r="A669" s="25" t="str">
        <f>'Equity Price Data'!A670</f>
        <v/>
      </c>
      <c r="B669" s="3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>
      <c r="A670" s="25" t="str">
        <f>'Equity Price Data'!A671</f>
        <v/>
      </c>
      <c r="B670" s="3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>
      <c r="A671" s="25" t="str">
        <f>'Equity Price Data'!A672</f>
        <v/>
      </c>
      <c r="B671" s="3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>
      <c r="A672" s="25" t="str">
        <f>'Equity Price Data'!A673</f>
        <v/>
      </c>
      <c r="B672" s="3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>
      <c r="A673" s="25" t="str">
        <f>'Equity Price Data'!A674</f>
        <v/>
      </c>
      <c r="B673" s="3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>
      <c r="A674" s="25" t="str">
        <f>'Equity Price Data'!A675</f>
        <v/>
      </c>
      <c r="B674" s="3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>
      <c r="A675" s="25" t="str">
        <f>'Equity Price Data'!A676</f>
        <v/>
      </c>
      <c r="B675" s="3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>
      <c r="A676" s="25" t="str">
        <f>'Equity Price Data'!A677</f>
        <v/>
      </c>
      <c r="B676" s="3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>
      <c r="A677" s="25" t="str">
        <f>'Equity Price Data'!A678</f>
        <v/>
      </c>
      <c r="B677" s="3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>
      <c r="A678" s="25" t="str">
        <f>'Equity Price Data'!A679</f>
        <v/>
      </c>
      <c r="B678" s="3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>
      <c r="A679" s="25" t="str">
        <f>'Equity Price Data'!A680</f>
        <v/>
      </c>
      <c r="B679" s="3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>
      <c r="A680" s="25" t="str">
        <f>'Equity Price Data'!A681</f>
        <v/>
      </c>
      <c r="B680" s="3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>
      <c r="A681" s="25" t="str">
        <f>'Equity Price Data'!A682</f>
        <v/>
      </c>
      <c r="B681" s="3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>
      <c r="A682" s="25" t="str">
        <f>'Equity Price Data'!A683</f>
        <v/>
      </c>
      <c r="B682" s="3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>
      <c r="A683" s="25" t="str">
        <f>'Equity Price Data'!A684</f>
        <v/>
      </c>
      <c r="B683" s="3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>
      <c r="A684" s="25" t="str">
        <f>'Equity Price Data'!A685</f>
        <v/>
      </c>
      <c r="B684" s="3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>
      <c r="A685" s="25" t="str">
        <f>'Equity Price Data'!A686</f>
        <v/>
      </c>
      <c r="B685" s="3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>
      <c r="A686" s="25" t="str">
        <f>'Equity Price Data'!A687</f>
        <v/>
      </c>
      <c r="B686" s="3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>
      <c r="A687" s="25" t="str">
        <f>'Equity Price Data'!A688</f>
        <v/>
      </c>
      <c r="B687" s="3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>
      <c r="A688" s="25" t="str">
        <f>'Equity Price Data'!A689</f>
        <v/>
      </c>
      <c r="B688" s="3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>
      <c r="A689" s="25" t="str">
        <f>'Equity Price Data'!A690</f>
        <v/>
      </c>
      <c r="B689" s="3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>
      <c r="A690" s="25" t="str">
        <f>'Equity Price Data'!A691</f>
        <v/>
      </c>
      <c r="B690" s="3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>
      <c r="A691" s="25" t="str">
        <f>'Equity Price Data'!A692</f>
        <v/>
      </c>
      <c r="B691" s="3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>
      <c r="A692" s="25" t="str">
        <f>'Equity Price Data'!A693</f>
        <v/>
      </c>
      <c r="B692" s="3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>
      <c r="A693" s="25" t="str">
        <f>'Equity Price Data'!A694</f>
        <v/>
      </c>
      <c r="B693" s="3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>
      <c r="A694" s="25" t="str">
        <f>'Equity Price Data'!A695</f>
        <v/>
      </c>
      <c r="B694" s="3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>
      <c r="A695" s="25" t="str">
        <f>'Equity Price Data'!A696</f>
        <v/>
      </c>
      <c r="B695" s="3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>
      <c r="A696" s="25" t="str">
        <f>'Equity Price Data'!A697</f>
        <v/>
      </c>
      <c r="B696" s="3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>
      <c r="A697" s="25" t="str">
        <f>'Equity Price Data'!A698</f>
        <v/>
      </c>
      <c r="B697" s="3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>
      <c r="A698" s="25" t="str">
        <f>'Equity Price Data'!A699</f>
        <v/>
      </c>
      <c r="B698" s="3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>
      <c r="A699" s="25" t="str">
        <f>'Equity Price Data'!A700</f>
        <v/>
      </c>
      <c r="B699" s="3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>
      <c r="A700" s="25" t="str">
        <f>'Equity Price Data'!A701</f>
        <v/>
      </c>
      <c r="B700" s="3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>
      <c r="A701" s="25" t="str">
        <f>'Equity Price Data'!A702</f>
        <v/>
      </c>
      <c r="B701" s="3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>
      <c r="A702" s="25" t="str">
        <f>'Equity Price Data'!A703</f>
        <v/>
      </c>
      <c r="B702" s="3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>
      <c r="A703" s="25" t="str">
        <f>'Equity Price Data'!A704</f>
        <v/>
      </c>
      <c r="B703" s="3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>
      <c r="A704" s="25" t="str">
        <f>'Equity Price Data'!A705</f>
        <v/>
      </c>
      <c r="B704" s="3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>
      <c r="A705" s="25" t="str">
        <f>'Equity Price Data'!A706</f>
        <v/>
      </c>
      <c r="B705" s="3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>
      <c r="A706" s="25" t="str">
        <f>'Equity Price Data'!A707</f>
        <v/>
      </c>
      <c r="B706" s="3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>
      <c r="A707" s="25" t="str">
        <f>'Equity Price Data'!A708</f>
        <v/>
      </c>
      <c r="B707" s="3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>
      <c r="A708" s="25" t="str">
        <f>'Equity Price Data'!A709</f>
        <v/>
      </c>
      <c r="B708" s="3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>
      <c r="A709" s="25" t="str">
        <f>'Equity Price Data'!A710</f>
        <v/>
      </c>
      <c r="B709" s="3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>
      <c r="A710" s="25" t="str">
        <f>'Equity Price Data'!A711</f>
        <v/>
      </c>
      <c r="B710" s="3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>
      <c r="A711" s="25" t="str">
        <f>'Equity Price Data'!A712</f>
        <v/>
      </c>
      <c r="B711" s="3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>
      <c r="A712" s="25" t="str">
        <f>'Equity Price Data'!A713</f>
        <v/>
      </c>
      <c r="B712" s="3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>
      <c r="A713" s="25" t="str">
        <f>'Equity Price Data'!A714</f>
        <v/>
      </c>
      <c r="B713" s="3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>
      <c r="A714" s="25" t="str">
        <f>'Equity Price Data'!A715</f>
        <v/>
      </c>
      <c r="B714" s="3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>
      <c r="A715" s="25" t="str">
        <f>'Equity Price Data'!A716</f>
        <v/>
      </c>
      <c r="B715" s="3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>
      <c r="A716" s="25" t="str">
        <f>'Equity Price Data'!A717</f>
        <v/>
      </c>
      <c r="B716" s="3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>
      <c r="A717" s="25" t="str">
        <f>'Equity Price Data'!A718</f>
        <v/>
      </c>
      <c r="B717" s="3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>
      <c r="A718" s="25" t="str">
        <f>'Equity Price Data'!A719</f>
        <v/>
      </c>
      <c r="B718" s="3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>
      <c r="A719" s="25" t="str">
        <f>'Equity Price Data'!A720</f>
        <v/>
      </c>
      <c r="B719" s="3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>
      <c r="A720" s="25" t="str">
        <f>'Equity Price Data'!A721</f>
        <v/>
      </c>
      <c r="B720" s="3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>
      <c r="A721" s="25"/>
      <c r="B721" s="3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>
      <c r="A722" s="25"/>
      <c r="B722" s="3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>
      <c r="A723" s="25"/>
      <c r="B723" s="3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>
      <c r="A724" s="25"/>
      <c r="B724" s="3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>
      <c r="A725" s="25"/>
      <c r="B725" s="3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>
      <c r="A726" s="25"/>
      <c r="B726" s="3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>
      <c r="A727" s="25"/>
      <c r="B727" s="3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>
      <c r="A728" s="25"/>
      <c r="B728" s="3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>
      <c r="A729" s="25"/>
      <c r="B729" s="3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>
      <c r="A730" s="25"/>
      <c r="B730" s="3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>
      <c r="A731" s="25"/>
      <c r="B731" s="3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>
      <c r="A732" s="25"/>
      <c r="B732" s="3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>
      <c r="A733" s="25"/>
      <c r="B733" s="3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>
      <c r="A734" s="25"/>
      <c r="B734" s="3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>
      <c r="A735" s="25"/>
      <c r="B735" s="3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>
      <c r="A736" s="25"/>
      <c r="B736" s="3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>
      <c r="A737" s="25"/>
      <c r="B737" s="3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>
      <c r="A738" s="25"/>
      <c r="B738" s="3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>
      <c r="A739" s="25"/>
      <c r="B739" s="3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>
      <c r="A740" s="25"/>
      <c r="B740" s="3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>
      <c r="A741" s="25"/>
      <c r="B741" s="3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>
      <c r="A742" s="25"/>
      <c r="B742" s="3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>
      <c r="A743" s="25"/>
      <c r="B743" s="3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>
      <c r="A744" s="25"/>
      <c r="B744" s="3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>
      <c r="A745" s="25"/>
      <c r="B745" s="3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>
      <c r="A746" s="25"/>
      <c r="B746" s="3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>
      <c r="A747" s="25"/>
      <c r="B747" s="3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>
      <c r="A748" s="25"/>
      <c r="B748" s="3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>
      <c r="A749" s="25"/>
      <c r="B749" s="3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>
      <c r="A750" s="25"/>
      <c r="B750" s="3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>
      <c r="A751" s="25"/>
      <c r="B751" s="3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>
      <c r="A752" s="25"/>
      <c r="B752" s="3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>
      <c r="A753" s="25"/>
      <c r="B753" s="3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>
      <c r="A754" s="25"/>
      <c r="B754" s="3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>
      <c r="A755" s="25"/>
      <c r="B755" s="3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>
      <c r="A756" s="25"/>
      <c r="B756" s="3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>
      <c r="A757" s="25"/>
      <c r="B757" s="3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>
      <c r="A758" s="25"/>
      <c r="B758" s="3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>
      <c r="A759" s="25"/>
      <c r="B759" s="3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>
      <c r="A760" s="25"/>
      <c r="B760" s="3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>
      <c r="A761" s="25"/>
      <c r="B761" s="3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>
      <c r="A762" s="25"/>
      <c r="B762" s="3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>
      <c r="A763" s="25"/>
      <c r="B763" s="3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>
      <c r="A764" s="25"/>
      <c r="B764" s="3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>
      <c r="A765" s="25"/>
      <c r="B765" s="3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>
      <c r="A766" s="25"/>
      <c r="B766" s="3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>
      <c r="A767" s="25"/>
      <c r="B767" s="3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>
      <c r="A768" s="25"/>
      <c r="B768" s="3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>
      <c r="A769" s="25"/>
      <c r="B769" s="3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>
      <c r="A770" s="25"/>
      <c r="B770" s="3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>
      <c r="A771" s="25"/>
      <c r="B771" s="3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>
      <c r="A772" s="25"/>
      <c r="B772" s="3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>
      <c r="A773" s="25"/>
      <c r="B773" s="3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>
      <c r="A774" s="25"/>
      <c r="B774" s="3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>
      <c r="A775" s="25"/>
      <c r="B775" s="3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>
      <c r="A776" s="25"/>
      <c r="B776" s="3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>
      <c r="A777" s="25"/>
      <c r="B777" s="3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>
      <c r="A778" s="25"/>
      <c r="B778" s="3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>
      <c r="A779" s="25"/>
      <c r="B779" s="3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>
      <c r="A780" s="25"/>
      <c r="B780" s="3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>
      <c r="A781" s="25"/>
      <c r="B781" s="3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>
      <c r="A782" s="25"/>
      <c r="B782" s="3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>
      <c r="A783" s="25"/>
      <c r="B783" s="3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>
      <c r="A784" s="25"/>
      <c r="B784" s="3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>
      <c r="A785" s="25"/>
      <c r="B785" s="3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>
      <c r="A786" s="25"/>
      <c r="B786" s="3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>
      <c r="A787" s="25"/>
      <c r="B787" s="3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>
      <c r="A788" s="25"/>
      <c r="B788" s="3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>
      <c r="A789" s="25"/>
      <c r="B789" s="3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>
      <c r="A790" s="25"/>
      <c r="B790" s="3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>
      <c r="A791" s="25"/>
      <c r="B791" s="3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>
      <c r="A792" s="25"/>
      <c r="B792" s="3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>
      <c r="A793" s="25"/>
      <c r="B793" s="3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>
      <c r="A794" s="25"/>
      <c r="B794" s="3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>
      <c r="A795" s="25"/>
      <c r="B795" s="3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>
      <c r="A796" s="25"/>
      <c r="B796" s="3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>
      <c r="A797" s="25"/>
      <c r="B797" s="3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>
      <c r="A798" s="25"/>
      <c r="B798" s="3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>
      <c r="A799" s="25"/>
      <c r="B799" s="3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>
      <c r="A800" s="25"/>
      <c r="B800" s="3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>
      <c r="A801" s="25"/>
      <c r="B801" s="3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>
      <c r="A802" s="25"/>
      <c r="B802" s="3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>
      <c r="A803" s="25"/>
      <c r="B803" s="3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>
      <c r="A804" s="25"/>
      <c r="B804" s="3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>
      <c r="A805" s="25"/>
      <c r="B805" s="3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>
      <c r="A806" s="25"/>
      <c r="B806" s="3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>
      <c r="A807" s="25"/>
      <c r="B807" s="3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>
      <c r="A808" s="25"/>
      <c r="B808" s="3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>
      <c r="A809" s="25"/>
      <c r="B809" s="3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>
      <c r="A810" s="25"/>
      <c r="B810" s="3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>
      <c r="A811" s="25"/>
      <c r="B811" s="3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>
      <c r="A812" s="25"/>
      <c r="B812" s="3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>
      <c r="A813" s="25"/>
      <c r="B813" s="3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>
      <c r="A814" s="25"/>
      <c r="B814" s="3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>
      <c r="A815" s="25"/>
      <c r="B815" s="3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>
      <c r="A816" s="25"/>
      <c r="B816" s="3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>
      <c r="A817" s="25"/>
      <c r="B817" s="3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>
      <c r="A818" s="25"/>
      <c r="B818" s="3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>
      <c r="A819" s="25"/>
      <c r="B819" s="3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>
      <c r="A820" s="25"/>
      <c r="B820" s="3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>
      <c r="A821" s="25"/>
      <c r="B821" s="3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>
      <c r="A822" s="25"/>
      <c r="B822" s="3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>
      <c r="A823" s="25"/>
      <c r="B823" s="3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>
      <c r="A824" s="25"/>
      <c r="B824" s="3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>
      <c r="A825" s="25"/>
      <c r="B825" s="3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>
      <c r="A826" s="25"/>
      <c r="B826" s="3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>
      <c r="A827" s="25"/>
      <c r="B827" s="3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>
      <c r="A828" s="25"/>
      <c r="B828" s="3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>
      <c r="A829" s="25"/>
      <c r="B829" s="3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>
      <c r="A830" s="25"/>
      <c r="B830" s="3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>
      <c r="A831" s="25"/>
      <c r="B831" s="3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>
      <c r="A832" s="25"/>
      <c r="B832" s="3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>
      <c r="A833" s="25"/>
      <c r="B833" s="3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>
      <c r="A834" s="25"/>
      <c r="B834" s="3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>
      <c r="A835" s="25"/>
      <c r="B835" s="3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>
      <c r="A836" s="25"/>
      <c r="B836" s="3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>
      <c r="A837" s="25"/>
      <c r="B837" s="3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>
      <c r="A838" s="25"/>
      <c r="B838" s="3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>
      <c r="A839" s="25"/>
      <c r="B839" s="3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>
      <c r="A840" s="25"/>
      <c r="B840" s="3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>
      <c r="A841" s="25"/>
      <c r="B841" s="3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>
      <c r="A842" s="25"/>
      <c r="B842" s="3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>
      <c r="A843" s="25"/>
      <c r="B843" s="3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>
      <c r="A844" s="25"/>
      <c r="B844" s="3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>
      <c r="A845" s="25"/>
      <c r="B845" s="3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>
      <c r="A846" s="25"/>
      <c r="B846" s="3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>
      <c r="A847" s="25"/>
      <c r="B847" s="3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>
      <c r="A848" s="25"/>
      <c r="B848" s="3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>
      <c r="A849" s="25"/>
      <c r="B849" s="3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>
      <c r="A850" s="25"/>
      <c r="B850" s="3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>
      <c r="A851" s="1"/>
      <c r="B851" s="3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>
      <c r="A852" s="1"/>
      <c r="B852" s="3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>
      <c r="A853" s="1"/>
      <c r="B853" s="3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>
      <c r="A854" s="1"/>
      <c r="B854" s="3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>
      <c r="A855" s="1"/>
      <c r="B855" s="3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>
      <c r="A856" s="1"/>
      <c r="B856" s="3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>
      <c r="A857" s="1"/>
      <c r="B857" s="3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>
      <c r="A858" s="1"/>
      <c r="B858" s="3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>
      <c r="A859" s="1"/>
      <c r="B859" s="3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>
      <c r="A860" s="1"/>
      <c r="B860" s="3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>
      <c r="A861" s="1"/>
      <c r="B861" s="3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>
      <c r="A862" s="1"/>
      <c r="B862" s="3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>
      <c r="A863" s="1"/>
      <c r="B863" s="3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>
      <c r="A864" s="1"/>
      <c r="B864" s="3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>
      <c r="A865" s="1"/>
      <c r="B865" s="3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>
      <c r="A866" s="1"/>
      <c r="B866" s="3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>
      <c r="A867" s="1"/>
      <c r="B867" s="3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>
      <c r="A868" s="1"/>
      <c r="B868" s="3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>
      <c r="A869" s="1"/>
      <c r="B869" s="3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>
      <c r="A870" s="1"/>
      <c r="B870" s="3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>
      <c r="A871" s="1"/>
      <c r="B871" s="3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>
      <c r="A872" s="1"/>
      <c r="B872" s="3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>
      <c r="A873" s="1"/>
      <c r="B873" s="3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>
      <c r="A874" s="1"/>
      <c r="B874" s="3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>
      <c r="A875" s="1"/>
      <c r="B875" s="3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>
      <c r="A876" s="1"/>
      <c r="B876" s="3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>
      <c r="A877" s="1"/>
      <c r="B877" s="3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>
      <c r="A878" s="1"/>
      <c r="B878" s="3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>
      <c r="A879" s="1"/>
      <c r="B879" s="3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>
      <c r="A880" s="1"/>
      <c r="B880" s="3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>
      <c r="A881" s="1"/>
      <c r="B881" s="3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>
      <c r="A882" s="1"/>
      <c r="B882" s="3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>
      <c r="A883" s="1"/>
      <c r="B883" s="3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>
      <c r="A884" s="1"/>
      <c r="B884" s="3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>
      <c r="A885" s="1"/>
      <c r="B885" s="3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>
      <c r="A886" s="1"/>
      <c r="B886" s="3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>
      <c r="A887" s="1"/>
      <c r="B887" s="3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>
      <c r="A888" s="1"/>
      <c r="B888" s="3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>
      <c r="A889" s="1"/>
      <c r="B889" s="3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>
      <c r="A890" s="1"/>
      <c r="B890" s="3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>
      <c r="A891" s="1"/>
      <c r="B891" s="3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>
      <c r="A892" s="1"/>
      <c r="B892" s="3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>
      <c r="A893" s="1"/>
      <c r="B893" s="3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>
      <c r="A894" s="1"/>
      <c r="B894" s="3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>
      <c r="A895" s="1"/>
      <c r="B895" s="3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>
      <c r="A896" s="1"/>
      <c r="B896" s="3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>
      <c r="A897" s="1"/>
      <c r="B897" s="3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>
      <c r="A898" s="1"/>
      <c r="B898" s="3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>
      <c r="A899" s="1"/>
      <c r="B899" s="3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>
      <c r="A900" s="1"/>
      <c r="B900" s="3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>
      <c r="A901" s="1"/>
      <c r="B901" s="3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>
      <c r="A902" s="1"/>
      <c r="B902" s="3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>
      <c r="A903" s="1"/>
      <c r="B903" s="3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>
      <c r="A904" s="1"/>
      <c r="B904" s="3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>
      <c r="A905" s="1"/>
      <c r="B905" s="3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>
      <c r="A906" s="1"/>
      <c r="B906" s="3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>
      <c r="A907" s="1"/>
      <c r="B907" s="3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>
      <c r="A908" s="1"/>
      <c r="B908" s="3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>
      <c r="A909" s="1"/>
      <c r="B909" s="3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>
      <c r="A910" s="1"/>
      <c r="B910" s="3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>
      <c r="A911" s="1"/>
      <c r="B911" s="3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>
      <c r="A912" s="1"/>
      <c r="B912" s="3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>
      <c r="A913" s="1"/>
      <c r="B913" s="3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>
      <c r="A914" s="1"/>
      <c r="B914" s="3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>
      <c r="A915" s="1"/>
      <c r="B915" s="3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>
      <c r="A916" s="1"/>
      <c r="B916" s="3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>
      <c r="A917" s="1"/>
      <c r="B917" s="3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>
      <c r="A918" s="1"/>
      <c r="B918" s="3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>
      <c r="A919" s="1"/>
      <c r="B919" s="3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>
      <c r="A920" s="1"/>
      <c r="B920" s="3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>
      <c r="A921" s="1"/>
      <c r="B921" s="3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>
      <c r="A922" s="1"/>
      <c r="B922" s="3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>
      <c r="A923" s="1"/>
      <c r="B923" s="3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>
      <c r="A924" s="1"/>
      <c r="B924" s="3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>
      <c r="A925" s="1"/>
      <c r="B925" s="3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>
      <c r="A926" s="1"/>
      <c r="B926" s="3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>
      <c r="A927" s="1"/>
      <c r="B927" s="3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>
      <c r="A928" s="1"/>
      <c r="B928" s="3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>
      <c r="A929" s="1"/>
      <c r="B929" s="3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>
      <c r="A930" s="1"/>
      <c r="B930" s="3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>
      <c r="A931" s="1"/>
      <c r="B931" s="3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>
      <c r="A932" s="1"/>
      <c r="B932" s="3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>
      <c r="A933" s="1"/>
      <c r="B933" s="3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>
      <c r="A934" s="1"/>
      <c r="B934" s="3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>
      <c r="A935" s="1"/>
      <c r="B935" s="3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>
      <c r="A936" s="1"/>
      <c r="B936" s="3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>
      <c r="A937" s="1"/>
      <c r="B937" s="3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>
      <c r="A938" s="1"/>
      <c r="B938" s="3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>
      <c r="A939" s="1"/>
      <c r="B939" s="3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>
      <c r="A940" s="1"/>
      <c r="B940" s="3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>
      <c r="A941" s="1"/>
      <c r="B941" s="3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>
      <c r="A942" s="1"/>
      <c r="B942" s="3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>
      <c r="A943" s="1"/>
      <c r="B943" s="3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>
      <c r="A944" s="1"/>
      <c r="B944" s="3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>
      <c r="A945" s="1"/>
      <c r="B945" s="3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>
      <c r="A946" s="1"/>
      <c r="B946" s="3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>
      <c r="A947" s="1"/>
      <c r="B947" s="3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>
      <c r="A948" s="1"/>
      <c r="B948" s="3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>
      <c r="A949" s="1"/>
      <c r="B949" s="3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>
      <c r="A950" s="1"/>
      <c r="B950" s="3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>
      <c r="A951" s="1"/>
      <c r="B951" s="3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>
      <c r="A952" s="1"/>
      <c r="B952" s="3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>
      <c r="A953" s="1"/>
      <c r="B953" s="3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>
      <c r="A954" s="1"/>
      <c r="B954" s="3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>
      <c r="A955" s="1"/>
      <c r="B955" s="3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>
      <c r="A956" s="1"/>
      <c r="B956" s="3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  <row r="957">
      <c r="A957" s="1"/>
      <c r="B957" s="3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</row>
    <row r="958">
      <c r="A958" s="1"/>
      <c r="B958" s="3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</row>
    <row r="959">
      <c r="A959" s="1"/>
      <c r="B959" s="3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</row>
    <row r="960">
      <c r="A960" s="1"/>
      <c r="B960" s="3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</row>
    <row r="961">
      <c r="A961" s="1"/>
      <c r="B961" s="3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</row>
    <row r="962">
      <c r="A962" s="1"/>
      <c r="B962" s="3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</row>
    <row r="963">
      <c r="A963" s="1"/>
      <c r="B963" s="3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</row>
    <row r="964">
      <c r="A964" s="1"/>
      <c r="B964" s="3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</row>
    <row r="965">
      <c r="A965" s="1"/>
      <c r="B965" s="3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</row>
    <row r="966">
      <c r="A966" s="1"/>
      <c r="B966" s="3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</row>
    <row r="967">
      <c r="A967" s="1"/>
      <c r="B967" s="3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</row>
    <row r="968">
      <c r="A968" s="1"/>
      <c r="B968" s="3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</row>
    <row r="969">
      <c r="A969" s="1"/>
      <c r="B969" s="3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</row>
    <row r="970">
      <c r="A970" s="1"/>
      <c r="B970" s="3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</row>
    <row r="971">
      <c r="A971" s="1"/>
      <c r="B971" s="3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</row>
    <row r="972">
      <c r="A972" s="1"/>
      <c r="B972" s="3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</row>
    <row r="973">
      <c r="A973" s="1"/>
      <c r="B973" s="3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</row>
    <row r="974">
      <c r="A974" s="1"/>
      <c r="B974" s="3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</row>
    <row r="975">
      <c r="A975" s="1"/>
      <c r="B975" s="3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</row>
    <row r="976">
      <c r="A976" s="1"/>
      <c r="B976" s="3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</row>
    <row r="977">
      <c r="A977" s="1"/>
      <c r="B977" s="3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</row>
    <row r="978">
      <c r="A978" s="1"/>
      <c r="B978" s="3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</row>
    <row r="979">
      <c r="A979" s="1"/>
      <c r="B979" s="3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</row>
    <row r="980">
      <c r="A980" s="1"/>
      <c r="B980" s="3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</row>
    <row r="981">
      <c r="A981" s="1"/>
      <c r="B981" s="3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</row>
    <row r="982">
      <c r="A982" s="1"/>
      <c r="B982" s="3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</row>
    <row r="983">
      <c r="A983" s="1"/>
      <c r="B983" s="3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</row>
    <row r="984">
      <c r="A984" s="1"/>
      <c r="B984" s="3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</row>
    <row r="985">
      <c r="A985" s="1"/>
      <c r="B985" s="3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</row>
    <row r="986">
      <c r="A986" s="1"/>
      <c r="B986" s="3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</row>
    <row r="987">
      <c r="A987" s="1"/>
      <c r="B987" s="3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</row>
    <row r="988">
      <c r="A988" s="1"/>
      <c r="B988" s="3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</row>
    <row r="989">
      <c r="A989" s="1"/>
      <c r="B989" s="3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</row>
    <row r="990">
      <c r="A990" s="1"/>
      <c r="B990" s="3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</row>
    <row r="991">
      <c r="A991" s="1"/>
      <c r="B991" s="3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</row>
    <row r="992">
      <c r="A992" s="1"/>
      <c r="B992" s="3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</row>
    <row r="993">
      <c r="A993" s="1"/>
      <c r="B993" s="3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</row>
    <row r="994">
      <c r="A994" s="1"/>
      <c r="B994" s="3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</row>
    <row r="995">
      <c r="A995" s="1"/>
      <c r="B995" s="3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</row>
    <row r="996">
      <c r="A996" s="1"/>
      <c r="B996" s="3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</row>
    <row r="997">
      <c r="A997" s="1"/>
      <c r="B997" s="3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</row>
    <row r="998">
      <c r="A998" s="1"/>
      <c r="B998" s="3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</row>
    <row r="999">
      <c r="A999" s="1"/>
      <c r="B999" s="3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</row>
    <row r="1000">
      <c r="A1000" s="1"/>
      <c r="B1000" s="3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5" t="s">
        <v>105</v>
      </c>
      <c r="B1" s="24" t="s">
        <v>92</v>
      </c>
      <c r="C1" s="24" t="s">
        <v>93</v>
      </c>
      <c r="D1" s="24" t="s">
        <v>94</v>
      </c>
      <c r="E1" s="24" t="s">
        <v>95</v>
      </c>
      <c r="F1" s="3" t="s">
        <v>33</v>
      </c>
      <c r="G1" s="3" t="s">
        <v>34</v>
      </c>
      <c r="H1" s="3" t="s">
        <v>35</v>
      </c>
      <c r="I1" s="3" t="s">
        <v>36</v>
      </c>
      <c r="J1" s="1" t="s">
        <v>37</v>
      </c>
      <c r="K1" s="1" t="s">
        <v>38</v>
      </c>
      <c r="L1" s="1" t="s">
        <v>39</v>
      </c>
      <c r="M1" s="3" t="s">
        <v>40</v>
      </c>
      <c r="N1" s="1" t="s">
        <v>41</v>
      </c>
      <c r="O1" s="1" t="s">
        <v>96</v>
      </c>
      <c r="P1" s="3" t="s">
        <v>42</v>
      </c>
      <c r="Q1" s="1" t="s">
        <v>44</v>
      </c>
      <c r="R1" s="1" t="s">
        <v>46</v>
      </c>
      <c r="S1" s="3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97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98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3" t="s">
        <v>65</v>
      </c>
      <c r="AO1" s="1" t="s">
        <v>66</v>
      </c>
      <c r="AP1" s="1" t="s">
        <v>67</v>
      </c>
      <c r="AQ1" s="1" t="s">
        <v>99</v>
      </c>
      <c r="AR1" s="1" t="s">
        <v>68</v>
      </c>
      <c r="AS1" s="1" t="s">
        <v>69</v>
      </c>
      <c r="AT1" s="1" t="s">
        <v>70</v>
      </c>
      <c r="AU1" s="3" t="s">
        <v>72</v>
      </c>
      <c r="AV1" s="1" t="s">
        <v>71</v>
      </c>
      <c r="AW1" s="1" t="s">
        <v>73</v>
      </c>
      <c r="AX1" s="3" t="s">
        <v>74</v>
      </c>
      <c r="AY1" s="1" t="s">
        <v>75</v>
      </c>
      <c r="AZ1" s="1" t="s">
        <v>76</v>
      </c>
      <c r="BA1" s="3" t="s">
        <v>100</v>
      </c>
      <c r="BB1" s="3" t="s">
        <v>77</v>
      </c>
      <c r="BC1" s="1" t="s">
        <v>101</v>
      </c>
      <c r="BD1" s="1" t="s">
        <v>78</v>
      </c>
      <c r="BE1" s="1" t="s">
        <v>80</v>
      </c>
      <c r="BF1" s="3" t="s">
        <v>79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102</v>
      </c>
      <c r="BL1" s="1" t="s">
        <v>85</v>
      </c>
      <c r="BM1" s="1" t="s">
        <v>86</v>
      </c>
      <c r="BN1" s="1" t="s">
        <v>87</v>
      </c>
      <c r="BO1" s="1" t="s">
        <v>88</v>
      </c>
      <c r="BP1" s="3" t="s">
        <v>90</v>
      </c>
      <c r="BQ1" s="1" t="s">
        <v>89</v>
      </c>
      <c r="BR1" s="33" t="s">
        <v>103</v>
      </c>
    </row>
    <row r="2">
      <c r="A2" s="25">
        <f>'Equity Price Data'!A3</f>
        <v>45425.66667</v>
      </c>
      <c r="B2" s="3" t="s">
        <v>45</v>
      </c>
      <c r="C2" s="3" t="s">
        <v>45</v>
      </c>
      <c r="D2" s="3" t="s">
        <v>45</v>
      </c>
      <c r="E2" s="3" t="s">
        <v>45</v>
      </c>
      <c r="F2" s="3">
        <v>13.0</v>
      </c>
      <c r="G2" s="3">
        <v>260.0</v>
      </c>
      <c r="H2" s="3">
        <v>110.0</v>
      </c>
      <c r="I2" s="3">
        <v>256.0</v>
      </c>
      <c r="J2" s="3">
        <v>83.0</v>
      </c>
      <c r="K2" s="3">
        <v>188.0</v>
      </c>
      <c r="L2" s="3">
        <v>1000.0</v>
      </c>
      <c r="M2" s="3">
        <v>102.0</v>
      </c>
      <c r="N2" s="3">
        <v>200.0</v>
      </c>
      <c r="O2" s="3">
        <v>121.0</v>
      </c>
      <c r="P2" s="3"/>
      <c r="Q2" s="3">
        <v>80.0</v>
      </c>
      <c r="R2" s="3">
        <v>150.0</v>
      </c>
      <c r="S2" s="3"/>
      <c r="T2" s="3">
        <v>120.0</v>
      </c>
      <c r="U2" s="3">
        <v>80.0</v>
      </c>
      <c r="V2" s="1">
        <v>88.0</v>
      </c>
      <c r="W2" s="1">
        <v>250.0</v>
      </c>
      <c r="X2" s="1">
        <v>264.0</v>
      </c>
      <c r="Y2" s="1">
        <v>161.0</v>
      </c>
      <c r="Z2" s="1">
        <v>69.0</v>
      </c>
      <c r="AA2" s="3">
        <v>250.0</v>
      </c>
      <c r="AB2" s="1">
        <v>13.0</v>
      </c>
      <c r="AC2" s="1">
        <v>150.0</v>
      </c>
      <c r="AD2" s="1">
        <v>170.0</v>
      </c>
      <c r="AE2" s="3">
        <v>30.0</v>
      </c>
      <c r="AF2" s="1">
        <v>40.0</v>
      </c>
      <c r="AG2" s="1">
        <v>45.0</v>
      </c>
      <c r="AH2" s="3">
        <v>200.0</v>
      </c>
      <c r="AI2" s="1">
        <v>205.0</v>
      </c>
      <c r="AJ2" s="1">
        <v>60.0</v>
      </c>
      <c r="AK2" s="1">
        <v>100.0</v>
      </c>
      <c r="AL2" s="1">
        <v>175.0</v>
      </c>
      <c r="AM2" s="1">
        <v>130.0</v>
      </c>
      <c r="AN2" s="1"/>
      <c r="AO2" s="3">
        <v>160.0</v>
      </c>
      <c r="AP2" s="3">
        <v>70.0</v>
      </c>
      <c r="AQ2" s="3">
        <v>35.0</v>
      </c>
      <c r="AR2" s="1">
        <v>854.0</v>
      </c>
      <c r="AS2" s="1">
        <v>250.0</v>
      </c>
      <c r="AT2" s="1">
        <v>220.0</v>
      </c>
      <c r="AU2" s="1"/>
      <c r="AV2" s="1">
        <v>120.0</v>
      </c>
      <c r="AW2" s="3">
        <v>200.0</v>
      </c>
      <c r="AX2" s="3"/>
      <c r="AY2" s="3">
        <v>530.0</v>
      </c>
      <c r="AZ2" s="1">
        <v>40.0</v>
      </c>
      <c r="BA2" s="1"/>
      <c r="BB2" s="1"/>
      <c r="BC2" s="1">
        <v>150.0</v>
      </c>
      <c r="BD2" s="1">
        <v>190.0</v>
      </c>
      <c r="BE2" s="1">
        <v>80.0</v>
      </c>
      <c r="BF2" s="1"/>
      <c r="BG2" s="1">
        <v>213.0</v>
      </c>
      <c r="BH2" s="1">
        <v>23.0</v>
      </c>
      <c r="BI2" s="1">
        <v>40.0</v>
      </c>
      <c r="BJ2" s="1">
        <v>278.0</v>
      </c>
      <c r="BK2" s="3">
        <v>160.0</v>
      </c>
      <c r="BL2" s="1">
        <v>160.0</v>
      </c>
      <c r="BM2" s="1">
        <v>75.0</v>
      </c>
      <c r="BN2" s="32">
        <v>1802.0</v>
      </c>
      <c r="BO2" s="1">
        <v>47.0</v>
      </c>
      <c r="BP2" s="1"/>
      <c r="BQ2" s="1">
        <v>188.0</v>
      </c>
      <c r="BR2" s="27">
        <v>34640.0</v>
      </c>
    </row>
    <row r="3">
      <c r="A3" s="25">
        <f>'Equity Price Data'!A4</f>
        <v>45426.66667</v>
      </c>
      <c r="B3" s="34">
        <f>('Equity Price Data'!C4/'Equity Price Data'!C3)-1</f>
        <v>0.00483776444</v>
      </c>
      <c r="C3" s="34">
        <f>('PRACTICE Equity Price Data'!C4/'PRACTICE Equity Price Data'!C3)-1</f>
        <v>0.007501720746</v>
      </c>
      <c r="D3" s="34">
        <f>('PRACTICE Equity Price Data'!D4/'PRACTICE Equity Price Data'!D3)-1</f>
        <v>0.00321063028</v>
      </c>
      <c r="E3" s="34">
        <f>('PRACTICE Equity Price Data'!E4/'PRACTICE Equity Price Data'!E3)-1</f>
        <v>0.01142998468</v>
      </c>
      <c r="F3" s="3">
        <v>13.0</v>
      </c>
      <c r="G3" s="3">
        <v>260.0</v>
      </c>
      <c r="H3" s="3">
        <v>110.0</v>
      </c>
      <c r="I3" s="3">
        <v>256.0</v>
      </c>
      <c r="J3" s="3">
        <v>83.0</v>
      </c>
      <c r="K3" s="3">
        <v>188.0</v>
      </c>
      <c r="L3" s="3">
        <v>1000.0</v>
      </c>
      <c r="M3" s="3">
        <v>102.0</v>
      </c>
      <c r="N3" s="3">
        <v>200.0</v>
      </c>
      <c r="O3" s="3">
        <v>121.0</v>
      </c>
      <c r="P3" s="3"/>
      <c r="Q3" s="3">
        <v>80.0</v>
      </c>
      <c r="R3" s="3">
        <v>150.0</v>
      </c>
      <c r="S3" s="3"/>
      <c r="T3" s="3">
        <v>120.0</v>
      </c>
      <c r="U3" s="3">
        <v>80.0</v>
      </c>
      <c r="V3" s="1">
        <v>88.0</v>
      </c>
      <c r="W3" s="1">
        <v>250.0</v>
      </c>
      <c r="X3" s="1">
        <v>264.0</v>
      </c>
      <c r="Y3" s="1">
        <v>161.0</v>
      </c>
      <c r="Z3" s="1">
        <v>69.0</v>
      </c>
      <c r="AA3" s="3">
        <v>250.0</v>
      </c>
      <c r="AB3" s="1">
        <v>13.0</v>
      </c>
      <c r="AC3" s="1">
        <v>150.0</v>
      </c>
      <c r="AD3" s="1">
        <v>170.0</v>
      </c>
      <c r="AE3" s="3">
        <v>30.0</v>
      </c>
      <c r="AF3" s="1">
        <v>40.0</v>
      </c>
      <c r="AG3" s="1">
        <v>45.0</v>
      </c>
      <c r="AH3" s="3">
        <v>200.0</v>
      </c>
      <c r="AI3" s="1">
        <v>205.0</v>
      </c>
      <c r="AJ3" s="1">
        <v>60.0</v>
      </c>
      <c r="AK3" s="1">
        <v>100.0</v>
      </c>
      <c r="AL3" s="1">
        <v>175.0</v>
      </c>
      <c r="AM3" s="1">
        <v>130.0</v>
      </c>
      <c r="AN3" s="1"/>
      <c r="AO3" s="3">
        <v>160.0</v>
      </c>
      <c r="AP3" s="3">
        <v>70.0</v>
      </c>
      <c r="AQ3" s="3">
        <v>35.0</v>
      </c>
      <c r="AR3" s="1">
        <v>854.0</v>
      </c>
      <c r="AS3" s="1">
        <v>250.0</v>
      </c>
      <c r="AT3" s="1">
        <v>220.0</v>
      </c>
      <c r="AU3" s="1"/>
      <c r="AV3" s="1">
        <v>120.0</v>
      </c>
      <c r="AW3" s="3">
        <v>200.0</v>
      </c>
      <c r="AX3" s="3"/>
      <c r="AY3" s="3">
        <v>530.0</v>
      </c>
      <c r="AZ3" s="1">
        <v>40.0</v>
      </c>
      <c r="BA3" s="1"/>
      <c r="BB3" s="1"/>
      <c r="BC3" s="1">
        <v>150.0</v>
      </c>
      <c r="BD3" s="1">
        <v>190.0</v>
      </c>
      <c r="BE3" s="1">
        <v>80.0</v>
      </c>
      <c r="BF3" s="1"/>
      <c r="BG3" s="1">
        <v>213.0</v>
      </c>
      <c r="BH3" s="1">
        <v>23.0</v>
      </c>
      <c r="BI3" s="1">
        <v>40.0</v>
      </c>
      <c r="BJ3" s="1">
        <v>278.0</v>
      </c>
      <c r="BK3" s="3">
        <v>160.0</v>
      </c>
      <c r="BL3" s="1">
        <v>160.0</v>
      </c>
      <c r="BM3" s="1">
        <v>75.0</v>
      </c>
      <c r="BN3" s="32">
        <v>1802.0</v>
      </c>
      <c r="BO3" s="1">
        <v>47.0</v>
      </c>
      <c r="BP3" s="1"/>
      <c r="BQ3" s="1">
        <v>188.0</v>
      </c>
      <c r="BR3" s="27">
        <v>34640.0</v>
      </c>
    </row>
    <row r="4">
      <c r="A4" s="25">
        <f>'Equity Price Data'!A5</f>
        <v>45427.66667</v>
      </c>
      <c r="B4" s="34">
        <f>(('PRACTICE Equity Price Data'!B5/'PRACTICE Equity Price Data'!B4)-1)+B3</f>
        <v>0.01655374483</v>
      </c>
      <c r="C4" s="34">
        <f>(('PRACTICE Equity Price Data'!C5/'PRACTICE Equity Price Data'!C4)-1)+C3</f>
        <v>0.02150495976</v>
      </c>
      <c r="D4" s="34">
        <f>(('PRACTICE Equity Price Data'!D5/'PRACTICE Equity Price Data'!D4)-1)+D3</f>
        <v>0.01205559279</v>
      </c>
      <c r="E4" s="34">
        <f>(('PRACTICE Equity Price Data'!E5/'PRACTICE Equity Price Data'!E4)-1)+E3</f>
        <v>0.02282669272</v>
      </c>
      <c r="F4" s="3">
        <v>13.0</v>
      </c>
      <c r="G4" s="3">
        <v>260.0</v>
      </c>
      <c r="H4" s="3">
        <v>110.0</v>
      </c>
      <c r="I4" s="3">
        <v>256.0</v>
      </c>
      <c r="J4" s="3">
        <v>83.0</v>
      </c>
      <c r="K4" s="3">
        <v>188.0</v>
      </c>
      <c r="L4" s="3">
        <v>1000.0</v>
      </c>
      <c r="M4" s="3">
        <v>102.0</v>
      </c>
      <c r="N4" s="3">
        <v>200.0</v>
      </c>
      <c r="O4" s="3">
        <v>121.0</v>
      </c>
      <c r="P4" s="3"/>
      <c r="Q4" s="3">
        <v>80.0</v>
      </c>
      <c r="R4" s="3">
        <v>150.0</v>
      </c>
      <c r="S4" s="3"/>
      <c r="T4" s="3">
        <v>120.0</v>
      </c>
      <c r="U4" s="3">
        <v>80.0</v>
      </c>
      <c r="V4" s="1">
        <v>88.0</v>
      </c>
      <c r="W4" s="1">
        <v>250.0</v>
      </c>
      <c r="X4" s="1">
        <v>264.0</v>
      </c>
      <c r="Y4" s="1">
        <v>161.0</v>
      </c>
      <c r="Z4" s="1">
        <v>69.0</v>
      </c>
      <c r="AA4" s="3">
        <v>250.0</v>
      </c>
      <c r="AB4" s="1">
        <v>13.0</v>
      </c>
      <c r="AC4" s="1">
        <v>150.0</v>
      </c>
      <c r="AD4" s="1">
        <v>170.0</v>
      </c>
      <c r="AE4" s="3">
        <v>30.0</v>
      </c>
      <c r="AF4" s="1">
        <v>40.0</v>
      </c>
      <c r="AG4" s="1">
        <v>45.0</v>
      </c>
      <c r="AH4" s="3">
        <v>200.0</v>
      </c>
      <c r="AI4" s="1">
        <v>205.0</v>
      </c>
      <c r="AJ4" s="1">
        <v>60.0</v>
      </c>
      <c r="AK4" s="1">
        <v>100.0</v>
      </c>
      <c r="AL4" s="1">
        <v>175.0</v>
      </c>
      <c r="AM4" s="1">
        <v>130.0</v>
      </c>
      <c r="AN4" s="1"/>
      <c r="AO4" s="3">
        <v>160.0</v>
      </c>
      <c r="AP4" s="3">
        <v>70.0</v>
      </c>
      <c r="AQ4" s="3">
        <v>35.0</v>
      </c>
      <c r="AR4" s="1">
        <v>854.0</v>
      </c>
      <c r="AS4" s="1">
        <v>250.0</v>
      </c>
      <c r="AT4" s="1">
        <v>220.0</v>
      </c>
      <c r="AU4" s="1"/>
      <c r="AV4" s="1">
        <v>120.0</v>
      </c>
      <c r="AW4" s="3">
        <v>200.0</v>
      </c>
      <c r="AX4" s="3"/>
      <c r="AY4" s="3">
        <v>530.0</v>
      </c>
      <c r="AZ4" s="1">
        <v>40.0</v>
      </c>
      <c r="BA4" s="1"/>
      <c r="BB4" s="1"/>
      <c r="BC4" s="1">
        <v>150.0</v>
      </c>
      <c r="BD4" s="1">
        <v>190.0</v>
      </c>
      <c r="BE4" s="1">
        <v>80.0</v>
      </c>
      <c r="BF4" s="1"/>
      <c r="BG4" s="1">
        <v>213.0</v>
      </c>
      <c r="BH4" s="1">
        <v>23.0</v>
      </c>
      <c r="BI4" s="1">
        <v>40.0</v>
      </c>
      <c r="BJ4" s="1">
        <v>278.0</v>
      </c>
      <c r="BK4" s="3">
        <v>160.0</v>
      </c>
      <c r="BL4" s="1">
        <v>160.0</v>
      </c>
      <c r="BM4" s="1">
        <v>75.0</v>
      </c>
      <c r="BN4" s="32">
        <v>1802.0</v>
      </c>
      <c r="BO4" s="1">
        <v>47.0</v>
      </c>
      <c r="BP4" s="1"/>
      <c r="BQ4" s="1">
        <v>188.0</v>
      </c>
      <c r="BR4" s="27">
        <v>34640.0</v>
      </c>
    </row>
    <row r="5">
      <c r="A5" s="25">
        <f>'Equity Price Data'!A6</f>
        <v>45428.66667</v>
      </c>
      <c r="B5" s="34">
        <f>(('PRACTICE Equity Price Data'!B6/'PRACTICE Equity Price Data'!B5)-1)+B4</f>
        <v>0.01447204028</v>
      </c>
      <c r="C5" s="34">
        <f>(('PRACTICE Equity Price Data'!C6/'PRACTICE Equity Price Data'!C5)-1)+C4</f>
        <v>0.01887271909</v>
      </c>
      <c r="D5" s="34">
        <f>(('PRACTICE Equity Price Data'!D6/'PRACTICE Equity Price Data'!D5)-1)+D4</f>
        <v>0.01108786702</v>
      </c>
      <c r="E5" s="34">
        <f>(('PRACTICE Equity Price Data'!E6/'PRACTICE Equity Price Data'!E5)-1)+E4</f>
        <v>0.01656442655</v>
      </c>
      <c r="F5" s="3">
        <v>13.0</v>
      </c>
      <c r="G5" s="3">
        <v>260.0</v>
      </c>
      <c r="H5" s="3">
        <v>110.0</v>
      </c>
      <c r="I5" s="3">
        <v>256.0</v>
      </c>
      <c r="J5" s="3">
        <v>83.0</v>
      </c>
      <c r="K5" s="3">
        <v>188.0</v>
      </c>
      <c r="L5" s="3">
        <v>1000.0</v>
      </c>
      <c r="M5" s="3">
        <v>102.0</v>
      </c>
      <c r="N5" s="3">
        <v>200.0</v>
      </c>
      <c r="O5" s="3">
        <v>121.0</v>
      </c>
      <c r="P5" s="3"/>
      <c r="Q5" s="3">
        <v>80.0</v>
      </c>
      <c r="R5" s="3">
        <v>150.0</v>
      </c>
      <c r="S5" s="3"/>
      <c r="T5" s="3">
        <v>120.0</v>
      </c>
      <c r="U5" s="3">
        <v>80.0</v>
      </c>
      <c r="V5" s="1">
        <v>88.0</v>
      </c>
      <c r="W5" s="1">
        <v>250.0</v>
      </c>
      <c r="X5" s="1">
        <v>264.0</v>
      </c>
      <c r="Y5" s="1">
        <v>161.0</v>
      </c>
      <c r="Z5" s="1">
        <v>69.0</v>
      </c>
      <c r="AA5" s="3">
        <v>250.0</v>
      </c>
      <c r="AB5" s="1">
        <v>13.0</v>
      </c>
      <c r="AC5" s="1">
        <v>150.0</v>
      </c>
      <c r="AD5" s="1">
        <v>170.0</v>
      </c>
      <c r="AE5" s="3">
        <v>30.0</v>
      </c>
      <c r="AF5" s="1">
        <v>40.0</v>
      </c>
      <c r="AG5" s="1">
        <v>45.0</v>
      </c>
      <c r="AH5" s="3">
        <v>200.0</v>
      </c>
      <c r="AI5" s="1">
        <v>205.0</v>
      </c>
      <c r="AJ5" s="1">
        <v>60.0</v>
      </c>
      <c r="AK5" s="1">
        <v>100.0</v>
      </c>
      <c r="AL5" s="1">
        <v>175.0</v>
      </c>
      <c r="AM5" s="1">
        <v>130.0</v>
      </c>
      <c r="AN5" s="1"/>
      <c r="AO5" s="3">
        <v>160.0</v>
      </c>
      <c r="AP5" s="3">
        <v>70.0</v>
      </c>
      <c r="AQ5" s="3">
        <v>35.0</v>
      </c>
      <c r="AR5" s="1">
        <v>854.0</v>
      </c>
      <c r="AS5" s="1">
        <v>250.0</v>
      </c>
      <c r="AT5" s="1">
        <v>220.0</v>
      </c>
      <c r="AU5" s="1"/>
      <c r="AV5" s="1">
        <v>120.0</v>
      </c>
      <c r="AW5" s="3">
        <v>200.0</v>
      </c>
      <c r="AX5" s="3"/>
      <c r="AY5" s="3">
        <v>530.0</v>
      </c>
      <c r="AZ5" s="1">
        <v>40.0</v>
      </c>
      <c r="BA5" s="1"/>
      <c r="BB5" s="1"/>
      <c r="BC5" s="1">
        <v>150.0</v>
      </c>
      <c r="BD5" s="1">
        <v>190.0</v>
      </c>
      <c r="BE5" s="1">
        <v>80.0</v>
      </c>
      <c r="BF5" s="1"/>
      <c r="BG5" s="1">
        <v>213.0</v>
      </c>
      <c r="BH5" s="1">
        <v>23.0</v>
      </c>
      <c r="BI5" s="1">
        <v>40.0</v>
      </c>
      <c r="BJ5" s="1">
        <v>278.0</v>
      </c>
      <c r="BK5" s="3">
        <v>160.0</v>
      </c>
      <c r="BL5" s="1">
        <v>160.0</v>
      </c>
      <c r="BM5" s="1">
        <v>75.0</v>
      </c>
      <c r="BN5" s="32">
        <v>1802.0</v>
      </c>
      <c r="BO5" s="1">
        <v>47.0</v>
      </c>
      <c r="BP5" s="1"/>
      <c r="BQ5" s="1">
        <v>188.0</v>
      </c>
      <c r="BR5" s="27">
        <v>34640.0</v>
      </c>
    </row>
    <row r="6">
      <c r="A6" s="25">
        <f>'Equity Price Data'!A7</f>
        <v>45429.66667</v>
      </c>
      <c r="B6" s="34">
        <f>(('PRACTICE Equity Price Data'!B7/'PRACTICE Equity Price Data'!B6)-1)+B5</f>
        <v>0.01563682856</v>
      </c>
      <c r="C6" s="34">
        <f>(('PRACTICE Equity Price Data'!C7/'PRACTICE Equity Price Data'!C6)-1)+C5</f>
        <v>0.01813312373</v>
      </c>
      <c r="D6" s="34">
        <f>(('PRACTICE Equity Price Data'!D7/'PRACTICE Equity Price Data'!D6)-1)+D5</f>
        <v>0.01445410949</v>
      </c>
      <c r="E6" s="34">
        <f>(('PRACTICE Equity Price Data'!E7/'PRACTICE Equity Price Data'!E6)-1)+E5</f>
        <v>0.01631159411</v>
      </c>
      <c r="F6" s="3">
        <v>13.0</v>
      </c>
      <c r="G6" s="3">
        <v>260.0</v>
      </c>
      <c r="H6" s="3">
        <v>110.0</v>
      </c>
      <c r="I6" s="3">
        <v>256.0</v>
      </c>
      <c r="J6" s="3">
        <v>83.0</v>
      </c>
      <c r="K6" s="3">
        <v>188.0</v>
      </c>
      <c r="L6" s="3">
        <v>1000.0</v>
      </c>
      <c r="M6" s="3">
        <v>102.0</v>
      </c>
      <c r="N6" s="3">
        <v>200.0</v>
      </c>
      <c r="O6" s="3">
        <v>121.0</v>
      </c>
      <c r="P6" s="3"/>
      <c r="Q6" s="3">
        <v>80.0</v>
      </c>
      <c r="R6" s="3">
        <v>150.0</v>
      </c>
      <c r="S6" s="3"/>
      <c r="T6" s="3">
        <v>120.0</v>
      </c>
      <c r="U6" s="3">
        <v>80.0</v>
      </c>
      <c r="V6" s="1">
        <v>88.0</v>
      </c>
      <c r="W6" s="1">
        <v>250.0</v>
      </c>
      <c r="X6" s="1">
        <v>264.0</v>
      </c>
      <c r="Y6" s="1">
        <v>161.0</v>
      </c>
      <c r="Z6" s="1">
        <v>69.0</v>
      </c>
      <c r="AA6" s="3">
        <v>250.0</v>
      </c>
      <c r="AB6" s="1">
        <v>13.0</v>
      </c>
      <c r="AC6" s="1">
        <v>150.0</v>
      </c>
      <c r="AD6" s="1">
        <v>170.0</v>
      </c>
      <c r="AE6" s="3">
        <v>30.0</v>
      </c>
      <c r="AF6" s="1">
        <v>40.0</v>
      </c>
      <c r="AG6" s="1">
        <v>45.0</v>
      </c>
      <c r="AH6" s="3">
        <v>200.0</v>
      </c>
      <c r="AI6" s="1">
        <v>205.0</v>
      </c>
      <c r="AJ6" s="1">
        <v>60.0</v>
      </c>
      <c r="AK6" s="1">
        <v>100.0</v>
      </c>
      <c r="AL6" s="1">
        <v>175.0</v>
      </c>
      <c r="AM6" s="1">
        <v>130.0</v>
      </c>
      <c r="AN6" s="1"/>
      <c r="AO6" s="3">
        <v>160.0</v>
      </c>
      <c r="AP6" s="3">
        <v>70.0</v>
      </c>
      <c r="AQ6" s="3">
        <v>35.0</v>
      </c>
      <c r="AR6" s="1">
        <v>854.0</v>
      </c>
      <c r="AS6" s="1">
        <v>250.0</v>
      </c>
      <c r="AT6" s="1">
        <v>220.0</v>
      </c>
      <c r="AU6" s="1"/>
      <c r="AV6" s="1">
        <v>120.0</v>
      </c>
      <c r="AW6" s="3">
        <v>200.0</v>
      </c>
      <c r="AX6" s="3"/>
      <c r="AY6" s="3">
        <v>530.0</v>
      </c>
      <c r="AZ6" s="1">
        <v>40.0</v>
      </c>
      <c r="BA6" s="1"/>
      <c r="BB6" s="1"/>
      <c r="BC6" s="1">
        <v>150.0</v>
      </c>
      <c r="BD6" s="1">
        <v>190.0</v>
      </c>
      <c r="BE6" s="1">
        <v>80.0</v>
      </c>
      <c r="BF6" s="1"/>
      <c r="BG6" s="1">
        <v>213.0</v>
      </c>
      <c r="BH6" s="1">
        <v>23.0</v>
      </c>
      <c r="BI6" s="1">
        <v>40.0</v>
      </c>
      <c r="BJ6" s="1">
        <v>278.0</v>
      </c>
      <c r="BK6" s="3">
        <v>160.0</v>
      </c>
      <c r="BL6" s="1">
        <v>160.0</v>
      </c>
      <c r="BM6" s="1">
        <v>75.0</v>
      </c>
      <c r="BN6" s="32">
        <v>1802.0</v>
      </c>
      <c r="BO6" s="1">
        <v>47.0</v>
      </c>
      <c r="BP6" s="1"/>
      <c r="BQ6" s="1">
        <v>188.0</v>
      </c>
      <c r="BR6" s="27">
        <v>34640.0</v>
      </c>
    </row>
    <row r="7">
      <c r="A7" s="25">
        <f>'Equity Price Data'!A8</f>
        <v>45432.66667</v>
      </c>
      <c r="B7" s="34">
        <f>(('PRACTICE Equity Price Data'!B8/'PRACTICE Equity Price Data'!B7)-1)+B6</f>
        <v>0.01655324428</v>
      </c>
      <c r="C7" s="34">
        <f>(('PRACTICE Equity Price Data'!C8/'PRACTICE Equity Price Data'!C7)-1)+C6</f>
        <v>0.0246595648</v>
      </c>
      <c r="D7" s="34">
        <f>(('PRACTICE Equity Price Data'!D8/'PRACTICE Equity Price Data'!D7)-1)+D6</f>
        <v>0.009534051063</v>
      </c>
      <c r="E7" s="34">
        <f>(('PRACTICE Equity Price Data'!E8/'PRACTICE Equity Price Data'!E7)-1)+E6</f>
        <v>0.01954675911</v>
      </c>
      <c r="F7" s="3">
        <v>13.0</v>
      </c>
      <c r="G7" s="3">
        <v>260.0</v>
      </c>
      <c r="H7" s="3">
        <v>110.0</v>
      </c>
      <c r="I7" s="3">
        <v>256.0</v>
      </c>
      <c r="J7" s="3">
        <v>83.0</v>
      </c>
      <c r="K7" s="3">
        <v>188.0</v>
      </c>
      <c r="L7" s="3">
        <v>1000.0</v>
      </c>
      <c r="M7" s="3">
        <v>102.0</v>
      </c>
      <c r="N7" s="3">
        <v>200.0</v>
      </c>
      <c r="O7" s="3">
        <v>121.0</v>
      </c>
      <c r="P7" s="3"/>
      <c r="Q7" s="3">
        <v>80.0</v>
      </c>
      <c r="R7" s="3">
        <v>150.0</v>
      </c>
      <c r="S7" s="3"/>
      <c r="T7" s="3">
        <v>120.0</v>
      </c>
      <c r="U7" s="3">
        <v>80.0</v>
      </c>
      <c r="V7" s="1">
        <v>88.0</v>
      </c>
      <c r="W7" s="1">
        <v>250.0</v>
      </c>
      <c r="X7" s="1">
        <v>264.0</v>
      </c>
      <c r="Y7" s="1">
        <v>161.0</v>
      </c>
      <c r="Z7" s="1">
        <v>69.0</v>
      </c>
      <c r="AA7" s="3">
        <v>250.0</v>
      </c>
      <c r="AB7" s="1">
        <v>13.0</v>
      </c>
      <c r="AC7" s="1">
        <v>150.0</v>
      </c>
      <c r="AD7" s="1">
        <v>170.0</v>
      </c>
      <c r="AE7" s="3">
        <v>30.0</v>
      </c>
      <c r="AF7" s="1">
        <v>40.0</v>
      </c>
      <c r="AG7" s="1">
        <v>45.0</v>
      </c>
      <c r="AH7" s="3">
        <v>200.0</v>
      </c>
      <c r="AI7" s="1">
        <v>205.0</v>
      </c>
      <c r="AJ7" s="1">
        <v>60.0</v>
      </c>
      <c r="AK7" s="1">
        <v>100.0</v>
      </c>
      <c r="AL7" s="1">
        <v>175.0</v>
      </c>
      <c r="AM7" s="1">
        <v>130.0</v>
      </c>
      <c r="AN7" s="1"/>
      <c r="AO7" s="3">
        <v>160.0</v>
      </c>
      <c r="AP7" s="3">
        <v>70.0</v>
      </c>
      <c r="AQ7" s="3">
        <v>35.0</v>
      </c>
      <c r="AR7" s="1">
        <v>854.0</v>
      </c>
      <c r="AS7" s="1">
        <v>250.0</v>
      </c>
      <c r="AT7" s="1">
        <v>220.0</v>
      </c>
      <c r="AU7" s="1"/>
      <c r="AV7" s="1">
        <v>120.0</v>
      </c>
      <c r="AW7" s="3">
        <v>200.0</v>
      </c>
      <c r="AX7" s="3"/>
      <c r="AY7" s="3">
        <v>530.0</v>
      </c>
      <c r="AZ7" s="1">
        <v>40.0</v>
      </c>
      <c r="BA7" s="1"/>
      <c r="BB7" s="1"/>
      <c r="BC7" s="1">
        <v>150.0</v>
      </c>
      <c r="BD7" s="1">
        <v>190.0</v>
      </c>
      <c r="BE7" s="1">
        <v>80.0</v>
      </c>
      <c r="BF7" s="1"/>
      <c r="BG7" s="1">
        <v>213.0</v>
      </c>
      <c r="BH7" s="1">
        <v>23.0</v>
      </c>
      <c r="BI7" s="1">
        <v>40.0</v>
      </c>
      <c r="BJ7" s="1">
        <v>278.0</v>
      </c>
      <c r="BK7" s="3">
        <v>160.0</v>
      </c>
      <c r="BL7" s="1">
        <v>160.0</v>
      </c>
      <c r="BM7" s="1">
        <v>75.0</v>
      </c>
      <c r="BN7" s="32">
        <v>1802.0</v>
      </c>
      <c r="BO7" s="1">
        <v>47.0</v>
      </c>
      <c r="BP7" s="1"/>
      <c r="BQ7" s="1">
        <v>188.0</v>
      </c>
      <c r="BR7" s="27">
        <v>34640.0</v>
      </c>
    </row>
    <row r="8">
      <c r="A8" s="25">
        <f>'Equity Price Data'!A9</f>
        <v>45433.66667</v>
      </c>
      <c r="B8" s="34">
        <f>(('PRACTICE Equity Price Data'!B9/'PRACTICE Equity Price Data'!B8)-1)+B7</f>
        <v>0.01905506696</v>
      </c>
      <c r="C8" s="34">
        <f>(('PRACTICE Equity Price Data'!C9/'PRACTICE Equity Price Data'!C8)-1)+C7</f>
        <v>0.02690727497</v>
      </c>
      <c r="D8" s="34">
        <f>(('PRACTICE Equity Price Data'!D9/'PRACTICE Equity Price Data'!D8)-1)+D7</f>
        <v>0.01119758719</v>
      </c>
      <c r="E8" s="34">
        <f>(('PRACTICE Equity Price Data'!E9/'PRACTICE Equity Price Data'!E8)-1)+E7</f>
        <v>0.01757767469</v>
      </c>
      <c r="F8" s="3">
        <v>13.0</v>
      </c>
      <c r="G8" s="3">
        <v>260.0</v>
      </c>
      <c r="H8" s="3">
        <v>110.0</v>
      </c>
      <c r="I8" s="3">
        <v>256.0</v>
      </c>
      <c r="J8" s="3">
        <v>83.0</v>
      </c>
      <c r="K8" s="3">
        <v>188.0</v>
      </c>
      <c r="L8" s="3">
        <v>1000.0</v>
      </c>
      <c r="M8" s="3">
        <v>102.0</v>
      </c>
      <c r="N8" s="3">
        <v>200.0</v>
      </c>
      <c r="O8" s="3">
        <v>121.0</v>
      </c>
      <c r="P8" s="3"/>
      <c r="Q8" s="3">
        <v>80.0</v>
      </c>
      <c r="R8" s="3">
        <v>150.0</v>
      </c>
      <c r="S8" s="3"/>
      <c r="T8" s="3">
        <v>120.0</v>
      </c>
      <c r="U8" s="3">
        <v>80.0</v>
      </c>
      <c r="V8" s="1">
        <v>88.0</v>
      </c>
      <c r="W8" s="1">
        <v>250.0</v>
      </c>
      <c r="X8" s="1">
        <v>264.0</v>
      </c>
      <c r="Y8" s="1">
        <v>161.0</v>
      </c>
      <c r="Z8" s="1">
        <v>69.0</v>
      </c>
      <c r="AA8" s="3">
        <v>250.0</v>
      </c>
      <c r="AB8" s="1">
        <v>13.0</v>
      </c>
      <c r="AC8" s="1">
        <v>150.0</v>
      </c>
      <c r="AD8" s="1">
        <v>170.0</v>
      </c>
      <c r="AE8" s="3">
        <v>30.0</v>
      </c>
      <c r="AF8" s="1">
        <v>40.0</v>
      </c>
      <c r="AG8" s="1">
        <v>45.0</v>
      </c>
      <c r="AH8" s="3">
        <v>200.0</v>
      </c>
      <c r="AI8" s="1">
        <v>205.0</v>
      </c>
      <c r="AJ8" s="1">
        <v>60.0</v>
      </c>
      <c r="AK8" s="1">
        <v>100.0</v>
      </c>
      <c r="AL8" s="1">
        <v>175.0</v>
      </c>
      <c r="AM8" s="1">
        <v>130.0</v>
      </c>
      <c r="AN8" s="1"/>
      <c r="AO8" s="3">
        <v>160.0</v>
      </c>
      <c r="AP8" s="3">
        <v>70.0</v>
      </c>
      <c r="AQ8" s="3">
        <v>35.0</v>
      </c>
      <c r="AR8" s="1">
        <v>854.0</v>
      </c>
      <c r="AS8" s="1">
        <v>250.0</v>
      </c>
      <c r="AT8" s="1">
        <v>220.0</v>
      </c>
      <c r="AU8" s="1"/>
      <c r="AV8" s="1">
        <v>120.0</v>
      </c>
      <c r="AW8" s="3">
        <v>200.0</v>
      </c>
      <c r="AX8" s="3"/>
      <c r="AY8" s="3">
        <v>530.0</v>
      </c>
      <c r="AZ8" s="1">
        <v>40.0</v>
      </c>
      <c r="BA8" s="1"/>
      <c r="BB8" s="1"/>
      <c r="BC8" s="1">
        <v>150.0</v>
      </c>
      <c r="BD8" s="1">
        <v>190.0</v>
      </c>
      <c r="BE8" s="1">
        <v>80.0</v>
      </c>
      <c r="BF8" s="1"/>
      <c r="BG8" s="1">
        <v>213.0</v>
      </c>
      <c r="BH8" s="1">
        <v>23.0</v>
      </c>
      <c r="BI8" s="1">
        <v>40.0</v>
      </c>
      <c r="BJ8" s="1">
        <v>278.0</v>
      </c>
      <c r="BK8" s="3">
        <v>160.0</v>
      </c>
      <c r="BL8" s="1">
        <v>160.0</v>
      </c>
      <c r="BM8" s="1">
        <v>75.0</v>
      </c>
      <c r="BN8" s="32">
        <v>1802.0</v>
      </c>
      <c r="BO8" s="1">
        <v>47.0</v>
      </c>
      <c r="BP8" s="1"/>
      <c r="BQ8" s="1">
        <v>188.0</v>
      </c>
      <c r="BR8" s="27">
        <v>34640.0</v>
      </c>
    </row>
    <row r="9">
      <c r="A9" s="25">
        <f>'Equity Price Data'!A10</f>
        <v>45434.66667</v>
      </c>
      <c r="B9" s="34">
        <f>(('PRACTICE Equity Price Data'!B10/'PRACTICE Equity Price Data'!B9)-1)+B8</f>
        <v>0.01634901725</v>
      </c>
      <c r="C9" s="34">
        <f>(('PRACTICE Equity Price Data'!C10/'PRACTICE Equity Price Data'!C9)-1)+C8</f>
        <v>0.02506086009</v>
      </c>
      <c r="D9" s="34">
        <f>(('PRACTICE Equity Price Data'!D10/'PRACTICE Equity Price Data'!D9)-1)+D8</f>
        <v>0.006132755082</v>
      </c>
      <c r="E9" s="34">
        <f>(('PRACTICE Equity Price Data'!E10/'PRACTICE Equity Price Data'!E9)-1)+E8</f>
        <v>0.009642906584</v>
      </c>
      <c r="F9" s="3">
        <v>13.0</v>
      </c>
      <c r="G9" s="3">
        <v>260.0</v>
      </c>
      <c r="H9" s="3">
        <v>110.0</v>
      </c>
      <c r="I9" s="3">
        <v>256.0</v>
      </c>
      <c r="J9" s="3">
        <v>83.0</v>
      </c>
      <c r="K9" s="3">
        <v>188.0</v>
      </c>
      <c r="L9" s="3">
        <v>1000.0</v>
      </c>
      <c r="M9" s="3">
        <v>102.0</v>
      </c>
      <c r="N9" s="3">
        <v>200.0</v>
      </c>
      <c r="O9" s="3">
        <v>121.0</v>
      </c>
      <c r="P9" s="3"/>
      <c r="Q9" s="3">
        <v>80.0</v>
      </c>
      <c r="R9" s="3">
        <v>150.0</v>
      </c>
      <c r="S9" s="3"/>
      <c r="T9" s="3">
        <v>120.0</v>
      </c>
      <c r="U9" s="3">
        <v>80.0</v>
      </c>
      <c r="V9" s="1">
        <v>88.0</v>
      </c>
      <c r="W9" s="1">
        <v>250.0</v>
      </c>
      <c r="X9" s="1">
        <v>264.0</v>
      </c>
      <c r="Y9" s="1">
        <v>161.0</v>
      </c>
      <c r="Z9" s="1">
        <v>69.0</v>
      </c>
      <c r="AA9" s="3">
        <v>250.0</v>
      </c>
      <c r="AB9" s="1">
        <v>13.0</v>
      </c>
      <c r="AC9" s="1">
        <v>150.0</v>
      </c>
      <c r="AD9" s="1">
        <v>170.0</v>
      </c>
      <c r="AE9" s="3">
        <v>30.0</v>
      </c>
      <c r="AF9" s="1">
        <v>40.0</v>
      </c>
      <c r="AG9" s="1">
        <v>45.0</v>
      </c>
      <c r="AH9" s="3">
        <v>200.0</v>
      </c>
      <c r="AI9" s="1">
        <v>205.0</v>
      </c>
      <c r="AJ9" s="1">
        <v>60.0</v>
      </c>
      <c r="AK9" s="1">
        <v>100.0</v>
      </c>
      <c r="AL9" s="1">
        <v>175.0</v>
      </c>
      <c r="AM9" s="1">
        <v>130.0</v>
      </c>
      <c r="AN9" s="1"/>
      <c r="AO9" s="3">
        <v>160.0</v>
      </c>
      <c r="AP9" s="3">
        <v>70.0</v>
      </c>
      <c r="AQ9" s="3">
        <v>35.0</v>
      </c>
      <c r="AR9" s="1">
        <v>854.0</v>
      </c>
      <c r="AS9" s="1">
        <v>250.0</v>
      </c>
      <c r="AT9" s="1">
        <v>220.0</v>
      </c>
      <c r="AU9" s="1"/>
      <c r="AV9" s="1">
        <v>120.0</v>
      </c>
      <c r="AW9" s="3">
        <v>200.0</v>
      </c>
      <c r="AX9" s="3"/>
      <c r="AY9" s="3">
        <v>530.0</v>
      </c>
      <c r="AZ9" s="1">
        <v>40.0</v>
      </c>
      <c r="BA9" s="1"/>
      <c r="BB9" s="1"/>
      <c r="BC9" s="1">
        <v>150.0</v>
      </c>
      <c r="BD9" s="1">
        <v>190.0</v>
      </c>
      <c r="BE9" s="1">
        <v>80.0</v>
      </c>
      <c r="BF9" s="1"/>
      <c r="BG9" s="1">
        <v>213.0</v>
      </c>
      <c r="BH9" s="1">
        <v>23.0</v>
      </c>
      <c r="BI9" s="1">
        <v>40.0</v>
      </c>
      <c r="BJ9" s="1">
        <v>278.0</v>
      </c>
      <c r="BK9" s="3">
        <v>160.0</v>
      </c>
      <c r="BL9" s="1">
        <v>160.0</v>
      </c>
      <c r="BM9" s="1">
        <v>75.0</v>
      </c>
      <c r="BN9" s="32">
        <v>1802.0</v>
      </c>
      <c r="BO9" s="1">
        <v>47.0</v>
      </c>
      <c r="BP9" s="1"/>
      <c r="BQ9" s="1">
        <v>188.0</v>
      </c>
      <c r="BR9" s="27">
        <v>34640.0</v>
      </c>
    </row>
    <row r="10">
      <c r="A10" s="25">
        <f>'Equity Price Data'!A11</f>
        <v>45435.66667</v>
      </c>
      <c r="B10" s="34">
        <f>(('PRACTICE Equity Price Data'!B11/'PRACTICE Equity Price Data'!B10)-1)+B9</f>
        <v>0.008968213367</v>
      </c>
      <c r="C10" s="34">
        <f>(('PRACTICE Equity Price Data'!C11/'PRACTICE Equity Price Data'!C10)-1)+C9</f>
        <v>0.02116181274</v>
      </c>
      <c r="D10" s="34">
        <f>(('PRACTICE Equity Price Data'!D11/'PRACTICE Equity Price Data'!D10)-1)+D9</f>
        <v>-0.009137326065</v>
      </c>
      <c r="E10" s="34">
        <f>(('PRACTICE Equity Price Data'!E11/'PRACTICE Equity Price Data'!E10)-1)+E9</f>
        <v>-0.006353557861</v>
      </c>
      <c r="F10" s="3">
        <v>13.0</v>
      </c>
      <c r="G10" s="3">
        <v>260.0</v>
      </c>
      <c r="H10" s="3">
        <v>110.0</v>
      </c>
      <c r="I10" s="3">
        <v>256.0</v>
      </c>
      <c r="J10" s="3">
        <v>83.0</v>
      </c>
      <c r="K10" s="3">
        <v>188.0</v>
      </c>
      <c r="L10" s="3">
        <v>1000.0</v>
      </c>
      <c r="M10" s="3">
        <v>102.0</v>
      </c>
      <c r="N10" s="3">
        <v>200.0</v>
      </c>
      <c r="O10" s="3">
        <v>121.0</v>
      </c>
      <c r="P10" s="3"/>
      <c r="Q10" s="3">
        <v>80.0</v>
      </c>
      <c r="R10" s="3">
        <v>150.0</v>
      </c>
      <c r="S10" s="3"/>
      <c r="T10" s="3">
        <v>120.0</v>
      </c>
      <c r="U10" s="3">
        <v>80.0</v>
      </c>
      <c r="V10" s="1">
        <v>88.0</v>
      </c>
      <c r="W10" s="1">
        <v>250.0</v>
      </c>
      <c r="X10" s="1">
        <v>264.0</v>
      </c>
      <c r="Y10" s="1">
        <v>161.0</v>
      </c>
      <c r="Z10" s="1">
        <v>69.0</v>
      </c>
      <c r="AA10" s="3">
        <v>250.0</v>
      </c>
      <c r="AB10" s="1">
        <v>13.0</v>
      </c>
      <c r="AC10" s="1">
        <v>150.0</v>
      </c>
      <c r="AD10" s="1">
        <v>170.0</v>
      </c>
      <c r="AE10" s="3">
        <v>30.0</v>
      </c>
      <c r="AF10" s="1">
        <v>40.0</v>
      </c>
      <c r="AG10" s="1">
        <v>45.0</v>
      </c>
      <c r="AH10" s="3">
        <v>200.0</v>
      </c>
      <c r="AI10" s="1">
        <v>205.0</v>
      </c>
      <c r="AJ10" s="1">
        <v>60.0</v>
      </c>
      <c r="AK10" s="1">
        <v>100.0</v>
      </c>
      <c r="AL10" s="1">
        <v>175.0</v>
      </c>
      <c r="AM10" s="1">
        <v>130.0</v>
      </c>
      <c r="AN10" s="1"/>
      <c r="AO10" s="3">
        <v>160.0</v>
      </c>
      <c r="AP10" s="3">
        <v>70.0</v>
      </c>
      <c r="AQ10" s="3">
        <v>35.0</v>
      </c>
      <c r="AR10" s="1">
        <v>854.0</v>
      </c>
      <c r="AS10" s="1">
        <v>250.0</v>
      </c>
      <c r="AT10" s="1">
        <v>220.0</v>
      </c>
      <c r="AU10" s="1"/>
      <c r="AV10" s="1">
        <v>120.0</v>
      </c>
      <c r="AW10" s="3">
        <v>200.0</v>
      </c>
      <c r="AX10" s="3"/>
      <c r="AY10" s="3">
        <v>530.0</v>
      </c>
      <c r="AZ10" s="1">
        <v>40.0</v>
      </c>
      <c r="BA10" s="1"/>
      <c r="BB10" s="1"/>
      <c r="BC10" s="1">
        <v>150.0</v>
      </c>
      <c r="BD10" s="1">
        <v>190.0</v>
      </c>
      <c r="BE10" s="1">
        <v>80.0</v>
      </c>
      <c r="BF10" s="1"/>
      <c r="BG10" s="1">
        <v>213.0</v>
      </c>
      <c r="BH10" s="1">
        <v>23.0</v>
      </c>
      <c r="BI10" s="1">
        <v>40.0</v>
      </c>
      <c r="BJ10" s="1">
        <v>278.0</v>
      </c>
      <c r="BK10" s="3">
        <v>160.0</v>
      </c>
      <c r="BL10" s="1">
        <v>160.0</v>
      </c>
      <c r="BM10" s="1">
        <v>75.0</v>
      </c>
      <c r="BN10" s="32">
        <v>1802.0</v>
      </c>
      <c r="BO10" s="1">
        <v>47.0</v>
      </c>
      <c r="BP10" s="1"/>
      <c r="BQ10" s="1">
        <v>188.0</v>
      </c>
      <c r="BR10" s="27">
        <v>34640.0</v>
      </c>
    </row>
    <row r="11">
      <c r="A11" s="25">
        <f>'Equity Price Data'!A12</f>
        <v>45436.66667</v>
      </c>
      <c r="B11" s="34">
        <f>(('PRACTICE Equity Price Data'!B12/'PRACTICE Equity Price Data'!B11)-1)+B10</f>
        <v>0.0159691853</v>
      </c>
      <c r="C11" s="34">
        <f>(('PRACTICE Equity Price Data'!C12/'PRACTICE Equity Price Data'!C11)-1)+C10</f>
        <v>0.0322014679</v>
      </c>
      <c r="D11" s="34">
        <f>(('PRACTICE Equity Price Data'!D12/'PRACTICE Equity Price Data'!D11)-1)+D10</f>
        <v>-0.009026485897</v>
      </c>
      <c r="E11" s="34">
        <f>(('PRACTICE Equity Price Data'!E12/'PRACTICE Equity Price Data'!E11)-1)+E10</f>
        <v>0.00402522373</v>
      </c>
      <c r="F11" s="3">
        <v>13.0</v>
      </c>
      <c r="G11" s="3">
        <v>260.0</v>
      </c>
      <c r="H11" s="3">
        <v>110.0</v>
      </c>
      <c r="I11" s="3">
        <v>256.0</v>
      </c>
      <c r="J11" s="3">
        <v>83.0</v>
      </c>
      <c r="K11" s="3">
        <v>188.0</v>
      </c>
      <c r="L11" s="3">
        <v>1000.0</v>
      </c>
      <c r="M11" s="3">
        <v>102.0</v>
      </c>
      <c r="N11" s="3">
        <v>200.0</v>
      </c>
      <c r="O11" s="3">
        <v>121.0</v>
      </c>
      <c r="P11" s="3"/>
      <c r="Q11" s="3">
        <v>80.0</v>
      </c>
      <c r="R11" s="3">
        <v>150.0</v>
      </c>
      <c r="S11" s="3"/>
      <c r="T11" s="3">
        <v>120.0</v>
      </c>
      <c r="U11" s="3">
        <v>80.0</v>
      </c>
      <c r="V11" s="1">
        <v>88.0</v>
      </c>
      <c r="W11" s="1">
        <v>250.0</v>
      </c>
      <c r="X11" s="1">
        <v>264.0</v>
      </c>
      <c r="Y11" s="1">
        <v>161.0</v>
      </c>
      <c r="Z11" s="1">
        <v>69.0</v>
      </c>
      <c r="AA11" s="3">
        <v>250.0</v>
      </c>
      <c r="AB11" s="1">
        <v>13.0</v>
      </c>
      <c r="AC11" s="1">
        <v>150.0</v>
      </c>
      <c r="AD11" s="1">
        <v>170.0</v>
      </c>
      <c r="AE11" s="3">
        <v>30.0</v>
      </c>
      <c r="AF11" s="1">
        <v>40.0</v>
      </c>
      <c r="AG11" s="1">
        <v>45.0</v>
      </c>
      <c r="AH11" s="3">
        <v>200.0</v>
      </c>
      <c r="AI11" s="1">
        <v>205.0</v>
      </c>
      <c r="AJ11" s="1">
        <v>60.0</v>
      </c>
      <c r="AK11" s="1">
        <v>100.0</v>
      </c>
      <c r="AL11" s="1">
        <v>175.0</v>
      </c>
      <c r="AM11" s="1">
        <v>130.0</v>
      </c>
      <c r="AN11" s="1"/>
      <c r="AO11" s="3">
        <v>160.0</v>
      </c>
      <c r="AP11" s="3">
        <v>70.0</v>
      </c>
      <c r="AQ11" s="3">
        <v>35.0</v>
      </c>
      <c r="AR11" s="1">
        <v>854.0</v>
      </c>
      <c r="AS11" s="1">
        <v>250.0</v>
      </c>
      <c r="AT11" s="1">
        <v>220.0</v>
      </c>
      <c r="AU11" s="1"/>
      <c r="AV11" s="1">
        <v>120.0</v>
      </c>
      <c r="AW11" s="3">
        <v>200.0</v>
      </c>
      <c r="AX11" s="3"/>
      <c r="AY11" s="3">
        <v>530.0</v>
      </c>
      <c r="AZ11" s="1">
        <v>40.0</v>
      </c>
      <c r="BA11" s="1"/>
      <c r="BB11" s="1"/>
      <c r="BC11" s="1">
        <v>150.0</v>
      </c>
      <c r="BD11" s="1">
        <v>190.0</v>
      </c>
      <c r="BE11" s="1">
        <v>80.0</v>
      </c>
      <c r="BF11" s="1"/>
      <c r="BG11" s="1">
        <v>213.0</v>
      </c>
      <c r="BH11" s="1">
        <v>23.0</v>
      </c>
      <c r="BI11" s="1">
        <v>40.0</v>
      </c>
      <c r="BJ11" s="1">
        <v>278.0</v>
      </c>
      <c r="BK11" s="3">
        <v>160.0</v>
      </c>
      <c r="BL11" s="1">
        <v>160.0</v>
      </c>
      <c r="BM11" s="1">
        <v>75.0</v>
      </c>
      <c r="BN11" s="32">
        <v>1802.0</v>
      </c>
      <c r="BO11" s="1">
        <v>47.0</v>
      </c>
      <c r="BP11" s="1"/>
      <c r="BQ11" s="1">
        <v>188.0</v>
      </c>
      <c r="BR11" s="27">
        <v>34640.0</v>
      </c>
    </row>
    <row r="12">
      <c r="A12" s="25">
        <f>'Equity Price Data'!A13</f>
        <v>45440.66667</v>
      </c>
      <c r="B12" s="34">
        <f>(('PRACTICE Equity Price Data'!B13/'PRACTICE Equity Price Data'!B12)-1)+B11</f>
        <v>0.0162180203</v>
      </c>
      <c r="C12" s="34">
        <f>(('PRACTICE Equity Price Data'!C13/'PRACTICE Equity Price Data'!C12)-1)+C11</f>
        <v>0.03805757746</v>
      </c>
      <c r="D12" s="34">
        <f>(('PRACTICE Equity Price Data'!D13/'PRACTICE Equity Price Data'!D12)-1)+D11</f>
        <v>-0.01457376704</v>
      </c>
      <c r="E12" s="34">
        <f>(('PRACTICE Equity Price Data'!E13/'PRACTICE Equity Price Data'!E12)-1)+E11</f>
        <v>0.002662687674</v>
      </c>
      <c r="F12" s="3">
        <v>13.0</v>
      </c>
      <c r="G12" s="3">
        <v>260.0</v>
      </c>
      <c r="H12" s="3">
        <v>110.0</v>
      </c>
      <c r="I12" s="3">
        <v>256.0</v>
      </c>
      <c r="J12" s="3">
        <v>83.0</v>
      </c>
      <c r="K12" s="3">
        <v>188.0</v>
      </c>
      <c r="L12" s="3">
        <v>1000.0</v>
      </c>
      <c r="M12" s="3">
        <v>102.0</v>
      </c>
      <c r="N12" s="3">
        <v>200.0</v>
      </c>
      <c r="O12" s="3">
        <v>121.0</v>
      </c>
      <c r="P12" s="3"/>
      <c r="Q12" s="3">
        <v>80.0</v>
      </c>
      <c r="R12" s="3">
        <v>150.0</v>
      </c>
      <c r="S12" s="3"/>
      <c r="T12" s="3">
        <v>120.0</v>
      </c>
      <c r="U12" s="3">
        <v>80.0</v>
      </c>
      <c r="V12" s="1">
        <v>88.0</v>
      </c>
      <c r="W12" s="1">
        <v>250.0</v>
      </c>
      <c r="X12" s="1">
        <v>264.0</v>
      </c>
      <c r="Y12" s="1">
        <v>161.0</v>
      </c>
      <c r="Z12" s="1">
        <v>69.0</v>
      </c>
      <c r="AA12" s="3">
        <v>250.0</v>
      </c>
      <c r="AB12" s="1">
        <v>13.0</v>
      </c>
      <c r="AC12" s="1">
        <v>150.0</v>
      </c>
      <c r="AD12" s="1">
        <v>170.0</v>
      </c>
      <c r="AE12" s="3">
        <v>30.0</v>
      </c>
      <c r="AF12" s="1">
        <v>40.0</v>
      </c>
      <c r="AG12" s="1">
        <v>45.0</v>
      </c>
      <c r="AH12" s="3">
        <v>200.0</v>
      </c>
      <c r="AI12" s="1">
        <v>205.0</v>
      </c>
      <c r="AJ12" s="1">
        <v>60.0</v>
      </c>
      <c r="AK12" s="1">
        <v>100.0</v>
      </c>
      <c r="AL12" s="1">
        <v>175.0</v>
      </c>
      <c r="AM12" s="1">
        <v>130.0</v>
      </c>
      <c r="AN12" s="1"/>
      <c r="AO12" s="3">
        <v>160.0</v>
      </c>
      <c r="AP12" s="3">
        <v>70.0</v>
      </c>
      <c r="AQ12" s="3">
        <v>35.0</v>
      </c>
      <c r="AR12" s="1">
        <v>854.0</v>
      </c>
      <c r="AS12" s="1">
        <v>250.0</v>
      </c>
      <c r="AT12" s="1">
        <v>220.0</v>
      </c>
      <c r="AU12" s="1"/>
      <c r="AV12" s="1">
        <v>120.0</v>
      </c>
      <c r="AW12" s="3">
        <v>200.0</v>
      </c>
      <c r="AX12" s="3"/>
      <c r="AY12" s="3">
        <v>530.0</v>
      </c>
      <c r="AZ12" s="1">
        <v>40.0</v>
      </c>
      <c r="BA12" s="1"/>
      <c r="BB12" s="1"/>
      <c r="BC12" s="1">
        <v>150.0</v>
      </c>
      <c r="BD12" s="1">
        <v>190.0</v>
      </c>
      <c r="BE12" s="1">
        <v>80.0</v>
      </c>
      <c r="BF12" s="1"/>
      <c r="BG12" s="1">
        <v>213.0</v>
      </c>
      <c r="BH12" s="1">
        <v>23.0</v>
      </c>
      <c r="BI12" s="1">
        <v>40.0</v>
      </c>
      <c r="BJ12" s="1">
        <v>278.0</v>
      </c>
      <c r="BK12" s="3">
        <v>160.0</v>
      </c>
      <c r="BL12" s="1">
        <v>160.0</v>
      </c>
      <c r="BM12" s="1">
        <v>75.0</v>
      </c>
      <c r="BN12" s="32">
        <v>1802.0</v>
      </c>
      <c r="BO12" s="1">
        <v>47.0</v>
      </c>
      <c r="BP12" s="1"/>
      <c r="BQ12" s="1">
        <v>188.0</v>
      </c>
      <c r="BR12" s="27">
        <v>34640.0</v>
      </c>
    </row>
    <row r="13">
      <c r="A13" s="25">
        <f>'Equity Price Data'!A14</f>
        <v>45441.66667</v>
      </c>
      <c r="B13" s="34">
        <f>(('PRACTICE Equity Price Data'!B14/'PRACTICE Equity Price Data'!B13)-1)+B12</f>
        <v>0.00885094429</v>
      </c>
      <c r="C13" s="34">
        <f>(('PRACTICE Equity Price Data'!C14/'PRACTICE Equity Price Data'!C13)-1)+C12</f>
        <v>0.03222322375</v>
      </c>
      <c r="D13" s="34">
        <f>(('PRACTICE Equity Price Data'!D14/'PRACTICE Equity Price Data'!D13)-1)+D12</f>
        <v>-0.02516037508</v>
      </c>
      <c r="E13" s="34">
        <f>(('PRACTICE Equity Price Data'!E14/'PRACTICE Equity Price Data'!E13)-1)+E12</f>
        <v>-0.01217148026</v>
      </c>
      <c r="F13" s="3">
        <v>13.0</v>
      </c>
      <c r="G13" s="3">
        <v>260.0</v>
      </c>
      <c r="H13" s="3">
        <v>110.0</v>
      </c>
      <c r="I13" s="3">
        <v>256.0</v>
      </c>
      <c r="J13" s="3">
        <v>83.0</v>
      </c>
      <c r="K13" s="3">
        <v>188.0</v>
      </c>
      <c r="L13" s="3">
        <v>1000.0</v>
      </c>
      <c r="M13" s="3">
        <v>102.0</v>
      </c>
      <c r="N13" s="3">
        <v>200.0</v>
      </c>
      <c r="O13" s="3">
        <v>121.0</v>
      </c>
      <c r="P13" s="3"/>
      <c r="Q13" s="3">
        <v>80.0</v>
      </c>
      <c r="R13" s="3">
        <v>150.0</v>
      </c>
      <c r="S13" s="3"/>
      <c r="T13" s="3">
        <v>120.0</v>
      </c>
      <c r="U13" s="3">
        <v>80.0</v>
      </c>
      <c r="V13" s="1">
        <v>88.0</v>
      </c>
      <c r="W13" s="1">
        <v>250.0</v>
      </c>
      <c r="X13" s="1">
        <v>264.0</v>
      </c>
      <c r="Y13" s="1">
        <v>161.0</v>
      </c>
      <c r="Z13" s="1">
        <v>69.0</v>
      </c>
      <c r="AA13" s="3">
        <v>250.0</v>
      </c>
      <c r="AB13" s="1">
        <v>13.0</v>
      </c>
      <c r="AC13" s="1">
        <v>150.0</v>
      </c>
      <c r="AD13" s="1">
        <v>170.0</v>
      </c>
      <c r="AE13" s="3">
        <v>30.0</v>
      </c>
      <c r="AF13" s="1">
        <v>40.0</v>
      </c>
      <c r="AG13" s="1">
        <v>45.0</v>
      </c>
      <c r="AH13" s="3">
        <v>200.0</v>
      </c>
      <c r="AI13" s="1">
        <v>205.0</v>
      </c>
      <c r="AJ13" s="1">
        <v>60.0</v>
      </c>
      <c r="AK13" s="1">
        <v>100.0</v>
      </c>
      <c r="AL13" s="1">
        <v>175.0</v>
      </c>
      <c r="AM13" s="1">
        <v>130.0</v>
      </c>
      <c r="AN13" s="1"/>
      <c r="AO13" s="3">
        <v>160.0</v>
      </c>
      <c r="AP13" s="3">
        <v>70.0</v>
      </c>
      <c r="AQ13" s="3">
        <v>35.0</v>
      </c>
      <c r="AR13" s="1">
        <v>854.0</v>
      </c>
      <c r="AS13" s="1">
        <v>250.0</v>
      </c>
      <c r="AT13" s="1">
        <v>220.0</v>
      </c>
      <c r="AU13" s="1"/>
      <c r="AV13" s="1">
        <v>120.0</v>
      </c>
      <c r="AW13" s="3">
        <v>200.0</v>
      </c>
      <c r="AX13" s="3"/>
      <c r="AY13" s="3">
        <v>530.0</v>
      </c>
      <c r="AZ13" s="1">
        <v>40.0</v>
      </c>
      <c r="BA13" s="1"/>
      <c r="BB13" s="1"/>
      <c r="BC13" s="1">
        <v>150.0</v>
      </c>
      <c r="BD13" s="1">
        <v>190.0</v>
      </c>
      <c r="BE13" s="1">
        <v>80.0</v>
      </c>
      <c r="BF13" s="1"/>
      <c r="BG13" s="1">
        <v>213.0</v>
      </c>
      <c r="BH13" s="1">
        <v>23.0</v>
      </c>
      <c r="BI13" s="1">
        <v>40.0</v>
      </c>
      <c r="BJ13" s="1">
        <v>278.0</v>
      </c>
      <c r="BK13" s="3">
        <v>160.0</v>
      </c>
      <c r="BL13" s="1">
        <v>160.0</v>
      </c>
      <c r="BM13" s="1">
        <v>75.0</v>
      </c>
      <c r="BN13" s="32">
        <v>1802.0</v>
      </c>
      <c r="BO13" s="1">
        <v>47.0</v>
      </c>
      <c r="BP13" s="1"/>
      <c r="BQ13" s="1">
        <v>188.0</v>
      </c>
      <c r="BR13" s="27">
        <v>34640.0</v>
      </c>
    </row>
    <row r="14">
      <c r="A14" s="25">
        <f>'Equity Price Data'!A15</f>
        <v>45442.66667</v>
      </c>
      <c r="B14" s="34">
        <f>(('PRACTICE Equity Price Data'!B15/'PRACTICE Equity Price Data'!B14)-1)+B13</f>
        <v>0.002875949274</v>
      </c>
      <c r="C14" s="34">
        <f>(('PRACTICE Equity Price Data'!C15/'PRACTICE Equity Price Data'!C14)-1)+C13</f>
        <v>0.02137844183</v>
      </c>
      <c r="D14" s="34">
        <f>(('PRACTICE Equity Price Data'!D15/'PRACTICE Equity Price Data'!D14)-1)+D13</f>
        <v>-0.03374639947</v>
      </c>
      <c r="E14" s="34">
        <f>(('PRACTICE Equity Price Data'!E15/'PRACTICE Equity Price Data'!E14)-1)+E13</f>
        <v>-0.002147857713</v>
      </c>
      <c r="F14" s="3">
        <v>13.0</v>
      </c>
      <c r="G14" s="3">
        <v>260.0</v>
      </c>
      <c r="H14" s="3">
        <v>110.0</v>
      </c>
      <c r="I14" s="3">
        <v>256.0</v>
      </c>
      <c r="J14" s="3">
        <v>83.0</v>
      </c>
      <c r="K14" s="3">
        <v>188.0</v>
      </c>
      <c r="L14" s="3">
        <v>1000.0</v>
      </c>
      <c r="M14" s="3">
        <v>102.0</v>
      </c>
      <c r="N14" s="3">
        <v>200.0</v>
      </c>
      <c r="O14" s="3">
        <v>121.0</v>
      </c>
      <c r="P14" s="3"/>
      <c r="Q14" s="3">
        <v>80.0</v>
      </c>
      <c r="R14" s="3">
        <v>150.0</v>
      </c>
      <c r="S14" s="3"/>
      <c r="T14" s="3">
        <v>120.0</v>
      </c>
      <c r="U14" s="3">
        <v>80.0</v>
      </c>
      <c r="V14" s="1">
        <v>88.0</v>
      </c>
      <c r="W14" s="1">
        <v>250.0</v>
      </c>
      <c r="X14" s="1">
        <v>264.0</v>
      </c>
      <c r="Y14" s="1">
        <v>161.0</v>
      </c>
      <c r="Z14" s="1">
        <v>69.0</v>
      </c>
      <c r="AA14" s="3">
        <v>250.0</v>
      </c>
      <c r="AB14" s="1">
        <v>13.0</v>
      </c>
      <c r="AC14" s="1">
        <v>150.0</v>
      </c>
      <c r="AD14" s="1">
        <v>170.0</v>
      </c>
      <c r="AE14" s="3">
        <v>30.0</v>
      </c>
      <c r="AF14" s="1">
        <v>40.0</v>
      </c>
      <c r="AG14" s="1">
        <v>45.0</v>
      </c>
      <c r="AH14" s="3">
        <v>200.0</v>
      </c>
      <c r="AI14" s="1">
        <v>205.0</v>
      </c>
      <c r="AJ14" s="1">
        <v>60.0</v>
      </c>
      <c r="AK14" s="1">
        <v>100.0</v>
      </c>
      <c r="AL14" s="1">
        <v>175.0</v>
      </c>
      <c r="AM14" s="1">
        <v>130.0</v>
      </c>
      <c r="AN14" s="1"/>
      <c r="AO14" s="3">
        <v>160.0</v>
      </c>
      <c r="AP14" s="3">
        <v>70.0</v>
      </c>
      <c r="AQ14" s="3">
        <v>35.0</v>
      </c>
      <c r="AR14" s="1">
        <v>854.0</v>
      </c>
      <c r="AS14" s="1">
        <v>250.0</v>
      </c>
      <c r="AT14" s="1">
        <v>220.0</v>
      </c>
      <c r="AU14" s="1"/>
      <c r="AV14" s="1">
        <v>120.0</v>
      </c>
      <c r="AW14" s="3">
        <v>200.0</v>
      </c>
      <c r="AX14" s="3"/>
      <c r="AY14" s="3">
        <v>530.0</v>
      </c>
      <c r="AZ14" s="1">
        <v>40.0</v>
      </c>
      <c r="BA14" s="1"/>
      <c r="BB14" s="1"/>
      <c r="BC14" s="1">
        <v>150.0</v>
      </c>
      <c r="BD14" s="1">
        <v>190.0</v>
      </c>
      <c r="BE14" s="1">
        <v>80.0</v>
      </c>
      <c r="BF14" s="1"/>
      <c r="BG14" s="1">
        <v>213.0</v>
      </c>
      <c r="BH14" s="1">
        <v>23.0</v>
      </c>
      <c r="BI14" s="1">
        <v>40.0</v>
      </c>
      <c r="BJ14" s="1">
        <v>278.0</v>
      </c>
      <c r="BK14" s="3">
        <v>160.0</v>
      </c>
      <c r="BL14" s="1">
        <v>160.0</v>
      </c>
      <c r="BM14" s="1">
        <v>75.0</v>
      </c>
      <c r="BN14" s="32">
        <v>1802.0</v>
      </c>
      <c r="BO14" s="1">
        <v>47.0</v>
      </c>
      <c r="BP14" s="1"/>
      <c r="BQ14" s="1">
        <v>188.0</v>
      </c>
      <c r="BR14" s="27">
        <v>34640.0</v>
      </c>
    </row>
    <row r="15">
      <c r="A15" s="25">
        <f>'Equity Price Data'!A16</f>
        <v>45443.66667</v>
      </c>
      <c r="B15" s="34">
        <f>(('PRACTICE Equity Price Data'!B16/'PRACTICE Equity Price Data'!B15)-1)+B14</f>
        <v>0.01090386649</v>
      </c>
      <c r="C15" s="34">
        <f>(('PRACTICE Equity Price Data'!C16/'PRACTICE Equity Price Data'!C15)-1)+C14</f>
        <v>0.02125536182</v>
      </c>
      <c r="D15" s="34">
        <f>(('PRACTICE Equity Price Data'!D16/'PRACTICE Equity Price Data'!D15)-1)+D14</f>
        <v>-0.01866328016</v>
      </c>
      <c r="E15" s="34">
        <f>(('PRACTICE Equity Price Data'!E16/'PRACTICE Equity Price Data'!E15)-1)+E14</f>
        <v>0.004430961698</v>
      </c>
      <c r="F15" s="3">
        <v>13.0</v>
      </c>
      <c r="G15" s="3">
        <v>260.0</v>
      </c>
      <c r="H15" s="3">
        <v>110.0</v>
      </c>
      <c r="I15" s="3">
        <v>256.0</v>
      </c>
      <c r="J15" s="3">
        <v>83.0</v>
      </c>
      <c r="K15" s="3">
        <v>188.0</v>
      </c>
      <c r="L15" s="3">
        <v>1000.0</v>
      </c>
      <c r="M15" s="3">
        <v>102.0</v>
      </c>
      <c r="N15" s="3">
        <v>200.0</v>
      </c>
      <c r="O15" s="3">
        <v>121.0</v>
      </c>
      <c r="P15" s="3"/>
      <c r="Q15" s="3">
        <v>80.0</v>
      </c>
      <c r="R15" s="3">
        <v>150.0</v>
      </c>
      <c r="S15" s="3"/>
      <c r="T15" s="3">
        <v>120.0</v>
      </c>
      <c r="U15" s="3">
        <v>80.0</v>
      </c>
      <c r="V15" s="1">
        <v>88.0</v>
      </c>
      <c r="W15" s="1">
        <v>250.0</v>
      </c>
      <c r="X15" s="1">
        <v>264.0</v>
      </c>
      <c r="Y15" s="1">
        <v>161.0</v>
      </c>
      <c r="Z15" s="1">
        <v>69.0</v>
      </c>
      <c r="AA15" s="3">
        <v>250.0</v>
      </c>
      <c r="AB15" s="1">
        <v>13.0</v>
      </c>
      <c r="AC15" s="1">
        <v>150.0</v>
      </c>
      <c r="AD15" s="1">
        <v>170.0</v>
      </c>
      <c r="AE15" s="3">
        <v>30.0</v>
      </c>
      <c r="AF15" s="1">
        <v>40.0</v>
      </c>
      <c r="AG15" s="1">
        <v>45.0</v>
      </c>
      <c r="AH15" s="3">
        <v>200.0</v>
      </c>
      <c r="AI15" s="1">
        <v>205.0</v>
      </c>
      <c r="AJ15" s="1">
        <v>60.0</v>
      </c>
      <c r="AK15" s="1">
        <v>100.0</v>
      </c>
      <c r="AL15" s="1">
        <v>175.0</v>
      </c>
      <c r="AM15" s="1">
        <v>130.0</v>
      </c>
      <c r="AN15" s="1"/>
      <c r="AO15" s="3">
        <v>160.0</v>
      </c>
      <c r="AP15" s="3">
        <v>70.0</v>
      </c>
      <c r="AQ15" s="3">
        <v>35.0</v>
      </c>
      <c r="AR15" s="1">
        <v>854.0</v>
      </c>
      <c r="AS15" s="1">
        <v>250.0</v>
      </c>
      <c r="AT15" s="1">
        <v>220.0</v>
      </c>
      <c r="AU15" s="1"/>
      <c r="AV15" s="1">
        <v>120.0</v>
      </c>
      <c r="AW15" s="3">
        <v>200.0</v>
      </c>
      <c r="AX15" s="3"/>
      <c r="AY15" s="3">
        <v>530.0</v>
      </c>
      <c r="AZ15" s="1">
        <v>40.0</v>
      </c>
      <c r="BA15" s="1"/>
      <c r="BB15" s="1"/>
      <c r="BC15" s="1">
        <v>150.0</v>
      </c>
      <c r="BD15" s="1">
        <v>190.0</v>
      </c>
      <c r="BE15" s="1">
        <v>80.0</v>
      </c>
      <c r="BF15" s="1"/>
      <c r="BG15" s="1">
        <v>213.0</v>
      </c>
      <c r="BH15" s="1">
        <v>23.0</v>
      </c>
      <c r="BI15" s="1">
        <v>40.0</v>
      </c>
      <c r="BJ15" s="1">
        <v>278.0</v>
      </c>
      <c r="BK15" s="3">
        <v>160.0</v>
      </c>
      <c r="BL15" s="1">
        <v>160.0</v>
      </c>
      <c r="BM15" s="1">
        <v>75.0</v>
      </c>
      <c r="BN15" s="32">
        <v>1802.0</v>
      </c>
      <c r="BO15" s="1">
        <v>47.0</v>
      </c>
      <c r="BP15" s="1"/>
      <c r="BQ15" s="1">
        <v>188.0</v>
      </c>
      <c r="BR15" s="27">
        <v>34640.0</v>
      </c>
    </row>
    <row r="16">
      <c r="A16" s="25">
        <f>'Equity Price Data'!A17</f>
        <v>45446.66667</v>
      </c>
      <c r="B16" s="34">
        <f>(('PRACTICE Equity Price Data'!B17/'PRACTICE Equity Price Data'!B16)-1)+B15</f>
        <v>0.01201992311</v>
      </c>
      <c r="C16" s="34">
        <f>(('PRACTICE Equity Price Data'!C17/'PRACTICE Equity Price Data'!C16)-1)+C15</f>
        <v>0.0268514113</v>
      </c>
      <c r="D16" s="34">
        <f>(('PRACTICE Equity Price Data'!D17/'PRACTICE Equity Price Data'!D16)-1)+D15</f>
        <v>-0.02164340337</v>
      </c>
      <c r="E16" s="34">
        <f>(('PRACTICE Equity Price Data'!E17/'PRACTICE Equity Price Data'!E16)-1)+E15</f>
        <v>-0.0006170304576</v>
      </c>
      <c r="F16" s="3">
        <v>13.0</v>
      </c>
      <c r="G16" s="3">
        <v>260.0</v>
      </c>
      <c r="H16" s="3">
        <v>110.0</v>
      </c>
      <c r="I16" s="3">
        <v>256.0</v>
      </c>
      <c r="J16" s="3">
        <v>83.0</v>
      </c>
      <c r="K16" s="3">
        <v>188.0</v>
      </c>
      <c r="L16" s="3">
        <v>1000.0</v>
      </c>
      <c r="M16" s="3">
        <v>102.0</v>
      </c>
      <c r="N16" s="3">
        <v>200.0</v>
      </c>
      <c r="O16" s="3">
        <v>121.0</v>
      </c>
      <c r="P16" s="3"/>
      <c r="Q16" s="3">
        <v>80.0</v>
      </c>
      <c r="R16" s="3">
        <v>150.0</v>
      </c>
      <c r="S16" s="3"/>
      <c r="T16" s="3">
        <v>120.0</v>
      </c>
      <c r="U16" s="3">
        <v>80.0</v>
      </c>
      <c r="V16" s="1">
        <v>88.0</v>
      </c>
      <c r="W16" s="1">
        <v>250.0</v>
      </c>
      <c r="X16" s="1">
        <v>264.0</v>
      </c>
      <c r="Y16" s="1">
        <v>161.0</v>
      </c>
      <c r="Z16" s="1">
        <v>69.0</v>
      </c>
      <c r="AA16" s="3">
        <v>250.0</v>
      </c>
      <c r="AB16" s="1">
        <v>13.0</v>
      </c>
      <c r="AC16" s="1">
        <v>150.0</v>
      </c>
      <c r="AD16" s="1">
        <v>170.0</v>
      </c>
      <c r="AE16" s="3">
        <v>30.0</v>
      </c>
      <c r="AF16" s="1">
        <v>40.0</v>
      </c>
      <c r="AG16" s="1">
        <v>45.0</v>
      </c>
      <c r="AH16" s="3">
        <v>200.0</v>
      </c>
      <c r="AI16" s="1">
        <v>205.0</v>
      </c>
      <c r="AJ16" s="1">
        <v>60.0</v>
      </c>
      <c r="AK16" s="1">
        <v>100.0</v>
      </c>
      <c r="AL16" s="1">
        <v>175.0</v>
      </c>
      <c r="AM16" s="1">
        <v>130.0</v>
      </c>
      <c r="AN16" s="1"/>
      <c r="AO16" s="3">
        <v>160.0</v>
      </c>
      <c r="AP16" s="3">
        <v>70.0</v>
      </c>
      <c r="AQ16" s="3">
        <v>35.0</v>
      </c>
      <c r="AR16" s="1">
        <v>854.0</v>
      </c>
      <c r="AS16" s="1">
        <v>250.0</v>
      </c>
      <c r="AT16" s="1">
        <v>220.0</v>
      </c>
      <c r="AU16" s="1"/>
      <c r="AV16" s="1">
        <v>120.0</v>
      </c>
      <c r="AW16" s="3">
        <v>200.0</v>
      </c>
      <c r="AX16" s="3"/>
      <c r="AY16" s="3">
        <v>530.0</v>
      </c>
      <c r="AZ16" s="1">
        <v>40.0</v>
      </c>
      <c r="BA16" s="1"/>
      <c r="BB16" s="1"/>
      <c r="BC16" s="1">
        <v>150.0</v>
      </c>
      <c r="BD16" s="1">
        <v>190.0</v>
      </c>
      <c r="BE16" s="1">
        <v>80.0</v>
      </c>
      <c r="BF16" s="1"/>
      <c r="BG16" s="1">
        <v>213.0</v>
      </c>
      <c r="BH16" s="1">
        <v>23.0</v>
      </c>
      <c r="BI16" s="1">
        <v>40.0</v>
      </c>
      <c r="BJ16" s="1">
        <v>278.0</v>
      </c>
      <c r="BK16" s="3">
        <v>160.0</v>
      </c>
      <c r="BL16" s="1">
        <v>160.0</v>
      </c>
      <c r="BM16" s="1">
        <v>75.0</v>
      </c>
      <c r="BN16" s="32">
        <v>1802.0</v>
      </c>
      <c r="BO16" s="1">
        <v>47.0</v>
      </c>
      <c r="BP16" s="1"/>
      <c r="BQ16" s="1">
        <v>188.0</v>
      </c>
      <c r="BR16" s="27">
        <v>34640.0</v>
      </c>
    </row>
    <row r="17">
      <c r="A17" s="25">
        <f>'Equity Price Data'!A18</f>
        <v>45447.66667</v>
      </c>
      <c r="B17" s="34">
        <f>(('PRACTICE Equity Price Data'!B18/'PRACTICE Equity Price Data'!B17)-1)+B16</f>
        <v>0.01352274326</v>
      </c>
      <c r="C17" s="34">
        <f>(('PRACTICE Equity Price Data'!C18/'PRACTICE Equity Price Data'!C17)-1)+C16</f>
        <v>0.02853781908</v>
      </c>
      <c r="D17" s="34">
        <f>(('PRACTICE Equity Price Data'!D18/'PRACTICE Equity Price Data'!D17)-1)+D16</f>
        <v>-0.01800699542</v>
      </c>
      <c r="E17" s="34">
        <f>(('PRACTICE Equity Price Data'!E18/'PRACTICE Equity Price Data'!E17)-1)+E16</f>
        <v>-0.01311411738</v>
      </c>
      <c r="F17" s="3">
        <v>13.0</v>
      </c>
      <c r="G17" s="3">
        <v>260.0</v>
      </c>
      <c r="H17" s="3">
        <v>110.0</v>
      </c>
      <c r="I17" s="3">
        <v>256.0</v>
      </c>
      <c r="J17" s="3">
        <v>83.0</v>
      </c>
      <c r="K17" s="3">
        <v>188.0</v>
      </c>
      <c r="L17" s="3">
        <v>1000.0</v>
      </c>
      <c r="M17" s="3">
        <v>102.0</v>
      </c>
      <c r="N17" s="3">
        <v>200.0</v>
      </c>
      <c r="O17" s="3">
        <v>121.0</v>
      </c>
      <c r="P17" s="3"/>
      <c r="Q17" s="3">
        <v>80.0</v>
      </c>
      <c r="R17" s="3">
        <v>150.0</v>
      </c>
      <c r="S17" s="3"/>
      <c r="T17" s="3">
        <v>120.0</v>
      </c>
      <c r="U17" s="3">
        <v>80.0</v>
      </c>
      <c r="V17" s="1">
        <v>88.0</v>
      </c>
      <c r="W17" s="1">
        <v>250.0</v>
      </c>
      <c r="X17" s="1">
        <v>264.0</v>
      </c>
      <c r="Y17" s="1">
        <v>161.0</v>
      </c>
      <c r="Z17" s="1">
        <v>69.0</v>
      </c>
      <c r="AA17" s="3">
        <v>250.0</v>
      </c>
      <c r="AB17" s="1">
        <v>13.0</v>
      </c>
      <c r="AC17" s="1">
        <v>150.0</v>
      </c>
      <c r="AD17" s="1">
        <v>170.0</v>
      </c>
      <c r="AE17" s="3">
        <v>30.0</v>
      </c>
      <c r="AF17" s="1">
        <v>40.0</v>
      </c>
      <c r="AG17" s="1">
        <v>45.0</v>
      </c>
      <c r="AH17" s="3">
        <v>200.0</v>
      </c>
      <c r="AI17" s="1">
        <v>205.0</v>
      </c>
      <c r="AJ17" s="1">
        <v>60.0</v>
      </c>
      <c r="AK17" s="1">
        <v>100.0</v>
      </c>
      <c r="AL17" s="1">
        <v>175.0</v>
      </c>
      <c r="AM17" s="1">
        <v>130.0</v>
      </c>
      <c r="AN17" s="1"/>
      <c r="AO17" s="3">
        <v>160.0</v>
      </c>
      <c r="AP17" s="3">
        <v>70.0</v>
      </c>
      <c r="AQ17" s="3">
        <v>35.0</v>
      </c>
      <c r="AR17" s="1">
        <v>854.0</v>
      </c>
      <c r="AS17" s="1">
        <v>250.0</v>
      </c>
      <c r="AT17" s="1">
        <v>220.0</v>
      </c>
      <c r="AU17" s="1"/>
      <c r="AV17" s="1">
        <v>120.0</v>
      </c>
      <c r="AW17" s="3">
        <v>200.0</v>
      </c>
      <c r="AX17" s="3"/>
      <c r="AY17" s="3">
        <v>530.0</v>
      </c>
      <c r="AZ17" s="1">
        <v>40.0</v>
      </c>
      <c r="BA17" s="1"/>
      <c r="BB17" s="1"/>
      <c r="BC17" s="1">
        <v>150.0</v>
      </c>
      <c r="BD17" s="1">
        <v>190.0</v>
      </c>
      <c r="BE17" s="1">
        <v>80.0</v>
      </c>
      <c r="BF17" s="1"/>
      <c r="BG17" s="1">
        <v>213.0</v>
      </c>
      <c r="BH17" s="1">
        <v>23.0</v>
      </c>
      <c r="BI17" s="1">
        <v>40.0</v>
      </c>
      <c r="BJ17" s="1">
        <v>278.0</v>
      </c>
      <c r="BK17" s="3">
        <v>160.0</v>
      </c>
      <c r="BL17" s="1">
        <v>160.0</v>
      </c>
      <c r="BM17" s="1">
        <v>75.0</v>
      </c>
      <c r="BN17" s="32">
        <v>1802.0</v>
      </c>
      <c r="BO17" s="1">
        <v>47.0</v>
      </c>
      <c r="BP17" s="1"/>
      <c r="BQ17" s="1">
        <v>188.0</v>
      </c>
      <c r="BR17" s="27">
        <v>34640.0</v>
      </c>
    </row>
    <row r="18">
      <c r="A18" s="25">
        <f>'Equity Price Data'!A19</f>
        <v>45448.66667</v>
      </c>
      <c r="B18" s="34">
        <f>(('PRACTICE Equity Price Data'!B19/'PRACTICE Equity Price Data'!B18)-1)+B17</f>
        <v>0.02537040378</v>
      </c>
      <c r="C18" s="34">
        <f>(('PRACTICE Equity Price Data'!C19/'PRACTICE Equity Price Data'!C18)-1)+C17</f>
        <v>0.04816521533</v>
      </c>
      <c r="D18" s="34">
        <f>(('PRACTICE Equity Price Data'!D19/'PRACTICE Equity Price Data'!D18)-1)+D17</f>
        <v>-0.01552606544</v>
      </c>
      <c r="E18" s="34">
        <f>(('PRACTICE Equity Price Data'!E19/'PRACTICE Equity Price Data'!E18)-1)+E17</f>
        <v>0.001601164286</v>
      </c>
      <c r="F18" s="3">
        <v>13.0</v>
      </c>
      <c r="G18" s="3">
        <v>260.0</v>
      </c>
      <c r="H18" s="3">
        <v>110.0</v>
      </c>
      <c r="I18" s="3">
        <v>256.0</v>
      </c>
      <c r="J18" s="3">
        <v>83.0</v>
      </c>
      <c r="K18" s="3">
        <v>188.0</v>
      </c>
      <c r="L18" s="3">
        <v>1000.0</v>
      </c>
      <c r="M18" s="3">
        <v>102.0</v>
      </c>
      <c r="N18" s="3">
        <v>200.0</v>
      </c>
      <c r="O18" s="3">
        <v>121.0</v>
      </c>
      <c r="P18" s="3"/>
      <c r="Q18" s="3">
        <v>80.0</v>
      </c>
      <c r="R18" s="3">
        <v>150.0</v>
      </c>
      <c r="S18" s="3"/>
      <c r="T18" s="3">
        <v>120.0</v>
      </c>
      <c r="U18" s="3">
        <v>80.0</v>
      </c>
      <c r="V18" s="1">
        <v>88.0</v>
      </c>
      <c r="W18" s="1">
        <v>250.0</v>
      </c>
      <c r="X18" s="1">
        <v>264.0</v>
      </c>
      <c r="Y18" s="1">
        <v>161.0</v>
      </c>
      <c r="Z18" s="1">
        <v>69.0</v>
      </c>
      <c r="AA18" s="3">
        <v>250.0</v>
      </c>
      <c r="AB18" s="1">
        <v>13.0</v>
      </c>
      <c r="AC18" s="1">
        <v>150.0</v>
      </c>
      <c r="AD18" s="1">
        <v>170.0</v>
      </c>
      <c r="AE18" s="3">
        <v>30.0</v>
      </c>
      <c r="AF18" s="1">
        <v>40.0</v>
      </c>
      <c r="AG18" s="1">
        <v>45.0</v>
      </c>
      <c r="AH18" s="3">
        <v>200.0</v>
      </c>
      <c r="AI18" s="1">
        <v>205.0</v>
      </c>
      <c r="AJ18" s="1">
        <v>60.0</v>
      </c>
      <c r="AK18" s="1">
        <v>100.0</v>
      </c>
      <c r="AL18" s="1">
        <v>175.0</v>
      </c>
      <c r="AM18" s="1">
        <v>130.0</v>
      </c>
      <c r="AN18" s="1"/>
      <c r="AO18" s="3">
        <v>160.0</v>
      </c>
      <c r="AP18" s="3">
        <v>70.0</v>
      </c>
      <c r="AQ18" s="3">
        <v>35.0</v>
      </c>
      <c r="AR18" s="1">
        <v>854.0</v>
      </c>
      <c r="AS18" s="1">
        <v>250.0</v>
      </c>
      <c r="AT18" s="1">
        <v>220.0</v>
      </c>
      <c r="AU18" s="1"/>
      <c r="AV18" s="1">
        <v>120.0</v>
      </c>
      <c r="AW18" s="3">
        <v>200.0</v>
      </c>
      <c r="AX18" s="3"/>
      <c r="AY18" s="3">
        <v>530.0</v>
      </c>
      <c r="AZ18" s="1">
        <v>40.0</v>
      </c>
      <c r="BA18" s="1"/>
      <c r="BB18" s="1"/>
      <c r="BC18" s="1">
        <v>150.0</v>
      </c>
      <c r="BD18" s="1">
        <v>190.0</v>
      </c>
      <c r="BE18" s="1">
        <v>80.0</v>
      </c>
      <c r="BF18" s="1"/>
      <c r="BG18" s="1">
        <v>213.0</v>
      </c>
      <c r="BH18" s="1">
        <v>23.0</v>
      </c>
      <c r="BI18" s="1">
        <v>40.0</v>
      </c>
      <c r="BJ18" s="1">
        <v>278.0</v>
      </c>
      <c r="BK18" s="3">
        <v>160.0</v>
      </c>
      <c r="BL18" s="1">
        <v>160.0</v>
      </c>
      <c r="BM18" s="1">
        <v>75.0</v>
      </c>
      <c r="BN18" s="32">
        <v>1802.0</v>
      </c>
      <c r="BO18" s="1">
        <v>47.0</v>
      </c>
      <c r="BP18" s="1"/>
      <c r="BQ18" s="1">
        <v>188.0</v>
      </c>
      <c r="BR18" s="27">
        <v>34640.0</v>
      </c>
    </row>
    <row r="19">
      <c r="A19" s="25">
        <f>'Equity Price Data'!A20</f>
        <v>45449.66667</v>
      </c>
      <c r="B19" s="34">
        <f>(('PRACTICE Equity Price Data'!B20/'PRACTICE Equity Price Data'!B19)-1)+B18</f>
        <v>0.02517055432</v>
      </c>
      <c r="C19" s="34">
        <f>(('PRACTICE Equity Price Data'!C20/'PRACTICE Equity Price Data'!C19)-1)+C18</f>
        <v>0.04730472677</v>
      </c>
      <c r="D19" s="34">
        <f>(('PRACTICE Equity Price Data'!D20/'PRACTICE Equity Price Data'!D19)-1)+D18</f>
        <v>-0.01349449047</v>
      </c>
      <c r="E19" s="34">
        <f>(('PRACTICE Equity Price Data'!E20/'PRACTICE Equity Price Data'!E19)-1)+E18</f>
        <v>-0.005390555153</v>
      </c>
      <c r="F19" s="3">
        <v>13.0</v>
      </c>
      <c r="G19" s="3">
        <v>260.0</v>
      </c>
      <c r="H19" s="3">
        <v>110.0</v>
      </c>
      <c r="I19" s="3">
        <v>256.0</v>
      </c>
      <c r="J19" s="3">
        <v>83.0</v>
      </c>
      <c r="K19" s="3">
        <v>188.0</v>
      </c>
      <c r="L19" s="3">
        <v>1000.0</v>
      </c>
      <c r="M19" s="3">
        <v>102.0</v>
      </c>
      <c r="N19" s="3">
        <v>200.0</v>
      </c>
      <c r="O19" s="3">
        <v>121.0</v>
      </c>
      <c r="P19" s="3"/>
      <c r="Q19" s="3">
        <v>80.0</v>
      </c>
      <c r="R19" s="3">
        <v>150.0</v>
      </c>
      <c r="S19" s="3"/>
      <c r="T19" s="3">
        <v>120.0</v>
      </c>
      <c r="U19" s="3">
        <v>80.0</v>
      </c>
      <c r="V19" s="1">
        <v>88.0</v>
      </c>
      <c r="W19" s="1">
        <v>250.0</v>
      </c>
      <c r="X19" s="1">
        <v>264.0</v>
      </c>
      <c r="Y19" s="1">
        <v>161.0</v>
      </c>
      <c r="Z19" s="1">
        <v>69.0</v>
      </c>
      <c r="AA19" s="3">
        <v>250.0</v>
      </c>
      <c r="AB19" s="1">
        <v>13.0</v>
      </c>
      <c r="AC19" s="1">
        <v>150.0</v>
      </c>
      <c r="AD19" s="1">
        <v>170.0</v>
      </c>
      <c r="AE19" s="3">
        <v>30.0</v>
      </c>
      <c r="AF19" s="1">
        <v>40.0</v>
      </c>
      <c r="AG19" s="1">
        <v>45.0</v>
      </c>
      <c r="AH19" s="3">
        <v>200.0</v>
      </c>
      <c r="AI19" s="1">
        <v>205.0</v>
      </c>
      <c r="AJ19" s="1">
        <v>60.0</v>
      </c>
      <c r="AK19" s="1">
        <v>100.0</v>
      </c>
      <c r="AL19" s="1">
        <v>175.0</v>
      </c>
      <c r="AM19" s="1">
        <v>130.0</v>
      </c>
      <c r="AN19" s="1"/>
      <c r="AO19" s="3">
        <v>160.0</v>
      </c>
      <c r="AP19" s="3">
        <v>70.0</v>
      </c>
      <c r="AQ19" s="3">
        <v>35.0</v>
      </c>
      <c r="AR19" s="1">
        <v>854.0</v>
      </c>
      <c r="AS19" s="1">
        <v>250.0</v>
      </c>
      <c r="AT19" s="1">
        <v>220.0</v>
      </c>
      <c r="AU19" s="1"/>
      <c r="AV19" s="1">
        <v>120.0</v>
      </c>
      <c r="AW19" s="3">
        <v>200.0</v>
      </c>
      <c r="AX19" s="3"/>
      <c r="AY19" s="3">
        <v>530.0</v>
      </c>
      <c r="AZ19" s="1">
        <v>40.0</v>
      </c>
      <c r="BA19" s="1"/>
      <c r="BB19" s="1"/>
      <c r="BC19" s="1">
        <v>150.0</v>
      </c>
      <c r="BD19" s="1">
        <v>190.0</v>
      </c>
      <c r="BE19" s="1">
        <v>80.0</v>
      </c>
      <c r="BF19" s="1"/>
      <c r="BG19" s="1">
        <v>213.0</v>
      </c>
      <c r="BH19" s="1">
        <v>23.0</v>
      </c>
      <c r="BI19" s="1">
        <v>40.0</v>
      </c>
      <c r="BJ19" s="1">
        <v>278.0</v>
      </c>
      <c r="BK19" s="3">
        <v>160.0</v>
      </c>
      <c r="BL19" s="1">
        <v>160.0</v>
      </c>
      <c r="BM19" s="1">
        <v>75.0</v>
      </c>
      <c r="BN19" s="32">
        <v>1802.0</v>
      </c>
      <c r="BO19" s="1">
        <v>47.0</v>
      </c>
      <c r="BP19" s="1"/>
      <c r="BQ19" s="1">
        <v>188.0</v>
      </c>
      <c r="BR19" s="27">
        <v>34640.0</v>
      </c>
    </row>
    <row r="20">
      <c r="A20" s="25">
        <f>'Equity Price Data'!A21</f>
        <v>45450.66667</v>
      </c>
      <c r="B20" s="34">
        <f>(('PRACTICE Equity Price Data'!B21/'PRACTICE Equity Price Data'!B20)-1)+B19</f>
        <v>0.02405528352</v>
      </c>
      <c r="C20" s="34">
        <f>(('PRACTICE Equity Price Data'!C21/'PRACTICE Equity Price Data'!C20)-1)+C19</f>
        <v>0.04497608759</v>
      </c>
      <c r="D20" s="34">
        <f>(('PRACTICE Equity Price Data'!D21/'PRACTICE Equity Price Data'!D20)-1)+D19</f>
        <v>-0.01573641865</v>
      </c>
      <c r="E20" s="34">
        <f>(('PRACTICE Equity Price Data'!E21/'PRACTICE Equity Price Data'!E20)-1)+E19</f>
        <v>-0.01655945983</v>
      </c>
      <c r="F20" s="3">
        <v>13.0</v>
      </c>
      <c r="G20" s="3">
        <v>260.0</v>
      </c>
      <c r="H20" s="3">
        <v>110.0</v>
      </c>
      <c r="I20" s="3">
        <v>256.0</v>
      </c>
      <c r="J20" s="3">
        <v>83.0</v>
      </c>
      <c r="K20" s="3">
        <v>188.0</v>
      </c>
      <c r="L20" s="3">
        <v>1000.0</v>
      </c>
      <c r="M20" s="3">
        <v>102.0</v>
      </c>
      <c r="N20" s="3">
        <v>200.0</v>
      </c>
      <c r="O20" s="3">
        <v>121.0</v>
      </c>
      <c r="P20" s="3"/>
      <c r="Q20" s="3">
        <v>80.0</v>
      </c>
      <c r="R20" s="3">
        <v>150.0</v>
      </c>
      <c r="S20" s="3"/>
      <c r="T20" s="3">
        <v>120.0</v>
      </c>
      <c r="U20" s="3">
        <v>80.0</v>
      </c>
      <c r="V20" s="1">
        <v>88.0</v>
      </c>
      <c r="W20" s="1">
        <v>250.0</v>
      </c>
      <c r="X20" s="1">
        <v>264.0</v>
      </c>
      <c r="Y20" s="1">
        <v>161.0</v>
      </c>
      <c r="Z20" s="1">
        <v>69.0</v>
      </c>
      <c r="AA20" s="3">
        <v>250.0</v>
      </c>
      <c r="AB20" s="1">
        <v>13.0</v>
      </c>
      <c r="AC20" s="1">
        <v>150.0</v>
      </c>
      <c r="AD20" s="1">
        <v>170.0</v>
      </c>
      <c r="AE20" s="3">
        <v>30.0</v>
      </c>
      <c r="AF20" s="1">
        <v>40.0</v>
      </c>
      <c r="AG20" s="1">
        <v>45.0</v>
      </c>
      <c r="AH20" s="3">
        <v>200.0</v>
      </c>
      <c r="AI20" s="1">
        <v>205.0</v>
      </c>
      <c r="AJ20" s="1">
        <v>60.0</v>
      </c>
      <c r="AK20" s="1">
        <v>100.0</v>
      </c>
      <c r="AL20" s="1">
        <v>175.0</v>
      </c>
      <c r="AM20" s="1">
        <v>130.0</v>
      </c>
      <c r="AN20" s="1"/>
      <c r="AO20" s="3">
        <v>160.0</v>
      </c>
      <c r="AP20" s="3">
        <v>70.0</v>
      </c>
      <c r="AQ20" s="3">
        <v>35.0</v>
      </c>
      <c r="AR20" s="1">
        <v>854.0</v>
      </c>
      <c r="AS20" s="1">
        <v>250.0</v>
      </c>
      <c r="AT20" s="1">
        <v>220.0</v>
      </c>
      <c r="AU20" s="1"/>
      <c r="AV20" s="1">
        <v>120.0</v>
      </c>
      <c r="AW20" s="3">
        <v>200.0</v>
      </c>
      <c r="AX20" s="3"/>
      <c r="AY20" s="3">
        <v>530.0</v>
      </c>
      <c r="AZ20" s="1">
        <v>40.0</v>
      </c>
      <c r="BA20" s="1"/>
      <c r="BB20" s="1"/>
      <c r="BC20" s="1">
        <v>150.0</v>
      </c>
      <c r="BD20" s="1">
        <v>190.0</v>
      </c>
      <c r="BE20" s="1">
        <v>80.0</v>
      </c>
      <c r="BF20" s="1"/>
      <c r="BG20" s="1">
        <v>213.0</v>
      </c>
      <c r="BH20" s="1">
        <v>23.0</v>
      </c>
      <c r="BI20" s="1">
        <v>40.0</v>
      </c>
      <c r="BJ20" s="1">
        <v>278.0</v>
      </c>
      <c r="BK20" s="3">
        <v>160.0</v>
      </c>
      <c r="BL20" s="1">
        <v>160.0</v>
      </c>
      <c r="BM20" s="1">
        <v>75.0</v>
      </c>
      <c r="BN20" s="32">
        <v>1802.0</v>
      </c>
      <c r="BO20" s="1">
        <v>47.0</v>
      </c>
      <c r="BP20" s="1"/>
      <c r="BQ20" s="1">
        <v>188.0</v>
      </c>
      <c r="BR20" s="27">
        <v>34640.0</v>
      </c>
    </row>
    <row r="21">
      <c r="A21" s="25">
        <f>'Equity Price Data'!A22</f>
        <v>45453.66667</v>
      </c>
      <c r="B21" s="34">
        <f>(('PRACTICE Equity Price Data'!B22/'PRACTICE Equity Price Data'!B21)-1)+B20</f>
        <v>0.02663617482</v>
      </c>
      <c r="C21" s="34">
        <f>(('PRACTICE Equity Price Data'!C22/'PRACTICE Equity Price Data'!C21)-1)+C20</f>
        <v>0.04844305481</v>
      </c>
      <c r="D21" s="34">
        <f>(('PRACTICE Equity Price Data'!D22/'PRACTICE Equity Price Data'!D21)-1)+D20</f>
        <v>-0.01395673314</v>
      </c>
      <c r="E21" s="34">
        <f>(('PRACTICE Equity Price Data'!E22/'PRACTICE Equity Price Data'!E21)-1)+E20</f>
        <v>-0.01406260557</v>
      </c>
      <c r="F21" s="3">
        <v>13.0</v>
      </c>
      <c r="G21" s="3">
        <v>260.0</v>
      </c>
      <c r="H21" s="3">
        <v>110.0</v>
      </c>
      <c r="I21" s="3">
        <v>256.0</v>
      </c>
      <c r="J21" s="3">
        <v>83.0</v>
      </c>
      <c r="K21" s="3">
        <v>188.0</v>
      </c>
      <c r="L21" s="3">
        <v>1000.0</v>
      </c>
      <c r="M21" s="3">
        <v>102.0</v>
      </c>
      <c r="N21" s="3">
        <v>200.0</v>
      </c>
      <c r="O21" s="3">
        <v>121.0</v>
      </c>
      <c r="P21" s="3"/>
      <c r="Q21" s="3">
        <v>80.0</v>
      </c>
      <c r="R21" s="3">
        <v>150.0</v>
      </c>
      <c r="S21" s="3"/>
      <c r="T21" s="3">
        <v>120.0</v>
      </c>
      <c r="U21" s="3">
        <v>80.0</v>
      </c>
      <c r="V21" s="1">
        <v>88.0</v>
      </c>
      <c r="W21" s="1">
        <v>250.0</v>
      </c>
      <c r="X21" s="1">
        <v>264.0</v>
      </c>
      <c r="Y21" s="1">
        <v>161.0</v>
      </c>
      <c r="Z21" s="1">
        <v>69.0</v>
      </c>
      <c r="AA21" s="3">
        <v>250.0</v>
      </c>
      <c r="AB21" s="1">
        <v>13.0</v>
      </c>
      <c r="AC21" s="1">
        <v>150.0</v>
      </c>
      <c r="AD21" s="1">
        <v>170.0</v>
      </c>
      <c r="AE21" s="3">
        <v>30.0</v>
      </c>
      <c r="AF21" s="1">
        <v>40.0</v>
      </c>
      <c r="AG21" s="1">
        <v>45.0</v>
      </c>
      <c r="AH21" s="3">
        <v>200.0</v>
      </c>
      <c r="AI21" s="1">
        <v>205.0</v>
      </c>
      <c r="AJ21" s="1">
        <v>60.0</v>
      </c>
      <c r="AK21" s="1">
        <v>100.0</v>
      </c>
      <c r="AL21" s="1">
        <v>175.0</v>
      </c>
      <c r="AM21" s="1">
        <v>130.0</v>
      </c>
      <c r="AN21" s="1"/>
      <c r="AO21" s="3">
        <v>160.0</v>
      </c>
      <c r="AP21" s="3">
        <v>70.0</v>
      </c>
      <c r="AQ21" s="3">
        <v>35.0</v>
      </c>
      <c r="AR21" s="1">
        <v>854.0</v>
      </c>
      <c r="AS21" s="1">
        <v>250.0</v>
      </c>
      <c r="AT21" s="1">
        <v>220.0</v>
      </c>
      <c r="AU21" s="1"/>
      <c r="AV21" s="1">
        <v>120.0</v>
      </c>
      <c r="AW21" s="3">
        <v>200.0</v>
      </c>
      <c r="AX21" s="3"/>
      <c r="AY21" s="3">
        <v>530.0</v>
      </c>
      <c r="AZ21" s="1">
        <v>40.0</v>
      </c>
      <c r="BA21" s="1"/>
      <c r="BB21" s="1"/>
      <c r="BC21" s="1">
        <v>150.0</v>
      </c>
      <c r="BD21" s="1">
        <v>190.0</v>
      </c>
      <c r="BE21" s="1">
        <v>80.0</v>
      </c>
      <c r="BF21" s="1"/>
      <c r="BG21" s="1">
        <v>213.0</v>
      </c>
      <c r="BH21" s="1">
        <v>23.0</v>
      </c>
      <c r="BI21" s="1">
        <v>40.0</v>
      </c>
      <c r="BJ21" s="1">
        <v>278.0</v>
      </c>
      <c r="BK21" s="3">
        <v>160.0</v>
      </c>
      <c r="BL21" s="1">
        <v>160.0</v>
      </c>
      <c r="BM21" s="1">
        <v>75.0</v>
      </c>
      <c r="BN21" s="32">
        <v>1802.0</v>
      </c>
      <c r="BO21" s="1">
        <v>47.0</v>
      </c>
      <c r="BP21" s="1"/>
      <c r="BQ21" s="1">
        <v>188.0</v>
      </c>
      <c r="BR21" s="27">
        <v>34640.0</v>
      </c>
    </row>
    <row r="22">
      <c r="A22" s="25">
        <f>'Equity Price Data'!A23</f>
        <v>45454.66667</v>
      </c>
      <c r="B22" s="34">
        <f>(('PRACTICE Equity Price Data'!B23/'PRACTICE Equity Price Data'!B22)-1)+B21</f>
        <v>0.02934659624</v>
      </c>
      <c r="C22" s="34">
        <f>(('PRACTICE Equity Price Data'!C23/'PRACTICE Equity Price Data'!C22)-1)+C21</f>
        <v>0.0572271023</v>
      </c>
      <c r="D22" s="34">
        <f>(('PRACTICE Equity Price Data'!D23/'PRACTICE Equity Price Data'!D22)-1)+D21</f>
        <v>-0.01706005402</v>
      </c>
      <c r="E22" s="34">
        <f>(('PRACTICE Equity Price Data'!E23/'PRACTICE Equity Price Data'!E22)-1)+E21</f>
        <v>-0.01763612608</v>
      </c>
      <c r="F22" s="3">
        <v>13.0</v>
      </c>
      <c r="G22" s="3">
        <v>260.0</v>
      </c>
      <c r="H22" s="3">
        <v>110.0</v>
      </c>
      <c r="I22" s="3">
        <v>256.0</v>
      </c>
      <c r="J22" s="3">
        <v>83.0</v>
      </c>
      <c r="K22" s="3">
        <v>188.0</v>
      </c>
      <c r="L22" s="3">
        <v>1000.0</v>
      </c>
      <c r="M22" s="3">
        <v>102.0</v>
      </c>
      <c r="N22" s="3">
        <v>200.0</v>
      </c>
      <c r="O22" s="3">
        <v>121.0</v>
      </c>
      <c r="P22" s="3"/>
      <c r="Q22" s="3">
        <v>80.0</v>
      </c>
      <c r="R22" s="3">
        <v>150.0</v>
      </c>
      <c r="S22" s="3"/>
      <c r="T22" s="3">
        <v>120.0</v>
      </c>
      <c r="U22" s="3">
        <v>80.0</v>
      </c>
      <c r="V22" s="1">
        <v>88.0</v>
      </c>
      <c r="W22" s="1">
        <v>250.0</v>
      </c>
      <c r="X22" s="1">
        <v>264.0</v>
      </c>
      <c r="Y22" s="1">
        <v>161.0</v>
      </c>
      <c r="Z22" s="1">
        <v>69.0</v>
      </c>
      <c r="AA22" s="3">
        <v>250.0</v>
      </c>
      <c r="AB22" s="1">
        <v>13.0</v>
      </c>
      <c r="AC22" s="1">
        <v>150.0</v>
      </c>
      <c r="AD22" s="1">
        <v>170.0</v>
      </c>
      <c r="AE22" s="3">
        <v>30.0</v>
      </c>
      <c r="AF22" s="1">
        <v>40.0</v>
      </c>
      <c r="AG22" s="1">
        <v>45.0</v>
      </c>
      <c r="AH22" s="3">
        <v>200.0</v>
      </c>
      <c r="AI22" s="1">
        <v>205.0</v>
      </c>
      <c r="AJ22" s="1">
        <v>60.0</v>
      </c>
      <c r="AK22" s="1">
        <v>100.0</v>
      </c>
      <c r="AL22" s="1">
        <v>175.0</v>
      </c>
      <c r="AM22" s="1">
        <v>130.0</v>
      </c>
      <c r="AN22" s="1"/>
      <c r="AO22" s="3">
        <v>160.0</v>
      </c>
      <c r="AP22" s="3">
        <v>70.0</v>
      </c>
      <c r="AQ22" s="3">
        <v>35.0</v>
      </c>
      <c r="AR22" s="1">
        <v>854.0</v>
      </c>
      <c r="AS22" s="1">
        <v>250.0</v>
      </c>
      <c r="AT22" s="1">
        <v>220.0</v>
      </c>
      <c r="AU22" s="1"/>
      <c r="AV22" s="1">
        <v>120.0</v>
      </c>
      <c r="AW22" s="3">
        <v>200.0</v>
      </c>
      <c r="AX22" s="3"/>
      <c r="AY22" s="3">
        <v>530.0</v>
      </c>
      <c r="AZ22" s="1">
        <v>40.0</v>
      </c>
      <c r="BA22" s="1"/>
      <c r="BB22" s="1"/>
      <c r="BC22" s="1">
        <v>150.0</v>
      </c>
      <c r="BD22" s="1">
        <v>190.0</v>
      </c>
      <c r="BE22" s="1">
        <v>80.0</v>
      </c>
      <c r="BF22" s="1"/>
      <c r="BG22" s="1">
        <v>213.0</v>
      </c>
      <c r="BH22" s="1">
        <v>23.0</v>
      </c>
      <c r="BI22" s="1">
        <v>40.0</v>
      </c>
      <c r="BJ22" s="1">
        <v>278.0</v>
      </c>
      <c r="BK22" s="3">
        <v>160.0</v>
      </c>
      <c r="BL22" s="1">
        <v>160.0</v>
      </c>
      <c r="BM22" s="1">
        <v>75.0</v>
      </c>
      <c r="BN22" s="32">
        <v>1802.0</v>
      </c>
      <c r="BO22" s="1">
        <v>47.0</v>
      </c>
      <c r="BP22" s="1"/>
      <c r="BQ22" s="1">
        <v>188.0</v>
      </c>
      <c r="BR22" s="27">
        <v>34640.0</v>
      </c>
    </row>
    <row r="23">
      <c r="A23" s="25">
        <f>'Equity Price Data'!A24</f>
        <v>45455.66667</v>
      </c>
      <c r="B23" s="34">
        <f>(('PRACTICE Equity Price Data'!B24/'PRACTICE Equity Price Data'!B23)-1)+B22</f>
        <v>0.03785027602</v>
      </c>
      <c r="C23" s="34">
        <f>(('PRACTICE Equity Price Data'!C24/'PRACTICE Equity Price Data'!C23)-1)+C22</f>
        <v>0.07250021536</v>
      </c>
      <c r="D23" s="34">
        <f>(('PRACTICE Equity Price Data'!D24/'PRACTICE Equity Price Data'!D23)-1)+D22</f>
        <v>-0.01796875968</v>
      </c>
      <c r="E23" s="34">
        <f>(('PRACTICE Equity Price Data'!E24/'PRACTICE Equity Price Data'!E23)-1)+E22</f>
        <v>-0.001458093624</v>
      </c>
      <c r="F23" s="3">
        <v>13.0</v>
      </c>
      <c r="G23" s="3">
        <v>260.0</v>
      </c>
      <c r="H23" s="3">
        <v>110.0</v>
      </c>
      <c r="I23" s="3">
        <v>256.0</v>
      </c>
      <c r="J23" s="3">
        <v>83.0</v>
      </c>
      <c r="K23" s="3">
        <v>188.0</v>
      </c>
      <c r="L23" s="3">
        <v>1000.0</v>
      </c>
      <c r="M23" s="3">
        <v>102.0</v>
      </c>
      <c r="N23" s="3">
        <v>200.0</v>
      </c>
      <c r="O23" s="3">
        <v>121.0</v>
      </c>
      <c r="P23" s="3"/>
      <c r="Q23" s="3">
        <v>80.0</v>
      </c>
      <c r="R23" s="3">
        <v>150.0</v>
      </c>
      <c r="S23" s="3"/>
      <c r="T23" s="3">
        <v>120.0</v>
      </c>
      <c r="U23" s="3">
        <v>80.0</v>
      </c>
      <c r="V23" s="1">
        <v>88.0</v>
      </c>
      <c r="W23" s="1">
        <v>250.0</v>
      </c>
      <c r="X23" s="1">
        <v>264.0</v>
      </c>
      <c r="Y23" s="1">
        <v>161.0</v>
      </c>
      <c r="Z23" s="1">
        <v>69.0</v>
      </c>
      <c r="AA23" s="3">
        <v>250.0</v>
      </c>
      <c r="AB23" s="1">
        <v>13.0</v>
      </c>
      <c r="AC23" s="1">
        <v>150.0</v>
      </c>
      <c r="AD23" s="1">
        <v>170.0</v>
      </c>
      <c r="AE23" s="3">
        <v>30.0</v>
      </c>
      <c r="AF23" s="1">
        <v>40.0</v>
      </c>
      <c r="AG23" s="1">
        <v>45.0</v>
      </c>
      <c r="AH23" s="3">
        <v>200.0</v>
      </c>
      <c r="AI23" s="1">
        <v>205.0</v>
      </c>
      <c r="AJ23" s="1">
        <v>60.0</v>
      </c>
      <c r="AK23" s="1">
        <v>100.0</v>
      </c>
      <c r="AL23" s="1">
        <v>175.0</v>
      </c>
      <c r="AM23" s="1">
        <v>130.0</v>
      </c>
      <c r="AN23" s="1"/>
      <c r="AO23" s="3">
        <v>160.0</v>
      </c>
      <c r="AP23" s="3">
        <v>70.0</v>
      </c>
      <c r="AQ23" s="3">
        <v>35.0</v>
      </c>
      <c r="AR23" s="1">
        <v>854.0</v>
      </c>
      <c r="AS23" s="1">
        <v>250.0</v>
      </c>
      <c r="AT23" s="1">
        <v>220.0</v>
      </c>
      <c r="AU23" s="1"/>
      <c r="AV23" s="1">
        <v>120.0</v>
      </c>
      <c r="AW23" s="3">
        <v>200.0</v>
      </c>
      <c r="AX23" s="3"/>
      <c r="AY23" s="3">
        <v>530.0</v>
      </c>
      <c r="AZ23" s="1">
        <v>40.0</v>
      </c>
      <c r="BA23" s="1"/>
      <c r="BB23" s="1"/>
      <c r="BC23" s="1">
        <v>150.0</v>
      </c>
      <c r="BD23" s="1">
        <v>190.0</v>
      </c>
      <c r="BE23" s="1">
        <v>80.0</v>
      </c>
      <c r="BF23" s="1"/>
      <c r="BG23" s="1">
        <v>213.0</v>
      </c>
      <c r="BH23" s="1">
        <v>23.0</v>
      </c>
      <c r="BI23" s="1">
        <v>40.0</v>
      </c>
      <c r="BJ23" s="1">
        <v>278.0</v>
      </c>
      <c r="BK23" s="3">
        <v>160.0</v>
      </c>
      <c r="BL23" s="1">
        <v>160.0</v>
      </c>
      <c r="BM23" s="1">
        <v>75.0</v>
      </c>
      <c r="BN23" s="32">
        <v>1802.0</v>
      </c>
      <c r="BO23" s="1">
        <v>47.0</v>
      </c>
      <c r="BP23" s="1"/>
      <c r="BQ23" s="1">
        <v>188.0</v>
      </c>
      <c r="BR23" s="27">
        <v>34640.0</v>
      </c>
    </row>
    <row r="24">
      <c r="A24" s="25">
        <f>'Equity Price Data'!A25</f>
        <v>45456.66667</v>
      </c>
      <c r="B24" s="34">
        <f>(('PRACTICE Equity Price Data'!B25/'PRACTICE Equity Price Data'!B24)-1)+B23</f>
        <v>0.04019484891</v>
      </c>
      <c r="C24" s="34">
        <f>(('PRACTICE Equity Price Data'!C25/'PRACTICE Equity Price Data'!C24)-1)+C23</f>
        <v>0.0758576962</v>
      </c>
      <c r="D24" s="34">
        <f>(('PRACTICE Equity Price Data'!D25/'PRACTICE Equity Price Data'!D24)-1)+D23</f>
        <v>-0.01965065798</v>
      </c>
      <c r="E24" s="34">
        <f>(('PRACTICE Equity Price Data'!E25/'PRACTICE Equity Price Data'!E24)-1)+E23</f>
        <v>-0.01030063895</v>
      </c>
      <c r="F24" s="3">
        <v>13.0</v>
      </c>
      <c r="G24" s="3">
        <v>260.0</v>
      </c>
      <c r="H24" s="3">
        <v>110.0</v>
      </c>
      <c r="I24" s="3">
        <v>256.0</v>
      </c>
      <c r="J24" s="3">
        <v>83.0</v>
      </c>
      <c r="K24" s="3">
        <v>188.0</v>
      </c>
      <c r="L24" s="3">
        <v>1000.0</v>
      </c>
      <c r="M24" s="3">
        <v>102.0</v>
      </c>
      <c r="N24" s="3">
        <v>200.0</v>
      </c>
      <c r="O24" s="3">
        <v>121.0</v>
      </c>
      <c r="P24" s="3"/>
      <c r="Q24" s="3">
        <v>80.0</v>
      </c>
      <c r="R24" s="3">
        <v>150.0</v>
      </c>
      <c r="S24" s="3"/>
      <c r="T24" s="3">
        <v>120.0</v>
      </c>
      <c r="U24" s="3">
        <v>80.0</v>
      </c>
      <c r="V24" s="1">
        <v>88.0</v>
      </c>
      <c r="W24" s="1">
        <v>250.0</v>
      </c>
      <c r="X24" s="1">
        <v>264.0</v>
      </c>
      <c r="Y24" s="1">
        <v>161.0</v>
      </c>
      <c r="Z24" s="1">
        <v>69.0</v>
      </c>
      <c r="AA24" s="3">
        <v>250.0</v>
      </c>
      <c r="AB24" s="1">
        <v>13.0</v>
      </c>
      <c r="AC24" s="1">
        <v>150.0</v>
      </c>
      <c r="AD24" s="1">
        <v>170.0</v>
      </c>
      <c r="AE24" s="3">
        <v>30.0</v>
      </c>
      <c r="AF24" s="1">
        <v>40.0</v>
      </c>
      <c r="AG24" s="1">
        <v>45.0</v>
      </c>
      <c r="AH24" s="3">
        <v>200.0</v>
      </c>
      <c r="AI24" s="1">
        <v>205.0</v>
      </c>
      <c r="AJ24" s="1">
        <v>60.0</v>
      </c>
      <c r="AK24" s="1">
        <v>100.0</v>
      </c>
      <c r="AL24" s="1">
        <v>175.0</v>
      </c>
      <c r="AM24" s="1">
        <v>130.0</v>
      </c>
      <c r="AN24" s="1"/>
      <c r="AO24" s="3">
        <v>160.0</v>
      </c>
      <c r="AP24" s="3">
        <v>70.0</v>
      </c>
      <c r="AQ24" s="3">
        <v>35.0</v>
      </c>
      <c r="AR24" s="1">
        <v>854.0</v>
      </c>
      <c r="AS24" s="1">
        <v>250.0</v>
      </c>
      <c r="AT24" s="1">
        <v>220.0</v>
      </c>
      <c r="AU24" s="1"/>
      <c r="AV24" s="1">
        <v>120.0</v>
      </c>
      <c r="AW24" s="3">
        <v>200.0</v>
      </c>
      <c r="AX24" s="3"/>
      <c r="AY24" s="3">
        <v>530.0</v>
      </c>
      <c r="AZ24" s="1">
        <v>40.0</v>
      </c>
      <c r="BA24" s="1"/>
      <c r="BB24" s="1"/>
      <c r="BC24" s="1">
        <v>150.0</v>
      </c>
      <c r="BD24" s="1">
        <v>190.0</v>
      </c>
      <c r="BE24" s="1">
        <v>80.0</v>
      </c>
      <c r="BF24" s="1"/>
      <c r="BG24" s="1">
        <v>213.0</v>
      </c>
      <c r="BH24" s="1">
        <v>23.0</v>
      </c>
      <c r="BI24" s="1">
        <v>40.0</v>
      </c>
      <c r="BJ24" s="1">
        <v>278.0</v>
      </c>
      <c r="BK24" s="3">
        <v>160.0</v>
      </c>
      <c r="BL24" s="1">
        <v>160.0</v>
      </c>
      <c r="BM24" s="1">
        <v>75.0</v>
      </c>
      <c r="BN24" s="32">
        <v>1802.0</v>
      </c>
      <c r="BO24" s="1">
        <v>47.0</v>
      </c>
      <c r="BP24" s="1"/>
      <c r="BQ24" s="1">
        <v>188.0</v>
      </c>
      <c r="BR24" s="27">
        <v>34640.0</v>
      </c>
    </row>
    <row r="25">
      <c r="A25" s="25">
        <f>'Equity Price Data'!A26</f>
        <v>45457.66667</v>
      </c>
      <c r="B25" s="34">
        <f>(('PRACTICE Equity Price Data'!B26/'PRACTICE Equity Price Data'!B25)-1)+B24</f>
        <v>0.03980101336</v>
      </c>
      <c r="C25" s="34">
        <f>(('PRACTICE Equity Price Data'!C26/'PRACTICE Equity Price Data'!C25)-1)+C24</f>
        <v>0.07706442764</v>
      </c>
      <c r="D25" s="34">
        <f>(('PRACTICE Equity Price Data'!D26/'PRACTICE Equity Price Data'!D25)-1)+D24</f>
        <v>-0.02114986491</v>
      </c>
      <c r="E25" s="34">
        <f>(('PRACTICE Equity Price Data'!E26/'PRACTICE Equity Price Data'!E25)-1)+E24</f>
        <v>-0.02636314294</v>
      </c>
      <c r="F25" s="3">
        <v>13.0</v>
      </c>
      <c r="G25" s="3">
        <v>260.0</v>
      </c>
      <c r="H25" s="3">
        <v>110.0</v>
      </c>
      <c r="I25" s="3">
        <v>256.0</v>
      </c>
      <c r="J25" s="3">
        <v>83.0</v>
      </c>
      <c r="K25" s="3">
        <v>188.0</v>
      </c>
      <c r="L25" s="3">
        <v>1000.0</v>
      </c>
      <c r="M25" s="3">
        <v>102.0</v>
      </c>
      <c r="N25" s="3">
        <v>200.0</v>
      </c>
      <c r="O25" s="3">
        <v>121.0</v>
      </c>
      <c r="P25" s="3"/>
      <c r="Q25" s="3">
        <v>80.0</v>
      </c>
      <c r="R25" s="3">
        <v>150.0</v>
      </c>
      <c r="S25" s="3"/>
      <c r="T25" s="3">
        <v>120.0</v>
      </c>
      <c r="U25" s="3">
        <v>80.0</v>
      </c>
      <c r="V25" s="1">
        <v>88.0</v>
      </c>
      <c r="W25" s="1">
        <v>250.0</v>
      </c>
      <c r="X25" s="1">
        <v>264.0</v>
      </c>
      <c r="Y25" s="1">
        <v>161.0</v>
      </c>
      <c r="Z25" s="1">
        <v>69.0</v>
      </c>
      <c r="AA25" s="3">
        <v>250.0</v>
      </c>
      <c r="AB25" s="1">
        <v>13.0</v>
      </c>
      <c r="AC25" s="1">
        <v>150.0</v>
      </c>
      <c r="AD25" s="1">
        <v>170.0</v>
      </c>
      <c r="AE25" s="3">
        <v>30.0</v>
      </c>
      <c r="AF25" s="1">
        <v>40.0</v>
      </c>
      <c r="AG25" s="1">
        <v>45.0</v>
      </c>
      <c r="AH25" s="3">
        <v>200.0</v>
      </c>
      <c r="AI25" s="1">
        <v>205.0</v>
      </c>
      <c r="AJ25" s="1">
        <v>60.0</v>
      </c>
      <c r="AK25" s="1">
        <v>100.0</v>
      </c>
      <c r="AL25" s="1">
        <v>175.0</v>
      </c>
      <c r="AM25" s="1">
        <v>130.0</v>
      </c>
      <c r="AN25" s="1"/>
      <c r="AO25" s="3">
        <v>160.0</v>
      </c>
      <c r="AP25" s="3">
        <v>70.0</v>
      </c>
      <c r="AQ25" s="3">
        <v>35.0</v>
      </c>
      <c r="AR25" s="1">
        <v>854.0</v>
      </c>
      <c r="AS25" s="1">
        <v>250.0</v>
      </c>
      <c r="AT25" s="1">
        <v>220.0</v>
      </c>
      <c r="AU25" s="1"/>
      <c r="AV25" s="1">
        <v>120.0</v>
      </c>
      <c r="AW25" s="3">
        <v>200.0</v>
      </c>
      <c r="AX25" s="3"/>
      <c r="AY25" s="3">
        <v>530.0</v>
      </c>
      <c r="AZ25" s="1">
        <v>40.0</v>
      </c>
      <c r="BA25" s="1"/>
      <c r="BB25" s="1"/>
      <c r="BC25" s="1">
        <v>150.0</v>
      </c>
      <c r="BD25" s="1">
        <v>190.0</v>
      </c>
      <c r="BE25" s="1">
        <v>80.0</v>
      </c>
      <c r="BF25" s="1"/>
      <c r="BG25" s="1">
        <v>213.0</v>
      </c>
      <c r="BH25" s="1">
        <v>23.0</v>
      </c>
      <c r="BI25" s="1">
        <v>40.0</v>
      </c>
      <c r="BJ25" s="1">
        <v>278.0</v>
      </c>
      <c r="BK25" s="3">
        <v>160.0</v>
      </c>
      <c r="BL25" s="1">
        <v>160.0</v>
      </c>
      <c r="BM25" s="1">
        <v>75.0</v>
      </c>
      <c r="BN25" s="32">
        <v>1802.0</v>
      </c>
      <c r="BO25" s="1">
        <v>47.0</v>
      </c>
      <c r="BP25" s="1"/>
      <c r="BQ25" s="1">
        <v>188.0</v>
      </c>
      <c r="BR25" s="27">
        <v>34640.0</v>
      </c>
    </row>
    <row r="26">
      <c r="A26" s="25">
        <f>'Equity Price Data'!A27</f>
        <v>45460.66667</v>
      </c>
      <c r="B26" s="34">
        <f>(('PRACTICE Equity Price Data'!B27/'PRACTICE Equity Price Data'!B26)-1)+B25</f>
        <v>0.04746542164</v>
      </c>
      <c r="C26" s="34">
        <f>(('PRACTICE Equity Price Data'!C27/'PRACTICE Equity Price Data'!C26)-1)+C25</f>
        <v>0.08656983442</v>
      </c>
      <c r="D26" s="34">
        <f>(('PRACTICE Equity Price Data'!D27/'PRACTICE Equity Price Data'!D26)-1)+D25</f>
        <v>-0.01625367126</v>
      </c>
      <c r="E26" s="34">
        <f>(('PRACTICE Equity Price Data'!E27/'PRACTICE Equity Price Data'!E26)-1)+E25</f>
        <v>-0.01846247699</v>
      </c>
      <c r="F26" s="3">
        <v>13.0</v>
      </c>
      <c r="G26" s="3">
        <v>260.0</v>
      </c>
      <c r="H26" s="3">
        <v>110.0</v>
      </c>
      <c r="I26" s="3">
        <v>256.0</v>
      </c>
      <c r="J26" s="3">
        <v>83.0</v>
      </c>
      <c r="K26" s="3">
        <v>188.0</v>
      </c>
      <c r="L26" s="3">
        <v>1000.0</v>
      </c>
      <c r="M26" s="3">
        <v>102.0</v>
      </c>
      <c r="N26" s="3">
        <v>200.0</v>
      </c>
      <c r="O26" s="3">
        <v>121.0</v>
      </c>
      <c r="P26" s="3"/>
      <c r="Q26" s="3">
        <v>80.0</v>
      </c>
      <c r="R26" s="3">
        <v>150.0</v>
      </c>
      <c r="S26" s="3"/>
      <c r="T26" s="3">
        <v>120.0</v>
      </c>
      <c r="U26" s="3">
        <v>80.0</v>
      </c>
      <c r="V26" s="1">
        <v>88.0</v>
      </c>
      <c r="W26" s="1">
        <v>250.0</v>
      </c>
      <c r="X26" s="1">
        <v>264.0</v>
      </c>
      <c r="Y26" s="1">
        <v>161.0</v>
      </c>
      <c r="Z26" s="1">
        <v>69.0</v>
      </c>
      <c r="AA26" s="3">
        <v>250.0</v>
      </c>
      <c r="AB26" s="1">
        <v>13.0</v>
      </c>
      <c r="AC26" s="1">
        <v>150.0</v>
      </c>
      <c r="AD26" s="1">
        <v>170.0</v>
      </c>
      <c r="AE26" s="3">
        <v>30.0</v>
      </c>
      <c r="AF26" s="1">
        <v>40.0</v>
      </c>
      <c r="AG26" s="1">
        <v>45.0</v>
      </c>
      <c r="AH26" s="3">
        <v>200.0</v>
      </c>
      <c r="AI26" s="1">
        <v>205.0</v>
      </c>
      <c r="AJ26" s="1">
        <v>60.0</v>
      </c>
      <c r="AK26" s="1">
        <v>100.0</v>
      </c>
      <c r="AL26" s="1">
        <v>175.0</v>
      </c>
      <c r="AM26" s="1">
        <v>130.0</v>
      </c>
      <c r="AN26" s="1"/>
      <c r="AO26" s="3">
        <v>160.0</v>
      </c>
      <c r="AP26" s="3">
        <v>70.0</v>
      </c>
      <c r="AQ26" s="3">
        <v>35.0</v>
      </c>
      <c r="AR26" s="1">
        <v>854.0</v>
      </c>
      <c r="AS26" s="1">
        <v>250.0</v>
      </c>
      <c r="AT26" s="1">
        <v>220.0</v>
      </c>
      <c r="AU26" s="1"/>
      <c r="AV26" s="1">
        <v>120.0</v>
      </c>
      <c r="AW26" s="3">
        <v>200.0</v>
      </c>
      <c r="AX26" s="3"/>
      <c r="AY26" s="3">
        <v>530.0</v>
      </c>
      <c r="AZ26" s="1">
        <v>40.0</v>
      </c>
      <c r="BA26" s="1"/>
      <c r="BB26" s="1"/>
      <c r="BC26" s="1">
        <v>150.0</v>
      </c>
      <c r="BD26" s="1">
        <v>190.0</v>
      </c>
      <c r="BE26" s="1">
        <v>80.0</v>
      </c>
      <c r="BF26" s="1"/>
      <c r="BG26" s="1">
        <v>213.0</v>
      </c>
      <c r="BH26" s="1">
        <v>23.0</v>
      </c>
      <c r="BI26" s="1">
        <v>40.0</v>
      </c>
      <c r="BJ26" s="1">
        <v>278.0</v>
      </c>
      <c r="BK26" s="3">
        <v>160.0</v>
      </c>
      <c r="BL26" s="1">
        <v>160.0</v>
      </c>
      <c r="BM26" s="1">
        <v>75.0</v>
      </c>
      <c r="BN26" s="32">
        <v>1802.0</v>
      </c>
      <c r="BO26" s="1">
        <v>47.0</v>
      </c>
      <c r="BP26" s="1"/>
      <c r="BQ26" s="1">
        <v>188.0</v>
      </c>
      <c r="BR26" s="27">
        <v>34640.0</v>
      </c>
    </row>
    <row r="27">
      <c r="A27" s="25">
        <f>'Equity Price Data'!A28</f>
        <v>45461.66667</v>
      </c>
      <c r="B27" s="34">
        <f>(('PRACTICE Equity Price Data'!B28/'PRACTICE Equity Price Data'!B27)-1)+B26</f>
        <v>0.04998678471</v>
      </c>
      <c r="C27" s="34">
        <f>(('PRACTICE Equity Price Data'!C28/'PRACTICE Equity Price Data'!C27)-1)+C26</f>
        <v>0.08686159643</v>
      </c>
      <c r="D27" s="34">
        <f>(('PRACTICE Equity Price Data'!D28/'PRACTICE Equity Price Data'!D27)-1)+D26</f>
        <v>-0.01478995849</v>
      </c>
      <c r="E27" s="34">
        <f>(('PRACTICE Equity Price Data'!E28/'PRACTICE Equity Price Data'!E27)-1)+E26</f>
        <v>-0.01687000218</v>
      </c>
      <c r="F27" s="3">
        <v>13.0</v>
      </c>
      <c r="G27" s="3">
        <v>260.0</v>
      </c>
      <c r="H27" s="3">
        <v>110.0</v>
      </c>
      <c r="I27" s="3">
        <v>256.0</v>
      </c>
      <c r="J27" s="3">
        <v>83.0</v>
      </c>
      <c r="K27" s="3">
        <v>188.0</v>
      </c>
      <c r="L27" s="3">
        <v>1000.0</v>
      </c>
      <c r="M27" s="3">
        <v>102.0</v>
      </c>
      <c r="N27" s="3">
        <v>200.0</v>
      </c>
      <c r="O27" s="3">
        <v>121.0</v>
      </c>
      <c r="P27" s="3"/>
      <c r="Q27" s="3">
        <v>80.0</v>
      </c>
      <c r="R27" s="3">
        <v>150.0</v>
      </c>
      <c r="S27" s="3"/>
      <c r="T27" s="3">
        <v>120.0</v>
      </c>
      <c r="U27" s="3">
        <v>80.0</v>
      </c>
      <c r="V27" s="1">
        <v>88.0</v>
      </c>
      <c r="W27" s="1">
        <v>250.0</v>
      </c>
      <c r="X27" s="1">
        <v>264.0</v>
      </c>
      <c r="Y27" s="1">
        <v>161.0</v>
      </c>
      <c r="Z27" s="1">
        <v>69.0</v>
      </c>
      <c r="AA27" s="3">
        <v>250.0</v>
      </c>
      <c r="AB27" s="1">
        <v>13.0</v>
      </c>
      <c r="AC27" s="1">
        <v>150.0</v>
      </c>
      <c r="AD27" s="1">
        <v>170.0</v>
      </c>
      <c r="AE27" s="3">
        <v>30.0</v>
      </c>
      <c r="AF27" s="1">
        <v>40.0</v>
      </c>
      <c r="AG27" s="1">
        <v>45.0</v>
      </c>
      <c r="AH27" s="3">
        <v>200.0</v>
      </c>
      <c r="AI27" s="1">
        <v>205.0</v>
      </c>
      <c r="AJ27" s="1">
        <v>60.0</v>
      </c>
      <c r="AK27" s="1">
        <v>100.0</v>
      </c>
      <c r="AL27" s="1">
        <v>175.0</v>
      </c>
      <c r="AM27" s="1">
        <v>130.0</v>
      </c>
      <c r="AN27" s="1"/>
      <c r="AO27" s="3">
        <v>160.0</v>
      </c>
      <c r="AP27" s="3">
        <v>70.0</v>
      </c>
      <c r="AQ27" s="3">
        <v>35.0</v>
      </c>
      <c r="AR27" s="1">
        <v>854.0</v>
      </c>
      <c r="AS27" s="1">
        <v>250.0</v>
      </c>
      <c r="AT27" s="1">
        <v>220.0</v>
      </c>
      <c r="AU27" s="1"/>
      <c r="AV27" s="1">
        <v>120.0</v>
      </c>
      <c r="AW27" s="3">
        <v>200.0</v>
      </c>
      <c r="AX27" s="3"/>
      <c r="AY27" s="3">
        <v>530.0</v>
      </c>
      <c r="AZ27" s="1">
        <v>40.0</v>
      </c>
      <c r="BA27" s="1"/>
      <c r="BB27" s="1"/>
      <c r="BC27" s="1">
        <v>150.0</v>
      </c>
      <c r="BD27" s="1">
        <v>190.0</v>
      </c>
      <c r="BE27" s="1">
        <v>80.0</v>
      </c>
      <c r="BF27" s="1"/>
      <c r="BG27" s="1">
        <v>213.0</v>
      </c>
      <c r="BH27" s="1">
        <v>23.0</v>
      </c>
      <c r="BI27" s="1">
        <v>40.0</v>
      </c>
      <c r="BJ27" s="1">
        <v>278.0</v>
      </c>
      <c r="BK27" s="3">
        <v>160.0</v>
      </c>
      <c r="BL27" s="1">
        <v>160.0</v>
      </c>
      <c r="BM27" s="1">
        <v>75.0</v>
      </c>
      <c r="BN27" s="32">
        <v>1802.0</v>
      </c>
      <c r="BO27" s="1">
        <v>47.0</v>
      </c>
      <c r="BP27" s="1"/>
      <c r="BQ27" s="1">
        <v>188.0</v>
      </c>
      <c r="BR27" s="27">
        <v>34640.0</v>
      </c>
    </row>
    <row r="28">
      <c r="A28" s="25">
        <f>'Equity Price Data'!A29</f>
        <v>45463.66667</v>
      </c>
      <c r="B28" s="34">
        <f>(('PRACTICE Equity Price Data'!B29/'PRACTICE Equity Price Data'!B28)-1)+B27</f>
        <v>0.04746082804</v>
      </c>
      <c r="C28" s="34">
        <f>(('PRACTICE Equity Price Data'!C29/'PRACTICE Equity Price Data'!C28)-1)+C27</f>
        <v>0.07898799946</v>
      </c>
      <c r="D28" s="34">
        <f>(('PRACTICE Equity Price Data'!D29/'PRACTICE Equity Price Data'!D28)-1)+D27</f>
        <v>-0.007067515307</v>
      </c>
      <c r="E28" s="34">
        <f>(('PRACTICE Equity Price Data'!E29/'PRACTICE Equity Price Data'!E28)-1)+E27</f>
        <v>-0.02074116743</v>
      </c>
      <c r="F28" s="3">
        <v>13.0</v>
      </c>
      <c r="G28" s="3">
        <v>260.0</v>
      </c>
      <c r="H28" s="3">
        <v>110.0</v>
      </c>
      <c r="I28" s="3">
        <v>256.0</v>
      </c>
      <c r="J28" s="3">
        <v>83.0</v>
      </c>
      <c r="K28" s="3">
        <v>188.0</v>
      </c>
      <c r="L28" s="3">
        <v>1000.0</v>
      </c>
      <c r="M28" s="3">
        <v>102.0</v>
      </c>
      <c r="N28" s="3">
        <v>200.0</v>
      </c>
      <c r="O28" s="3">
        <v>121.0</v>
      </c>
      <c r="P28" s="3"/>
      <c r="Q28" s="3">
        <v>80.0</v>
      </c>
      <c r="R28" s="3">
        <v>150.0</v>
      </c>
      <c r="S28" s="3"/>
      <c r="T28" s="3">
        <v>120.0</v>
      </c>
      <c r="U28" s="3">
        <v>80.0</v>
      </c>
      <c r="V28" s="1">
        <v>88.0</v>
      </c>
      <c r="W28" s="1">
        <v>250.0</v>
      </c>
      <c r="X28" s="1">
        <v>264.0</v>
      </c>
      <c r="Y28" s="1">
        <v>161.0</v>
      </c>
      <c r="Z28" s="1">
        <v>69.0</v>
      </c>
      <c r="AA28" s="3">
        <v>250.0</v>
      </c>
      <c r="AB28" s="1">
        <v>13.0</v>
      </c>
      <c r="AC28" s="1">
        <v>150.0</v>
      </c>
      <c r="AD28" s="1">
        <v>170.0</v>
      </c>
      <c r="AE28" s="3">
        <v>30.0</v>
      </c>
      <c r="AF28" s="1">
        <v>40.0</v>
      </c>
      <c r="AG28" s="1">
        <v>45.0</v>
      </c>
      <c r="AH28" s="3">
        <v>200.0</v>
      </c>
      <c r="AI28" s="1">
        <v>205.0</v>
      </c>
      <c r="AJ28" s="1">
        <v>60.0</v>
      </c>
      <c r="AK28" s="1">
        <v>100.0</v>
      </c>
      <c r="AL28" s="1">
        <v>175.0</v>
      </c>
      <c r="AM28" s="1">
        <v>130.0</v>
      </c>
      <c r="AN28" s="1"/>
      <c r="AO28" s="3">
        <v>160.0</v>
      </c>
      <c r="AP28" s="3">
        <v>70.0</v>
      </c>
      <c r="AQ28" s="3">
        <v>35.0</v>
      </c>
      <c r="AR28" s="1">
        <v>854.0</v>
      </c>
      <c r="AS28" s="1">
        <v>250.0</v>
      </c>
      <c r="AT28" s="1">
        <v>220.0</v>
      </c>
      <c r="AU28" s="1"/>
      <c r="AV28" s="1">
        <v>120.0</v>
      </c>
      <c r="AW28" s="3">
        <v>200.0</v>
      </c>
      <c r="AX28" s="3"/>
      <c r="AY28" s="3">
        <v>530.0</v>
      </c>
      <c r="AZ28" s="1">
        <v>40.0</v>
      </c>
      <c r="BA28" s="1"/>
      <c r="BB28" s="1"/>
      <c r="BC28" s="1">
        <v>150.0</v>
      </c>
      <c r="BD28" s="1">
        <v>190.0</v>
      </c>
      <c r="BE28" s="1">
        <v>80.0</v>
      </c>
      <c r="BF28" s="1"/>
      <c r="BG28" s="1">
        <v>213.0</v>
      </c>
      <c r="BH28" s="1">
        <v>23.0</v>
      </c>
      <c r="BI28" s="1">
        <v>40.0</v>
      </c>
      <c r="BJ28" s="1">
        <v>278.0</v>
      </c>
      <c r="BK28" s="3">
        <v>160.0</v>
      </c>
      <c r="BL28" s="1">
        <v>160.0</v>
      </c>
      <c r="BM28" s="1">
        <v>75.0</v>
      </c>
      <c r="BN28" s="32">
        <v>1802.0</v>
      </c>
      <c r="BO28" s="1">
        <v>47.0</v>
      </c>
      <c r="BP28" s="1"/>
      <c r="BQ28" s="1">
        <v>188.0</v>
      </c>
      <c r="BR28" s="27">
        <v>34640.0</v>
      </c>
    </row>
    <row r="29">
      <c r="A29" s="25">
        <f>'Equity Price Data'!A30</f>
        <v>45464.66667</v>
      </c>
      <c r="B29" s="34">
        <f>(('PRACTICE Equity Price Data'!B30/'PRACTICE Equity Price Data'!B29)-1)+B28</f>
        <v>0.04589866206</v>
      </c>
      <c r="C29" s="34">
        <f>(('PRACTICE Equity Price Data'!C30/'PRACTICE Equity Price Data'!C29)-1)+C28</f>
        <v>0.07716931389</v>
      </c>
      <c r="D29" s="34">
        <f>(('PRACTICE Equity Price Data'!D30/'PRACTICE Equity Price Data'!D29)-1)+D28</f>
        <v>-0.006669659284</v>
      </c>
      <c r="E29" s="34">
        <f>(('PRACTICE Equity Price Data'!E30/'PRACTICE Equity Price Data'!E29)-1)+E28</f>
        <v>-0.01844116594</v>
      </c>
      <c r="F29" s="3">
        <v>13.0</v>
      </c>
      <c r="G29" s="3">
        <v>260.0</v>
      </c>
      <c r="H29" s="3">
        <v>110.0</v>
      </c>
      <c r="I29" s="3">
        <v>256.0</v>
      </c>
      <c r="J29" s="3">
        <v>83.0</v>
      </c>
      <c r="K29" s="3">
        <v>188.0</v>
      </c>
      <c r="L29" s="3">
        <v>1000.0</v>
      </c>
      <c r="M29" s="3">
        <v>102.0</v>
      </c>
      <c r="N29" s="3">
        <v>200.0</v>
      </c>
      <c r="O29" s="3">
        <v>121.0</v>
      </c>
      <c r="P29" s="3"/>
      <c r="Q29" s="3">
        <v>80.0</v>
      </c>
      <c r="R29" s="3">
        <v>150.0</v>
      </c>
      <c r="S29" s="3"/>
      <c r="T29" s="3">
        <v>120.0</v>
      </c>
      <c r="U29" s="3">
        <v>80.0</v>
      </c>
      <c r="V29" s="1">
        <v>88.0</v>
      </c>
      <c r="W29" s="1">
        <v>250.0</v>
      </c>
      <c r="X29" s="1">
        <v>264.0</v>
      </c>
      <c r="Y29" s="1">
        <v>161.0</v>
      </c>
      <c r="Z29" s="1">
        <v>69.0</v>
      </c>
      <c r="AA29" s="3">
        <v>250.0</v>
      </c>
      <c r="AB29" s="1">
        <v>13.0</v>
      </c>
      <c r="AC29" s="1">
        <v>150.0</v>
      </c>
      <c r="AD29" s="1">
        <v>170.0</v>
      </c>
      <c r="AE29" s="3">
        <v>30.0</v>
      </c>
      <c r="AF29" s="1">
        <v>40.0</v>
      </c>
      <c r="AG29" s="1">
        <v>45.0</v>
      </c>
      <c r="AH29" s="3">
        <v>200.0</v>
      </c>
      <c r="AI29" s="1">
        <v>205.0</v>
      </c>
      <c r="AJ29" s="1">
        <v>60.0</v>
      </c>
      <c r="AK29" s="1">
        <v>100.0</v>
      </c>
      <c r="AL29" s="1">
        <v>175.0</v>
      </c>
      <c r="AM29" s="1">
        <v>130.0</v>
      </c>
      <c r="AN29" s="1"/>
      <c r="AO29" s="3">
        <v>160.0</v>
      </c>
      <c r="AP29" s="3">
        <v>70.0</v>
      </c>
      <c r="AQ29" s="3">
        <v>35.0</v>
      </c>
      <c r="AR29" s="1">
        <v>854.0</v>
      </c>
      <c r="AS29" s="1">
        <v>250.0</v>
      </c>
      <c r="AT29" s="1">
        <v>220.0</v>
      </c>
      <c r="AU29" s="1"/>
      <c r="AV29" s="1">
        <v>120.0</v>
      </c>
      <c r="AW29" s="3">
        <v>200.0</v>
      </c>
      <c r="AX29" s="3"/>
      <c r="AY29" s="3">
        <v>530.0</v>
      </c>
      <c r="AZ29" s="1">
        <v>40.0</v>
      </c>
      <c r="BA29" s="1"/>
      <c r="BB29" s="1"/>
      <c r="BC29" s="1">
        <v>150.0</v>
      </c>
      <c r="BD29" s="1">
        <v>190.0</v>
      </c>
      <c r="BE29" s="1">
        <v>80.0</v>
      </c>
      <c r="BF29" s="1"/>
      <c r="BG29" s="1">
        <v>213.0</v>
      </c>
      <c r="BH29" s="1">
        <v>23.0</v>
      </c>
      <c r="BI29" s="1">
        <v>40.0</v>
      </c>
      <c r="BJ29" s="1">
        <v>278.0</v>
      </c>
      <c r="BK29" s="3">
        <v>160.0</v>
      </c>
      <c r="BL29" s="1">
        <v>160.0</v>
      </c>
      <c r="BM29" s="1">
        <v>75.0</v>
      </c>
      <c r="BN29" s="32">
        <v>1802.0</v>
      </c>
      <c r="BO29" s="1">
        <v>47.0</v>
      </c>
      <c r="BP29" s="1"/>
      <c r="BQ29" s="1">
        <v>188.0</v>
      </c>
      <c r="BR29" s="27">
        <v>34640.0</v>
      </c>
    </row>
    <row r="30">
      <c r="A30" s="25">
        <f>'Equity Price Data'!A31</f>
        <v>45467.66667</v>
      </c>
      <c r="B30" s="34">
        <f>(('PRACTICE Equity Price Data'!B31/'PRACTICE Equity Price Data'!B30)-1)+B29</f>
        <v>0.0428334901</v>
      </c>
      <c r="C30" s="34">
        <f>(('PRACTICE Equity Price Data'!C31/'PRACTICE Equity Price Data'!C30)-1)+C29</f>
        <v>0.06628480478</v>
      </c>
      <c r="D30" s="34">
        <f>(('PRACTICE Equity Price Data'!D31/'PRACTICE Equity Price Data'!D30)-1)+D29</f>
        <v>-0.000006113919083</v>
      </c>
      <c r="E30" s="34">
        <f>(('PRACTICE Equity Price Data'!E31/'PRACTICE Equity Price Data'!E30)-1)+E29</f>
        <v>-0.01409899495</v>
      </c>
      <c r="F30" s="3">
        <v>13.0</v>
      </c>
      <c r="G30" s="3">
        <v>260.0</v>
      </c>
      <c r="H30" s="3">
        <v>110.0</v>
      </c>
      <c r="I30" s="3">
        <v>256.0</v>
      </c>
      <c r="J30" s="3">
        <v>83.0</v>
      </c>
      <c r="K30" s="3">
        <v>188.0</v>
      </c>
      <c r="L30" s="3">
        <v>1000.0</v>
      </c>
      <c r="M30" s="3">
        <v>102.0</v>
      </c>
      <c r="N30" s="3">
        <v>200.0</v>
      </c>
      <c r="O30" s="3">
        <v>121.0</v>
      </c>
      <c r="P30" s="3"/>
      <c r="Q30" s="3">
        <v>80.0</v>
      </c>
      <c r="R30" s="3">
        <v>150.0</v>
      </c>
      <c r="S30" s="3"/>
      <c r="T30" s="3">
        <v>120.0</v>
      </c>
      <c r="U30" s="3">
        <v>80.0</v>
      </c>
      <c r="V30" s="1">
        <v>88.0</v>
      </c>
      <c r="W30" s="1">
        <v>250.0</v>
      </c>
      <c r="X30" s="1">
        <v>264.0</v>
      </c>
      <c r="Y30" s="1">
        <v>161.0</v>
      </c>
      <c r="Z30" s="1">
        <v>69.0</v>
      </c>
      <c r="AA30" s="3">
        <v>250.0</v>
      </c>
      <c r="AB30" s="1">
        <v>13.0</v>
      </c>
      <c r="AC30" s="1">
        <v>150.0</v>
      </c>
      <c r="AD30" s="1">
        <v>170.0</v>
      </c>
      <c r="AE30" s="3">
        <v>30.0</v>
      </c>
      <c r="AF30" s="1">
        <v>40.0</v>
      </c>
      <c r="AG30" s="1">
        <v>45.0</v>
      </c>
      <c r="AH30" s="3">
        <v>200.0</v>
      </c>
      <c r="AI30" s="1">
        <v>205.0</v>
      </c>
      <c r="AJ30" s="1">
        <v>60.0</v>
      </c>
      <c r="AK30" s="1">
        <v>100.0</v>
      </c>
      <c r="AL30" s="1">
        <v>175.0</v>
      </c>
      <c r="AM30" s="1">
        <v>130.0</v>
      </c>
      <c r="AN30" s="1"/>
      <c r="AO30" s="3">
        <v>160.0</v>
      </c>
      <c r="AP30" s="3">
        <v>70.0</v>
      </c>
      <c r="AQ30" s="3">
        <v>35.0</v>
      </c>
      <c r="AR30" s="1">
        <v>854.0</v>
      </c>
      <c r="AS30" s="1">
        <v>250.0</v>
      </c>
      <c r="AT30" s="1">
        <v>220.0</v>
      </c>
      <c r="AU30" s="1"/>
      <c r="AV30" s="1">
        <v>120.0</v>
      </c>
      <c r="AW30" s="3">
        <v>200.0</v>
      </c>
      <c r="AX30" s="3"/>
      <c r="AY30" s="3">
        <v>530.0</v>
      </c>
      <c r="AZ30" s="1">
        <v>40.0</v>
      </c>
      <c r="BA30" s="1"/>
      <c r="BB30" s="1"/>
      <c r="BC30" s="1">
        <v>150.0</v>
      </c>
      <c r="BD30" s="1">
        <v>190.0</v>
      </c>
      <c r="BE30" s="1">
        <v>80.0</v>
      </c>
      <c r="BF30" s="1"/>
      <c r="BG30" s="1">
        <v>213.0</v>
      </c>
      <c r="BH30" s="1">
        <v>23.0</v>
      </c>
      <c r="BI30" s="1">
        <v>40.0</v>
      </c>
      <c r="BJ30" s="1">
        <v>278.0</v>
      </c>
      <c r="BK30" s="3">
        <v>160.0</v>
      </c>
      <c r="BL30" s="1">
        <v>160.0</v>
      </c>
      <c r="BM30" s="1">
        <v>75.0</v>
      </c>
      <c r="BN30" s="32">
        <v>1802.0</v>
      </c>
      <c r="BO30" s="1">
        <v>47.0</v>
      </c>
      <c r="BP30" s="1"/>
      <c r="BQ30" s="1">
        <v>188.0</v>
      </c>
      <c r="BR30" s="27">
        <v>34640.0</v>
      </c>
    </row>
    <row r="31">
      <c r="A31" s="25">
        <f>'Equity Price Data'!A32</f>
        <v>45468.66667</v>
      </c>
      <c r="B31" s="34">
        <f>(('PRACTICE Equity Price Data'!B32/'PRACTICE Equity Price Data'!B31)-1)+B30</f>
        <v>0.04676713756</v>
      </c>
      <c r="C31" s="34">
        <f>(('PRACTICE Equity Price Data'!C32/'PRACTICE Equity Price Data'!C31)-1)+C30</f>
        <v>0.07890595537</v>
      </c>
      <c r="D31" s="34">
        <f>(('PRACTICE Equity Price Data'!D32/'PRACTICE Equity Price Data'!D31)-1)+D30</f>
        <v>-0.007594056537</v>
      </c>
      <c r="E31" s="34">
        <f>(('PRACTICE Equity Price Data'!E32/'PRACTICE Equity Price Data'!E31)-1)+E30</f>
        <v>-0.01826482041</v>
      </c>
      <c r="F31" s="3">
        <v>13.0</v>
      </c>
      <c r="G31" s="3">
        <v>260.0</v>
      </c>
      <c r="H31" s="3">
        <v>110.0</v>
      </c>
      <c r="I31" s="3">
        <v>256.0</v>
      </c>
      <c r="J31" s="3">
        <v>83.0</v>
      </c>
      <c r="K31" s="3">
        <v>188.0</v>
      </c>
      <c r="L31" s="3">
        <v>1000.0</v>
      </c>
      <c r="M31" s="3">
        <v>102.0</v>
      </c>
      <c r="N31" s="3">
        <v>200.0</v>
      </c>
      <c r="O31" s="3">
        <v>121.0</v>
      </c>
      <c r="P31" s="3"/>
      <c r="Q31" s="3">
        <v>80.0</v>
      </c>
      <c r="R31" s="3">
        <v>150.0</v>
      </c>
      <c r="S31" s="3"/>
      <c r="T31" s="3">
        <v>120.0</v>
      </c>
      <c r="U31" s="3">
        <v>80.0</v>
      </c>
      <c r="V31" s="1">
        <v>88.0</v>
      </c>
      <c r="W31" s="1">
        <v>250.0</v>
      </c>
      <c r="X31" s="1">
        <v>264.0</v>
      </c>
      <c r="Y31" s="1">
        <v>161.0</v>
      </c>
      <c r="Z31" s="1">
        <v>69.0</v>
      </c>
      <c r="AA31" s="3">
        <v>250.0</v>
      </c>
      <c r="AB31" s="1">
        <v>13.0</v>
      </c>
      <c r="AC31" s="1">
        <v>150.0</v>
      </c>
      <c r="AD31" s="1">
        <v>170.0</v>
      </c>
      <c r="AE31" s="3">
        <v>30.0</v>
      </c>
      <c r="AF31" s="1">
        <v>40.0</v>
      </c>
      <c r="AG31" s="1">
        <v>45.0</v>
      </c>
      <c r="AH31" s="3">
        <v>200.0</v>
      </c>
      <c r="AI31" s="1">
        <v>205.0</v>
      </c>
      <c r="AJ31" s="1">
        <v>60.0</v>
      </c>
      <c r="AK31" s="1">
        <v>100.0</v>
      </c>
      <c r="AL31" s="1">
        <v>175.0</v>
      </c>
      <c r="AM31" s="1">
        <v>130.0</v>
      </c>
      <c r="AN31" s="1"/>
      <c r="AO31" s="3">
        <v>160.0</v>
      </c>
      <c r="AP31" s="3">
        <v>70.0</v>
      </c>
      <c r="AQ31" s="3">
        <v>35.0</v>
      </c>
      <c r="AR31" s="1">
        <v>854.0</v>
      </c>
      <c r="AS31" s="1">
        <v>250.0</v>
      </c>
      <c r="AT31" s="1">
        <v>220.0</v>
      </c>
      <c r="AU31" s="1"/>
      <c r="AV31" s="1">
        <v>120.0</v>
      </c>
      <c r="AW31" s="3">
        <v>200.0</v>
      </c>
      <c r="AX31" s="3"/>
      <c r="AY31" s="3">
        <v>530.0</v>
      </c>
      <c r="AZ31" s="1">
        <v>40.0</v>
      </c>
      <c r="BA31" s="1"/>
      <c r="BB31" s="1"/>
      <c r="BC31" s="1">
        <v>150.0</v>
      </c>
      <c r="BD31" s="1">
        <v>190.0</v>
      </c>
      <c r="BE31" s="1">
        <v>80.0</v>
      </c>
      <c r="BF31" s="1"/>
      <c r="BG31" s="1">
        <v>213.0</v>
      </c>
      <c r="BH31" s="1">
        <v>23.0</v>
      </c>
      <c r="BI31" s="1">
        <v>40.0</v>
      </c>
      <c r="BJ31" s="1">
        <v>278.0</v>
      </c>
      <c r="BK31" s="3">
        <v>160.0</v>
      </c>
      <c r="BL31" s="1">
        <v>160.0</v>
      </c>
      <c r="BM31" s="1">
        <v>75.0</v>
      </c>
      <c r="BN31" s="32">
        <v>1802.0</v>
      </c>
      <c r="BO31" s="1">
        <v>47.0</v>
      </c>
      <c r="BP31" s="1"/>
      <c r="BQ31" s="1">
        <v>188.0</v>
      </c>
      <c r="BR31" s="27">
        <v>34640.0</v>
      </c>
    </row>
    <row r="32">
      <c r="A32" s="25">
        <f>'Equity Price Data'!A33</f>
        <v>45469.66667</v>
      </c>
      <c r="B32" s="34">
        <f>(('PRACTICE Equity Price Data'!B33/'PRACTICE Equity Price Data'!B32)-1)+B31</f>
        <v>0.04833955085</v>
      </c>
      <c r="C32" s="34">
        <f>(('PRACTICE Equity Price Data'!C33/'PRACTICE Equity Price Data'!C32)-1)+C31</f>
        <v>0.08384509798</v>
      </c>
      <c r="D32" s="34">
        <f>(('PRACTICE Equity Price Data'!D33/'PRACTICE Equity Price Data'!D32)-1)+D31</f>
        <v>-0.007194180898</v>
      </c>
      <c r="E32" s="34">
        <f>(('PRACTICE Equity Price Data'!E33/'PRACTICE Equity Price Data'!E32)-1)+E31</f>
        <v>-0.02035644649</v>
      </c>
      <c r="F32" s="3">
        <v>13.0</v>
      </c>
      <c r="G32" s="3">
        <v>260.0</v>
      </c>
      <c r="H32" s="3">
        <v>110.0</v>
      </c>
      <c r="I32" s="3">
        <v>256.0</v>
      </c>
      <c r="J32" s="3">
        <v>83.0</v>
      </c>
      <c r="K32" s="3">
        <v>188.0</v>
      </c>
      <c r="L32" s="3">
        <v>1000.0</v>
      </c>
      <c r="M32" s="3">
        <v>102.0</v>
      </c>
      <c r="N32" s="3">
        <v>200.0</v>
      </c>
      <c r="O32" s="3">
        <v>121.0</v>
      </c>
      <c r="P32" s="3"/>
      <c r="Q32" s="3">
        <v>80.0</v>
      </c>
      <c r="R32" s="3">
        <v>150.0</v>
      </c>
      <c r="S32" s="3"/>
      <c r="T32" s="3">
        <v>120.0</v>
      </c>
      <c r="U32" s="3">
        <v>80.0</v>
      </c>
      <c r="V32" s="1">
        <v>88.0</v>
      </c>
      <c r="W32" s="1">
        <v>250.0</v>
      </c>
      <c r="X32" s="1">
        <v>264.0</v>
      </c>
      <c r="Y32" s="1">
        <v>161.0</v>
      </c>
      <c r="Z32" s="1">
        <v>69.0</v>
      </c>
      <c r="AA32" s="3">
        <v>250.0</v>
      </c>
      <c r="AB32" s="1">
        <v>13.0</v>
      </c>
      <c r="AC32" s="1">
        <v>150.0</v>
      </c>
      <c r="AD32" s="1">
        <v>170.0</v>
      </c>
      <c r="AE32" s="3">
        <v>30.0</v>
      </c>
      <c r="AF32" s="1">
        <v>40.0</v>
      </c>
      <c r="AG32" s="1">
        <v>45.0</v>
      </c>
      <c r="AH32" s="3">
        <v>200.0</v>
      </c>
      <c r="AI32" s="1">
        <v>205.0</v>
      </c>
      <c r="AJ32" s="1">
        <v>60.0</v>
      </c>
      <c r="AK32" s="1">
        <v>100.0</v>
      </c>
      <c r="AL32" s="1">
        <v>175.0</v>
      </c>
      <c r="AM32" s="1">
        <v>130.0</v>
      </c>
      <c r="AN32" s="1"/>
      <c r="AO32" s="3">
        <v>160.0</v>
      </c>
      <c r="AP32" s="3">
        <v>70.0</v>
      </c>
      <c r="AQ32" s="3">
        <v>35.0</v>
      </c>
      <c r="AR32" s="1">
        <v>854.0</v>
      </c>
      <c r="AS32" s="1">
        <v>250.0</v>
      </c>
      <c r="AT32" s="1">
        <v>220.0</v>
      </c>
      <c r="AU32" s="1"/>
      <c r="AV32" s="1">
        <v>120.0</v>
      </c>
      <c r="AW32" s="3">
        <v>200.0</v>
      </c>
      <c r="AX32" s="3"/>
      <c r="AY32" s="3">
        <v>530.0</v>
      </c>
      <c r="AZ32" s="1">
        <v>40.0</v>
      </c>
      <c r="BA32" s="1"/>
      <c r="BB32" s="1"/>
      <c r="BC32" s="1">
        <v>150.0</v>
      </c>
      <c r="BD32" s="1">
        <v>190.0</v>
      </c>
      <c r="BE32" s="1">
        <v>80.0</v>
      </c>
      <c r="BF32" s="1"/>
      <c r="BG32" s="1">
        <v>213.0</v>
      </c>
      <c r="BH32" s="1">
        <v>23.0</v>
      </c>
      <c r="BI32" s="1">
        <v>40.0</v>
      </c>
      <c r="BJ32" s="1">
        <v>278.0</v>
      </c>
      <c r="BK32" s="3">
        <v>160.0</v>
      </c>
      <c r="BL32" s="1">
        <v>160.0</v>
      </c>
      <c r="BM32" s="1">
        <v>75.0</v>
      </c>
      <c r="BN32" s="32">
        <v>1802.0</v>
      </c>
      <c r="BO32" s="1">
        <v>47.0</v>
      </c>
      <c r="BP32" s="1"/>
      <c r="BQ32" s="1">
        <v>188.0</v>
      </c>
      <c r="BR32" s="27">
        <v>34640.0</v>
      </c>
    </row>
    <row r="33">
      <c r="A33" s="25">
        <f>'Equity Price Data'!A34</f>
        <v>45470.66667</v>
      </c>
      <c r="B33" s="34">
        <f>(('PRACTICE Equity Price Data'!B34/'PRACTICE Equity Price Data'!B33)-1)+B32</f>
        <v>0.04924683283</v>
      </c>
      <c r="C33" s="34">
        <f>(('PRACTICE Equity Price Data'!C34/'PRACTICE Equity Price Data'!C33)-1)+C32</f>
        <v>0.08685096819</v>
      </c>
      <c r="D33" s="34">
        <f>(('PRACTICE Equity Price Data'!D34/'PRACTICE Equity Price Data'!D33)-1)+D32</f>
        <v>-0.006267474055</v>
      </c>
      <c r="E33" s="34">
        <f>(('PRACTICE Equity Price Data'!E34/'PRACTICE Equity Price Data'!E33)-1)+E32</f>
        <v>-0.01033722068</v>
      </c>
      <c r="F33" s="3">
        <v>13.0</v>
      </c>
      <c r="G33" s="3">
        <v>260.0</v>
      </c>
      <c r="H33" s="3">
        <v>110.0</v>
      </c>
      <c r="I33" s="3">
        <v>256.0</v>
      </c>
      <c r="J33" s="3">
        <v>83.0</v>
      </c>
      <c r="K33" s="3">
        <v>188.0</v>
      </c>
      <c r="L33" s="3">
        <v>1000.0</v>
      </c>
      <c r="M33" s="3">
        <v>102.0</v>
      </c>
      <c r="N33" s="3">
        <v>200.0</v>
      </c>
      <c r="O33" s="3">
        <v>121.0</v>
      </c>
      <c r="P33" s="3"/>
      <c r="Q33" s="3">
        <v>80.0</v>
      </c>
      <c r="R33" s="3">
        <v>150.0</v>
      </c>
      <c r="S33" s="3"/>
      <c r="T33" s="3">
        <v>120.0</v>
      </c>
      <c r="U33" s="3">
        <v>80.0</v>
      </c>
      <c r="V33" s="1">
        <v>88.0</v>
      </c>
      <c r="W33" s="1">
        <v>250.0</v>
      </c>
      <c r="X33" s="1">
        <v>264.0</v>
      </c>
      <c r="Y33" s="1">
        <v>161.0</v>
      </c>
      <c r="Z33" s="1">
        <v>69.0</v>
      </c>
      <c r="AA33" s="3">
        <v>250.0</v>
      </c>
      <c r="AB33" s="1">
        <v>13.0</v>
      </c>
      <c r="AC33" s="1">
        <v>150.0</v>
      </c>
      <c r="AD33" s="1">
        <v>170.0</v>
      </c>
      <c r="AE33" s="3">
        <v>30.0</v>
      </c>
      <c r="AF33" s="1">
        <v>40.0</v>
      </c>
      <c r="AG33" s="1">
        <v>45.0</v>
      </c>
      <c r="AH33" s="3">
        <v>200.0</v>
      </c>
      <c r="AI33" s="1">
        <v>205.0</v>
      </c>
      <c r="AJ33" s="1">
        <v>60.0</v>
      </c>
      <c r="AK33" s="1">
        <v>100.0</v>
      </c>
      <c r="AL33" s="1">
        <v>175.0</v>
      </c>
      <c r="AM33" s="1">
        <v>130.0</v>
      </c>
      <c r="AN33" s="1"/>
      <c r="AO33" s="3">
        <v>160.0</v>
      </c>
      <c r="AP33" s="3">
        <v>70.0</v>
      </c>
      <c r="AQ33" s="3">
        <v>35.0</v>
      </c>
      <c r="AR33" s="1">
        <v>854.0</v>
      </c>
      <c r="AS33" s="1">
        <v>250.0</v>
      </c>
      <c r="AT33" s="1">
        <v>220.0</v>
      </c>
      <c r="AU33" s="1"/>
      <c r="AV33" s="1">
        <v>120.0</v>
      </c>
      <c r="AW33" s="3">
        <v>200.0</v>
      </c>
      <c r="AX33" s="3"/>
      <c r="AY33" s="3">
        <v>530.0</v>
      </c>
      <c r="AZ33" s="1">
        <v>40.0</v>
      </c>
      <c r="BA33" s="1"/>
      <c r="BB33" s="1"/>
      <c r="BC33" s="1">
        <v>150.0</v>
      </c>
      <c r="BD33" s="1">
        <v>190.0</v>
      </c>
      <c r="BE33" s="1">
        <v>80.0</v>
      </c>
      <c r="BF33" s="1"/>
      <c r="BG33" s="1">
        <v>213.0</v>
      </c>
      <c r="BH33" s="1">
        <v>23.0</v>
      </c>
      <c r="BI33" s="1">
        <v>40.0</v>
      </c>
      <c r="BJ33" s="1">
        <v>278.0</v>
      </c>
      <c r="BK33" s="3">
        <v>160.0</v>
      </c>
      <c r="BL33" s="1">
        <v>160.0</v>
      </c>
      <c r="BM33" s="1">
        <v>75.0</v>
      </c>
      <c r="BN33" s="32">
        <v>1802.0</v>
      </c>
      <c r="BO33" s="1">
        <v>47.0</v>
      </c>
      <c r="BP33" s="1"/>
      <c r="BQ33" s="1">
        <v>188.0</v>
      </c>
      <c r="BR33" s="27">
        <v>34640.0</v>
      </c>
    </row>
    <row r="34">
      <c r="A34" s="25">
        <f>'Equity Price Data'!A35</f>
        <v>45471.66667</v>
      </c>
      <c r="B34" s="34">
        <f>(('PRACTICE Equity Price Data'!B35/'PRACTICE Equity Price Data'!B34)-1)+B33</f>
        <v>0.0451632051</v>
      </c>
      <c r="C34" s="34">
        <f>(('PRACTICE Equity Price Data'!C35/'PRACTICE Equity Price Data'!C34)-1)+C33</f>
        <v>0.0797910959</v>
      </c>
      <c r="D34" s="34">
        <f>(('PRACTICE Equity Price Data'!D35/'PRACTICE Equity Price Data'!D34)-1)+D33</f>
        <v>-0.007421593419</v>
      </c>
      <c r="E34" s="34">
        <f>(('PRACTICE Equity Price Data'!E35/'PRACTICE Equity Price Data'!E34)-1)+E33</f>
        <v>-0.00575015473</v>
      </c>
      <c r="F34" s="3">
        <v>13.0</v>
      </c>
      <c r="G34" s="3">
        <v>260.0</v>
      </c>
      <c r="H34" s="3">
        <v>110.0</v>
      </c>
      <c r="I34" s="3">
        <v>256.0</v>
      </c>
      <c r="J34" s="3">
        <v>83.0</v>
      </c>
      <c r="K34" s="3">
        <v>188.0</v>
      </c>
      <c r="L34" s="3">
        <v>1000.0</v>
      </c>
      <c r="M34" s="3">
        <v>102.0</v>
      </c>
      <c r="N34" s="3">
        <v>200.0</v>
      </c>
      <c r="O34" s="3">
        <v>121.0</v>
      </c>
      <c r="P34" s="3"/>
      <c r="Q34" s="3">
        <v>80.0</v>
      </c>
      <c r="R34" s="3">
        <v>150.0</v>
      </c>
      <c r="S34" s="3"/>
      <c r="T34" s="3">
        <v>120.0</v>
      </c>
      <c r="U34" s="3">
        <v>80.0</v>
      </c>
      <c r="V34" s="1">
        <v>88.0</v>
      </c>
      <c r="W34" s="1">
        <v>250.0</v>
      </c>
      <c r="X34" s="1">
        <v>264.0</v>
      </c>
      <c r="Y34" s="1">
        <v>161.0</v>
      </c>
      <c r="Z34" s="1">
        <v>69.0</v>
      </c>
      <c r="AA34" s="3">
        <v>250.0</v>
      </c>
      <c r="AB34" s="1">
        <v>13.0</v>
      </c>
      <c r="AC34" s="1">
        <v>150.0</v>
      </c>
      <c r="AD34" s="1">
        <v>170.0</v>
      </c>
      <c r="AE34" s="3">
        <v>30.0</v>
      </c>
      <c r="AF34" s="1">
        <v>40.0</v>
      </c>
      <c r="AG34" s="1">
        <v>45.0</v>
      </c>
      <c r="AH34" s="3">
        <v>200.0</v>
      </c>
      <c r="AI34" s="1">
        <v>205.0</v>
      </c>
      <c r="AJ34" s="1">
        <v>60.0</v>
      </c>
      <c r="AK34" s="1">
        <v>100.0</v>
      </c>
      <c r="AL34" s="1">
        <v>175.0</v>
      </c>
      <c r="AM34" s="1">
        <v>130.0</v>
      </c>
      <c r="AN34" s="1"/>
      <c r="AO34" s="3">
        <v>160.0</v>
      </c>
      <c r="AP34" s="3">
        <v>70.0</v>
      </c>
      <c r="AQ34" s="3">
        <v>35.0</v>
      </c>
      <c r="AR34" s="1">
        <v>854.0</v>
      </c>
      <c r="AS34" s="1">
        <v>250.0</v>
      </c>
      <c r="AT34" s="1">
        <v>220.0</v>
      </c>
      <c r="AU34" s="1"/>
      <c r="AV34" s="1">
        <v>120.0</v>
      </c>
      <c r="AW34" s="3">
        <v>200.0</v>
      </c>
      <c r="AX34" s="3"/>
      <c r="AY34" s="3">
        <v>530.0</v>
      </c>
      <c r="AZ34" s="1">
        <v>40.0</v>
      </c>
      <c r="BA34" s="1"/>
      <c r="BB34" s="1"/>
      <c r="BC34" s="1">
        <v>150.0</v>
      </c>
      <c r="BD34" s="1">
        <v>190.0</v>
      </c>
      <c r="BE34" s="1">
        <v>80.0</v>
      </c>
      <c r="BF34" s="1"/>
      <c r="BG34" s="1">
        <v>213.0</v>
      </c>
      <c r="BH34" s="1">
        <v>23.0</v>
      </c>
      <c r="BI34" s="1">
        <v>40.0</v>
      </c>
      <c r="BJ34" s="1">
        <v>278.0</v>
      </c>
      <c r="BK34" s="3">
        <v>160.0</v>
      </c>
      <c r="BL34" s="1">
        <v>160.0</v>
      </c>
      <c r="BM34" s="1">
        <v>75.0</v>
      </c>
      <c r="BN34" s="32">
        <v>1802.0</v>
      </c>
      <c r="BO34" s="1">
        <v>47.0</v>
      </c>
      <c r="BP34" s="1"/>
      <c r="BQ34" s="1">
        <v>188.0</v>
      </c>
      <c r="BR34" s="27">
        <v>34640.0</v>
      </c>
    </row>
    <row r="35">
      <c r="A35" s="25">
        <f>'Equity Price Data'!A36</f>
        <v>45474.66667</v>
      </c>
      <c r="B35" s="34">
        <f>(('PRACTICE Equity Price Data'!B36/'PRACTICE Equity Price Data'!B35)-1)+B34</f>
        <v>0.04783879406</v>
      </c>
      <c r="C35" s="34">
        <f>(('PRACTICE Equity Price Data'!C36/'PRACTICE Equity Price Data'!C35)-1)+C34</f>
        <v>0.0880639944</v>
      </c>
      <c r="D35" s="34">
        <f>(('PRACTICE Equity Price Data'!D36/'PRACTICE Equity Price Data'!D35)-1)+D34</f>
        <v>-0.006126565905</v>
      </c>
      <c r="E35" s="34">
        <f>(('PRACTICE Equity Price Data'!E36/'PRACTICE Equity Price Data'!E35)-1)+E34</f>
        <v>-0.01435497284</v>
      </c>
      <c r="F35" s="3">
        <v>13.0</v>
      </c>
      <c r="G35" s="3">
        <v>260.0</v>
      </c>
      <c r="H35" s="3">
        <v>110.0</v>
      </c>
      <c r="I35" s="3">
        <v>256.0</v>
      </c>
      <c r="J35" s="3">
        <v>83.0</v>
      </c>
      <c r="K35" s="3">
        <v>188.0</v>
      </c>
      <c r="L35" s="3">
        <v>1000.0</v>
      </c>
      <c r="M35" s="3">
        <v>102.0</v>
      </c>
      <c r="N35" s="3">
        <v>200.0</v>
      </c>
      <c r="O35" s="3">
        <v>121.0</v>
      </c>
      <c r="P35" s="3"/>
      <c r="Q35" s="3">
        <v>80.0</v>
      </c>
      <c r="R35" s="3">
        <v>150.0</v>
      </c>
      <c r="S35" s="3"/>
      <c r="T35" s="3">
        <v>120.0</v>
      </c>
      <c r="U35" s="3">
        <v>80.0</v>
      </c>
      <c r="V35" s="1">
        <v>88.0</v>
      </c>
      <c r="W35" s="1">
        <v>250.0</v>
      </c>
      <c r="X35" s="1">
        <v>264.0</v>
      </c>
      <c r="Y35" s="1">
        <v>161.0</v>
      </c>
      <c r="Z35" s="1">
        <v>69.0</v>
      </c>
      <c r="AA35" s="3">
        <v>250.0</v>
      </c>
      <c r="AB35" s="1">
        <v>13.0</v>
      </c>
      <c r="AC35" s="1">
        <v>150.0</v>
      </c>
      <c r="AD35" s="1">
        <v>170.0</v>
      </c>
      <c r="AE35" s="3">
        <v>30.0</v>
      </c>
      <c r="AF35" s="1">
        <v>40.0</v>
      </c>
      <c r="AG35" s="1">
        <v>45.0</v>
      </c>
      <c r="AH35" s="3">
        <v>200.0</v>
      </c>
      <c r="AI35" s="1">
        <v>205.0</v>
      </c>
      <c r="AJ35" s="1">
        <v>60.0</v>
      </c>
      <c r="AK35" s="1">
        <v>100.0</v>
      </c>
      <c r="AL35" s="1">
        <v>175.0</v>
      </c>
      <c r="AM35" s="1">
        <v>130.0</v>
      </c>
      <c r="AN35" s="1"/>
      <c r="AO35" s="3">
        <v>160.0</v>
      </c>
      <c r="AP35" s="3">
        <v>70.0</v>
      </c>
      <c r="AQ35" s="3">
        <v>35.0</v>
      </c>
      <c r="AR35" s="1">
        <v>854.0</v>
      </c>
      <c r="AS35" s="1">
        <v>250.0</v>
      </c>
      <c r="AT35" s="1">
        <v>220.0</v>
      </c>
      <c r="AU35" s="1"/>
      <c r="AV35" s="1">
        <v>120.0</v>
      </c>
      <c r="AW35" s="3">
        <v>200.0</v>
      </c>
      <c r="AX35" s="3"/>
      <c r="AY35" s="3">
        <v>530.0</v>
      </c>
      <c r="AZ35" s="1">
        <v>40.0</v>
      </c>
      <c r="BA35" s="1"/>
      <c r="BB35" s="1"/>
      <c r="BC35" s="1">
        <v>150.0</v>
      </c>
      <c r="BD35" s="1">
        <v>190.0</v>
      </c>
      <c r="BE35" s="1">
        <v>80.0</v>
      </c>
      <c r="BF35" s="1"/>
      <c r="BG35" s="1">
        <v>213.0</v>
      </c>
      <c r="BH35" s="1">
        <v>23.0</v>
      </c>
      <c r="BI35" s="1">
        <v>40.0</v>
      </c>
      <c r="BJ35" s="1">
        <v>278.0</v>
      </c>
      <c r="BK35" s="3">
        <v>160.0</v>
      </c>
      <c r="BL35" s="1">
        <v>160.0</v>
      </c>
      <c r="BM35" s="1">
        <v>75.0</v>
      </c>
      <c r="BN35" s="32">
        <v>1802.0</v>
      </c>
      <c r="BO35" s="1">
        <v>47.0</v>
      </c>
      <c r="BP35" s="1"/>
      <c r="BQ35" s="1">
        <v>188.0</v>
      </c>
      <c r="BR35" s="27">
        <v>34640.0</v>
      </c>
    </row>
    <row r="36">
      <c r="A36" s="25">
        <f>'Equity Price Data'!A37</f>
        <v>45475.66667</v>
      </c>
      <c r="B36" s="34">
        <f>(('PRACTICE Equity Price Data'!B37/'PRACTICE Equity Price Data'!B36)-1)+B35</f>
        <v>0.05403412601</v>
      </c>
      <c r="C36" s="34">
        <f>(('PRACTICE Equity Price Data'!C37/'PRACTICE Equity Price Data'!C36)-1)+C35</f>
        <v>0.09642338207</v>
      </c>
      <c r="D36" s="34">
        <f>(('PRACTICE Equity Price Data'!D37/'PRACTICE Equity Price Data'!D36)-1)+D35</f>
        <v>-0.001982272077</v>
      </c>
      <c r="E36" s="34">
        <f>(('PRACTICE Equity Price Data'!E37/'PRACTICE Equity Price Data'!E36)-1)+E35</f>
        <v>-0.01248311621</v>
      </c>
      <c r="F36" s="3">
        <v>13.0</v>
      </c>
      <c r="G36" s="3">
        <v>260.0</v>
      </c>
      <c r="H36" s="3">
        <v>110.0</v>
      </c>
      <c r="I36" s="3">
        <v>256.0</v>
      </c>
      <c r="J36" s="3">
        <v>83.0</v>
      </c>
      <c r="K36" s="3">
        <v>188.0</v>
      </c>
      <c r="L36" s="3">
        <v>1000.0</v>
      </c>
      <c r="M36" s="3">
        <v>102.0</v>
      </c>
      <c r="N36" s="3">
        <v>200.0</v>
      </c>
      <c r="O36" s="3">
        <v>121.0</v>
      </c>
      <c r="P36" s="3"/>
      <c r="Q36" s="3">
        <v>80.0</v>
      </c>
      <c r="R36" s="3">
        <v>150.0</v>
      </c>
      <c r="S36" s="3"/>
      <c r="T36" s="3">
        <v>120.0</v>
      </c>
      <c r="U36" s="3">
        <v>80.0</v>
      </c>
      <c r="V36" s="1">
        <v>88.0</v>
      </c>
      <c r="W36" s="1">
        <v>250.0</v>
      </c>
      <c r="X36" s="1">
        <v>264.0</v>
      </c>
      <c r="Y36" s="1">
        <v>161.0</v>
      </c>
      <c r="Z36" s="1">
        <v>69.0</v>
      </c>
      <c r="AA36" s="3">
        <v>250.0</v>
      </c>
      <c r="AB36" s="1">
        <v>13.0</v>
      </c>
      <c r="AC36" s="1">
        <v>150.0</v>
      </c>
      <c r="AD36" s="1">
        <v>170.0</v>
      </c>
      <c r="AE36" s="3">
        <v>30.0</v>
      </c>
      <c r="AF36" s="1">
        <v>40.0</v>
      </c>
      <c r="AG36" s="1">
        <v>45.0</v>
      </c>
      <c r="AH36" s="3">
        <v>200.0</v>
      </c>
      <c r="AI36" s="1">
        <v>205.0</v>
      </c>
      <c r="AJ36" s="1">
        <v>60.0</v>
      </c>
      <c r="AK36" s="1">
        <v>100.0</v>
      </c>
      <c r="AL36" s="1">
        <v>175.0</v>
      </c>
      <c r="AM36" s="1">
        <v>130.0</v>
      </c>
      <c r="AN36" s="1"/>
      <c r="AO36" s="3">
        <v>160.0</v>
      </c>
      <c r="AP36" s="3">
        <v>70.0</v>
      </c>
      <c r="AQ36" s="3">
        <v>35.0</v>
      </c>
      <c r="AR36" s="1">
        <v>854.0</v>
      </c>
      <c r="AS36" s="1">
        <v>250.0</v>
      </c>
      <c r="AT36" s="1">
        <v>220.0</v>
      </c>
      <c r="AU36" s="1"/>
      <c r="AV36" s="1">
        <v>120.0</v>
      </c>
      <c r="AW36" s="3">
        <v>200.0</v>
      </c>
      <c r="AX36" s="3"/>
      <c r="AY36" s="3">
        <v>530.0</v>
      </c>
      <c r="AZ36" s="1">
        <v>40.0</v>
      </c>
      <c r="BA36" s="1"/>
      <c r="BB36" s="1"/>
      <c r="BC36" s="1">
        <v>150.0</v>
      </c>
      <c r="BD36" s="1">
        <v>190.0</v>
      </c>
      <c r="BE36" s="1">
        <v>80.0</v>
      </c>
      <c r="BF36" s="1"/>
      <c r="BG36" s="1">
        <v>213.0</v>
      </c>
      <c r="BH36" s="1">
        <v>23.0</v>
      </c>
      <c r="BI36" s="1">
        <v>40.0</v>
      </c>
      <c r="BJ36" s="1">
        <v>278.0</v>
      </c>
      <c r="BK36" s="3">
        <v>160.0</v>
      </c>
      <c r="BL36" s="1">
        <v>160.0</v>
      </c>
      <c r="BM36" s="1">
        <v>75.0</v>
      </c>
      <c r="BN36" s="32">
        <v>1802.0</v>
      </c>
      <c r="BO36" s="1">
        <v>47.0</v>
      </c>
      <c r="BP36" s="1"/>
      <c r="BQ36" s="1">
        <v>188.0</v>
      </c>
      <c r="BR36" s="27">
        <v>34640.0</v>
      </c>
    </row>
    <row r="37">
      <c r="A37" s="25">
        <f>'Equity Price Data'!A38</f>
        <v>45476.54514</v>
      </c>
      <c r="B37" s="34">
        <f>(('PRACTICE Equity Price Data'!B38/'PRACTICE Equity Price Data'!B37)-1)+B36</f>
        <v>0.05911852411</v>
      </c>
      <c r="C37" s="34">
        <f>(('PRACTICE Equity Price Data'!C38/'PRACTICE Equity Price Data'!C37)-1)+C36</f>
        <v>0.1052725764</v>
      </c>
      <c r="D37" s="34">
        <f>(('PRACTICE Equity Price Data'!D38/'PRACTICE Equity Price Data'!D37)-1)+D36</f>
        <v>-0.002588650876</v>
      </c>
      <c r="E37" s="34">
        <f>(('PRACTICE Equity Price Data'!E38/'PRACTICE Equity Price Data'!E37)-1)+E36</f>
        <v>-0.01113101406</v>
      </c>
      <c r="F37" s="3">
        <v>13.0</v>
      </c>
      <c r="G37" s="3">
        <v>260.0</v>
      </c>
      <c r="H37" s="3">
        <v>110.0</v>
      </c>
      <c r="I37" s="3">
        <v>256.0</v>
      </c>
      <c r="J37" s="3">
        <v>83.0</v>
      </c>
      <c r="K37" s="3">
        <v>188.0</v>
      </c>
      <c r="L37" s="3">
        <v>1000.0</v>
      </c>
      <c r="M37" s="3">
        <v>102.0</v>
      </c>
      <c r="N37" s="3">
        <v>200.0</v>
      </c>
      <c r="O37" s="3">
        <v>121.0</v>
      </c>
      <c r="P37" s="3"/>
      <c r="Q37" s="3">
        <v>80.0</v>
      </c>
      <c r="R37" s="3">
        <v>150.0</v>
      </c>
      <c r="S37" s="3"/>
      <c r="T37" s="3">
        <v>120.0</v>
      </c>
      <c r="U37" s="3">
        <v>80.0</v>
      </c>
      <c r="V37" s="1">
        <v>88.0</v>
      </c>
      <c r="W37" s="1">
        <v>250.0</v>
      </c>
      <c r="X37" s="1">
        <v>264.0</v>
      </c>
      <c r="Y37" s="1">
        <v>161.0</v>
      </c>
      <c r="Z37" s="1">
        <v>69.0</v>
      </c>
      <c r="AA37" s="3">
        <v>250.0</v>
      </c>
      <c r="AB37" s="1">
        <v>13.0</v>
      </c>
      <c r="AC37" s="1">
        <v>150.0</v>
      </c>
      <c r="AD37" s="1">
        <v>170.0</v>
      </c>
      <c r="AE37" s="3">
        <v>30.0</v>
      </c>
      <c r="AF37" s="1">
        <v>40.0</v>
      </c>
      <c r="AG37" s="1">
        <v>45.0</v>
      </c>
      <c r="AH37" s="3">
        <v>200.0</v>
      </c>
      <c r="AI37" s="1">
        <v>205.0</v>
      </c>
      <c r="AJ37" s="1">
        <v>60.0</v>
      </c>
      <c r="AK37" s="1">
        <v>100.0</v>
      </c>
      <c r="AL37" s="1">
        <v>175.0</v>
      </c>
      <c r="AM37" s="1">
        <v>130.0</v>
      </c>
      <c r="AN37" s="1"/>
      <c r="AO37" s="3">
        <v>160.0</v>
      </c>
      <c r="AP37" s="3">
        <v>70.0</v>
      </c>
      <c r="AQ37" s="3">
        <v>35.0</v>
      </c>
      <c r="AR37" s="1">
        <v>854.0</v>
      </c>
      <c r="AS37" s="1">
        <v>250.0</v>
      </c>
      <c r="AT37" s="1">
        <v>220.0</v>
      </c>
      <c r="AU37" s="1"/>
      <c r="AV37" s="1">
        <v>120.0</v>
      </c>
      <c r="AW37" s="3">
        <v>200.0</v>
      </c>
      <c r="AX37" s="3"/>
      <c r="AY37" s="3">
        <v>530.0</v>
      </c>
      <c r="AZ37" s="1">
        <v>40.0</v>
      </c>
      <c r="BA37" s="1"/>
      <c r="BB37" s="1"/>
      <c r="BC37" s="1">
        <v>150.0</v>
      </c>
      <c r="BD37" s="1">
        <v>190.0</v>
      </c>
      <c r="BE37" s="1">
        <v>80.0</v>
      </c>
      <c r="BF37" s="1"/>
      <c r="BG37" s="1">
        <v>213.0</v>
      </c>
      <c r="BH37" s="1">
        <v>23.0</v>
      </c>
      <c r="BI37" s="1">
        <v>40.0</v>
      </c>
      <c r="BJ37" s="1">
        <v>278.0</v>
      </c>
      <c r="BK37" s="3">
        <v>160.0</v>
      </c>
      <c r="BL37" s="1">
        <v>160.0</v>
      </c>
      <c r="BM37" s="1">
        <v>75.0</v>
      </c>
      <c r="BN37" s="32">
        <v>1802.0</v>
      </c>
      <c r="BO37" s="1">
        <v>47.0</v>
      </c>
      <c r="BP37" s="1"/>
      <c r="BQ37" s="1">
        <v>188.0</v>
      </c>
      <c r="BR37" s="27">
        <v>34640.0</v>
      </c>
    </row>
    <row r="38">
      <c r="A38" s="25">
        <f>'Equity Price Data'!A39</f>
        <v>45478.66667</v>
      </c>
      <c r="B38" s="34">
        <f>(('PRACTICE Equity Price Data'!B39/'PRACTICE Equity Price Data'!B38)-1)+B37</f>
        <v>0.06456730342</v>
      </c>
      <c r="C38" s="34">
        <f>(('PRACTICE Equity Price Data'!C39/'PRACTICE Equity Price Data'!C38)-1)+C37</f>
        <v>0.1143146529</v>
      </c>
      <c r="D38" s="34">
        <f>(('PRACTICE Equity Price Data'!D39/'PRACTICE Equity Price Data'!D38)-1)+D37</f>
        <v>-0.0008620303411</v>
      </c>
      <c r="E38" s="34">
        <f>(('PRACTICE Equity Price Data'!E39/'PRACTICE Equity Price Data'!E38)-1)+E37</f>
        <v>-0.01598709914</v>
      </c>
      <c r="F38" s="3">
        <v>13.0</v>
      </c>
      <c r="G38" s="3">
        <v>260.0</v>
      </c>
      <c r="H38" s="3">
        <v>110.0</v>
      </c>
      <c r="I38" s="3">
        <v>256.0</v>
      </c>
      <c r="J38" s="3">
        <v>83.0</v>
      </c>
      <c r="K38" s="3">
        <v>188.0</v>
      </c>
      <c r="L38" s="3">
        <v>1000.0</v>
      </c>
      <c r="M38" s="3">
        <v>102.0</v>
      </c>
      <c r="N38" s="3">
        <v>200.0</v>
      </c>
      <c r="O38" s="3">
        <v>121.0</v>
      </c>
      <c r="P38" s="3"/>
      <c r="Q38" s="3">
        <v>80.0</v>
      </c>
      <c r="R38" s="3">
        <v>150.0</v>
      </c>
      <c r="S38" s="3"/>
      <c r="T38" s="3">
        <v>120.0</v>
      </c>
      <c r="U38" s="3">
        <v>80.0</v>
      </c>
      <c r="V38" s="1">
        <v>88.0</v>
      </c>
      <c r="W38" s="1">
        <v>250.0</v>
      </c>
      <c r="X38" s="1">
        <v>264.0</v>
      </c>
      <c r="Y38" s="1">
        <v>161.0</v>
      </c>
      <c r="Z38" s="1">
        <v>69.0</v>
      </c>
      <c r="AA38" s="3">
        <v>250.0</v>
      </c>
      <c r="AB38" s="1">
        <v>13.0</v>
      </c>
      <c r="AC38" s="1">
        <v>150.0</v>
      </c>
      <c r="AD38" s="1">
        <v>170.0</v>
      </c>
      <c r="AE38" s="3">
        <v>30.0</v>
      </c>
      <c r="AF38" s="1">
        <v>40.0</v>
      </c>
      <c r="AG38" s="1">
        <v>45.0</v>
      </c>
      <c r="AH38" s="3">
        <v>200.0</v>
      </c>
      <c r="AI38" s="1">
        <v>205.0</v>
      </c>
      <c r="AJ38" s="1">
        <v>60.0</v>
      </c>
      <c r="AK38" s="1">
        <v>100.0</v>
      </c>
      <c r="AL38" s="1">
        <v>175.0</v>
      </c>
      <c r="AM38" s="1">
        <v>130.0</v>
      </c>
      <c r="AN38" s="1"/>
      <c r="AO38" s="3">
        <v>160.0</v>
      </c>
      <c r="AP38" s="3">
        <v>70.0</v>
      </c>
      <c r="AQ38" s="3">
        <v>35.0</v>
      </c>
      <c r="AR38" s="1">
        <v>854.0</v>
      </c>
      <c r="AS38" s="1">
        <v>250.0</v>
      </c>
      <c r="AT38" s="1">
        <v>220.0</v>
      </c>
      <c r="AU38" s="1"/>
      <c r="AV38" s="1">
        <v>120.0</v>
      </c>
      <c r="AW38" s="3">
        <v>200.0</v>
      </c>
      <c r="AX38" s="3"/>
      <c r="AY38" s="3">
        <v>530.0</v>
      </c>
      <c r="AZ38" s="1">
        <v>40.0</v>
      </c>
      <c r="BA38" s="1"/>
      <c r="BB38" s="1"/>
      <c r="BC38" s="1">
        <v>150.0</v>
      </c>
      <c r="BD38" s="1">
        <v>190.0</v>
      </c>
      <c r="BE38" s="1">
        <v>80.0</v>
      </c>
      <c r="BF38" s="1"/>
      <c r="BG38" s="1">
        <v>213.0</v>
      </c>
      <c r="BH38" s="1">
        <v>23.0</v>
      </c>
      <c r="BI38" s="1">
        <v>40.0</v>
      </c>
      <c r="BJ38" s="1">
        <v>278.0</v>
      </c>
      <c r="BK38" s="3">
        <v>160.0</v>
      </c>
      <c r="BL38" s="1">
        <v>160.0</v>
      </c>
      <c r="BM38" s="1">
        <v>75.0</v>
      </c>
      <c r="BN38" s="32">
        <v>1802.0</v>
      </c>
      <c r="BO38" s="1">
        <v>47.0</v>
      </c>
      <c r="BP38" s="1"/>
      <c r="BQ38" s="1">
        <v>188.0</v>
      </c>
      <c r="BR38" s="27">
        <v>34640.0</v>
      </c>
    </row>
    <row r="39">
      <c r="A39" s="25">
        <f>'Equity Price Data'!A40</f>
        <v>45481.66667</v>
      </c>
      <c r="B39" s="34">
        <f>(('PRACTICE Equity Price Data'!B40/'PRACTICE Equity Price Data'!B39)-1)+B38</f>
        <v>0.06558397431</v>
      </c>
      <c r="C39" s="34">
        <f>(('PRACTICE Equity Price Data'!C40/'PRACTICE Equity Price Data'!C39)-1)+C38</f>
        <v>0.1170924367</v>
      </c>
      <c r="D39" s="34">
        <f>(('PRACTICE Equity Price Data'!D40/'PRACTICE Equity Price Data'!D39)-1)+D38</f>
        <v>-0.001651346234</v>
      </c>
      <c r="E39" s="34">
        <f>(('PRACTICE Equity Price Data'!E40/'PRACTICE Equity Price Data'!E39)-1)+E38</f>
        <v>-0.01009583587</v>
      </c>
      <c r="F39" s="3">
        <v>13.0</v>
      </c>
      <c r="G39" s="3">
        <v>260.0</v>
      </c>
      <c r="H39" s="3">
        <v>110.0</v>
      </c>
      <c r="I39" s="3">
        <v>256.0</v>
      </c>
      <c r="J39" s="3">
        <v>83.0</v>
      </c>
      <c r="K39" s="3">
        <v>188.0</v>
      </c>
      <c r="L39" s="3">
        <v>1000.0</v>
      </c>
      <c r="M39" s="3">
        <v>102.0</v>
      </c>
      <c r="N39" s="3">
        <v>200.0</v>
      </c>
      <c r="O39" s="3">
        <v>121.0</v>
      </c>
      <c r="P39" s="3"/>
      <c r="Q39" s="3">
        <v>80.0</v>
      </c>
      <c r="R39" s="3">
        <v>150.0</v>
      </c>
      <c r="S39" s="3"/>
      <c r="T39" s="3">
        <v>120.0</v>
      </c>
      <c r="U39" s="3">
        <v>80.0</v>
      </c>
      <c r="V39" s="1">
        <v>88.0</v>
      </c>
      <c r="W39" s="1">
        <v>250.0</v>
      </c>
      <c r="X39" s="1">
        <v>264.0</v>
      </c>
      <c r="Y39" s="1">
        <v>161.0</v>
      </c>
      <c r="Z39" s="1">
        <v>69.0</v>
      </c>
      <c r="AA39" s="3">
        <v>250.0</v>
      </c>
      <c r="AB39" s="1">
        <v>13.0</v>
      </c>
      <c r="AC39" s="1">
        <v>150.0</v>
      </c>
      <c r="AD39" s="1">
        <v>170.0</v>
      </c>
      <c r="AE39" s="3">
        <v>30.0</v>
      </c>
      <c r="AF39" s="1">
        <v>40.0</v>
      </c>
      <c r="AG39" s="1">
        <v>45.0</v>
      </c>
      <c r="AH39" s="3">
        <v>200.0</v>
      </c>
      <c r="AI39" s="1">
        <v>205.0</v>
      </c>
      <c r="AJ39" s="1">
        <v>60.0</v>
      </c>
      <c r="AK39" s="1">
        <v>100.0</v>
      </c>
      <c r="AL39" s="1">
        <v>175.0</v>
      </c>
      <c r="AM39" s="1">
        <v>130.0</v>
      </c>
      <c r="AN39" s="1"/>
      <c r="AO39" s="3">
        <v>160.0</v>
      </c>
      <c r="AP39" s="3">
        <v>70.0</v>
      </c>
      <c r="AQ39" s="3">
        <v>35.0</v>
      </c>
      <c r="AR39" s="1">
        <v>854.0</v>
      </c>
      <c r="AS39" s="1">
        <v>250.0</v>
      </c>
      <c r="AT39" s="1">
        <v>220.0</v>
      </c>
      <c r="AU39" s="1"/>
      <c r="AV39" s="1">
        <v>120.0</v>
      </c>
      <c r="AW39" s="3">
        <v>200.0</v>
      </c>
      <c r="AX39" s="3"/>
      <c r="AY39" s="3">
        <v>530.0</v>
      </c>
      <c r="AZ39" s="1">
        <v>40.0</v>
      </c>
      <c r="BA39" s="1"/>
      <c r="BB39" s="1"/>
      <c r="BC39" s="1">
        <v>150.0</v>
      </c>
      <c r="BD39" s="1">
        <v>190.0</v>
      </c>
      <c r="BE39" s="1">
        <v>80.0</v>
      </c>
      <c r="BF39" s="1"/>
      <c r="BG39" s="1">
        <v>213.0</v>
      </c>
      <c r="BH39" s="1">
        <v>23.0</v>
      </c>
      <c r="BI39" s="1">
        <v>40.0</v>
      </c>
      <c r="BJ39" s="1">
        <v>278.0</v>
      </c>
      <c r="BK39" s="3">
        <v>160.0</v>
      </c>
      <c r="BL39" s="1">
        <v>160.0</v>
      </c>
      <c r="BM39" s="1">
        <v>75.0</v>
      </c>
      <c r="BN39" s="32">
        <v>1802.0</v>
      </c>
      <c r="BO39" s="1">
        <v>47.0</v>
      </c>
      <c r="BP39" s="1"/>
      <c r="BQ39" s="1">
        <v>188.0</v>
      </c>
      <c r="BR39" s="27">
        <v>34640.0</v>
      </c>
    </row>
    <row r="40">
      <c r="A40" s="25">
        <f>'Equity Price Data'!A41</f>
        <v>45482.66667</v>
      </c>
      <c r="B40" s="34">
        <f>(('PRACTICE Equity Price Data'!B41/'PRACTICE Equity Price Data'!B40)-1)+B39</f>
        <v>0.06632506728</v>
      </c>
      <c r="C40" s="34">
        <f>(('PRACTICE Equity Price Data'!C41/'PRACTICE Equity Price Data'!C40)-1)+C39</f>
        <v>0.1184807415</v>
      </c>
      <c r="D40" s="34">
        <f>(('PRACTICE Equity Price Data'!D41/'PRACTICE Equity Price Data'!D40)-1)+D39</f>
        <v>-0.002993836562</v>
      </c>
      <c r="E40" s="34">
        <f>(('PRACTICE Equity Price Data'!E41/'PRACTICE Equity Price Data'!E40)-1)+E39</f>
        <v>-0.01460858193</v>
      </c>
      <c r="F40" s="3">
        <v>13.0</v>
      </c>
      <c r="G40" s="3">
        <v>260.0</v>
      </c>
      <c r="H40" s="3">
        <v>110.0</v>
      </c>
      <c r="I40" s="3">
        <v>256.0</v>
      </c>
      <c r="J40" s="3">
        <v>83.0</v>
      </c>
      <c r="K40" s="3">
        <v>188.0</v>
      </c>
      <c r="L40" s="3">
        <v>1000.0</v>
      </c>
      <c r="M40" s="3">
        <v>102.0</v>
      </c>
      <c r="N40" s="3">
        <v>200.0</v>
      </c>
      <c r="O40" s="3">
        <v>121.0</v>
      </c>
      <c r="P40" s="3"/>
      <c r="Q40" s="3">
        <v>80.0</v>
      </c>
      <c r="R40" s="3">
        <v>150.0</v>
      </c>
      <c r="S40" s="3"/>
      <c r="T40" s="3">
        <v>120.0</v>
      </c>
      <c r="U40" s="3">
        <v>80.0</v>
      </c>
      <c r="V40" s="1">
        <v>88.0</v>
      </c>
      <c r="W40" s="1">
        <v>250.0</v>
      </c>
      <c r="X40" s="1">
        <v>264.0</v>
      </c>
      <c r="Y40" s="1">
        <v>161.0</v>
      </c>
      <c r="Z40" s="1">
        <v>69.0</v>
      </c>
      <c r="AA40" s="3">
        <v>250.0</v>
      </c>
      <c r="AB40" s="1">
        <v>13.0</v>
      </c>
      <c r="AC40" s="1">
        <v>150.0</v>
      </c>
      <c r="AD40" s="1">
        <v>170.0</v>
      </c>
      <c r="AE40" s="3">
        <v>30.0</v>
      </c>
      <c r="AF40" s="1">
        <v>40.0</v>
      </c>
      <c r="AG40" s="1">
        <v>45.0</v>
      </c>
      <c r="AH40" s="3">
        <v>200.0</v>
      </c>
      <c r="AI40" s="1">
        <v>205.0</v>
      </c>
      <c r="AJ40" s="1">
        <v>60.0</v>
      </c>
      <c r="AK40" s="1">
        <v>100.0</v>
      </c>
      <c r="AL40" s="1">
        <v>175.0</v>
      </c>
      <c r="AM40" s="1">
        <v>130.0</v>
      </c>
      <c r="AN40" s="1"/>
      <c r="AO40" s="3">
        <v>160.0</v>
      </c>
      <c r="AP40" s="3">
        <v>70.0</v>
      </c>
      <c r="AQ40" s="3">
        <v>35.0</v>
      </c>
      <c r="AR40" s="1">
        <v>854.0</v>
      </c>
      <c r="AS40" s="1">
        <v>250.0</v>
      </c>
      <c r="AT40" s="1">
        <v>220.0</v>
      </c>
      <c r="AU40" s="1"/>
      <c r="AV40" s="1">
        <v>120.0</v>
      </c>
      <c r="AW40" s="3">
        <v>200.0</v>
      </c>
      <c r="AX40" s="3"/>
      <c r="AY40" s="3">
        <v>530.0</v>
      </c>
      <c r="AZ40" s="1">
        <v>40.0</v>
      </c>
      <c r="BA40" s="1"/>
      <c r="BB40" s="1"/>
      <c r="BC40" s="1">
        <v>150.0</v>
      </c>
      <c r="BD40" s="1">
        <v>190.0</v>
      </c>
      <c r="BE40" s="1">
        <v>80.0</v>
      </c>
      <c r="BF40" s="1"/>
      <c r="BG40" s="1">
        <v>213.0</v>
      </c>
      <c r="BH40" s="1">
        <v>23.0</v>
      </c>
      <c r="BI40" s="1">
        <v>40.0</v>
      </c>
      <c r="BJ40" s="1">
        <v>278.0</v>
      </c>
      <c r="BK40" s="3">
        <v>160.0</v>
      </c>
      <c r="BL40" s="1">
        <v>160.0</v>
      </c>
      <c r="BM40" s="1">
        <v>75.0</v>
      </c>
      <c r="BN40" s="32">
        <v>1802.0</v>
      </c>
      <c r="BO40" s="1">
        <v>47.0</v>
      </c>
      <c r="BP40" s="1"/>
      <c r="BQ40" s="1">
        <v>188.0</v>
      </c>
      <c r="BR40" s="27">
        <v>34640.0</v>
      </c>
    </row>
    <row r="41">
      <c r="A41" s="25">
        <f>'Equity Price Data'!A42</f>
        <v>45483.66667</v>
      </c>
      <c r="B41" s="34">
        <f>(('PRACTICE Equity Price Data'!B42/'PRACTICE Equity Price Data'!B41)-1)+B40</f>
        <v>0.07653310102</v>
      </c>
      <c r="C41" s="34">
        <f>(('PRACTICE Equity Price Data'!C42/'PRACTICE Equity Price Data'!C41)-1)+C40</f>
        <v>0.1303184194</v>
      </c>
      <c r="D41" s="34">
        <f>(('PRACTICE Equity Price Data'!D42/'PRACTICE Equity Price Data'!D41)-1)+D40</f>
        <v>0.007934350546</v>
      </c>
      <c r="E41" s="34">
        <f>(('PRACTICE Equity Price Data'!E42/'PRACTICE Equity Price Data'!E41)-1)+E40</f>
        <v>-0.00363034623</v>
      </c>
      <c r="F41" s="3">
        <v>13.0</v>
      </c>
      <c r="G41" s="3">
        <v>260.0</v>
      </c>
      <c r="H41" s="3">
        <v>110.0</v>
      </c>
      <c r="I41" s="3">
        <v>256.0</v>
      </c>
      <c r="J41" s="3">
        <v>83.0</v>
      </c>
      <c r="K41" s="3">
        <v>188.0</v>
      </c>
      <c r="L41" s="3">
        <v>1000.0</v>
      </c>
      <c r="M41" s="3">
        <v>102.0</v>
      </c>
      <c r="N41" s="3">
        <v>200.0</v>
      </c>
      <c r="O41" s="3">
        <v>121.0</v>
      </c>
      <c r="P41" s="3"/>
      <c r="Q41" s="3">
        <v>80.0</v>
      </c>
      <c r="R41" s="3">
        <v>150.0</v>
      </c>
      <c r="S41" s="3"/>
      <c r="T41" s="3">
        <v>120.0</v>
      </c>
      <c r="U41" s="3">
        <v>80.0</v>
      </c>
      <c r="V41" s="1">
        <v>88.0</v>
      </c>
      <c r="W41" s="1">
        <v>250.0</v>
      </c>
      <c r="X41" s="1">
        <v>264.0</v>
      </c>
      <c r="Y41" s="1">
        <v>161.0</v>
      </c>
      <c r="Z41" s="1">
        <v>69.0</v>
      </c>
      <c r="AA41" s="3">
        <v>250.0</v>
      </c>
      <c r="AB41" s="1">
        <v>13.0</v>
      </c>
      <c r="AC41" s="1">
        <v>150.0</v>
      </c>
      <c r="AD41" s="1">
        <v>170.0</v>
      </c>
      <c r="AE41" s="3">
        <v>30.0</v>
      </c>
      <c r="AF41" s="1">
        <v>40.0</v>
      </c>
      <c r="AG41" s="1">
        <v>45.0</v>
      </c>
      <c r="AH41" s="3">
        <v>200.0</v>
      </c>
      <c r="AI41" s="1">
        <v>205.0</v>
      </c>
      <c r="AJ41" s="1">
        <v>60.0</v>
      </c>
      <c r="AK41" s="1">
        <v>100.0</v>
      </c>
      <c r="AL41" s="1">
        <v>175.0</v>
      </c>
      <c r="AM41" s="1">
        <v>130.0</v>
      </c>
      <c r="AN41" s="1"/>
      <c r="AO41" s="3">
        <v>160.0</v>
      </c>
      <c r="AP41" s="3">
        <v>70.0</v>
      </c>
      <c r="AQ41" s="3">
        <v>35.0</v>
      </c>
      <c r="AR41" s="1">
        <v>854.0</v>
      </c>
      <c r="AS41" s="1">
        <v>250.0</v>
      </c>
      <c r="AT41" s="1">
        <v>220.0</v>
      </c>
      <c r="AU41" s="1"/>
      <c r="AV41" s="1">
        <v>120.0</v>
      </c>
      <c r="AW41" s="3">
        <v>200.0</v>
      </c>
      <c r="AX41" s="3"/>
      <c r="AY41" s="3">
        <v>530.0</v>
      </c>
      <c r="AZ41" s="1">
        <v>40.0</v>
      </c>
      <c r="BA41" s="1"/>
      <c r="BB41" s="1"/>
      <c r="BC41" s="1">
        <v>150.0</v>
      </c>
      <c r="BD41" s="1">
        <v>190.0</v>
      </c>
      <c r="BE41" s="1">
        <v>80.0</v>
      </c>
      <c r="BF41" s="1"/>
      <c r="BG41" s="1">
        <v>213.0</v>
      </c>
      <c r="BH41" s="1">
        <v>23.0</v>
      </c>
      <c r="BI41" s="1">
        <v>40.0</v>
      </c>
      <c r="BJ41" s="1">
        <v>278.0</v>
      </c>
      <c r="BK41" s="3">
        <v>160.0</v>
      </c>
      <c r="BL41" s="1">
        <v>160.0</v>
      </c>
      <c r="BM41" s="1">
        <v>75.0</v>
      </c>
      <c r="BN41" s="32">
        <v>1802.0</v>
      </c>
      <c r="BO41" s="1">
        <v>47.0</v>
      </c>
      <c r="BP41" s="1"/>
      <c r="BQ41" s="1">
        <v>188.0</v>
      </c>
      <c r="BR41" s="27">
        <v>34640.0</v>
      </c>
    </row>
    <row r="42">
      <c r="A42" s="25">
        <f>'Equity Price Data'!A43</f>
        <v>45484.66667</v>
      </c>
      <c r="B42" s="34">
        <f>(('PRACTICE Equity Price Data'!B43/'PRACTICE Equity Price Data'!B42)-1)+B41</f>
        <v>0.06777009274</v>
      </c>
      <c r="C42" s="34">
        <f>(('PRACTICE Equity Price Data'!C43/'PRACTICE Equity Price Data'!C42)-1)+C41</f>
        <v>0.1107961791</v>
      </c>
      <c r="D42" s="34">
        <f>(('PRACTICE Equity Price Data'!D43/'PRACTICE Equity Price Data'!D42)-1)+D41</f>
        <v>0.008749780834</v>
      </c>
      <c r="E42" s="34">
        <f>(('PRACTICE Equity Price Data'!E43/'PRACTICE Equity Price Data'!E42)-1)+E41</f>
        <v>0.03209037998</v>
      </c>
      <c r="F42" s="3">
        <v>13.0</v>
      </c>
      <c r="G42" s="3">
        <v>260.0</v>
      </c>
      <c r="H42" s="3">
        <v>110.0</v>
      </c>
      <c r="I42" s="3">
        <v>256.0</v>
      </c>
      <c r="J42" s="3">
        <v>83.0</v>
      </c>
      <c r="K42" s="3">
        <v>188.0</v>
      </c>
      <c r="L42" s="3">
        <v>1000.0</v>
      </c>
      <c r="M42" s="3">
        <v>102.0</v>
      </c>
      <c r="N42" s="3">
        <v>200.0</v>
      </c>
      <c r="O42" s="3">
        <v>121.0</v>
      </c>
      <c r="P42" s="3"/>
      <c r="Q42" s="3">
        <v>80.0</v>
      </c>
      <c r="R42" s="3">
        <v>150.0</v>
      </c>
      <c r="S42" s="3"/>
      <c r="T42" s="3">
        <v>120.0</v>
      </c>
      <c r="U42" s="3">
        <v>80.0</v>
      </c>
      <c r="V42" s="1">
        <v>88.0</v>
      </c>
      <c r="W42" s="1">
        <v>250.0</v>
      </c>
      <c r="X42" s="1">
        <v>264.0</v>
      </c>
      <c r="Y42" s="1">
        <v>161.0</v>
      </c>
      <c r="Z42" s="1">
        <v>69.0</v>
      </c>
      <c r="AA42" s="3">
        <v>250.0</v>
      </c>
      <c r="AB42" s="1">
        <v>13.0</v>
      </c>
      <c r="AC42" s="1">
        <v>150.0</v>
      </c>
      <c r="AD42" s="1">
        <v>170.0</v>
      </c>
      <c r="AE42" s="3">
        <v>30.0</v>
      </c>
      <c r="AF42" s="1">
        <v>40.0</v>
      </c>
      <c r="AG42" s="1">
        <v>45.0</v>
      </c>
      <c r="AH42" s="3">
        <v>200.0</v>
      </c>
      <c r="AI42" s="1">
        <v>205.0</v>
      </c>
      <c r="AJ42" s="1">
        <v>60.0</v>
      </c>
      <c r="AK42" s="1">
        <v>100.0</v>
      </c>
      <c r="AL42" s="1">
        <v>175.0</v>
      </c>
      <c r="AM42" s="1">
        <v>130.0</v>
      </c>
      <c r="AN42" s="1"/>
      <c r="AO42" s="3">
        <v>160.0</v>
      </c>
      <c r="AP42" s="3">
        <v>70.0</v>
      </c>
      <c r="AQ42" s="3">
        <v>35.0</v>
      </c>
      <c r="AR42" s="1">
        <v>854.0</v>
      </c>
      <c r="AS42" s="1">
        <v>250.0</v>
      </c>
      <c r="AT42" s="1">
        <v>220.0</v>
      </c>
      <c r="AU42" s="1"/>
      <c r="AV42" s="1">
        <v>120.0</v>
      </c>
      <c r="AW42" s="3">
        <v>200.0</v>
      </c>
      <c r="AX42" s="3"/>
      <c r="AY42" s="3">
        <v>530.0</v>
      </c>
      <c r="AZ42" s="1">
        <v>40.0</v>
      </c>
      <c r="BA42" s="1"/>
      <c r="BB42" s="1"/>
      <c r="BC42" s="1">
        <v>150.0</v>
      </c>
      <c r="BD42" s="1">
        <v>190.0</v>
      </c>
      <c r="BE42" s="1">
        <v>80.0</v>
      </c>
      <c r="BF42" s="1"/>
      <c r="BG42" s="1">
        <v>213.0</v>
      </c>
      <c r="BH42" s="1">
        <v>23.0</v>
      </c>
      <c r="BI42" s="1">
        <v>40.0</v>
      </c>
      <c r="BJ42" s="1">
        <v>278.0</v>
      </c>
      <c r="BK42" s="3">
        <v>160.0</v>
      </c>
      <c r="BL42" s="1">
        <v>160.0</v>
      </c>
      <c r="BM42" s="1">
        <v>75.0</v>
      </c>
      <c r="BN42" s="32">
        <v>1802.0</v>
      </c>
      <c r="BO42" s="1">
        <v>47.0</v>
      </c>
      <c r="BP42" s="1"/>
      <c r="BQ42" s="1">
        <v>188.0</v>
      </c>
      <c r="BR42" s="27">
        <v>34640.0</v>
      </c>
    </row>
    <row r="43">
      <c r="A43" s="25">
        <f>'Equity Price Data'!A44</f>
        <v>45485.66667</v>
      </c>
      <c r="B43" s="34">
        <f>(('PRACTICE Equity Price Data'!B44/'PRACTICE Equity Price Data'!B43)-1)+B42</f>
        <v>0.07328710936</v>
      </c>
      <c r="C43" s="34">
        <f>(('PRACTICE Equity Price Data'!C44/'PRACTICE Equity Price Data'!C43)-1)+C42</f>
        <v>0.117088222</v>
      </c>
      <c r="D43" s="34">
        <f>(('PRACTICE Equity Price Data'!D44/'PRACTICE Equity Price Data'!D43)-1)+D42</f>
        <v>0.01496680439</v>
      </c>
      <c r="E43" s="34">
        <f>(('PRACTICE Equity Price Data'!E44/'PRACTICE Equity Price Data'!E43)-1)+E42</f>
        <v>0.04302193891</v>
      </c>
      <c r="F43" s="3">
        <v>13.0</v>
      </c>
      <c r="G43" s="3">
        <v>260.0</v>
      </c>
      <c r="H43" s="3">
        <v>110.0</v>
      </c>
      <c r="I43" s="3">
        <v>256.0</v>
      </c>
      <c r="J43" s="3">
        <v>83.0</v>
      </c>
      <c r="K43" s="3">
        <v>188.0</v>
      </c>
      <c r="L43" s="3">
        <v>1000.0</v>
      </c>
      <c r="M43" s="3">
        <v>102.0</v>
      </c>
      <c r="N43" s="3">
        <v>200.0</v>
      </c>
      <c r="O43" s="3">
        <v>121.0</v>
      </c>
      <c r="P43" s="3"/>
      <c r="Q43" s="3">
        <v>80.0</v>
      </c>
      <c r="R43" s="3">
        <v>150.0</v>
      </c>
      <c r="S43" s="3"/>
      <c r="T43" s="3">
        <v>120.0</v>
      </c>
      <c r="U43" s="3">
        <v>80.0</v>
      </c>
      <c r="V43" s="1">
        <v>88.0</v>
      </c>
      <c r="W43" s="1">
        <v>250.0</v>
      </c>
      <c r="X43" s="1">
        <v>264.0</v>
      </c>
      <c r="Y43" s="1">
        <v>161.0</v>
      </c>
      <c r="Z43" s="1">
        <v>69.0</v>
      </c>
      <c r="AA43" s="3">
        <v>250.0</v>
      </c>
      <c r="AB43" s="1">
        <v>13.0</v>
      </c>
      <c r="AC43" s="1">
        <v>150.0</v>
      </c>
      <c r="AD43" s="1">
        <v>170.0</v>
      </c>
      <c r="AE43" s="3">
        <v>30.0</v>
      </c>
      <c r="AF43" s="1">
        <v>40.0</v>
      </c>
      <c r="AG43" s="1">
        <v>45.0</v>
      </c>
      <c r="AH43" s="3">
        <v>200.0</v>
      </c>
      <c r="AI43" s="1">
        <v>205.0</v>
      </c>
      <c r="AJ43" s="1">
        <v>60.0</v>
      </c>
      <c r="AK43" s="1">
        <v>100.0</v>
      </c>
      <c r="AL43" s="1">
        <v>175.0</v>
      </c>
      <c r="AM43" s="1">
        <v>130.0</v>
      </c>
      <c r="AN43" s="1"/>
      <c r="AO43" s="3">
        <v>160.0</v>
      </c>
      <c r="AP43" s="3">
        <v>70.0</v>
      </c>
      <c r="AQ43" s="3">
        <v>35.0</v>
      </c>
      <c r="AR43" s="1">
        <v>854.0</v>
      </c>
      <c r="AS43" s="1">
        <v>250.0</v>
      </c>
      <c r="AT43" s="1">
        <v>220.0</v>
      </c>
      <c r="AU43" s="1"/>
      <c r="AV43" s="1">
        <v>120.0</v>
      </c>
      <c r="AW43" s="3">
        <v>200.0</v>
      </c>
      <c r="AX43" s="3"/>
      <c r="AY43" s="3">
        <v>530.0</v>
      </c>
      <c r="AZ43" s="1">
        <v>40.0</v>
      </c>
      <c r="BA43" s="1"/>
      <c r="BB43" s="1"/>
      <c r="BC43" s="1">
        <v>150.0</v>
      </c>
      <c r="BD43" s="1">
        <v>190.0</v>
      </c>
      <c r="BE43" s="1">
        <v>80.0</v>
      </c>
      <c r="BF43" s="1"/>
      <c r="BG43" s="1">
        <v>213.0</v>
      </c>
      <c r="BH43" s="1">
        <v>23.0</v>
      </c>
      <c r="BI43" s="1">
        <v>40.0</v>
      </c>
      <c r="BJ43" s="1">
        <v>278.0</v>
      </c>
      <c r="BK43" s="3">
        <v>160.0</v>
      </c>
      <c r="BL43" s="1">
        <v>160.0</v>
      </c>
      <c r="BM43" s="1">
        <v>75.0</v>
      </c>
      <c r="BN43" s="32">
        <v>1802.0</v>
      </c>
      <c r="BO43" s="1">
        <v>47.0</v>
      </c>
      <c r="BP43" s="1"/>
      <c r="BQ43" s="1">
        <v>188.0</v>
      </c>
      <c r="BR43" s="27">
        <v>34640.0</v>
      </c>
    </row>
    <row r="44">
      <c r="A44" s="25">
        <f>'Equity Price Data'!A45</f>
        <v>45488.66667</v>
      </c>
      <c r="B44" s="34">
        <f>(('PRACTICE Equity Price Data'!B45/'PRACTICE Equity Price Data'!B44)-1)+B43</f>
        <v>0.07611329117</v>
      </c>
      <c r="C44" s="34">
        <f>(('PRACTICE Equity Price Data'!C45/'PRACTICE Equity Price Data'!C44)-1)+C43</f>
        <v>0.1211168222</v>
      </c>
      <c r="D44" s="34">
        <f>(('PRACTICE Equity Price Data'!D45/'PRACTICE Equity Price Data'!D44)-1)+D43</f>
        <v>0.0202371858</v>
      </c>
      <c r="E44" s="34">
        <f>(('PRACTICE Equity Price Data'!E45/'PRACTICE Equity Price Data'!E44)-1)+E43</f>
        <v>0.06105970884</v>
      </c>
      <c r="F44" s="3">
        <v>13.0</v>
      </c>
      <c r="G44" s="3">
        <v>260.0</v>
      </c>
      <c r="H44" s="3">
        <v>110.0</v>
      </c>
      <c r="I44" s="3">
        <v>256.0</v>
      </c>
      <c r="J44" s="3">
        <v>83.0</v>
      </c>
      <c r="K44" s="3">
        <v>188.0</v>
      </c>
      <c r="L44" s="3">
        <v>1000.0</v>
      </c>
      <c r="M44" s="3">
        <v>102.0</v>
      </c>
      <c r="N44" s="3">
        <v>200.0</v>
      </c>
      <c r="O44" s="3">
        <v>121.0</v>
      </c>
      <c r="P44" s="3"/>
      <c r="Q44" s="3">
        <v>80.0</v>
      </c>
      <c r="R44" s="3">
        <v>150.0</v>
      </c>
      <c r="S44" s="3"/>
      <c r="T44" s="3">
        <v>120.0</v>
      </c>
      <c r="U44" s="3">
        <v>80.0</v>
      </c>
      <c r="V44" s="1">
        <v>88.0</v>
      </c>
      <c r="W44" s="1">
        <v>250.0</v>
      </c>
      <c r="X44" s="1">
        <v>264.0</v>
      </c>
      <c r="Y44" s="1">
        <v>161.0</v>
      </c>
      <c r="Z44" s="1">
        <v>69.0</v>
      </c>
      <c r="AA44" s="3">
        <v>250.0</v>
      </c>
      <c r="AB44" s="1">
        <v>13.0</v>
      </c>
      <c r="AC44" s="1">
        <v>150.0</v>
      </c>
      <c r="AD44" s="1">
        <v>170.0</v>
      </c>
      <c r="AE44" s="3">
        <v>30.0</v>
      </c>
      <c r="AF44" s="1">
        <v>40.0</v>
      </c>
      <c r="AG44" s="1">
        <v>45.0</v>
      </c>
      <c r="AH44" s="3">
        <v>200.0</v>
      </c>
      <c r="AI44" s="1">
        <v>205.0</v>
      </c>
      <c r="AJ44" s="1">
        <v>60.0</v>
      </c>
      <c r="AK44" s="1">
        <v>100.0</v>
      </c>
      <c r="AL44" s="1">
        <v>175.0</v>
      </c>
      <c r="AM44" s="1">
        <v>130.0</v>
      </c>
      <c r="AN44" s="1"/>
      <c r="AO44" s="3">
        <v>160.0</v>
      </c>
      <c r="AP44" s="3">
        <v>70.0</v>
      </c>
      <c r="AQ44" s="3">
        <v>35.0</v>
      </c>
      <c r="AR44" s="1">
        <v>854.0</v>
      </c>
      <c r="AS44" s="1">
        <v>250.0</v>
      </c>
      <c r="AT44" s="1">
        <v>220.0</v>
      </c>
      <c r="AU44" s="1"/>
      <c r="AV44" s="1">
        <v>120.0</v>
      </c>
      <c r="AW44" s="3">
        <v>200.0</v>
      </c>
      <c r="AX44" s="3"/>
      <c r="AY44" s="3">
        <v>530.0</v>
      </c>
      <c r="AZ44" s="1">
        <v>40.0</v>
      </c>
      <c r="BA44" s="1"/>
      <c r="BB44" s="1"/>
      <c r="BC44" s="1">
        <v>150.0</v>
      </c>
      <c r="BD44" s="1">
        <v>190.0</v>
      </c>
      <c r="BE44" s="1">
        <v>80.0</v>
      </c>
      <c r="BF44" s="1"/>
      <c r="BG44" s="1">
        <v>213.0</v>
      </c>
      <c r="BH44" s="1">
        <v>23.0</v>
      </c>
      <c r="BI44" s="1">
        <v>40.0</v>
      </c>
      <c r="BJ44" s="1">
        <v>278.0</v>
      </c>
      <c r="BK44" s="3">
        <v>160.0</v>
      </c>
      <c r="BL44" s="1">
        <v>160.0</v>
      </c>
      <c r="BM44" s="1">
        <v>75.0</v>
      </c>
      <c r="BN44" s="32">
        <v>1802.0</v>
      </c>
      <c r="BO44" s="1">
        <v>47.0</v>
      </c>
      <c r="BP44" s="1"/>
      <c r="BQ44" s="1">
        <v>188.0</v>
      </c>
      <c r="BR44" s="27">
        <v>34640.0</v>
      </c>
    </row>
    <row r="45">
      <c r="A45" s="25">
        <f>'Equity Price Data'!A46</f>
        <v>45489.66667</v>
      </c>
      <c r="B45" s="34">
        <f>(('PRACTICE Equity Price Data'!B46/'PRACTICE Equity Price Data'!B45)-1)+B44</f>
        <v>0.08250267038</v>
      </c>
      <c r="C45" s="34">
        <f>(('PRACTICE Equity Price Data'!C46/'PRACTICE Equity Price Data'!C45)-1)+C44</f>
        <v>0.1231073412</v>
      </c>
      <c r="D45" s="34">
        <f>(('PRACTICE Equity Price Data'!D46/'PRACTICE Equity Price Data'!D45)-1)+D44</f>
        <v>0.03870841757</v>
      </c>
      <c r="E45" s="34">
        <f>(('PRACTICE Equity Price Data'!E46/'PRACTICE Equity Price Data'!E45)-1)+E44</f>
        <v>0.09610739931</v>
      </c>
      <c r="F45" s="3">
        <v>13.0</v>
      </c>
      <c r="G45" s="3">
        <v>260.0</v>
      </c>
      <c r="H45" s="3">
        <v>110.0</v>
      </c>
      <c r="I45" s="3">
        <v>256.0</v>
      </c>
      <c r="J45" s="3">
        <v>83.0</v>
      </c>
      <c r="K45" s="3">
        <v>188.0</v>
      </c>
      <c r="L45" s="3">
        <v>1000.0</v>
      </c>
      <c r="M45" s="3">
        <v>102.0</v>
      </c>
      <c r="N45" s="3">
        <v>200.0</v>
      </c>
      <c r="O45" s="3">
        <v>121.0</v>
      </c>
      <c r="P45" s="3"/>
      <c r="Q45" s="3">
        <v>80.0</v>
      </c>
      <c r="R45" s="3">
        <v>150.0</v>
      </c>
      <c r="S45" s="3"/>
      <c r="T45" s="3">
        <v>120.0</v>
      </c>
      <c r="U45" s="3">
        <v>80.0</v>
      </c>
      <c r="V45" s="1">
        <v>88.0</v>
      </c>
      <c r="W45" s="1">
        <v>250.0</v>
      </c>
      <c r="X45" s="1">
        <v>264.0</v>
      </c>
      <c r="Y45" s="1">
        <v>161.0</v>
      </c>
      <c r="Z45" s="1">
        <v>69.0</v>
      </c>
      <c r="AA45" s="3">
        <v>250.0</v>
      </c>
      <c r="AB45" s="1">
        <v>13.0</v>
      </c>
      <c r="AC45" s="1">
        <v>150.0</v>
      </c>
      <c r="AD45" s="1">
        <v>170.0</v>
      </c>
      <c r="AE45" s="3">
        <v>30.0</v>
      </c>
      <c r="AF45" s="1">
        <v>40.0</v>
      </c>
      <c r="AG45" s="1">
        <v>45.0</v>
      </c>
      <c r="AH45" s="3">
        <v>200.0</v>
      </c>
      <c r="AI45" s="1">
        <v>205.0</v>
      </c>
      <c r="AJ45" s="1">
        <v>60.0</v>
      </c>
      <c r="AK45" s="1">
        <v>100.0</v>
      </c>
      <c r="AL45" s="1">
        <v>175.0</v>
      </c>
      <c r="AM45" s="1">
        <v>130.0</v>
      </c>
      <c r="AN45" s="1"/>
      <c r="AO45" s="3">
        <v>160.0</v>
      </c>
      <c r="AP45" s="3">
        <v>70.0</v>
      </c>
      <c r="AQ45" s="3">
        <v>35.0</v>
      </c>
      <c r="AR45" s="1">
        <v>854.0</v>
      </c>
      <c r="AS45" s="1">
        <v>250.0</v>
      </c>
      <c r="AT45" s="1">
        <v>220.0</v>
      </c>
      <c r="AU45" s="1"/>
      <c r="AV45" s="1">
        <v>120.0</v>
      </c>
      <c r="AW45" s="3">
        <v>200.0</v>
      </c>
      <c r="AX45" s="3"/>
      <c r="AY45" s="3">
        <v>530.0</v>
      </c>
      <c r="AZ45" s="1">
        <v>40.0</v>
      </c>
      <c r="BA45" s="1"/>
      <c r="BB45" s="1"/>
      <c r="BC45" s="1">
        <v>150.0</v>
      </c>
      <c r="BD45" s="1">
        <v>190.0</v>
      </c>
      <c r="BE45" s="1">
        <v>80.0</v>
      </c>
      <c r="BF45" s="1"/>
      <c r="BG45" s="1">
        <v>213.0</v>
      </c>
      <c r="BH45" s="1">
        <v>23.0</v>
      </c>
      <c r="BI45" s="1">
        <v>40.0</v>
      </c>
      <c r="BJ45" s="1">
        <v>278.0</v>
      </c>
      <c r="BK45" s="3">
        <v>160.0</v>
      </c>
      <c r="BL45" s="1">
        <v>160.0</v>
      </c>
      <c r="BM45" s="1">
        <v>75.0</v>
      </c>
      <c r="BN45" s="32">
        <v>1802.0</v>
      </c>
      <c r="BO45" s="1">
        <v>47.0</v>
      </c>
      <c r="BP45" s="1"/>
      <c r="BQ45" s="1">
        <v>188.0</v>
      </c>
      <c r="BR45" s="27">
        <v>34640.0</v>
      </c>
    </row>
    <row r="46">
      <c r="A46" s="25">
        <f>'Equity Price Data'!A47</f>
        <v>45490.66667</v>
      </c>
      <c r="B46" s="34">
        <f>(('PRACTICE Equity Price Data'!B47/'PRACTICE Equity Price Data'!B46)-1)+B45</f>
        <v>0.06857515767</v>
      </c>
      <c r="C46" s="34">
        <f>(('PRACTICE Equity Price Data'!C47/'PRACTICE Equity Price Data'!C46)-1)+C45</f>
        <v>0.09542347993</v>
      </c>
      <c r="D46" s="34">
        <f>(('PRACTICE Equity Price Data'!D47/'PRACTICE Equity Price Data'!D46)-1)+D45</f>
        <v>0.04465648479</v>
      </c>
      <c r="E46" s="34">
        <f>(('PRACTICE Equity Price Data'!E47/'PRACTICE Equity Price Data'!E46)-1)+E45</f>
        <v>0.08550514721</v>
      </c>
      <c r="F46" s="3">
        <v>13.0</v>
      </c>
      <c r="G46" s="3">
        <v>260.0</v>
      </c>
      <c r="H46" s="3">
        <v>110.0</v>
      </c>
      <c r="I46" s="3">
        <v>256.0</v>
      </c>
      <c r="J46" s="3">
        <v>83.0</v>
      </c>
      <c r="K46" s="3">
        <v>188.0</v>
      </c>
      <c r="L46" s="3">
        <v>1000.0</v>
      </c>
      <c r="M46" s="3">
        <v>102.0</v>
      </c>
      <c r="N46" s="3">
        <v>200.0</v>
      </c>
      <c r="O46" s="3">
        <v>121.0</v>
      </c>
      <c r="P46" s="3"/>
      <c r="Q46" s="3">
        <v>80.0</v>
      </c>
      <c r="R46" s="3">
        <v>150.0</v>
      </c>
      <c r="S46" s="3"/>
      <c r="T46" s="3">
        <v>120.0</v>
      </c>
      <c r="U46" s="3">
        <v>80.0</v>
      </c>
      <c r="V46" s="1">
        <v>88.0</v>
      </c>
      <c r="W46" s="1">
        <v>250.0</v>
      </c>
      <c r="X46" s="1">
        <v>264.0</v>
      </c>
      <c r="Y46" s="1">
        <v>161.0</v>
      </c>
      <c r="Z46" s="1">
        <v>69.0</v>
      </c>
      <c r="AA46" s="3">
        <v>250.0</v>
      </c>
      <c r="AB46" s="1">
        <v>13.0</v>
      </c>
      <c r="AC46" s="1">
        <v>150.0</v>
      </c>
      <c r="AD46" s="1">
        <v>170.0</v>
      </c>
      <c r="AE46" s="3">
        <v>30.0</v>
      </c>
      <c r="AF46" s="1">
        <v>40.0</v>
      </c>
      <c r="AG46" s="1">
        <v>45.0</v>
      </c>
      <c r="AH46" s="3">
        <v>200.0</v>
      </c>
      <c r="AI46" s="1">
        <v>205.0</v>
      </c>
      <c r="AJ46" s="1">
        <v>60.0</v>
      </c>
      <c r="AK46" s="1">
        <v>100.0</v>
      </c>
      <c r="AL46" s="1">
        <v>175.0</v>
      </c>
      <c r="AM46" s="1">
        <v>130.0</v>
      </c>
      <c r="AN46" s="1"/>
      <c r="AO46" s="3">
        <v>160.0</v>
      </c>
      <c r="AP46" s="3">
        <v>70.0</v>
      </c>
      <c r="AQ46" s="3">
        <v>35.0</v>
      </c>
      <c r="AR46" s="1">
        <v>854.0</v>
      </c>
      <c r="AS46" s="1">
        <v>250.0</v>
      </c>
      <c r="AT46" s="1">
        <v>220.0</v>
      </c>
      <c r="AU46" s="1"/>
      <c r="AV46" s="1">
        <v>120.0</v>
      </c>
      <c r="AW46" s="3">
        <v>200.0</v>
      </c>
      <c r="AX46" s="3"/>
      <c r="AY46" s="3">
        <v>530.0</v>
      </c>
      <c r="AZ46" s="1">
        <v>40.0</v>
      </c>
      <c r="BA46" s="1"/>
      <c r="BB46" s="1"/>
      <c r="BC46" s="1">
        <v>150.0</v>
      </c>
      <c r="BD46" s="1">
        <v>190.0</v>
      </c>
      <c r="BE46" s="1">
        <v>80.0</v>
      </c>
      <c r="BF46" s="1"/>
      <c r="BG46" s="1">
        <v>213.0</v>
      </c>
      <c r="BH46" s="1">
        <v>23.0</v>
      </c>
      <c r="BI46" s="1">
        <v>40.0</v>
      </c>
      <c r="BJ46" s="1">
        <v>278.0</v>
      </c>
      <c r="BK46" s="3">
        <v>160.0</v>
      </c>
      <c r="BL46" s="1">
        <v>160.0</v>
      </c>
      <c r="BM46" s="1">
        <v>75.0</v>
      </c>
      <c r="BN46" s="32">
        <v>1802.0</v>
      </c>
      <c r="BO46" s="1">
        <v>47.0</v>
      </c>
      <c r="BP46" s="1"/>
      <c r="BQ46" s="1">
        <v>188.0</v>
      </c>
      <c r="BR46" s="27">
        <v>34640.0</v>
      </c>
    </row>
    <row r="47">
      <c r="A47" s="25">
        <f>'Equity Price Data'!A48</f>
        <v>45491.66667</v>
      </c>
      <c r="B47" s="34">
        <f>(('PRACTICE Equity Price Data'!B48/'PRACTICE Equity Price Data'!B47)-1)+B46</f>
        <v>0.06075878516</v>
      </c>
      <c r="C47" s="34">
        <f>(('PRACTICE Equity Price Data'!C48/'PRACTICE Equity Price Data'!C47)-1)+C46</f>
        <v>0.0884383997</v>
      </c>
      <c r="D47" s="34">
        <f>(('PRACTICE Equity Price Data'!D48/'PRACTICE Equity Price Data'!D47)-1)+D46</f>
        <v>0.0317175323</v>
      </c>
      <c r="E47" s="34">
        <f>(('PRACTICE Equity Price Data'!E48/'PRACTICE Equity Price Data'!E47)-1)+E46</f>
        <v>0.06702921102</v>
      </c>
      <c r="F47" s="3">
        <v>13.0</v>
      </c>
      <c r="G47" s="3">
        <v>260.0</v>
      </c>
      <c r="H47" s="3">
        <v>110.0</v>
      </c>
      <c r="I47" s="3">
        <v>256.0</v>
      </c>
      <c r="J47" s="3">
        <v>83.0</v>
      </c>
      <c r="K47" s="3">
        <v>188.0</v>
      </c>
      <c r="L47" s="3">
        <v>1000.0</v>
      </c>
      <c r="M47" s="3">
        <v>102.0</v>
      </c>
      <c r="N47" s="3">
        <v>200.0</v>
      </c>
      <c r="O47" s="3">
        <v>121.0</v>
      </c>
      <c r="P47" s="3"/>
      <c r="Q47" s="3">
        <v>80.0</v>
      </c>
      <c r="R47" s="3">
        <v>150.0</v>
      </c>
      <c r="S47" s="3"/>
      <c r="T47" s="3">
        <v>120.0</v>
      </c>
      <c r="U47" s="3">
        <v>80.0</v>
      </c>
      <c r="V47" s="1">
        <v>88.0</v>
      </c>
      <c r="W47" s="1">
        <v>250.0</v>
      </c>
      <c r="X47" s="1">
        <v>264.0</v>
      </c>
      <c r="Y47" s="1">
        <v>161.0</v>
      </c>
      <c r="Z47" s="1">
        <v>69.0</v>
      </c>
      <c r="AA47" s="3">
        <v>250.0</v>
      </c>
      <c r="AB47" s="1">
        <v>13.0</v>
      </c>
      <c r="AC47" s="1">
        <v>150.0</v>
      </c>
      <c r="AD47" s="1">
        <v>170.0</v>
      </c>
      <c r="AE47" s="3">
        <v>30.0</v>
      </c>
      <c r="AF47" s="1">
        <v>40.0</v>
      </c>
      <c r="AG47" s="1">
        <v>45.0</v>
      </c>
      <c r="AH47" s="3">
        <v>200.0</v>
      </c>
      <c r="AI47" s="1">
        <v>205.0</v>
      </c>
      <c r="AJ47" s="1">
        <v>60.0</v>
      </c>
      <c r="AK47" s="1">
        <v>100.0</v>
      </c>
      <c r="AL47" s="1">
        <v>175.0</v>
      </c>
      <c r="AM47" s="1">
        <v>130.0</v>
      </c>
      <c r="AN47" s="1"/>
      <c r="AO47" s="3">
        <v>160.0</v>
      </c>
      <c r="AP47" s="3">
        <v>70.0</v>
      </c>
      <c r="AQ47" s="3">
        <v>35.0</v>
      </c>
      <c r="AR47" s="1">
        <v>854.0</v>
      </c>
      <c r="AS47" s="1">
        <v>250.0</v>
      </c>
      <c r="AT47" s="1">
        <v>220.0</v>
      </c>
      <c r="AU47" s="1"/>
      <c r="AV47" s="1">
        <v>120.0</v>
      </c>
      <c r="AW47" s="3">
        <v>200.0</v>
      </c>
      <c r="AX47" s="3"/>
      <c r="AY47" s="3">
        <v>530.0</v>
      </c>
      <c r="AZ47" s="1">
        <v>40.0</v>
      </c>
      <c r="BA47" s="1"/>
      <c r="BB47" s="1"/>
      <c r="BC47" s="1">
        <v>150.0</v>
      </c>
      <c r="BD47" s="1">
        <v>190.0</v>
      </c>
      <c r="BE47" s="1">
        <v>80.0</v>
      </c>
      <c r="BF47" s="1"/>
      <c r="BG47" s="1">
        <v>213.0</v>
      </c>
      <c r="BH47" s="1">
        <v>23.0</v>
      </c>
      <c r="BI47" s="1">
        <v>40.0</v>
      </c>
      <c r="BJ47" s="1">
        <v>278.0</v>
      </c>
      <c r="BK47" s="3">
        <v>160.0</v>
      </c>
      <c r="BL47" s="1">
        <v>160.0</v>
      </c>
      <c r="BM47" s="1">
        <v>75.0</v>
      </c>
      <c r="BN47" s="32">
        <v>1802.0</v>
      </c>
      <c r="BO47" s="1">
        <v>47.0</v>
      </c>
      <c r="BP47" s="1"/>
      <c r="BQ47" s="1">
        <v>188.0</v>
      </c>
      <c r="BR47" s="27">
        <v>34640.0</v>
      </c>
    </row>
    <row r="48">
      <c r="A48" s="25">
        <f>'Equity Price Data'!A49</f>
        <v>45492.66667</v>
      </c>
      <c r="B48" s="34">
        <f>(('PRACTICE Equity Price Data'!B49/'PRACTICE Equity Price Data'!B48)-1)+B47</f>
        <v>0.05361849165</v>
      </c>
      <c r="C48" s="34">
        <f>(('PRACTICE Equity Price Data'!C49/'PRACTICE Equity Price Data'!C48)-1)+C47</f>
        <v>0.08036508405</v>
      </c>
      <c r="D48" s="34">
        <f>(('PRACTICE Equity Price Data'!D49/'PRACTICE Equity Price Data'!D48)-1)+D47</f>
        <v>0.02243461543</v>
      </c>
      <c r="E48" s="34">
        <f>(('PRACTICE Equity Price Data'!E49/'PRACTICE Equity Price Data'!E48)-1)+E47</f>
        <v>0.06068791847</v>
      </c>
      <c r="F48" s="3">
        <v>13.0</v>
      </c>
      <c r="G48" s="3">
        <v>260.0</v>
      </c>
      <c r="H48" s="3">
        <v>110.0</v>
      </c>
      <c r="I48" s="3">
        <v>256.0</v>
      </c>
      <c r="J48" s="3">
        <v>83.0</v>
      </c>
      <c r="K48" s="3">
        <v>188.0</v>
      </c>
      <c r="L48" s="3">
        <v>1000.0</v>
      </c>
      <c r="M48" s="3">
        <v>102.0</v>
      </c>
      <c r="N48" s="3">
        <v>200.0</v>
      </c>
      <c r="O48" s="3">
        <v>121.0</v>
      </c>
      <c r="P48" s="3"/>
      <c r="Q48" s="3">
        <v>80.0</v>
      </c>
      <c r="R48" s="3">
        <v>150.0</v>
      </c>
      <c r="S48" s="3"/>
      <c r="T48" s="3">
        <v>120.0</v>
      </c>
      <c r="U48" s="3">
        <v>80.0</v>
      </c>
      <c r="V48" s="1">
        <v>88.0</v>
      </c>
      <c r="W48" s="1">
        <v>250.0</v>
      </c>
      <c r="X48" s="1">
        <v>264.0</v>
      </c>
      <c r="Y48" s="1">
        <v>161.0</v>
      </c>
      <c r="Z48" s="1">
        <v>69.0</v>
      </c>
      <c r="AA48" s="3">
        <v>250.0</v>
      </c>
      <c r="AB48" s="1">
        <v>13.0</v>
      </c>
      <c r="AC48" s="1">
        <v>150.0</v>
      </c>
      <c r="AD48" s="1">
        <v>170.0</v>
      </c>
      <c r="AE48" s="3">
        <v>30.0</v>
      </c>
      <c r="AF48" s="1">
        <v>40.0</v>
      </c>
      <c r="AG48" s="1">
        <v>45.0</v>
      </c>
      <c r="AH48" s="3">
        <v>200.0</v>
      </c>
      <c r="AI48" s="1">
        <v>205.0</v>
      </c>
      <c r="AJ48" s="1">
        <v>60.0</v>
      </c>
      <c r="AK48" s="1">
        <v>100.0</v>
      </c>
      <c r="AL48" s="1">
        <v>175.0</v>
      </c>
      <c r="AM48" s="1">
        <v>130.0</v>
      </c>
      <c r="AN48" s="1"/>
      <c r="AO48" s="3">
        <v>160.0</v>
      </c>
      <c r="AP48" s="3">
        <v>70.0</v>
      </c>
      <c r="AQ48" s="3">
        <v>35.0</v>
      </c>
      <c r="AR48" s="1">
        <v>854.0</v>
      </c>
      <c r="AS48" s="1">
        <v>250.0</v>
      </c>
      <c r="AT48" s="1">
        <v>220.0</v>
      </c>
      <c r="AU48" s="1"/>
      <c r="AV48" s="1">
        <v>120.0</v>
      </c>
      <c r="AW48" s="3">
        <v>200.0</v>
      </c>
      <c r="AX48" s="3"/>
      <c r="AY48" s="3">
        <v>530.0</v>
      </c>
      <c r="AZ48" s="1">
        <v>40.0</v>
      </c>
      <c r="BA48" s="1"/>
      <c r="BB48" s="1"/>
      <c r="BC48" s="1">
        <v>150.0</v>
      </c>
      <c r="BD48" s="1">
        <v>190.0</v>
      </c>
      <c r="BE48" s="1">
        <v>80.0</v>
      </c>
      <c r="BF48" s="1"/>
      <c r="BG48" s="1">
        <v>213.0</v>
      </c>
      <c r="BH48" s="1">
        <v>23.0</v>
      </c>
      <c r="BI48" s="1">
        <v>40.0</v>
      </c>
      <c r="BJ48" s="1">
        <v>278.0</v>
      </c>
      <c r="BK48" s="3">
        <v>160.0</v>
      </c>
      <c r="BL48" s="1">
        <v>160.0</v>
      </c>
      <c r="BM48" s="1">
        <v>75.0</v>
      </c>
      <c r="BN48" s="32">
        <v>1802.0</v>
      </c>
      <c r="BO48" s="1">
        <v>47.0</v>
      </c>
      <c r="BP48" s="1"/>
      <c r="BQ48" s="1">
        <v>188.0</v>
      </c>
      <c r="BR48" s="27">
        <v>34640.0</v>
      </c>
    </row>
    <row r="49">
      <c r="A49" s="25">
        <f>'Equity Price Data'!A50</f>
        <v>45495.66667</v>
      </c>
      <c r="B49" s="34">
        <f>(('PRACTICE Equity Price Data'!B50/'PRACTICE Equity Price Data'!B49)-1)+B48</f>
        <v>0.06441049892</v>
      </c>
      <c r="C49" s="34">
        <f>(('PRACTICE Equity Price Data'!C50/'PRACTICE Equity Price Data'!C49)-1)+C48</f>
        <v>0.09619579144</v>
      </c>
      <c r="D49" s="34">
        <f>(('PRACTICE Equity Price Data'!D50/'PRACTICE Equity Price Data'!D49)-1)+D48</f>
        <v>0.02560954326</v>
      </c>
      <c r="E49" s="34">
        <f>(('PRACTICE Equity Price Data'!E50/'PRACTICE Equity Price Data'!E49)-1)+E48</f>
        <v>0.07730613442</v>
      </c>
      <c r="F49" s="3">
        <v>13.0</v>
      </c>
      <c r="G49" s="3">
        <v>260.0</v>
      </c>
      <c r="H49" s="3">
        <v>110.0</v>
      </c>
      <c r="I49" s="3">
        <v>256.0</v>
      </c>
      <c r="J49" s="3">
        <v>83.0</v>
      </c>
      <c r="K49" s="3">
        <v>188.0</v>
      </c>
      <c r="L49" s="3">
        <v>1000.0</v>
      </c>
      <c r="M49" s="3">
        <v>102.0</v>
      </c>
      <c r="N49" s="3">
        <v>200.0</v>
      </c>
      <c r="O49" s="3">
        <v>121.0</v>
      </c>
      <c r="P49" s="3"/>
      <c r="Q49" s="3">
        <v>80.0</v>
      </c>
      <c r="R49" s="3">
        <v>150.0</v>
      </c>
      <c r="S49" s="3"/>
      <c r="T49" s="3">
        <v>120.0</v>
      </c>
      <c r="U49" s="3">
        <v>80.0</v>
      </c>
      <c r="V49" s="1">
        <v>88.0</v>
      </c>
      <c r="W49" s="1">
        <v>250.0</v>
      </c>
      <c r="X49" s="1">
        <v>264.0</v>
      </c>
      <c r="Y49" s="1">
        <v>161.0</v>
      </c>
      <c r="Z49" s="1">
        <v>69.0</v>
      </c>
      <c r="AA49" s="3">
        <v>250.0</v>
      </c>
      <c r="AB49" s="1">
        <v>13.0</v>
      </c>
      <c r="AC49" s="1">
        <v>150.0</v>
      </c>
      <c r="AD49" s="1">
        <v>170.0</v>
      </c>
      <c r="AE49" s="3">
        <v>30.0</v>
      </c>
      <c r="AF49" s="1">
        <v>40.0</v>
      </c>
      <c r="AG49" s="1">
        <v>45.0</v>
      </c>
      <c r="AH49" s="3">
        <v>200.0</v>
      </c>
      <c r="AI49" s="1">
        <v>205.0</v>
      </c>
      <c r="AJ49" s="1">
        <v>60.0</v>
      </c>
      <c r="AK49" s="1">
        <v>100.0</v>
      </c>
      <c r="AL49" s="1">
        <v>175.0</v>
      </c>
      <c r="AM49" s="1">
        <v>130.0</v>
      </c>
      <c r="AN49" s="1"/>
      <c r="AO49" s="3">
        <v>160.0</v>
      </c>
      <c r="AP49" s="3">
        <v>70.0</v>
      </c>
      <c r="AQ49" s="3">
        <v>35.0</v>
      </c>
      <c r="AR49" s="1">
        <v>854.0</v>
      </c>
      <c r="AS49" s="1">
        <v>250.0</v>
      </c>
      <c r="AT49" s="1">
        <v>220.0</v>
      </c>
      <c r="AU49" s="1"/>
      <c r="AV49" s="1">
        <v>120.0</v>
      </c>
      <c r="AW49" s="3">
        <v>200.0</v>
      </c>
      <c r="AX49" s="3"/>
      <c r="AY49" s="3">
        <v>530.0</v>
      </c>
      <c r="AZ49" s="1">
        <v>40.0</v>
      </c>
      <c r="BA49" s="1"/>
      <c r="BB49" s="1"/>
      <c r="BC49" s="1">
        <v>150.0</v>
      </c>
      <c r="BD49" s="1">
        <v>190.0</v>
      </c>
      <c r="BE49" s="1">
        <v>80.0</v>
      </c>
      <c r="BF49" s="1"/>
      <c r="BG49" s="1">
        <v>213.0</v>
      </c>
      <c r="BH49" s="1">
        <v>23.0</v>
      </c>
      <c r="BI49" s="1">
        <v>40.0</v>
      </c>
      <c r="BJ49" s="1">
        <v>278.0</v>
      </c>
      <c r="BK49" s="3">
        <v>160.0</v>
      </c>
      <c r="BL49" s="1">
        <v>160.0</v>
      </c>
      <c r="BM49" s="1">
        <v>75.0</v>
      </c>
      <c r="BN49" s="32">
        <v>1802.0</v>
      </c>
      <c r="BO49" s="1">
        <v>47.0</v>
      </c>
      <c r="BP49" s="1"/>
      <c r="BQ49" s="1">
        <v>188.0</v>
      </c>
      <c r="BR49" s="27">
        <v>34640.0</v>
      </c>
    </row>
    <row r="50">
      <c r="A50" s="25">
        <f>'Equity Price Data'!A51</f>
        <v>45496.66667</v>
      </c>
      <c r="B50" s="34">
        <f>(('PRACTICE Equity Price Data'!B51/'PRACTICE Equity Price Data'!B50)-1)+B49</f>
        <v>0.06285238224</v>
      </c>
      <c r="C50" s="34">
        <f>(('PRACTICE Equity Price Data'!C51/'PRACTICE Equity Price Data'!C50)-1)+C49</f>
        <v>0.09562825234</v>
      </c>
      <c r="D50" s="34">
        <f>(('PRACTICE Equity Price Data'!D51/'PRACTICE Equity Price Data'!D50)-1)+D49</f>
        <v>0.02419053112</v>
      </c>
      <c r="E50" s="34">
        <f>(('PRACTICE Equity Price Data'!E51/'PRACTICE Equity Price Data'!E50)-1)+E49</f>
        <v>0.08749234116</v>
      </c>
      <c r="F50" s="3">
        <v>13.0</v>
      </c>
      <c r="G50" s="3">
        <v>260.0</v>
      </c>
      <c r="H50" s="3">
        <v>110.0</v>
      </c>
      <c r="I50" s="3">
        <v>256.0</v>
      </c>
      <c r="J50" s="3">
        <v>83.0</v>
      </c>
      <c r="K50" s="3">
        <v>188.0</v>
      </c>
      <c r="L50" s="3">
        <v>1000.0</v>
      </c>
      <c r="M50" s="3">
        <v>102.0</v>
      </c>
      <c r="N50" s="3">
        <v>200.0</v>
      </c>
      <c r="O50" s="3">
        <v>121.0</v>
      </c>
      <c r="P50" s="3"/>
      <c r="Q50" s="3">
        <v>80.0</v>
      </c>
      <c r="R50" s="3">
        <v>150.0</v>
      </c>
      <c r="S50" s="3"/>
      <c r="T50" s="3">
        <v>120.0</v>
      </c>
      <c r="U50" s="3">
        <v>80.0</v>
      </c>
      <c r="V50" s="1">
        <v>88.0</v>
      </c>
      <c r="W50" s="1">
        <v>250.0</v>
      </c>
      <c r="X50" s="1">
        <v>264.0</v>
      </c>
      <c r="Y50" s="1">
        <v>161.0</v>
      </c>
      <c r="Z50" s="1">
        <v>69.0</v>
      </c>
      <c r="AA50" s="3">
        <v>250.0</v>
      </c>
      <c r="AB50" s="1">
        <v>13.0</v>
      </c>
      <c r="AC50" s="1">
        <v>150.0</v>
      </c>
      <c r="AD50" s="1">
        <v>170.0</v>
      </c>
      <c r="AE50" s="3">
        <v>30.0</v>
      </c>
      <c r="AF50" s="1">
        <v>40.0</v>
      </c>
      <c r="AG50" s="1">
        <v>45.0</v>
      </c>
      <c r="AH50" s="3">
        <v>200.0</v>
      </c>
      <c r="AI50" s="1">
        <v>205.0</v>
      </c>
      <c r="AJ50" s="1">
        <v>60.0</v>
      </c>
      <c r="AK50" s="1">
        <v>100.0</v>
      </c>
      <c r="AL50" s="1">
        <v>175.0</v>
      </c>
      <c r="AM50" s="1">
        <v>130.0</v>
      </c>
      <c r="AN50" s="1"/>
      <c r="AO50" s="3">
        <v>160.0</v>
      </c>
      <c r="AP50" s="3">
        <v>70.0</v>
      </c>
      <c r="AQ50" s="3">
        <v>35.0</v>
      </c>
      <c r="AR50" s="1">
        <v>854.0</v>
      </c>
      <c r="AS50" s="1">
        <v>250.0</v>
      </c>
      <c r="AT50" s="1">
        <v>220.0</v>
      </c>
      <c r="AU50" s="1"/>
      <c r="AV50" s="1">
        <v>120.0</v>
      </c>
      <c r="AW50" s="3">
        <v>200.0</v>
      </c>
      <c r="AX50" s="3"/>
      <c r="AY50" s="3">
        <v>530.0</v>
      </c>
      <c r="AZ50" s="1">
        <v>40.0</v>
      </c>
      <c r="BA50" s="1"/>
      <c r="BB50" s="1"/>
      <c r="BC50" s="1">
        <v>150.0</v>
      </c>
      <c r="BD50" s="1">
        <v>190.0</v>
      </c>
      <c r="BE50" s="1">
        <v>80.0</v>
      </c>
      <c r="BF50" s="1"/>
      <c r="BG50" s="1">
        <v>213.0</v>
      </c>
      <c r="BH50" s="1">
        <v>23.0</v>
      </c>
      <c r="BI50" s="1">
        <v>40.0</v>
      </c>
      <c r="BJ50" s="1">
        <v>278.0</v>
      </c>
      <c r="BK50" s="3">
        <v>160.0</v>
      </c>
      <c r="BL50" s="1">
        <v>160.0</v>
      </c>
      <c r="BM50" s="1">
        <v>75.0</v>
      </c>
      <c r="BN50" s="32">
        <v>1802.0</v>
      </c>
      <c r="BO50" s="1">
        <v>47.0</v>
      </c>
      <c r="BP50" s="1"/>
      <c r="BQ50" s="1">
        <v>188.0</v>
      </c>
      <c r="BR50" s="27">
        <v>34640.0</v>
      </c>
    </row>
    <row r="51">
      <c r="A51" s="25">
        <f>'Equity Price Data'!A52</f>
        <v>45497.66667</v>
      </c>
      <c r="B51" s="34">
        <f>(('PRACTICE Equity Price Data'!B52/'PRACTICE Equity Price Data'!B51)-1)+B50</f>
        <v>0.03970335079</v>
      </c>
      <c r="C51" s="34">
        <f>(('PRACTICE Equity Price Data'!C52/'PRACTICE Equity Price Data'!C51)-1)+C50</f>
        <v>0.05923733924</v>
      </c>
      <c r="D51" s="34">
        <f>(('PRACTICE Equity Price Data'!D52/'PRACTICE Equity Price Data'!D51)-1)+D50</f>
        <v>0.01169687743</v>
      </c>
      <c r="E51" s="34">
        <f>(('PRACTICE Equity Price Data'!E52/'PRACTICE Equity Price Data'!E51)-1)+E50</f>
        <v>0.0661395838</v>
      </c>
      <c r="F51" s="3">
        <v>13.0</v>
      </c>
      <c r="G51" s="3">
        <v>260.0</v>
      </c>
      <c r="H51" s="3">
        <v>110.0</v>
      </c>
      <c r="I51" s="3">
        <v>256.0</v>
      </c>
      <c r="J51" s="3">
        <v>83.0</v>
      </c>
      <c r="K51" s="3">
        <v>188.0</v>
      </c>
      <c r="L51" s="3">
        <v>1000.0</v>
      </c>
      <c r="M51" s="3">
        <v>102.0</v>
      </c>
      <c r="N51" s="3">
        <v>200.0</v>
      </c>
      <c r="O51" s="3">
        <v>121.0</v>
      </c>
      <c r="P51" s="3"/>
      <c r="Q51" s="3">
        <v>80.0</v>
      </c>
      <c r="R51" s="3">
        <v>150.0</v>
      </c>
      <c r="S51" s="3"/>
      <c r="T51" s="3">
        <v>120.0</v>
      </c>
      <c r="U51" s="3">
        <v>80.0</v>
      </c>
      <c r="V51" s="1">
        <v>88.0</v>
      </c>
      <c r="W51" s="1">
        <v>250.0</v>
      </c>
      <c r="X51" s="1">
        <v>264.0</v>
      </c>
      <c r="Y51" s="1">
        <v>161.0</v>
      </c>
      <c r="Z51" s="1">
        <v>69.0</v>
      </c>
      <c r="AA51" s="3">
        <v>250.0</v>
      </c>
      <c r="AB51" s="1">
        <v>13.0</v>
      </c>
      <c r="AC51" s="1">
        <v>150.0</v>
      </c>
      <c r="AD51" s="1">
        <v>170.0</v>
      </c>
      <c r="AE51" s="3">
        <v>30.0</v>
      </c>
      <c r="AF51" s="1">
        <v>40.0</v>
      </c>
      <c r="AG51" s="1">
        <v>45.0</v>
      </c>
      <c r="AH51" s="3">
        <v>200.0</v>
      </c>
      <c r="AI51" s="1">
        <v>205.0</v>
      </c>
      <c r="AJ51" s="1">
        <v>60.0</v>
      </c>
      <c r="AK51" s="1">
        <v>100.0</v>
      </c>
      <c r="AL51" s="1">
        <v>175.0</v>
      </c>
      <c r="AM51" s="1">
        <v>130.0</v>
      </c>
      <c r="AN51" s="1"/>
      <c r="AO51" s="3">
        <v>160.0</v>
      </c>
      <c r="AP51" s="3">
        <v>70.0</v>
      </c>
      <c r="AQ51" s="3">
        <v>35.0</v>
      </c>
      <c r="AR51" s="1">
        <v>854.0</v>
      </c>
      <c r="AS51" s="1">
        <v>250.0</v>
      </c>
      <c r="AT51" s="1">
        <v>220.0</v>
      </c>
      <c r="AU51" s="1"/>
      <c r="AV51" s="1">
        <v>120.0</v>
      </c>
      <c r="AW51" s="3">
        <v>200.0</v>
      </c>
      <c r="AX51" s="3"/>
      <c r="AY51" s="3">
        <v>530.0</v>
      </c>
      <c r="AZ51" s="1">
        <v>40.0</v>
      </c>
      <c r="BA51" s="1"/>
      <c r="BB51" s="1"/>
      <c r="BC51" s="1">
        <v>150.0</v>
      </c>
      <c r="BD51" s="1">
        <v>190.0</v>
      </c>
      <c r="BE51" s="1">
        <v>80.0</v>
      </c>
      <c r="BF51" s="1"/>
      <c r="BG51" s="1">
        <v>213.0</v>
      </c>
      <c r="BH51" s="1">
        <v>23.0</v>
      </c>
      <c r="BI51" s="1">
        <v>40.0</v>
      </c>
      <c r="BJ51" s="1">
        <v>278.0</v>
      </c>
      <c r="BK51" s="3">
        <v>160.0</v>
      </c>
      <c r="BL51" s="1">
        <v>160.0</v>
      </c>
      <c r="BM51" s="1">
        <v>75.0</v>
      </c>
      <c r="BN51" s="32">
        <v>1802.0</v>
      </c>
      <c r="BO51" s="1">
        <v>47.0</v>
      </c>
      <c r="BP51" s="1"/>
      <c r="BQ51" s="1">
        <v>188.0</v>
      </c>
      <c r="BR51" s="27">
        <v>34640.0</v>
      </c>
    </row>
    <row r="52">
      <c r="A52" s="25">
        <f>'Equity Price Data'!A53</f>
        <v>45498.66667</v>
      </c>
      <c r="B52" s="34">
        <f>(('PRACTICE Equity Price Data'!B53/'PRACTICE Equity Price Data'!B52)-1)+B51</f>
        <v>0.03456066949</v>
      </c>
      <c r="C52" s="34">
        <f>(('PRACTICE Equity Price Data'!C53/'PRACTICE Equity Price Data'!C52)-1)+C51</f>
        <v>0.04997161435</v>
      </c>
      <c r="D52" s="34">
        <f>(('PRACTICE Equity Price Data'!D53/'PRACTICE Equity Price Data'!D52)-1)+D51</f>
        <v>0.01373432072</v>
      </c>
      <c r="E52" s="34">
        <f>(('PRACTICE Equity Price Data'!E53/'PRACTICE Equity Price Data'!E52)-1)+E51</f>
        <v>0.07871605155</v>
      </c>
      <c r="F52" s="3">
        <v>13.0</v>
      </c>
      <c r="G52" s="3">
        <v>260.0</v>
      </c>
      <c r="H52" s="3">
        <v>110.0</v>
      </c>
      <c r="I52" s="3">
        <v>256.0</v>
      </c>
      <c r="J52" s="3">
        <v>83.0</v>
      </c>
      <c r="K52" s="3">
        <v>188.0</v>
      </c>
      <c r="L52" s="3">
        <v>1000.0</v>
      </c>
      <c r="M52" s="3">
        <v>102.0</v>
      </c>
      <c r="N52" s="3">
        <v>200.0</v>
      </c>
      <c r="O52" s="3">
        <v>121.0</v>
      </c>
      <c r="P52" s="3"/>
      <c r="Q52" s="3">
        <v>80.0</v>
      </c>
      <c r="R52" s="3">
        <v>150.0</v>
      </c>
      <c r="S52" s="3"/>
      <c r="T52" s="3">
        <v>120.0</v>
      </c>
      <c r="U52" s="3">
        <v>80.0</v>
      </c>
      <c r="V52" s="1">
        <v>88.0</v>
      </c>
      <c r="W52" s="1">
        <v>250.0</v>
      </c>
      <c r="X52" s="1">
        <v>264.0</v>
      </c>
      <c r="Y52" s="1">
        <v>161.0</v>
      </c>
      <c r="Z52" s="1">
        <v>69.0</v>
      </c>
      <c r="AA52" s="3">
        <v>250.0</v>
      </c>
      <c r="AB52" s="1">
        <v>13.0</v>
      </c>
      <c r="AC52" s="1">
        <v>150.0</v>
      </c>
      <c r="AD52" s="1">
        <v>170.0</v>
      </c>
      <c r="AE52" s="3">
        <v>30.0</v>
      </c>
      <c r="AF52" s="1">
        <v>40.0</v>
      </c>
      <c r="AG52" s="1">
        <v>45.0</v>
      </c>
      <c r="AH52" s="3">
        <v>200.0</v>
      </c>
      <c r="AI52" s="1">
        <v>205.0</v>
      </c>
      <c r="AJ52" s="1">
        <v>60.0</v>
      </c>
      <c r="AK52" s="1">
        <v>100.0</v>
      </c>
      <c r="AL52" s="1">
        <v>175.0</v>
      </c>
      <c r="AM52" s="1">
        <v>130.0</v>
      </c>
      <c r="AN52" s="1"/>
      <c r="AO52" s="3">
        <v>160.0</v>
      </c>
      <c r="AP52" s="3">
        <v>70.0</v>
      </c>
      <c r="AQ52" s="3">
        <v>35.0</v>
      </c>
      <c r="AR52" s="1">
        <v>854.0</v>
      </c>
      <c r="AS52" s="1">
        <v>250.0</v>
      </c>
      <c r="AT52" s="1">
        <v>220.0</v>
      </c>
      <c r="AU52" s="1"/>
      <c r="AV52" s="1">
        <v>120.0</v>
      </c>
      <c r="AW52" s="3">
        <v>200.0</v>
      </c>
      <c r="AX52" s="3"/>
      <c r="AY52" s="3">
        <v>530.0</v>
      </c>
      <c r="AZ52" s="1">
        <v>40.0</v>
      </c>
      <c r="BA52" s="1"/>
      <c r="BB52" s="1"/>
      <c r="BC52" s="1">
        <v>150.0</v>
      </c>
      <c r="BD52" s="1">
        <v>190.0</v>
      </c>
      <c r="BE52" s="1">
        <v>80.0</v>
      </c>
      <c r="BF52" s="1"/>
      <c r="BG52" s="1">
        <v>213.0</v>
      </c>
      <c r="BH52" s="1">
        <v>23.0</v>
      </c>
      <c r="BI52" s="1">
        <v>40.0</v>
      </c>
      <c r="BJ52" s="1">
        <v>278.0</v>
      </c>
      <c r="BK52" s="3">
        <v>160.0</v>
      </c>
      <c r="BL52" s="1">
        <v>160.0</v>
      </c>
      <c r="BM52" s="1">
        <v>75.0</v>
      </c>
      <c r="BN52" s="32">
        <v>1802.0</v>
      </c>
      <c r="BO52" s="1">
        <v>47.0</v>
      </c>
      <c r="BP52" s="1"/>
      <c r="BQ52" s="1">
        <v>188.0</v>
      </c>
      <c r="BR52" s="27">
        <v>34640.0</v>
      </c>
    </row>
    <row r="53">
      <c r="A53" s="25">
        <f>'Equity Price Data'!A54</f>
        <v>45499.66667</v>
      </c>
      <c r="B53" s="34">
        <f>(('PRACTICE Equity Price Data'!B54/'PRACTICE Equity Price Data'!B53)-1)+B52</f>
        <v>0.04565116033</v>
      </c>
      <c r="C53" s="34">
        <f>(('PRACTICE Equity Price Data'!C54/'PRACTICE Equity Price Data'!C53)-1)+C52</f>
        <v>0.06022437135</v>
      </c>
      <c r="D53" s="34">
        <f>(('PRACTICE Equity Price Data'!D54/'PRACTICE Equity Price Data'!D53)-1)+D52</f>
        <v>0.03011766498</v>
      </c>
      <c r="E53" s="34">
        <f>(('PRACTICE Equity Price Data'!E54/'PRACTICE Equity Price Data'!E53)-1)+E52</f>
        <v>0.09540086203</v>
      </c>
      <c r="F53" s="3">
        <v>13.0</v>
      </c>
      <c r="G53" s="3">
        <v>260.0</v>
      </c>
      <c r="H53" s="3">
        <v>110.0</v>
      </c>
      <c r="I53" s="3">
        <v>256.0</v>
      </c>
      <c r="J53" s="3">
        <v>83.0</v>
      </c>
      <c r="K53" s="3">
        <v>188.0</v>
      </c>
      <c r="L53" s="3">
        <v>1000.0</v>
      </c>
      <c r="M53" s="3">
        <v>102.0</v>
      </c>
      <c r="N53" s="3">
        <v>200.0</v>
      </c>
      <c r="O53" s="3">
        <v>121.0</v>
      </c>
      <c r="P53" s="3"/>
      <c r="Q53" s="3">
        <v>80.0</v>
      </c>
      <c r="R53" s="3">
        <v>150.0</v>
      </c>
      <c r="S53" s="3"/>
      <c r="T53" s="3">
        <v>120.0</v>
      </c>
      <c r="U53" s="3">
        <v>80.0</v>
      </c>
      <c r="V53" s="1">
        <v>88.0</v>
      </c>
      <c r="W53" s="1">
        <v>250.0</v>
      </c>
      <c r="X53" s="1">
        <v>264.0</v>
      </c>
      <c r="Y53" s="1">
        <v>161.0</v>
      </c>
      <c r="Z53" s="1">
        <v>69.0</v>
      </c>
      <c r="AA53" s="3">
        <v>250.0</v>
      </c>
      <c r="AB53" s="1">
        <v>13.0</v>
      </c>
      <c r="AC53" s="1">
        <v>150.0</v>
      </c>
      <c r="AD53" s="1">
        <v>170.0</v>
      </c>
      <c r="AE53" s="3">
        <v>30.0</v>
      </c>
      <c r="AF53" s="1">
        <v>40.0</v>
      </c>
      <c r="AG53" s="1">
        <v>45.0</v>
      </c>
      <c r="AH53" s="3">
        <v>200.0</v>
      </c>
      <c r="AI53" s="1">
        <v>205.0</v>
      </c>
      <c r="AJ53" s="1">
        <v>60.0</v>
      </c>
      <c r="AK53" s="1">
        <v>100.0</v>
      </c>
      <c r="AL53" s="1">
        <v>175.0</v>
      </c>
      <c r="AM53" s="1">
        <v>130.0</v>
      </c>
      <c r="AN53" s="1"/>
      <c r="AO53" s="3">
        <v>160.0</v>
      </c>
      <c r="AP53" s="3">
        <v>70.0</v>
      </c>
      <c r="AQ53" s="3">
        <v>35.0</v>
      </c>
      <c r="AR53" s="1">
        <v>854.0</v>
      </c>
      <c r="AS53" s="1">
        <v>250.0</v>
      </c>
      <c r="AT53" s="1">
        <v>220.0</v>
      </c>
      <c r="AU53" s="1"/>
      <c r="AV53" s="1">
        <v>120.0</v>
      </c>
      <c r="AW53" s="3">
        <v>200.0</v>
      </c>
      <c r="AX53" s="3"/>
      <c r="AY53" s="3">
        <v>530.0</v>
      </c>
      <c r="AZ53" s="1">
        <v>40.0</v>
      </c>
      <c r="BA53" s="1"/>
      <c r="BB53" s="1"/>
      <c r="BC53" s="1">
        <v>150.0</v>
      </c>
      <c r="BD53" s="1">
        <v>190.0</v>
      </c>
      <c r="BE53" s="1">
        <v>80.0</v>
      </c>
      <c r="BF53" s="1"/>
      <c r="BG53" s="1">
        <v>213.0</v>
      </c>
      <c r="BH53" s="1">
        <v>23.0</v>
      </c>
      <c r="BI53" s="1">
        <v>40.0</v>
      </c>
      <c r="BJ53" s="1">
        <v>278.0</v>
      </c>
      <c r="BK53" s="3">
        <v>160.0</v>
      </c>
      <c r="BL53" s="1">
        <v>160.0</v>
      </c>
      <c r="BM53" s="1">
        <v>75.0</v>
      </c>
      <c r="BN53" s="32">
        <v>1802.0</v>
      </c>
      <c r="BO53" s="1">
        <v>47.0</v>
      </c>
      <c r="BP53" s="1"/>
      <c r="BQ53" s="1">
        <v>188.0</v>
      </c>
      <c r="BR53" s="27">
        <v>34640.0</v>
      </c>
    </row>
    <row r="54">
      <c r="A54" s="25">
        <f>'Equity Price Data'!A55</f>
        <v>45502.66667</v>
      </c>
      <c r="B54" s="34">
        <f>(('PRACTICE Equity Price Data'!B55/'PRACTICE Equity Price Data'!B54)-1)+B53</f>
        <v>0.04646448121</v>
      </c>
      <c r="C54" s="34">
        <f>(('PRACTICE Equity Price Data'!C55/'PRACTICE Equity Price Data'!C54)-1)+C53</f>
        <v>0.06093413544</v>
      </c>
      <c r="D54" s="34">
        <f>(('PRACTICE Equity Price Data'!D55/'PRACTICE Equity Price Data'!D54)-1)+D53</f>
        <v>0.02890035029</v>
      </c>
      <c r="E54" s="34">
        <f>(('PRACTICE Equity Price Data'!E55/'PRACTICE Equity Price Data'!E54)-1)+E53</f>
        <v>0.08445429843</v>
      </c>
      <c r="F54" s="3">
        <v>13.0</v>
      </c>
      <c r="G54" s="3">
        <v>260.0</v>
      </c>
      <c r="H54" s="3">
        <v>110.0</v>
      </c>
      <c r="I54" s="3">
        <v>256.0</v>
      </c>
      <c r="J54" s="3">
        <v>83.0</v>
      </c>
      <c r="K54" s="3">
        <v>188.0</v>
      </c>
      <c r="L54" s="3">
        <v>1000.0</v>
      </c>
      <c r="M54" s="3">
        <v>102.0</v>
      </c>
      <c r="N54" s="3">
        <v>200.0</v>
      </c>
      <c r="O54" s="3">
        <v>121.0</v>
      </c>
      <c r="P54" s="3"/>
      <c r="Q54" s="3">
        <v>80.0</v>
      </c>
      <c r="R54" s="3">
        <v>150.0</v>
      </c>
      <c r="S54" s="3"/>
      <c r="T54" s="3">
        <v>120.0</v>
      </c>
      <c r="U54" s="3">
        <v>80.0</v>
      </c>
      <c r="V54" s="1">
        <v>88.0</v>
      </c>
      <c r="W54" s="1">
        <v>250.0</v>
      </c>
      <c r="X54" s="1">
        <v>264.0</v>
      </c>
      <c r="Y54" s="1">
        <v>161.0</v>
      </c>
      <c r="Z54" s="1">
        <v>69.0</v>
      </c>
      <c r="AA54" s="3">
        <v>250.0</v>
      </c>
      <c r="AB54" s="1">
        <v>13.0</v>
      </c>
      <c r="AC54" s="1">
        <v>150.0</v>
      </c>
      <c r="AD54" s="1">
        <v>170.0</v>
      </c>
      <c r="AE54" s="3">
        <v>30.0</v>
      </c>
      <c r="AF54" s="1">
        <v>40.0</v>
      </c>
      <c r="AG54" s="1">
        <v>45.0</v>
      </c>
      <c r="AH54" s="3">
        <v>200.0</v>
      </c>
      <c r="AI54" s="1">
        <v>205.0</v>
      </c>
      <c r="AJ54" s="1">
        <v>60.0</v>
      </c>
      <c r="AK54" s="1">
        <v>100.0</v>
      </c>
      <c r="AL54" s="1">
        <v>175.0</v>
      </c>
      <c r="AM54" s="1">
        <v>130.0</v>
      </c>
      <c r="AN54" s="1"/>
      <c r="AO54" s="3">
        <v>160.0</v>
      </c>
      <c r="AP54" s="3">
        <v>70.0</v>
      </c>
      <c r="AQ54" s="3">
        <v>35.0</v>
      </c>
      <c r="AR54" s="1">
        <v>854.0</v>
      </c>
      <c r="AS54" s="1">
        <v>250.0</v>
      </c>
      <c r="AT54" s="1">
        <v>220.0</v>
      </c>
      <c r="AU54" s="1"/>
      <c r="AV54" s="1">
        <v>120.0</v>
      </c>
      <c r="AW54" s="3">
        <v>200.0</v>
      </c>
      <c r="AX54" s="3"/>
      <c r="AY54" s="3">
        <v>530.0</v>
      </c>
      <c r="AZ54" s="1">
        <v>40.0</v>
      </c>
      <c r="BA54" s="1"/>
      <c r="BB54" s="1"/>
      <c r="BC54" s="1">
        <v>150.0</v>
      </c>
      <c r="BD54" s="1">
        <v>190.0</v>
      </c>
      <c r="BE54" s="1">
        <v>80.0</v>
      </c>
      <c r="BF54" s="1"/>
      <c r="BG54" s="1">
        <v>213.0</v>
      </c>
      <c r="BH54" s="1">
        <v>23.0</v>
      </c>
      <c r="BI54" s="1">
        <v>40.0</v>
      </c>
      <c r="BJ54" s="1">
        <v>278.0</v>
      </c>
      <c r="BK54" s="3">
        <v>160.0</v>
      </c>
      <c r="BL54" s="1">
        <v>160.0</v>
      </c>
      <c r="BM54" s="1">
        <v>75.0</v>
      </c>
      <c r="BN54" s="32">
        <v>1802.0</v>
      </c>
      <c r="BO54" s="1">
        <v>47.0</v>
      </c>
      <c r="BP54" s="1"/>
      <c r="BQ54" s="1">
        <v>188.0</v>
      </c>
      <c r="BR54" s="27">
        <v>34640.0</v>
      </c>
    </row>
    <row r="55">
      <c r="A55" s="25">
        <f>'Equity Price Data'!A56</f>
        <v>45503.66667</v>
      </c>
      <c r="B55" s="34">
        <f>(('PRACTICE Equity Price Data'!B56/'PRACTICE Equity Price Data'!B55)-1)+B54</f>
        <v>0.04150432717</v>
      </c>
      <c r="C55" s="34">
        <f>(('PRACTICE Equity Price Data'!C56/'PRACTICE Equity Price Data'!C55)-1)+C54</f>
        <v>0.0481087218</v>
      </c>
      <c r="D55" s="34">
        <f>(('PRACTICE Equity Price Data'!D56/'PRACTICE Equity Price Data'!D55)-1)+D54</f>
        <v>0.03391762585</v>
      </c>
      <c r="E55" s="34">
        <f>(('PRACTICE Equity Price Data'!E56/'PRACTICE Equity Price Data'!E55)-1)+E54</f>
        <v>0.08794818971</v>
      </c>
      <c r="F55" s="3">
        <v>13.0</v>
      </c>
      <c r="G55" s="3">
        <v>260.0</v>
      </c>
      <c r="H55" s="3">
        <v>110.0</v>
      </c>
      <c r="I55" s="3">
        <v>256.0</v>
      </c>
      <c r="J55" s="3">
        <v>83.0</v>
      </c>
      <c r="K55" s="3">
        <v>188.0</v>
      </c>
      <c r="L55" s="3">
        <v>1000.0</v>
      </c>
      <c r="M55" s="3">
        <v>102.0</v>
      </c>
      <c r="N55" s="3">
        <v>200.0</v>
      </c>
      <c r="O55" s="3">
        <v>121.0</v>
      </c>
      <c r="P55" s="3"/>
      <c r="Q55" s="3">
        <v>80.0</v>
      </c>
      <c r="R55" s="3">
        <v>150.0</v>
      </c>
      <c r="S55" s="3"/>
      <c r="T55" s="3">
        <v>120.0</v>
      </c>
      <c r="U55" s="3">
        <v>80.0</v>
      </c>
      <c r="V55" s="1">
        <v>88.0</v>
      </c>
      <c r="W55" s="1">
        <v>250.0</v>
      </c>
      <c r="X55" s="1">
        <v>264.0</v>
      </c>
      <c r="Y55" s="1">
        <v>161.0</v>
      </c>
      <c r="Z55" s="1">
        <v>69.0</v>
      </c>
      <c r="AA55" s="3">
        <v>250.0</v>
      </c>
      <c r="AB55" s="1">
        <v>13.0</v>
      </c>
      <c r="AC55" s="1">
        <v>150.0</v>
      </c>
      <c r="AD55" s="1">
        <v>170.0</v>
      </c>
      <c r="AE55" s="3">
        <v>30.0</v>
      </c>
      <c r="AF55" s="1">
        <v>40.0</v>
      </c>
      <c r="AG55" s="1">
        <v>45.0</v>
      </c>
      <c r="AH55" s="3">
        <v>200.0</v>
      </c>
      <c r="AI55" s="1">
        <v>205.0</v>
      </c>
      <c r="AJ55" s="1">
        <v>60.0</v>
      </c>
      <c r="AK55" s="1">
        <v>100.0</v>
      </c>
      <c r="AL55" s="1">
        <v>175.0</v>
      </c>
      <c r="AM55" s="1">
        <v>130.0</v>
      </c>
      <c r="AN55" s="1"/>
      <c r="AO55" s="3">
        <v>160.0</v>
      </c>
      <c r="AP55" s="3">
        <v>70.0</v>
      </c>
      <c r="AQ55" s="3">
        <v>35.0</v>
      </c>
      <c r="AR55" s="1">
        <v>854.0</v>
      </c>
      <c r="AS55" s="1">
        <v>250.0</v>
      </c>
      <c r="AT55" s="1">
        <v>220.0</v>
      </c>
      <c r="AU55" s="1"/>
      <c r="AV55" s="1">
        <v>120.0</v>
      </c>
      <c r="AW55" s="3">
        <v>200.0</v>
      </c>
      <c r="AX55" s="3"/>
      <c r="AY55" s="3">
        <v>530.0</v>
      </c>
      <c r="AZ55" s="1">
        <v>40.0</v>
      </c>
      <c r="BA55" s="1"/>
      <c r="BB55" s="1"/>
      <c r="BC55" s="1">
        <v>150.0</v>
      </c>
      <c r="BD55" s="1">
        <v>190.0</v>
      </c>
      <c r="BE55" s="1">
        <v>80.0</v>
      </c>
      <c r="BF55" s="1"/>
      <c r="BG55" s="1">
        <v>213.0</v>
      </c>
      <c r="BH55" s="1">
        <v>23.0</v>
      </c>
      <c r="BI55" s="1">
        <v>40.0</v>
      </c>
      <c r="BJ55" s="1">
        <v>278.0</v>
      </c>
      <c r="BK55" s="3">
        <v>160.0</v>
      </c>
      <c r="BL55" s="1">
        <v>160.0</v>
      </c>
      <c r="BM55" s="1">
        <v>75.0</v>
      </c>
      <c r="BN55" s="32">
        <v>1802.0</v>
      </c>
      <c r="BO55" s="1">
        <v>47.0</v>
      </c>
      <c r="BP55" s="1"/>
      <c r="BQ55" s="1">
        <v>188.0</v>
      </c>
      <c r="BR55" s="27">
        <v>34640.0</v>
      </c>
    </row>
    <row r="56">
      <c r="A56" s="25">
        <f>'Equity Price Data'!A57</f>
        <v>45504.66667</v>
      </c>
      <c r="B56" s="34">
        <f>(('PRACTICE Equity Price Data'!B57/'PRACTICE Equity Price Data'!B56)-1)+B55</f>
        <v>0.05729775081</v>
      </c>
      <c r="C56" s="34">
        <f>(('PRACTICE Equity Price Data'!C57/'PRACTICE Equity Price Data'!C56)-1)+C55</f>
        <v>0.07446720605</v>
      </c>
      <c r="D56" s="34">
        <f>(('PRACTICE Equity Price Data'!D57/'PRACTICE Equity Price Data'!D56)-1)+D55</f>
        <v>0.03635876161</v>
      </c>
      <c r="E56" s="34">
        <f>(('PRACTICE Equity Price Data'!E57/'PRACTICE Equity Price Data'!E56)-1)+E55</f>
        <v>0.0930036031</v>
      </c>
      <c r="F56" s="3">
        <v>13.0</v>
      </c>
      <c r="G56" s="3">
        <v>260.0</v>
      </c>
      <c r="H56" s="3">
        <v>110.0</v>
      </c>
      <c r="I56" s="3">
        <v>256.0</v>
      </c>
      <c r="J56" s="3">
        <v>83.0</v>
      </c>
      <c r="K56" s="3">
        <v>188.0</v>
      </c>
      <c r="L56" s="3">
        <v>1000.0</v>
      </c>
      <c r="M56" s="3">
        <v>102.0</v>
      </c>
      <c r="N56" s="3">
        <v>200.0</v>
      </c>
      <c r="O56" s="3">
        <v>121.0</v>
      </c>
      <c r="P56" s="3"/>
      <c r="Q56" s="3">
        <v>80.0</v>
      </c>
      <c r="R56" s="3">
        <v>150.0</v>
      </c>
      <c r="S56" s="3"/>
      <c r="T56" s="3">
        <v>120.0</v>
      </c>
      <c r="U56" s="3">
        <v>80.0</v>
      </c>
      <c r="V56" s="1">
        <v>88.0</v>
      </c>
      <c r="W56" s="1">
        <v>250.0</v>
      </c>
      <c r="X56" s="1">
        <v>264.0</v>
      </c>
      <c r="Y56" s="1">
        <v>161.0</v>
      </c>
      <c r="Z56" s="1">
        <v>69.0</v>
      </c>
      <c r="AA56" s="3">
        <v>250.0</v>
      </c>
      <c r="AB56" s="1">
        <v>13.0</v>
      </c>
      <c r="AC56" s="1">
        <v>150.0</v>
      </c>
      <c r="AD56" s="1">
        <v>170.0</v>
      </c>
      <c r="AE56" s="3">
        <v>30.0</v>
      </c>
      <c r="AF56" s="1">
        <v>40.0</v>
      </c>
      <c r="AG56" s="1">
        <v>45.0</v>
      </c>
      <c r="AH56" s="3">
        <v>200.0</v>
      </c>
      <c r="AI56" s="1">
        <v>205.0</v>
      </c>
      <c r="AJ56" s="1">
        <v>60.0</v>
      </c>
      <c r="AK56" s="1">
        <v>100.0</v>
      </c>
      <c r="AL56" s="1">
        <v>175.0</v>
      </c>
      <c r="AM56" s="1">
        <v>130.0</v>
      </c>
      <c r="AN56" s="1"/>
      <c r="AO56" s="3">
        <v>160.0</v>
      </c>
      <c r="AP56" s="3">
        <v>70.0</v>
      </c>
      <c r="AQ56" s="3">
        <v>35.0</v>
      </c>
      <c r="AR56" s="1">
        <v>854.0</v>
      </c>
      <c r="AS56" s="1">
        <v>250.0</v>
      </c>
      <c r="AT56" s="1">
        <v>220.0</v>
      </c>
      <c r="AU56" s="1"/>
      <c r="AV56" s="1">
        <v>120.0</v>
      </c>
      <c r="AW56" s="3">
        <v>200.0</v>
      </c>
      <c r="AX56" s="3"/>
      <c r="AY56" s="3">
        <v>530.0</v>
      </c>
      <c r="AZ56" s="1">
        <v>40.0</v>
      </c>
      <c r="BA56" s="1"/>
      <c r="BB56" s="1"/>
      <c r="BC56" s="1">
        <v>150.0</v>
      </c>
      <c r="BD56" s="1">
        <v>190.0</v>
      </c>
      <c r="BE56" s="1">
        <v>80.0</v>
      </c>
      <c r="BF56" s="1"/>
      <c r="BG56" s="1">
        <v>213.0</v>
      </c>
      <c r="BH56" s="1">
        <v>23.0</v>
      </c>
      <c r="BI56" s="1">
        <v>40.0</v>
      </c>
      <c r="BJ56" s="1">
        <v>278.0</v>
      </c>
      <c r="BK56" s="3">
        <v>160.0</v>
      </c>
      <c r="BL56" s="1">
        <v>160.0</v>
      </c>
      <c r="BM56" s="1">
        <v>75.0</v>
      </c>
      <c r="BN56" s="32">
        <v>1802.0</v>
      </c>
      <c r="BO56" s="1">
        <v>47.0</v>
      </c>
      <c r="BP56" s="1"/>
      <c r="BQ56" s="1">
        <v>188.0</v>
      </c>
      <c r="BR56" s="27">
        <v>34640.0</v>
      </c>
    </row>
    <row r="57">
      <c r="A57" s="25">
        <f>'Equity Price Data'!A58</f>
        <v>45505.66667</v>
      </c>
      <c r="B57" s="34">
        <f>(('PRACTICE Equity Price Data'!B58/'PRACTICE Equity Price Data'!B57)-1)+B56</f>
        <v>0.0436041811</v>
      </c>
      <c r="C57" s="34">
        <f>(('PRACTICE Equity Price Data'!C58/'PRACTICE Equity Price Data'!C57)-1)+C56</f>
        <v>0.05144085288</v>
      </c>
      <c r="D57" s="34">
        <f>(('PRACTICE Equity Price Data'!D58/'PRACTICE Equity Price Data'!D57)-1)+D56</f>
        <v>0.02424352658</v>
      </c>
      <c r="E57" s="34">
        <f>(('PRACTICE Equity Price Data'!E58/'PRACTICE Equity Price Data'!E57)-1)+E56</f>
        <v>0.0626994975</v>
      </c>
      <c r="F57" s="3">
        <v>13.0</v>
      </c>
      <c r="G57" s="3">
        <v>260.0</v>
      </c>
      <c r="H57" s="3">
        <v>110.0</v>
      </c>
      <c r="I57" s="3">
        <v>256.0</v>
      </c>
      <c r="J57" s="3">
        <v>83.0</v>
      </c>
      <c r="K57" s="3">
        <v>188.0</v>
      </c>
      <c r="L57" s="3">
        <v>1000.0</v>
      </c>
      <c r="M57" s="3">
        <v>102.0</v>
      </c>
      <c r="N57" s="3">
        <v>200.0</v>
      </c>
      <c r="O57" s="3">
        <v>121.0</v>
      </c>
      <c r="P57" s="3"/>
      <c r="Q57" s="3">
        <v>80.0</v>
      </c>
      <c r="R57" s="3">
        <v>150.0</v>
      </c>
      <c r="S57" s="3"/>
      <c r="T57" s="3">
        <v>120.0</v>
      </c>
      <c r="U57" s="3">
        <v>80.0</v>
      </c>
      <c r="V57" s="1">
        <v>88.0</v>
      </c>
      <c r="W57" s="1">
        <v>250.0</v>
      </c>
      <c r="X57" s="1">
        <v>264.0</v>
      </c>
      <c r="Y57" s="1">
        <v>161.0</v>
      </c>
      <c r="Z57" s="1">
        <v>69.0</v>
      </c>
      <c r="AA57" s="3">
        <v>250.0</v>
      </c>
      <c r="AB57" s="1">
        <v>13.0</v>
      </c>
      <c r="AC57" s="1">
        <v>150.0</v>
      </c>
      <c r="AD57" s="1">
        <v>170.0</v>
      </c>
      <c r="AE57" s="3">
        <v>30.0</v>
      </c>
      <c r="AF57" s="1">
        <v>40.0</v>
      </c>
      <c r="AG57" s="1">
        <v>45.0</v>
      </c>
      <c r="AH57" s="3">
        <v>200.0</v>
      </c>
      <c r="AI57" s="1">
        <v>205.0</v>
      </c>
      <c r="AJ57" s="1">
        <v>60.0</v>
      </c>
      <c r="AK57" s="1">
        <v>100.0</v>
      </c>
      <c r="AL57" s="1">
        <v>175.0</v>
      </c>
      <c r="AM57" s="1">
        <v>130.0</v>
      </c>
      <c r="AN57" s="1"/>
      <c r="AO57" s="3">
        <v>160.0</v>
      </c>
      <c r="AP57" s="3">
        <v>70.0</v>
      </c>
      <c r="AQ57" s="3">
        <v>35.0</v>
      </c>
      <c r="AR57" s="1">
        <v>854.0</v>
      </c>
      <c r="AS57" s="1">
        <v>250.0</v>
      </c>
      <c r="AT57" s="1">
        <v>220.0</v>
      </c>
      <c r="AU57" s="1"/>
      <c r="AV57" s="1">
        <v>120.0</v>
      </c>
      <c r="AW57" s="3">
        <v>200.0</v>
      </c>
      <c r="AX57" s="3"/>
      <c r="AY57" s="3">
        <v>530.0</v>
      </c>
      <c r="AZ57" s="1">
        <v>40.0</v>
      </c>
      <c r="BA57" s="1"/>
      <c r="BB57" s="1"/>
      <c r="BC57" s="1">
        <v>150.0</v>
      </c>
      <c r="BD57" s="1">
        <v>190.0</v>
      </c>
      <c r="BE57" s="1">
        <v>80.0</v>
      </c>
      <c r="BF57" s="1"/>
      <c r="BG57" s="1">
        <v>213.0</v>
      </c>
      <c r="BH57" s="1">
        <v>23.0</v>
      </c>
      <c r="BI57" s="1">
        <v>40.0</v>
      </c>
      <c r="BJ57" s="1">
        <v>278.0</v>
      </c>
      <c r="BK57" s="3">
        <v>160.0</v>
      </c>
      <c r="BL57" s="1">
        <v>160.0</v>
      </c>
      <c r="BM57" s="1">
        <v>75.0</v>
      </c>
      <c r="BN57" s="32">
        <v>1802.0</v>
      </c>
      <c r="BO57" s="1">
        <v>47.0</v>
      </c>
      <c r="BP57" s="1"/>
      <c r="BQ57" s="1">
        <v>188.0</v>
      </c>
      <c r="BR57" s="27">
        <v>34640.0</v>
      </c>
    </row>
    <row r="58">
      <c r="A58" s="25">
        <f>'Equity Price Data'!A59</f>
        <v>45506.66667</v>
      </c>
      <c r="B58" s="34">
        <f>(('PRACTICE Equity Price Data'!B59/'PRACTICE Equity Price Data'!B58)-1)+B57</f>
        <v>0.02522234115</v>
      </c>
      <c r="C58" s="34">
        <f>(('PRACTICE Equity Price Data'!C59/'PRACTICE Equity Price Data'!C58)-1)+C57</f>
        <v>0.02713084046</v>
      </c>
      <c r="D58" s="34">
        <f>(('PRACTICE Equity Price Data'!D59/'PRACTICE Equity Price Data'!D58)-1)+D57</f>
        <v>0.009107449106</v>
      </c>
      <c r="E58" s="34">
        <f>(('PRACTICE Equity Price Data'!E59/'PRACTICE Equity Price Data'!E58)-1)+E57</f>
        <v>0.02754653523</v>
      </c>
      <c r="F58" s="3">
        <v>13.0</v>
      </c>
      <c r="G58" s="3">
        <v>260.0</v>
      </c>
      <c r="H58" s="3">
        <v>110.0</v>
      </c>
      <c r="I58" s="3">
        <v>256.0</v>
      </c>
      <c r="J58" s="3">
        <v>83.0</v>
      </c>
      <c r="K58" s="3">
        <v>188.0</v>
      </c>
      <c r="L58" s="3">
        <v>1000.0</v>
      </c>
      <c r="M58" s="3">
        <v>102.0</v>
      </c>
      <c r="N58" s="3">
        <v>200.0</v>
      </c>
      <c r="O58" s="3">
        <v>121.0</v>
      </c>
      <c r="P58" s="3"/>
      <c r="Q58" s="3">
        <v>80.0</v>
      </c>
      <c r="R58" s="3">
        <v>150.0</v>
      </c>
      <c r="S58" s="3"/>
      <c r="T58" s="3">
        <v>120.0</v>
      </c>
      <c r="U58" s="3">
        <v>80.0</v>
      </c>
      <c r="V58" s="1">
        <v>88.0</v>
      </c>
      <c r="W58" s="1">
        <v>250.0</v>
      </c>
      <c r="X58" s="1">
        <v>264.0</v>
      </c>
      <c r="Y58" s="1">
        <v>161.0</v>
      </c>
      <c r="Z58" s="1">
        <v>69.0</v>
      </c>
      <c r="AA58" s="3">
        <v>250.0</v>
      </c>
      <c r="AB58" s="1">
        <v>13.0</v>
      </c>
      <c r="AC58" s="1">
        <v>150.0</v>
      </c>
      <c r="AD58" s="1">
        <v>170.0</v>
      </c>
      <c r="AE58" s="3">
        <v>30.0</v>
      </c>
      <c r="AF58" s="1">
        <v>40.0</v>
      </c>
      <c r="AG58" s="1">
        <v>45.0</v>
      </c>
      <c r="AH58" s="3">
        <v>200.0</v>
      </c>
      <c r="AI58" s="1">
        <v>205.0</v>
      </c>
      <c r="AJ58" s="1">
        <v>60.0</v>
      </c>
      <c r="AK58" s="1">
        <v>100.0</v>
      </c>
      <c r="AL58" s="1">
        <v>175.0</v>
      </c>
      <c r="AM58" s="1">
        <v>130.0</v>
      </c>
      <c r="AN58" s="1"/>
      <c r="AO58" s="3">
        <v>160.0</v>
      </c>
      <c r="AP58" s="3">
        <v>70.0</v>
      </c>
      <c r="AQ58" s="3">
        <v>35.0</v>
      </c>
      <c r="AR58" s="1">
        <v>854.0</v>
      </c>
      <c r="AS58" s="1">
        <v>250.0</v>
      </c>
      <c r="AT58" s="1">
        <v>220.0</v>
      </c>
      <c r="AU58" s="1"/>
      <c r="AV58" s="1">
        <v>120.0</v>
      </c>
      <c r="AW58" s="3">
        <v>200.0</v>
      </c>
      <c r="AX58" s="3"/>
      <c r="AY58" s="3">
        <v>530.0</v>
      </c>
      <c r="AZ58" s="1">
        <v>40.0</v>
      </c>
      <c r="BA58" s="1"/>
      <c r="BB58" s="1"/>
      <c r="BC58" s="1">
        <v>150.0</v>
      </c>
      <c r="BD58" s="1">
        <v>190.0</v>
      </c>
      <c r="BE58" s="1">
        <v>80.0</v>
      </c>
      <c r="BF58" s="1"/>
      <c r="BG58" s="1">
        <v>213.0</v>
      </c>
      <c r="BH58" s="1">
        <v>23.0</v>
      </c>
      <c r="BI58" s="1">
        <v>40.0</v>
      </c>
      <c r="BJ58" s="1">
        <v>278.0</v>
      </c>
      <c r="BK58" s="3">
        <v>160.0</v>
      </c>
      <c r="BL58" s="1">
        <v>160.0</v>
      </c>
      <c r="BM58" s="1">
        <v>75.0</v>
      </c>
      <c r="BN58" s="32">
        <v>1802.0</v>
      </c>
      <c r="BO58" s="1">
        <v>47.0</v>
      </c>
      <c r="BP58" s="1"/>
      <c r="BQ58" s="1">
        <v>188.0</v>
      </c>
      <c r="BR58" s="27">
        <v>34640.0</v>
      </c>
    </row>
    <row r="59">
      <c r="A59" s="25">
        <f>'Equity Price Data'!A60</f>
        <v>45509.66667</v>
      </c>
      <c r="B59" s="34">
        <f>(('PRACTICE Equity Price Data'!B60/'PRACTICE Equity Price Data'!B59)-1)+B58</f>
        <v>-0.004746461216</v>
      </c>
      <c r="C59" s="34">
        <f>(('PRACTICE Equity Price Data'!C60/'PRACTICE Equity Price Data'!C59)-1)+C58</f>
        <v>-0.007208364693</v>
      </c>
      <c r="D59" s="34">
        <f>(('PRACTICE Equity Price Data'!D60/'PRACTICE Equity Price Data'!D59)-1)+D58</f>
        <v>-0.01691321764</v>
      </c>
      <c r="E59" s="34">
        <f>(('PRACTICE Equity Price Data'!E60/'PRACTICE Equity Price Data'!E59)-1)+E58</f>
        <v>-0.005710785886</v>
      </c>
      <c r="F59" s="3">
        <v>13.0</v>
      </c>
      <c r="G59" s="3">
        <v>260.0</v>
      </c>
      <c r="H59" s="3">
        <v>110.0</v>
      </c>
      <c r="I59" s="3">
        <v>256.0</v>
      </c>
      <c r="J59" s="3">
        <v>83.0</v>
      </c>
      <c r="K59" s="3">
        <v>188.0</v>
      </c>
      <c r="L59" s="3">
        <v>1000.0</v>
      </c>
      <c r="M59" s="3">
        <v>102.0</v>
      </c>
      <c r="N59" s="3">
        <v>200.0</v>
      </c>
      <c r="O59" s="3">
        <v>121.0</v>
      </c>
      <c r="P59" s="3"/>
      <c r="Q59" s="3">
        <v>80.0</v>
      </c>
      <c r="R59" s="3">
        <v>150.0</v>
      </c>
      <c r="S59" s="3"/>
      <c r="T59" s="3">
        <v>120.0</v>
      </c>
      <c r="U59" s="3">
        <v>80.0</v>
      </c>
      <c r="V59" s="1">
        <v>88.0</v>
      </c>
      <c r="W59" s="1">
        <v>250.0</v>
      </c>
      <c r="X59" s="1">
        <v>264.0</v>
      </c>
      <c r="Y59" s="1">
        <v>161.0</v>
      </c>
      <c r="Z59" s="1">
        <v>69.0</v>
      </c>
      <c r="AA59" s="3">
        <v>250.0</v>
      </c>
      <c r="AB59" s="1">
        <v>13.0</v>
      </c>
      <c r="AC59" s="1">
        <v>150.0</v>
      </c>
      <c r="AD59" s="1">
        <v>170.0</v>
      </c>
      <c r="AE59" s="3">
        <v>30.0</v>
      </c>
      <c r="AF59" s="1">
        <v>40.0</v>
      </c>
      <c r="AG59" s="1">
        <v>45.0</v>
      </c>
      <c r="AH59" s="3">
        <v>200.0</v>
      </c>
      <c r="AI59" s="1">
        <v>205.0</v>
      </c>
      <c r="AJ59" s="1">
        <v>60.0</v>
      </c>
      <c r="AK59" s="1">
        <v>100.0</v>
      </c>
      <c r="AL59" s="1">
        <v>175.0</v>
      </c>
      <c r="AM59" s="1">
        <v>130.0</v>
      </c>
      <c r="AN59" s="1"/>
      <c r="AO59" s="3">
        <v>160.0</v>
      </c>
      <c r="AP59" s="3">
        <v>70.0</v>
      </c>
      <c r="AQ59" s="3">
        <v>35.0</v>
      </c>
      <c r="AR59" s="1">
        <v>854.0</v>
      </c>
      <c r="AS59" s="1">
        <v>250.0</v>
      </c>
      <c r="AT59" s="1">
        <v>220.0</v>
      </c>
      <c r="AU59" s="1"/>
      <c r="AV59" s="1">
        <v>120.0</v>
      </c>
      <c r="AW59" s="3">
        <v>200.0</v>
      </c>
      <c r="AX59" s="3"/>
      <c r="AY59" s="3">
        <v>530.0</v>
      </c>
      <c r="AZ59" s="1">
        <v>40.0</v>
      </c>
      <c r="BA59" s="1"/>
      <c r="BB59" s="1"/>
      <c r="BC59" s="1">
        <v>150.0</v>
      </c>
      <c r="BD59" s="1">
        <v>190.0</v>
      </c>
      <c r="BE59" s="1">
        <v>80.0</v>
      </c>
      <c r="BF59" s="1"/>
      <c r="BG59" s="1">
        <v>213.0</v>
      </c>
      <c r="BH59" s="1">
        <v>23.0</v>
      </c>
      <c r="BI59" s="1">
        <v>40.0</v>
      </c>
      <c r="BJ59" s="1">
        <v>278.0</v>
      </c>
      <c r="BK59" s="3">
        <v>160.0</v>
      </c>
      <c r="BL59" s="1">
        <v>160.0</v>
      </c>
      <c r="BM59" s="1">
        <v>75.0</v>
      </c>
      <c r="BN59" s="32">
        <v>1802.0</v>
      </c>
      <c r="BO59" s="1">
        <v>47.0</v>
      </c>
      <c r="BP59" s="1"/>
      <c r="BQ59" s="1">
        <v>188.0</v>
      </c>
      <c r="BR59" s="27">
        <v>34640.0</v>
      </c>
    </row>
    <row r="60">
      <c r="A60" s="25">
        <f>'Equity Price Data'!A61</f>
        <v>45510.66667</v>
      </c>
      <c r="B60" s="34">
        <f>(('PRACTICE Equity Price Data'!B61/'PRACTICE Equity Price Data'!B60)-1)+B59</f>
        <v>0.005607681309</v>
      </c>
      <c r="C60" s="34">
        <f>(('PRACTICE Equity Price Data'!C61/'PRACTICE Equity Price Data'!C60)-1)+C59</f>
        <v>0.003086646196</v>
      </c>
      <c r="D60" s="34">
        <f>(('PRACTICE Equity Price Data'!D61/'PRACTICE Equity Price Data'!D60)-1)+D59</f>
        <v>-0.009306883605</v>
      </c>
      <c r="E60" s="34">
        <f>(('PRACTICE Equity Price Data'!E61/'PRACTICE Equity Price Data'!E60)-1)+E59</f>
        <v>0.00661782001</v>
      </c>
      <c r="F60" s="3">
        <v>13.0</v>
      </c>
      <c r="G60" s="3">
        <v>260.0</v>
      </c>
      <c r="H60" s="3">
        <v>110.0</v>
      </c>
      <c r="I60" s="3">
        <v>256.0</v>
      </c>
      <c r="J60" s="3">
        <v>83.0</v>
      </c>
      <c r="K60" s="3">
        <v>188.0</v>
      </c>
      <c r="L60" s="3">
        <v>1000.0</v>
      </c>
      <c r="M60" s="3">
        <v>102.0</v>
      </c>
      <c r="N60" s="3">
        <v>200.0</v>
      </c>
      <c r="O60" s="3">
        <v>121.0</v>
      </c>
      <c r="P60" s="3"/>
      <c r="Q60" s="3">
        <v>80.0</v>
      </c>
      <c r="R60" s="3">
        <v>150.0</v>
      </c>
      <c r="S60" s="3"/>
      <c r="T60" s="3">
        <v>120.0</v>
      </c>
      <c r="U60" s="3">
        <v>80.0</v>
      </c>
      <c r="V60" s="1">
        <v>88.0</v>
      </c>
      <c r="W60" s="1">
        <v>250.0</v>
      </c>
      <c r="X60" s="1">
        <v>264.0</v>
      </c>
      <c r="Y60" s="1">
        <v>161.0</v>
      </c>
      <c r="Z60" s="1">
        <v>69.0</v>
      </c>
      <c r="AA60" s="3">
        <v>250.0</v>
      </c>
      <c r="AB60" s="1">
        <v>13.0</v>
      </c>
      <c r="AC60" s="1">
        <v>150.0</v>
      </c>
      <c r="AD60" s="1">
        <v>170.0</v>
      </c>
      <c r="AE60" s="3">
        <v>30.0</v>
      </c>
      <c r="AF60" s="1">
        <v>40.0</v>
      </c>
      <c r="AG60" s="1">
        <v>45.0</v>
      </c>
      <c r="AH60" s="3">
        <v>200.0</v>
      </c>
      <c r="AI60" s="1">
        <v>205.0</v>
      </c>
      <c r="AJ60" s="1">
        <v>60.0</v>
      </c>
      <c r="AK60" s="1">
        <v>100.0</v>
      </c>
      <c r="AL60" s="1">
        <v>175.0</v>
      </c>
      <c r="AM60" s="1">
        <v>130.0</v>
      </c>
      <c r="AN60" s="1"/>
      <c r="AO60" s="3">
        <v>160.0</v>
      </c>
      <c r="AP60" s="3">
        <v>70.0</v>
      </c>
      <c r="AQ60" s="3">
        <v>35.0</v>
      </c>
      <c r="AR60" s="1">
        <v>854.0</v>
      </c>
      <c r="AS60" s="1">
        <v>250.0</v>
      </c>
      <c r="AT60" s="1">
        <v>220.0</v>
      </c>
      <c r="AU60" s="1"/>
      <c r="AV60" s="1">
        <v>120.0</v>
      </c>
      <c r="AW60" s="3">
        <v>200.0</v>
      </c>
      <c r="AX60" s="3"/>
      <c r="AY60" s="3">
        <v>530.0</v>
      </c>
      <c r="AZ60" s="1">
        <v>40.0</v>
      </c>
      <c r="BA60" s="1"/>
      <c r="BB60" s="1"/>
      <c r="BC60" s="1">
        <v>150.0</v>
      </c>
      <c r="BD60" s="1">
        <v>190.0</v>
      </c>
      <c r="BE60" s="1">
        <v>80.0</v>
      </c>
      <c r="BF60" s="1"/>
      <c r="BG60" s="1">
        <v>213.0</v>
      </c>
      <c r="BH60" s="1">
        <v>23.0</v>
      </c>
      <c r="BI60" s="1">
        <v>40.0</v>
      </c>
      <c r="BJ60" s="1">
        <v>278.0</v>
      </c>
      <c r="BK60" s="3">
        <v>160.0</v>
      </c>
      <c r="BL60" s="1">
        <v>160.0</v>
      </c>
      <c r="BM60" s="1">
        <v>75.0</v>
      </c>
      <c r="BN60" s="32">
        <v>1802.0</v>
      </c>
      <c r="BO60" s="1">
        <v>47.0</v>
      </c>
      <c r="BP60" s="1"/>
      <c r="BQ60" s="1">
        <v>188.0</v>
      </c>
      <c r="BR60" s="27">
        <v>34640.0</v>
      </c>
    </row>
    <row r="61">
      <c r="A61" s="25">
        <f>'Equity Price Data'!A62</f>
        <v>45511.66667</v>
      </c>
      <c r="B61" s="34">
        <f>(('PRACTICE Equity Price Data'!B62/'PRACTICE Equity Price Data'!B61)-1)+B60</f>
        <v>-0.002127007233</v>
      </c>
      <c r="C61" s="34">
        <f>(('PRACTICE Equity Price Data'!C62/'PRACTICE Equity Price Data'!C61)-1)+C60</f>
        <v>-0.007364350514</v>
      </c>
      <c r="D61" s="34">
        <f>(('PRACTICE Equity Price Data'!D62/'PRACTICE Equity Price Data'!D61)-1)+D60</f>
        <v>-0.01531262857</v>
      </c>
      <c r="E61" s="34">
        <f>(('PRACTICE Equity Price Data'!E62/'PRACTICE Equity Price Data'!E61)-1)+E60</f>
        <v>-0.007522566562</v>
      </c>
      <c r="F61" s="3">
        <v>13.0</v>
      </c>
      <c r="G61" s="3">
        <v>260.0</v>
      </c>
      <c r="H61" s="3">
        <v>110.0</v>
      </c>
      <c r="I61" s="3">
        <v>256.0</v>
      </c>
      <c r="J61" s="3">
        <v>83.0</v>
      </c>
      <c r="K61" s="3">
        <v>188.0</v>
      </c>
      <c r="L61" s="3">
        <v>1000.0</v>
      </c>
      <c r="M61" s="3">
        <v>102.0</v>
      </c>
      <c r="N61" s="3">
        <v>200.0</v>
      </c>
      <c r="O61" s="3">
        <v>121.0</v>
      </c>
      <c r="P61" s="3"/>
      <c r="Q61" s="3">
        <v>80.0</v>
      </c>
      <c r="R61" s="3">
        <v>150.0</v>
      </c>
      <c r="S61" s="3"/>
      <c r="T61" s="3">
        <v>120.0</v>
      </c>
      <c r="U61" s="3">
        <v>80.0</v>
      </c>
      <c r="V61" s="1">
        <v>88.0</v>
      </c>
      <c r="W61" s="1">
        <v>250.0</v>
      </c>
      <c r="X61" s="1">
        <v>264.0</v>
      </c>
      <c r="Y61" s="1">
        <v>161.0</v>
      </c>
      <c r="Z61" s="1">
        <v>69.0</v>
      </c>
      <c r="AA61" s="3">
        <v>250.0</v>
      </c>
      <c r="AB61" s="1">
        <v>13.0</v>
      </c>
      <c r="AC61" s="1">
        <v>150.0</v>
      </c>
      <c r="AD61" s="1">
        <v>170.0</v>
      </c>
      <c r="AE61" s="3">
        <v>30.0</v>
      </c>
      <c r="AF61" s="1">
        <v>40.0</v>
      </c>
      <c r="AG61" s="1">
        <v>45.0</v>
      </c>
      <c r="AH61" s="3">
        <v>200.0</v>
      </c>
      <c r="AI61" s="1">
        <v>205.0</v>
      </c>
      <c r="AJ61" s="1">
        <v>60.0</v>
      </c>
      <c r="AK61" s="1">
        <v>100.0</v>
      </c>
      <c r="AL61" s="1">
        <v>175.0</v>
      </c>
      <c r="AM61" s="1">
        <v>130.0</v>
      </c>
      <c r="AN61" s="1"/>
      <c r="AO61" s="3">
        <v>160.0</v>
      </c>
      <c r="AP61" s="3">
        <v>70.0</v>
      </c>
      <c r="AQ61" s="3">
        <v>35.0</v>
      </c>
      <c r="AR61" s="1">
        <v>854.0</v>
      </c>
      <c r="AS61" s="1">
        <v>250.0</v>
      </c>
      <c r="AT61" s="1">
        <v>220.0</v>
      </c>
      <c r="AU61" s="1"/>
      <c r="AV61" s="1">
        <v>120.0</v>
      </c>
      <c r="AW61" s="3">
        <v>200.0</v>
      </c>
      <c r="AX61" s="3"/>
      <c r="AY61" s="3">
        <v>530.0</v>
      </c>
      <c r="AZ61" s="1">
        <v>40.0</v>
      </c>
      <c r="BA61" s="1"/>
      <c r="BB61" s="1"/>
      <c r="BC61" s="1">
        <v>150.0</v>
      </c>
      <c r="BD61" s="1">
        <v>190.0</v>
      </c>
      <c r="BE61" s="1">
        <v>80.0</v>
      </c>
      <c r="BF61" s="1"/>
      <c r="BG61" s="1">
        <v>213.0</v>
      </c>
      <c r="BH61" s="1">
        <v>23.0</v>
      </c>
      <c r="BI61" s="1">
        <v>40.0</v>
      </c>
      <c r="BJ61" s="1">
        <v>278.0</v>
      </c>
      <c r="BK61" s="3">
        <v>160.0</v>
      </c>
      <c r="BL61" s="1">
        <v>160.0</v>
      </c>
      <c r="BM61" s="1">
        <v>75.0</v>
      </c>
      <c r="BN61" s="32">
        <v>1802.0</v>
      </c>
      <c r="BO61" s="1">
        <v>47.0</v>
      </c>
      <c r="BP61" s="1"/>
      <c r="BQ61" s="1">
        <v>188.0</v>
      </c>
      <c r="BR61" s="27">
        <v>34640.0</v>
      </c>
    </row>
    <row r="62">
      <c r="A62" s="25">
        <f>'Equity Price Data'!A63</f>
        <v>45512.66667</v>
      </c>
      <c r="B62" s="34">
        <f>(('PRACTICE Equity Price Data'!B63/'PRACTICE Equity Price Data'!B62)-1)+B61</f>
        <v>0.02091559302</v>
      </c>
      <c r="C62" s="34">
        <f>(('PRACTICE Equity Price Data'!C63/'PRACTICE Equity Price Data'!C62)-1)+C61</f>
        <v>0.02129800105</v>
      </c>
      <c r="D62" s="34">
        <f>(('PRACTICE Equity Price Data'!D63/'PRACTICE Equity Price Data'!D62)-1)+D61</f>
        <v>0.002308094049</v>
      </c>
      <c r="E62" s="34">
        <f>(('PRACTICE Equity Price Data'!E63/'PRACTICE Equity Price Data'!E62)-1)+E61</f>
        <v>0.01670708196</v>
      </c>
      <c r="F62" s="3">
        <v>13.0</v>
      </c>
      <c r="G62" s="3">
        <v>260.0</v>
      </c>
      <c r="H62" s="3">
        <v>110.0</v>
      </c>
      <c r="I62" s="3">
        <v>256.0</v>
      </c>
      <c r="J62" s="3">
        <v>83.0</v>
      </c>
      <c r="K62" s="3">
        <v>188.0</v>
      </c>
      <c r="L62" s="3">
        <v>1000.0</v>
      </c>
      <c r="M62" s="3">
        <v>102.0</v>
      </c>
      <c r="N62" s="3">
        <v>200.0</v>
      </c>
      <c r="O62" s="3">
        <v>121.0</v>
      </c>
      <c r="P62" s="3"/>
      <c r="Q62" s="3">
        <v>80.0</v>
      </c>
      <c r="R62" s="3">
        <v>150.0</v>
      </c>
      <c r="S62" s="3"/>
      <c r="T62" s="3">
        <v>120.0</v>
      </c>
      <c r="U62" s="3">
        <v>80.0</v>
      </c>
      <c r="V62" s="1">
        <v>88.0</v>
      </c>
      <c r="W62" s="1">
        <v>250.0</v>
      </c>
      <c r="X62" s="1">
        <v>264.0</v>
      </c>
      <c r="Y62" s="1">
        <v>161.0</v>
      </c>
      <c r="Z62" s="1">
        <v>69.0</v>
      </c>
      <c r="AA62" s="3">
        <v>250.0</v>
      </c>
      <c r="AB62" s="1">
        <v>13.0</v>
      </c>
      <c r="AC62" s="1">
        <v>150.0</v>
      </c>
      <c r="AD62" s="1">
        <v>170.0</v>
      </c>
      <c r="AE62" s="3">
        <v>30.0</v>
      </c>
      <c r="AF62" s="1">
        <v>40.0</v>
      </c>
      <c r="AG62" s="1">
        <v>45.0</v>
      </c>
      <c r="AH62" s="3">
        <v>200.0</v>
      </c>
      <c r="AI62" s="1">
        <v>205.0</v>
      </c>
      <c r="AJ62" s="1">
        <v>60.0</v>
      </c>
      <c r="AK62" s="1">
        <v>100.0</v>
      </c>
      <c r="AL62" s="1">
        <v>175.0</v>
      </c>
      <c r="AM62" s="1">
        <v>130.0</v>
      </c>
      <c r="AN62" s="1"/>
      <c r="AO62" s="3">
        <v>160.0</v>
      </c>
      <c r="AP62" s="3">
        <v>70.0</v>
      </c>
      <c r="AQ62" s="3">
        <v>35.0</v>
      </c>
      <c r="AR62" s="1">
        <v>854.0</v>
      </c>
      <c r="AS62" s="1">
        <v>250.0</v>
      </c>
      <c r="AT62" s="1">
        <v>220.0</v>
      </c>
      <c r="AU62" s="1"/>
      <c r="AV62" s="1">
        <v>120.0</v>
      </c>
      <c r="AW62" s="3">
        <v>200.0</v>
      </c>
      <c r="AX62" s="3"/>
      <c r="AY62" s="3">
        <v>530.0</v>
      </c>
      <c r="AZ62" s="1">
        <v>40.0</v>
      </c>
      <c r="BA62" s="1"/>
      <c r="BB62" s="1"/>
      <c r="BC62" s="1">
        <v>150.0</v>
      </c>
      <c r="BD62" s="1">
        <v>190.0</v>
      </c>
      <c r="BE62" s="1">
        <v>80.0</v>
      </c>
      <c r="BF62" s="1"/>
      <c r="BG62" s="1">
        <v>213.0</v>
      </c>
      <c r="BH62" s="1">
        <v>23.0</v>
      </c>
      <c r="BI62" s="1">
        <v>40.0</v>
      </c>
      <c r="BJ62" s="1">
        <v>278.0</v>
      </c>
      <c r="BK62" s="3">
        <v>160.0</v>
      </c>
      <c r="BL62" s="1">
        <v>160.0</v>
      </c>
      <c r="BM62" s="1">
        <v>75.0</v>
      </c>
      <c r="BN62" s="32">
        <v>1802.0</v>
      </c>
      <c r="BO62" s="1">
        <v>47.0</v>
      </c>
      <c r="BP62" s="1"/>
      <c r="BQ62" s="1">
        <v>188.0</v>
      </c>
      <c r="BR62" s="27">
        <v>34640.0</v>
      </c>
    </row>
    <row r="63">
      <c r="A63" s="25">
        <f>'Equity Price Data'!A64</f>
        <v>45513.66667</v>
      </c>
      <c r="B63" s="34">
        <f>(('PRACTICE Equity Price Data'!B64/'PRACTICE Equity Price Data'!B63)-1)+B62</f>
        <v>0.02558725156</v>
      </c>
      <c r="C63" s="34">
        <f>(('PRACTICE Equity Price Data'!C64/'PRACTICE Equity Price Data'!C63)-1)+C62</f>
        <v>0.02641684244</v>
      </c>
      <c r="D63" s="34">
        <f>(('PRACTICE Equity Price Data'!D64/'PRACTICE Equity Price Data'!D63)-1)+D62</f>
        <v>0.003602252287</v>
      </c>
      <c r="E63" s="34">
        <f>(('PRACTICE Equity Price Data'!E64/'PRACTICE Equity Price Data'!E63)-1)+E62</f>
        <v>0.01502795779</v>
      </c>
      <c r="F63" s="3">
        <v>13.0</v>
      </c>
      <c r="G63" s="3">
        <v>260.0</v>
      </c>
      <c r="H63" s="3">
        <v>110.0</v>
      </c>
      <c r="I63" s="3">
        <v>256.0</v>
      </c>
      <c r="J63" s="3">
        <v>83.0</v>
      </c>
      <c r="K63" s="3">
        <v>188.0</v>
      </c>
      <c r="L63" s="3">
        <v>1000.0</v>
      </c>
      <c r="M63" s="3">
        <v>102.0</v>
      </c>
      <c r="N63" s="3">
        <v>200.0</v>
      </c>
      <c r="O63" s="3">
        <v>121.0</v>
      </c>
      <c r="P63" s="3"/>
      <c r="Q63" s="3">
        <v>80.0</v>
      </c>
      <c r="R63" s="3">
        <v>150.0</v>
      </c>
      <c r="S63" s="3"/>
      <c r="T63" s="3">
        <v>120.0</v>
      </c>
      <c r="U63" s="3">
        <v>80.0</v>
      </c>
      <c r="V63" s="1">
        <v>88.0</v>
      </c>
      <c r="W63" s="1">
        <v>250.0</v>
      </c>
      <c r="X63" s="1">
        <v>264.0</v>
      </c>
      <c r="Y63" s="1">
        <v>161.0</v>
      </c>
      <c r="Z63" s="1">
        <v>69.0</v>
      </c>
      <c r="AA63" s="3">
        <v>250.0</v>
      </c>
      <c r="AB63" s="1">
        <v>13.0</v>
      </c>
      <c r="AC63" s="1">
        <v>150.0</v>
      </c>
      <c r="AD63" s="1">
        <v>170.0</v>
      </c>
      <c r="AE63" s="3">
        <v>30.0</v>
      </c>
      <c r="AF63" s="1">
        <v>40.0</v>
      </c>
      <c r="AG63" s="1">
        <v>45.0</v>
      </c>
      <c r="AH63" s="3">
        <v>200.0</v>
      </c>
      <c r="AI63" s="1">
        <v>205.0</v>
      </c>
      <c r="AJ63" s="1">
        <v>60.0</v>
      </c>
      <c r="AK63" s="1">
        <v>100.0</v>
      </c>
      <c r="AL63" s="1">
        <v>175.0</v>
      </c>
      <c r="AM63" s="1">
        <v>130.0</v>
      </c>
      <c r="AN63" s="1"/>
      <c r="AO63" s="3">
        <v>160.0</v>
      </c>
      <c r="AP63" s="3">
        <v>70.0</v>
      </c>
      <c r="AQ63" s="3">
        <v>35.0</v>
      </c>
      <c r="AR63" s="1">
        <v>854.0</v>
      </c>
      <c r="AS63" s="1">
        <v>250.0</v>
      </c>
      <c r="AT63" s="1">
        <v>220.0</v>
      </c>
      <c r="AU63" s="1"/>
      <c r="AV63" s="1">
        <v>120.0</v>
      </c>
      <c r="AW63" s="3">
        <v>200.0</v>
      </c>
      <c r="AX63" s="3"/>
      <c r="AY63" s="3">
        <v>530.0</v>
      </c>
      <c r="AZ63" s="1">
        <v>40.0</v>
      </c>
      <c r="BA63" s="1"/>
      <c r="BB63" s="1"/>
      <c r="BC63" s="1">
        <v>150.0</v>
      </c>
      <c r="BD63" s="1">
        <v>190.0</v>
      </c>
      <c r="BE63" s="1">
        <v>80.0</v>
      </c>
      <c r="BF63" s="1"/>
      <c r="BG63" s="1">
        <v>213.0</v>
      </c>
      <c r="BH63" s="1">
        <v>23.0</v>
      </c>
      <c r="BI63" s="1">
        <v>40.0</v>
      </c>
      <c r="BJ63" s="1">
        <v>278.0</v>
      </c>
      <c r="BK63" s="3">
        <v>160.0</v>
      </c>
      <c r="BL63" s="1">
        <v>160.0</v>
      </c>
      <c r="BM63" s="1">
        <v>75.0</v>
      </c>
      <c r="BN63" s="32">
        <v>1802.0</v>
      </c>
      <c r="BO63" s="1">
        <v>47.0</v>
      </c>
      <c r="BP63" s="1"/>
      <c r="BQ63" s="1">
        <v>188.0</v>
      </c>
      <c r="BR63" s="27">
        <v>34640.0</v>
      </c>
    </row>
    <row r="64">
      <c r="A64" s="25">
        <f>'Equity Price Data'!A65</f>
        <v>45516.66667</v>
      </c>
      <c r="B64" s="34">
        <f>(('PRACTICE Equity Price Data'!B65/'PRACTICE Equity Price Data'!B64)-1)+B63</f>
        <v>0.02563028919</v>
      </c>
      <c r="C64" s="34">
        <f>(('PRACTICE Equity Price Data'!C65/'PRACTICE Equity Price Data'!C64)-1)+C63</f>
        <v>0.02852549382</v>
      </c>
      <c r="D64" s="34">
        <f>(('PRACTICE Equity Price Data'!D65/'PRACTICE Equity Price Data'!D64)-1)+D63</f>
        <v>0.00004430918447</v>
      </c>
      <c r="E64" s="34">
        <f>(('PRACTICE Equity Price Data'!E65/'PRACTICE Equity Price Data'!E64)-1)+E63</f>
        <v>0.005974269998</v>
      </c>
      <c r="F64" s="3">
        <v>13.0</v>
      </c>
      <c r="G64" s="3">
        <v>260.0</v>
      </c>
      <c r="H64" s="3">
        <v>110.0</v>
      </c>
      <c r="I64" s="3">
        <v>256.0</v>
      </c>
      <c r="J64" s="3">
        <v>83.0</v>
      </c>
      <c r="K64" s="3">
        <v>188.0</v>
      </c>
      <c r="L64" s="3">
        <v>1000.0</v>
      </c>
      <c r="M64" s="3">
        <v>102.0</v>
      </c>
      <c r="N64" s="3">
        <v>200.0</v>
      </c>
      <c r="O64" s="3">
        <v>121.0</v>
      </c>
      <c r="P64" s="3"/>
      <c r="Q64" s="3">
        <v>80.0</v>
      </c>
      <c r="R64" s="3">
        <v>150.0</v>
      </c>
      <c r="S64" s="3"/>
      <c r="T64" s="3">
        <v>120.0</v>
      </c>
      <c r="U64" s="3">
        <v>80.0</v>
      </c>
      <c r="V64" s="1">
        <v>88.0</v>
      </c>
      <c r="W64" s="1">
        <v>250.0</v>
      </c>
      <c r="X64" s="1">
        <v>264.0</v>
      </c>
      <c r="Y64" s="1">
        <v>161.0</v>
      </c>
      <c r="Z64" s="1">
        <v>69.0</v>
      </c>
      <c r="AA64" s="3">
        <v>250.0</v>
      </c>
      <c r="AB64" s="1">
        <v>13.0</v>
      </c>
      <c r="AC64" s="1">
        <v>150.0</v>
      </c>
      <c r="AD64" s="1">
        <v>170.0</v>
      </c>
      <c r="AE64" s="3">
        <v>30.0</v>
      </c>
      <c r="AF64" s="1">
        <v>40.0</v>
      </c>
      <c r="AG64" s="1">
        <v>45.0</v>
      </c>
      <c r="AH64" s="3">
        <v>200.0</v>
      </c>
      <c r="AI64" s="1">
        <v>205.0</v>
      </c>
      <c r="AJ64" s="1">
        <v>60.0</v>
      </c>
      <c r="AK64" s="1">
        <v>100.0</v>
      </c>
      <c r="AL64" s="1">
        <v>175.0</v>
      </c>
      <c r="AM64" s="1">
        <v>130.0</v>
      </c>
      <c r="AN64" s="1"/>
      <c r="AO64" s="3">
        <v>160.0</v>
      </c>
      <c r="AP64" s="3">
        <v>70.0</v>
      </c>
      <c r="AQ64" s="3">
        <v>35.0</v>
      </c>
      <c r="AR64" s="1">
        <v>854.0</v>
      </c>
      <c r="AS64" s="1">
        <v>250.0</v>
      </c>
      <c r="AT64" s="1">
        <v>220.0</v>
      </c>
      <c r="AU64" s="1"/>
      <c r="AV64" s="1">
        <v>120.0</v>
      </c>
      <c r="AW64" s="3">
        <v>200.0</v>
      </c>
      <c r="AX64" s="3"/>
      <c r="AY64" s="3">
        <v>530.0</v>
      </c>
      <c r="AZ64" s="1">
        <v>40.0</v>
      </c>
      <c r="BA64" s="1"/>
      <c r="BB64" s="1"/>
      <c r="BC64" s="1">
        <v>150.0</v>
      </c>
      <c r="BD64" s="1">
        <v>190.0</v>
      </c>
      <c r="BE64" s="1">
        <v>80.0</v>
      </c>
      <c r="BF64" s="1"/>
      <c r="BG64" s="1">
        <v>213.0</v>
      </c>
      <c r="BH64" s="1">
        <v>23.0</v>
      </c>
      <c r="BI64" s="1">
        <v>40.0</v>
      </c>
      <c r="BJ64" s="1">
        <v>278.0</v>
      </c>
      <c r="BK64" s="3">
        <v>160.0</v>
      </c>
      <c r="BL64" s="1">
        <v>160.0</v>
      </c>
      <c r="BM64" s="1">
        <v>75.0</v>
      </c>
      <c r="BN64" s="32">
        <v>1802.0</v>
      </c>
      <c r="BO64" s="1">
        <v>47.0</v>
      </c>
      <c r="BP64" s="1"/>
      <c r="BQ64" s="1">
        <v>188.0</v>
      </c>
      <c r="BR64" s="27">
        <v>34640.0</v>
      </c>
    </row>
    <row r="65">
      <c r="A65" s="25">
        <f>'Equity Price Data'!A66</f>
        <v>45517.66667</v>
      </c>
      <c r="B65" s="34">
        <f>(('PRACTICE Equity Price Data'!B66/'PRACTICE Equity Price Data'!B65)-1)+B64</f>
        <v>0.04247786207</v>
      </c>
      <c r="C65" s="34">
        <f>(('PRACTICE Equity Price Data'!C66/'PRACTICE Equity Price Data'!C65)-1)+C64</f>
        <v>0.05277967767</v>
      </c>
      <c r="D65" s="34">
        <f>(('PRACTICE Equity Price Data'!D66/'PRACTICE Equity Price Data'!D65)-1)+D64</f>
        <v>0.01042695766</v>
      </c>
      <c r="E65" s="34">
        <f>(('PRACTICE Equity Price Data'!E66/'PRACTICE Equity Price Data'!E65)-1)+E64</f>
        <v>0.02203087304</v>
      </c>
      <c r="F65" s="3">
        <v>13.0</v>
      </c>
      <c r="G65" s="3">
        <v>260.0</v>
      </c>
      <c r="H65" s="3">
        <v>110.0</v>
      </c>
      <c r="I65" s="3">
        <v>256.0</v>
      </c>
      <c r="J65" s="3">
        <v>83.0</v>
      </c>
      <c r="K65" s="3">
        <v>188.0</v>
      </c>
      <c r="L65" s="3">
        <v>1000.0</v>
      </c>
      <c r="M65" s="3">
        <v>102.0</v>
      </c>
      <c r="N65" s="3">
        <v>200.0</v>
      </c>
      <c r="O65" s="3">
        <v>121.0</v>
      </c>
      <c r="P65" s="3"/>
      <c r="Q65" s="3">
        <v>80.0</v>
      </c>
      <c r="R65" s="3">
        <v>150.0</v>
      </c>
      <c r="S65" s="3"/>
      <c r="T65" s="3">
        <v>120.0</v>
      </c>
      <c r="U65" s="3">
        <v>80.0</v>
      </c>
      <c r="V65" s="1">
        <v>88.0</v>
      </c>
      <c r="W65" s="1">
        <v>250.0</v>
      </c>
      <c r="X65" s="1">
        <v>264.0</v>
      </c>
      <c r="Y65" s="1">
        <v>161.0</v>
      </c>
      <c r="Z65" s="1">
        <v>69.0</v>
      </c>
      <c r="AA65" s="3">
        <v>250.0</v>
      </c>
      <c r="AB65" s="1">
        <v>13.0</v>
      </c>
      <c r="AC65" s="1">
        <v>150.0</v>
      </c>
      <c r="AD65" s="1">
        <v>170.0</v>
      </c>
      <c r="AE65" s="3">
        <v>30.0</v>
      </c>
      <c r="AF65" s="1">
        <v>40.0</v>
      </c>
      <c r="AG65" s="1">
        <v>45.0</v>
      </c>
      <c r="AH65" s="3">
        <v>200.0</v>
      </c>
      <c r="AI65" s="1">
        <v>205.0</v>
      </c>
      <c r="AJ65" s="1">
        <v>60.0</v>
      </c>
      <c r="AK65" s="1">
        <v>100.0</v>
      </c>
      <c r="AL65" s="1">
        <v>175.0</v>
      </c>
      <c r="AM65" s="1">
        <v>130.0</v>
      </c>
      <c r="AN65" s="1"/>
      <c r="AO65" s="3">
        <v>160.0</v>
      </c>
      <c r="AP65" s="3">
        <v>70.0</v>
      </c>
      <c r="AQ65" s="3">
        <v>35.0</v>
      </c>
      <c r="AR65" s="1">
        <v>854.0</v>
      </c>
      <c r="AS65" s="1">
        <v>250.0</v>
      </c>
      <c r="AT65" s="1">
        <v>220.0</v>
      </c>
      <c r="AU65" s="1"/>
      <c r="AV65" s="1">
        <v>120.0</v>
      </c>
      <c r="AW65" s="3">
        <v>200.0</v>
      </c>
      <c r="AX65" s="3"/>
      <c r="AY65" s="3">
        <v>530.0</v>
      </c>
      <c r="AZ65" s="1">
        <v>40.0</v>
      </c>
      <c r="BA65" s="1"/>
      <c r="BB65" s="1"/>
      <c r="BC65" s="1">
        <v>150.0</v>
      </c>
      <c r="BD65" s="1">
        <v>190.0</v>
      </c>
      <c r="BE65" s="1">
        <v>80.0</v>
      </c>
      <c r="BF65" s="1"/>
      <c r="BG65" s="1">
        <v>213.0</v>
      </c>
      <c r="BH65" s="1">
        <v>23.0</v>
      </c>
      <c r="BI65" s="1">
        <v>40.0</v>
      </c>
      <c r="BJ65" s="1">
        <v>278.0</v>
      </c>
      <c r="BK65" s="3">
        <v>160.0</v>
      </c>
      <c r="BL65" s="1">
        <v>160.0</v>
      </c>
      <c r="BM65" s="1">
        <v>75.0</v>
      </c>
      <c r="BN65" s="32">
        <v>1802.0</v>
      </c>
      <c r="BO65" s="1">
        <v>47.0</v>
      </c>
      <c r="BP65" s="1"/>
      <c r="BQ65" s="1">
        <v>188.0</v>
      </c>
      <c r="BR65" s="27">
        <v>34640.0</v>
      </c>
    </row>
    <row r="66">
      <c r="A66" s="25">
        <f>'Equity Price Data'!A67</f>
        <v>45518.66667</v>
      </c>
      <c r="B66" s="34">
        <f>(('PRACTICE Equity Price Data'!B67/'PRACTICE Equity Price Data'!B66)-1)+B65</f>
        <v>0.04630163015</v>
      </c>
      <c r="C66" s="34">
        <f>(('PRACTICE Equity Price Data'!C67/'PRACTICE Equity Price Data'!C66)-1)+C65</f>
        <v>0.05307000308</v>
      </c>
      <c r="D66" s="34">
        <f>(('PRACTICE Equity Price Data'!D67/'PRACTICE Equity Price Data'!D66)-1)+D65</f>
        <v>0.01653147402</v>
      </c>
      <c r="E66" s="34">
        <f>(('PRACTICE Equity Price Data'!E67/'PRACTICE Equity Price Data'!E66)-1)+E65</f>
        <v>0.0168427994</v>
      </c>
      <c r="F66" s="3">
        <v>13.0</v>
      </c>
      <c r="G66" s="3">
        <v>260.0</v>
      </c>
      <c r="H66" s="3">
        <v>110.0</v>
      </c>
      <c r="I66" s="3">
        <v>256.0</v>
      </c>
      <c r="J66" s="3">
        <v>83.0</v>
      </c>
      <c r="K66" s="3">
        <v>188.0</v>
      </c>
      <c r="L66" s="3">
        <v>1000.0</v>
      </c>
      <c r="M66" s="3">
        <v>102.0</v>
      </c>
      <c r="N66" s="3">
        <v>200.0</v>
      </c>
      <c r="O66" s="3">
        <v>121.0</v>
      </c>
      <c r="P66" s="3"/>
      <c r="Q66" s="3">
        <v>80.0</v>
      </c>
      <c r="R66" s="3">
        <v>150.0</v>
      </c>
      <c r="S66" s="3"/>
      <c r="T66" s="3">
        <v>120.0</v>
      </c>
      <c r="U66" s="3">
        <v>80.0</v>
      </c>
      <c r="V66" s="1">
        <v>88.0</v>
      </c>
      <c r="W66" s="1">
        <v>250.0</v>
      </c>
      <c r="X66" s="1">
        <v>264.0</v>
      </c>
      <c r="Y66" s="1">
        <v>161.0</v>
      </c>
      <c r="Z66" s="1">
        <v>69.0</v>
      </c>
      <c r="AA66" s="3">
        <v>250.0</v>
      </c>
      <c r="AB66" s="1">
        <v>13.0</v>
      </c>
      <c r="AC66" s="1">
        <v>150.0</v>
      </c>
      <c r="AD66" s="1">
        <v>170.0</v>
      </c>
      <c r="AE66" s="3">
        <v>30.0</v>
      </c>
      <c r="AF66" s="1">
        <v>40.0</v>
      </c>
      <c r="AG66" s="1">
        <v>45.0</v>
      </c>
      <c r="AH66" s="3">
        <v>200.0</v>
      </c>
      <c r="AI66" s="1">
        <v>205.0</v>
      </c>
      <c r="AJ66" s="1">
        <v>60.0</v>
      </c>
      <c r="AK66" s="1">
        <v>100.0</v>
      </c>
      <c r="AL66" s="1">
        <v>175.0</v>
      </c>
      <c r="AM66" s="1">
        <v>130.0</v>
      </c>
      <c r="AN66" s="1"/>
      <c r="AO66" s="3">
        <v>160.0</v>
      </c>
      <c r="AP66" s="3">
        <v>70.0</v>
      </c>
      <c r="AQ66" s="3">
        <v>35.0</v>
      </c>
      <c r="AR66" s="1">
        <v>854.0</v>
      </c>
      <c r="AS66" s="1">
        <v>250.0</v>
      </c>
      <c r="AT66" s="1">
        <v>220.0</v>
      </c>
      <c r="AU66" s="1"/>
      <c r="AV66" s="1">
        <v>120.0</v>
      </c>
      <c r="AW66" s="3">
        <v>200.0</v>
      </c>
      <c r="AX66" s="3"/>
      <c r="AY66" s="3">
        <v>530.0</v>
      </c>
      <c r="AZ66" s="1">
        <v>40.0</v>
      </c>
      <c r="BA66" s="1"/>
      <c r="BB66" s="1"/>
      <c r="BC66" s="1">
        <v>150.0</v>
      </c>
      <c r="BD66" s="1">
        <v>190.0</v>
      </c>
      <c r="BE66" s="1">
        <v>80.0</v>
      </c>
      <c r="BF66" s="1"/>
      <c r="BG66" s="1">
        <v>213.0</v>
      </c>
      <c r="BH66" s="1">
        <v>23.0</v>
      </c>
      <c r="BI66" s="1">
        <v>40.0</v>
      </c>
      <c r="BJ66" s="1">
        <v>278.0</v>
      </c>
      <c r="BK66" s="3">
        <v>160.0</v>
      </c>
      <c r="BL66" s="1">
        <v>160.0</v>
      </c>
      <c r="BM66" s="1">
        <v>75.0</v>
      </c>
      <c r="BN66" s="32">
        <v>1802.0</v>
      </c>
      <c r="BO66" s="1">
        <v>47.0</v>
      </c>
      <c r="BP66" s="1"/>
      <c r="BQ66" s="1">
        <v>188.0</v>
      </c>
      <c r="BR66" s="27">
        <v>34640.0</v>
      </c>
    </row>
    <row r="67">
      <c r="A67" s="25">
        <f>'Equity Price Data'!A68</f>
        <v>45519.66667</v>
      </c>
      <c r="B67" s="34">
        <f>(('PRACTICE Equity Price Data'!B68/'PRACTICE Equity Price Data'!B67)-1)+B66</f>
        <v>0.06243483126</v>
      </c>
      <c r="C67" s="34">
        <f>(('PRACTICE Equity Price Data'!C68/'PRACTICE Equity Price Data'!C67)-1)+C66</f>
        <v>0.07644633941</v>
      </c>
      <c r="D67" s="34">
        <f>(('PRACTICE Equity Price Data'!D68/'PRACTICE Equity Price Data'!D67)-1)+D66</f>
        <v>0.03039531608</v>
      </c>
      <c r="E67" s="34">
        <f>(('PRACTICE Equity Price Data'!E68/'PRACTICE Equity Price Data'!E67)-1)+E66</f>
        <v>0.04138317708</v>
      </c>
      <c r="F67" s="3">
        <v>13.0</v>
      </c>
      <c r="G67" s="3">
        <v>260.0</v>
      </c>
      <c r="H67" s="3">
        <v>110.0</v>
      </c>
      <c r="I67" s="3">
        <v>256.0</v>
      </c>
      <c r="J67" s="3">
        <v>83.0</v>
      </c>
      <c r="K67" s="3">
        <v>188.0</v>
      </c>
      <c r="L67" s="3">
        <v>1000.0</v>
      </c>
      <c r="M67" s="3">
        <v>102.0</v>
      </c>
      <c r="N67" s="3">
        <v>200.0</v>
      </c>
      <c r="O67" s="3">
        <v>121.0</v>
      </c>
      <c r="P67" s="3"/>
      <c r="Q67" s="3">
        <v>80.0</v>
      </c>
      <c r="R67" s="3">
        <v>150.0</v>
      </c>
      <c r="S67" s="3"/>
      <c r="T67" s="3">
        <v>120.0</v>
      </c>
      <c r="U67" s="3">
        <v>80.0</v>
      </c>
      <c r="V67" s="1">
        <v>88.0</v>
      </c>
      <c r="W67" s="1">
        <v>250.0</v>
      </c>
      <c r="X67" s="1">
        <v>264.0</v>
      </c>
      <c r="Y67" s="1">
        <v>161.0</v>
      </c>
      <c r="Z67" s="1">
        <v>69.0</v>
      </c>
      <c r="AA67" s="3">
        <v>250.0</v>
      </c>
      <c r="AB67" s="1">
        <v>13.0</v>
      </c>
      <c r="AC67" s="1">
        <v>150.0</v>
      </c>
      <c r="AD67" s="1">
        <v>170.0</v>
      </c>
      <c r="AE67" s="3">
        <v>30.0</v>
      </c>
      <c r="AF67" s="1">
        <v>40.0</v>
      </c>
      <c r="AG67" s="1">
        <v>45.0</v>
      </c>
      <c r="AH67" s="3">
        <v>200.0</v>
      </c>
      <c r="AI67" s="1">
        <v>205.0</v>
      </c>
      <c r="AJ67" s="1">
        <v>60.0</v>
      </c>
      <c r="AK67" s="1">
        <v>100.0</v>
      </c>
      <c r="AL67" s="1">
        <v>175.0</v>
      </c>
      <c r="AM67" s="1">
        <v>130.0</v>
      </c>
      <c r="AN67" s="1"/>
      <c r="AO67" s="3">
        <v>160.0</v>
      </c>
      <c r="AP67" s="3">
        <v>70.0</v>
      </c>
      <c r="AQ67" s="3">
        <v>35.0</v>
      </c>
      <c r="AR67" s="1">
        <v>854.0</v>
      </c>
      <c r="AS67" s="1">
        <v>250.0</v>
      </c>
      <c r="AT67" s="1">
        <v>220.0</v>
      </c>
      <c r="AU67" s="1"/>
      <c r="AV67" s="1">
        <v>120.0</v>
      </c>
      <c r="AW67" s="3">
        <v>200.0</v>
      </c>
      <c r="AX67" s="3"/>
      <c r="AY67" s="3">
        <v>530.0</v>
      </c>
      <c r="AZ67" s="1">
        <v>40.0</v>
      </c>
      <c r="BA67" s="1"/>
      <c r="BB67" s="1"/>
      <c r="BC67" s="1">
        <v>150.0</v>
      </c>
      <c r="BD67" s="1">
        <v>190.0</v>
      </c>
      <c r="BE67" s="1">
        <v>80.0</v>
      </c>
      <c r="BF67" s="1"/>
      <c r="BG67" s="1">
        <v>213.0</v>
      </c>
      <c r="BH67" s="1">
        <v>23.0</v>
      </c>
      <c r="BI67" s="1">
        <v>40.0</v>
      </c>
      <c r="BJ67" s="1">
        <v>278.0</v>
      </c>
      <c r="BK67" s="3">
        <v>160.0</v>
      </c>
      <c r="BL67" s="1">
        <v>160.0</v>
      </c>
      <c r="BM67" s="1">
        <v>75.0</v>
      </c>
      <c r="BN67" s="32">
        <v>1802.0</v>
      </c>
      <c r="BO67" s="1">
        <v>47.0</v>
      </c>
      <c r="BP67" s="1"/>
      <c r="BQ67" s="1">
        <v>188.0</v>
      </c>
      <c r="BR67" s="27">
        <v>34640.0</v>
      </c>
    </row>
    <row r="68">
      <c r="A68" s="25">
        <f>'Equity Price Data'!A69</f>
        <v>45520.66667</v>
      </c>
      <c r="B68" s="34">
        <f>(('PRACTICE Equity Price Data'!B69/'PRACTICE Equity Price Data'!B68)-1)+B67</f>
        <v>0.06442464945</v>
      </c>
      <c r="C68" s="34">
        <f>(('PRACTICE Equity Price Data'!C69/'PRACTICE Equity Price Data'!C68)-1)+C67</f>
        <v>0.07856177321</v>
      </c>
      <c r="D68" s="34">
        <f>(('PRACTICE Equity Price Data'!D69/'PRACTICE Equity Price Data'!D68)-1)+D67</f>
        <v>0.03277925852</v>
      </c>
      <c r="E68" s="34">
        <f>(('PRACTICE Equity Price Data'!E69/'PRACTICE Equity Price Data'!E68)-1)+E67</f>
        <v>0.04440358945</v>
      </c>
      <c r="F68" s="3">
        <v>13.0</v>
      </c>
      <c r="G68" s="3">
        <v>260.0</v>
      </c>
      <c r="H68" s="3">
        <v>110.0</v>
      </c>
      <c r="I68" s="3">
        <v>256.0</v>
      </c>
      <c r="J68" s="3">
        <v>83.0</v>
      </c>
      <c r="K68" s="3">
        <v>188.0</v>
      </c>
      <c r="L68" s="3">
        <v>1000.0</v>
      </c>
      <c r="M68" s="3">
        <v>102.0</v>
      </c>
      <c r="N68" s="3">
        <v>200.0</v>
      </c>
      <c r="O68" s="3">
        <v>121.0</v>
      </c>
      <c r="P68" s="3"/>
      <c r="Q68" s="3">
        <v>80.0</v>
      </c>
      <c r="R68" s="3">
        <v>150.0</v>
      </c>
      <c r="S68" s="3"/>
      <c r="T68" s="3">
        <v>120.0</v>
      </c>
      <c r="U68" s="3">
        <v>80.0</v>
      </c>
      <c r="V68" s="1">
        <v>88.0</v>
      </c>
      <c r="W68" s="1">
        <v>250.0</v>
      </c>
      <c r="X68" s="1">
        <v>264.0</v>
      </c>
      <c r="Y68" s="1">
        <v>161.0</v>
      </c>
      <c r="Z68" s="1">
        <v>69.0</v>
      </c>
      <c r="AA68" s="3">
        <v>250.0</v>
      </c>
      <c r="AB68" s="1">
        <v>13.0</v>
      </c>
      <c r="AC68" s="1">
        <v>150.0</v>
      </c>
      <c r="AD68" s="1">
        <v>170.0</v>
      </c>
      <c r="AE68" s="3">
        <v>30.0</v>
      </c>
      <c r="AF68" s="1">
        <v>40.0</v>
      </c>
      <c r="AG68" s="1">
        <v>45.0</v>
      </c>
      <c r="AH68" s="3">
        <v>200.0</v>
      </c>
      <c r="AI68" s="1">
        <v>205.0</v>
      </c>
      <c r="AJ68" s="1">
        <v>60.0</v>
      </c>
      <c r="AK68" s="1">
        <v>100.0</v>
      </c>
      <c r="AL68" s="1">
        <v>175.0</v>
      </c>
      <c r="AM68" s="1">
        <v>130.0</v>
      </c>
      <c r="AN68" s="1"/>
      <c r="AO68" s="3">
        <v>160.0</v>
      </c>
      <c r="AP68" s="3">
        <v>70.0</v>
      </c>
      <c r="AQ68" s="3">
        <v>35.0</v>
      </c>
      <c r="AR68" s="1">
        <v>854.0</v>
      </c>
      <c r="AS68" s="1">
        <v>250.0</v>
      </c>
      <c r="AT68" s="1">
        <v>220.0</v>
      </c>
      <c r="AU68" s="1"/>
      <c r="AV68" s="1">
        <v>120.0</v>
      </c>
      <c r="AW68" s="3">
        <v>200.0</v>
      </c>
      <c r="AX68" s="3"/>
      <c r="AY68" s="3">
        <v>530.0</v>
      </c>
      <c r="AZ68" s="1">
        <v>40.0</v>
      </c>
      <c r="BA68" s="1"/>
      <c r="BB68" s="1"/>
      <c r="BC68" s="1">
        <v>150.0</v>
      </c>
      <c r="BD68" s="1">
        <v>190.0</v>
      </c>
      <c r="BE68" s="1">
        <v>80.0</v>
      </c>
      <c r="BF68" s="1"/>
      <c r="BG68" s="1">
        <v>213.0</v>
      </c>
      <c r="BH68" s="1">
        <v>23.0</v>
      </c>
      <c r="BI68" s="1">
        <v>40.0</v>
      </c>
      <c r="BJ68" s="1">
        <v>278.0</v>
      </c>
      <c r="BK68" s="3">
        <v>160.0</v>
      </c>
      <c r="BL68" s="1">
        <v>160.0</v>
      </c>
      <c r="BM68" s="1">
        <v>75.0</v>
      </c>
      <c r="BN68" s="32">
        <v>1802.0</v>
      </c>
      <c r="BO68" s="1">
        <v>47.0</v>
      </c>
      <c r="BP68" s="1"/>
      <c r="BQ68" s="1">
        <v>188.0</v>
      </c>
      <c r="BR68" s="27">
        <v>34640.0</v>
      </c>
    </row>
    <row r="69">
      <c r="A69" s="25">
        <f>'Equity Price Data'!A70</f>
        <v>45523.66667</v>
      </c>
      <c r="B69" s="34">
        <f>(('PRACTICE Equity Price Data'!B70/'PRACTICE Equity Price Data'!B69)-1)+B68</f>
        <v>0.07414693419</v>
      </c>
      <c r="C69" s="34">
        <f>(('PRACTICE Equity Price Data'!C70/'PRACTICE Equity Price Data'!C69)-1)+C68</f>
        <v>0.09246002024</v>
      </c>
      <c r="D69" s="34">
        <f>(('PRACTICE Equity Price Data'!D70/'PRACTICE Equity Price Data'!D69)-1)+D68</f>
        <v>0.03860246062</v>
      </c>
      <c r="E69" s="34">
        <f>(('PRACTICE Equity Price Data'!E70/'PRACTICE Equity Price Data'!E69)-1)+E68</f>
        <v>0.05634614566</v>
      </c>
      <c r="F69" s="3">
        <v>13.0</v>
      </c>
      <c r="G69" s="3">
        <v>260.0</v>
      </c>
      <c r="H69" s="3">
        <v>110.0</v>
      </c>
      <c r="I69" s="3">
        <v>256.0</v>
      </c>
      <c r="J69" s="3">
        <v>83.0</v>
      </c>
      <c r="K69" s="3">
        <v>188.0</v>
      </c>
      <c r="L69" s="3">
        <v>1000.0</v>
      </c>
      <c r="M69" s="3">
        <v>102.0</v>
      </c>
      <c r="N69" s="3">
        <v>200.0</v>
      </c>
      <c r="O69" s="3">
        <v>121.0</v>
      </c>
      <c r="P69" s="3"/>
      <c r="Q69" s="3">
        <v>80.0</v>
      </c>
      <c r="R69" s="3">
        <v>150.0</v>
      </c>
      <c r="S69" s="3"/>
      <c r="T69" s="3">
        <v>120.0</v>
      </c>
      <c r="U69" s="3">
        <v>80.0</v>
      </c>
      <c r="V69" s="1">
        <v>88.0</v>
      </c>
      <c r="W69" s="1">
        <v>250.0</v>
      </c>
      <c r="X69" s="1">
        <v>264.0</v>
      </c>
      <c r="Y69" s="1">
        <v>161.0</v>
      </c>
      <c r="Z69" s="1">
        <v>69.0</v>
      </c>
      <c r="AA69" s="3">
        <v>250.0</v>
      </c>
      <c r="AB69" s="1">
        <v>13.0</v>
      </c>
      <c r="AC69" s="1">
        <v>150.0</v>
      </c>
      <c r="AD69" s="1">
        <v>170.0</v>
      </c>
      <c r="AE69" s="3">
        <v>30.0</v>
      </c>
      <c r="AF69" s="1">
        <v>40.0</v>
      </c>
      <c r="AG69" s="1">
        <v>45.0</v>
      </c>
      <c r="AH69" s="3">
        <v>200.0</v>
      </c>
      <c r="AI69" s="1">
        <v>205.0</v>
      </c>
      <c r="AJ69" s="1">
        <v>60.0</v>
      </c>
      <c r="AK69" s="1">
        <v>100.0</v>
      </c>
      <c r="AL69" s="1">
        <v>175.0</v>
      </c>
      <c r="AM69" s="1">
        <v>130.0</v>
      </c>
      <c r="AN69" s="1"/>
      <c r="AO69" s="3">
        <v>160.0</v>
      </c>
      <c r="AP69" s="3">
        <v>70.0</v>
      </c>
      <c r="AQ69" s="3">
        <v>35.0</v>
      </c>
      <c r="AR69" s="1">
        <v>854.0</v>
      </c>
      <c r="AS69" s="1">
        <v>250.0</v>
      </c>
      <c r="AT69" s="1">
        <v>220.0</v>
      </c>
      <c r="AU69" s="1"/>
      <c r="AV69" s="1">
        <v>120.0</v>
      </c>
      <c r="AW69" s="3">
        <v>200.0</v>
      </c>
      <c r="AX69" s="3"/>
      <c r="AY69" s="3">
        <v>530.0</v>
      </c>
      <c r="AZ69" s="1">
        <v>40.0</v>
      </c>
      <c r="BA69" s="1"/>
      <c r="BB69" s="1"/>
      <c r="BC69" s="1">
        <v>150.0</v>
      </c>
      <c r="BD69" s="1">
        <v>190.0</v>
      </c>
      <c r="BE69" s="1">
        <v>80.0</v>
      </c>
      <c r="BF69" s="1"/>
      <c r="BG69" s="1">
        <v>213.0</v>
      </c>
      <c r="BH69" s="1">
        <v>23.0</v>
      </c>
      <c r="BI69" s="1">
        <v>40.0</v>
      </c>
      <c r="BJ69" s="1">
        <v>278.0</v>
      </c>
      <c r="BK69" s="3">
        <v>160.0</v>
      </c>
      <c r="BL69" s="1">
        <v>160.0</v>
      </c>
      <c r="BM69" s="1">
        <v>75.0</v>
      </c>
      <c r="BN69" s="32">
        <v>1802.0</v>
      </c>
      <c r="BO69" s="1">
        <v>47.0</v>
      </c>
      <c r="BP69" s="1"/>
      <c r="BQ69" s="1">
        <v>188.0</v>
      </c>
      <c r="BR69" s="27">
        <v>34640.0</v>
      </c>
    </row>
    <row r="70">
      <c r="A70" s="25">
        <f>'Equity Price Data'!A71</f>
        <v>45524.66667</v>
      </c>
      <c r="B70" s="34">
        <f>(('PRACTICE Equity Price Data'!B71/'PRACTICE Equity Price Data'!B70)-1)+B69</f>
        <v>0.07216235789</v>
      </c>
      <c r="C70" s="34">
        <f>(('PRACTICE Equity Price Data'!C71/'PRACTICE Equity Price Data'!C70)-1)+C69</f>
        <v>0.08911321877</v>
      </c>
      <c r="D70" s="34">
        <f>(('PRACTICE Equity Price Data'!D71/'PRACTICE Equity Price Data'!D70)-1)+D69</f>
        <v>0.03709719844</v>
      </c>
      <c r="E70" s="34">
        <f>(('PRACTICE Equity Price Data'!E71/'PRACTICE Equity Price Data'!E70)-1)+E69</f>
        <v>0.04466909837</v>
      </c>
      <c r="F70" s="3">
        <v>13.0</v>
      </c>
      <c r="G70" s="3">
        <v>260.0</v>
      </c>
      <c r="H70" s="3">
        <v>110.0</v>
      </c>
      <c r="I70" s="3">
        <v>256.0</v>
      </c>
      <c r="J70" s="3">
        <v>83.0</v>
      </c>
      <c r="K70" s="3">
        <v>188.0</v>
      </c>
      <c r="L70" s="3">
        <v>1000.0</v>
      </c>
      <c r="M70" s="3">
        <v>102.0</v>
      </c>
      <c r="N70" s="3">
        <v>200.0</v>
      </c>
      <c r="O70" s="3">
        <v>121.0</v>
      </c>
      <c r="P70" s="3"/>
      <c r="Q70" s="3">
        <v>80.0</v>
      </c>
      <c r="R70" s="3">
        <v>150.0</v>
      </c>
      <c r="S70" s="3"/>
      <c r="T70" s="3">
        <v>120.0</v>
      </c>
      <c r="U70" s="3">
        <v>80.0</v>
      </c>
      <c r="V70" s="1">
        <v>88.0</v>
      </c>
      <c r="W70" s="1">
        <v>250.0</v>
      </c>
      <c r="X70" s="1">
        <v>264.0</v>
      </c>
      <c r="Y70" s="1">
        <v>161.0</v>
      </c>
      <c r="Z70" s="1">
        <v>69.0</v>
      </c>
      <c r="AA70" s="3">
        <v>250.0</v>
      </c>
      <c r="AB70" s="1">
        <v>13.0</v>
      </c>
      <c r="AC70" s="1">
        <v>150.0</v>
      </c>
      <c r="AD70" s="1">
        <v>170.0</v>
      </c>
      <c r="AE70" s="3">
        <v>30.0</v>
      </c>
      <c r="AF70" s="1">
        <v>40.0</v>
      </c>
      <c r="AG70" s="1">
        <v>45.0</v>
      </c>
      <c r="AH70" s="3">
        <v>200.0</v>
      </c>
      <c r="AI70" s="1">
        <v>205.0</v>
      </c>
      <c r="AJ70" s="1">
        <v>60.0</v>
      </c>
      <c r="AK70" s="1">
        <v>100.0</v>
      </c>
      <c r="AL70" s="1">
        <v>175.0</v>
      </c>
      <c r="AM70" s="1">
        <v>130.0</v>
      </c>
      <c r="AN70" s="1"/>
      <c r="AO70" s="3">
        <v>160.0</v>
      </c>
      <c r="AP70" s="3">
        <v>70.0</v>
      </c>
      <c r="AQ70" s="3">
        <v>35.0</v>
      </c>
      <c r="AR70" s="1">
        <v>854.0</v>
      </c>
      <c r="AS70" s="1">
        <v>250.0</v>
      </c>
      <c r="AT70" s="1">
        <v>220.0</v>
      </c>
      <c r="AU70" s="1"/>
      <c r="AV70" s="1">
        <v>120.0</v>
      </c>
      <c r="AW70" s="3">
        <v>200.0</v>
      </c>
      <c r="AX70" s="3"/>
      <c r="AY70" s="3">
        <v>530.0</v>
      </c>
      <c r="AZ70" s="1">
        <v>40.0</v>
      </c>
      <c r="BA70" s="1"/>
      <c r="BB70" s="1"/>
      <c r="BC70" s="1">
        <v>150.0</v>
      </c>
      <c r="BD70" s="1">
        <v>190.0</v>
      </c>
      <c r="BE70" s="1">
        <v>80.0</v>
      </c>
      <c r="BF70" s="1"/>
      <c r="BG70" s="1">
        <v>213.0</v>
      </c>
      <c r="BH70" s="1">
        <v>23.0</v>
      </c>
      <c r="BI70" s="1">
        <v>40.0</v>
      </c>
      <c r="BJ70" s="1">
        <v>278.0</v>
      </c>
      <c r="BK70" s="3">
        <v>160.0</v>
      </c>
      <c r="BL70" s="1">
        <v>160.0</v>
      </c>
      <c r="BM70" s="1">
        <v>75.0</v>
      </c>
      <c r="BN70" s="32">
        <v>1802.0</v>
      </c>
      <c r="BO70" s="1">
        <v>47.0</v>
      </c>
      <c r="BP70" s="1"/>
      <c r="BQ70" s="1">
        <v>188.0</v>
      </c>
      <c r="BR70" s="27">
        <v>34640.0</v>
      </c>
    </row>
    <row r="71">
      <c r="A71" s="25">
        <f>'Equity Price Data'!A72</f>
        <v>45525.66667</v>
      </c>
      <c r="B71" s="34">
        <f>(('PRACTICE Equity Price Data'!B72/'PRACTICE Equity Price Data'!B71)-1)+B70</f>
        <v>0.0764020383</v>
      </c>
      <c r="C71" s="34">
        <f>(('PRACTICE Equity Price Data'!C72/'PRACTICE Equity Price Data'!C71)-1)+C70</f>
        <v>0.09484091388</v>
      </c>
      <c r="D71" s="34">
        <f>(('PRACTICE Equity Price Data'!D72/'PRACTICE Equity Price Data'!D71)-1)+D70</f>
        <v>0.03845681741</v>
      </c>
      <c r="E71" s="34">
        <f>(('PRACTICE Equity Price Data'!E72/'PRACTICE Equity Price Data'!E71)-1)+E70</f>
        <v>0.05791255483</v>
      </c>
      <c r="F71" s="3">
        <v>13.0</v>
      </c>
      <c r="G71" s="3">
        <v>260.0</v>
      </c>
      <c r="H71" s="3">
        <v>110.0</v>
      </c>
      <c r="I71" s="3">
        <v>256.0</v>
      </c>
      <c r="J71" s="3">
        <v>83.0</v>
      </c>
      <c r="K71" s="3">
        <v>188.0</v>
      </c>
      <c r="L71" s="3">
        <v>1000.0</v>
      </c>
      <c r="M71" s="3">
        <v>102.0</v>
      </c>
      <c r="N71" s="3">
        <v>200.0</v>
      </c>
      <c r="O71" s="3">
        <v>121.0</v>
      </c>
      <c r="P71" s="3"/>
      <c r="Q71" s="3">
        <v>80.0</v>
      </c>
      <c r="R71" s="3">
        <v>150.0</v>
      </c>
      <c r="S71" s="3"/>
      <c r="T71" s="3">
        <v>120.0</v>
      </c>
      <c r="U71" s="3">
        <v>80.0</v>
      </c>
      <c r="V71" s="1">
        <v>88.0</v>
      </c>
      <c r="W71" s="1">
        <v>250.0</v>
      </c>
      <c r="X71" s="1">
        <v>264.0</v>
      </c>
      <c r="Y71" s="1">
        <v>161.0</v>
      </c>
      <c r="Z71" s="1">
        <v>69.0</v>
      </c>
      <c r="AA71" s="3">
        <v>250.0</v>
      </c>
      <c r="AB71" s="1">
        <v>13.0</v>
      </c>
      <c r="AC71" s="1">
        <v>150.0</v>
      </c>
      <c r="AD71" s="1">
        <v>170.0</v>
      </c>
      <c r="AE71" s="3">
        <v>30.0</v>
      </c>
      <c r="AF71" s="1">
        <v>40.0</v>
      </c>
      <c r="AG71" s="1">
        <v>45.0</v>
      </c>
      <c r="AH71" s="3">
        <v>200.0</v>
      </c>
      <c r="AI71" s="1">
        <v>205.0</v>
      </c>
      <c r="AJ71" s="1">
        <v>60.0</v>
      </c>
      <c r="AK71" s="1">
        <v>100.0</v>
      </c>
      <c r="AL71" s="1">
        <v>175.0</v>
      </c>
      <c r="AM71" s="1">
        <v>130.0</v>
      </c>
      <c r="AN71" s="1"/>
      <c r="AO71" s="3">
        <v>160.0</v>
      </c>
      <c r="AP71" s="3">
        <v>70.0</v>
      </c>
      <c r="AQ71" s="3">
        <v>35.0</v>
      </c>
      <c r="AR71" s="1">
        <v>854.0</v>
      </c>
      <c r="AS71" s="1">
        <v>250.0</v>
      </c>
      <c r="AT71" s="1">
        <v>220.0</v>
      </c>
      <c r="AU71" s="1"/>
      <c r="AV71" s="1">
        <v>120.0</v>
      </c>
      <c r="AW71" s="3">
        <v>200.0</v>
      </c>
      <c r="AX71" s="3"/>
      <c r="AY71" s="3">
        <v>530.0</v>
      </c>
      <c r="AZ71" s="1">
        <v>40.0</v>
      </c>
      <c r="BA71" s="1"/>
      <c r="BB71" s="1"/>
      <c r="BC71" s="1">
        <v>150.0</v>
      </c>
      <c r="BD71" s="1">
        <v>190.0</v>
      </c>
      <c r="BE71" s="1">
        <v>80.0</v>
      </c>
      <c r="BF71" s="1"/>
      <c r="BG71" s="1">
        <v>213.0</v>
      </c>
      <c r="BH71" s="1">
        <v>23.0</v>
      </c>
      <c r="BI71" s="1">
        <v>40.0</v>
      </c>
      <c r="BJ71" s="1">
        <v>278.0</v>
      </c>
      <c r="BK71" s="3">
        <v>160.0</v>
      </c>
      <c r="BL71" s="1">
        <v>160.0</v>
      </c>
      <c r="BM71" s="1">
        <v>75.0</v>
      </c>
      <c r="BN71" s="32">
        <v>1802.0</v>
      </c>
      <c r="BO71" s="1">
        <v>47.0</v>
      </c>
      <c r="BP71" s="1"/>
      <c r="BQ71" s="1">
        <v>188.0</v>
      </c>
      <c r="BR71" s="27">
        <v>34640.0</v>
      </c>
    </row>
    <row r="72">
      <c r="A72" s="25">
        <f>'Equity Price Data'!A73</f>
        <v>45526.66667</v>
      </c>
      <c r="B72" s="34">
        <f>(('PRACTICE Equity Price Data'!B73/'PRACTICE Equity Price Data'!B72)-1)+B71</f>
        <v>0.06746922565</v>
      </c>
      <c r="C72" s="34">
        <f>(('PRACTICE Equity Price Data'!C73/'PRACTICE Equity Price Data'!C72)-1)+C71</f>
        <v>0.07811898926</v>
      </c>
      <c r="D72" s="34">
        <f>(('PRACTICE Equity Price Data'!D73/'PRACTICE Equity Price Data'!D72)-1)+D71</f>
        <v>0.03411081911</v>
      </c>
      <c r="E72" s="34">
        <f>(('PRACTICE Equity Price Data'!E73/'PRACTICE Equity Price Data'!E72)-1)+E71</f>
        <v>0.04845416622</v>
      </c>
      <c r="F72" s="3">
        <v>13.0</v>
      </c>
      <c r="G72" s="3">
        <v>260.0</v>
      </c>
      <c r="H72" s="3">
        <v>110.0</v>
      </c>
      <c r="I72" s="3">
        <v>256.0</v>
      </c>
      <c r="J72" s="3">
        <v>83.0</v>
      </c>
      <c r="K72" s="3">
        <v>188.0</v>
      </c>
      <c r="L72" s="3">
        <v>1000.0</v>
      </c>
      <c r="M72" s="3">
        <v>102.0</v>
      </c>
      <c r="N72" s="3">
        <v>200.0</v>
      </c>
      <c r="O72" s="3">
        <v>121.0</v>
      </c>
      <c r="P72" s="3"/>
      <c r="Q72" s="3">
        <v>80.0</v>
      </c>
      <c r="R72" s="3">
        <v>150.0</v>
      </c>
      <c r="S72" s="3"/>
      <c r="T72" s="3">
        <v>120.0</v>
      </c>
      <c r="U72" s="3">
        <v>80.0</v>
      </c>
      <c r="V72" s="1">
        <v>88.0</v>
      </c>
      <c r="W72" s="1">
        <v>250.0</v>
      </c>
      <c r="X72" s="1">
        <v>264.0</v>
      </c>
      <c r="Y72" s="1">
        <v>161.0</v>
      </c>
      <c r="Z72" s="1">
        <v>69.0</v>
      </c>
      <c r="AA72" s="3">
        <v>250.0</v>
      </c>
      <c r="AB72" s="1">
        <v>13.0</v>
      </c>
      <c r="AC72" s="1">
        <v>150.0</v>
      </c>
      <c r="AD72" s="1">
        <v>170.0</v>
      </c>
      <c r="AE72" s="3">
        <v>30.0</v>
      </c>
      <c r="AF72" s="1">
        <v>40.0</v>
      </c>
      <c r="AG72" s="1">
        <v>45.0</v>
      </c>
      <c r="AH72" s="3">
        <v>200.0</v>
      </c>
      <c r="AI72" s="1">
        <v>205.0</v>
      </c>
      <c r="AJ72" s="1">
        <v>60.0</v>
      </c>
      <c r="AK72" s="1">
        <v>100.0</v>
      </c>
      <c r="AL72" s="1">
        <v>175.0</v>
      </c>
      <c r="AM72" s="1">
        <v>130.0</v>
      </c>
      <c r="AN72" s="1"/>
      <c r="AO72" s="3">
        <v>160.0</v>
      </c>
      <c r="AP72" s="3">
        <v>70.0</v>
      </c>
      <c r="AQ72" s="3">
        <v>35.0</v>
      </c>
      <c r="AR72" s="1">
        <v>854.0</v>
      </c>
      <c r="AS72" s="1">
        <v>250.0</v>
      </c>
      <c r="AT72" s="1">
        <v>220.0</v>
      </c>
      <c r="AU72" s="1"/>
      <c r="AV72" s="1">
        <v>120.0</v>
      </c>
      <c r="AW72" s="3">
        <v>200.0</v>
      </c>
      <c r="AX72" s="3"/>
      <c r="AY72" s="3">
        <v>530.0</v>
      </c>
      <c r="AZ72" s="1">
        <v>40.0</v>
      </c>
      <c r="BA72" s="1"/>
      <c r="BB72" s="1"/>
      <c r="BC72" s="1">
        <v>150.0</v>
      </c>
      <c r="BD72" s="1">
        <v>190.0</v>
      </c>
      <c r="BE72" s="1">
        <v>80.0</v>
      </c>
      <c r="BF72" s="1"/>
      <c r="BG72" s="1">
        <v>213.0</v>
      </c>
      <c r="BH72" s="1">
        <v>23.0</v>
      </c>
      <c r="BI72" s="1">
        <v>40.0</v>
      </c>
      <c r="BJ72" s="1">
        <v>278.0</v>
      </c>
      <c r="BK72" s="3">
        <v>160.0</v>
      </c>
      <c r="BL72" s="1">
        <v>160.0</v>
      </c>
      <c r="BM72" s="1">
        <v>75.0</v>
      </c>
      <c r="BN72" s="32">
        <v>1802.0</v>
      </c>
      <c r="BO72" s="1">
        <v>47.0</v>
      </c>
      <c r="BP72" s="1"/>
      <c r="BQ72" s="1">
        <v>188.0</v>
      </c>
      <c r="BR72" s="27">
        <v>34640.0</v>
      </c>
    </row>
    <row r="73">
      <c r="A73" s="25">
        <f>'Equity Price Data'!A74</f>
        <v>45527.66667</v>
      </c>
      <c r="B73" s="34">
        <f>(('PRACTICE Equity Price Data'!B74/'PRACTICE Equity Price Data'!B73)-1)+B72</f>
        <v>0.07895264587</v>
      </c>
      <c r="C73" s="34">
        <f>(('PRACTICE Equity Price Data'!C74/'PRACTICE Equity Price Data'!C73)-1)+C72</f>
        <v>0.09278695374</v>
      </c>
      <c r="D73" s="34">
        <f>(('PRACTICE Equity Price Data'!D74/'PRACTICE Equity Price Data'!D73)-1)+D72</f>
        <v>0.0454659759</v>
      </c>
      <c r="E73" s="34">
        <f>(('PRACTICE Equity Price Data'!E74/'PRACTICE Equity Price Data'!E73)-1)+E72</f>
        <v>0.08039325544</v>
      </c>
      <c r="F73" s="3">
        <v>13.0</v>
      </c>
      <c r="G73" s="3">
        <v>260.0</v>
      </c>
      <c r="H73" s="3">
        <v>110.0</v>
      </c>
      <c r="I73" s="3">
        <v>256.0</v>
      </c>
      <c r="J73" s="3">
        <v>83.0</v>
      </c>
      <c r="K73" s="3">
        <v>188.0</v>
      </c>
      <c r="L73" s="3">
        <v>1000.0</v>
      </c>
      <c r="M73" s="3">
        <v>102.0</v>
      </c>
      <c r="N73" s="3">
        <v>200.0</v>
      </c>
      <c r="O73" s="3">
        <v>121.0</v>
      </c>
      <c r="P73" s="3"/>
      <c r="Q73" s="3">
        <v>80.0</v>
      </c>
      <c r="R73" s="3">
        <v>150.0</v>
      </c>
      <c r="S73" s="3"/>
      <c r="T73" s="3">
        <v>120.0</v>
      </c>
      <c r="U73" s="3">
        <v>80.0</v>
      </c>
      <c r="V73" s="1">
        <v>88.0</v>
      </c>
      <c r="W73" s="1">
        <v>250.0</v>
      </c>
      <c r="X73" s="1">
        <v>264.0</v>
      </c>
      <c r="Y73" s="1">
        <v>161.0</v>
      </c>
      <c r="Z73" s="1">
        <v>69.0</v>
      </c>
      <c r="AA73" s="3">
        <v>250.0</v>
      </c>
      <c r="AB73" s="1">
        <v>13.0</v>
      </c>
      <c r="AC73" s="1">
        <v>150.0</v>
      </c>
      <c r="AD73" s="1">
        <v>170.0</v>
      </c>
      <c r="AE73" s="3">
        <v>30.0</v>
      </c>
      <c r="AF73" s="1">
        <v>40.0</v>
      </c>
      <c r="AG73" s="1">
        <v>45.0</v>
      </c>
      <c r="AH73" s="3">
        <v>200.0</v>
      </c>
      <c r="AI73" s="1">
        <v>205.0</v>
      </c>
      <c r="AJ73" s="1">
        <v>60.0</v>
      </c>
      <c r="AK73" s="1">
        <v>100.0</v>
      </c>
      <c r="AL73" s="1">
        <v>175.0</v>
      </c>
      <c r="AM73" s="1">
        <v>130.0</v>
      </c>
      <c r="AN73" s="1"/>
      <c r="AO73" s="3">
        <v>160.0</v>
      </c>
      <c r="AP73" s="3">
        <v>70.0</v>
      </c>
      <c r="AQ73" s="3">
        <v>35.0</v>
      </c>
      <c r="AR73" s="1">
        <v>854.0</v>
      </c>
      <c r="AS73" s="1">
        <v>250.0</v>
      </c>
      <c r="AT73" s="1">
        <v>220.0</v>
      </c>
      <c r="AU73" s="1"/>
      <c r="AV73" s="1">
        <v>120.0</v>
      </c>
      <c r="AW73" s="3">
        <v>200.0</v>
      </c>
      <c r="AX73" s="3"/>
      <c r="AY73" s="3">
        <v>530.0</v>
      </c>
      <c r="AZ73" s="1">
        <v>40.0</v>
      </c>
      <c r="BA73" s="1"/>
      <c r="BB73" s="1"/>
      <c r="BC73" s="1">
        <v>150.0</v>
      </c>
      <c r="BD73" s="1">
        <v>190.0</v>
      </c>
      <c r="BE73" s="1">
        <v>80.0</v>
      </c>
      <c r="BF73" s="1"/>
      <c r="BG73" s="1">
        <v>213.0</v>
      </c>
      <c r="BH73" s="1">
        <v>23.0</v>
      </c>
      <c r="BI73" s="1">
        <v>40.0</v>
      </c>
      <c r="BJ73" s="1">
        <v>278.0</v>
      </c>
      <c r="BK73" s="3">
        <v>160.0</v>
      </c>
      <c r="BL73" s="1">
        <v>160.0</v>
      </c>
      <c r="BM73" s="1">
        <v>75.0</v>
      </c>
      <c r="BN73" s="32">
        <v>1802.0</v>
      </c>
      <c r="BO73" s="1">
        <v>47.0</v>
      </c>
      <c r="BP73" s="1"/>
      <c r="BQ73" s="1">
        <v>188.0</v>
      </c>
      <c r="BR73" s="27">
        <v>34640.0</v>
      </c>
    </row>
    <row r="74">
      <c r="A74" s="25">
        <f>'Equity Price Data'!A75</f>
        <v>45530.66667</v>
      </c>
      <c r="B74" s="34">
        <f>(('PRACTICE Equity Price Data'!B75/'PRACTICE Equity Price Data'!B74)-1)+B73</f>
        <v>0.07579892272</v>
      </c>
      <c r="C74" s="34">
        <f>(('PRACTICE Equity Price Data'!C75/'PRACTICE Equity Price Data'!C74)-1)+C73</f>
        <v>0.08428366558</v>
      </c>
      <c r="D74" s="34">
        <f>(('PRACTICE Equity Price Data'!D75/'PRACTICE Equity Price Data'!D74)-1)+D73</f>
        <v>0.04705528671</v>
      </c>
      <c r="E74" s="34">
        <f>(('PRACTICE Equity Price Data'!E75/'PRACTICE Equity Price Data'!E74)-1)+E73</f>
        <v>0.08004169822</v>
      </c>
      <c r="F74" s="3">
        <v>13.0</v>
      </c>
      <c r="G74" s="3">
        <v>260.0</v>
      </c>
      <c r="H74" s="3">
        <v>110.0</v>
      </c>
      <c r="I74" s="3">
        <v>256.0</v>
      </c>
      <c r="J74" s="3">
        <v>83.0</v>
      </c>
      <c r="K74" s="3">
        <v>188.0</v>
      </c>
      <c r="L74" s="3">
        <v>1000.0</v>
      </c>
      <c r="M74" s="3">
        <v>102.0</v>
      </c>
      <c r="N74" s="3">
        <v>200.0</v>
      </c>
      <c r="O74" s="3">
        <v>121.0</v>
      </c>
      <c r="P74" s="3"/>
      <c r="Q74" s="3">
        <v>80.0</v>
      </c>
      <c r="R74" s="3">
        <v>150.0</v>
      </c>
      <c r="S74" s="3"/>
      <c r="T74" s="3">
        <v>120.0</v>
      </c>
      <c r="U74" s="3">
        <v>80.0</v>
      </c>
      <c r="V74" s="1">
        <v>88.0</v>
      </c>
      <c r="W74" s="1">
        <v>250.0</v>
      </c>
      <c r="X74" s="1">
        <v>264.0</v>
      </c>
      <c r="Y74" s="1">
        <v>161.0</v>
      </c>
      <c r="Z74" s="1">
        <v>69.0</v>
      </c>
      <c r="AA74" s="3">
        <v>250.0</v>
      </c>
      <c r="AB74" s="1">
        <v>13.0</v>
      </c>
      <c r="AC74" s="1">
        <v>150.0</v>
      </c>
      <c r="AD74" s="1">
        <v>170.0</v>
      </c>
      <c r="AE74" s="3">
        <v>30.0</v>
      </c>
      <c r="AF74" s="1">
        <v>40.0</v>
      </c>
      <c r="AG74" s="1">
        <v>45.0</v>
      </c>
      <c r="AH74" s="3">
        <v>200.0</v>
      </c>
      <c r="AI74" s="1">
        <v>205.0</v>
      </c>
      <c r="AJ74" s="1">
        <v>60.0</v>
      </c>
      <c r="AK74" s="1">
        <v>100.0</v>
      </c>
      <c r="AL74" s="1">
        <v>175.0</v>
      </c>
      <c r="AM74" s="1">
        <v>130.0</v>
      </c>
      <c r="AN74" s="1"/>
      <c r="AO74" s="3">
        <v>160.0</v>
      </c>
      <c r="AP74" s="3">
        <v>70.0</v>
      </c>
      <c r="AQ74" s="3">
        <v>35.0</v>
      </c>
      <c r="AR74" s="1">
        <v>854.0</v>
      </c>
      <c r="AS74" s="1">
        <v>250.0</v>
      </c>
      <c r="AT74" s="1">
        <v>220.0</v>
      </c>
      <c r="AU74" s="1"/>
      <c r="AV74" s="1">
        <v>120.0</v>
      </c>
      <c r="AW74" s="3">
        <v>200.0</v>
      </c>
      <c r="AX74" s="3"/>
      <c r="AY74" s="3">
        <v>530.0</v>
      </c>
      <c r="AZ74" s="1">
        <v>40.0</v>
      </c>
      <c r="BA74" s="1"/>
      <c r="BB74" s="1"/>
      <c r="BC74" s="1">
        <v>150.0</v>
      </c>
      <c r="BD74" s="1">
        <v>190.0</v>
      </c>
      <c r="BE74" s="1">
        <v>80.0</v>
      </c>
      <c r="BF74" s="1"/>
      <c r="BG74" s="1">
        <v>213.0</v>
      </c>
      <c r="BH74" s="1">
        <v>23.0</v>
      </c>
      <c r="BI74" s="1">
        <v>40.0</v>
      </c>
      <c r="BJ74" s="1">
        <v>278.0</v>
      </c>
      <c r="BK74" s="3">
        <v>160.0</v>
      </c>
      <c r="BL74" s="1">
        <v>160.0</v>
      </c>
      <c r="BM74" s="1">
        <v>75.0</v>
      </c>
      <c r="BN74" s="32">
        <v>1802.0</v>
      </c>
      <c r="BO74" s="1">
        <v>47.0</v>
      </c>
      <c r="BP74" s="1"/>
      <c r="BQ74" s="1">
        <v>188.0</v>
      </c>
      <c r="BR74" s="27">
        <v>34640.0</v>
      </c>
    </row>
    <row r="75">
      <c r="A75" s="25">
        <f>'Equity Price Data'!A76</f>
        <v>45531.66667</v>
      </c>
      <c r="B75" s="34">
        <f>(('PRACTICE Equity Price Data'!B76/'PRACTICE Equity Price Data'!B75)-1)+B74</f>
        <v>0.07739412571</v>
      </c>
      <c r="C75" s="34">
        <f>(('PRACTICE Equity Price Data'!C76/'PRACTICE Equity Price Data'!C75)-1)+C74</f>
        <v>0.08592252246</v>
      </c>
      <c r="D75" s="34">
        <f>(('PRACTICE Equity Price Data'!D76/'PRACTICE Equity Price Data'!D75)-1)+D74</f>
        <v>0.04729728172</v>
      </c>
      <c r="E75" s="34">
        <f>(('PRACTICE Equity Price Data'!E76/'PRACTICE Equity Price Data'!E75)-1)+E74</f>
        <v>0.0733146747</v>
      </c>
      <c r="F75" s="3">
        <v>13.0</v>
      </c>
      <c r="G75" s="3">
        <v>260.0</v>
      </c>
      <c r="H75" s="3">
        <v>110.0</v>
      </c>
      <c r="I75" s="3">
        <v>256.0</v>
      </c>
      <c r="J75" s="3">
        <v>83.0</v>
      </c>
      <c r="K75" s="3">
        <v>188.0</v>
      </c>
      <c r="L75" s="3">
        <v>1000.0</v>
      </c>
      <c r="M75" s="3">
        <v>102.0</v>
      </c>
      <c r="N75" s="3">
        <v>200.0</v>
      </c>
      <c r="O75" s="3">
        <v>121.0</v>
      </c>
      <c r="P75" s="3"/>
      <c r="Q75" s="3">
        <v>80.0</v>
      </c>
      <c r="R75" s="3">
        <v>150.0</v>
      </c>
      <c r="S75" s="3"/>
      <c r="T75" s="3">
        <v>120.0</v>
      </c>
      <c r="U75" s="3">
        <v>80.0</v>
      </c>
      <c r="V75" s="1">
        <v>88.0</v>
      </c>
      <c r="W75" s="1">
        <v>250.0</v>
      </c>
      <c r="X75" s="1">
        <v>264.0</v>
      </c>
      <c r="Y75" s="1">
        <v>161.0</v>
      </c>
      <c r="Z75" s="1">
        <v>69.0</v>
      </c>
      <c r="AA75" s="3">
        <v>250.0</v>
      </c>
      <c r="AB75" s="1">
        <v>13.0</v>
      </c>
      <c r="AC75" s="1">
        <v>150.0</v>
      </c>
      <c r="AD75" s="1">
        <v>170.0</v>
      </c>
      <c r="AE75" s="3">
        <v>30.0</v>
      </c>
      <c r="AF75" s="1">
        <v>40.0</v>
      </c>
      <c r="AG75" s="1">
        <v>45.0</v>
      </c>
      <c r="AH75" s="3">
        <v>200.0</v>
      </c>
      <c r="AI75" s="1">
        <v>205.0</v>
      </c>
      <c r="AJ75" s="1">
        <v>60.0</v>
      </c>
      <c r="AK75" s="1">
        <v>100.0</v>
      </c>
      <c r="AL75" s="1">
        <v>175.0</v>
      </c>
      <c r="AM75" s="1">
        <v>130.0</v>
      </c>
      <c r="AN75" s="1"/>
      <c r="AO75" s="3">
        <v>160.0</v>
      </c>
      <c r="AP75" s="3">
        <v>70.0</v>
      </c>
      <c r="AQ75" s="3">
        <v>35.0</v>
      </c>
      <c r="AR75" s="1">
        <v>854.0</v>
      </c>
      <c r="AS75" s="1">
        <v>250.0</v>
      </c>
      <c r="AT75" s="1">
        <v>220.0</v>
      </c>
      <c r="AU75" s="1"/>
      <c r="AV75" s="1">
        <v>120.0</v>
      </c>
      <c r="AW75" s="3">
        <v>200.0</v>
      </c>
      <c r="AX75" s="3"/>
      <c r="AY75" s="3">
        <v>530.0</v>
      </c>
      <c r="AZ75" s="1">
        <v>40.0</v>
      </c>
      <c r="BA75" s="1"/>
      <c r="BB75" s="1"/>
      <c r="BC75" s="1">
        <v>150.0</v>
      </c>
      <c r="BD75" s="1">
        <v>190.0</v>
      </c>
      <c r="BE75" s="1">
        <v>80.0</v>
      </c>
      <c r="BF75" s="1"/>
      <c r="BG75" s="1">
        <v>213.0</v>
      </c>
      <c r="BH75" s="1">
        <v>23.0</v>
      </c>
      <c r="BI75" s="1">
        <v>40.0</v>
      </c>
      <c r="BJ75" s="1">
        <v>278.0</v>
      </c>
      <c r="BK75" s="3">
        <v>160.0</v>
      </c>
      <c r="BL75" s="1">
        <v>160.0</v>
      </c>
      <c r="BM75" s="1">
        <v>75.0</v>
      </c>
      <c r="BN75" s="32">
        <v>1802.0</v>
      </c>
      <c r="BO75" s="1">
        <v>47.0</v>
      </c>
      <c r="BP75" s="1"/>
      <c r="BQ75" s="1">
        <v>188.0</v>
      </c>
      <c r="BR75" s="27">
        <v>34640.0</v>
      </c>
    </row>
    <row r="76">
      <c r="A76" s="25">
        <f>'Equity Price Data'!A77</f>
        <v>45532.66667</v>
      </c>
      <c r="B76" s="34">
        <f>(('PRACTICE Equity Price Data'!B77/'PRACTICE Equity Price Data'!B76)-1)+B75</f>
        <v>0.07141808675</v>
      </c>
      <c r="C76" s="34">
        <f>(('PRACTICE Equity Price Data'!C77/'PRACTICE Equity Price Data'!C76)-1)+C75</f>
        <v>0.07472612621</v>
      </c>
      <c r="D76" s="34">
        <f>(('PRACTICE Equity Price Data'!D77/'PRACTICE Equity Price Data'!D76)-1)+D75</f>
        <v>0.04344084362</v>
      </c>
      <c r="E76" s="34">
        <f>(('PRACTICE Equity Price Data'!E77/'PRACTICE Equity Price Data'!E76)-1)+E75</f>
        <v>0.06679629068</v>
      </c>
      <c r="F76" s="3">
        <v>13.0</v>
      </c>
      <c r="G76" s="3">
        <v>260.0</v>
      </c>
      <c r="H76" s="3">
        <v>110.0</v>
      </c>
      <c r="I76" s="3">
        <v>256.0</v>
      </c>
      <c r="J76" s="3">
        <v>83.0</v>
      </c>
      <c r="K76" s="3">
        <v>188.0</v>
      </c>
      <c r="L76" s="3">
        <v>1000.0</v>
      </c>
      <c r="M76" s="3">
        <v>102.0</v>
      </c>
      <c r="N76" s="3">
        <v>200.0</v>
      </c>
      <c r="O76" s="3">
        <v>121.0</v>
      </c>
      <c r="P76" s="3"/>
      <c r="Q76" s="3">
        <v>80.0</v>
      </c>
      <c r="R76" s="3">
        <v>150.0</v>
      </c>
      <c r="S76" s="3"/>
      <c r="T76" s="3">
        <v>120.0</v>
      </c>
      <c r="U76" s="3">
        <v>80.0</v>
      </c>
      <c r="V76" s="1">
        <v>88.0</v>
      </c>
      <c r="W76" s="1">
        <v>250.0</v>
      </c>
      <c r="X76" s="1">
        <v>264.0</v>
      </c>
      <c r="Y76" s="1">
        <v>161.0</v>
      </c>
      <c r="Z76" s="1">
        <v>69.0</v>
      </c>
      <c r="AA76" s="3">
        <v>250.0</v>
      </c>
      <c r="AB76" s="1">
        <v>13.0</v>
      </c>
      <c r="AC76" s="1">
        <v>150.0</v>
      </c>
      <c r="AD76" s="1">
        <v>170.0</v>
      </c>
      <c r="AE76" s="3">
        <v>30.0</v>
      </c>
      <c r="AF76" s="1">
        <v>40.0</v>
      </c>
      <c r="AG76" s="1">
        <v>45.0</v>
      </c>
      <c r="AH76" s="3">
        <v>200.0</v>
      </c>
      <c r="AI76" s="1">
        <v>205.0</v>
      </c>
      <c r="AJ76" s="1">
        <v>60.0</v>
      </c>
      <c r="AK76" s="1">
        <v>100.0</v>
      </c>
      <c r="AL76" s="1">
        <v>175.0</v>
      </c>
      <c r="AM76" s="1">
        <v>130.0</v>
      </c>
      <c r="AN76" s="1"/>
      <c r="AO76" s="3">
        <v>160.0</v>
      </c>
      <c r="AP76" s="3">
        <v>70.0</v>
      </c>
      <c r="AQ76" s="3">
        <v>35.0</v>
      </c>
      <c r="AR76" s="1">
        <v>854.0</v>
      </c>
      <c r="AS76" s="1">
        <v>250.0</v>
      </c>
      <c r="AT76" s="1">
        <v>220.0</v>
      </c>
      <c r="AU76" s="1"/>
      <c r="AV76" s="1">
        <v>120.0</v>
      </c>
      <c r="AW76" s="3">
        <v>200.0</v>
      </c>
      <c r="AX76" s="3"/>
      <c r="AY76" s="3">
        <v>530.0</v>
      </c>
      <c r="AZ76" s="1">
        <v>40.0</v>
      </c>
      <c r="BA76" s="1"/>
      <c r="BB76" s="1"/>
      <c r="BC76" s="1">
        <v>150.0</v>
      </c>
      <c r="BD76" s="1">
        <v>190.0</v>
      </c>
      <c r="BE76" s="1">
        <v>80.0</v>
      </c>
      <c r="BF76" s="1"/>
      <c r="BG76" s="1">
        <v>213.0</v>
      </c>
      <c r="BH76" s="1">
        <v>23.0</v>
      </c>
      <c r="BI76" s="1">
        <v>40.0</v>
      </c>
      <c r="BJ76" s="1">
        <v>278.0</v>
      </c>
      <c r="BK76" s="3">
        <v>160.0</v>
      </c>
      <c r="BL76" s="1">
        <v>160.0</v>
      </c>
      <c r="BM76" s="1">
        <v>75.0</v>
      </c>
      <c r="BN76" s="32">
        <v>1802.0</v>
      </c>
      <c r="BO76" s="1">
        <v>47.0</v>
      </c>
      <c r="BP76" s="1"/>
      <c r="BQ76" s="1">
        <v>188.0</v>
      </c>
      <c r="BR76" s="27">
        <v>34640.0</v>
      </c>
    </row>
    <row r="77">
      <c r="A77" s="25">
        <f>'Equity Price Data'!A78</f>
        <v>45533.66667</v>
      </c>
      <c r="B77" s="34">
        <f>(('PRACTICE Equity Price Data'!B78/'PRACTICE Equity Price Data'!B77)-1)+B76</f>
        <v>0.0713787461</v>
      </c>
      <c r="C77" s="34">
        <f>(('PRACTICE Equity Price Data'!C78/'PRACTICE Equity Price Data'!C77)-1)+C76</f>
        <v>0.07247049097</v>
      </c>
      <c r="D77" s="34">
        <f>(('PRACTICE Equity Price Data'!D78/'PRACTICE Equity Price Data'!D77)-1)+D76</f>
        <v>0.04936981857</v>
      </c>
      <c r="E77" s="34">
        <f>(('PRACTICE Equity Price Data'!E78/'PRACTICE Equity Price Data'!E77)-1)+E76</f>
        <v>0.07334830472</v>
      </c>
      <c r="F77" s="3">
        <v>13.0</v>
      </c>
      <c r="G77" s="3">
        <v>260.0</v>
      </c>
      <c r="H77" s="3">
        <v>110.0</v>
      </c>
      <c r="I77" s="3">
        <v>256.0</v>
      </c>
      <c r="J77" s="3">
        <v>83.0</v>
      </c>
      <c r="K77" s="3">
        <v>188.0</v>
      </c>
      <c r="L77" s="3">
        <v>1000.0</v>
      </c>
      <c r="M77" s="3">
        <v>102.0</v>
      </c>
      <c r="N77" s="3">
        <v>200.0</v>
      </c>
      <c r="O77" s="3">
        <v>121.0</v>
      </c>
      <c r="P77" s="3"/>
      <c r="Q77" s="3">
        <v>80.0</v>
      </c>
      <c r="R77" s="3">
        <v>150.0</v>
      </c>
      <c r="S77" s="3"/>
      <c r="T77" s="3">
        <v>120.0</v>
      </c>
      <c r="U77" s="3">
        <v>80.0</v>
      </c>
      <c r="V77" s="1">
        <v>88.0</v>
      </c>
      <c r="W77" s="1">
        <v>250.0</v>
      </c>
      <c r="X77" s="1">
        <v>264.0</v>
      </c>
      <c r="Y77" s="1">
        <v>161.0</v>
      </c>
      <c r="Z77" s="1">
        <v>69.0</v>
      </c>
      <c r="AA77" s="3">
        <v>250.0</v>
      </c>
      <c r="AB77" s="1">
        <v>13.0</v>
      </c>
      <c r="AC77" s="1">
        <v>150.0</v>
      </c>
      <c r="AD77" s="1">
        <v>170.0</v>
      </c>
      <c r="AE77" s="3">
        <v>30.0</v>
      </c>
      <c r="AF77" s="1">
        <v>40.0</v>
      </c>
      <c r="AG77" s="1">
        <v>45.0</v>
      </c>
      <c r="AH77" s="3">
        <v>200.0</v>
      </c>
      <c r="AI77" s="1">
        <v>205.0</v>
      </c>
      <c r="AJ77" s="1">
        <v>60.0</v>
      </c>
      <c r="AK77" s="1">
        <v>100.0</v>
      </c>
      <c r="AL77" s="1">
        <v>175.0</v>
      </c>
      <c r="AM77" s="1">
        <v>130.0</v>
      </c>
      <c r="AN77" s="1"/>
      <c r="AO77" s="3">
        <v>160.0</v>
      </c>
      <c r="AP77" s="3">
        <v>70.0</v>
      </c>
      <c r="AQ77" s="3">
        <v>35.0</v>
      </c>
      <c r="AR77" s="1">
        <v>854.0</v>
      </c>
      <c r="AS77" s="1">
        <v>250.0</v>
      </c>
      <c r="AT77" s="1">
        <v>220.0</v>
      </c>
      <c r="AU77" s="1"/>
      <c r="AV77" s="1">
        <v>120.0</v>
      </c>
      <c r="AW77" s="3">
        <v>200.0</v>
      </c>
      <c r="AX77" s="3"/>
      <c r="AY77" s="3">
        <v>530.0</v>
      </c>
      <c r="AZ77" s="1">
        <v>40.0</v>
      </c>
      <c r="BA77" s="1"/>
      <c r="BB77" s="1"/>
      <c r="BC77" s="1">
        <v>150.0</v>
      </c>
      <c r="BD77" s="1">
        <v>190.0</v>
      </c>
      <c r="BE77" s="1">
        <v>80.0</v>
      </c>
      <c r="BF77" s="1"/>
      <c r="BG77" s="1">
        <v>213.0</v>
      </c>
      <c r="BH77" s="1">
        <v>23.0</v>
      </c>
      <c r="BI77" s="1">
        <v>40.0</v>
      </c>
      <c r="BJ77" s="1">
        <v>278.0</v>
      </c>
      <c r="BK77" s="3">
        <v>160.0</v>
      </c>
      <c r="BL77" s="1">
        <v>160.0</v>
      </c>
      <c r="BM77" s="1">
        <v>75.0</v>
      </c>
      <c r="BN77" s="32">
        <v>1802.0</v>
      </c>
      <c r="BO77" s="1">
        <v>47.0</v>
      </c>
      <c r="BP77" s="1"/>
      <c r="BQ77" s="1">
        <v>188.0</v>
      </c>
      <c r="BR77" s="27">
        <v>34640.0</v>
      </c>
    </row>
    <row r="78">
      <c r="A78" s="25">
        <f>'Equity Price Data'!A79</f>
        <v>45534.66667</v>
      </c>
      <c r="B78" s="34">
        <f>(('PRACTICE Equity Price Data'!B79/'PRACTICE Equity Price Data'!B78)-1)+B77</f>
        <v>0.08147180828</v>
      </c>
      <c r="C78" s="34">
        <f>(('PRACTICE Equity Price Data'!C79/'PRACTICE Equity Price Data'!C78)-1)+C77</f>
        <v>0.08372792185</v>
      </c>
      <c r="D78" s="34">
        <f>(('PRACTICE Equity Price Data'!D79/'PRACTICE Equity Price Data'!D78)-1)+D77</f>
        <v>0.05488644429</v>
      </c>
      <c r="E78" s="34">
        <f>(('PRACTICE Equity Price Data'!E79/'PRACTICE Equity Price Data'!E78)-1)+E77</f>
        <v>0.07999838779</v>
      </c>
      <c r="F78" s="3">
        <v>13.0</v>
      </c>
      <c r="G78" s="3">
        <v>260.0</v>
      </c>
      <c r="H78" s="3">
        <v>110.0</v>
      </c>
      <c r="I78" s="3">
        <v>256.0</v>
      </c>
      <c r="J78" s="3">
        <v>83.0</v>
      </c>
      <c r="K78" s="3">
        <v>188.0</v>
      </c>
      <c r="L78" s="3">
        <v>1000.0</v>
      </c>
      <c r="M78" s="3">
        <v>102.0</v>
      </c>
      <c r="N78" s="3">
        <v>200.0</v>
      </c>
      <c r="O78" s="3">
        <v>121.0</v>
      </c>
      <c r="P78" s="3"/>
      <c r="Q78" s="3">
        <v>80.0</v>
      </c>
      <c r="R78" s="3">
        <v>150.0</v>
      </c>
      <c r="S78" s="3"/>
      <c r="T78" s="3">
        <v>120.0</v>
      </c>
      <c r="U78" s="3">
        <v>80.0</v>
      </c>
      <c r="V78" s="1">
        <v>88.0</v>
      </c>
      <c r="W78" s="1">
        <v>250.0</v>
      </c>
      <c r="X78" s="1">
        <v>264.0</v>
      </c>
      <c r="Y78" s="1">
        <v>161.0</v>
      </c>
      <c r="Z78" s="1">
        <v>69.0</v>
      </c>
      <c r="AA78" s="3">
        <v>250.0</v>
      </c>
      <c r="AB78" s="1">
        <v>13.0</v>
      </c>
      <c r="AC78" s="1">
        <v>150.0</v>
      </c>
      <c r="AD78" s="1">
        <v>170.0</v>
      </c>
      <c r="AE78" s="3">
        <v>30.0</v>
      </c>
      <c r="AF78" s="1">
        <v>40.0</v>
      </c>
      <c r="AG78" s="1">
        <v>45.0</v>
      </c>
      <c r="AH78" s="3">
        <v>200.0</v>
      </c>
      <c r="AI78" s="1">
        <v>205.0</v>
      </c>
      <c r="AJ78" s="1">
        <v>60.0</v>
      </c>
      <c r="AK78" s="1">
        <v>100.0</v>
      </c>
      <c r="AL78" s="1">
        <v>175.0</v>
      </c>
      <c r="AM78" s="1">
        <v>130.0</v>
      </c>
      <c r="AN78" s="1"/>
      <c r="AO78" s="3">
        <v>160.0</v>
      </c>
      <c r="AP78" s="3">
        <v>70.0</v>
      </c>
      <c r="AQ78" s="3">
        <v>35.0</v>
      </c>
      <c r="AR78" s="1">
        <v>854.0</v>
      </c>
      <c r="AS78" s="1">
        <v>250.0</v>
      </c>
      <c r="AT78" s="1">
        <v>220.0</v>
      </c>
      <c r="AU78" s="1"/>
      <c r="AV78" s="1">
        <v>120.0</v>
      </c>
      <c r="AW78" s="3">
        <v>200.0</v>
      </c>
      <c r="AX78" s="3"/>
      <c r="AY78" s="3">
        <v>530.0</v>
      </c>
      <c r="AZ78" s="1">
        <v>40.0</v>
      </c>
      <c r="BA78" s="1"/>
      <c r="BB78" s="1"/>
      <c r="BC78" s="1">
        <v>150.0</v>
      </c>
      <c r="BD78" s="1">
        <v>190.0</v>
      </c>
      <c r="BE78" s="1">
        <v>80.0</v>
      </c>
      <c r="BF78" s="1"/>
      <c r="BG78" s="1">
        <v>213.0</v>
      </c>
      <c r="BH78" s="1">
        <v>23.0</v>
      </c>
      <c r="BI78" s="1">
        <v>40.0</v>
      </c>
      <c r="BJ78" s="1">
        <v>278.0</v>
      </c>
      <c r="BK78" s="3">
        <v>160.0</v>
      </c>
      <c r="BL78" s="1">
        <v>160.0</v>
      </c>
      <c r="BM78" s="1">
        <v>75.0</v>
      </c>
      <c r="BN78" s="32">
        <v>1802.0</v>
      </c>
      <c r="BO78" s="1">
        <v>47.0</v>
      </c>
      <c r="BP78" s="1"/>
      <c r="BQ78" s="1">
        <v>188.0</v>
      </c>
      <c r="BR78" s="27">
        <v>34640.0</v>
      </c>
    </row>
    <row r="79">
      <c r="A79" s="25">
        <f>'Equity Price Data'!A80</f>
        <v>45538.66667</v>
      </c>
      <c r="B79" s="34">
        <f>(('PRACTICE Equity Price Data'!B80/'PRACTICE Equity Price Data'!B79)-1)+B78</f>
        <v>0.06032068584</v>
      </c>
      <c r="C79" s="34">
        <f>(('PRACTICE Equity Price Data'!C80/'PRACTICE Equity Price Data'!C79)-1)+C78</f>
        <v>0.05113605186</v>
      </c>
      <c r="D79" s="34">
        <f>(('PRACTICE Equity Price Data'!D80/'PRACTICE Equity Price Data'!D79)-1)+D78</f>
        <v>0.03982139137</v>
      </c>
      <c r="E79" s="34">
        <f>(('PRACTICE Equity Price Data'!E80/'PRACTICE Equity Price Data'!E79)-1)+E78</f>
        <v>0.04914563056</v>
      </c>
      <c r="F79" s="3">
        <v>13.0</v>
      </c>
      <c r="G79" s="3">
        <v>260.0</v>
      </c>
      <c r="H79" s="3">
        <v>110.0</v>
      </c>
      <c r="I79" s="3">
        <v>256.0</v>
      </c>
      <c r="J79" s="3">
        <v>83.0</v>
      </c>
      <c r="K79" s="3">
        <v>188.0</v>
      </c>
      <c r="L79" s="3">
        <v>1000.0</v>
      </c>
      <c r="M79" s="3">
        <v>102.0</v>
      </c>
      <c r="N79" s="3">
        <v>200.0</v>
      </c>
      <c r="O79" s="3">
        <v>121.0</v>
      </c>
      <c r="P79" s="3"/>
      <c r="Q79" s="3">
        <v>80.0</v>
      </c>
      <c r="R79" s="3">
        <v>150.0</v>
      </c>
      <c r="S79" s="3"/>
      <c r="T79" s="3">
        <v>120.0</v>
      </c>
      <c r="U79" s="3">
        <v>80.0</v>
      </c>
      <c r="V79" s="1">
        <v>88.0</v>
      </c>
      <c r="W79" s="1">
        <v>250.0</v>
      </c>
      <c r="X79" s="1">
        <v>264.0</v>
      </c>
      <c r="Y79" s="1">
        <v>161.0</v>
      </c>
      <c r="Z79" s="1">
        <v>69.0</v>
      </c>
      <c r="AA79" s="3">
        <v>250.0</v>
      </c>
      <c r="AB79" s="1">
        <v>13.0</v>
      </c>
      <c r="AC79" s="1">
        <v>150.0</v>
      </c>
      <c r="AD79" s="1">
        <v>170.0</v>
      </c>
      <c r="AE79" s="3">
        <v>30.0</v>
      </c>
      <c r="AF79" s="1">
        <v>40.0</v>
      </c>
      <c r="AG79" s="1">
        <v>45.0</v>
      </c>
      <c r="AH79" s="3">
        <v>200.0</v>
      </c>
      <c r="AI79" s="1">
        <v>205.0</v>
      </c>
      <c r="AJ79" s="1">
        <v>60.0</v>
      </c>
      <c r="AK79" s="1">
        <v>100.0</v>
      </c>
      <c r="AL79" s="1">
        <v>175.0</v>
      </c>
      <c r="AM79" s="1">
        <v>130.0</v>
      </c>
      <c r="AN79" s="1"/>
      <c r="AO79" s="3">
        <v>160.0</v>
      </c>
      <c r="AP79" s="3">
        <v>70.0</v>
      </c>
      <c r="AQ79" s="3">
        <v>35.0</v>
      </c>
      <c r="AR79" s="1">
        <v>854.0</v>
      </c>
      <c r="AS79" s="1">
        <v>250.0</v>
      </c>
      <c r="AT79" s="1">
        <v>220.0</v>
      </c>
      <c r="AU79" s="1"/>
      <c r="AV79" s="1">
        <v>120.0</v>
      </c>
      <c r="AW79" s="3">
        <v>200.0</v>
      </c>
      <c r="AX79" s="3"/>
      <c r="AY79" s="3">
        <v>530.0</v>
      </c>
      <c r="AZ79" s="1">
        <v>40.0</v>
      </c>
      <c r="BA79" s="1"/>
      <c r="BB79" s="1"/>
      <c r="BC79" s="1">
        <v>150.0</v>
      </c>
      <c r="BD79" s="1">
        <v>190.0</v>
      </c>
      <c r="BE79" s="1">
        <v>80.0</v>
      </c>
      <c r="BF79" s="1"/>
      <c r="BG79" s="1">
        <v>213.0</v>
      </c>
      <c r="BH79" s="1">
        <v>23.0</v>
      </c>
      <c r="BI79" s="1">
        <v>40.0</v>
      </c>
      <c r="BJ79" s="1">
        <v>278.0</v>
      </c>
      <c r="BK79" s="3">
        <v>160.0</v>
      </c>
      <c r="BL79" s="1">
        <v>160.0</v>
      </c>
      <c r="BM79" s="1">
        <v>75.0</v>
      </c>
      <c r="BN79" s="32">
        <v>1802.0</v>
      </c>
      <c r="BO79" s="1">
        <v>47.0</v>
      </c>
      <c r="BP79" s="1"/>
      <c r="BQ79" s="1">
        <v>188.0</v>
      </c>
      <c r="BR79" s="27">
        <v>34640.0</v>
      </c>
    </row>
    <row r="80">
      <c r="A80" s="25">
        <f>'Equity Price Data'!A81</f>
        <v>45539.66667</v>
      </c>
      <c r="B80" s="34">
        <f>(('PRACTICE Equity Price Data'!B81/'PRACTICE Equity Price Data'!B80)-1)+B79</f>
        <v>0.05871820579</v>
      </c>
      <c r="C80" s="34">
        <f>(('PRACTICE Equity Price Data'!C81/'PRACTICE Equity Price Data'!C80)-1)+C79</f>
        <v>0.04810155784</v>
      </c>
      <c r="D80" s="34">
        <f>(('PRACTICE Equity Price Data'!D81/'PRACTICE Equity Price Data'!D80)-1)+D79</f>
        <v>0.04075062568</v>
      </c>
      <c r="E80" s="34">
        <f>(('PRACTICE Equity Price Data'!E81/'PRACTICE Equity Price Data'!E80)-1)+E79</f>
        <v>0.04728913445</v>
      </c>
      <c r="F80" s="3">
        <v>13.0</v>
      </c>
      <c r="G80" s="3">
        <v>260.0</v>
      </c>
      <c r="H80" s="3">
        <v>110.0</v>
      </c>
      <c r="I80" s="3">
        <v>256.0</v>
      </c>
      <c r="J80" s="3">
        <v>83.0</v>
      </c>
      <c r="K80" s="3">
        <v>188.0</v>
      </c>
      <c r="L80" s="3">
        <v>1000.0</v>
      </c>
      <c r="M80" s="3">
        <v>102.0</v>
      </c>
      <c r="N80" s="3">
        <v>200.0</v>
      </c>
      <c r="O80" s="3">
        <v>121.0</v>
      </c>
      <c r="P80" s="3"/>
      <c r="Q80" s="3">
        <v>80.0</v>
      </c>
      <c r="R80" s="3">
        <v>150.0</v>
      </c>
      <c r="S80" s="3"/>
      <c r="T80" s="3">
        <v>120.0</v>
      </c>
      <c r="U80" s="3">
        <v>80.0</v>
      </c>
      <c r="V80" s="1">
        <v>88.0</v>
      </c>
      <c r="W80" s="1">
        <v>250.0</v>
      </c>
      <c r="X80" s="1">
        <v>264.0</v>
      </c>
      <c r="Y80" s="1">
        <v>161.0</v>
      </c>
      <c r="Z80" s="1">
        <v>69.0</v>
      </c>
      <c r="AA80" s="3">
        <v>250.0</v>
      </c>
      <c r="AB80" s="1">
        <v>13.0</v>
      </c>
      <c r="AC80" s="1">
        <v>150.0</v>
      </c>
      <c r="AD80" s="1">
        <v>170.0</v>
      </c>
      <c r="AE80" s="3">
        <v>30.0</v>
      </c>
      <c r="AF80" s="1">
        <v>40.0</v>
      </c>
      <c r="AG80" s="1">
        <v>45.0</v>
      </c>
      <c r="AH80" s="3">
        <v>200.0</v>
      </c>
      <c r="AI80" s="1">
        <v>205.0</v>
      </c>
      <c r="AJ80" s="1">
        <v>60.0</v>
      </c>
      <c r="AK80" s="1">
        <v>100.0</v>
      </c>
      <c r="AL80" s="1">
        <v>175.0</v>
      </c>
      <c r="AM80" s="1">
        <v>130.0</v>
      </c>
      <c r="AN80" s="1"/>
      <c r="AO80" s="3">
        <v>160.0</v>
      </c>
      <c r="AP80" s="3">
        <v>70.0</v>
      </c>
      <c r="AQ80" s="3">
        <v>35.0</v>
      </c>
      <c r="AR80" s="1">
        <v>854.0</v>
      </c>
      <c r="AS80" s="1">
        <v>250.0</v>
      </c>
      <c r="AT80" s="1">
        <v>220.0</v>
      </c>
      <c r="AU80" s="1"/>
      <c r="AV80" s="1">
        <v>120.0</v>
      </c>
      <c r="AW80" s="3">
        <v>200.0</v>
      </c>
      <c r="AX80" s="3"/>
      <c r="AY80" s="3">
        <v>530.0</v>
      </c>
      <c r="AZ80" s="1">
        <v>40.0</v>
      </c>
      <c r="BA80" s="1"/>
      <c r="BB80" s="1"/>
      <c r="BC80" s="1">
        <v>150.0</v>
      </c>
      <c r="BD80" s="1">
        <v>190.0</v>
      </c>
      <c r="BE80" s="1">
        <v>80.0</v>
      </c>
      <c r="BF80" s="1"/>
      <c r="BG80" s="1">
        <v>213.0</v>
      </c>
      <c r="BH80" s="1">
        <v>23.0</v>
      </c>
      <c r="BI80" s="1">
        <v>40.0</v>
      </c>
      <c r="BJ80" s="1">
        <v>278.0</v>
      </c>
      <c r="BK80" s="3">
        <v>160.0</v>
      </c>
      <c r="BL80" s="1">
        <v>160.0</v>
      </c>
      <c r="BM80" s="1">
        <v>75.0</v>
      </c>
      <c r="BN80" s="32">
        <v>1802.0</v>
      </c>
      <c r="BO80" s="1">
        <v>47.0</v>
      </c>
      <c r="BP80" s="1"/>
      <c r="BQ80" s="1">
        <v>188.0</v>
      </c>
      <c r="BR80" s="27">
        <v>34640.0</v>
      </c>
    </row>
    <row r="81">
      <c r="A81" s="25">
        <f>'Equity Price Data'!A82</f>
        <v>45540.66667</v>
      </c>
      <c r="B81" s="34">
        <f>(('PRACTICE Equity Price Data'!B82/'PRACTICE Equity Price Data'!B81)-1)+B80</f>
        <v>0.05570012812</v>
      </c>
      <c r="C81" s="34">
        <f>(('PRACTICE Equity Price Data'!C82/'PRACTICE Equity Price Data'!C81)-1)+C80</f>
        <v>0.05063956056</v>
      </c>
      <c r="D81" s="34">
        <f>(('PRACTICE Equity Price Data'!D82/'PRACTICE Equity Price Data'!D81)-1)+D80</f>
        <v>0.03540053024</v>
      </c>
      <c r="E81" s="34">
        <f>(('PRACTICE Equity Price Data'!E82/'PRACTICE Equity Price Data'!E81)-1)+E80</f>
        <v>0.04114990398</v>
      </c>
      <c r="F81" s="3">
        <v>13.0</v>
      </c>
      <c r="G81" s="3">
        <v>260.0</v>
      </c>
      <c r="H81" s="3">
        <v>110.0</v>
      </c>
      <c r="I81" s="3">
        <v>256.0</v>
      </c>
      <c r="J81" s="3">
        <v>83.0</v>
      </c>
      <c r="K81" s="3">
        <v>188.0</v>
      </c>
      <c r="L81" s="3">
        <v>1000.0</v>
      </c>
      <c r="M81" s="3">
        <v>102.0</v>
      </c>
      <c r="N81" s="3">
        <v>200.0</v>
      </c>
      <c r="O81" s="3">
        <v>121.0</v>
      </c>
      <c r="P81" s="3"/>
      <c r="Q81" s="3">
        <v>80.0</v>
      </c>
      <c r="R81" s="3">
        <v>150.0</v>
      </c>
      <c r="S81" s="3"/>
      <c r="T81" s="3">
        <v>120.0</v>
      </c>
      <c r="U81" s="3">
        <v>80.0</v>
      </c>
      <c r="V81" s="1">
        <v>88.0</v>
      </c>
      <c r="W81" s="1">
        <v>250.0</v>
      </c>
      <c r="X81" s="1">
        <v>264.0</v>
      </c>
      <c r="Y81" s="1">
        <v>161.0</v>
      </c>
      <c r="Z81" s="1">
        <v>69.0</v>
      </c>
      <c r="AA81" s="3">
        <v>250.0</v>
      </c>
      <c r="AB81" s="1">
        <v>13.0</v>
      </c>
      <c r="AC81" s="1">
        <v>150.0</v>
      </c>
      <c r="AD81" s="1">
        <v>170.0</v>
      </c>
      <c r="AE81" s="3">
        <v>30.0</v>
      </c>
      <c r="AF81" s="1">
        <v>40.0</v>
      </c>
      <c r="AG81" s="1">
        <v>45.0</v>
      </c>
      <c r="AH81" s="3">
        <v>200.0</v>
      </c>
      <c r="AI81" s="1">
        <v>205.0</v>
      </c>
      <c r="AJ81" s="1">
        <v>60.0</v>
      </c>
      <c r="AK81" s="1">
        <v>100.0</v>
      </c>
      <c r="AL81" s="1">
        <v>175.0</v>
      </c>
      <c r="AM81" s="1">
        <v>130.0</v>
      </c>
      <c r="AN81" s="1"/>
      <c r="AO81" s="3">
        <v>160.0</v>
      </c>
      <c r="AP81" s="3">
        <v>70.0</v>
      </c>
      <c r="AQ81" s="3">
        <v>35.0</v>
      </c>
      <c r="AR81" s="1">
        <v>854.0</v>
      </c>
      <c r="AS81" s="1">
        <v>250.0</v>
      </c>
      <c r="AT81" s="1">
        <v>220.0</v>
      </c>
      <c r="AU81" s="1"/>
      <c r="AV81" s="1">
        <v>120.0</v>
      </c>
      <c r="AW81" s="3">
        <v>200.0</v>
      </c>
      <c r="AX81" s="3"/>
      <c r="AY81" s="3">
        <v>530.0</v>
      </c>
      <c r="AZ81" s="1">
        <v>40.0</v>
      </c>
      <c r="BA81" s="1"/>
      <c r="BB81" s="1"/>
      <c r="BC81" s="1">
        <v>150.0</v>
      </c>
      <c r="BD81" s="1">
        <v>190.0</v>
      </c>
      <c r="BE81" s="1">
        <v>80.0</v>
      </c>
      <c r="BF81" s="1"/>
      <c r="BG81" s="1">
        <v>213.0</v>
      </c>
      <c r="BH81" s="1">
        <v>23.0</v>
      </c>
      <c r="BI81" s="1">
        <v>40.0</v>
      </c>
      <c r="BJ81" s="1">
        <v>278.0</v>
      </c>
      <c r="BK81" s="3">
        <v>160.0</v>
      </c>
      <c r="BL81" s="1">
        <v>160.0</v>
      </c>
      <c r="BM81" s="1">
        <v>75.0</v>
      </c>
      <c r="BN81" s="32">
        <v>1802.0</v>
      </c>
      <c r="BO81" s="1">
        <v>47.0</v>
      </c>
      <c r="BP81" s="1"/>
      <c r="BQ81" s="1">
        <v>188.0</v>
      </c>
      <c r="BR81" s="27">
        <v>34640.0</v>
      </c>
    </row>
    <row r="82">
      <c r="A82" s="25">
        <f>'Equity Price Data'!A83</f>
        <v>45541.66667</v>
      </c>
      <c r="B82" s="34">
        <f>(('PRACTICE Equity Price Data'!B83/'PRACTICE Equity Price Data'!B82)-1)+B81</f>
        <v>0.03843992036</v>
      </c>
      <c r="C82" s="34">
        <f>(('PRACTICE Equity Price Data'!C83/'PRACTICE Equity Price Data'!C82)-1)+C81</f>
        <v>0.02513520095</v>
      </c>
      <c r="D82" s="34">
        <f>(('PRACTICE Equity Price Data'!D83/'PRACTICE Equity Price Data'!D82)-1)+D81</f>
        <v>0.02533225767</v>
      </c>
      <c r="E82" s="34">
        <f>(('PRACTICE Equity Price Data'!E83/'PRACTICE Equity Price Data'!E82)-1)+E81</f>
        <v>0.02208843732</v>
      </c>
      <c r="F82" s="3">
        <v>13.0</v>
      </c>
      <c r="G82" s="3">
        <v>260.0</v>
      </c>
      <c r="H82" s="3">
        <v>110.0</v>
      </c>
      <c r="I82" s="3">
        <v>256.0</v>
      </c>
      <c r="J82" s="3">
        <v>83.0</v>
      </c>
      <c r="K82" s="3">
        <v>188.0</v>
      </c>
      <c r="L82" s="3">
        <v>1000.0</v>
      </c>
      <c r="M82" s="3">
        <v>102.0</v>
      </c>
      <c r="N82" s="3">
        <v>200.0</v>
      </c>
      <c r="O82" s="3">
        <v>121.0</v>
      </c>
      <c r="P82" s="3"/>
      <c r="Q82" s="3">
        <v>80.0</v>
      </c>
      <c r="R82" s="3">
        <v>150.0</v>
      </c>
      <c r="S82" s="3"/>
      <c r="T82" s="3">
        <v>120.0</v>
      </c>
      <c r="U82" s="3">
        <v>80.0</v>
      </c>
      <c r="V82" s="1">
        <v>88.0</v>
      </c>
      <c r="W82" s="1">
        <v>250.0</v>
      </c>
      <c r="X82" s="1">
        <v>264.0</v>
      </c>
      <c r="Y82" s="1">
        <v>161.0</v>
      </c>
      <c r="Z82" s="1">
        <v>69.0</v>
      </c>
      <c r="AA82" s="3">
        <v>250.0</v>
      </c>
      <c r="AB82" s="1">
        <v>13.0</v>
      </c>
      <c r="AC82" s="1">
        <v>150.0</v>
      </c>
      <c r="AD82" s="1">
        <v>170.0</v>
      </c>
      <c r="AE82" s="3">
        <v>30.0</v>
      </c>
      <c r="AF82" s="1">
        <v>40.0</v>
      </c>
      <c r="AG82" s="1">
        <v>45.0</v>
      </c>
      <c r="AH82" s="3">
        <v>200.0</v>
      </c>
      <c r="AI82" s="1">
        <v>205.0</v>
      </c>
      <c r="AJ82" s="1">
        <v>60.0</v>
      </c>
      <c r="AK82" s="1">
        <v>100.0</v>
      </c>
      <c r="AL82" s="1">
        <v>175.0</v>
      </c>
      <c r="AM82" s="1">
        <v>130.0</v>
      </c>
      <c r="AN82" s="1"/>
      <c r="AO82" s="3">
        <v>160.0</v>
      </c>
      <c r="AP82" s="3">
        <v>70.0</v>
      </c>
      <c r="AQ82" s="3">
        <v>35.0</v>
      </c>
      <c r="AR82" s="1">
        <v>854.0</v>
      </c>
      <c r="AS82" s="1">
        <v>250.0</v>
      </c>
      <c r="AT82" s="1">
        <v>220.0</v>
      </c>
      <c r="AU82" s="1"/>
      <c r="AV82" s="1">
        <v>120.0</v>
      </c>
      <c r="AW82" s="3">
        <v>200.0</v>
      </c>
      <c r="AX82" s="3"/>
      <c r="AY82" s="3">
        <v>530.0</v>
      </c>
      <c r="AZ82" s="1">
        <v>40.0</v>
      </c>
      <c r="BA82" s="1"/>
      <c r="BB82" s="1"/>
      <c r="BC82" s="1">
        <v>150.0</v>
      </c>
      <c r="BD82" s="1">
        <v>190.0</v>
      </c>
      <c r="BE82" s="1">
        <v>80.0</v>
      </c>
      <c r="BF82" s="1"/>
      <c r="BG82" s="1">
        <v>213.0</v>
      </c>
      <c r="BH82" s="1">
        <v>23.0</v>
      </c>
      <c r="BI82" s="1">
        <v>40.0</v>
      </c>
      <c r="BJ82" s="1">
        <v>278.0</v>
      </c>
      <c r="BK82" s="3">
        <v>160.0</v>
      </c>
      <c r="BL82" s="1">
        <v>160.0</v>
      </c>
      <c r="BM82" s="1">
        <v>75.0</v>
      </c>
      <c r="BN82" s="32">
        <v>1802.0</v>
      </c>
      <c r="BO82" s="1">
        <v>47.0</v>
      </c>
      <c r="BP82" s="1"/>
      <c r="BQ82" s="1">
        <v>188.0</v>
      </c>
      <c r="BR82" s="27">
        <v>34640.0</v>
      </c>
    </row>
    <row r="83">
      <c r="A83" s="25">
        <f>'Equity Price Data'!A84</f>
        <v>45544.66667</v>
      </c>
      <c r="B83" s="34">
        <f>(('PRACTICE Equity Price Data'!B84/'PRACTICE Equity Price Data'!B83)-1)+B82</f>
        <v>0.05002001214</v>
      </c>
      <c r="C83" s="34">
        <f>(('PRACTICE Equity Price Data'!C84/'PRACTICE Equity Price Data'!C83)-1)+C82</f>
        <v>0.03674456969</v>
      </c>
      <c r="D83" s="34">
        <f>(('PRACTICE Equity Price Data'!D84/'PRACTICE Equity Price Data'!D83)-1)+D82</f>
        <v>0.03733312716</v>
      </c>
      <c r="E83" s="34">
        <f>(('PRACTICE Equity Price Data'!E84/'PRACTICE Equity Price Data'!E83)-1)+E82</f>
        <v>0.02513422939</v>
      </c>
      <c r="F83" s="3">
        <v>13.0</v>
      </c>
      <c r="G83" s="3">
        <v>260.0</v>
      </c>
      <c r="H83" s="3">
        <v>110.0</v>
      </c>
      <c r="I83" s="3">
        <v>256.0</v>
      </c>
      <c r="J83" s="3">
        <v>83.0</v>
      </c>
      <c r="K83" s="3">
        <v>188.0</v>
      </c>
      <c r="L83" s="3">
        <v>1000.0</v>
      </c>
      <c r="M83" s="3">
        <v>102.0</v>
      </c>
      <c r="N83" s="3">
        <v>200.0</v>
      </c>
      <c r="O83" s="3">
        <v>121.0</v>
      </c>
      <c r="P83" s="3"/>
      <c r="Q83" s="3">
        <v>80.0</v>
      </c>
      <c r="R83" s="3">
        <v>150.0</v>
      </c>
      <c r="S83" s="3"/>
      <c r="T83" s="3">
        <v>120.0</v>
      </c>
      <c r="U83" s="3">
        <v>80.0</v>
      </c>
      <c r="V83" s="1">
        <v>88.0</v>
      </c>
      <c r="W83" s="1">
        <v>250.0</v>
      </c>
      <c r="X83" s="1">
        <v>264.0</v>
      </c>
      <c r="Y83" s="1">
        <v>161.0</v>
      </c>
      <c r="Z83" s="1">
        <v>69.0</v>
      </c>
      <c r="AA83" s="3">
        <v>250.0</v>
      </c>
      <c r="AB83" s="1">
        <v>13.0</v>
      </c>
      <c r="AC83" s="1">
        <v>150.0</v>
      </c>
      <c r="AD83" s="1">
        <v>170.0</v>
      </c>
      <c r="AE83" s="3">
        <v>30.0</v>
      </c>
      <c r="AF83" s="1">
        <v>40.0</v>
      </c>
      <c r="AG83" s="1">
        <v>45.0</v>
      </c>
      <c r="AH83" s="3">
        <v>200.0</v>
      </c>
      <c r="AI83" s="1">
        <v>205.0</v>
      </c>
      <c r="AJ83" s="1">
        <v>60.0</v>
      </c>
      <c r="AK83" s="1">
        <v>100.0</v>
      </c>
      <c r="AL83" s="1">
        <v>175.0</v>
      </c>
      <c r="AM83" s="1">
        <v>130.0</v>
      </c>
      <c r="AN83" s="1"/>
      <c r="AO83" s="3">
        <v>160.0</v>
      </c>
      <c r="AP83" s="3">
        <v>70.0</v>
      </c>
      <c r="AQ83" s="3">
        <v>35.0</v>
      </c>
      <c r="AR83" s="1">
        <v>854.0</v>
      </c>
      <c r="AS83" s="1">
        <v>250.0</v>
      </c>
      <c r="AT83" s="1">
        <v>220.0</v>
      </c>
      <c r="AU83" s="1"/>
      <c r="AV83" s="1">
        <v>120.0</v>
      </c>
      <c r="AW83" s="3">
        <v>200.0</v>
      </c>
      <c r="AX83" s="3"/>
      <c r="AY83" s="3">
        <v>530.0</v>
      </c>
      <c r="AZ83" s="1">
        <v>40.0</v>
      </c>
      <c r="BA83" s="1"/>
      <c r="BB83" s="1"/>
      <c r="BC83" s="1">
        <v>150.0</v>
      </c>
      <c r="BD83" s="1">
        <v>190.0</v>
      </c>
      <c r="BE83" s="1">
        <v>80.0</v>
      </c>
      <c r="BF83" s="1"/>
      <c r="BG83" s="1">
        <v>213.0</v>
      </c>
      <c r="BH83" s="1">
        <v>23.0</v>
      </c>
      <c r="BI83" s="1">
        <v>40.0</v>
      </c>
      <c r="BJ83" s="1">
        <v>278.0</v>
      </c>
      <c r="BK83" s="3">
        <v>160.0</v>
      </c>
      <c r="BL83" s="1">
        <v>160.0</v>
      </c>
      <c r="BM83" s="1">
        <v>75.0</v>
      </c>
      <c r="BN83" s="32">
        <v>1802.0</v>
      </c>
      <c r="BO83" s="1">
        <v>47.0</v>
      </c>
      <c r="BP83" s="1"/>
      <c r="BQ83" s="1">
        <v>188.0</v>
      </c>
      <c r="BR83" s="27">
        <v>34640.0</v>
      </c>
    </row>
    <row r="84">
      <c r="A84" s="25">
        <f>'Equity Price Data'!A85</f>
        <v>45545.66667</v>
      </c>
      <c r="B84" s="34">
        <f>(('PRACTICE Equity Price Data'!B85/'PRACTICE Equity Price Data'!B84)-1)+B83</f>
        <v>0.05449264537</v>
      </c>
      <c r="C84" s="34">
        <f>(('PRACTICE Equity Price Data'!C85/'PRACTICE Equity Price Data'!C84)-1)+C83</f>
        <v>0.04511195772</v>
      </c>
      <c r="D84" s="34">
        <f>(('PRACTICE Equity Price Data'!D85/'PRACTICE Equity Price Data'!D84)-1)+D83</f>
        <v>0.03506442938</v>
      </c>
      <c r="E84" s="34">
        <f>(('PRACTICE Equity Price Data'!E85/'PRACTICE Equity Price Data'!E84)-1)+E83</f>
        <v>0.02497215329</v>
      </c>
      <c r="F84" s="3">
        <v>13.0</v>
      </c>
      <c r="G84" s="3">
        <v>260.0</v>
      </c>
      <c r="H84" s="3">
        <v>110.0</v>
      </c>
      <c r="I84" s="3">
        <v>256.0</v>
      </c>
      <c r="J84" s="3">
        <v>83.0</v>
      </c>
      <c r="K84" s="3">
        <v>188.0</v>
      </c>
      <c r="L84" s="3">
        <v>1000.0</v>
      </c>
      <c r="M84" s="3">
        <v>102.0</v>
      </c>
      <c r="N84" s="3">
        <v>200.0</v>
      </c>
      <c r="O84" s="3">
        <v>121.0</v>
      </c>
      <c r="P84" s="3"/>
      <c r="Q84" s="3">
        <v>80.0</v>
      </c>
      <c r="R84" s="3">
        <v>150.0</v>
      </c>
      <c r="S84" s="3"/>
      <c r="T84" s="3">
        <v>120.0</v>
      </c>
      <c r="U84" s="3">
        <v>80.0</v>
      </c>
      <c r="V84" s="1">
        <v>88.0</v>
      </c>
      <c r="W84" s="1">
        <v>250.0</v>
      </c>
      <c r="X84" s="1">
        <v>264.0</v>
      </c>
      <c r="Y84" s="1">
        <v>161.0</v>
      </c>
      <c r="Z84" s="1">
        <v>69.0</v>
      </c>
      <c r="AA84" s="3">
        <v>250.0</v>
      </c>
      <c r="AB84" s="1">
        <v>13.0</v>
      </c>
      <c r="AC84" s="1">
        <v>150.0</v>
      </c>
      <c r="AD84" s="1">
        <v>170.0</v>
      </c>
      <c r="AE84" s="3">
        <v>30.0</v>
      </c>
      <c r="AF84" s="1">
        <v>40.0</v>
      </c>
      <c r="AG84" s="1">
        <v>45.0</v>
      </c>
      <c r="AH84" s="3">
        <v>200.0</v>
      </c>
      <c r="AI84" s="1">
        <v>205.0</v>
      </c>
      <c r="AJ84" s="1">
        <v>60.0</v>
      </c>
      <c r="AK84" s="1">
        <v>100.0</v>
      </c>
      <c r="AL84" s="1">
        <v>175.0</v>
      </c>
      <c r="AM84" s="1">
        <v>130.0</v>
      </c>
      <c r="AN84" s="1"/>
      <c r="AO84" s="3">
        <v>160.0</v>
      </c>
      <c r="AP84" s="3">
        <v>70.0</v>
      </c>
      <c r="AQ84" s="3">
        <v>35.0</v>
      </c>
      <c r="AR84" s="1">
        <v>854.0</v>
      </c>
      <c r="AS84" s="1">
        <v>250.0</v>
      </c>
      <c r="AT84" s="1">
        <v>220.0</v>
      </c>
      <c r="AU84" s="1"/>
      <c r="AV84" s="1">
        <v>120.0</v>
      </c>
      <c r="AW84" s="3">
        <v>200.0</v>
      </c>
      <c r="AX84" s="3"/>
      <c r="AY84" s="3">
        <v>530.0</v>
      </c>
      <c r="AZ84" s="1">
        <v>40.0</v>
      </c>
      <c r="BA84" s="1"/>
      <c r="BB84" s="1"/>
      <c r="BC84" s="1">
        <v>150.0</v>
      </c>
      <c r="BD84" s="1">
        <v>190.0</v>
      </c>
      <c r="BE84" s="1">
        <v>80.0</v>
      </c>
      <c r="BF84" s="1"/>
      <c r="BG84" s="1">
        <v>213.0</v>
      </c>
      <c r="BH84" s="1">
        <v>23.0</v>
      </c>
      <c r="BI84" s="1">
        <v>40.0</v>
      </c>
      <c r="BJ84" s="1">
        <v>278.0</v>
      </c>
      <c r="BK84" s="3">
        <v>160.0</v>
      </c>
      <c r="BL84" s="1">
        <v>160.0</v>
      </c>
      <c r="BM84" s="1">
        <v>75.0</v>
      </c>
      <c r="BN84" s="32">
        <v>1802.0</v>
      </c>
      <c r="BO84" s="1">
        <v>47.0</v>
      </c>
      <c r="BP84" s="1"/>
      <c r="BQ84" s="1">
        <v>188.0</v>
      </c>
      <c r="BR84" s="27">
        <v>34640.0</v>
      </c>
    </row>
    <row r="85">
      <c r="A85" s="25">
        <f>'Equity Price Data'!A86</f>
        <v>45546.66667</v>
      </c>
      <c r="B85" s="34">
        <f>(('PRACTICE Equity Price Data'!B86/'PRACTICE Equity Price Data'!B85)-1)+B84</f>
        <v>0.06515769617</v>
      </c>
      <c r="C85" s="34">
        <f>(('PRACTICE Equity Price Data'!C86/'PRACTICE Equity Price Data'!C85)-1)+C84</f>
        <v>0.06682302346</v>
      </c>
      <c r="D85" s="34">
        <f>(('PRACTICE Equity Price Data'!D86/'PRACTICE Equity Price Data'!D85)-1)+D84</f>
        <v>0.03812675902</v>
      </c>
      <c r="E85" s="34">
        <f>(('PRACTICE Equity Price Data'!E86/'PRACTICE Equity Price Data'!E85)-1)+E84</f>
        <v>0.02802825978</v>
      </c>
      <c r="F85" s="3">
        <v>13.0</v>
      </c>
      <c r="G85" s="3">
        <v>260.0</v>
      </c>
      <c r="H85" s="3">
        <v>110.0</v>
      </c>
      <c r="I85" s="3">
        <v>256.0</v>
      </c>
      <c r="J85" s="3">
        <v>83.0</v>
      </c>
      <c r="K85" s="3">
        <v>188.0</v>
      </c>
      <c r="L85" s="3">
        <v>1000.0</v>
      </c>
      <c r="M85" s="3">
        <v>102.0</v>
      </c>
      <c r="N85" s="3">
        <v>200.0</v>
      </c>
      <c r="O85" s="3">
        <v>121.0</v>
      </c>
      <c r="P85" s="3"/>
      <c r="Q85" s="3">
        <v>80.0</v>
      </c>
      <c r="R85" s="3">
        <v>150.0</v>
      </c>
      <c r="S85" s="3"/>
      <c r="T85" s="3">
        <v>120.0</v>
      </c>
      <c r="U85" s="3">
        <v>80.0</v>
      </c>
      <c r="V85" s="1">
        <v>88.0</v>
      </c>
      <c r="W85" s="1">
        <v>250.0</v>
      </c>
      <c r="X85" s="1">
        <v>264.0</v>
      </c>
      <c r="Y85" s="1">
        <v>161.0</v>
      </c>
      <c r="Z85" s="1">
        <v>69.0</v>
      </c>
      <c r="AA85" s="3">
        <v>250.0</v>
      </c>
      <c r="AB85" s="1">
        <v>13.0</v>
      </c>
      <c r="AC85" s="1">
        <v>150.0</v>
      </c>
      <c r="AD85" s="1">
        <v>170.0</v>
      </c>
      <c r="AE85" s="3">
        <v>30.0</v>
      </c>
      <c r="AF85" s="1">
        <v>40.0</v>
      </c>
      <c r="AG85" s="1">
        <v>45.0</v>
      </c>
      <c r="AH85" s="3">
        <v>200.0</v>
      </c>
      <c r="AI85" s="1">
        <v>205.0</v>
      </c>
      <c r="AJ85" s="1">
        <v>60.0</v>
      </c>
      <c r="AK85" s="1">
        <v>100.0</v>
      </c>
      <c r="AL85" s="1">
        <v>175.0</v>
      </c>
      <c r="AM85" s="1">
        <v>130.0</v>
      </c>
      <c r="AN85" s="1"/>
      <c r="AO85" s="3">
        <v>160.0</v>
      </c>
      <c r="AP85" s="3">
        <v>70.0</v>
      </c>
      <c r="AQ85" s="3">
        <v>35.0</v>
      </c>
      <c r="AR85" s="1">
        <v>854.0</v>
      </c>
      <c r="AS85" s="1">
        <v>250.0</v>
      </c>
      <c r="AT85" s="1">
        <v>220.0</v>
      </c>
      <c r="AU85" s="1"/>
      <c r="AV85" s="1">
        <v>120.0</v>
      </c>
      <c r="AW85" s="3">
        <v>200.0</v>
      </c>
      <c r="AX85" s="3"/>
      <c r="AY85" s="3">
        <v>530.0</v>
      </c>
      <c r="AZ85" s="1">
        <v>40.0</v>
      </c>
      <c r="BA85" s="1"/>
      <c r="BB85" s="1"/>
      <c r="BC85" s="1">
        <v>150.0</v>
      </c>
      <c r="BD85" s="1">
        <v>190.0</v>
      </c>
      <c r="BE85" s="1">
        <v>80.0</v>
      </c>
      <c r="BF85" s="1"/>
      <c r="BG85" s="1">
        <v>213.0</v>
      </c>
      <c r="BH85" s="1">
        <v>23.0</v>
      </c>
      <c r="BI85" s="1">
        <v>40.0</v>
      </c>
      <c r="BJ85" s="1">
        <v>278.0</v>
      </c>
      <c r="BK85" s="3">
        <v>160.0</v>
      </c>
      <c r="BL85" s="1">
        <v>160.0</v>
      </c>
      <c r="BM85" s="1">
        <v>75.0</v>
      </c>
      <c r="BN85" s="32">
        <v>1802.0</v>
      </c>
      <c r="BO85" s="1">
        <v>47.0</v>
      </c>
      <c r="BP85" s="1"/>
      <c r="BQ85" s="1">
        <v>188.0</v>
      </c>
      <c r="BR85" s="27">
        <v>34640.0</v>
      </c>
    </row>
    <row r="86">
      <c r="A86" s="25">
        <f>'Equity Price Data'!A87</f>
        <v>45547.66667</v>
      </c>
      <c r="B86" s="34">
        <f>(('PRACTICE Equity Price Data'!B87/'PRACTICE Equity Price Data'!B86)-1)+B85</f>
        <v>0.07265301947</v>
      </c>
      <c r="C86" s="34">
        <f>(('PRACTICE Equity Price Data'!C87/'PRACTICE Equity Price Data'!C86)-1)+C85</f>
        <v>0.07683421599</v>
      </c>
      <c r="D86" s="34">
        <f>(('PRACTICE Equity Price Data'!D87/'PRACTICE Equity Price Data'!D86)-1)+D85</f>
        <v>0.04387933277</v>
      </c>
      <c r="E86" s="34">
        <f>(('PRACTICE Equity Price Data'!E87/'PRACTICE Equity Price Data'!E86)-1)+E85</f>
        <v>0.04018692128</v>
      </c>
      <c r="F86" s="3">
        <v>13.0</v>
      </c>
      <c r="G86" s="3">
        <v>260.0</v>
      </c>
      <c r="H86" s="3">
        <v>110.0</v>
      </c>
      <c r="I86" s="3">
        <v>256.0</v>
      </c>
      <c r="J86" s="3">
        <v>83.0</v>
      </c>
      <c r="K86" s="3">
        <v>188.0</v>
      </c>
      <c r="L86" s="3">
        <v>1000.0</v>
      </c>
      <c r="M86" s="3">
        <v>102.0</v>
      </c>
      <c r="N86" s="3">
        <v>200.0</v>
      </c>
      <c r="O86" s="3">
        <v>121.0</v>
      </c>
      <c r="P86" s="3"/>
      <c r="Q86" s="3">
        <v>80.0</v>
      </c>
      <c r="R86" s="3">
        <v>150.0</v>
      </c>
      <c r="S86" s="3"/>
      <c r="T86" s="3">
        <v>120.0</v>
      </c>
      <c r="U86" s="3">
        <v>80.0</v>
      </c>
      <c r="V86" s="1">
        <v>88.0</v>
      </c>
      <c r="W86" s="1">
        <v>250.0</v>
      </c>
      <c r="X86" s="1">
        <v>264.0</v>
      </c>
      <c r="Y86" s="1">
        <v>161.0</v>
      </c>
      <c r="Z86" s="1">
        <v>69.0</v>
      </c>
      <c r="AA86" s="3">
        <v>250.0</v>
      </c>
      <c r="AB86" s="1">
        <v>13.0</v>
      </c>
      <c r="AC86" s="1">
        <v>150.0</v>
      </c>
      <c r="AD86" s="1">
        <v>170.0</v>
      </c>
      <c r="AE86" s="3">
        <v>30.0</v>
      </c>
      <c r="AF86" s="1">
        <v>40.0</v>
      </c>
      <c r="AG86" s="1">
        <v>45.0</v>
      </c>
      <c r="AH86" s="3">
        <v>200.0</v>
      </c>
      <c r="AI86" s="1">
        <v>205.0</v>
      </c>
      <c r="AJ86" s="1">
        <v>60.0</v>
      </c>
      <c r="AK86" s="1">
        <v>100.0</v>
      </c>
      <c r="AL86" s="1">
        <v>175.0</v>
      </c>
      <c r="AM86" s="1">
        <v>130.0</v>
      </c>
      <c r="AN86" s="1"/>
      <c r="AO86" s="3">
        <v>160.0</v>
      </c>
      <c r="AP86" s="3">
        <v>70.0</v>
      </c>
      <c r="AQ86" s="3">
        <v>35.0</v>
      </c>
      <c r="AR86" s="1">
        <v>854.0</v>
      </c>
      <c r="AS86" s="1">
        <v>250.0</v>
      </c>
      <c r="AT86" s="1">
        <v>220.0</v>
      </c>
      <c r="AU86" s="1"/>
      <c r="AV86" s="1">
        <v>120.0</v>
      </c>
      <c r="AW86" s="3">
        <v>200.0</v>
      </c>
      <c r="AX86" s="3"/>
      <c r="AY86" s="3">
        <v>530.0</v>
      </c>
      <c r="AZ86" s="1">
        <v>40.0</v>
      </c>
      <c r="BA86" s="1"/>
      <c r="BB86" s="1"/>
      <c r="BC86" s="1">
        <v>150.0</v>
      </c>
      <c r="BD86" s="1">
        <v>190.0</v>
      </c>
      <c r="BE86" s="1">
        <v>80.0</v>
      </c>
      <c r="BF86" s="1"/>
      <c r="BG86" s="1">
        <v>213.0</v>
      </c>
      <c r="BH86" s="1">
        <v>23.0</v>
      </c>
      <c r="BI86" s="1">
        <v>40.0</v>
      </c>
      <c r="BJ86" s="1">
        <v>278.0</v>
      </c>
      <c r="BK86" s="3">
        <v>160.0</v>
      </c>
      <c r="BL86" s="1">
        <v>160.0</v>
      </c>
      <c r="BM86" s="1">
        <v>75.0</v>
      </c>
      <c r="BN86" s="32">
        <v>1802.0</v>
      </c>
      <c r="BO86" s="1">
        <v>47.0</v>
      </c>
      <c r="BP86" s="1"/>
      <c r="BQ86" s="1">
        <v>188.0</v>
      </c>
      <c r="BR86" s="27">
        <v>34640.0</v>
      </c>
    </row>
    <row r="87">
      <c r="A87" s="25">
        <f>'Equity Price Data'!A88</f>
        <v>45548.66667</v>
      </c>
      <c r="B87" s="34">
        <f>(('PRACTICE Equity Price Data'!B88/'PRACTICE Equity Price Data'!B87)-1)+B86</f>
        <v>0.07806068528</v>
      </c>
      <c r="C87" s="34">
        <f>(('PRACTICE Equity Price Data'!C88/'PRACTICE Equity Price Data'!C87)-1)+C86</f>
        <v>0.08333974142</v>
      </c>
      <c r="D87" s="34">
        <f>(('PRACTICE Equity Price Data'!D88/'PRACTICE Equity Price Data'!D87)-1)+D86</f>
        <v>0.05110642141</v>
      </c>
      <c r="E87" s="34">
        <f>(('PRACTICE Equity Price Data'!E88/'PRACTICE Equity Price Data'!E87)-1)+E86</f>
        <v>0.06510438746</v>
      </c>
      <c r="F87" s="3">
        <v>13.0</v>
      </c>
      <c r="G87" s="3">
        <v>260.0</v>
      </c>
      <c r="H87" s="3">
        <v>110.0</v>
      </c>
      <c r="I87" s="3">
        <v>256.0</v>
      </c>
      <c r="J87" s="3">
        <v>83.0</v>
      </c>
      <c r="K87" s="3">
        <v>188.0</v>
      </c>
      <c r="L87" s="3">
        <v>1000.0</v>
      </c>
      <c r="M87" s="3">
        <v>102.0</v>
      </c>
      <c r="N87" s="3">
        <v>200.0</v>
      </c>
      <c r="O87" s="3">
        <v>121.0</v>
      </c>
      <c r="P87" s="3"/>
      <c r="Q87" s="3">
        <v>80.0</v>
      </c>
      <c r="R87" s="3">
        <v>150.0</v>
      </c>
      <c r="S87" s="3"/>
      <c r="T87" s="3">
        <v>120.0</v>
      </c>
      <c r="U87" s="3">
        <v>80.0</v>
      </c>
      <c r="V87" s="1">
        <v>88.0</v>
      </c>
      <c r="W87" s="1">
        <v>250.0</v>
      </c>
      <c r="X87" s="1">
        <v>264.0</v>
      </c>
      <c r="Y87" s="1">
        <v>161.0</v>
      </c>
      <c r="Z87" s="1">
        <v>69.0</v>
      </c>
      <c r="AA87" s="3">
        <v>250.0</v>
      </c>
      <c r="AB87" s="1">
        <v>13.0</v>
      </c>
      <c r="AC87" s="1">
        <v>150.0</v>
      </c>
      <c r="AD87" s="1">
        <v>170.0</v>
      </c>
      <c r="AE87" s="3">
        <v>30.0</v>
      </c>
      <c r="AF87" s="1">
        <v>40.0</v>
      </c>
      <c r="AG87" s="1">
        <v>45.0</v>
      </c>
      <c r="AH87" s="3">
        <v>200.0</v>
      </c>
      <c r="AI87" s="1">
        <v>205.0</v>
      </c>
      <c r="AJ87" s="1">
        <v>60.0</v>
      </c>
      <c r="AK87" s="1">
        <v>100.0</v>
      </c>
      <c r="AL87" s="1">
        <v>175.0</v>
      </c>
      <c r="AM87" s="1">
        <v>130.0</v>
      </c>
      <c r="AN87" s="1"/>
      <c r="AO87" s="3">
        <v>160.0</v>
      </c>
      <c r="AP87" s="3">
        <v>70.0</v>
      </c>
      <c r="AQ87" s="3">
        <v>35.0</v>
      </c>
      <c r="AR87" s="1">
        <v>854.0</v>
      </c>
      <c r="AS87" s="1">
        <v>250.0</v>
      </c>
      <c r="AT87" s="1">
        <v>220.0</v>
      </c>
      <c r="AU87" s="1"/>
      <c r="AV87" s="1">
        <v>120.0</v>
      </c>
      <c r="AW87" s="3">
        <v>200.0</v>
      </c>
      <c r="AX87" s="3"/>
      <c r="AY87" s="3">
        <v>530.0</v>
      </c>
      <c r="AZ87" s="1">
        <v>40.0</v>
      </c>
      <c r="BA87" s="1"/>
      <c r="BB87" s="1"/>
      <c r="BC87" s="1">
        <v>150.0</v>
      </c>
      <c r="BD87" s="1">
        <v>190.0</v>
      </c>
      <c r="BE87" s="1">
        <v>80.0</v>
      </c>
      <c r="BF87" s="1"/>
      <c r="BG87" s="1">
        <v>213.0</v>
      </c>
      <c r="BH87" s="1">
        <v>23.0</v>
      </c>
      <c r="BI87" s="1">
        <v>40.0</v>
      </c>
      <c r="BJ87" s="1">
        <v>278.0</v>
      </c>
      <c r="BK87" s="3">
        <v>160.0</v>
      </c>
      <c r="BL87" s="1">
        <v>160.0</v>
      </c>
      <c r="BM87" s="1">
        <v>75.0</v>
      </c>
      <c r="BN87" s="32">
        <v>1802.0</v>
      </c>
      <c r="BO87" s="1">
        <v>47.0</v>
      </c>
      <c r="BP87" s="1"/>
      <c r="BQ87" s="1">
        <v>188.0</v>
      </c>
      <c r="BR87" s="27">
        <v>34640.0</v>
      </c>
    </row>
    <row r="88">
      <c r="A88" s="25">
        <f>'Equity Price Data'!A89</f>
        <v>45551.66667</v>
      </c>
      <c r="B88" s="34">
        <f>(('PRACTICE Equity Price Data'!B89/'PRACTICE Equity Price Data'!B88)-1)+B87</f>
        <v>0.07931734629</v>
      </c>
      <c r="C88" s="34">
        <f>(('PRACTICE Equity Price Data'!C89/'PRACTICE Equity Price Data'!C88)-1)+C87</f>
        <v>0.0781457749</v>
      </c>
      <c r="D88" s="34">
        <f>(('PRACTICE Equity Price Data'!D89/'PRACTICE Equity Price Data'!D88)-1)+D87</f>
        <v>0.0566217428</v>
      </c>
      <c r="E88" s="34">
        <f>(('PRACTICE Equity Price Data'!E89/'PRACTICE Equity Price Data'!E88)-1)+E87</f>
        <v>0.06816511168</v>
      </c>
      <c r="F88" s="3">
        <v>13.0</v>
      </c>
      <c r="G88" s="3">
        <v>260.0</v>
      </c>
      <c r="H88" s="3">
        <v>110.0</v>
      </c>
      <c r="I88" s="3">
        <v>256.0</v>
      </c>
      <c r="J88" s="3">
        <v>83.0</v>
      </c>
      <c r="K88" s="3">
        <v>188.0</v>
      </c>
      <c r="L88" s="3">
        <v>1000.0</v>
      </c>
      <c r="M88" s="3">
        <v>102.0</v>
      </c>
      <c r="N88" s="3">
        <v>200.0</v>
      </c>
      <c r="O88" s="3">
        <v>121.0</v>
      </c>
      <c r="P88" s="3"/>
      <c r="Q88" s="3">
        <v>80.0</v>
      </c>
      <c r="R88" s="3">
        <v>150.0</v>
      </c>
      <c r="S88" s="3"/>
      <c r="T88" s="3">
        <v>120.0</v>
      </c>
      <c r="U88" s="3">
        <v>80.0</v>
      </c>
      <c r="V88" s="1">
        <v>88.0</v>
      </c>
      <c r="W88" s="1">
        <v>250.0</v>
      </c>
      <c r="X88" s="1">
        <v>264.0</v>
      </c>
      <c r="Y88" s="1">
        <v>161.0</v>
      </c>
      <c r="Z88" s="1">
        <v>69.0</v>
      </c>
      <c r="AA88" s="3">
        <v>250.0</v>
      </c>
      <c r="AB88" s="1">
        <v>13.0</v>
      </c>
      <c r="AC88" s="1">
        <v>150.0</v>
      </c>
      <c r="AD88" s="1">
        <v>170.0</v>
      </c>
      <c r="AE88" s="3">
        <v>30.0</v>
      </c>
      <c r="AF88" s="1">
        <v>40.0</v>
      </c>
      <c r="AG88" s="1">
        <v>45.0</v>
      </c>
      <c r="AH88" s="3">
        <v>200.0</v>
      </c>
      <c r="AI88" s="1">
        <v>205.0</v>
      </c>
      <c r="AJ88" s="1">
        <v>60.0</v>
      </c>
      <c r="AK88" s="1">
        <v>100.0</v>
      </c>
      <c r="AL88" s="1">
        <v>175.0</v>
      </c>
      <c r="AM88" s="1">
        <v>130.0</v>
      </c>
      <c r="AN88" s="1"/>
      <c r="AO88" s="3">
        <v>160.0</v>
      </c>
      <c r="AP88" s="3">
        <v>70.0</v>
      </c>
      <c r="AQ88" s="3">
        <v>35.0</v>
      </c>
      <c r="AR88" s="1">
        <v>854.0</v>
      </c>
      <c r="AS88" s="1">
        <v>250.0</v>
      </c>
      <c r="AT88" s="1">
        <v>220.0</v>
      </c>
      <c r="AU88" s="1"/>
      <c r="AV88" s="1">
        <v>120.0</v>
      </c>
      <c r="AW88" s="3">
        <v>200.0</v>
      </c>
      <c r="AX88" s="3"/>
      <c r="AY88" s="3">
        <v>530.0</v>
      </c>
      <c r="AZ88" s="1">
        <v>40.0</v>
      </c>
      <c r="BA88" s="1"/>
      <c r="BB88" s="1"/>
      <c r="BC88" s="1">
        <v>150.0</v>
      </c>
      <c r="BD88" s="1">
        <v>190.0</v>
      </c>
      <c r="BE88" s="1">
        <v>80.0</v>
      </c>
      <c r="BF88" s="1"/>
      <c r="BG88" s="1">
        <v>213.0</v>
      </c>
      <c r="BH88" s="1">
        <v>23.0</v>
      </c>
      <c r="BI88" s="1">
        <v>40.0</v>
      </c>
      <c r="BJ88" s="1">
        <v>278.0</v>
      </c>
      <c r="BK88" s="3">
        <v>160.0</v>
      </c>
      <c r="BL88" s="1">
        <v>160.0</v>
      </c>
      <c r="BM88" s="1">
        <v>75.0</v>
      </c>
      <c r="BN88" s="32">
        <v>1802.0</v>
      </c>
      <c r="BO88" s="1">
        <v>47.0</v>
      </c>
      <c r="BP88" s="1"/>
      <c r="BQ88" s="1">
        <v>188.0</v>
      </c>
      <c r="BR88" s="27">
        <v>34640.0</v>
      </c>
    </row>
    <row r="89">
      <c r="A89" s="25">
        <f>'Equity Price Data'!A90</f>
        <v>45552.66667</v>
      </c>
      <c r="B89" s="34">
        <f>(('PRACTICE Equity Price Data'!B90/'PRACTICE Equity Price Data'!B89)-1)+B88</f>
        <v>0.07958185476</v>
      </c>
      <c r="C89" s="34">
        <f>(('PRACTICE Equity Price Data'!C90/'PRACTICE Equity Price Data'!C89)-1)+C88</f>
        <v>0.08018816545</v>
      </c>
      <c r="D89" s="34">
        <f>(('PRACTICE Equity Price Data'!D90/'PRACTICE Equity Price Data'!D89)-1)+D88</f>
        <v>0.05623973402</v>
      </c>
      <c r="E89" s="34">
        <f>(('PRACTICE Equity Price Data'!E90/'PRACTICE Equity Price Data'!E89)-1)+E88</f>
        <v>0.0756154239</v>
      </c>
      <c r="F89" s="3">
        <v>13.0</v>
      </c>
      <c r="G89" s="3">
        <v>260.0</v>
      </c>
      <c r="H89" s="3">
        <v>110.0</v>
      </c>
      <c r="I89" s="3">
        <v>256.0</v>
      </c>
      <c r="J89" s="3">
        <v>83.0</v>
      </c>
      <c r="K89" s="3">
        <v>188.0</v>
      </c>
      <c r="L89" s="3">
        <v>1000.0</v>
      </c>
      <c r="M89" s="3">
        <v>102.0</v>
      </c>
      <c r="N89" s="3">
        <v>200.0</v>
      </c>
      <c r="O89" s="3">
        <v>121.0</v>
      </c>
      <c r="P89" s="3"/>
      <c r="Q89" s="3">
        <v>80.0</v>
      </c>
      <c r="R89" s="3">
        <v>150.0</v>
      </c>
      <c r="S89" s="3"/>
      <c r="T89" s="3">
        <v>120.0</v>
      </c>
      <c r="U89" s="3">
        <v>80.0</v>
      </c>
      <c r="V89" s="1">
        <v>88.0</v>
      </c>
      <c r="W89" s="1">
        <v>250.0</v>
      </c>
      <c r="X89" s="1">
        <v>264.0</v>
      </c>
      <c r="Y89" s="1">
        <v>161.0</v>
      </c>
      <c r="Z89" s="1">
        <v>69.0</v>
      </c>
      <c r="AA89" s="3">
        <v>250.0</v>
      </c>
      <c r="AB89" s="1">
        <v>13.0</v>
      </c>
      <c r="AC89" s="1">
        <v>150.0</v>
      </c>
      <c r="AD89" s="1">
        <v>170.0</v>
      </c>
      <c r="AE89" s="3">
        <v>30.0</v>
      </c>
      <c r="AF89" s="1">
        <v>40.0</v>
      </c>
      <c r="AG89" s="1">
        <v>45.0</v>
      </c>
      <c r="AH89" s="3">
        <v>200.0</v>
      </c>
      <c r="AI89" s="1">
        <v>205.0</v>
      </c>
      <c r="AJ89" s="1">
        <v>60.0</v>
      </c>
      <c r="AK89" s="1">
        <v>100.0</v>
      </c>
      <c r="AL89" s="1">
        <v>175.0</v>
      </c>
      <c r="AM89" s="1">
        <v>130.0</v>
      </c>
      <c r="AN89" s="1"/>
      <c r="AO89" s="3">
        <v>160.0</v>
      </c>
      <c r="AP89" s="3">
        <v>70.0</v>
      </c>
      <c r="AQ89" s="3">
        <v>35.0</v>
      </c>
      <c r="AR89" s="1">
        <v>854.0</v>
      </c>
      <c r="AS89" s="1">
        <v>250.0</v>
      </c>
      <c r="AT89" s="1">
        <v>220.0</v>
      </c>
      <c r="AU89" s="1"/>
      <c r="AV89" s="1">
        <v>120.0</v>
      </c>
      <c r="AW89" s="3">
        <v>200.0</v>
      </c>
      <c r="AX89" s="3"/>
      <c r="AY89" s="3">
        <v>530.0</v>
      </c>
      <c r="AZ89" s="1">
        <v>40.0</v>
      </c>
      <c r="BA89" s="1"/>
      <c r="BB89" s="1"/>
      <c r="BC89" s="1">
        <v>150.0</v>
      </c>
      <c r="BD89" s="1">
        <v>190.0</v>
      </c>
      <c r="BE89" s="1">
        <v>80.0</v>
      </c>
      <c r="BF89" s="1"/>
      <c r="BG89" s="1">
        <v>213.0</v>
      </c>
      <c r="BH89" s="1">
        <v>23.0</v>
      </c>
      <c r="BI89" s="1">
        <v>40.0</v>
      </c>
      <c r="BJ89" s="1">
        <v>278.0</v>
      </c>
      <c r="BK89" s="3">
        <v>160.0</v>
      </c>
      <c r="BL89" s="1">
        <v>160.0</v>
      </c>
      <c r="BM89" s="1">
        <v>75.0</v>
      </c>
      <c r="BN89" s="32">
        <v>1802.0</v>
      </c>
      <c r="BO89" s="1">
        <v>47.0</v>
      </c>
      <c r="BP89" s="1"/>
      <c r="BQ89" s="1">
        <v>188.0</v>
      </c>
      <c r="BR89" s="27">
        <v>34640.0</v>
      </c>
    </row>
    <row r="90">
      <c r="A90" s="25">
        <f>'Equity Price Data'!A91</f>
        <v>45553.66667</v>
      </c>
      <c r="B90" s="34">
        <f>(('PRACTICE Equity Price Data'!B91/'PRACTICE Equity Price Data'!B90)-1)+B89</f>
        <v>0.07668545432</v>
      </c>
      <c r="C90" s="34">
        <f>(('PRACTICE Equity Price Data'!C91/'PRACTICE Equity Price Data'!C90)-1)+C89</f>
        <v>0.07708175442</v>
      </c>
      <c r="D90" s="34">
        <f>(('PRACTICE Equity Price Data'!D91/'PRACTICE Equity Price Data'!D90)-1)+D89</f>
        <v>0.05376221746</v>
      </c>
      <c r="E90" s="34">
        <f>(('PRACTICE Equity Price Data'!E91/'PRACTICE Equity Price Data'!E90)-1)+E89</f>
        <v>0.07600536169</v>
      </c>
      <c r="F90" s="3">
        <v>13.0</v>
      </c>
      <c r="G90" s="3">
        <v>260.0</v>
      </c>
      <c r="H90" s="3">
        <v>110.0</v>
      </c>
      <c r="I90" s="3">
        <v>256.0</v>
      </c>
      <c r="J90" s="3">
        <v>83.0</v>
      </c>
      <c r="K90" s="3">
        <v>188.0</v>
      </c>
      <c r="L90" s="3">
        <v>1000.0</v>
      </c>
      <c r="M90" s="3">
        <v>102.0</v>
      </c>
      <c r="N90" s="3">
        <v>200.0</v>
      </c>
      <c r="O90" s="3">
        <v>121.0</v>
      </c>
      <c r="P90" s="3"/>
      <c r="Q90" s="3">
        <v>80.0</v>
      </c>
      <c r="R90" s="3">
        <v>150.0</v>
      </c>
      <c r="S90" s="3"/>
      <c r="T90" s="3">
        <v>120.0</v>
      </c>
      <c r="U90" s="3">
        <v>80.0</v>
      </c>
      <c r="V90" s="1">
        <v>88.0</v>
      </c>
      <c r="W90" s="1">
        <v>250.0</v>
      </c>
      <c r="X90" s="1">
        <v>264.0</v>
      </c>
      <c r="Y90" s="1">
        <v>161.0</v>
      </c>
      <c r="Z90" s="1">
        <v>69.0</v>
      </c>
      <c r="AA90" s="3">
        <v>250.0</v>
      </c>
      <c r="AB90" s="1">
        <v>13.0</v>
      </c>
      <c r="AC90" s="1">
        <v>150.0</v>
      </c>
      <c r="AD90" s="1">
        <v>170.0</v>
      </c>
      <c r="AE90" s="3">
        <v>30.0</v>
      </c>
      <c r="AF90" s="1">
        <v>40.0</v>
      </c>
      <c r="AG90" s="1">
        <v>45.0</v>
      </c>
      <c r="AH90" s="3">
        <v>200.0</v>
      </c>
      <c r="AI90" s="1">
        <v>205.0</v>
      </c>
      <c r="AJ90" s="1">
        <v>60.0</v>
      </c>
      <c r="AK90" s="1">
        <v>100.0</v>
      </c>
      <c r="AL90" s="1">
        <v>175.0</v>
      </c>
      <c r="AM90" s="1">
        <v>130.0</v>
      </c>
      <c r="AN90" s="1"/>
      <c r="AO90" s="3">
        <v>160.0</v>
      </c>
      <c r="AP90" s="3">
        <v>70.0</v>
      </c>
      <c r="AQ90" s="3">
        <v>35.0</v>
      </c>
      <c r="AR90" s="1">
        <v>854.0</v>
      </c>
      <c r="AS90" s="1">
        <v>250.0</v>
      </c>
      <c r="AT90" s="1">
        <v>220.0</v>
      </c>
      <c r="AU90" s="1"/>
      <c r="AV90" s="1">
        <v>120.0</v>
      </c>
      <c r="AW90" s="3">
        <v>200.0</v>
      </c>
      <c r="AX90" s="3"/>
      <c r="AY90" s="3">
        <v>530.0</v>
      </c>
      <c r="AZ90" s="1">
        <v>40.0</v>
      </c>
      <c r="BA90" s="1"/>
      <c r="BB90" s="1"/>
      <c r="BC90" s="1">
        <v>150.0</v>
      </c>
      <c r="BD90" s="1">
        <v>190.0</v>
      </c>
      <c r="BE90" s="1">
        <v>80.0</v>
      </c>
      <c r="BF90" s="1"/>
      <c r="BG90" s="1">
        <v>213.0</v>
      </c>
      <c r="BH90" s="1">
        <v>23.0</v>
      </c>
      <c r="BI90" s="1">
        <v>40.0</v>
      </c>
      <c r="BJ90" s="1">
        <v>278.0</v>
      </c>
      <c r="BK90" s="3">
        <v>160.0</v>
      </c>
      <c r="BL90" s="1">
        <v>160.0</v>
      </c>
      <c r="BM90" s="1">
        <v>75.0</v>
      </c>
      <c r="BN90" s="32">
        <v>1802.0</v>
      </c>
      <c r="BO90" s="1">
        <v>47.0</v>
      </c>
      <c r="BP90" s="1"/>
      <c r="BQ90" s="1">
        <v>188.0</v>
      </c>
      <c r="BR90" s="27">
        <v>34640.0</v>
      </c>
    </row>
    <row r="91">
      <c r="A91" s="25">
        <f>'Equity Price Data'!A92</f>
        <v>45554.66667</v>
      </c>
      <c r="B91" s="34">
        <f>(('PRACTICE Equity Price Data'!B92/'PRACTICE Equity Price Data'!B91)-1)+B90</f>
        <v>0.09366224072</v>
      </c>
      <c r="C91" s="34">
        <f>(('PRACTICE Equity Price Data'!C92/'PRACTICE Equity Price Data'!C91)-1)+C90</f>
        <v>0.1021584332</v>
      </c>
      <c r="D91" s="34">
        <f>(('PRACTICE Equity Price Data'!D92/'PRACTICE Equity Price Data'!D91)-1)+D90</f>
        <v>0.06634175971</v>
      </c>
      <c r="E91" s="34">
        <f>(('PRACTICE Equity Price Data'!E92/'PRACTICE Equity Price Data'!E91)-1)+E90</f>
        <v>0.09702206809</v>
      </c>
      <c r="F91" s="3">
        <v>13.0</v>
      </c>
      <c r="G91" s="3">
        <v>260.0</v>
      </c>
      <c r="H91" s="3">
        <v>110.0</v>
      </c>
      <c r="I91" s="3">
        <v>256.0</v>
      </c>
      <c r="J91" s="3">
        <v>83.0</v>
      </c>
      <c r="K91" s="3">
        <v>188.0</v>
      </c>
      <c r="L91" s="3">
        <v>1000.0</v>
      </c>
      <c r="M91" s="3">
        <v>102.0</v>
      </c>
      <c r="N91" s="3">
        <v>200.0</v>
      </c>
      <c r="O91" s="3">
        <v>121.0</v>
      </c>
      <c r="P91" s="3"/>
      <c r="Q91" s="3">
        <v>80.0</v>
      </c>
      <c r="R91" s="3">
        <v>150.0</v>
      </c>
      <c r="S91" s="3"/>
      <c r="T91" s="3">
        <v>120.0</v>
      </c>
      <c r="U91" s="3">
        <v>80.0</v>
      </c>
      <c r="V91" s="1">
        <v>88.0</v>
      </c>
      <c r="W91" s="1">
        <v>250.0</v>
      </c>
      <c r="X91" s="1">
        <v>264.0</v>
      </c>
      <c r="Y91" s="1">
        <v>161.0</v>
      </c>
      <c r="Z91" s="1">
        <v>69.0</v>
      </c>
      <c r="AA91" s="3">
        <v>250.0</v>
      </c>
      <c r="AB91" s="1">
        <v>13.0</v>
      </c>
      <c r="AC91" s="1">
        <v>150.0</v>
      </c>
      <c r="AD91" s="1">
        <v>170.0</v>
      </c>
      <c r="AE91" s="3">
        <v>30.0</v>
      </c>
      <c r="AF91" s="1">
        <v>40.0</v>
      </c>
      <c r="AG91" s="1">
        <v>45.0</v>
      </c>
      <c r="AH91" s="3">
        <v>200.0</v>
      </c>
      <c r="AI91" s="1">
        <v>205.0</v>
      </c>
      <c r="AJ91" s="1">
        <v>60.0</v>
      </c>
      <c r="AK91" s="1">
        <v>100.0</v>
      </c>
      <c r="AL91" s="1">
        <v>175.0</v>
      </c>
      <c r="AM91" s="1">
        <v>130.0</v>
      </c>
      <c r="AN91" s="1"/>
      <c r="AO91" s="3">
        <v>160.0</v>
      </c>
      <c r="AP91" s="3">
        <v>70.0</v>
      </c>
      <c r="AQ91" s="3">
        <v>35.0</v>
      </c>
      <c r="AR91" s="1">
        <v>854.0</v>
      </c>
      <c r="AS91" s="1">
        <v>250.0</v>
      </c>
      <c r="AT91" s="1">
        <v>220.0</v>
      </c>
      <c r="AU91" s="1"/>
      <c r="AV91" s="1">
        <v>120.0</v>
      </c>
      <c r="AW91" s="3">
        <v>200.0</v>
      </c>
      <c r="AX91" s="3"/>
      <c r="AY91" s="3">
        <v>530.0</v>
      </c>
      <c r="AZ91" s="1">
        <v>40.0</v>
      </c>
      <c r="BA91" s="1"/>
      <c r="BB91" s="1"/>
      <c r="BC91" s="1">
        <v>150.0</v>
      </c>
      <c r="BD91" s="1">
        <v>190.0</v>
      </c>
      <c r="BE91" s="1">
        <v>80.0</v>
      </c>
      <c r="BF91" s="1"/>
      <c r="BG91" s="1">
        <v>213.0</v>
      </c>
      <c r="BH91" s="1">
        <v>23.0</v>
      </c>
      <c r="BI91" s="1">
        <v>40.0</v>
      </c>
      <c r="BJ91" s="1">
        <v>278.0</v>
      </c>
      <c r="BK91" s="3">
        <v>160.0</v>
      </c>
      <c r="BL91" s="1">
        <v>160.0</v>
      </c>
      <c r="BM91" s="1">
        <v>75.0</v>
      </c>
      <c r="BN91" s="32">
        <v>1802.0</v>
      </c>
      <c r="BO91" s="1">
        <v>47.0</v>
      </c>
      <c r="BP91" s="1"/>
      <c r="BQ91" s="1">
        <v>188.0</v>
      </c>
      <c r="BR91" s="27">
        <v>34640.0</v>
      </c>
    </row>
    <row r="92">
      <c r="A92" s="25">
        <f>'Equity Price Data'!A93</f>
        <v>45555.66667</v>
      </c>
      <c r="B92" s="34">
        <f>(('PRACTICE Equity Price Data'!B93/'PRACTICE Equity Price Data'!B92)-1)+B91</f>
        <v>0.0917212714</v>
      </c>
      <c r="C92" s="34">
        <f>(('PRACTICE Equity Price Data'!C93/'PRACTICE Equity Price Data'!C92)-1)+C91</f>
        <v>0.09851348638</v>
      </c>
      <c r="D92" s="34">
        <f>(('PRACTICE Equity Price Data'!D93/'PRACTICE Equity Price Data'!D92)-1)+D91</f>
        <v>0.06725002449</v>
      </c>
      <c r="E92" s="34">
        <f>(('PRACTICE Equity Price Data'!E93/'PRACTICE Equity Price Data'!E92)-1)+E91</f>
        <v>0.08600422735</v>
      </c>
      <c r="F92" s="3">
        <v>13.0</v>
      </c>
      <c r="G92" s="3">
        <v>260.0</v>
      </c>
      <c r="H92" s="3">
        <v>110.0</v>
      </c>
      <c r="I92" s="3">
        <v>256.0</v>
      </c>
      <c r="J92" s="3">
        <v>83.0</v>
      </c>
      <c r="K92" s="3">
        <v>188.0</v>
      </c>
      <c r="L92" s="3">
        <v>1000.0</v>
      </c>
      <c r="M92" s="3">
        <v>102.0</v>
      </c>
      <c r="N92" s="3">
        <v>200.0</v>
      </c>
      <c r="O92" s="3">
        <v>121.0</v>
      </c>
      <c r="P92" s="3"/>
      <c r="Q92" s="3">
        <v>80.0</v>
      </c>
      <c r="R92" s="3">
        <v>150.0</v>
      </c>
      <c r="S92" s="3"/>
      <c r="T92" s="3">
        <v>120.0</v>
      </c>
      <c r="U92" s="3">
        <v>80.0</v>
      </c>
      <c r="V92" s="1">
        <v>88.0</v>
      </c>
      <c r="W92" s="1">
        <v>250.0</v>
      </c>
      <c r="X92" s="1">
        <v>264.0</v>
      </c>
      <c r="Y92" s="1">
        <v>161.0</v>
      </c>
      <c r="Z92" s="1">
        <v>69.0</v>
      </c>
      <c r="AA92" s="3">
        <v>250.0</v>
      </c>
      <c r="AB92" s="1">
        <v>13.0</v>
      </c>
      <c r="AC92" s="1">
        <v>150.0</v>
      </c>
      <c r="AD92" s="1">
        <v>170.0</v>
      </c>
      <c r="AE92" s="3">
        <v>30.0</v>
      </c>
      <c r="AF92" s="1">
        <v>40.0</v>
      </c>
      <c r="AG92" s="1">
        <v>45.0</v>
      </c>
      <c r="AH92" s="3">
        <v>200.0</v>
      </c>
      <c r="AI92" s="1">
        <v>205.0</v>
      </c>
      <c r="AJ92" s="1">
        <v>60.0</v>
      </c>
      <c r="AK92" s="1">
        <v>100.0</v>
      </c>
      <c r="AL92" s="1">
        <v>175.0</v>
      </c>
      <c r="AM92" s="1">
        <v>130.0</v>
      </c>
      <c r="AN92" s="1"/>
      <c r="AO92" s="3">
        <v>160.0</v>
      </c>
      <c r="AP92" s="3">
        <v>70.0</v>
      </c>
      <c r="AQ92" s="3">
        <v>35.0</v>
      </c>
      <c r="AR92" s="1">
        <v>854.0</v>
      </c>
      <c r="AS92" s="1">
        <v>250.0</v>
      </c>
      <c r="AT92" s="1">
        <v>220.0</v>
      </c>
      <c r="AU92" s="1"/>
      <c r="AV92" s="1">
        <v>120.0</v>
      </c>
      <c r="AW92" s="3">
        <v>200.0</v>
      </c>
      <c r="AX92" s="3"/>
      <c r="AY92" s="3">
        <v>142.0</v>
      </c>
      <c r="AZ92" s="1">
        <v>40.0</v>
      </c>
      <c r="BA92" s="1"/>
      <c r="BB92" s="3">
        <v>402.0</v>
      </c>
      <c r="BC92" s="1">
        <v>150.0</v>
      </c>
      <c r="BD92" s="1">
        <v>190.0</v>
      </c>
      <c r="BE92" s="1">
        <v>80.0</v>
      </c>
      <c r="BF92" s="1"/>
      <c r="BG92" s="1">
        <v>213.0</v>
      </c>
      <c r="BH92" s="1">
        <v>23.0</v>
      </c>
      <c r="BI92" s="1">
        <v>40.0</v>
      </c>
      <c r="BJ92" s="1">
        <v>278.0</v>
      </c>
      <c r="BK92" s="3">
        <v>160.0</v>
      </c>
      <c r="BL92" s="1">
        <v>160.0</v>
      </c>
      <c r="BM92" s="1">
        <v>75.0</v>
      </c>
      <c r="BN92" s="32">
        <v>1802.0</v>
      </c>
      <c r="BO92" s="1">
        <v>47.0</v>
      </c>
      <c r="BP92" s="1"/>
      <c r="BQ92" s="1">
        <v>188.0</v>
      </c>
      <c r="BR92" s="27">
        <v>67197.24</v>
      </c>
    </row>
    <row r="93">
      <c r="A93" s="25">
        <f>'Equity Price Data'!A94</f>
        <v>45558.66667</v>
      </c>
      <c r="B93" s="34">
        <f>(('PRACTICE Equity Price Data'!B94/'PRACTICE Equity Price Data'!B93)-1)+B92</f>
        <v>0.09453054093</v>
      </c>
      <c r="C93" s="34">
        <f>(('PRACTICE Equity Price Data'!C94/'PRACTICE Equity Price Data'!C93)-1)+C92</f>
        <v>0.09995930415</v>
      </c>
      <c r="D93" s="34">
        <f>(('PRACTICE Equity Price Data'!D94/'PRACTICE Equity Price Data'!D93)-1)+D92</f>
        <v>0.06870711208</v>
      </c>
      <c r="E93" s="34">
        <f>(('PRACTICE Equity Price Data'!E94/'PRACTICE Equity Price Data'!E93)-1)+E92</f>
        <v>0.08258843932</v>
      </c>
      <c r="F93" s="3">
        <v>13.0</v>
      </c>
      <c r="G93" s="3">
        <v>260.0</v>
      </c>
      <c r="H93" s="3">
        <v>110.0</v>
      </c>
      <c r="I93" s="3">
        <v>256.0</v>
      </c>
      <c r="J93" s="3">
        <v>83.0</v>
      </c>
      <c r="K93" s="3">
        <v>188.0</v>
      </c>
      <c r="L93" s="3">
        <v>1000.0</v>
      </c>
      <c r="M93" s="3">
        <v>102.0</v>
      </c>
      <c r="N93" s="3">
        <v>200.0</v>
      </c>
      <c r="O93" s="3">
        <v>121.0</v>
      </c>
      <c r="P93" s="3"/>
      <c r="Q93" s="3">
        <v>80.0</v>
      </c>
      <c r="R93" s="3">
        <v>150.0</v>
      </c>
      <c r="S93" s="3"/>
      <c r="T93" s="3">
        <v>120.0</v>
      </c>
      <c r="U93" s="3">
        <v>80.0</v>
      </c>
      <c r="V93" s="1">
        <v>88.0</v>
      </c>
      <c r="W93" s="1">
        <v>250.0</v>
      </c>
      <c r="X93" s="1">
        <v>264.0</v>
      </c>
      <c r="Y93" s="1">
        <v>161.0</v>
      </c>
      <c r="Z93" s="1">
        <v>69.0</v>
      </c>
      <c r="AA93" s="3">
        <v>250.0</v>
      </c>
      <c r="AB93" s="1">
        <v>13.0</v>
      </c>
      <c r="AC93" s="1">
        <v>150.0</v>
      </c>
      <c r="AD93" s="1">
        <v>170.0</v>
      </c>
      <c r="AE93" s="3">
        <v>30.0</v>
      </c>
      <c r="AF93" s="1">
        <v>40.0</v>
      </c>
      <c r="AG93" s="1">
        <v>45.0</v>
      </c>
      <c r="AH93" s="3">
        <v>200.0</v>
      </c>
      <c r="AI93" s="1">
        <v>205.0</v>
      </c>
      <c r="AJ93" s="1">
        <v>60.0</v>
      </c>
      <c r="AK93" s="1">
        <v>100.0</v>
      </c>
      <c r="AL93" s="1">
        <v>175.0</v>
      </c>
      <c r="AM93" s="1">
        <v>130.0</v>
      </c>
      <c r="AN93" s="1"/>
      <c r="AO93" s="3">
        <v>160.0</v>
      </c>
      <c r="AP93" s="3">
        <v>70.0</v>
      </c>
      <c r="AQ93" s="3">
        <v>35.0</v>
      </c>
      <c r="AR93" s="1">
        <v>854.0</v>
      </c>
      <c r="AS93" s="1">
        <v>250.0</v>
      </c>
      <c r="AT93" s="1">
        <v>220.0</v>
      </c>
      <c r="AU93" s="1"/>
      <c r="AV93" s="1">
        <v>120.0</v>
      </c>
      <c r="AW93" s="3">
        <v>200.0</v>
      </c>
      <c r="AX93" s="3"/>
      <c r="AY93" s="3">
        <v>142.0</v>
      </c>
      <c r="AZ93" s="1">
        <v>40.0</v>
      </c>
      <c r="BA93" s="1"/>
      <c r="BB93" s="3">
        <v>402.0</v>
      </c>
      <c r="BC93" s="1">
        <v>150.0</v>
      </c>
      <c r="BD93" s="1">
        <v>190.0</v>
      </c>
      <c r="BE93" s="1">
        <v>80.0</v>
      </c>
      <c r="BF93" s="1"/>
      <c r="BG93" s="1">
        <v>213.0</v>
      </c>
      <c r="BH93" s="1">
        <v>23.0</v>
      </c>
      <c r="BI93" s="1">
        <v>40.0</v>
      </c>
      <c r="BJ93" s="1">
        <v>278.0</v>
      </c>
      <c r="BK93" s="3">
        <v>160.0</v>
      </c>
      <c r="BL93" s="1">
        <v>160.0</v>
      </c>
      <c r="BM93" s="1">
        <v>75.0</v>
      </c>
      <c r="BN93" s="32">
        <v>1802.0</v>
      </c>
      <c r="BO93" s="1">
        <v>47.0</v>
      </c>
      <c r="BP93" s="1"/>
      <c r="BQ93" s="1">
        <v>188.0</v>
      </c>
      <c r="BR93" s="27">
        <v>67197.24</v>
      </c>
    </row>
    <row r="94">
      <c r="A94" s="25">
        <f>'Equity Price Data'!A95</f>
        <v>45559.66667</v>
      </c>
      <c r="B94" s="34">
        <f>(('PRACTICE Equity Price Data'!B95/'PRACTICE Equity Price Data'!B94)-1)+B93</f>
        <v>0.09704165822</v>
      </c>
      <c r="C94" s="34">
        <f>(('PRACTICE Equity Price Data'!C95/'PRACTICE Equity Price Data'!C94)-1)+C93</f>
        <v>0.1055367212</v>
      </c>
      <c r="D94" s="34">
        <f>(('PRACTICE Equity Price Data'!D95/'PRACTICE Equity Price Data'!D94)-1)+D93</f>
        <v>0.07069098613</v>
      </c>
      <c r="E94" s="34">
        <f>(('PRACTICE Equity Price Data'!E95/'PRACTICE Equity Price Data'!E94)-1)+E93</f>
        <v>0.08425939974</v>
      </c>
      <c r="F94" s="3">
        <v>13.0</v>
      </c>
      <c r="G94" s="3">
        <v>260.0</v>
      </c>
      <c r="H94" s="3">
        <v>110.0</v>
      </c>
      <c r="I94" s="3">
        <v>256.0</v>
      </c>
      <c r="J94" s="3">
        <v>83.0</v>
      </c>
      <c r="K94" s="3">
        <v>188.0</v>
      </c>
      <c r="L94" s="3">
        <v>1000.0</v>
      </c>
      <c r="M94" s="3">
        <v>102.0</v>
      </c>
      <c r="N94" s="3">
        <v>200.0</v>
      </c>
      <c r="O94" s="3">
        <v>121.0</v>
      </c>
      <c r="P94" s="3"/>
      <c r="Q94" s="3">
        <v>80.0</v>
      </c>
      <c r="R94" s="3">
        <v>150.0</v>
      </c>
      <c r="S94" s="3"/>
      <c r="T94" s="3">
        <v>120.0</v>
      </c>
      <c r="U94" s="3">
        <v>80.0</v>
      </c>
      <c r="V94" s="1">
        <v>88.0</v>
      </c>
      <c r="W94" s="1">
        <v>250.0</v>
      </c>
      <c r="X94" s="1">
        <v>264.0</v>
      </c>
      <c r="Y94" s="1">
        <v>161.0</v>
      </c>
      <c r="Z94" s="1">
        <v>69.0</v>
      </c>
      <c r="AA94" s="3">
        <v>250.0</v>
      </c>
      <c r="AB94" s="1">
        <v>13.0</v>
      </c>
      <c r="AC94" s="1">
        <v>150.0</v>
      </c>
      <c r="AD94" s="1">
        <v>170.0</v>
      </c>
      <c r="AE94" s="3">
        <v>30.0</v>
      </c>
      <c r="AF94" s="1">
        <v>40.0</v>
      </c>
      <c r="AG94" s="1">
        <v>45.0</v>
      </c>
      <c r="AH94" s="3">
        <v>200.0</v>
      </c>
      <c r="AI94" s="1">
        <v>205.0</v>
      </c>
      <c r="AJ94" s="1">
        <v>60.0</v>
      </c>
      <c r="AK94" s="1">
        <v>100.0</v>
      </c>
      <c r="AL94" s="1">
        <v>175.0</v>
      </c>
      <c r="AM94" s="1">
        <v>130.0</v>
      </c>
      <c r="AN94" s="1"/>
      <c r="AO94" s="3">
        <v>160.0</v>
      </c>
      <c r="AP94" s="3">
        <v>70.0</v>
      </c>
      <c r="AQ94" s="3">
        <v>35.0</v>
      </c>
      <c r="AR94" s="1">
        <v>854.0</v>
      </c>
      <c r="AS94" s="1">
        <v>250.0</v>
      </c>
      <c r="AT94" s="1">
        <v>220.0</v>
      </c>
      <c r="AU94" s="1"/>
      <c r="AV94" s="1">
        <v>120.0</v>
      </c>
      <c r="AW94" s="3">
        <v>200.0</v>
      </c>
      <c r="AX94" s="3"/>
      <c r="AY94" s="3">
        <v>142.0</v>
      </c>
      <c r="AZ94" s="1">
        <v>40.0</v>
      </c>
      <c r="BA94" s="1"/>
      <c r="BB94" s="3">
        <v>402.0</v>
      </c>
      <c r="BC94" s="1">
        <v>150.0</v>
      </c>
      <c r="BD94" s="1">
        <v>190.0</v>
      </c>
      <c r="BE94" s="1">
        <v>80.0</v>
      </c>
      <c r="BF94" s="1"/>
      <c r="BG94" s="1">
        <v>213.0</v>
      </c>
      <c r="BH94" s="1">
        <v>23.0</v>
      </c>
      <c r="BI94" s="1">
        <v>40.0</v>
      </c>
      <c r="BJ94" s="1">
        <v>278.0</v>
      </c>
      <c r="BK94" s="3">
        <v>160.0</v>
      </c>
      <c r="BL94" s="1">
        <v>160.0</v>
      </c>
      <c r="BM94" s="1">
        <v>75.0</v>
      </c>
      <c r="BN94" s="32">
        <v>1802.0</v>
      </c>
      <c r="BO94" s="1">
        <v>47.0</v>
      </c>
      <c r="BP94" s="1"/>
      <c r="BQ94" s="1">
        <v>188.0</v>
      </c>
      <c r="BR94" s="27">
        <v>67197.24</v>
      </c>
    </row>
    <row r="95">
      <c r="A95" s="25">
        <f>'Equity Price Data'!A96</f>
        <v>45560.66667</v>
      </c>
      <c r="B95" s="34">
        <f>(('PRACTICE Equity Price Data'!B96/'PRACTICE Equity Price Data'!B95)-1)+B94</f>
        <v>0.09518048078</v>
      </c>
      <c r="C95" s="34">
        <f>(('PRACTICE Equity Price Data'!C96/'PRACTICE Equity Price Data'!C95)-1)+C94</f>
        <v>0.105962182</v>
      </c>
      <c r="D95" s="34">
        <f>(('PRACTICE Equity Price Data'!D96/'PRACTICE Equity Price Data'!D95)-1)+D94</f>
        <v>0.06373807507</v>
      </c>
      <c r="E95" s="34">
        <f>(('PRACTICE Equity Price Data'!E96/'PRACTICE Equity Price Data'!E95)-1)+E94</f>
        <v>0.07232589285</v>
      </c>
      <c r="F95" s="3">
        <v>13.0</v>
      </c>
      <c r="G95" s="3">
        <v>260.0</v>
      </c>
      <c r="H95" s="3">
        <v>110.0</v>
      </c>
      <c r="I95" s="3">
        <v>256.0</v>
      </c>
      <c r="J95" s="3">
        <v>83.0</v>
      </c>
      <c r="K95" s="3">
        <v>188.0</v>
      </c>
      <c r="L95" s="3">
        <v>1000.0</v>
      </c>
      <c r="M95" s="3">
        <v>102.0</v>
      </c>
      <c r="N95" s="3">
        <v>200.0</v>
      </c>
      <c r="O95" s="3">
        <v>121.0</v>
      </c>
      <c r="P95" s="3"/>
      <c r="Q95" s="3">
        <v>80.0</v>
      </c>
      <c r="R95" s="3">
        <v>150.0</v>
      </c>
      <c r="S95" s="3"/>
      <c r="T95" s="3">
        <v>120.0</v>
      </c>
      <c r="U95" s="3">
        <v>80.0</v>
      </c>
      <c r="V95" s="1">
        <v>88.0</v>
      </c>
      <c r="W95" s="1">
        <v>250.0</v>
      </c>
      <c r="X95" s="1">
        <v>264.0</v>
      </c>
      <c r="Y95" s="1">
        <v>161.0</v>
      </c>
      <c r="Z95" s="1">
        <v>69.0</v>
      </c>
      <c r="AA95" s="3">
        <v>250.0</v>
      </c>
      <c r="AB95" s="1">
        <v>13.0</v>
      </c>
      <c r="AC95" s="1">
        <v>150.0</v>
      </c>
      <c r="AD95" s="1">
        <v>170.0</v>
      </c>
      <c r="AE95" s="3">
        <v>30.0</v>
      </c>
      <c r="AF95" s="1">
        <v>40.0</v>
      </c>
      <c r="AG95" s="1">
        <v>45.0</v>
      </c>
      <c r="AH95" s="3">
        <v>200.0</v>
      </c>
      <c r="AI95" s="1">
        <v>205.0</v>
      </c>
      <c r="AJ95" s="1">
        <v>60.0</v>
      </c>
      <c r="AK95" s="1">
        <v>100.0</v>
      </c>
      <c r="AL95" s="1">
        <v>175.0</v>
      </c>
      <c r="AM95" s="1">
        <v>130.0</v>
      </c>
      <c r="AN95" s="1"/>
      <c r="AO95" s="3">
        <v>160.0</v>
      </c>
      <c r="AP95" s="3">
        <v>70.0</v>
      </c>
      <c r="AQ95" s="3">
        <v>35.0</v>
      </c>
      <c r="AR95" s="1">
        <v>854.0</v>
      </c>
      <c r="AS95" s="1">
        <v>250.0</v>
      </c>
      <c r="AT95" s="1">
        <v>220.0</v>
      </c>
      <c r="AU95" s="1"/>
      <c r="AV95" s="1">
        <v>120.0</v>
      </c>
      <c r="AW95" s="3">
        <v>200.0</v>
      </c>
      <c r="AX95" s="3"/>
      <c r="AY95" s="3">
        <v>142.0</v>
      </c>
      <c r="AZ95" s="1">
        <v>40.0</v>
      </c>
      <c r="BA95" s="1"/>
      <c r="BB95" s="3">
        <v>402.0</v>
      </c>
      <c r="BC95" s="1">
        <v>150.0</v>
      </c>
      <c r="BD95" s="1">
        <v>190.0</v>
      </c>
      <c r="BE95" s="1">
        <v>80.0</v>
      </c>
      <c r="BF95" s="1"/>
      <c r="BG95" s="1">
        <v>213.0</v>
      </c>
      <c r="BH95" s="1">
        <v>23.0</v>
      </c>
      <c r="BI95" s="1">
        <v>40.0</v>
      </c>
      <c r="BJ95" s="1">
        <v>278.0</v>
      </c>
      <c r="BK95" s="3">
        <v>160.0</v>
      </c>
      <c r="BL95" s="1">
        <v>160.0</v>
      </c>
      <c r="BM95" s="1">
        <v>75.0</v>
      </c>
      <c r="BN95" s="32">
        <v>1802.0</v>
      </c>
      <c r="BO95" s="1">
        <v>47.0</v>
      </c>
      <c r="BP95" s="1"/>
      <c r="BQ95" s="1">
        <v>188.0</v>
      </c>
      <c r="BR95" s="27">
        <v>67197.24</v>
      </c>
    </row>
    <row r="96">
      <c r="A96" s="25">
        <f>'Equity Price Data'!A97</f>
        <v>45561.66667</v>
      </c>
      <c r="B96" s="34">
        <f>(('PRACTICE Equity Price Data'!B97/'PRACTICE Equity Price Data'!B96)-1)+B95</f>
        <v>0.09921909489</v>
      </c>
      <c r="C96" s="34">
        <f>(('PRACTICE Equity Price Data'!C97/'PRACTICE Equity Price Data'!C96)-1)+C95</f>
        <v>0.1119393275</v>
      </c>
      <c r="D96" s="34">
        <f>(('PRACTICE Equity Price Data'!D97/'PRACTICE Equity Price Data'!D96)-1)+D95</f>
        <v>0.06994973087</v>
      </c>
      <c r="E96" s="34">
        <f>(('PRACTICE Equity Price Data'!E97/'PRACTICE Equity Price Data'!E96)-1)+E95</f>
        <v>0.07797789858</v>
      </c>
      <c r="F96" s="3">
        <v>13.0</v>
      </c>
      <c r="G96" s="3">
        <v>260.0</v>
      </c>
      <c r="H96" s="3">
        <v>110.0</v>
      </c>
      <c r="I96" s="3">
        <v>256.0</v>
      </c>
      <c r="J96" s="3">
        <v>83.0</v>
      </c>
      <c r="K96" s="3">
        <v>188.0</v>
      </c>
      <c r="L96" s="3">
        <v>1000.0</v>
      </c>
      <c r="M96" s="3">
        <v>102.0</v>
      </c>
      <c r="N96" s="3">
        <v>200.0</v>
      </c>
      <c r="O96" s="3">
        <v>121.0</v>
      </c>
      <c r="P96" s="3"/>
      <c r="Q96" s="3">
        <v>80.0</v>
      </c>
      <c r="R96" s="3">
        <v>150.0</v>
      </c>
      <c r="S96" s="3"/>
      <c r="T96" s="3">
        <v>120.0</v>
      </c>
      <c r="U96" s="3">
        <v>80.0</v>
      </c>
      <c r="V96" s="1">
        <v>88.0</v>
      </c>
      <c r="W96" s="1">
        <v>250.0</v>
      </c>
      <c r="X96" s="1">
        <v>264.0</v>
      </c>
      <c r="Y96" s="1">
        <v>161.0</v>
      </c>
      <c r="Z96" s="1">
        <v>69.0</v>
      </c>
      <c r="AA96" s="3">
        <v>250.0</v>
      </c>
      <c r="AB96" s="1">
        <v>13.0</v>
      </c>
      <c r="AC96" s="1">
        <v>150.0</v>
      </c>
      <c r="AD96" s="1">
        <v>170.0</v>
      </c>
      <c r="AE96" s="3">
        <v>30.0</v>
      </c>
      <c r="AF96" s="1">
        <v>40.0</v>
      </c>
      <c r="AG96" s="1">
        <v>45.0</v>
      </c>
      <c r="AH96" s="3">
        <v>200.0</v>
      </c>
      <c r="AI96" s="1">
        <v>205.0</v>
      </c>
      <c r="AJ96" s="1">
        <v>60.0</v>
      </c>
      <c r="AK96" s="1">
        <v>100.0</v>
      </c>
      <c r="AL96" s="1">
        <v>175.0</v>
      </c>
      <c r="AM96" s="1">
        <v>130.0</v>
      </c>
      <c r="AN96" s="1"/>
      <c r="AO96" s="3">
        <v>160.0</v>
      </c>
      <c r="AP96" s="3">
        <v>70.0</v>
      </c>
      <c r="AQ96" s="3">
        <v>35.0</v>
      </c>
      <c r="AR96" s="1">
        <v>854.0</v>
      </c>
      <c r="AS96" s="1">
        <v>250.0</v>
      </c>
      <c r="AT96" s="1">
        <v>220.0</v>
      </c>
      <c r="AU96" s="1"/>
      <c r="AV96" s="1">
        <v>120.0</v>
      </c>
      <c r="AW96" s="3">
        <v>200.0</v>
      </c>
      <c r="AX96" s="3"/>
      <c r="AY96" s="3">
        <v>142.0</v>
      </c>
      <c r="AZ96" s="1">
        <v>40.0</v>
      </c>
      <c r="BA96" s="1"/>
      <c r="BB96" s="3">
        <v>402.0</v>
      </c>
      <c r="BC96" s="1">
        <v>150.0</v>
      </c>
      <c r="BD96" s="1">
        <v>190.0</v>
      </c>
      <c r="BE96" s="1">
        <v>80.0</v>
      </c>
      <c r="BF96" s="1"/>
      <c r="BG96" s="1">
        <v>213.0</v>
      </c>
      <c r="BH96" s="1">
        <v>23.0</v>
      </c>
      <c r="BI96" s="1">
        <v>40.0</v>
      </c>
      <c r="BJ96" s="1">
        <v>278.0</v>
      </c>
      <c r="BK96" s="3">
        <v>160.0</v>
      </c>
      <c r="BL96" s="1">
        <v>160.0</v>
      </c>
      <c r="BM96" s="1">
        <v>75.0</v>
      </c>
      <c r="BN96" s="32">
        <v>1802.0</v>
      </c>
      <c r="BO96" s="1">
        <v>47.0</v>
      </c>
      <c r="BP96" s="1"/>
      <c r="BQ96" s="1">
        <v>188.0</v>
      </c>
      <c r="BR96" s="27">
        <v>67197.24</v>
      </c>
    </row>
    <row r="97">
      <c r="A97" s="25">
        <f>'Equity Price Data'!A98</f>
        <v>45562.66667</v>
      </c>
      <c r="B97" s="34">
        <f>(('PRACTICE Equity Price Data'!B98/'PRACTICE Equity Price Data'!B97)-1)+B96</f>
        <v>0.0979659119</v>
      </c>
      <c r="C97" s="34">
        <f>(('PRACTICE Equity Price Data'!C98/'PRACTICE Equity Price Data'!C97)-1)+C96</f>
        <v>0.1080526385</v>
      </c>
      <c r="D97" s="34">
        <f>(('PRACTICE Equity Price Data'!D98/'PRACTICE Equity Price Data'!D97)-1)+D96</f>
        <v>0.07321919478</v>
      </c>
      <c r="E97" s="34">
        <f>(('PRACTICE Equity Price Data'!E98/'PRACTICE Equity Price Data'!E97)-1)+E96</f>
        <v>0.08468870057</v>
      </c>
      <c r="F97" s="3">
        <v>13.0</v>
      </c>
      <c r="G97" s="3">
        <v>260.0</v>
      </c>
      <c r="H97" s="3">
        <v>110.0</v>
      </c>
      <c r="I97" s="3">
        <v>256.0</v>
      </c>
      <c r="J97" s="3">
        <v>83.0</v>
      </c>
      <c r="K97" s="3">
        <v>188.0</v>
      </c>
      <c r="L97" s="3">
        <v>1000.0</v>
      </c>
      <c r="M97" s="3">
        <v>102.0</v>
      </c>
      <c r="N97" s="3">
        <v>200.0</v>
      </c>
      <c r="O97" s="3">
        <v>121.0</v>
      </c>
      <c r="P97" s="3"/>
      <c r="Q97" s="3">
        <v>80.0</v>
      </c>
      <c r="R97" s="3">
        <v>150.0</v>
      </c>
      <c r="S97" s="3">
        <v>417.0</v>
      </c>
      <c r="T97" s="3">
        <v>120.0</v>
      </c>
      <c r="U97" s="3">
        <v>80.0</v>
      </c>
      <c r="V97" s="1">
        <v>88.0</v>
      </c>
      <c r="W97" s="1">
        <v>250.0</v>
      </c>
      <c r="X97" s="1">
        <v>264.0</v>
      </c>
      <c r="Y97" s="1">
        <v>161.0</v>
      </c>
      <c r="Z97" s="1">
        <v>69.0</v>
      </c>
      <c r="AA97" s="3">
        <v>250.0</v>
      </c>
      <c r="AB97" s="1">
        <v>13.0</v>
      </c>
      <c r="AC97" s="1">
        <v>150.0</v>
      </c>
      <c r="AD97" s="1">
        <v>170.0</v>
      </c>
      <c r="AE97" s="3">
        <v>30.0</v>
      </c>
      <c r="AF97" s="1">
        <v>40.0</v>
      </c>
      <c r="AG97" s="1">
        <v>45.0</v>
      </c>
      <c r="AH97" s="3">
        <v>200.0</v>
      </c>
      <c r="AI97" s="1">
        <v>205.0</v>
      </c>
      <c r="AJ97" s="1">
        <v>60.0</v>
      </c>
      <c r="AK97" s="1">
        <v>100.0</v>
      </c>
      <c r="AL97" s="1">
        <v>175.0</v>
      </c>
      <c r="AM97" s="1">
        <v>130.0</v>
      </c>
      <c r="AN97" s="1"/>
      <c r="AO97" s="3">
        <v>160.0</v>
      </c>
      <c r="AP97" s="3">
        <v>70.0</v>
      </c>
      <c r="AQ97" s="3">
        <v>35.0</v>
      </c>
      <c r="AR97" s="1">
        <v>854.0</v>
      </c>
      <c r="AS97" s="1">
        <v>250.0</v>
      </c>
      <c r="AT97" s="1">
        <v>220.0</v>
      </c>
      <c r="AU97" s="1"/>
      <c r="AV97" s="1">
        <v>120.0</v>
      </c>
      <c r="AW97" s="3">
        <v>200.0</v>
      </c>
      <c r="AX97" s="3"/>
      <c r="AY97" s="3">
        <v>142.0</v>
      </c>
      <c r="AZ97" s="1">
        <v>40.0</v>
      </c>
      <c r="BA97" s="1"/>
      <c r="BB97" s="3">
        <v>402.0</v>
      </c>
      <c r="BC97" s="1">
        <v>150.0</v>
      </c>
      <c r="BD97" s="1">
        <v>190.0</v>
      </c>
      <c r="BE97" s="1">
        <v>80.0</v>
      </c>
      <c r="BF97" s="1"/>
      <c r="BG97" s="1">
        <v>213.0</v>
      </c>
      <c r="BH97" s="1">
        <v>23.0</v>
      </c>
      <c r="BI97" s="1">
        <v>40.0</v>
      </c>
      <c r="BJ97" s="1">
        <v>278.0</v>
      </c>
      <c r="BK97" s="3">
        <v>160.0</v>
      </c>
      <c r="BL97" s="1">
        <v>160.0</v>
      </c>
      <c r="BM97" s="1">
        <v>75.0</v>
      </c>
      <c r="BN97" s="32">
        <v>1802.0</v>
      </c>
      <c r="BO97" s="1">
        <v>47.0</v>
      </c>
      <c r="BP97" s="3">
        <v>48.0</v>
      </c>
      <c r="BQ97" s="1">
        <v>188.0</v>
      </c>
      <c r="BR97" s="27">
        <v>67197.24</v>
      </c>
    </row>
    <row r="98">
      <c r="A98" s="25">
        <f>'Equity Price Data'!A99</f>
        <v>45565.66667</v>
      </c>
      <c r="B98" s="34">
        <f>(('PRACTICE Equity Price Data'!B99/'PRACTICE Equity Price Data'!B98)-1)+B97</f>
        <v>0.1022024542</v>
      </c>
      <c r="C98" s="34">
        <f>(('PRACTICE Equity Price Data'!C99/'PRACTICE Equity Price Data'!C98)-1)+C97</f>
        <v>0.1118926812</v>
      </c>
      <c r="D98" s="34">
        <f>(('PRACTICE Equity Price Data'!D99/'PRACTICE Equity Price Data'!D98)-1)+D97</f>
        <v>0.07362450756</v>
      </c>
      <c r="E98" s="34">
        <f>(('PRACTICE Equity Price Data'!E99/'PRACTICE Equity Price Data'!E98)-1)+E97</f>
        <v>0.0870575593</v>
      </c>
      <c r="F98" s="3">
        <v>13.0</v>
      </c>
      <c r="G98" s="3">
        <v>260.0</v>
      </c>
      <c r="H98" s="3">
        <v>110.0</v>
      </c>
      <c r="I98" s="3">
        <v>256.0</v>
      </c>
      <c r="J98" s="3">
        <v>83.0</v>
      </c>
      <c r="K98" s="3">
        <v>188.0</v>
      </c>
      <c r="L98" s="3">
        <v>1000.0</v>
      </c>
      <c r="M98" s="3">
        <v>102.0</v>
      </c>
      <c r="N98" s="3">
        <v>200.0</v>
      </c>
      <c r="O98" s="3">
        <v>121.0</v>
      </c>
      <c r="P98" s="3"/>
      <c r="Q98" s="3">
        <v>80.0</v>
      </c>
      <c r="R98" s="3">
        <v>150.0</v>
      </c>
      <c r="S98" s="3">
        <v>417.0</v>
      </c>
      <c r="T98" s="3">
        <v>120.0</v>
      </c>
      <c r="U98" s="3">
        <v>80.0</v>
      </c>
      <c r="V98" s="1">
        <v>88.0</v>
      </c>
      <c r="W98" s="1">
        <v>250.0</v>
      </c>
      <c r="X98" s="1">
        <v>264.0</v>
      </c>
      <c r="Y98" s="1">
        <v>161.0</v>
      </c>
      <c r="Z98" s="1">
        <v>69.0</v>
      </c>
      <c r="AA98" s="3">
        <v>250.0</v>
      </c>
      <c r="AB98" s="1">
        <v>13.0</v>
      </c>
      <c r="AC98" s="1">
        <v>150.0</v>
      </c>
      <c r="AD98" s="1">
        <v>170.0</v>
      </c>
      <c r="AE98" s="3">
        <v>30.0</v>
      </c>
      <c r="AF98" s="1">
        <v>40.0</v>
      </c>
      <c r="AG98" s="1">
        <v>45.0</v>
      </c>
      <c r="AH98" s="3">
        <v>200.0</v>
      </c>
      <c r="AI98" s="1">
        <v>205.0</v>
      </c>
      <c r="AJ98" s="1">
        <v>60.0</v>
      </c>
      <c r="AK98" s="1">
        <v>100.0</v>
      </c>
      <c r="AL98" s="1">
        <v>175.0</v>
      </c>
      <c r="AM98" s="1">
        <v>130.0</v>
      </c>
      <c r="AN98" s="1"/>
      <c r="AO98" s="3">
        <v>160.0</v>
      </c>
      <c r="AP98" s="3">
        <v>70.0</v>
      </c>
      <c r="AQ98" s="3">
        <v>35.0</v>
      </c>
      <c r="AR98" s="1">
        <v>854.0</v>
      </c>
      <c r="AS98" s="1">
        <v>250.0</v>
      </c>
      <c r="AT98" s="1">
        <v>220.0</v>
      </c>
      <c r="AU98" s="1"/>
      <c r="AV98" s="1">
        <v>120.0</v>
      </c>
      <c r="AW98" s="3">
        <v>200.0</v>
      </c>
      <c r="AX98" s="3"/>
      <c r="AY98" s="3">
        <v>142.0</v>
      </c>
      <c r="AZ98" s="1">
        <v>40.0</v>
      </c>
      <c r="BA98" s="1"/>
      <c r="BB98" s="3">
        <v>402.0</v>
      </c>
      <c r="BC98" s="1">
        <v>150.0</v>
      </c>
      <c r="BD98" s="1">
        <v>190.0</v>
      </c>
      <c r="BE98" s="1">
        <v>80.0</v>
      </c>
      <c r="BF98" s="1"/>
      <c r="BG98" s="1">
        <v>213.0</v>
      </c>
      <c r="BH98" s="1">
        <v>23.0</v>
      </c>
      <c r="BI98" s="1">
        <v>40.0</v>
      </c>
      <c r="BJ98" s="1">
        <v>278.0</v>
      </c>
      <c r="BK98" s="3">
        <v>160.0</v>
      </c>
      <c r="BL98" s="1">
        <v>160.0</v>
      </c>
      <c r="BM98" s="1">
        <v>75.0</v>
      </c>
      <c r="BN98" s="32">
        <v>1802.0</v>
      </c>
      <c r="BO98" s="1">
        <v>47.0</v>
      </c>
      <c r="BP98" s="3">
        <v>48.0</v>
      </c>
      <c r="BQ98" s="1">
        <v>188.0</v>
      </c>
      <c r="BR98" s="27">
        <v>67197.24</v>
      </c>
    </row>
    <row r="99">
      <c r="A99" s="25">
        <f>'Equity Price Data'!A100</f>
        <v>45566.66667</v>
      </c>
      <c r="B99" s="34">
        <f>(('PRACTICE Equity Price Data'!B100/'PRACTICE Equity Price Data'!B99)-1)+B98</f>
        <v>0.09287834376</v>
      </c>
      <c r="C99" s="34">
        <f>(('PRACTICE Equity Price Data'!C100/'PRACTICE Equity Price Data'!C99)-1)+C98</f>
        <v>0.09656432927</v>
      </c>
      <c r="D99" s="34">
        <f>(('PRACTICE Equity Price Data'!D100/'PRACTICE Equity Price Data'!D99)-1)+D98</f>
        <v>0.06953333378</v>
      </c>
      <c r="E99" s="34">
        <f>(('PRACTICE Equity Price Data'!E100/'PRACTICE Equity Price Data'!E99)-1)+E98</f>
        <v>0.07228606013</v>
      </c>
      <c r="F99" s="3">
        <v>13.0</v>
      </c>
      <c r="G99" s="3">
        <v>260.0</v>
      </c>
      <c r="H99" s="3">
        <v>110.0</v>
      </c>
      <c r="I99" s="3">
        <v>256.0</v>
      </c>
      <c r="J99" s="3">
        <v>83.0</v>
      </c>
      <c r="K99" s="3">
        <v>188.0</v>
      </c>
      <c r="L99" s="3">
        <v>1000.0</v>
      </c>
      <c r="M99" s="3">
        <v>102.0</v>
      </c>
      <c r="N99" s="3">
        <v>200.0</v>
      </c>
      <c r="O99" s="3">
        <v>121.0</v>
      </c>
      <c r="P99" s="3"/>
      <c r="Q99" s="3">
        <v>80.0</v>
      </c>
      <c r="R99" s="3">
        <v>150.0</v>
      </c>
      <c r="S99" s="3">
        <v>417.0</v>
      </c>
      <c r="T99" s="3">
        <v>120.0</v>
      </c>
      <c r="U99" s="3">
        <v>80.0</v>
      </c>
      <c r="V99" s="1">
        <v>88.0</v>
      </c>
      <c r="W99" s="1">
        <v>250.0</v>
      </c>
      <c r="X99" s="1">
        <v>264.0</v>
      </c>
      <c r="Y99" s="1">
        <v>161.0</v>
      </c>
      <c r="Z99" s="1">
        <v>69.0</v>
      </c>
      <c r="AA99" s="3">
        <v>250.0</v>
      </c>
      <c r="AB99" s="1">
        <v>13.0</v>
      </c>
      <c r="AC99" s="1">
        <v>150.0</v>
      </c>
      <c r="AD99" s="1">
        <v>170.0</v>
      </c>
      <c r="AE99" s="3">
        <v>30.0</v>
      </c>
      <c r="AF99" s="1">
        <v>40.0</v>
      </c>
      <c r="AG99" s="1">
        <v>45.0</v>
      </c>
      <c r="AH99" s="3">
        <v>200.0</v>
      </c>
      <c r="AI99" s="1">
        <v>205.0</v>
      </c>
      <c r="AJ99" s="1">
        <v>60.0</v>
      </c>
      <c r="AK99" s="1">
        <v>100.0</v>
      </c>
      <c r="AL99" s="1">
        <v>175.0</v>
      </c>
      <c r="AM99" s="1">
        <v>130.0</v>
      </c>
      <c r="AN99" s="1"/>
      <c r="AO99" s="3">
        <v>160.0</v>
      </c>
      <c r="AP99" s="3">
        <v>70.0</v>
      </c>
      <c r="AQ99" s="3">
        <v>35.0</v>
      </c>
      <c r="AR99" s="1">
        <v>854.0</v>
      </c>
      <c r="AS99" s="1">
        <v>250.0</v>
      </c>
      <c r="AT99" s="1">
        <v>220.0</v>
      </c>
      <c r="AU99" s="1"/>
      <c r="AV99" s="1">
        <v>120.0</v>
      </c>
      <c r="AW99" s="3">
        <v>200.0</v>
      </c>
      <c r="AX99" s="3"/>
      <c r="AY99" s="3">
        <v>142.0</v>
      </c>
      <c r="AZ99" s="1">
        <v>40.0</v>
      </c>
      <c r="BA99" s="1"/>
      <c r="BB99" s="3">
        <v>402.0</v>
      </c>
      <c r="BC99" s="1">
        <v>150.0</v>
      </c>
      <c r="BD99" s="1">
        <v>190.0</v>
      </c>
      <c r="BE99" s="1">
        <v>80.0</v>
      </c>
      <c r="BF99" s="1"/>
      <c r="BG99" s="1">
        <v>213.0</v>
      </c>
      <c r="BH99" s="1">
        <v>23.0</v>
      </c>
      <c r="BI99" s="1">
        <v>40.0</v>
      </c>
      <c r="BJ99" s="1">
        <v>278.0</v>
      </c>
      <c r="BK99" s="3">
        <v>160.0</v>
      </c>
      <c r="BL99" s="1">
        <v>160.0</v>
      </c>
      <c r="BM99" s="1">
        <v>75.0</v>
      </c>
      <c r="BN99" s="32">
        <v>1802.0</v>
      </c>
      <c r="BO99" s="1">
        <v>47.0</v>
      </c>
      <c r="BP99" s="3">
        <v>48.0</v>
      </c>
      <c r="BQ99" s="1">
        <v>188.0</v>
      </c>
      <c r="BR99" s="27">
        <v>67197.2400000001</v>
      </c>
    </row>
    <row r="100">
      <c r="A100" s="25">
        <f>'Equity Price Data'!A101</f>
        <v>45567.66667</v>
      </c>
      <c r="B100" s="34">
        <f>(('PRACTICE Equity Price Data'!B101/'PRACTICE Equity Price Data'!B100)-1)+B99</f>
        <v>0.09301672781</v>
      </c>
      <c r="C100" s="34">
        <f>(('PRACTICE Equity Price Data'!C101/'PRACTICE Equity Price Data'!C100)-1)+C99</f>
        <v>0.09738843331</v>
      </c>
      <c r="D100" s="34">
        <f>(('PRACTICE Equity Price Data'!D101/'PRACTICE Equity Price Data'!D100)-1)+D99</f>
        <v>0.07047149418</v>
      </c>
      <c r="E100" s="34">
        <f>(('PRACTICE Equity Price Data'!E101/'PRACTICE Equity Price Data'!E100)-1)+E99</f>
        <v>0.07136663709</v>
      </c>
      <c r="F100" s="3">
        <v>13.0</v>
      </c>
      <c r="G100" s="3">
        <v>260.0</v>
      </c>
      <c r="H100" s="3">
        <v>110.0</v>
      </c>
      <c r="I100" s="3">
        <v>256.0</v>
      </c>
      <c r="J100" s="3">
        <v>83.0</v>
      </c>
      <c r="K100" s="3">
        <v>188.0</v>
      </c>
      <c r="L100" s="3">
        <v>1000.0</v>
      </c>
      <c r="M100" s="3">
        <v>102.0</v>
      </c>
      <c r="N100" s="3">
        <v>200.0</v>
      </c>
      <c r="O100" s="3">
        <v>121.0</v>
      </c>
      <c r="P100" s="3"/>
      <c r="Q100" s="3">
        <v>80.0</v>
      </c>
      <c r="R100" s="3">
        <v>150.0</v>
      </c>
      <c r="S100" s="3">
        <v>417.0</v>
      </c>
      <c r="T100" s="3">
        <v>120.0</v>
      </c>
      <c r="U100" s="3">
        <v>80.0</v>
      </c>
      <c r="V100" s="1">
        <v>88.0</v>
      </c>
      <c r="W100" s="1">
        <v>250.0</v>
      </c>
      <c r="X100" s="1">
        <v>264.0</v>
      </c>
      <c r="Y100" s="1">
        <v>161.0</v>
      </c>
      <c r="Z100" s="1">
        <v>69.0</v>
      </c>
      <c r="AA100" s="3">
        <v>250.0</v>
      </c>
      <c r="AB100" s="1">
        <v>13.0</v>
      </c>
      <c r="AC100" s="1">
        <v>150.0</v>
      </c>
      <c r="AD100" s="1">
        <v>170.0</v>
      </c>
      <c r="AE100" s="3">
        <v>30.0</v>
      </c>
      <c r="AF100" s="1">
        <v>40.0</v>
      </c>
      <c r="AG100" s="1">
        <v>45.0</v>
      </c>
      <c r="AH100" s="3">
        <v>200.0</v>
      </c>
      <c r="AI100" s="1">
        <v>205.0</v>
      </c>
      <c r="AJ100" s="1">
        <v>60.0</v>
      </c>
      <c r="AK100" s="1">
        <v>100.0</v>
      </c>
      <c r="AL100" s="1">
        <v>175.0</v>
      </c>
      <c r="AM100" s="1">
        <v>130.0</v>
      </c>
      <c r="AN100" s="1"/>
      <c r="AO100" s="3">
        <v>160.0</v>
      </c>
      <c r="AP100" s="3">
        <v>70.0</v>
      </c>
      <c r="AQ100" s="3">
        <v>35.0</v>
      </c>
      <c r="AR100" s="1">
        <v>854.0</v>
      </c>
      <c r="AS100" s="1">
        <v>250.0</v>
      </c>
      <c r="AT100" s="1">
        <v>220.0</v>
      </c>
      <c r="AU100" s="1"/>
      <c r="AV100" s="1">
        <v>120.0</v>
      </c>
      <c r="AW100" s="3">
        <v>200.0</v>
      </c>
      <c r="AX100" s="3"/>
      <c r="AY100" s="3">
        <v>142.0</v>
      </c>
      <c r="AZ100" s="1">
        <v>40.0</v>
      </c>
      <c r="BA100" s="1"/>
      <c r="BB100" s="3">
        <v>402.0</v>
      </c>
      <c r="BC100" s="1">
        <v>150.0</v>
      </c>
      <c r="BD100" s="1">
        <v>190.0</v>
      </c>
      <c r="BE100" s="1">
        <v>80.0</v>
      </c>
      <c r="BF100" s="1"/>
      <c r="BG100" s="1">
        <v>213.0</v>
      </c>
      <c r="BH100" s="1">
        <v>23.0</v>
      </c>
      <c r="BI100" s="1">
        <v>40.0</v>
      </c>
      <c r="BJ100" s="1">
        <v>278.0</v>
      </c>
      <c r="BK100" s="3">
        <v>160.0</v>
      </c>
      <c r="BL100" s="1">
        <v>160.0</v>
      </c>
      <c r="BM100" s="1">
        <v>75.0</v>
      </c>
      <c r="BN100" s="32">
        <v>1802.0</v>
      </c>
      <c r="BO100" s="1">
        <v>47.0</v>
      </c>
      <c r="BP100" s="3">
        <v>48.0</v>
      </c>
      <c r="BQ100" s="1">
        <v>188.0</v>
      </c>
      <c r="BR100" s="27">
        <v>67197.2400000001</v>
      </c>
    </row>
    <row r="101">
      <c r="A101" s="25">
        <f>'Equity Price Data'!A102</f>
        <v>45568.66667</v>
      </c>
      <c r="B101" s="34">
        <f>(('PRACTICE Equity Price Data'!B102/'PRACTICE Equity Price Data'!B101)-1)+B100</f>
        <v>0.09133533141</v>
      </c>
      <c r="C101" s="34">
        <f>(('PRACTICE Equity Price Data'!C102/'PRACTICE Equity Price Data'!C101)-1)+C100</f>
        <v>0.09701800343</v>
      </c>
      <c r="D101" s="34">
        <f>(('PRACTICE Equity Price Data'!D102/'PRACTICE Equity Price Data'!D101)-1)+D100</f>
        <v>0.06608890529</v>
      </c>
      <c r="E101" s="34">
        <f>(('PRACTICE Equity Price Data'!E102/'PRACTICE Equity Price Data'!E101)-1)+E100</f>
        <v>0.06459673627</v>
      </c>
      <c r="F101" s="3">
        <v>13.0</v>
      </c>
      <c r="G101" s="3">
        <v>260.0</v>
      </c>
      <c r="H101" s="3">
        <v>110.0</v>
      </c>
      <c r="I101" s="3">
        <v>256.0</v>
      </c>
      <c r="J101" s="3">
        <v>83.0</v>
      </c>
      <c r="K101" s="3">
        <v>188.0</v>
      </c>
      <c r="L101" s="3">
        <v>1000.0</v>
      </c>
      <c r="M101" s="3">
        <v>102.0</v>
      </c>
      <c r="N101" s="3">
        <v>200.0</v>
      </c>
      <c r="O101" s="3">
        <v>121.0</v>
      </c>
      <c r="P101" s="3"/>
      <c r="Q101" s="3">
        <v>80.0</v>
      </c>
      <c r="R101" s="3">
        <v>150.0</v>
      </c>
      <c r="S101" s="3">
        <v>417.0</v>
      </c>
      <c r="T101" s="3">
        <v>120.0</v>
      </c>
      <c r="U101" s="3">
        <v>80.0</v>
      </c>
      <c r="V101" s="1">
        <v>88.0</v>
      </c>
      <c r="W101" s="1">
        <v>250.0</v>
      </c>
      <c r="X101" s="1">
        <v>264.0</v>
      </c>
      <c r="Y101" s="1">
        <v>161.0</v>
      </c>
      <c r="Z101" s="1">
        <v>69.0</v>
      </c>
      <c r="AA101" s="3">
        <v>250.0</v>
      </c>
      <c r="AB101" s="1">
        <v>13.0</v>
      </c>
      <c r="AC101" s="1">
        <v>150.0</v>
      </c>
      <c r="AD101" s="1">
        <v>170.0</v>
      </c>
      <c r="AE101" s="3">
        <v>30.0</v>
      </c>
      <c r="AF101" s="1">
        <v>40.0</v>
      </c>
      <c r="AG101" s="1">
        <v>45.0</v>
      </c>
      <c r="AH101" s="3">
        <v>200.0</v>
      </c>
      <c r="AI101" s="1">
        <v>205.0</v>
      </c>
      <c r="AJ101" s="1">
        <v>60.0</v>
      </c>
      <c r="AK101" s="1">
        <v>100.0</v>
      </c>
      <c r="AL101" s="1">
        <v>175.0</v>
      </c>
      <c r="AM101" s="1">
        <v>130.0</v>
      </c>
      <c r="AN101" s="1"/>
      <c r="AO101" s="3">
        <v>160.0</v>
      </c>
      <c r="AP101" s="3">
        <v>70.0</v>
      </c>
      <c r="AQ101" s="3">
        <v>35.0</v>
      </c>
      <c r="AR101" s="1">
        <v>854.0</v>
      </c>
      <c r="AS101" s="1">
        <v>250.0</v>
      </c>
      <c r="AT101" s="1">
        <v>220.0</v>
      </c>
      <c r="AU101" s="1"/>
      <c r="AV101" s="1">
        <v>120.0</v>
      </c>
      <c r="AW101" s="3">
        <v>200.0</v>
      </c>
      <c r="AX101" s="3"/>
      <c r="AY101" s="3">
        <v>142.0</v>
      </c>
      <c r="AZ101" s="1">
        <v>40.0</v>
      </c>
      <c r="BA101" s="1"/>
      <c r="BB101" s="3">
        <v>402.0</v>
      </c>
      <c r="BC101" s="1">
        <v>150.0</v>
      </c>
      <c r="BD101" s="1">
        <v>190.0</v>
      </c>
      <c r="BE101" s="1">
        <v>80.0</v>
      </c>
      <c r="BF101" s="1"/>
      <c r="BG101" s="1">
        <v>213.0</v>
      </c>
      <c r="BH101" s="1">
        <v>23.0</v>
      </c>
      <c r="BI101" s="1">
        <v>40.0</v>
      </c>
      <c r="BJ101" s="1">
        <v>278.0</v>
      </c>
      <c r="BK101" s="3">
        <v>160.0</v>
      </c>
      <c r="BL101" s="1">
        <v>160.0</v>
      </c>
      <c r="BM101" s="1">
        <v>75.0</v>
      </c>
      <c r="BN101" s="32">
        <v>1802.0</v>
      </c>
      <c r="BO101" s="1">
        <v>47.0</v>
      </c>
      <c r="BP101" s="3">
        <v>48.0</v>
      </c>
      <c r="BQ101" s="1">
        <v>188.0</v>
      </c>
      <c r="BR101" s="27">
        <v>67197.2400000001</v>
      </c>
    </row>
    <row r="102">
      <c r="A102" s="25">
        <f>'Equity Price Data'!A103</f>
        <v>45569.66667</v>
      </c>
      <c r="B102" s="34">
        <f>(('PRACTICE Equity Price Data'!B103/'PRACTICE Equity Price Data'!B102)-1)+B101</f>
        <v>0.1003056013</v>
      </c>
      <c r="C102" s="34">
        <f>(('PRACTICE Equity Price Data'!C103/'PRACTICE Equity Price Data'!C102)-1)+C101</f>
        <v>0.1092606713</v>
      </c>
      <c r="D102" s="34">
        <f>(('PRACTICE Equity Price Data'!D103/'PRACTICE Equity Price Data'!D102)-1)+D101</f>
        <v>0.07420952153</v>
      </c>
      <c r="E102" s="34">
        <f>(('PRACTICE Equity Price Data'!E103/'PRACTICE Equity Price Data'!E102)-1)+E101</f>
        <v>0.07957277003</v>
      </c>
      <c r="F102" s="3">
        <v>13.0</v>
      </c>
      <c r="G102" s="3">
        <v>260.0</v>
      </c>
      <c r="H102" s="3">
        <v>110.0</v>
      </c>
      <c r="I102" s="3">
        <v>256.0</v>
      </c>
      <c r="J102" s="3">
        <v>83.0</v>
      </c>
      <c r="K102" s="3">
        <v>188.0</v>
      </c>
      <c r="L102" s="3">
        <v>1000.0</v>
      </c>
      <c r="M102" s="3">
        <v>102.0</v>
      </c>
      <c r="N102" s="3">
        <v>200.0</v>
      </c>
      <c r="O102" s="3">
        <v>121.0</v>
      </c>
      <c r="P102" s="3"/>
      <c r="Q102" s="3">
        <v>80.0</v>
      </c>
      <c r="R102" s="3">
        <v>150.0</v>
      </c>
      <c r="S102" s="3">
        <v>417.0</v>
      </c>
      <c r="T102" s="3">
        <v>120.0</v>
      </c>
      <c r="U102" s="3">
        <v>80.0</v>
      </c>
      <c r="V102" s="1">
        <v>88.0</v>
      </c>
      <c r="W102" s="1">
        <v>250.0</v>
      </c>
      <c r="X102" s="1">
        <v>264.0</v>
      </c>
      <c r="Y102" s="1">
        <v>161.0</v>
      </c>
      <c r="Z102" s="1">
        <v>69.0</v>
      </c>
      <c r="AA102" s="3">
        <v>250.0</v>
      </c>
      <c r="AB102" s="1">
        <v>13.0</v>
      </c>
      <c r="AC102" s="1">
        <v>150.0</v>
      </c>
      <c r="AD102" s="1">
        <v>170.0</v>
      </c>
      <c r="AE102" s="3">
        <v>30.0</v>
      </c>
      <c r="AF102" s="1">
        <v>40.0</v>
      </c>
      <c r="AG102" s="1">
        <v>45.0</v>
      </c>
      <c r="AH102" s="3">
        <v>200.0</v>
      </c>
      <c r="AI102" s="1">
        <v>205.0</v>
      </c>
      <c r="AJ102" s="1">
        <v>60.0</v>
      </c>
      <c r="AK102" s="1">
        <v>100.0</v>
      </c>
      <c r="AL102" s="1">
        <v>175.0</v>
      </c>
      <c r="AM102" s="1">
        <v>130.0</v>
      </c>
      <c r="AN102" s="1"/>
      <c r="AO102" s="3">
        <v>160.0</v>
      </c>
      <c r="AP102" s="3">
        <v>70.0</v>
      </c>
      <c r="AQ102" s="3">
        <v>35.0</v>
      </c>
      <c r="AR102" s="1">
        <v>854.0</v>
      </c>
      <c r="AS102" s="1">
        <v>250.0</v>
      </c>
      <c r="AT102" s="1">
        <v>220.0</v>
      </c>
      <c r="AU102" s="1"/>
      <c r="AV102" s="1">
        <v>120.0</v>
      </c>
      <c r="AW102" s="3">
        <v>200.0</v>
      </c>
      <c r="AX102" s="3"/>
      <c r="AY102" s="3">
        <v>142.0</v>
      </c>
      <c r="AZ102" s="1">
        <v>40.0</v>
      </c>
      <c r="BA102" s="1"/>
      <c r="BB102" s="3">
        <v>402.0</v>
      </c>
      <c r="BC102" s="1">
        <v>150.0</v>
      </c>
      <c r="BD102" s="1">
        <v>190.0</v>
      </c>
      <c r="BE102" s="1">
        <v>80.0</v>
      </c>
      <c r="BF102" s="1"/>
      <c r="BG102" s="1">
        <v>213.0</v>
      </c>
      <c r="BH102" s="1">
        <v>23.0</v>
      </c>
      <c r="BI102" s="1">
        <v>40.0</v>
      </c>
      <c r="BJ102" s="1">
        <v>278.0</v>
      </c>
      <c r="BK102" s="3">
        <v>160.0</v>
      </c>
      <c r="BL102" s="1">
        <v>160.0</v>
      </c>
      <c r="BM102" s="1">
        <v>75.0</v>
      </c>
      <c r="BN102" s="32">
        <v>1802.0</v>
      </c>
      <c r="BO102" s="1">
        <v>47.0</v>
      </c>
      <c r="BP102" s="3">
        <v>48.0</v>
      </c>
      <c r="BQ102" s="1">
        <v>188.0</v>
      </c>
      <c r="BR102" s="27">
        <v>67197.2400000001</v>
      </c>
    </row>
    <row r="103">
      <c r="A103" s="25">
        <f>'Equity Price Data'!A104</f>
        <v>45572.66667</v>
      </c>
      <c r="B103" s="34">
        <f>(('PRACTICE Equity Price Data'!B104/'PRACTICE Equity Price Data'!B103)-1)+B102</f>
        <v>0.09071955903</v>
      </c>
      <c r="C103" s="34">
        <f>(('PRACTICE Equity Price Data'!C104/'PRACTICE Equity Price Data'!C103)-1)+C102</f>
        <v>0.0974648962</v>
      </c>
      <c r="D103" s="34">
        <f>(('PRACTICE Equity Price Data'!D104/'PRACTICE Equity Price Data'!D103)-1)+D102</f>
        <v>0.06480021516</v>
      </c>
      <c r="E103" s="34">
        <f>(('PRACTICE Equity Price Data'!E104/'PRACTICE Equity Price Data'!E103)-1)+E102</f>
        <v>0.07066550322</v>
      </c>
      <c r="F103" s="3">
        <v>13.0</v>
      </c>
      <c r="G103" s="3">
        <v>260.0</v>
      </c>
      <c r="H103" s="3">
        <v>110.0</v>
      </c>
      <c r="I103" s="3">
        <v>256.0</v>
      </c>
      <c r="J103" s="3">
        <v>83.0</v>
      </c>
      <c r="K103" s="3">
        <v>188.0</v>
      </c>
      <c r="L103" s="3">
        <v>1000.0</v>
      </c>
      <c r="M103" s="3">
        <v>102.0</v>
      </c>
      <c r="N103" s="3">
        <v>200.0</v>
      </c>
      <c r="O103" s="3">
        <v>121.0</v>
      </c>
      <c r="P103" s="3"/>
      <c r="Q103" s="3">
        <v>80.0</v>
      </c>
      <c r="R103" s="3">
        <v>150.0</v>
      </c>
      <c r="S103" s="3">
        <v>417.0</v>
      </c>
      <c r="T103" s="3">
        <v>120.0</v>
      </c>
      <c r="U103" s="3">
        <v>80.0</v>
      </c>
      <c r="V103" s="1">
        <v>88.0</v>
      </c>
      <c r="W103" s="1">
        <v>250.0</v>
      </c>
      <c r="X103" s="1">
        <v>264.0</v>
      </c>
      <c r="Y103" s="1">
        <v>161.0</v>
      </c>
      <c r="Z103" s="1">
        <v>69.0</v>
      </c>
      <c r="AA103" s="3">
        <v>250.0</v>
      </c>
      <c r="AB103" s="1">
        <v>13.0</v>
      </c>
      <c r="AC103" s="1">
        <v>150.0</v>
      </c>
      <c r="AD103" s="1">
        <v>170.0</v>
      </c>
      <c r="AE103" s="3">
        <v>30.0</v>
      </c>
      <c r="AF103" s="1">
        <v>40.0</v>
      </c>
      <c r="AG103" s="1">
        <v>45.0</v>
      </c>
      <c r="AH103" s="3">
        <v>200.0</v>
      </c>
      <c r="AI103" s="1">
        <v>205.0</v>
      </c>
      <c r="AJ103" s="1">
        <v>60.0</v>
      </c>
      <c r="AK103" s="1">
        <v>100.0</v>
      </c>
      <c r="AL103" s="1">
        <v>175.0</v>
      </c>
      <c r="AM103" s="1">
        <v>130.0</v>
      </c>
      <c r="AN103" s="1"/>
      <c r="AO103" s="3">
        <v>160.0</v>
      </c>
      <c r="AP103" s="3">
        <v>70.0</v>
      </c>
      <c r="AQ103" s="3">
        <v>35.0</v>
      </c>
      <c r="AR103" s="1">
        <v>854.0</v>
      </c>
      <c r="AS103" s="1">
        <v>250.0</v>
      </c>
      <c r="AT103" s="1">
        <v>220.0</v>
      </c>
      <c r="AU103" s="1"/>
      <c r="AV103" s="1">
        <v>120.0</v>
      </c>
      <c r="AW103" s="3">
        <v>200.0</v>
      </c>
      <c r="AX103" s="3"/>
      <c r="AY103" s="3">
        <v>142.0</v>
      </c>
      <c r="AZ103" s="1">
        <v>40.0</v>
      </c>
      <c r="BA103" s="1"/>
      <c r="BB103" s="3">
        <v>402.0</v>
      </c>
      <c r="BC103" s="1">
        <v>150.0</v>
      </c>
      <c r="BD103" s="1">
        <v>190.0</v>
      </c>
      <c r="BE103" s="1">
        <v>80.0</v>
      </c>
      <c r="BF103" s="1"/>
      <c r="BG103" s="1">
        <v>213.0</v>
      </c>
      <c r="BH103" s="1">
        <v>23.0</v>
      </c>
      <c r="BI103" s="1">
        <v>40.0</v>
      </c>
      <c r="BJ103" s="1">
        <v>278.0</v>
      </c>
      <c r="BK103" s="3">
        <v>160.0</v>
      </c>
      <c r="BL103" s="1">
        <v>160.0</v>
      </c>
      <c r="BM103" s="1">
        <v>75.0</v>
      </c>
      <c r="BN103" s="32">
        <v>1802.0</v>
      </c>
      <c r="BO103" s="1">
        <v>47.0</v>
      </c>
      <c r="BP103" s="3">
        <v>48.0</v>
      </c>
      <c r="BQ103" s="1">
        <v>188.0</v>
      </c>
      <c r="BR103" s="27">
        <v>67197.2400000001</v>
      </c>
    </row>
    <row r="104">
      <c r="A104" s="25">
        <f>'Equity Price Data'!A105</f>
        <v>45573.66667</v>
      </c>
      <c r="B104" s="34">
        <f>(('PRACTICE Equity Price Data'!B105/'PRACTICE Equity Price Data'!B104)-1)+B103</f>
        <v>0.1004089167</v>
      </c>
      <c r="C104" s="34">
        <f>(('PRACTICE Equity Price Data'!C105/'PRACTICE Equity Price Data'!C104)-1)+C103</f>
        <v>0.1119159922</v>
      </c>
      <c r="D104" s="34">
        <f>(('PRACTICE Equity Price Data'!D105/'PRACTICE Equity Price Data'!D104)-1)+D103</f>
        <v>0.06780658592</v>
      </c>
      <c r="E104" s="34">
        <f>(('PRACTICE Equity Price Data'!E105/'PRACTICE Equity Price Data'!E104)-1)+E103</f>
        <v>0.07152730095</v>
      </c>
      <c r="F104" s="3">
        <v>13.0</v>
      </c>
      <c r="G104" s="3">
        <v>260.0</v>
      </c>
      <c r="H104" s="3">
        <v>110.0</v>
      </c>
      <c r="I104" s="3">
        <v>256.0</v>
      </c>
      <c r="J104" s="3">
        <v>83.0</v>
      </c>
      <c r="K104" s="3">
        <v>188.0</v>
      </c>
      <c r="L104" s="3">
        <v>1000.0</v>
      </c>
      <c r="M104" s="3">
        <v>102.0</v>
      </c>
      <c r="N104" s="3">
        <v>200.0</v>
      </c>
      <c r="O104" s="3">
        <v>121.0</v>
      </c>
      <c r="P104" s="3"/>
      <c r="Q104" s="3">
        <v>80.0</v>
      </c>
      <c r="R104" s="3">
        <v>150.0</v>
      </c>
      <c r="S104" s="3">
        <v>417.0</v>
      </c>
      <c r="T104" s="3">
        <v>120.0</v>
      </c>
      <c r="U104" s="3">
        <v>80.0</v>
      </c>
      <c r="V104" s="1">
        <v>88.0</v>
      </c>
      <c r="W104" s="1">
        <v>250.0</v>
      </c>
      <c r="X104" s="1">
        <v>264.0</v>
      </c>
      <c r="Y104" s="1">
        <v>161.0</v>
      </c>
      <c r="Z104" s="1">
        <v>69.0</v>
      </c>
      <c r="AA104" s="3">
        <v>250.0</v>
      </c>
      <c r="AB104" s="1">
        <v>13.0</v>
      </c>
      <c r="AC104" s="1">
        <v>150.0</v>
      </c>
      <c r="AD104" s="1">
        <v>170.0</v>
      </c>
      <c r="AE104" s="3">
        <v>30.0</v>
      </c>
      <c r="AF104" s="1">
        <v>40.0</v>
      </c>
      <c r="AG104" s="1">
        <v>45.0</v>
      </c>
      <c r="AH104" s="3">
        <v>200.0</v>
      </c>
      <c r="AI104" s="1">
        <v>205.0</v>
      </c>
      <c r="AJ104" s="1">
        <v>60.0</v>
      </c>
      <c r="AK104" s="1">
        <v>100.0</v>
      </c>
      <c r="AL104" s="1">
        <v>175.0</v>
      </c>
      <c r="AM104" s="1">
        <v>130.0</v>
      </c>
      <c r="AN104" s="1"/>
      <c r="AO104" s="3">
        <v>160.0</v>
      </c>
      <c r="AP104" s="3">
        <v>70.0</v>
      </c>
      <c r="AQ104" s="3">
        <v>35.0</v>
      </c>
      <c r="AR104" s="1">
        <v>854.0</v>
      </c>
      <c r="AS104" s="1">
        <v>250.0</v>
      </c>
      <c r="AT104" s="1">
        <v>220.0</v>
      </c>
      <c r="AU104" s="1"/>
      <c r="AV104" s="1">
        <v>120.0</v>
      </c>
      <c r="AW104" s="3">
        <v>200.0</v>
      </c>
      <c r="AX104" s="3"/>
      <c r="AY104" s="3">
        <v>142.0</v>
      </c>
      <c r="AZ104" s="1">
        <v>40.0</v>
      </c>
      <c r="BA104" s="1"/>
      <c r="BB104" s="3">
        <v>402.0</v>
      </c>
      <c r="BC104" s="1">
        <v>150.0</v>
      </c>
      <c r="BD104" s="1">
        <v>190.0</v>
      </c>
      <c r="BE104" s="1">
        <v>80.0</v>
      </c>
      <c r="BF104" s="1"/>
      <c r="BG104" s="1">
        <v>213.0</v>
      </c>
      <c r="BH104" s="1">
        <v>23.0</v>
      </c>
      <c r="BI104" s="1">
        <v>40.0</v>
      </c>
      <c r="BJ104" s="1">
        <v>278.0</v>
      </c>
      <c r="BK104" s="3">
        <v>160.0</v>
      </c>
      <c r="BL104" s="1">
        <v>160.0</v>
      </c>
      <c r="BM104" s="1">
        <v>75.0</v>
      </c>
      <c r="BN104" s="32">
        <v>1802.0</v>
      </c>
      <c r="BO104" s="1">
        <v>47.0</v>
      </c>
      <c r="BP104" s="3">
        <v>48.0</v>
      </c>
      <c r="BQ104" s="1">
        <v>188.0</v>
      </c>
      <c r="BR104" s="27">
        <v>67197.2400000001</v>
      </c>
    </row>
    <row r="105">
      <c r="A105" s="25">
        <f>'Equity Price Data'!A106</f>
        <v>45574.66667</v>
      </c>
      <c r="B105" s="34">
        <f>(('PRACTICE Equity Price Data'!B106/'PRACTICE Equity Price Data'!B105)-1)+B104</f>
        <v>0.1075223014</v>
      </c>
      <c r="C105" s="34">
        <f>(('PRACTICE Equity Price Data'!C106/'PRACTICE Equity Price Data'!C105)-1)+C104</f>
        <v>0.1178941299</v>
      </c>
      <c r="D105" s="34">
        <f>(('PRACTICE Equity Price Data'!D106/'PRACTICE Equity Price Data'!D105)-1)+D104</f>
        <v>0.07806386265</v>
      </c>
      <c r="E105" s="34">
        <f>(('PRACTICE Equity Price Data'!E106/'PRACTICE Equity Price Data'!E105)-1)+E104</f>
        <v>0.0740831329</v>
      </c>
      <c r="F105" s="3">
        <v>13.0</v>
      </c>
      <c r="G105" s="3">
        <v>260.0</v>
      </c>
      <c r="H105" s="3">
        <v>110.0</v>
      </c>
      <c r="I105" s="3">
        <v>256.0</v>
      </c>
      <c r="J105" s="3">
        <v>83.0</v>
      </c>
      <c r="K105" s="3">
        <v>188.0</v>
      </c>
      <c r="L105" s="3">
        <v>1000.0</v>
      </c>
      <c r="M105" s="3">
        <v>102.0</v>
      </c>
      <c r="N105" s="3">
        <v>200.0</v>
      </c>
      <c r="O105" s="3">
        <v>121.0</v>
      </c>
      <c r="P105" s="3"/>
      <c r="Q105" s="3">
        <v>80.0</v>
      </c>
      <c r="R105" s="3">
        <v>150.0</v>
      </c>
      <c r="S105" s="3">
        <v>417.0</v>
      </c>
      <c r="T105" s="3">
        <v>120.0</v>
      </c>
      <c r="U105" s="3">
        <v>80.0</v>
      </c>
      <c r="V105" s="1">
        <v>88.0</v>
      </c>
      <c r="W105" s="1">
        <v>250.0</v>
      </c>
      <c r="X105" s="1">
        <v>264.0</v>
      </c>
      <c r="Y105" s="1">
        <v>161.0</v>
      </c>
      <c r="Z105" s="1">
        <v>69.0</v>
      </c>
      <c r="AA105" s="3">
        <v>250.0</v>
      </c>
      <c r="AB105" s="1">
        <v>13.0</v>
      </c>
      <c r="AC105" s="1">
        <v>150.0</v>
      </c>
      <c r="AD105" s="1">
        <v>170.0</v>
      </c>
      <c r="AE105" s="3">
        <v>30.0</v>
      </c>
      <c r="AF105" s="1">
        <v>40.0</v>
      </c>
      <c r="AG105" s="1">
        <v>45.0</v>
      </c>
      <c r="AH105" s="3">
        <v>200.0</v>
      </c>
      <c r="AI105" s="1">
        <v>205.0</v>
      </c>
      <c r="AJ105" s="1">
        <v>60.0</v>
      </c>
      <c r="AK105" s="1">
        <v>100.0</v>
      </c>
      <c r="AL105" s="1">
        <v>175.0</v>
      </c>
      <c r="AM105" s="1">
        <v>130.0</v>
      </c>
      <c r="AN105" s="1"/>
      <c r="AO105" s="3">
        <v>160.0</v>
      </c>
      <c r="AP105" s="3">
        <v>70.0</v>
      </c>
      <c r="AQ105" s="3">
        <v>35.0</v>
      </c>
      <c r="AR105" s="1">
        <v>854.0</v>
      </c>
      <c r="AS105" s="1">
        <v>250.0</v>
      </c>
      <c r="AT105" s="1">
        <v>220.0</v>
      </c>
      <c r="AU105" s="1"/>
      <c r="AV105" s="1">
        <v>120.0</v>
      </c>
      <c r="AW105" s="3">
        <v>200.0</v>
      </c>
      <c r="AX105" s="3"/>
      <c r="AY105" s="3">
        <v>142.0</v>
      </c>
      <c r="AZ105" s="1">
        <v>40.0</v>
      </c>
      <c r="BA105" s="1"/>
      <c r="BB105" s="3">
        <v>402.0</v>
      </c>
      <c r="BC105" s="1">
        <v>150.0</v>
      </c>
      <c r="BD105" s="1">
        <v>190.0</v>
      </c>
      <c r="BE105" s="1">
        <v>80.0</v>
      </c>
      <c r="BF105" s="1"/>
      <c r="BG105" s="1">
        <v>213.0</v>
      </c>
      <c r="BH105" s="1">
        <v>23.0</v>
      </c>
      <c r="BI105" s="1">
        <v>40.0</v>
      </c>
      <c r="BJ105" s="1">
        <v>278.0</v>
      </c>
      <c r="BK105" s="3">
        <v>160.0</v>
      </c>
      <c r="BL105" s="1">
        <v>160.0</v>
      </c>
      <c r="BM105" s="1">
        <v>75.0</v>
      </c>
      <c r="BN105" s="32">
        <v>1802.0</v>
      </c>
      <c r="BO105" s="1">
        <v>47.0</v>
      </c>
      <c r="BP105" s="3">
        <v>48.0</v>
      </c>
      <c r="BQ105" s="1">
        <v>188.0</v>
      </c>
      <c r="BR105" s="27">
        <v>67197.2400000001</v>
      </c>
    </row>
    <row r="106">
      <c r="A106" s="25">
        <f>'Equity Price Data'!A107</f>
        <v>45575.66667</v>
      </c>
      <c r="B106" s="34">
        <f>(('PRACTICE Equity Price Data'!B107/'PRACTICE Equity Price Data'!B106)-1)+B105</f>
        <v>0.105452219</v>
      </c>
      <c r="C106" s="34">
        <f>(('PRACTICE Equity Price Data'!C107/'PRACTICE Equity Price Data'!C106)-1)+C105</f>
        <v>0.1173709395</v>
      </c>
      <c r="D106" s="34">
        <f>(('PRACTICE Equity Price Data'!D107/'PRACTICE Equity Price Data'!D106)-1)+D105</f>
        <v>0.07670236472</v>
      </c>
      <c r="E106" s="34">
        <f>(('PRACTICE Equity Price Data'!E107/'PRACTICE Equity Price Data'!E106)-1)+E105</f>
        <v>0.06855279785</v>
      </c>
      <c r="F106" s="3">
        <v>13.0</v>
      </c>
      <c r="G106" s="3">
        <v>260.0</v>
      </c>
      <c r="H106" s="3">
        <v>110.0</v>
      </c>
      <c r="I106" s="3">
        <v>256.0</v>
      </c>
      <c r="J106" s="3">
        <v>83.0</v>
      </c>
      <c r="K106" s="3">
        <v>188.0</v>
      </c>
      <c r="L106" s="3">
        <v>1000.0</v>
      </c>
      <c r="M106" s="3">
        <v>102.0</v>
      </c>
      <c r="N106" s="3">
        <v>200.0</v>
      </c>
      <c r="O106" s="3">
        <v>121.0</v>
      </c>
      <c r="P106" s="3"/>
      <c r="Q106" s="3">
        <v>80.0</v>
      </c>
      <c r="R106" s="3">
        <v>150.0</v>
      </c>
      <c r="S106" s="3">
        <v>417.0</v>
      </c>
      <c r="T106" s="3">
        <v>120.0</v>
      </c>
      <c r="U106" s="3">
        <v>80.0</v>
      </c>
      <c r="V106" s="1">
        <v>88.0</v>
      </c>
      <c r="W106" s="1">
        <v>250.0</v>
      </c>
      <c r="X106" s="1">
        <v>264.0</v>
      </c>
      <c r="Y106" s="1">
        <v>161.0</v>
      </c>
      <c r="Z106" s="1">
        <v>69.0</v>
      </c>
      <c r="AA106" s="3">
        <v>250.0</v>
      </c>
      <c r="AB106" s="1">
        <v>13.0</v>
      </c>
      <c r="AC106" s="1">
        <v>150.0</v>
      </c>
      <c r="AD106" s="1">
        <v>170.0</v>
      </c>
      <c r="AE106" s="3">
        <v>30.0</v>
      </c>
      <c r="AF106" s="1">
        <v>40.0</v>
      </c>
      <c r="AG106" s="1">
        <v>45.0</v>
      </c>
      <c r="AH106" s="3">
        <v>200.0</v>
      </c>
      <c r="AI106" s="1">
        <v>205.0</v>
      </c>
      <c r="AJ106" s="1">
        <v>60.0</v>
      </c>
      <c r="AK106" s="1">
        <v>100.0</v>
      </c>
      <c r="AL106" s="1">
        <v>175.0</v>
      </c>
      <c r="AM106" s="1">
        <v>130.0</v>
      </c>
      <c r="AN106" s="1"/>
      <c r="AO106" s="3">
        <v>160.0</v>
      </c>
      <c r="AP106" s="3">
        <v>70.0</v>
      </c>
      <c r="AQ106" s="3">
        <v>35.0</v>
      </c>
      <c r="AR106" s="1">
        <v>854.0</v>
      </c>
      <c r="AS106" s="1">
        <v>250.0</v>
      </c>
      <c r="AT106" s="1">
        <v>220.0</v>
      </c>
      <c r="AU106" s="1"/>
      <c r="AV106" s="1">
        <v>120.0</v>
      </c>
      <c r="AW106" s="3">
        <v>200.0</v>
      </c>
      <c r="AX106" s="3"/>
      <c r="AY106" s="3">
        <v>142.0</v>
      </c>
      <c r="AZ106" s="1">
        <v>40.0</v>
      </c>
      <c r="BA106" s="1"/>
      <c r="BB106" s="3">
        <v>402.0</v>
      </c>
      <c r="BC106" s="1">
        <v>150.0</v>
      </c>
      <c r="BD106" s="1">
        <v>190.0</v>
      </c>
      <c r="BE106" s="1">
        <v>80.0</v>
      </c>
      <c r="BF106" s="1"/>
      <c r="BG106" s="1">
        <v>213.0</v>
      </c>
      <c r="BH106" s="1">
        <v>23.0</v>
      </c>
      <c r="BI106" s="1">
        <v>40.0</v>
      </c>
      <c r="BJ106" s="1">
        <v>278.0</v>
      </c>
      <c r="BK106" s="3">
        <v>160.0</v>
      </c>
      <c r="BL106" s="1">
        <v>160.0</v>
      </c>
      <c r="BM106" s="1">
        <v>75.0</v>
      </c>
      <c r="BN106" s="32">
        <v>1802.0</v>
      </c>
      <c r="BO106" s="1">
        <v>47.0</v>
      </c>
      <c r="BP106" s="3">
        <v>48.0</v>
      </c>
      <c r="BQ106" s="1">
        <v>188.0</v>
      </c>
      <c r="BR106" s="27">
        <v>67197.2400000001</v>
      </c>
    </row>
    <row r="107">
      <c r="A107" s="25">
        <f>'Equity Price Data'!A108</f>
        <v>45576.66667</v>
      </c>
      <c r="B107" s="34">
        <f>(('PRACTICE Equity Price Data'!B108/'PRACTICE Equity Price Data'!B107)-1)+B106</f>
        <v>0.1115040698</v>
      </c>
      <c r="C107" s="34">
        <f>(('PRACTICE Equity Price Data'!C108/'PRACTICE Equity Price Data'!C107)-1)+C106</f>
        <v>0.1207015288</v>
      </c>
      <c r="D107" s="34">
        <f>(('PRACTICE Equity Price Data'!D108/'PRACTICE Equity Price Data'!D107)-1)+D106</f>
        <v>0.08635372482</v>
      </c>
      <c r="E107" s="34">
        <f>(('PRACTICE Equity Price Data'!E108/'PRACTICE Equity Price Data'!E107)-1)+E106</f>
        <v>0.08956795947</v>
      </c>
      <c r="F107" s="3">
        <v>13.0</v>
      </c>
      <c r="G107" s="3">
        <v>260.0</v>
      </c>
      <c r="H107" s="3">
        <v>110.0</v>
      </c>
      <c r="I107" s="3">
        <v>256.0</v>
      </c>
      <c r="J107" s="3">
        <v>83.0</v>
      </c>
      <c r="K107" s="3">
        <v>188.0</v>
      </c>
      <c r="L107" s="3">
        <v>1000.0</v>
      </c>
      <c r="M107" s="3">
        <v>102.0</v>
      </c>
      <c r="N107" s="3">
        <v>200.0</v>
      </c>
      <c r="O107" s="3">
        <v>121.0</v>
      </c>
      <c r="P107" s="3"/>
      <c r="Q107" s="3">
        <v>80.0</v>
      </c>
      <c r="R107" s="3">
        <v>150.0</v>
      </c>
      <c r="S107" s="3">
        <v>417.0</v>
      </c>
      <c r="T107" s="3">
        <v>120.0</v>
      </c>
      <c r="U107" s="3">
        <v>80.0</v>
      </c>
      <c r="V107" s="1">
        <v>88.0</v>
      </c>
      <c r="W107" s="1">
        <v>250.0</v>
      </c>
      <c r="X107" s="1">
        <v>264.0</v>
      </c>
      <c r="Y107" s="1">
        <v>161.0</v>
      </c>
      <c r="Z107" s="1">
        <v>69.0</v>
      </c>
      <c r="AA107" s="3">
        <v>250.0</v>
      </c>
      <c r="AB107" s="1">
        <v>13.0</v>
      </c>
      <c r="AC107" s="1">
        <v>150.0</v>
      </c>
      <c r="AD107" s="1">
        <v>170.0</v>
      </c>
      <c r="AE107" s="3">
        <v>30.0</v>
      </c>
      <c r="AF107" s="1">
        <v>40.0</v>
      </c>
      <c r="AG107" s="1">
        <v>45.0</v>
      </c>
      <c r="AH107" s="3">
        <v>200.0</v>
      </c>
      <c r="AI107" s="1">
        <v>205.0</v>
      </c>
      <c r="AJ107" s="1">
        <v>60.0</v>
      </c>
      <c r="AK107" s="1">
        <v>100.0</v>
      </c>
      <c r="AL107" s="1">
        <v>175.0</v>
      </c>
      <c r="AM107" s="1">
        <v>130.0</v>
      </c>
      <c r="AN107" s="1"/>
      <c r="AO107" s="3">
        <v>160.0</v>
      </c>
      <c r="AP107" s="3">
        <v>70.0</v>
      </c>
      <c r="AQ107" s="3">
        <v>35.0</v>
      </c>
      <c r="AR107" s="1">
        <v>854.0</v>
      </c>
      <c r="AS107" s="1">
        <v>250.0</v>
      </c>
      <c r="AT107" s="1">
        <v>220.0</v>
      </c>
      <c r="AU107" s="1"/>
      <c r="AV107" s="1">
        <v>120.0</v>
      </c>
      <c r="AW107" s="3">
        <v>200.0</v>
      </c>
      <c r="AX107" s="3"/>
      <c r="AY107" s="3">
        <v>142.0</v>
      </c>
      <c r="AZ107" s="1">
        <v>40.0</v>
      </c>
      <c r="BA107" s="1"/>
      <c r="BB107" s="3">
        <v>402.0</v>
      </c>
      <c r="BC107" s="1">
        <v>150.0</v>
      </c>
      <c r="BD107" s="1">
        <v>190.0</v>
      </c>
      <c r="BE107" s="1">
        <v>80.0</v>
      </c>
      <c r="BF107" s="1"/>
      <c r="BG107" s="1">
        <v>213.0</v>
      </c>
      <c r="BH107" s="1">
        <v>23.0</v>
      </c>
      <c r="BI107" s="1">
        <v>40.0</v>
      </c>
      <c r="BJ107" s="1">
        <v>278.0</v>
      </c>
      <c r="BK107" s="3">
        <v>160.0</v>
      </c>
      <c r="BL107" s="1">
        <v>160.0</v>
      </c>
      <c r="BM107" s="1">
        <v>75.0</v>
      </c>
      <c r="BN107" s="32">
        <v>1802.0</v>
      </c>
      <c r="BO107" s="1">
        <v>47.0</v>
      </c>
      <c r="BP107" s="3">
        <v>48.0</v>
      </c>
      <c r="BQ107" s="1">
        <v>188.0</v>
      </c>
      <c r="BR107" s="27">
        <v>67197.2400000002</v>
      </c>
    </row>
    <row r="108">
      <c r="A108" s="25">
        <f>'Equity Price Data'!A109</f>
        <v>45579.66667</v>
      </c>
      <c r="B108" s="34">
        <f>(('PRACTICE Equity Price Data'!B109/'PRACTICE Equity Price Data'!B108)-1)+B107</f>
        <v>0.1192116826</v>
      </c>
      <c r="C108" s="34">
        <f>(('PRACTICE Equity Price Data'!C109/'PRACTICE Equity Price Data'!C108)-1)+C107</f>
        <v>0.1294106017</v>
      </c>
      <c r="D108" s="34">
        <f>(('PRACTICE Equity Price Data'!D109/'PRACTICE Equity Price Data'!D108)-1)+D107</f>
        <v>0.09105138854</v>
      </c>
      <c r="E108" s="34">
        <f>(('PRACTICE Equity Price Data'!E109/'PRACTICE Equity Price Data'!E108)-1)+E107</f>
        <v>0.09593653104</v>
      </c>
      <c r="F108" s="3">
        <v>13.0</v>
      </c>
      <c r="G108" s="3">
        <v>260.0</v>
      </c>
      <c r="H108" s="3">
        <v>110.0</v>
      </c>
      <c r="I108" s="3">
        <v>256.0</v>
      </c>
      <c r="J108" s="3">
        <v>83.0</v>
      </c>
      <c r="K108" s="3">
        <v>188.0</v>
      </c>
      <c r="L108" s="3">
        <v>1000.0</v>
      </c>
      <c r="M108" s="3">
        <v>102.0</v>
      </c>
      <c r="N108" s="3">
        <v>200.0</v>
      </c>
      <c r="O108" s="3">
        <v>121.0</v>
      </c>
      <c r="P108" s="3"/>
      <c r="Q108" s="3">
        <v>80.0</v>
      </c>
      <c r="R108" s="3">
        <v>150.0</v>
      </c>
      <c r="S108" s="3">
        <v>417.0</v>
      </c>
      <c r="T108" s="3">
        <v>120.0</v>
      </c>
      <c r="U108" s="3">
        <v>80.0</v>
      </c>
      <c r="V108" s="1">
        <v>88.0</v>
      </c>
      <c r="W108" s="1">
        <v>250.0</v>
      </c>
      <c r="X108" s="1">
        <v>264.0</v>
      </c>
      <c r="Y108" s="1">
        <v>161.0</v>
      </c>
      <c r="Z108" s="1">
        <v>69.0</v>
      </c>
      <c r="AA108" s="3">
        <v>250.0</v>
      </c>
      <c r="AB108" s="1">
        <v>13.0</v>
      </c>
      <c r="AC108" s="1">
        <v>150.0</v>
      </c>
      <c r="AD108" s="1">
        <v>170.0</v>
      </c>
      <c r="AE108" s="3">
        <v>30.0</v>
      </c>
      <c r="AF108" s="1">
        <v>40.0</v>
      </c>
      <c r="AG108" s="1">
        <v>45.0</v>
      </c>
      <c r="AH108" s="3">
        <v>200.0</v>
      </c>
      <c r="AI108" s="1">
        <v>205.0</v>
      </c>
      <c r="AJ108" s="1">
        <v>60.0</v>
      </c>
      <c r="AK108" s="1">
        <v>100.0</v>
      </c>
      <c r="AL108" s="1">
        <v>175.0</v>
      </c>
      <c r="AM108" s="1">
        <v>130.0</v>
      </c>
      <c r="AN108" s="1"/>
      <c r="AO108" s="3">
        <v>160.0</v>
      </c>
      <c r="AP108" s="3">
        <v>70.0</v>
      </c>
      <c r="AQ108" s="3">
        <v>35.0</v>
      </c>
      <c r="AR108" s="1">
        <v>854.0</v>
      </c>
      <c r="AS108" s="1">
        <v>250.0</v>
      </c>
      <c r="AT108" s="1">
        <v>220.0</v>
      </c>
      <c r="AU108" s="1"/>
      <c r="AV108" s="1">
        <v>120.0</v>
      </c>
      <c r="AW108" s="3">
        <v>200.0</v>
      </c>
      <c r="AX108" s="3"/>
      <c r="AY108" s="3">
        <v>142.0</v>
      </c>
      <c r="AZ108" s="1">
        <v>40.0</v>
      </c>
      <c r="BA108" s="1"/>
      <c r="BB108" s="3">
        <v>402.0</v>
      </c>
      <c r="BC108" s="1">
        <v>150.0</v>
      </c>
      <c r="BD108" s="1">
        <v>190.0</v>
      </c>
      <c r="BE108" s="1">
        <v>80.0</v>
      </c>
      <c r="BF108" s="1"/>
      <c r="BG108" s="1">
        <v>213.0</v>
      </c>
      <c r="BH108" s="1">
        <v>23.0</v>
      </c>
      <c r="BI108" s="1">
        <v>40.0</v>
      </c>
      <c r="BJ108" s="1">
        <v>278.0</v>
      </c>
      <c r="BK108" s="3">
        <v>160.0</v>
      </c>
      <c r="BL108" s="1">
        <v>160.0</v>
      </c>
      <c r="BM108" s="1">
        <v>75.0</v>
      </c>
      <c r="BN108" s="32">
        <v>1802.0</v>
      </c>
      <c r="BO108" s="1">
        <v>47.0</v>
      </c>
      <c r="BP108" s="3">
        <v>48.0</v>
      </c>
      <c r="BQ108" s="1">
        <v>188.0</v>
      </c>
      <c r="BR108" s="27">
        <v>67197.2400000002</v>
      </c>
    </row>
    <row r="109">
      <c r="A109" s="25">
        <f>'Equity Price Data'!A110</f>
        <v>45580.66667</v>
      </c>
      <c r="B109" s="34">
        <f>(('PRACTICE Equity Price Data'!B110/'PRACTICE Equity Price Data'!B109)-1)+B108</f>
        <v>0.1116022728</v>
      </c>
      <c r="C109" s="34">
        <f>(('PRACTICE Equity Price Data'!C110/'PRACTICE Equity Price Data'!C109)-1)+C108</f>
        <v>0.1192985585</v>
      </c>
      <c r="D109" s="34">
        <f>(('PRACTICE Equity Price Data'!D110/'PRACTICE Equity Price Data'!D109)-1)+D108</f>
        <v>0.08350933953</v>
      </c>
      <c r="E109" s="34">
        <f>(('PRACTICE Equity Price Data'!E110/'PRACTICE Equity Price Data'!E109)-1)+E108</f>
        <v>0.09646129268</v>
      </c>
      <c r="F109" s="3">
        <v>13.0</v>
      </c>
      <c r="G109" s="3">
        <v>260.0</v>
      </c>
      <c r="H109" s="3">
        <v>110.0</v>
      </c>
      <c r="I109" s="3">
        <v>256.0</v>
      </c>
      <c r="J109" s="3">
        <v>83.0</v>
      </c>
      <c r="K109" s="3">
        <v>188.0</v>
      </c>
      <c r="L109" s="3">
        <v>1000.0</v>
      </c>
      <c r="M109" s="3">
        <v>102.0</v>
      </c>
      <c r="N109" s="3">
        <v>200.0</v>
      </c>
      <c r="O109" s="3">
        <v>121.0</v>
      </c>
      <c r="P109" s="3"/>
      <c r="Q109" s="3">
        <v>80.0</v>
      </c>
      <c r="R109" s="3">
        <v>150.0</v>
      </c>
      <c r="S109" s="3">
        <v>417.0</v>
      </c>
      <c r="T109" s="3">
        <v>120.0</v>
      </c>
      <c r="U109" s="3">
        <v>80.0</v>
      </c>
      <c r="V109" s="1">
        <v>88.0</v>
      </c>
      <c r="W109" s="1">
        <v>250.0</v>
      </c>
      <c r="X109" s="1">
        <v>264.0</v>
      </c>
      <c r="Y109" s="1">
        <v>161.0</v>
      </c>
      <c r="Z109" s="1">
        <v>69.0</v>
      </c>
      <c r="AA109" s="3">
        <v>250.0</v>
      </c>
      <c r="AB109" s="1">
        <v>13.0</v>
      </c>
      <c r="AC109" s="1">
        <v>150.0</v>
      </c>
      <c r="AD109" s="1">
        <v>170.0</v>
      </c>
      <c r="AE109" s="3">
        <v>30.0</v>
      </c>
      <c r="AF109" s="1">
        <v>40.0</v>
      </c>
      <c r="AG109" s="1">
        <v>45.0</v>
      </c>
      <c r="AH109" s="3">
        <v>200.0</v>
      </c>
      <c r="AI109" s="1">
        <v>205.0</v>
      </c>
      <c r="AJ109" s="1">
        <v>60.0</v>
      </c>
      <c r="AK109" s="1">
        <v>100.0</v>
      </c>
      <c r="AL109" s="1">
        <v>175.0</v>
      </c>
      <c r="AM109" s="1">
        <v>130.0</v>
      </c>
      <c r="AN109" s="1"/>
      <c r="AO109" s="3">
        <v>160.0</v>
      </c>
      <c r="AP109" s="3">
        <v>70.0</v>
      </c>
      <c r="AQ109" s="3">
        <v>35.0</v>
      </c>
      <c r="AR109" s="1">
        <v>854.0</v>
      </c>
      <c r="AS109" s="1">
        <v>250.0</v>
      </c>
      <c r="AT109" s="1">
        <v>220.0</v>
      </c>
      <c r="AU109" s="1"/>
      <c r="AV109" s="1">
        <v>120.0</v>
      </c>
      <c r="AW109" s="3">
        <v>200.0</v>
      </c>
      <c r="AX109" s="3"/>
      <c r="AY109" s="3">
        <v>142.0</v>
      </c>
      <c r="AZ109" s="1">
        <v>40.0</v>
      </c>
      <c r="BA109" s="1"/>
      <c r="BB109" s="3">
        <v>402.0</v>
      </c>
      <c r="BC109" s="1">
        <v>150.0</v>
      </c>
      <c r="BD109" s="1">
        <v>190.0</v>
      </c>
      <c r="BE109" s="1">
        <v>80.0</v>
      </c>
      <c r="BF109" s="1"/>
      <c r="BG109" s="1">
        <v>213.0</v>
      </c>
      <c r="BH109" s="1">
        <v>23.0</v>
      </c>
      <c r="BI109" s="1">
        <v>40.0</v>
      </c>
      <c r="BJ109" s="1">
        <v>278.0</v>
      </c>
      <c r="BK109" s="3">
        <v>160.0</v>
      </c>
      <c r="BL109" s="1">
        <v>160.0</v>
      </c>
      <c r="BM109" s="1">
        <v>75.0</v>
      </c>
      <c r="BN109" s="32">
        <v>1802.0</v>
      </c>
      <c r="BO109" s="1">
        <v>47.0</v>
      </c>
      <c r="BP109" s="3">
        <v>48.0</v>
      </c>
      <c r="BQ109" s="1">
        <v>188.0</v>
      </c>
      <c r="BR109" s="27">
        <v>67197.2400000002</v>
      </c>
    </row>
    <row r="110">
      <c r="A110" s="25">
        <f>'Equity Price Data'!A111</f>
        <v>45581.66667</v>
      </c>
      <c r="B110" s="34">
        <f>(('PRACTICE Equity Price Data'!B111/'PRACTICE Equity Price Data'!B110)-1)+B109</f>
        <v>0.1162813413</v>
      </c>
      <c r="C110" s="34">
        <f>(('PRACTICE Equity Price Data'!C111/'PRACTICE Equity Price Data'!C110)-1)+C109</f>
        <v>0.1221098247</v>
      </c>
      <c r="D110" s="34">
        <f>(('PRACTICE Equity Price Data'!D111/'PRACTICE Equity Price Data'!D110)-1)+D109</f>
        <v>0.09140069857</v>
      </c>
      <c r="E110" s="34">
        <f>(('PRACTICE Equity Price Data'!E111/'PRACTICE Equity Price Data'!E110)-1)+E109</f>
        <v>0.1128448256</v>
      </c>
      <c r="F110" s="3">
        <v>13.0</v>
      </c>
      <c r="G110" s="3">
        <v>260.0</v>
      </c>
      <c r="H110" s="3">
        <v>110.0</v>
      </c>
      <c r="I110" s="3">
        <v>256.0</v>
      </c>
      <c r="J110" s="3">
        <v>83.0</v>
      </c>
      <c r="K110" s="3">
        <v>188.0</v>
      </c>
      <c r="L110" s="3">
        <v>1000.0</v>
      </c>
      <c r="M110" s="3">
        <v>102.0</v>
      </c>
      <c r="N110" s="3">
        <v>200.0</v>
      </c>
      <c r="O110" s="3">
        <v>121.0</v>
      </c>
      <c r="P110" s="3"/>
      <c r="Q110" s="3">
        <v>80.0</v>
      </c>
      <c r="R110" s="3">
        <v>150.0</v>
      </c>
      <c r="S110" s="3">
        <v>417.0</v>
      </c>
      <c r="T110" s="3">
        <v>120.0</v>
      </c>
      <c r="U110" s="3">
        <v>80.0</v>
      </c>
      <c r="V110" s="1">
        <v>88.0</v>
      </c>
      <c r="W110" s="1">
        <v>250.0</v>
      </c>
      <c r="X110" s="1">
        <v>264.0</v>
      </c>
      <c r="Y110" s="1">
        <v>161.0</v>
      </c>
      <c r="Z110" s="1">
        <v>69.0</v>
      </c>
      <c r="AA110" s="3">
        <v>250.0</v>
      </c>
      <c r="AB110" s="1">
        <v>13.0</v>
      </c>
      <c r="AC110" s="1">
        <v>150.0</v>
      </c>
      <c r="AD110" s="1">
        <v>170.0</v>
      </c>
      <c r="AE110" s="3">
        <v>30.0</v>
      </c>
      <c r="AF110" s="1">
        <v>40.0</v>
      </c>
      <c r="AG110" s="1">
        <v>45.0</v>
      </c>
      <c r="AH110" s="3">
        <v>200.0</v>
      </c>
      <c r="AI110" s="1">
        <v>205.0</v>
      </c>
      <c r="AJ110" s="1">
        <v>60.0</v>
      </c>
      <c r="AK110" s="1">
        <v>100.0</v>
      </c>
      <c r="AL110" s="1">
        <v>175.0</v>
      </c>
      <c r="AM110" s="1">
        <v>130.0</v>
      </c>
      <c r="AN110" s="1"/>
      <c r="AO110" s="3">
        <v>160.0</v>
      </c>
      <c r="AP110" s="3">
        <v>70.0</v>
      </c>
      <c r="AQ110" s="3">
        <v>35.0</v>
      </c>
      <c r="AR110" s="1">
        <v>854.0</v>
      </c>
      <c r="AS110" s="1">
        <v>250.0</v>
      </c>
      <c r="AT110" s="1">
        <v>220.0</v>
      </c>
      <c r="AU110" s="1"/>
      <c r="AV110" s="1">
        <v>120.0</v>
      </c>
      <c r="AW110" s="3">
        <v>200.0</v>
      </c>
      <c r="AX110" s="3"/>
      <c r="AY110" s="3">
        <v>142.0</v>
      </c>
      <c r="AZ110" s="1">
        <v>40.0</v>
      </c>
      <c r="BA110" s="1"/>
      <c r="BB110" s="3">
        <v>402.0</v>
      </c>
      <c r="BC110" s="1">
        <v>150.0</v>
      </c>
      <c r="BD110" s="1">
        <v>190.0</v>
      </c>
      <c r="BE110" s="1">
        <v>80.0</v>
      </c>
      <c r="BF110" s="1"/>
      <c r="BG110" s="1">
        <v>213.0</v>
      </c>
      <c r="BH110" s="1">
        <v>23.0</v>
      </c>
      <c r="BI110" s="1">
        <v>40.0</v>
      </c>
      <c r="BJ110" s="1">
        <v>278.0</v>
      </c>
      <c r="BK110" s="3">
        <v>160.0</v>
      </c>
      <c r="BL110" s="1">
        <v>160.0</v>
      </c>
      <c r="BM110" s="1">
        <v>75.0</v>
      </c>
      <c r="BN110" s="32">
        <v>1802.0</v>
      </c>
      <c r="BO110" s="1">
        <v>47.0</v>
      </c>
      <c r="BP110" s="3">
        <v>48.0</v>
      </c>
      <c r="BQ110" s="1">
        <v>188.0</v>
      </c>
      <c r="BR110" s="27">
        <v>67197.2400000002</v>
      </c>
    </row>
    <row r="111">
      <c r="A111" s="25">
        <f>'Equity Price Data'!A112</f>
        <v>45582.66667</v>
      </c>
      <c r="B111" s="34">
        <f>(('PRACTICE Equity Price Data'!B112/'PRACTICE Equity Price Data'!B111)-1)+B110</f>
        <v>0.1161101809</v>
      </c>
      <c r="C111" s="34">
        <f>(('PRACTICE Equity Price Data'!C112/'PRACTICE Equity Price Data'!C111)-1)+C110</f>
        <v>0.1224653521</v>
      </c>
      <c r="D111" s="34">
        <f>(('PRACTICE Equity Price Data'!D112/'PRACTICE Equity Price Data'!D111)-1)+D110</f>
        <v>0.09514625602</v>
      </c>
      <c r="E111" s="34">
        <f>(('PRACTICE Equity Price Data'!E112/'PRACTICE Equity Price Data'!E111)-1)+E110</f>
        <v>0.1102952778</v>
      </c>
      <c r="F111" s="3">
        <v>13.0</v>
      </c>
      <c r="G111" s="3">
        <v>260.0</v>
      </c>
      <c r="H111" s="3">
        <v>110.0</v>
      </c>
      <c r="I111" s="3">
        <v>256.0</v>
      </c>
      <c r="J111" s="3">
        <v>83.0</v>
      </c>
      <c r="K111" s="3">
        <v>188.0</v>
      </c>
      <c r="L111" s="3">
        <v>1000.0</v>
      </c>
      <c r="M111" s="3">
        <v>102.0</v>
      </c>
      <c r="N111" s="3">
        <v>200.0</v>
      </c>
      <c r="O111" s="3">
        <v>121.0</v>
      </c>
      <c r="P111" s="3"/>
      <c r="Q111" s="3">
        <v>80.0</v>
      </c>
      <c r="R111" s="3">
        <v>150.0</v>
      </c>
      <c r="S111" s="3">
        <v>417.0</v>
      </c>
      <c r="T111" s="3">
        <v>120.0</v>
      </c>
      <c r="U111" s="3">
        <v>80.0</v>
      </c>
      <c r="V111" s="1">
        <v>88.0</v>
      </c>
      <c r="W111" s="1">
        <v>250.0</v>
      </c>
      <c r="X111" s="1">
        <v>264.0</v>
      </c>
      <c r="Y111" s="1">
        <v>161.0</v>
      </c>
      <c r="Z111" s="1">
        <v>69.0</v>
      </c>
      <c r="AA111" s="3">
        <v>250.0</v>
      </c>
      <c r="AB111" s="1">
        <v>13.0</v>
      </c>
      <c r="AC111" s="1">
        <v>150.0</v>
      </c>
      <c r="AD111" s="1">
        <v>170.0</v>
      </c>
      <c r="AE111" s="3">
        <v>30.0</v>
      </c>
      <c r="AF111" s="1">
        <v>40.0</v>
      </c>
      <c r="AG111" s="1">
        <v>45.0</v>
      </c>
      <c r="AH111" s="3">
        <v>200.0</v>
      </c>
      <c r="AI111" s="1">
        <v>205.0</v>
      </c>
      <c r="AJ111" s="1">
        <v>60.0</v>
      </c>
      <c r="AK111" s="1">
        <v>100.0</v>
      </c>
      <c r="AL111" s="1">
        <v>175.0</v>
      </c>
      <c r="AM111" s="1">
        <v>130.0</v>
      </c>
      <c r="AN111" s="1"/>
      <c r="AO111" s="3">
        <v>160.0</v>
      </c>
      <c r="AP111" s="3">
        <v>70.0</v>
      </c>
      <c r="AQ111" s="3">
        <v>35.0</v>
      </c>
      <c r="AR111" s="1">
        <v>854.0</v>
      </c>
      <c r="AS111" s="1">
        <v>250.0</v>
      </c>
      <c r="AT111" s="1">
        <v>220.0</v>
      </c>
      <c r="AU111" s="1"/>
      <c r="AV111" s="1">
        <v>120.0</v>
      </c>
      <c r="AW111" s="3">
        <v>200.0</v>
      </c>
      <c r="AX111" s="3"/>
      <c r="AY111" s="3">
        <v>142.0</v>
      </c>
      <c r="AZ111" s="1">
        <v>40.0</v>
      </c>
      <c r="BA111" s="1"/>
      <c r="BB111" s="3">
        <v>402.0</v>
      </c>
      <c r="BC111" s="1">
        <v>150.0</v>
      </c>
      <c r="BD111" s="1">
        <v>190.0</v>
      </c>
      <c r="BE111" s="1">
        <v>80.0</v>
      </c>
      <c r="BF111" s="1"/>
      <c r="BG111" s="1">
        <v>213.0</v>
      </c>
      <c r="BH111" s="1">
        <v>23.0</v>
      </c>
      <c r="BI111" s="1">
        <v>40.0</v>
      </c>
      <c r="BJ111" s="1">
        <v>278.0</v>
      </c>
      <c r="BK111" s="3">
        <v>160.0</v>
      </c>
      <c r="BL111" s="1">
        <v>160.0</v>
      </c>
      <c r="BM111" s="1">
        <v>75.0</v>
      </c>
      <c r="BN111" s="32">
        <v>1802.0</v>
      </c>
      <c r="BO111" s="1">
        <v>47.0</v>
      </c>
      <c r="BP111" s="3">
        <v>48.0</v>
      </c>
      <c r="BQ111" s="1">
        <v>188.0</v>
      </c>
      <c r="BR111" s="27">
        <v>67197.2400000002</v>
      </c>
    </row>
    <row r="112">
      <c r="A112" s="25">
        <f>'Equity Price Data'!A113</f>
        <v>45583.66667</v>
      </c>
      <c r="B112" s="34">
        <f>(('PRACTICE Equity Price Data'!B113/'PRACTICE Equity Price Data'!B112)-1)+B111</f>
        <v>0.1200817839</v>
      </c>
      <c r="C112" s="34">
        <f>(('PRACTICE Equity Price Data'!C113/'PRACTICE Equity Price Data'!C112)-1)+C111</f>
        <v>0.1287754893</v>
      </c>
      <c r="D112" s="34">
        <f>(('PRACTICE Equity Price Data'!D113/'PRACTICE Equity Price Data'!D112)-1)+D111</f>
        <v>0.09599872618</v>
      </c>
      <c r="E112" s="34">
        <f>(('PRACTICE Equity Price Data'!E113/'PRACTICE Equity Price Data'!E112)-1)+E111</f>
        <v>0.1082083365</v>
      </c>
      <c r="F112" s="3">
        <v>13.0</v>
      </c>
      <c r="G112" s="3">
        <v>260.0</v>
      </c>
      <c r="H112" s="3">
        <v>110.0</v>
      </c>
      <c r="I112" s="3">
        <v>256.0</v>
      </c>
      <c r="J112" s="3">
        <v>83.0</v>
      </c>
      <c r="K112" s="3">
        <v>188.0</v>
      </c>
      <c r="L112" s="3">
        <v>1000.0</v>
      </c>
      <c r="M112" s="3">
        <v>102.0</v>
      </c>
      <c r="N112" s="3">
        <v>200.0</v>
      </c>
      <c r="O112" s="3">
        <v>121.0</v>
      </c>
      <c r="P112" s="3"/>
      <c r="Q112" s="3">
        <v>80.0</v>
      </c>
      <c r="R112" s="3">
        <v>150.0</v>
      </c>
      <c r="S112" s="3">
        <v>417.0</v>
      </c>
      <c r="T112" s="3">
        <v>120.0</v>
      </c>
      <c r="U112" s="3">
        <v>80.0</v>
      </c>
      <c r="V112" s="1">
        <v>88.0</v>
      </c>
      <c r="W112" s="1">
        <v>250.0</v>
      </c>
      <c r="X112" s="1">
        <v>264.0</v>
      </c>
      <c r="Y112" s="1">
        <v>161.0</v>
      </c>
      <c r="Z112" s="1">
        <v>69.0</v>
      </c>
      <c r="AA112" s="3">
        <v>250.0</v>
      </c>
      <c r="AB112" s="1">
        <v>13.0</v>
      </c>
      <c r="AC112" s="1">
        <v>150.0</v>
      </c>
      <c r="AD112" s="1">
        <v>170.0</v>
      </c>
      <c r="AE112" s="3">
        <v>30.0</v>
      </c>
      <c r="AF112" s="1">
        <v>40.0</v>
      </c>
      <c r="AG112" s="1">
        <v>45.0</v>
      </c>
      <c r="AH112" s="3">
        <v>200.0</v>
      </c>
      <c r="AI112" s="1">
        <v>205.0</v>
      </c>
      <c r="AJ112" s="1">
        <v>60.0</v>
      </c>
      <c r="AK112" s="1">
        <v>100.0</v>
      </c>
      <c r="AL112" s="1">
        <v>175.0</v>
      </c>
      <c r="AM112" s="1">
        <v>130.0</v>
      </c>
      <c r="AN112" s="1"/>
      <c r="AO112" s="3">
        <v>160.0</v>
      </c>
      <c r="AP112" s="3">
        <v>70.0</v>
      </c>
      <c r="AQ112" s="3">
        <v>35.0</v>
      </c>
      <c r="AR112" s="1">
        <v>854.0</v>
      </c>
      <c r="AS112" s="1">
        <v>250.0</v>
      </c>
      <c r="AT112" s="1">
        <v>220.0</v>
      </c>
      <c r="AU112" s="1"/>
      <c r="AV112" s="1">
        <v>120.0</v>
      </c>
      <c r="AW112" s="3">
        <v>200.0</v>
      </c>
      <c r="AX112" s="3"/>
      <c r="AY112" s="3">
        <v>142.0</v>
      </c>
      <c r="AZ112" s="1">
        <v>40.0</v>
      </c>
      <c r="BA112" s="1"/>
      <c r="BB112" s="3">
        <v>402.0</v>
      </c>
      <c r="BC112" s="1">
        <v>150.0</v>
      </c>
      <c r="BD112" s="1">
        <v>190.0</v>
      </c>
      <c r="BE112" s="1">
        <v>80.0</v>
      </c>
      <c r="BF112" s="1"/>
      <c r="BG112" s="1">
        <v>213.0</v>
      </c>
      <c r="BH112" s="1">
        <v>23.0</v>
      </c>
      <c r="BI112" s="1">
        <v>40.0</v>
      </c>
      <c r="BJ112" s="1">
        <v>278.0</v>
      </c>
      <c r="BK112" s="3">
        <v>160.0</v>
      </c>
      <c r="BL112" s="1">
        <v>160.0</v>
      </c>
      <c r="BM112" s="1">
        <v>75.0</v>
      </c>
      <c r="BN112" s="32">
        <v>1802.0</v>
      </c>
      <c r="BO112" s="1">
        <v>47.0</v>
      </c>
      <c r="BP112" s="3">
        <v>48.0</v>
      </c>
      <c r="BQ112" s="1">
        <v>188.0</v>
      </c>
      <c r="BR112" s="27">
        <v>67197.2400000002</v>
      </c>
    </row>
    <row r="113">
      <c r="A113" s="25">
        <f>'Equity Price Data'!A114</f>
        <v>45586.66667</v>
      </c>
      <c r="B113" s="34">
        <f>(('PRACTICE Equity Price Data'!B114/'PRACTICE Equity Price Data'!B113)-1)+B112</f>
        <v>0.1182590044</v>
      </c>
      <c r="C113" s="34">
        <f>(('PRACTICE Equity Price Data'!C114/'PRACTICE Equity Price Data'!C113)-1)+C112</f>
        <v>0.1315045985</v>
      </c>
      <c r="D113" s="34">
        <f>(('PRACTICE Equity Price Data'!D114/'PRACTICE Equity Price Data'!D113)-1)+D112</f>
        <v>0.08804256766</v>
      </c>
      <c r="E113" s="34">
        <f>(('PRACTICE Equity Price Data'!E114/'PRACTICE Equity Price Data'!E113)-1)+E112</f>
        <v>0.09222478576</v>
      </c>
      <c r="F113" s="3">
        <v>13.0</v>
      </c>
      <c r="G113" s="3">
        <v>260.0</v>
      </c>
      <c r="H113" s="3">
        <v>110.0</v>
      </c>
      <c r="I113" s="3">
        <v>256.0</v>
      </c>
      <c r="J113" s="3">
        <v>83.0</v>
      </c>
      <c r="K113" s="3">
        <v>188.0</v>
      </c>
      <c r="L113" s="3">
        <v>1000.0</v>
      </c>
      <c r="M113" s="3">
        <v>102.0</v>
      </c>
      <c r="N113" s="3">
        <v>200.0</v>
      </c>
      <c r="O113" s="3">
        <v>121.0</v>
      </c>
      <c r="P113" s="3"/>
      <c r="Q113" s="3">
        <v>80.0</v>
      </c>
      <c r="R113" s="3">
        <v>150.0</v>
      </c>
      <c r="S113" s="3">
        <v>417.0</v>
      </c>
      <c r="T113" s="3">
        <v>120.0</v>
      </c>
      <c r="U113" s="3">
        <v>80.0</v>
      </c>
      <c r="V113" s="1">
        <v>88.0</v>
      </c>
      <c r="W113" s="1">
        <v>250.0</v>
      </c>
      <c r="X113" s="1">
        <v>264.0</v>
      </c>
      <c r="Y113" s="1">
        <v>161.0</v>
      </c>
      <c r="Z113" s="1">
        <v>69.0</v>
      </c>
      <c r="AA113" s="3">
        <v>250.0</v>
      </c>
      <c r="AB113" s="1">
        <v>13.0</v>
      </c>
      <c r="AC113" s="1">
        <v>150.0</v>
      </c>
      <c r="AD113" s="1">
        <v>170.0</v>
      </c>
      <c r="AE113" s="3">
        <v>30.0</v>
      </c>
      <c r="AF113" s="1">
        <v>40.0</v>
      </c>
      <c r="AG113" s="1">
        <v>45.0</v>
      </c>
      <c r="AH113" s="3">
        <v>200.0</v>
      </c>
      <c r="AI113" s="1">
        <v>205.0</v>
      </c>
      <c r="AJ113" s="1">
        <v>60.0</v>
      </c>
      <c r="AK113" s="1">
        <v>100.0</v>
      </c>
      <c r="AL113" s="1">
        <v>175.0</v>
      </c>
      <c r="AM113" s="1">
        <v>130.0</v>
      </c>
      <c r="AN113" s="1"/>
      <c r="AO113" s="3">
        <v>160.0</v>
      </c>
      <c r="AP113" s="3">
        <v>70.0</v>
      </c>
      <c r="AQ113" s="3">
        <v>35.0</v>
      </c>
      <c r="AR113" s="1">
        <v>854.0</v>
      </c>
      <c r="AS113" s="1">
        <v>250.0</v>
      </c>
      <c r="AT113" s="1">
        <v>220.0</v>
      </c>
      <c r="AU113" s="1"/>
      <c r="AV113" s="1">
        <v>120.0</v>
      </c>
      <c r="AW113" s="3">
        <v>200.0</v>
      </c>
      <c r="AX113" s="3"/>
      <c r="AY113" s="3">
        <v>142.0</v>
      </c>
      <c r="AZ113" s="1">
        <v>40.0</v>
      </c>
      <c r="BA113" s="1"/>
      <c r="BB113" s="3">
        <v>402.0</v>
      </c>
      <c r="BC113" s="1">
        <v>150.0</v>
      </c>
      <c r="BD113" s="1">
        <v>190.0</v>
      </c>
      <c r="BE113" s="1">
        <v>80.0</v>
      </c>
      <c r="BF113" s="1"/>
      <c r="BG113" s="1">
        <v>213.0</v>
      </c>
      <c r="BH113" s="1">
        <v>23.0</v>
      </c>
      <c r="BI113" s="1">
        <v>40.0</v>
      </c>
      <c r="BJ113" s="1">
        <v>278.0</v>
      </c>
      <c r="BK113" s="3">
        <v>160.0</v>
      </c>
      <c r="BL113" s="1">
        <v>160.0</v>
      </c>
      <c r="BM113" s="1">
        <v>75.0</v>
      </c>
      <c r="BN113" s="32">
        <v>1802.0</v>
      </c>
      <c r="BO113" s="1">
        <v>47.0</v>
      </c>
      <c r="BP113" s="3">
        <v>48.0</v>
      </c>
      <c r="BQ113" s="1">
        <v>188.0</v>
      </c>
      <c r="BR113" s="27">
        <v>67197.2400000002</v>
      </c>
    </row>
    <row r="114">
      <c r="A114" s="25">
        <f>'Equity Price Data'!A115</f>
        <v>45587.66667</v>
      </c>
      <c r="B114" s="34">
        <f>(('PRACTICE Equity Price Data'!B115/'PRACTICE Equity Price Data'!B114)-1)+B113</f>
        <v>0.1177841138</v>
      </c>
      <c r="C114" s="34">
        <f>(('PRACTICE Equity Price Data'!C115/'PRACTICE Equity Price Data'!C114)-1)+C113</f>
        <v>0.1332910053</v>
      </c>
      <c r="D114" s="34">
        <f>(('PRACTICE Equity Price Data'!D115/'PRACTICE Equity Price Data'!D114)-1)+D113</f>
        <v>0.08788627253</v>
      </c>
      <c r="E114" s="34">
        <f>(('PRACTICE Equity Price Data'!E115/'PRACTICE Equity Price Data'!E114)-1)+E113</f>
        <v>0.0885725272</v>
      </c>
      <c r="F114" s="3">
        <v>13.0</v>
      </c>
      <c r="G114" s="3">
        <v>260.0</v>
      </c>
      <c r="H114" s="3">
        <v>110.0</v>
      </c>
      <c r="I114" s="3">
        <v>256.0</v>
      </c>
      <c r="J114" s="3">
        <v>83.0</v>
      </c>
      <c r="K114" s="3">
        <v>188.0</v>
      </c>
      <c r="L114" s="3">
        <v>1000.0</v>
      </c>
      <c r="M114" s="3">
        <v>102.0</v>
      </c>
      <c r="N114" s="3">
        <v>200.0</v>
      </c>
      <c r="O114" s="3">
        <v>121.0</v>
      </c>
      <c r="P114" s="3"/>
      <c r="Q114" s="3">
        <v>80.0</v>
      </c>
      <c r="R114" s="3">
        <v>150.0</v>
      </c>
      <c r="S114" s="3">
        <v>417.0</v>
      </c>
      <c r="T114" s="3">
        <v>120.0</v>
      </c>
      <c r="U114" s="3">
        <v>80.0</v>
      </c>
      <c r="V114" s="1">
        <v>88.0</v>
      </c>
      <c r="W114" s="1">
        <v>250.0</v>
      </c>
      <c r="X114" s="1">
        <v>264.0</v>
      </c>
      <c r="Y114" s="1">
        <v>161.0</v>
      </c>
      <c r="Z114" s="1">
        <v>69.0</v>
      </c>
      <c r="AA114" s="3">
        <v>250.0</v>
      </c>
      <c r="AB114" s="1">
        <v>13.0</v>
      </c>
      <c r="AC114" s="1">
        <v>150.0</v>
      </c>
      <c r="AD114" s="1">
        <v>170.0</v>
      </c>
      <c r="AE114" s="3">
        <v>30.0</v>
      </c>
      <c r="AF114" s="1">
        <v>40.0</v>
      </c>
      <c r="AG114" s="1">
        <v>45.0</v>
      </c>
      <c r="AH114" s="3">
        <v>200.0</v>
      </c>
      <c r="AI114" s="1">
        <v>205.0</v>
      </c>
      <c r="AJ114" s="1">
        <v>60.0</v>
      </c>
      <c r="AK114" s="1">
        <v>100.0</v>
      </c>
      <c r="AL114" s="1">
        <v>175.0</v>
      </c>
      <c r="AM114" s="1">
        <v>130.0</v>
      </c>
      <c r="AN114" s="1"/>
      <c r="AO114" s="3">
        <v>160.0</v>
      </c>
      <c r="AP114" s="3">
        <v>70.0</v>
      </c>
      <c r="AQ114" s="3">
        <v>35.0</v>
      </c>
      <c r="AR114" s="1">
        <v>854.0</v>
      </c>
      <c r="AS114" s="1">
        <v>250.0</v>
      </c>
      <c r="AT114" s="1">
        <v>220.0</v>
      </c>
      <c r="AU114" s="1"/>
      <c r="AV114" s="1">
        <v>120.0</v>
      </c>
      <c r="AW114" s="3">
        <v>200.0</v>
      </c>
      <c r="AX114" s="3"/>
      <c r="AY114" s="3">
        <v>142.0</v>
      </c>
      <c r="AZ114" s="1">
        <v>40.0</v>
      </c>
      <c r="BA114" s="1"/>
      <c r="BB114" s="3">
        <v>402.0</v>
      </c>
      <c r="BC114" s="1">
        <v>150.0</v>
      </c>
      <c r="BD114" s="1">
        <v>190.0</v>
      </c>
      <c r="BE114" s="1">
        <v>80.0</v>
      </c>
      <c r="BF114" s="1"/>
      <c r="BG114" s="1">
        <v>213.0</v>
      </c>
      <c r="BH114" s="1">
        <v>23.0</v>
      </c>
      <c r="BI114" s="1">
        <v>40.0</v>
      </c>
      <c r="BJ114" s="1">
        <v>278.0</v>
      </c>
      <c r="BK114" s="3">
        <v>160.0</v>
      </c>
      <c r="BL114" s="1">
        <v>160.0</v>
      </c>
      <c r="BM114" s="1">
        <v>75.0</v>
      </c>
      <c r="BN114" s="32">
        <v>1802.0</v>
      </c>
      <c r="BO114" s="1">
        <v>47.0</v>
      </c>
      <c r="BP114" s="3">
        <v>48.0</v>
      </c>
      <c r="BQ114" s="1">
        <v>188.0</v>
      </c>
      <c r="BR114" s="27">
        <v>67197.2400000002</v>
      </c>
    </row>
    <row r="115">
      <c r="A115" s="25">
        <f>'Equity Price Data'!A116</f>
        <v>45588.66667</v>
      </c>
      <c r="B115" s="34">
        <f>(('PRACTICE Equity Price Data'!B116/'PRACTICE Equity Price Data'!B115)-1)+B114</f>
        <v>0.1085928368</v>
      </c>
      <c r="C115" s="34">
        <f>(('PRACTICE Equity Price Data'!C116/'PRACTICE Equity Price Data'!C115)-1)+C114</f>
        <v>0.11732816</v>
      </c>
      <c r="D115" s="34">
        <f>(('PRACTICE Equity Price Data'!D116/'PRACTICE Equity Price Data'!D115)-1)+D114</f>
        <v>0.07833610246</v>
      </c>
      <c r="E115" s="34">
        <f>(('PRACTICE Equity Price Data'!E116/'PRACTICE Equity Price Data'!E115)-1)+E114</f>
        <v>0.08064523069</v>
      </c>
      <c r="F115" s="3">
        <v>13.0</v>
      </c>
      <c r="G115" s="3">
        <v>260.0</v>
      </c>
      <c r="H115" s="3">
        <v>110.0</v>
      </c>
      <c r="I115" s="3">
        <v>256.0</v>
      </c>
      <c r="J115" s="3">
        <v>83.0</v>
      </c>
      <c r="K115" s="3">
        <v>188.0</v>
      </c>
      <c r="L115" s="3">
        <v>1000.0</v>
      </c>
      <c r="M115" s="3">
        <v>102.0</v>
      </c>
      <c r="N115" s="3">
        <v>200.0</v>
      </c>
      <c r="O115" s="3">
        <v>121.0</v>
      </c>
      <c r="P115" s="3"/>
      <c r="Q115" s="3">
        <v>80.0</v>
      </c>
      <c r="R115" s="3">
        <v>150.0</v>
      </c>
      <c r="S115" s="3">
        <v>417.0</v>
      </c>
      <c r="T115" s="3">
        <v>120.0</v>
      </c>
      <c r="U115" s="3">
        <v>80.0</v>
      </c>
      <c r="V115" s="1">
        <v>88.0</v>
      </c>
      <c r="W115" s="1">
        <v>250.0</v>
      </c>
      <c r="X115" s="1">
        <v>264.0</v>
      </c>
      <c r="Y115" s="1">
        <v>161.0</v>
      </c>
      <c r="Z115" s="1">
        <v>69.0</v>
      </c>
      <c r="AA115" s="3">
        <v>250.0</v>
      </c>
      <c r="AB115" s="1">
        <v>13.0</v>
      </c>
      <c r="AC115" s="1">
        <v>150.0</v>
      </c>
      <c r="AD115" s="1">
        <v>170.0</v>
      </c>
      <c r="AE115" s="3">
        <v>30.0</v>
      </c>
      <c r="AF115" s="1">
        <v>40.0</v>
      </c>
      <c r="AG115" s="1">
        <v>45.0</v>
      </c>
      <c r="AH115" s="3">
        <v>200.0</v>
      </c>
      <c r="AI115" s="1">
        <v>205.0</v>
      </c>
      <c r="AJ115" s="1">
        <v>60.0</v>
      </c>
      <c r="AK115" s="1">
        <v>100.0</v>
      </c>
      <c r="AL115" s="1">
        <v>175.0</v>
      </c>
      <c r="AM115" s="1">
        <v>130.0</v>
      </c>
      <c r="AN115" s="1"/>
      <c r="AO115" s="3">
        <v>160.0</v>
      </c>
      <c r="AP115" s="3">
        <v>70.0</v>
      </c>
      <c r="AQ115" s="3">
        <v>35.0</v>
      </c>
      <c r="AR115" s="1">
        <v>854.0</v>
      </c>
      <c r="AS115" s="1">
        <v>250.0</v>
      </c>
      <c r="AT115" s="1">
        <v>220.0</v>
      </c>
      <c r="AU115" s="1"/>
      <c r="AV115" s="1">
        <v>120.0</v>
      </c>
      <c r="AW115" s="3">
        <v>200.0</v>
      </c>
      <c r="AX115" s="3"/>
      <c r="AY115" s="3">
        <v>142.0</v>
      </c>
      <c r="AZ115" s="1">
        <v>40.0</v>
      </c>
      <c r="BA115" s="1"/>
      <c r="BB115" s="3">
        <v>402.0</v>
      </c>
      <c r="BC115" s="1">
        <v>150.0</v>
      </c>
      <c r="BD115" s="1">
        <v>190.0</v>
      </c>
      <c r="BE115" s="1">
        <v>80.0</v>
      </c>
      <c r="BF115" s="1"/>
      <c r="BG115" s="1">
        <v>213.0</v>
      </c>
      <c r="BH115" s="1">
        <v>23.0</v>
      </c>
      <c r="BI115" s="1">
        <v>40.0</v>
      </c>
      <c r="BJ115" s="1">
        <v>278.0</v>
      </c>
      <c r="BK115" s="3">
        <v>160.0</v>
      </c>
      <c r="BL115" s="1">
        <v>160.0</v>
      </c>
      <c r="BM115" s="1">
        <v>75.0</v>
      </c>
      <c r="BN115" s="32">
        <v>1802.0</v>
      </c>
      <c r="BO115" s="1">
        <v>47.0</v>
      </c>
      <c r="BP115" s="3">
        <v>48.0</v>
      </c>
      <c r="BQ115" s="1">
        <v>188.0</v>
      </c>
      <c r="BR115" s="27">
        <v>67197.2400000002</v>
      </c>
    </row>
    <row r="116">
      <c r="A116" s="25">
        <f>'Equity Price Data'!A117</f>
        <v>45589.66667</v>
      </c>
      <c r="B116" s="34">
        <f>(('PRACTICE Equity Price Data'!B117/'PRACTICE Equity Price Data'!B116)-1)+B115</f>
        <v>0.1107386189</v>
      </c>
      <c r="C116" s="34">
        <f>(('PRACTICE Equity Price Data'!C117/'PRACTICE Equity Price Data'!C116)-1)+C115</f>
        <v>0.1249247382</v>
      </c>
      <c r="D116" s="34">
        <f>(('PRACTICE Equity Price Data'!D117/'PRACTICE Equity Price Data'!D116)-1)+D115</f>
        <v>0.07502926568</v>
      </c>
      <c r="E116" s="34">
        <f>(('PRACTICE Equity Price Data'!E117/'PRACTICE Equity Price Data'!E116)-1)+E115</f>
        <v>0.08293988613</v>
      </c>
      <c r="F116" s="3">
        <v>13.0</v>
      </c>
      <c r="G116" s="3">
        <v>260.0</v>
      </c>
      <c r="H116" s="3">
        <v>110.0</v>
      </c>
      <c r="I116" s="3">
        <v>256.0</v>
      </c>
      <c r="J116" s="3">
        <v>83.0</v>
      </c>
      <c r="K116" s="3">
        <v>188.0</v>
      </c>
      <c r="L116" s="3">
        <v>1000.0</v>
      </c>
      <c r="M116" s="3">
        <v>102.0</v>
      </c>
      <c r="N116" s="3">
        <v>200.0</v>
      </c>
      <c r="O116" s="3">
        <v>121.0</v>
      </c>
      <c r="P116" s="3"/>
      <c r="Q116" s="3">
        <v>80.0</v>
      </c>
      <c r="R116" s="3">
        <v>150.0</v>
      </c>
      <c r="S116" s="3">
        <v>417.0</v>
      </c>
      <c r="T116" s="3">
        <v>120.0</v>
      </c>
      <c r="U116" s="3">
        <v>80.0</v>
      </c>
      <c r="V116" s="1">
        <v>88.0</v>
      </c>
      <c r="W116" s="1">
        <v>250.0</v>
      </c>
      <c r="X116" s="1">
        <v>264.0</v>
      </c>
      <c r="Y116" s="1">
        <v>161.0</v>
      </c>
      <c r="Z116" s="1">
        <v>69.0</v>
      </c>
      <c r="AA116" s="3">
        <v>250.0</v>
      </c>
      <c r="AB116" s="1">
        <v>13.0</v>
      </c>
      <c r="AC116" s="1">
        <v>150.0</v>
      </c>
      <c r="AD116" s="1">
        <v>170.0</v>
      </c>
      <c r="AE116" s="3">
        <v>30.0</v>
      </c>
      <c r="AF116" s="1">
        <v>40.0</v>
      </c>
      <c r="AG116" s="1">
        <v>45.0</v>
      </c>
      <c r="AH116" s="3">
        <v>200.0</v>
      </c>
      <c r="AI116" s="1">
        <v>205.0</v>
      </c>
      <c r="AJ116" s="1">
        <v>60.0</v>
      </c>
      <c r="AK116" s="1">
        <v>100.0</v>
      </c>
      <c r="AL116" s="1">
        <v>175.0</v>
      </c>
      <c r="AM116" s="1">
        <v>130.0</v>
      </c>
      <c r="AN116" s="1"/>
      <c r="AO116" s="3">
        <v>160.0</v>
      </c>
      <c r="AP116" s="3">
        <v>70.0</v>
      </c>
      <c r="AQ116" s="3">
        <v>35.0</v>
      </c>
      <c r="AR116" s="1">
        <v>854.0</v>
      </c>
      <c r="AS116" s="1">
        <v>250.0</v>
      </c>
      <c r="AT116" s="1">
        <v>220.0</v>
      </c>
      <c r="AU116" s="1"/>
      <c r="AV116" s="1">
        <v>120.0</v>
      </c>
      <c r="AW116" s="3">
        <v>200.0</v>
      </c>
      <c r="AX116" s="3"/>
      <c r="AY116" s="3">
        <v>142.0</v>
      </c>
      <c r="AZ116" s="1">
        <v>40.0</v>
      </c>
      <c r="BA116" s="1"/>
      <c r="BB116" s="3">
        <v>402.0</v>
      </c>
      <c r="BC116" s="1">
        <v>150.0</v>
      </c>
      <c r="BD116" s="1">
        <v>190.0</v>
      </c>
      <c r="BE116" s="1">
        <v>80.0</v>
      </c>
      <c r="BF116" s="1"/>
      <c r="BG116" s="1">
        <v>213.0</v>
      </c>
      <c r="BH116" s="1">
        <v>23.0</v>
      </c>
      <c r="BI116" s="1">
        <v>40.0</v>
      </c>
      <c r="BJ116" s="1">
        <v>278.0</v>
      </c>
      <c r="BK116" s="3">
        <v>160.0</v>
      </c>
      <c r="BL116" s="1">
        <v>160.0</v>
      </c>
      <c r="BM116" s="1">
        <v>75.0</v>
      </c>
      <c r="BN116" s="32">
        <v>1802.0</v>
      </c>
      <c r="BO116" s="1">
        <v>47.0</v>
      </c>
      <c r="BP116" s="3">
        <v>48.0</v>
      </c>
      <c r="BQ116" s="1">
        <v>188.0</v>
      </c>
      <c r="BR116" s="27">
        <v>67197.2400000002</v>
      </c>
    </row>
    <row r="117">
      <c r="A117" s="25">
        <f>'Equity Price Data'!A118</f>
        <v>45590.66667</v>
      </c>
      <c r="B117" s="34">
        <f>(('PRACTICE Equity Price Data'!B118/'PRACTICE Equity Price Data'!B117)-1)+B116</f>
        <v>0.1104391281</v>
      </c>
      <c r="C117" s="34">
        <f>(('PRACTICE Equity Price Data'!C118/'PRACTICE Equity Price Data'!C117)-1)+C116</f>
        <v>0.130524372</v>
      </c>
      <c r="D117" s="34">
        <f>(('PRACTICE Equity Price Data'!D118/'PRACTICE Equity Price Data'!D117)-1)+D116</f>
        <v>0.06889442377</v>
      </c>
      <c r="E117" s="34">
        <f>(('PRACTICE Equity Price Data'!E118/'PRACTICE Equity Price Data'!E117)-1)+E116</f>
        <v>0.07801406636</v>
      </c>
      <c r="F117" s="3">
        <v>13.0</v>
      </c>
      <c r="G117" s="3">
        <v>260.0</v>
      </c>
      <c r="H117" s="3">
        <v>110.0</v>
      </c>
      <c r="I117" s="3">
        <v>256.0</v>
      </c>
      <c r="J117" s="3">
        <v>83.0</v>
      </c>
      <c r="K117" s="3">
        <v>188.0</v>
      </c>
      <c r="L117" s="3">
        <v>1000.0</v>
      </c>
      <c r="M117" s="3">
        <v>102.0</v>
      </c>
      <c r="N117" s="3">
        <v>200.0</v>
      </c>
      <c r="O117" s="3">
        <v>121.0</v>
      </c>
      <c r="P117" s="3"/>
      <c r="Q117" s="3">
        <v>80.0</v>
      </c>
      <c r="R117" s="3">
        <v>150.0</v>
      </c>
      <c r="S117" s="3">
        <v>417.0</v>
      </c>
      <c r="T117" s="3">
        <v>120.0</v>
      </c>
      <c r="U117" s="3">
        <v>80.0</v>
      </c>
      <c r="V117" s="1">
        <v>88.0</v>
      </c>
      <c r="W117" s="1">
        <v>250.0</v>
      </c>
      <c r="X117" s="1">
        <v>264.0</v>
      </c>
      <c r="Y117" s="1">
        <v>161.0</v>
      </c>
      <c r="Z117" s="1">
        <v>69.0</v>
      </c>
      <c r="AA117" s="3">
        <v>250.0</v>
      </c>
      <c r="AB117" s="1">
        <v>13.0</v>
      </c>
      <c r="AC117" s="1">
        <v>150.0</v>
      </c>
      <c r="AD117" s="1">
        <v>170.0</v>
      </c>
      <c r="AE117" s="3">
        <v>30.0</v>
      </c>
      <c r="AF117" s="1">
        <v>40.0</v>
      </c>
      <c r="AG117" s="1">
        <v>45.0</v>
      </c>
      <c r="AH117" s="3">
        <v>200.0</v>
      </c>
      <c r="AI117" s="1">
        <v>205.0</v>
      </c>
      <c r="AJ117" s="1">
        <v>60.0</v>
      </c>
      <c r="AK117" s="1">
        <v>100.0</v>
      </c>
      <c r="AL117" s="1">
        <v>175.0</v>
      </c>
      <c r="AM117" s="1">
        <v>130.0</v>
      </c>
      <c r="AN117" s="1"/>
      <c r="AO117" s="3">
        <v>160.0</v>
      </c>
      <c r="AP117" s="3">
        <v>70.0</v>
      </c>
      <c r="AQ117" s="3">
        <v>35.0</v>
      </c>
      <c r="AR117" s="1">
        <v>854.0</v>
      </c>
      <c r="AS117" s="1">
        <v>250.0</v>
      </c>
      <c r="AT117" s="1">
        <v>220.0</v>
      </c>
      <c r="AU117" s="1"/>
      <c r="AV117" s="1">
        <v>120.0</v>
      </c>
      <c r="AW117" s="3">
        <v>200.0</v>
      </c>
      <c r="AX117" s="3"/>
      <c r="AY117" s="3">
        <v>142.0</v>
      </c>
      <c r="AZ117" s="1">
        <v>40.0</v>
      </c>
      <c r="BA117" s="3">
        <v>80.0</v>
      </c>
      <c r="BB117" s="3">
        <v>402.0</v>
      </c>
      <c r="BC117" s="1">
        <v>150.0</v>
      </c>
      <c r="BD117" s="1">
        <v>190.0</v>
      </c>
      <c r="BE117" s="1">
        <v>80.0</v>
      </c>
      <c r="BF117" s="1"/>
      <c r="BG117" s="1">
        <v>213.0</v>
      </c>
      <c r="BH117" s="1">
        <v>23.0</v>
      </c>
      <c r="BI117" s="1">
        <v>40.0</v>
      </c>
      <c r="BJ117" s="1">
        <v>278.0</v>
      </c>
      <c r="BK117" s="3"/>
      <c r="BL117" s="1">
        <v>160.0</v>
      </c>
      <c r="BM117" s="1">
        <v>75.0</v>
      </c>
      <c r="BN117" s="32">
        <v>1802.0</v>
      </c>
      <c r="BO117" s="1">
        <v>47.0</v>
      </c>
      <c r="BP117" s="3">
        <v>48.0</v>
      </c>
      <c r="BQ117" s="1">
        <v>188.0</v>
      </c>
      <c r="BR117" s="27">
        <v>38908.0</v>
      </c>
    </row>
    <row r="118">
      <c r="A118" s="25">
        <f>'Equity Price Data'!A119</f>
        <v>45593.66667</v>
      </c>
      <c r="B118" s="34">
        <f>(('PRACTICE Equity Price Data'!B119/'PRACTICE Equity Price Data'!B118)-1)+B117</f>
        <v>0.1130905884</v>
      </c>
      <c r="C118" s="34">
        <f>(('PRACTICE Equity Price Data'!C119/'PRACTICE Equity Price Data'!C118)-1)+C117</f>
        <v>0.133147679</v>
      </c>
      <c r="D118" s="34">
        <f>(('PRACTICE Equity Price Data'!D119/'PRACTICE Equity Price Data'!D118)-1)+D117</f>
        <v>0.07538080372</v>
      </c>
      <c r="E118" s="34">
        <f>(('PRACTICE Equity Price Data'!E119/'PRACTICE Equity Price Data'!E118)-1)+E117</f>
        <v>0.09435472007</v>
      </c>
      <c r="F118" s="3">
        <v>13.0</v>
      </c>
      <c r="G118" s="3">
        <v>260.0</v>
      </c>
      <c r="H118" s="3">
        <v>110.0</v>
      </c>
      <c r="I118" s="3">
        <v>256.0</v>
      </c>
      <c r="J118" s="3">
        <v>83.0</v>
      </c>
      <c r="K118" s="3">
        <v>188.0</v>
      </c>
      <c r="L118" s="3">
        <v>1000.0</v>
      </c>
      <c r="M118" s="3">
        <v>102.0</v>
      </c>
      <c r="N118" s="3">
        <v>200.0</v>
      </c>
      <c r="O118" s="3">
        <v>121.0</v>
      </c>
      <c r="P118" s="3"/>
      <c r="Q118" s="3">
        <v>80.0</v>
      </c>
      <c r="R118" s="3">
        <v>150.0</v>
      </c>
      <c r="S118" s="3">
        <v>417.0</v>
      </c>
      <c r="T118" s="3">
        <v>120.0</v>
      </c>
      <c r="U118" s="3">
        <v>80.0</v>
      </c>
      <c r="V118" s="1">
        <v>88.0</v>
      </c>
      <c r="W118" s="1">
        <v>250.0</v>
      </c>
      <c r="X118" s="1">
        <v>264.0</v>
      </c>
      <c r="Y118" s="1">
        <v>161.0</v>
      </c>
      <c r="Z118" s="1">
        <v>69.0</v>
      </c>
      <c r="AA118" s="3">
        <v>250.0</v>
      </c>
      <c r="AB118" s="1">
        <v>13.0</v>
      </c>
      <c r="AC118" s="1">
        <v>150.0</v>
      </c>
      <c r="AD118" s="1">
        <v>170.0</v>
      </c>
      <c r="AE118" s="3">
        <v>30.0</v>
      </c>
      <c r="AF118" s="1">
        <v>40.0</v>
      </c>
      <c r="AG118" s="1">
        <v>45.0</v>
      </c>
      <c r="AH118" s="3">
        <v>200.0</v>
      </c>
      <c r="AI118" s="1">
        <v>205.0</v>
      </c>
      <c r="AJ118" s="1">
        <v>60.0</v>
      </c>
      <c r="AK118" s="1">
        <v>100.0</v>
      </c>
      <c r="AL118" s="1">
        <v>175.0</v>
      </c>
      <c r="AM118" s="1">
        <v>130.0</v>
      </c>
      <c r="AN118" s="1"/>
      <c r="AO118" s="3">
        <v>160.0</v>
      </c>
      <c r="AP118" s="3">
        <v>70.0</v>
      </c>
      <c r="AQ118" s="3">
        <v>35.0</v>
      </c>
      <c r="AR118" s="1">
        <v>854.0</v>
      </c>
      <c r="AS118" s="1">
        <v>250.0</v>
      </c>
      <c r="AT118" s="1">
        <v>220.0</v>
      </c>
      <c r="AU118" s="1"/>
      <c r="AV118" s="1">
        <v>120.0</v>
      </c>
      <c r="AW118" s="3">
        <v>200.0</v>
      </c>
      <c r="AX118" s="3"/>
      <c r="AY118" s="3">
        <v>142.0</v>
      </c>
      <c r="AZ118" s="1">
        <v>40.0</v>
      </c>
      <c r="BA118" s="3">
        <v>80.0</v>
      </c>
      <c r="BB118" s="3">
        <v>402.0</v>
      </c>
      <c r="BC118" s="1">
        <v>150.0</v>
      </c>
      <c r="BD118" s="1">
        <v>190.0</v>
      </c>
      <c r="BE118" s="1">
        <v>80.0</v>
      </c>
      <c r="BF118" s="1"/>
      <c r="BG118" s="1">
        <v>213.0</v>
      </c>
      <c r="BH118" s="1">
        <v>23.0</v>
      </c>
      <c r="BI118" s="1">
        <v>40.0</v>
      </c>
      <c r="BJ118" s="1">
        <v>278.0</v>
      </c>
      <c r="BK118" s="3"/>
      <c r="BL118" s="1">
        <v>160.0</v>
      </c>
      <c r="BM118" s="1">
        <v>75.0</v>
      </c>
      <c r="BN118" s="32">
        <v>1802.0</v>
      </c>
      <c r="BO118" s="1">
        <v>47.0</v>
      </c>
      <c r="BP118" s="3">
        <v>48.0</v>
      </c>
      <c r="BQ118" s="1">
        <v>188.0</v>
      </c>
      <c r="BR118" s="27">
        <v>38908.0</v>
      </c>
    </row>
    <row r="119">
      <c r="A119" s="25">
        <f>'Equity Price Data'!A120</f>
        <v>45594.66667</v>
      </c>
      <c r="B119" s="34">
        <f>(('PRACTICE Equity Price Data'!B120/'PRACTICE Equity Price Data'!B119)-1)+B118</f>
        <v>0.1147047325</v>
      </c>
      <c r="C119" s="34">
        <f>(('PRACTICE Equity Price Data'!C120/'PRACTICE Equity Price Data'!C119)-1)+C118</f>
        <v>0.1409873144</v>
      </c>
      <c r="D119" s="34">
        <f>(('PRACTICE Equity Price Data'!D120/'PRACTICE Equity Price Data'!D119)-1)+D118</f>
        <v>0.07173539541</v>
      </c>
      <c r="E119" s="34">
        <f>(('PRACTICE Equity Price Data'!E120/'PRACTICE Equity Price Data'!E119)-1)+E118</f>
        <v>0.09168991907</v>
      </c>
      <c r="F119" s="3">
        <v>13.0</v>
      </c>
      <c r="G119" s="3">
        <v>260.0</v>
      </c>
      <c r="H119" s="3">
        <v>110.0</v>
      </c>
      <c r="I119" s="3">
        <v>256.0</v>
      </c>
      <c r="J119" s="3">
        <v>83.0</v>
      </c>
      <c r="K119" s="3">
        <v>188.0</v>
      </c>
      <c r="L119" s="3">
        <v>1000.0</v>
      </c>
      <c r="M119" s="3">
        <v>102.0</v>
      </c>
      <c r="N119" s="3">
        <v>200.0</v>
      </c>
      <c r="O119" s="3">
        <v>121.0</v>
      </c>
      <c r="P119" s="3"/>
      <c r="Q119" s="3">
        <v>80.0</v>
      </c>
      <c r="R119" s="3">
        <v>150.0</v>
      </c>
      <c r="S119" s="3">
        <v>417.0</v>
      </c>
      <c r="T119" s="3">
        <v>120.0</v>
      </c>
      <c r="U119" s="3">
        <v>80.0</v>
      </c>
      <c r="V119" s="1">
        <v>88.0</v>
      </c>
      <c r="W119" s="1">
        <v>250.0</v>
      </c>
      <c r="X119" s="1">
        <v>264.0</v>
      </c>
      <c r="Y119" s="1">
        <v>161.0</v>
      </c>
      <c r="Z119" s="1">
        <v>69.0</v>
      </c>
      <c r="AA119" s="3">
        <v>250.0</v>
      </c>
      <c r="AB119" s="1">
        <v>13.0</v>
      </c>
      <c r="AC119" s="1">
        <v>150.0</v>
      </c>
      <c r="AD119" s="1">
        <v>170.0</v>
      </c>
      <c r="AE119" s="3">
        <v>30.0</v>
      </c>
      <c r="AF119" s="1">
        <v>40.0</v>
      </c>
      <c r="AG119" s="1">
        <v>45.0</v>
      </c>
      <c r="AH119" s="3">
        <v>200.0</v>
      </c>
      <c r="AI119" s="1">
        <v>205.0</v>
      </c>
      <c r="AJ119" s="1">
        <v>60.0</v>
      </c>
      <c r="AK119" s="1">
        <v>100.0</v>
      </c>
      <c r="AL119" s="1">
        <v>175.0</v>
      </c>
      <c r="AM119" s="1">
        <v>130.0</v>
      </c>
      <c r="AN119" s="1"/>
      <c r="AO119" s="3">
        <v>160.0</v>
      </c>
      <c r="AP119" s="3">
        <v>70.0</v>
      </c>
      <c r="AQ119" s="3">
        <v>35.0</v>
      </c>
      <c r="AR119" s="1">
        <v>854.0</v>
      </c>
      <c r="AS119" s="1">
        <v>250.0</v>
      </c>
      <c r="AT119" s="1">
        <v>220.0</v>
      </c>
      <c r="AU119" s="1"/>
      <c r="AV119" s="1">
        <v>120.0</v>
      </c>
      <c r="AW119" s="3">
        <v>200.0</v>
      </c>
      <c r="AX119" s="3"/>
      <c r="AY119" s="3">
        <v>142.0</v>
      </c>
      <c r="AZ119" s="1">
        <v>40.0</v>
      </c>
      <c r="BA119" s="3">
        <v>80.0</v>
      </c>
      <c r="BB119" s="3">
        <v>402.0</v>
      </c>
      <c r="BC119" s="1">
        <v>150.0</v>
      </c>
      <c r="BD119" s="1">
        <v>190.0</v>
      </c>
      <c r="BE119" s="1">
        <v>80.0</v>
      </c>
      <c r="BF119" s="1"/>
      <c r="BG119" s="1">
        <v>213.0</v>
      </c>
      <c r="BH119" s="1">
        <v>23.0</v>
      </c>
      <c r="BI119" s="1">
        <v>40.0</v>
      </c>
      <c r="BJ119" s="1">
        <v>278.0</v>
      </c>
      <c r="BK119" s="3"/>
      <c r="BL119" s="1">
        <v>160.0</v>
      </c>
      <c r="BM119" s="1">
        <v>75.0</v>
      </c>
      <c r="BN119" s="32">
        <v>1802.0</v>
      </c>
      <c r="BO119" s="1">
        <v>47.0</v>
      </c>
      <c r="BP119" s="3">
        <v>48.0</v>
      </c>
      <c r="BQ119" s="1">
        <v>188.0</v>
      </c>
      <c r="BR119" s="27">
        <v>38908.0</v>
      </c>
    </row>
    <row r="120">
      <c r="A120" s="25">
        <f>'Equity Price Data'!A121</f>
        <v>45595.66667</v>
      </c>
      <c r="B120" s="34">
        <f>(('PRACTICE Equity Price Data'!B121/'PRACTICE Equity Price Data'!B120)-1)+B119</f>
        <v>0.1114044986</v>
      </c>
      <c r="C120" s="34">
        <f>(('PRACTICE Equity Price Data'!C121/'PRACTICE Equity Price Data'!C120)-1)+C119</f>
        <v>0.135385786</v>
      </c>
      <c r="D120" s="34">
        <f>(('PRACTICE Equity Price Data'!D121/'PRACTICE Equity Price Data'!D120)-1)+D119</f>
        <v>0.06956860897</v>
      </c>
      <c r="E120" s="34">
        <f>(('PRACTICE Equity Price Data'!E121/'PRACTICE Equity Price Data'!E120)-1)+E119</f>
        <v>0.08943353081</v>
      </c>
      <c r="F120" s="3">
        <v>13.0</v>
      </c>
      <c r="G120" s="3">
        <v>260.0</v>
      </c>
      <c r="H120" s="3">
        <v>110.0</v>
      </c>
      <c r="I120" s="3">
        <v>256.0</v>
      </c>
      <c r="J120" s="3">
        <v>83.0</v>
      </c>
      <c r="K120" s="3">
        <v>188.0</v>
      </c>
      <c r="L120" s="3">
        <v>1000.0</v>
      </c>
      <c r="M120" s="3">
        <v>102.0</v>
      </c>
      <c r="N120" s="3">
        <v>200.0</v>
      </c>
      <c r="O120" s="3">
        <v>121.0</v>
      </c>
      <c r="P120" s="3"/>
      <c r="Q120" s="3">
        <v>80.0</v>
      </c>
      <c r="R120" s="3">
        <v>150.0</v>
      </c>
      <c r="S120" s="3">
        <v>417.0</v>
      </c>
      <c r="T120" s="3">
        <v>120.0</v>
      </c>
      <c r="U120" s="3">
        <v>80.0</v>
      </c>
      <c r="V120" s="1">
        <v>88.0</v>
      </c>
      <c r="W120" s="1">
        <v>250.0</v>
      </c>
      <c r="X120" s="1">
        <v>264.0</v>
      </c>
      <c r="Y120" s="1">
        <v>161.0</v>
      </c>
      <c r="Z120" s="1">
        <v>69.0</v>
      </c>
      <c r="AA120" s="3">
        <v>250.0</v>
      </c>
      <c r="AB120" s="1">
        <v>13.0</v>
      </c>
      <c r="AC120" s="1">
        <v>150.0</v>
      </c>
      <c r="AD120" s="1">
        <v>170.0</v>
      </c>
      <c r="AE120" s="3">
        <v>30.0</v>
      </c>
      <c r="AF120" s="1">
        <v>40.0</v>
      </c>
      <c r="AG120" s="1">
        <v>45.0</v>
      </c>
      <c r="AH120" s="3">
        <v>200.0</v>
      </c>
      <c r="AI120" s="1">
        <v>205.0</v>
      </c>
      <c r="AJ120" s="1">
        <v>60.0</v>
      </c>
      <c r="AK120" s="1">
        <v>100.0</v>
      </c>
      <c r="AL120" s="1">
        <v>175.0</v>
      </c>
      <c r="AM120" s="1">
        <v>130.0</v>
      </c>
      <c r="AN120" s="1"/>
      <c r="AO120" s="3">
        <v>160.0</v>
      </c>
      <c r="AP120" s="3">
        <v>70.0</v>
      </c>
      <c r="AQ120" s="3">
        <v>35.0</v>
      </c>
      <c r="AR120" s="1">
        <v>854.0</v>
      </c>
      <c r="AS120" s="1">
        <v>250.0</v>
      </c>
      <c r="AT120" s="1">
        <v>220.0</v>
      </c>
      <c r="AU120" s="1"/>
      <c r="AV120" s="1">
        <v>120.0</v>
      </c>
      <c r="AW120" s="3">
        <v>200.0</v>
      </c>
      <c r="AX120" s="3"/>
      <c r="AY120" s="3">
        <v>142.0</v>
      </c>
      <c r="AZ120" s="1">
        <v>40.0</v>
      </c>
      <c r="BA120" s="3">
        <v>80.0</v>
      </c>
      <c r="BB120" s="3">
        <v>402.0</v>
      </c>
      <c r="BC120" s="1">
        <v>150.0</v>
      </c>
      <c r="BD120" s="1">
        <v>190.0</v>
      </c>
      <c r="BE120" s="1">
        <v>80.0</v>
      </c>
      <c r="BF120" s="1"/>
      <c r="BG120" s="1">
        <v>213.0</v>
      </c>
      <c r="BH120" s="1">
        <v>23.0</v>
      </c>
      <c r="BI120" s="1">
        <v>40.0</v>
      </c>
      <c r="BJ120" s="1">
        <v>278.0</v>
      </c>
      <c r="BK120" s="3"/>
      <c r="BL120" s="1">
        <v>160.0</v>
      </c>
      <c r="BM120" s="1">
        <v>75.0</v>
      </c>
      <c r="BN120" s="32">
        <v>1802.0</v>
      </c>
      <c r="BO120" s="1">
        <v>47.0</v>
      </c>
      <c r="BP120" s="3">
        <v>48.0</v>
      </c>
      <c r="BQ120" s="1">
        <v>188.0</v>
      </c>
      <c r="BR120" s="27">
        <v>38908.0</v>
      </c>
    </row>
    <row r="121">
      <c r="A121" s="25">
        <f>'Equity Price Data'!A122</f>
        <v>45596.66667</v>
      </c>
      <c r="B121" s="34">
        <f>(('PRACTICE Equity Price Data'!B122/'PRACTICE Equity Price Data'!B121)-1)+B120</f>
        <v>0.09278975096</v>
      </c>
      <c r="C121" s="34">
        <f>(('PRACTICE Equity Price Data'!C122/'PRACTICE Equity Price Data'!C121)-1)+C120</f>
        <v>0.1078287176</v>
      </c>
      <c r="D121" s="34">
        <f>(('PRACTICE Equity Price Data'!D122/'PRACTICE Equity Price Data'!D121)-1)+D120</f>
        <v>0.06059693874</v>
      </c>
      <c r="E121" s="34">
        <f>(('PRACTICE Equity Price Data'!E122/'PRACTICE Equity Price Data'!E121)-1)+E120</f>
        <v>0.07313736056</v>
      </c>
      <c r="F121" s="3">
        <v>13.0</v>
      </c>
      <c r="G121" s="3">
        <v>260.0</v>
      </c>
      <c r="H121" s="3">
        <v>110.0</v>
      </c>
      <c r="I121" s="3">
        <v>256.0</v>
      </c>
      <c r="J121" s="3">
        <v>83.0</v>
      </c>
      <c r="K121" s="3">
        <v>188.0</v>
      </c>
      <c r="L121" s="3">
        <v>1000.0</v>
      </c>
      <c r="M121" s="3">
        <v>102.0</v>
      </c>
      <c r="N121" s="3">
        <v>200.0</v>
      </c>
      <c r="O121" s="3">
        <v>121.0</v>
      </c>
      <c r="P121" s="3"/>
      <c r="Q121" s="3">
        <v>80.0</v>
      </c>
      <c r="R121" s="3">
        <v>150.0</v>
      </c>
      <c r="S121" s="3">
        <v>417.0</v>
      </c>
      <c r="T121" s="3">
        <v>120.0</v>
      </c>
      <c r="U121" s="3">
        <v>80.0</v>
      </c>
      <c r="V121" s="1">
        <v>88.0</v>
      </c>
      <c r="W121" s="1">
        <v>250.0</v>
      </c>
      <c r="X121" s="1">
        <v>264.0</v>
      </c>
      <c r="Y121" s="1">
        <v>161.0</v>
      </c>
      <c r="Z121" s="1">
        <v>69.0</v>
      </c>
      <c r="AA121" s="3">
        <v>250.0</v>
      </c>
      <c r="AB121" s="1">
        <v>13.0</v>
      </c>
      <c r="AC121" s="1">
        <v>150.0</v>
      </c>
      <c r="AD121" s="1">
        <v>170.0</v>
      </c>
      <c r="AE121" s="3">
        <v>30.0</v>
      </c>
      <c r="AF121" s="1">
        <v>40.0</v>
      </c>
      <c r="AG121" s="1">
        <v>45.0</v>
      </c>
      <c r="AH121" s="3">
        <v>200.0</v>
      </c>
      <c r="AI121" s="1">
        <v>205.0</v>
      </c>
      <c r="AJ121" s="1">
        <v>60.0</v>
      </c>
      <c r="AK121" s="1">
        <v>100.0</v>
      </c>
      <c r="AL121" s="1">
        <v>175.0</v>
      </c>
      <c r="AM121" s="1">
        <v>130.0</v>
      </c>
      <c r="AN121" s="1"/>
      <c r="AO121" s="3">
        <v>160.0</v>
      </c>
      <c r="AP121" s="3">
        <v>70.0</v>
      </c>
      <c r="AQ121" s="3">
        <v>35.0</v>
      </c>
      <c r="AR121" s="1">
        <v>854.0</v>
      </c>
      <c r="AS121" s="1">
        <v>250.0</v>
      </c>
      <c r="AT121" s="1">
        <v>220.0</v>
      </c>
      <c r="AU121" s="1"/>
      <c r="AV121" s="1">
        <v>120.0</v>
      </c>
      <c r="AW121" s="3">
        <v>200.0</v>
      </c>
      <c r="AX121" s="3"/>
      <c r="AY121" s="3">
        <v>142.0</v>
      </c>
      <c r="AZ121" s="1">
        <v>40.0</v>
      </c>
      <c r="BA121" s="3">
        <v>80.0</v>
      </c>
      <c r="BB121" s="3">
        <v>402.0</v>
      </c>
      <c r="BC121" s="1">
        <v>150.0</v>
      </c>
      <c r="BD121" s="1">
        <v>190.0</v>
      </c>
      <c r="BE121" s="1">
        <v>80.0</v>
      </c>
      <c r="BF121" s="1"/>
      <c r="BG121" s="1">
        <v>213.0</v>
      </c>
      <c r="BH121" s="1">
        <v>23.0</v>
      </c>
      <c r="BI121" s="1">
        <v>40.0</v>
      </c>
      <c r="BJ121" s="1">
        <v>278.0</v>
      </c>
      <c r="BK121" s="3"/>
      <c r="BL121" s="1">
        <v>160.0</v>
      </c>
      <c r="BM121" s="1">
        <v>75.0</v>
      </c>
      <c r="BN121" s="32">
        <v>1802.0</v>
      </c>
      <c r="BO121" s="1">
        <v>47.0</v>
      </c>
      <c r="BP121" s="3">
        <v>48.0</v>
      </c>
      <c r="BQ121" s="1">
        <v>188.0</v>
      </c>
      <c r="BR121" s="27">
        <v>38908.0</v>
      </c>
    </row>
    <row r="122">
      <c r="A122" s="25">
        <f>'Equity Price Data'!A123</f>
        <v>45597.66667</v>
      </c>
      <c r="B122" s="34">
        <f>(('PRACTICE Equity Price Data'!B123/'PRACTICE Equity Price Data'!B122)-1)+B121</f>
        <v>0.09688232911</v>
      </c>
      <c r="C122" s="34">
        <f>(('PRACTICE Equity Price Data'!C123/'PRACTICE Equity Price Data'!C122)-1)+C121</f>
        <v>0.1158292039</v>
      </c>
      <c r="D122" s="34">
        <f>(('PRACTICE Equity Price Data'!D123/'PRACTICE Equity Price Data'!D122)-1)+D121</f>
        <v>0.06751039849</v>
      </c>
      <c r="E122" s="34">
        <f>(('PRACTICE Equity Price Data'!E123/'PRACTICE Equity Price Data'!E122)-1)+E121</f>
        <v>0.07927397768</v>
      </c>
      <c r="F122" s="3">
        <v>13.0</v>
      </c>
      <c r="G122" s="3">
        <v>260.0</v>
      </c>
      <c r="H122" s="3">
        <v>110.0</v>
      </c>
      <c r="I122" s="3">
        <v>256.0</v>
      </c>
      <c r="J122" s="3">
        <v>83.0</v>
      </c>
      <c r="K122" s="3">
        <v>188.0</v>
      </c>
      <c r="L122" s="3">
        <v>1000.0</v>
      </c>
      <c r="M122" s="3">
        <v>102.0</v>
      </c>
      <c r="N122" s="3">
        <v>200.0</v>
      </c>
      <c r="O122" s="3">
        <v>121.0</v>
      </c>
      <c r="P122" s="3"/>
      <c r="Q122" s="3">
        <v>80.0</v>
      </c>
      <c r="R122" s="3">
        <v>150.0</v>
      </c>
      <c r="S122" s="3">
        <v>417.0</v>
      </c>
      <c r="T122" s="3">
        <v>120.0</v>
      </c>
      <c r="U122" s="3">
        <v>80.0</v>
      </c>
      <c r="V122" s="1">
        <v>88.0</v>
      </c>
      <c r="W122" s="1">
        <v>250.0</v>
      </c>
      <c r="X122" s="1">
        <v>264.0</v>
      </c>
      <c r="Y122" s="1">
        <v>161.0</v>
      </c>
      <c r="Z122" s="1">
        <v>69.0</v>
      </c>
      <c r="AA122" s="3">
        <v>250.0</v>
      </c>
      <c r="AB122" s="1">
        <v>13.0</v>
      </c>
      <c r="AC122" s="1">
        <v>150.0</v>
      </c>
      <c r="AD122" s="1">
        <v>170.0</v>
      </c>
      <c r="AE122" s="3">
        <v>30.0</v>
      </c>
      <c r="AF122" s="1">
        <v>40.0</v>
      </c>
      <c r="AG122" s="1">
        <v>45.0</v>
      </c>
      <c r="AH122" s="3">
        <v>200.0</v>
      </c>
      <c r="AI122" s="1">
        <v>205.0</v>
      </c>
      <c r="AJ122" s="1">
        <v>60.0</v>
      </c>
      <c r="AK122" s="1">
        <v>100.0</v>
      </c>
      <c r="AL122" s="1">
        <v>175.0</v>
      </c>
      <c r="AM122" s="1">
        <v>130.0</v>
      </c>
      <c r="AN122" s="1"/>
      <c r="AO122" s="3">
        <v>160.0</v>
      </c>
      <c r="AP122" s="3">
        <v>70.0</v>
      </c>
      <c r="AQ122" s="3">
        <v>35.0</v>
      </c>
      <c r="AR122" s="1">
        <v>854.0</v>
      </c>
      <c r="AS122" s="1">
        <v>250.0</v>
      </c>
      <c r="AT122" s="1">
        <v>220.0</v>
      </c>
      <c r="AU122" s="1"/>
      <c r="AV122" s="1">
        <v>120.0</v>
      </c>
      <c r="AW122" s="3">
        <v>200.0</v>
      </c>
      <c r="AX122" s="3"/>
      <c r="AY122" s="3">
        <v>142.0</v>
      </c>
      <c r="AZ122" s="1">
        <v>40.0</v>
      </c>
      <c r="BA122" s="3">
        <v>80.0</v>
      </c>
      <c r="BB122" s="3">
        <v>402.0</v>
      </c>
      <c r="BC122" s="1">
        <v>150.0</v>
      </c>
      <c r="BD122" s="1">
        <v>190.0</v>
      </c>
      <c r="BE122" s="1">
        <v>80.0</v>
      </c>
      <c r="BF122" s="1"/>
      <c r="BG122" s="1">
        <v>213.0</v>
      </c>
      <c r="BH122" s="1">
        <v>23.0</v>
      </c>
      <c r="BI122" s="1">
        <v>40.0</v>
      </c>
      <c r="BJ122" s="1">
        <v>278.0</v>
      </c>
      <c r="BK122" s="3"/>
      <c r="BL122" s="1">
        <v>160.0</v>
      </c>
      <c r="BM122" s="1">
        <v>75.0</v>
      </c>
      <c r="BN122" s="32">
        <v>1802.0</v>
      </c>
      <c r="BO122" s="1">
        <v>47.0</v>
      </c>
      <c r="BP122" s="3">
        <v>48.0</v>
      </c>
      <c r="BQ122" s="1">
        <v>188.0</v>
      </c>
      <c r="BR122" s="27">
        <v>38908.0</v>
      </c>
    </row>
    <row r="123">
      <c r="A123" s="25">
        <f>'Equity Price Data'!A124</f>
        <v>45600.66667</v>
      </c>
      <c r="B123" s="34">
        <f>(('PRACTICE Equity Price Data'!B124/'PRACTICE Equity Price Data'!B123)-1)+B122</f>
        <v>0.09407022186</v>
      </c>
      <c r="C123" s="34">
        <f>(('PRACTICE Equity Price Data'!C124/'PRACTICE Equity Price Data'!C123)-1)+C122</f>
        <v>0.1125430053</v>
      </c>
      <c r="D123" s="34">
        <f>(('PRACTICE Equity Price Data'!D124/'PRACTICE Equity Price Data'!D123)-1)+D122</f>
        <v>0.0613849149</v>
      </c>
      <c r="E123" s="34">
        <f>(('PRACTICE Equity Price Data'!E124/'PRACTICE Equity Price Data'!E123)-1)+E122</f>
        <v>0.08330089013</v>
      </c>
      <c r="F123" s="3">
        <v>13.0</v>
      </c>
      <c r="G123" s="3">
        <v>260.0</v>
      </c>
      <c r="H123" s="3">
        <v>110.0</v>
      </c>
      <c r="I123" s="3">
        <v>256.0</v>
      </c>
      <c r="J123" s="3">
        <v>83.0</v>
      </c>
      <c r="K123" s="3">
        <v>188.0</v>
      </c>
      <c r="L123" s="3">
        <v>1000.0</v>
      </c>
      <c r="M123" s="3">
        <v>102.0</v>
      </c>
      <c r="N123" s="3">
        <v>200.0</v>
      </c>
      <c r="O123" s="3">
        <v>121.0</v>
      </c>
      <c r="P123" s="3"/>
      <c r="Q123" s="3">
        <v>80.0</v>
      </c>
      <c r="R123" s="3">
        <v>150.0</v>
      </c>
      <c r="S123" s="3">
        <v>417.0</v>
      </c>
      <c r="T123" s="3">
        <v>120.0</v>
      </c>
      <c r="U123" s="3">
        <v>80.0</v>
      </c>
      <c r="V123" s="1">
        <v>88.0</v>
      </c>
      <c r="W123" s="1">
        <v>250.0</v>
      </c>
      <c r="X123" s="1">
        <v>264.0</v>
      </c>
      <c r="Y123" s="1">
        <v>161.0</v>
      </c>
      <c r="Z123" s="1">
        <v>69.0</v>
      </c>
      <c r="AA123" s="3">
        <v>250.0</v>
      </c>
      <c r="AB123" s="1">
        <v>13.0</v>
      </c>
      <c r="AC123" s="1">
        <v>150.0</v>
      </c>
      <c r="AD123" s="1">
        <v>170.0</v>
      </c>
      <c r="AE123" s="3">
        <v>30.0</v>
      </c>
      <c r="AF123" s="1">
        <v>40.0</v>
      </c>
      <c r="AG123" s="1">
        <v>45.0</v>
      </c>
      <c r="AH123" s="3">
        <v>200.0</v>
      </c>
      <c r="AI123" s="1">
        <v>205.0</v>
      </c>
      <c r="AJ123" s="1">
        <v>60.0</v>
      </c>
      <c r="AK123" s="1">
        <v>100.0</v>
      </c>
      <c r="AL123" s="1">
        <v>175.0</v>
      </c>
      <c r="AM123" s="1">
        <v>130.0</v>
      </c>
      <c r="AN123" s="1"/>
      <c r="AO123" s="3">
        <v>160.0</v>
      </c>
      <c r="AP123" s="3">
        <v>70.0</v>
      </c>
      <c r="AQ123" s="3">
        <v>35.0</v>
      </c>
      <c r="AR123" s="1">
        <v>854.0</v>
      </c>
      <c r="AS123" s="1">
        <v>250.0</v>
      </c>
      <c r="AT123" s="1">
        <v>220.0</v>
      </c>
      <c r="AU123" s="1"/>
      <c r="AV123" s="1">
        <v>120.0</v>
      </c>
      <c r="AW123" s="3">
        <v>200.0</v>
      </c>
      <c r="AX123" s="3"/>
      <c r="AY123" s="3">
        <v>142.0</v>
      </c>
      <c r="AZ123" s="1">
        <v>40.0</v>
      </c>
      <c r="BA123" s="3">
        <v>80.0</v>
      </c>
      <c r="BB123" s="3">
        <v>402.0</v>
      </c>
      <c r="BC123" s="1">
        <v>150.0</v>
      </c>
      <c r="BD123" s="1">
        <v>190.0</v>
      </c>
      <c r="BE123" s="1">
        <v>80.0</v>
      </c>
      <c r="BF123" s="1"/>
      <c r="BG123" s="1">
        <v>213.0</v>
      </c>
      <c r="BH123" s="1">
        <v>23.0</v>
      </c>
      <c r="BI123" s="1">
        <v>40.0</v>
      </c>
      <c r="BJ123" s="1">
        <v>278.0</v>
      </c>
      <c r="BK123" s="3"/>
      <c r="BL123" s="1">
        <v>160.0</v>
      </c>
      <c r="BM123" s="1">
        <v>75.0</v>
      </c>
      <c r="BN123" s="32">
        <v>1802.0</v>
      </c>
      <c r="BO123" s="1">
        <v>47.0</v>
      </c>
      <c r="BP123" s="3">
        <v>48.0</v>
      </c>
      <c r="BQ123" s="1">
        <v>188.0</v>
      </c>
      <c r="BR123" s="27">
        <v>36538.0</v>
      </c>
    </row>
    <row r="124">
      <c r="A124" s="25">
        <f>'Equity Price Data'!A125</f>
        <v>45601.66667</v>
      </c>
      <c r="B124" s="34">
        <f>(('PRACTICE Equity Price Data'!B125/'PRACTICE Equity Price Data'!B124)-1)+B123</f>
        <v>0.1063358971</v>
      </c>
      <c r="C124" s="34">
        <f>(('PRACTICE Equity Price Data'!C125/'PRACTICE Equity Price Data'!C124)-1)+C123</f>
        <v>0.1267998967</v>
      </c>
      <c r="D124" s="34">
        <f>(('PRACTICE Equity Price Data'!D125/'PRACTICE Equity Price Data'!D124)-1)+D123</f>
        <v>0.07160824519</v>
      </c>
      <c r="E124" s="34">
        <f>(('PRACTICE Equity Price Data'!E125/'PRACTICE Equity Price Data'!E124)-1)+E123</f>
        <v>0.102142456</v>
      </c>
      <c r="F124" s="3">
        <v>13.0</v>
      </c>
      <c r="G124" s="3">
        <v>260.0</v>
      </c>
      <c r="H124" s="3">
        <v>110.0</v>
      </c>
      <c r="I124" s="3">
        <v>256.0</v>
      </c>
      <c r="J124" s="3">
        <v>83.0</v>
      </c>
      <c r="K124" s="3">
        <v>188.0</v>
      </c>
      <c r="L124" s="3">
        <v>1000.0</v>
      </c>
      <c r="M124" s="3">
        <v>102.0</v>
      </c>
      <c r="N124" s="3">
        <v>200.0</v>
      </c>
      <c r="O124" s="3">
        <v>121.0</v>
      </c>
      <c r="P124" s="3"/>
      <c r="Q124" s="3">
        <v>80.0</v>
      </c>
      <c r="R124" s="3">
        <v>150.0</v>
      </c>
      <c r="S124" s="3">
        <v>417.0</v>
      </c>
      <c r="T124" s="3">
        <v>120.0</v>
      </c>
      <c r="U124" s="3">
        <v>80.0</v>
      </c>
      <c r="V124" s="1">
        <v>88.0</v>
      </c>
      <c r="W124" s="1">
        <v>250.0</v>
      </c>
      <c r="X124" s="1">
        <v>264.0</v>
      </c>
      <c r="Y124" s="1">
        <v>161.0</v>
      </c>
      <c r="Z124" s="1">
        <v>69.0</v>
      </c>
      <c r="AA124" s="3">
        <v>250.0</v>
      </c>
      <c r="AB124" s="1">
        <v>13.0</v>
      </c>
      <c r="AC124" s="1">
        <v>150.0</v>
      </c>
      <c r="AD124" s="1">
        <v>170.0</v>
      </c>
      <c r="AE124" s="3">
        <v>30.0</v>
      </c>
      <c r="AF124" s="1">
        <v>40.0</v>
      </c>
      <c r="AG124" s="1">
        <v>45.0</v>
      </c>
      <c r="AH124" s="3">
        <v>200.0</v>
      </c>
      <c r="AI124" s="1">
        <v>205.0</v>
      </c>
      <c r="AJ124" s="1">
        <v>60.0</v>
      </c>
      <c r="AK124" s="1">
        <v>100.0</v>
      </c>
      <c r="AL124" s="1">
        <v>175.0</v>
      </c>
      <c r="AM124" s="1">
        <v>130.0</v>
      </c>
      <c r="AN124" s="1"/>
      <c r="AO124" s="3">
        <v>160.0</v>
      </c>
      <c r="AP124" s="3">
        <v>70.0</v>
      </c>
      <c r="AQ124" s="3">
        <v>35.0</v>
      </c>
      <c r="AR124" s="1">
        <v>854.0</v>
      </c>
      <c r="AS124" s="1">
        <v>250.0</v>
      </c>
      <c r="AT124" s="1">
        <v>220.0</v>
      </c>
      <c r="AU124" s="1"/>
      <c r="AV124" s="1">
        <v>120.0</v>
      </c>
      <c r="AW124" s="3">
        <v>200.0</v>
      </c>
      <c r="AX124" s="3"/>
      <c r="AY124" s="3">
        <v>142.0</v>
      </c>
      <c r="AZ124" s="1">
        <v>40.0</v>
      </c>
      <c r="BA124" s="3">
        <v>80.0</v>
      </c>
      <c r="BB124" s="3">
        <v>402.0</v>
      </c>
      <c r="BC124" s="1">
        <v>150.0</v>
      </c>
      <c r="BD124" s="1">
        <v>190.0</v>
      </c>
      <c r="BE124" s="1">
        <v>80.0</v>
      </c>
      <c r="BF124" s="1"/>
      <c r="BG124" s="1">
        <v>213.0</v>
      </c>
      <c r="BH124" s="1">
        <v>23.0</v>
      </c>
      <c r="BI124" s="1">
        <v>40.0</v>
      </c>
      <c r="BJ124" s="1">
        <v>278.0</v>
      </c>
      <c r="BK124" s="3"/>
      <c r="BL124" s="1">
        <v>160.0</v>
      </c>
      <c r="BM124" s="1">
        <v>75.0</v>
      </c>
      <c r="BN124" s="32">
        <v>1802.0</v>
      </c>
      <c r="BO124" s="1">
        <v>47.0</v>
      </c>
      <c r="BP124" s="3">
        <v>48.0</v>
      </c>
      <c r="BQ124" s="1">
        <v>188.0</v>
      </c>
      <c r="BR124" s="27">
        <v>36538.0</v>
      </c>
    </row>
    <row r="125">
      <c r="A125" s="25">
        <f>'Equity Price Data'!A126</f>
        <v>45602.66667</v>
      </c>
      <c r="B125" s="34">
        <f>(('PRACTICE Equity Price Data'!B126/'PRACTICE Equity Price Data'!B125)-1)+B124</f>
        <v>0.1316317765</v>
      </c>
      <c r="C125" s="34">
        <f>(('PRACTICE Equity Price Data'!C126/'PRACTICE Equity Price Data'!C125)-1)+C124</f>
        <v>0.1563185789</v>
      </c>
      <c r="D125" s="34">
        <f>(('PRACTICE Equity Price Data'!D126/'PRACTICE Equity Price Data'!D125)-1)+D124</f>
        <v>0.1073255084</v>
      </c>
      <c r="E125" s="34">
        <f>(('PRACTICE Equity Price Data'!E126/'PRACTICE Equity Price Data'!E125)-1)+E124</f>
        <v>0.16056322</v>
      </c>
      <c r="F125" s="3">
        <v>13.0</v>
      </c>
      <c r="G125" s="3">
        <v>260.0</v>
      </c>
      <c r="H125" s="3">
        <v>110.0</v>
      </c>
      <c r="I125" s="3">
        <v>256.0</v>
      </c>
      <c r="J125" s="3">
        <v>83.0</v>
      </c>
      <c r="K125" s="3">
        <v>188.0</v>
      </c>
      <c r="L125" s="3">
        <v>1000.0</v>
      </c>
      <c r="M125" s="3">
        <v>102.0</v>
      </c>
      <c r="N125" s="3">
        <v>200.0</v>
      </c>
      <c r="O125" s="3">
        <v>121.0</v>
      </c>
      <c r="P125" s="3"/>
      <c r="Q125" s="3">
        <v>80.0</v>
      </c>
      <c r="R125" s="3">
        <v>150.0</v>
      </c>
      <c r="S125" s="3">
        <v>417.0</v>
      </c>
      <c r="T125" s="3">
        <v>120.0</v>
      </c>
      <c r="U125" s="3">
        <v>80.0</v>
      </c>
      <c r="V125" s="1">
        <v>88.0</v>
      </c>
      <c r="W125" s="1">
        <v>250.0</v>
      </c>
      <c r="X125" s="1">
        <v>264.0</v>
      </c>
      <c r="Y125" s="1">
        <v>161.0</v>
      </c>
      <c r="Z125" s="1">
        <v>69.0</v>
      </c>
      <c r="AA125" s="3">
        <v>250.0</v>
      </c>
      <c r="AB125" s="1">
        <v>13.0</v>
      </c>
      <c r="AC125" s="1">
        <v>150.0</v>
      </c>
      <c r="AD125" s="1">
        <v>170.0</v>
      </c>
      <c r="AE125" s="3">
        <v>30.0</v>
      </c>
      <c r="AF125" s="1">
        <v>40.0</v>
      </c>
      <c r="AG125" s="1">
        <v>45.0</v>
      </c>
      <c r="AH125" s="3">
        <v>200.0</v>
      </c>
      <c r="AI125" s="1">
        <v>205.0</v>
      </c>
      <c r="AJ125" s="1">
        <v>60.0</v>
      </c>
      <c r="AK125" s="1">
        <v>100.0</v>
      </c>
      <c r="AL125" s="1">
        <v>175.0</v>
      </c>
      <c r="AM125" s="1">
        <v>130.0</v>
      </c>
      <c r="AN125" s="1"/>
      <c r="AO125" s="3">
        <v>160.0</v>
      </c>
      <c r="AP125" s="3">
        <v>70.0</v>
      </c>
      <c r="AQ125" s="3">
        <v>35.0</v>
      </c>
      <c r="AR125" s="1">
        <v>854.0</v>
      </c>
      <c r="AS125" s="1">
        <v>250.0</v>
      </c>
      <c r="AT125" s="1">
        <v>220.0</v>
      </c>
      <c r="AU125" s="1"/>
      <c r="AV125" s="1">
        <v>120.0</v>
      </c>
      <c r="AW125" s="3">
        <v>200.0</v>
      </c>
      <c r="AX125" s="3"/>
      <c r="AY125" s="3">
        <v>142.0</v>
      </c>
      <c r="AZ125" s="1">
        <v>40.0</v>
      </c>
      <c r="BA125" s="3">
        <v>80.0</v>
      </c>
      <c r="BB125" s="3">
        <v>402.0</v>
      </c>
      <c r="BC125" s="1">
        <v>150.0</v>
      </c>
      <c r="BD125" s="1">
        <v>190.0</v>
      </c>
      <c r="BE125" s="1">
        <v>80.0</v>
      </c>
      <c r="BF125" s="1"/>
      <c r="BG125" s="1">
        <v>213.0</v>
      </c>
      <c r="BH125" s="1">
        <v>23.0</v>
      </c>
      <c r="BI125" s="1">
        <v>40.0</v>
      </c>
      <c r="BJ125" s="1">
        <v>278.0</v>
      </c>
      <c r="BK125" s="3"/>
      <c r="BL125" s="1">
        <v>160.0</v>
      </c>
      <c r="BM125" s="1">
        <v>75.0</v>
      </c>
      <c r="BN125" s="32">
        <v>1802.0</v>
      </c>
      <c r="BO125" s="1">
        <v>47.0</v>
      </c>
      <c r="BP125" s="3">
        <v>48.0</v>
      </c>
      <c r="BQ125" s="1">
        <v>188.0</v>
      </c>
      <c r="BR125" s="27">
        <v>36538.0</v>
      </c>
    </row>
    <row r="126">
      <c r="A126" s="25">
        <f>'Equity Price Data'!A127</f>
        <v>45603.66667</v>
      </c>
      <c r="B126" s="34">
        <f>(('PRACTICE Equity Price Data'!B127/'PRACTICE Equity Price Data'!B126)-1)+B125</f>
        <v>0.1390629964</v>
      </c>
      <c r="C126" s="34">
        <f>(('PRACTICE Equity Price Data'!C127/'PRACTICE Equity Price Data'!C126)-1)+C125</f>
        <v>0.1713837909</v>
      </c>
      <c r="D126" s="34">
        <f>(('PRACTICE Equity Price Data'!D127/'PRACTICE Equity Price Data'!D126)-1)+D125</f>
        <v>0.1073120165</v>
      </c>
      <c r="E126" s="34">
        <f>(('PRACTICE Equity Price Data'!E127/'PRACTICE Equity Price Data'!E126)-1)+E125</f>
        <v>0.1562881084</v>
      </c>
      <c r="F126" s="3">
        <v>13.0</v>
      </c>
      <c r="G126" s="3">
        <v>260.0</v>
      </c>
      <c r="H126" s="3">
        <v>110.0</v>
      </c>
      <c r="I126" s="3">
        <v>256.0</v>
      </c>
      <c r="J126" s="3">
        <v>83.0</v>
      </c>
      <c r="K126" s="3">
        <v>188.0</v>
      </c>
      <c r="L126" s="3">
        <v>1000.0</v>
      </c>
      <c r="M126" s="3">
        <v>102.0</v>
      </c>
      <c r="N126" s="3">
        <v>200.0</v>
      </c>
      <c r="O126" s="3">
        <v>121.0</v>
      </c>
      <c r="P126" s="3"/>
      <c r="Q126" s="3">
        <v>80.0</v>
      </c>
      <c r="R126" s="3">
        <v>150.0</v>
      </c>
      <c r="S126" s="3">
        <v>417.0</v>
      </c>
      <c r="T126" s="3">
        <v>120.0</v>
      </c>
      <c r="U126" s="3">
        <v>80.0</v>
      </c>
      <c r="V126" s="1">
        <v>88.0</v>
      </c>
      <c r="W126" s="1">
        <v>250.0</v>
      </c>
      <c r="X126" s="1">
        <v>264.0</v>
      </c>
      <c r="Y126" s="1">
        <v>161.0</v>
      </c>
      <c r="Z126" s="1">
        <v>69.0</v>
      </c>
      <c r="AA126" s="3">
        <v>250.0</v>
      </c>
      <c r="AB126" s="1">
        <v>13.0</v>
      </c>
      <c r="AC126" s="1">
        <v>150.0</v>
      </c>
      <c r="AD126" s="1">
        <v>170.0</v>
      </c>
      <c r="AE126" s="3">
        <v>30.0</v>
      </c>
      <c r="AF126" s="1">
        <v>40.0</v>
      </c>
      <c r="AG126" s="1">
        <v>45.0</v>
      </c>
      <c r="AH126" s="3">
        <v>200.0</v>
      </c>
      <c r="AI126" s="1">
        <v>205.0</v>
      </c>
      <c r="AJ126" s="1">
        <v>60.0</v>
      </c>
      <c r="AK126" s="1">
        <v>100.0</v>
      </c>
      <c r="AL126" s="1">
        <v>175.0</v>
      </c>
      <c r="AM126" s="1">
        <v>130.0</v>
      </c>
      <c r="AN126" s="3"/>
      <c r="AO126" s="3">
        <v>160.0</v>
      </c>
      <c r="AP126" s="3">
        <v>70.0</v>
      </c>
      <c r="AQ126" s="3">
        <v>35.0</v>
      </c>
      <c r="AR126" s="1">
        <v>854.0</v>
      </c>
      <c r="AS126" s="1">
        <v>250.0</v>
      </c>
      <c r="AT126" s="1">
        <v>220.0</v>
      </c>
      <c r="AU126" s="1"/>
      <c r="AV126" s="1">
        <v>120.0</v>
      </c>
      <c r="AW126" s="3">
        <v>200.0</v>
      </c>
      <c r="AX126" s="3"/>
      <c r="AY126" s="3">
        <v>142.0</v>
      </c>
      <c r="AZ126" s="1">
        <v>40.0</v>
      </c>
      <c r="BA126" s="3">
        <v>80.0</v>
      </c>
      <c r="BB126" s="3">
        <v>402.0</v>
      </c>
      <c r="BC126" s="1">
        <v>150.0</v>
      </c>
      <c r="BD126" s="1">
        <v>190.0</v>
      </c>
      <c r="BE126" s="1">
        <v>80.0</v>
      </c>
      <c r="BF126" s="1"/>
      <c r="BG126" s="1">
        <v>213.0</v>
      </c>
      <c r="BH126" s="1">
        <v>23.0</v>
      </c>
      <c r="BI126" s="1">
        <v>40.0</v>
      </c>
      <c r="BJ126" s="1">
        <v>278.0</v>
      </c>
      <c r="BK126" s="3"/>
      <c r="BL126" s="1">
        <v>160.0</v>
      </c>
      <c r="BM126" s="1">
        <v>75.0</v>
      </c>
      <c r="BN126" s="32">
        <v>1802.0</v>
      </c>
      <c r="BO126" s="1">
        <v>47.0</v>
      </c>
      <c r="BP126" s="3">
        <v>48.0</v>
      </c>
      <c r="BQ126" s="1">
        <v>188.0</v>
      </c>
      <c r="BR126" s="27">
        <v>36538.0</v>
      </c>
    </row>
    <row r="127">
      <c r="A127" s="25">
        <f>'Equity Price Data'!A128</f>
        <v>45604.66667</v>
      </c>
      <c r="B127" s="34">
        <f>(('PRACTICE Equity Price Data'!B128/'PRACTICE Equity Price Data'!B127)-1)+B126</f>
        <v>0.1428198396</v>
      </c>
      <c r="C127" s="34">
        <f>(('PRACTICE Equity Price Data'!C128/'PRACTICE Equity Price Data'!C127)-1)+C126</f>
        <v>0.1722826225</v>
      </c>
      <c r="D127" s="34">
        <f>(('PRACTICE Equity Price Data'!D128/'PRACTICE Equity Price Data'!D127)-1)+D126</f>
        <v>0.1132496775</v>
      </c>
      <c r="E127" s="34">
        <f>(('PRACTICE Equity Price Data'!E128/'PRACTICE Equity Price Data'!E127)-1)+E126</f>
        <v>0.1634019168</v>
      </c>
      <c r="F127" s="3">
        <v>13.0</v>
      </c>
      <c r="G127" s="3">
        <v>260.0</v>
      </c>
      <c r="H127" s="3">
        <v>110.0</v>
      </c>
      <c r="I127" s="3">
        <v>256.0</v>
      </c>
      <c r="J127" s="3">
        <v>83.0</v>
      </c>
      <c r="K127" s="3">
        <v>188.0</v>
      </c>
      <c r="L127" s="3">
        <v>1000.0</v>
      </c>
      <c r="M127" s="3">
        <v>102.0</v>
      </c>
      <c r="N127" s="3">
        <v>200.0</v>
      </c>
      <c r="O127" s="3">
        <v>121.0</v>
      </c>
      <c r="P127" s="3"/>
      <c r="Q127" s="3">
        <v>80.0</v>
      </c>
      <c r="R127" s="3">
        <v>150.0</v>
      </c>
      <c r="S127" s="3">
        <v>417.0</v>
      </c>
      <c r="T127" s="3">
        <v>120.0</v>
      </c>
      <c r="U127" s="3">
        <v>80.0</v>
      </c>
      <c r="V127" s="1">
        <v>88.0</v>
      </c>
      <c r="W127" s="1">
        <v>250.0</v>
      </c>
      <c r="X127" s="1">
        <v>264.0</v>
      </c>
      <c r="Y127" s="1">
        <v>161.0</v>
      </c>
      <c r="Z127" s="1">
        <v>69.0</v>
      </c>
      <c r="AA127" s="3">
        <v>250.0</v>
      </c>
      <c r="AB127" s="1">
        <v>13.0</v>
      </c>
      <c r="AC127" s="1">
        <v>150.0</v>
      </c>
      <c r="AD127" s="1">
        <v>170.0</v>
      </c>
      <c r="AE127" s="3">
        <v>30.0</v>
      </c>
      <c r="AF127" s="1">
        <v>40.0</v>
      </c>
      <c r="AG127" s="1">
        <v>45.0</v>
      </c>
      <c r="AH127" s="3">
        <v>200.0</v>
      </c>
      <c r="AI127" s="1">
        <v>205.0</v>
      </c>
      <c r="AJ127" s="1">
        <v>60.0</v>
      </c>
      <c r="AK127" s="1">
        <v>100.0</v>
      </c>
      <c r="AL127" s="1">
        <v>175.0</v>
      </c>
      <c r="AM127" s="1">
        <v>130.0</v>
      </c>
      <c r="AN127" s="3"/>
      <c r="AO127" s="3">
        <v>160.0</v>
      </c>
      <c r="AP127" s="3">
        <v>70.0</v>
      </c>
      <c r="AQ127" s="3">
        <v>35.0</v>
      </c>
      <c r="AR127" s="1">
        <v>854.0</v>
      </c>
      <c r="AS127" s="1">
        <v>250.0</v>
      </c>
      <c r="AT127" s="1">
        <v>220.0</v>
      </c>
      <c r="AU127" s="1"/>
      <c r="AV127" s="1">
        <v>120.0</v>
      </c>
      <c r="AW127" s="3">
        <v>200.0</v>
      </c>
      <c r="AX127" s="3"/>
      <c r="AY127" s="3">
        <v>142.0</v>
      </c>
      <c r="AZ127" s="1">
        <v>40.0</v>
      </c>
      <c r="BA127" s="3">
        <v>80.0</v>
      </c>
      <c r="BB127" s="3">
        <v>402.0</v>
      </c>
      <c r="BC127" s="1">
        <v>150.0</v>
      </c>
      <c r="BD127" s="1">
        <v>190.0</v>
      </c>
      <c r="BE127" s="1">
        <v>80.0</v>
      </c>
      <c r="BF127" s="1"/>
      <c r="BG127" s="1">
        <v>213.0</v>
      </c>
      <c r="BH127" s="1">
        <v>23.0</v>
      </c>
      <c r="BI127" s="1">
        <v>40.0</v>
      </c>
      <c r="BJ127" s="1">
        <v>278.0</v>
      </c>
      <c r="BK127" s="3"/>
      <c r="BL127" s="1">
        <v>160.0</v>
      </c>
      <c r="BM127" s="1">
        <v>75.0</v>
      </c>
      <c r="BN127" s="32">
        <v>1802.0</v>
      </c>
      <c r="BO127" s="1">
        <v>47.0</v>
      </c>
      <c r="BP127" s="3">
        <v>48.0</v>
      </c>
      <c r="BQ127" s="1">
        <v>188.0</v>
      </c>
      <c r="BR127" s="27">
        <v>36538.0</v>
      </c>
    </row>
    <row r="128">
      <c r="A128" s="25">
        <f>'Equity Price Data'!A129</f>
        <v>45607.66667</v>
      </c>
      <c r="B128" s="34">
        <f>(('PRACTICE Equity Price Data'!B129/'PRACTICE Equity Price Data'!B128)-1)+B127</f>
        <v>0.1437888933</v>
      </c>
      <c r="C128" s="34">
        <f>(('PRACTICE Equity Price Data'!C129/'PRACTICE Equity Price Data'!C128)-1)+C127</f>
        <v>0.1729037734</v>
      </c>
      <c r="D128" s="34">
        <f>(('PRACTICE Equity Price Data'!D129/'PRACTICE Equity Price Data'!D128)-1)+D127</f>
        <v>0.1201636803</v>
      </c>
      <c r="E128" s="34">
        <f>(('PRACTICE Equity Price Data'!E129/'PRACTICE Equity Price Data'!E128)-1)+E127</f>
        <v>0.1781291258</v>
      </c>
      <c r="F128" s="3">
        <v>13.0</v>
      </c>
      <c r="G128" s="3">
        <v>260.0</v>
      </c>
      <c r="H128" s="3">
        <v>110.0</v>
      </c>
      <c r="I128" s="3">
        <v>256.0</v>
      </c>
      <c r="J128" s="3">
        <v>83.0</v>
      </c>
      <c r="K128" s="3">
        <v>188.0</v>
      </c>
      <c r="L128" s="3">
        <v>1000.0</v>
      </c>
      <c r="M128" s="3">
        <v>102.0</v>
      </c>
      <c r="N128" s="3">
        <v>200.0</v>
      </c>
      <c r="O128" s="3">
        <v>121.0</v>
      </c>
      <c r="P128" s="3"/>
      <c r="Q128" s="3">
        <v>80.0</v>
      </c>
      <c r="R128" s="3">
        <v>150.0</v>
      </c>
      <c r="S128" s="3">
        <v>417.0</v>
      </c>
      <c r="T128" s="3">
        <v>120.0</v>
      </c>
      <c r="U128" s="3">
        <v>80.0</v>
      </c>
      <c r="V128" s="1">
        <v>88.0</v>
      </c>
      <c r="W128" s="1">
        <v>250.0</v>
      </c>
      <c r="X128" s="1">
        <v>264.0</v>
      </c>
      <c r="Y128" s="1">
        <v>161.0</v>
      </c>
      <c r="Z128" s="1">
        <v>69.0</v>
      </c>
      <c r="AA128" s="3">
        <v>250.0</v>
      </c>
      <c r="AB128" s="1">
        <v>13.0</v>
      </c>
      <c r="AC128" s="1">
        <v>150.0</v>
      </c>
      <c r="AD128" s="1">
        <v>170.0</v>
      </c>
      <c r="AE128" s="3">
        <v>30.0</v>
      </c>
      <c r="AF128" s="1">
        <v>40.0</v>
      </c>
      <c r="AG128" s="1">
        <v>45.0</v>
      </c>
      <c r="AH128" s="3">
        <v>200.0</v>
      </c>
      <c r="AI128" s="1">
        <v>205.0</v>
      </c>
      <c r="AJ128" s="1">
        <v>60.0</v>
      </c>
      <c r="AK128" s="1">
        <v>100.0</v>
      </c>
      <c r="AL128" s="1">
        <v>175.0</v>
      </c>
      <c r="AM128" s="1">
        <v>130.0</v>
      </c>
      <c r="AN128" s="3"/>
      <c r="AO128" s="3">
        <v>160.0</v>
      </c>
      <c r="AP128" s="3">
        <v>70.0</v>
      </c>
      <c r="AQ128" s="3">
        <v>35.0</v>
      </c>
      <c r="AR128" s="1">
        <v>854.0</v>
      </c>
      <c r="AS128" s="1">
        <v>250.0</v>
      </c>
      <c r="AT128" s="1">
        <v>220.0</v>
      </c>
      <c r="AU128" s="1"/>
      <c r="AV128" s="1">
        <v>120.0</v>
      </c>
      <c r="AW128" s="3">
        <v>200.0</v>
      </c>
      <c r="AX128" s="3"/>
      <c r="AY128" s="3">
        <v>142.0</v>
      </c>
      <c r="AZ128" s="1">
        <v>40.0</v>
      </c>
      <c r="BA128" s="3">
        <v>80.0</v>
      </c>
      <c r="BB128" s="3">
        <v>402.0</v>
      </c>
      <c r="BC128" s="1">
        <v>150.0</v>
      </c>
      <c r="BD128" s="1">
        <v>190.0</v>
      </c>
      <c r="BE128" s="1">
        <v>80.0</v>
      </c>
      <c r="BF128" s="1"/>
      <c r="BG128" s="1">
        <v>213.0</v>
      </c>
      <c r="BH128" s="1">
        <v>23.0</v>
      </c>
      <c r="BI128" s="1">
        <v>40.0</v>
      </c>
      <c r="BJ128" s="1">
        <v>278.0</v>
      </c>
      <c r="BK128" s="3"/>
      <c r="BL128" s="1">
        <v>160.0</v>
      </c>
      <c r="BM128" s="1">
        <v>75.0</v>
      </c>
      <c r="BN128" s="32">
        <v>1802.0</v>
      </c>
      <c r="BO128" s="1">
        <v>47.0</v>
      </c>
      <c r="BP128" s="3">
        <v>48.0</v>
      </c>
      <c r="BQ128" s="1">
        <v>188.0</v>
      </c>
      <c r="BR128" s="27">
        <v>36538.0</v>
      </c>
    </row>
    <row r="129">
      <c r="A129" s="25">
        <f>'Equity Price Data'!A130</f>
        <v>45608.66667</v>
      </c>
      <c r="B129" s="34">
        <f>(('PRACTICE Equity Price Data'!B130/'PRACTICE Equity Price Data'!B129)-1)+B128</f>
        <v>0.1408962108</v>
      </c>
      <c r="C129" s="34">
        <f>(('PRACTICE Equity Price Data'!C130/'PRACTICE Equity Price Data'!C129)-1)+C128</f>
        <v>0.1720042337</v>
      </c>
      <c r="D129" s="34">
        <f>(('PRACTICE Equity Price Data'!D130/'PRACTICE Equity Price Data'!D129)-1)+D128</f>
        <v>0.1115359315</v>
      </c>
      <c r="E129" s="34">
        <f>(('PRACTICE Equity Price Data'!E130/'PRACTICE Equity Price Data'!E129)-1)+E128</f>
        <v>0.1604164547</v>
      </c>
      <c r="F129" s="3">
        <v>13.0</v>
      </c>
      <c r="G129" s="3">
        <v>260.0</v>
      </c>
      <c r="H129" s="3">
        <v>110.0</v>
      </c>
      <c r="I129" s="3">
        <v>256.0</v>
      </c>
      <c r="J129" s="3">
        <v>83.0</v>
      </c>
      <c r="K129" s="3">
        <v>188.0</v>
      </c>
      <c r="L129" s="3">
        <v>1000.0</v>
      </c>
      <c r="M129" s="3">
        <v>102.0</v>
      </c>
      <c r="N129" s="3">
        <v>200.0</v>
      </c>
      <c r="O129" s="3">
        <v>121.0</v>
      </c>
      <c r="P129" s="3"/>
      <c r="Q129" s="3">
        <v>80.0</v>
      </c>
      <c r="R129" s="3">
        <v>150.0</v>
      </c>
      <c r="S129" s="3">
        <v>417.0</v>
      </c>
      <c r="T129" s="3">
        <v>120.0</v>
      </c>
      <c r="U129" s="3">
        <v>80.0</v>
      </c>
      <c r="V129" s="1">
        <v>88.0</v>
      </c>
      <c r="W129" s="1">
        <v>250.0</v>
      </c>
      <c r="X129" s="1">
        <v>264.0</v>
      </c>
      <c r="Y129" s="1">
        <v>161.0</v>
      </c>
      <c r="Z129" s="1">
        <v>69.0</v>
      </c>
      <c r="AA129" s="3">
        <v>250.0</v>
      </c>
      <c r="AB129" s="1">
        <v>13.0</v>
      </c>
      <c r="AC129" s="1">
        <v>150.0</v>
      </c>
      <c r="AD129" s="1">
        <v>170.0</v>
      </c>
      <c r="AE129" s="3">
        <v>30.0</v>
      </c>
      <c r="AF129" s="1">
        <v>40.0</v>
      </c>
      <c r="AG129" s="1">
        <v>45.0</v>
      </c>
      <c r="AH129" s="3">
        <v>200.0</v>
      </c>
      <c r="AI129" s="1">
        <v>205.0</v>
      </c>
      <c r="AJ129" s="1">
        <v>60.0</v>
      </c>
      <c r="AK129" s="1">
        <v>100.0</v>
      </c>
      <c r="AL129" s="1">
        <v>175.0</v>
      </c>
      <c r="AM129" s="1">
        <v>130.0</v>
      </c>
      <c r="AN129" s="3"/>
      <c r="AO129" s="3">
        <v>160.0</v>
      </c>
      <c r="AP129" s="3">
        <v>70.0</v>
      </c>
      <c r="AQ129" s="3">
        <v>35.0</v>
      </c>
      <c r="AR129" s="1">
        <v>854.0</v>
      </c>
      <c r="AS129" s="1">
        <v>250.0</v>
      </c>
      <c r="AT129" s="1">
        <v>220.0</v>
      </c>
      <c r="AU129" s="1"/>
      <c r="AV129" s="1">
        <v>120.0</v>
      </c>
      <c r="AW129" s="3">
        <v>200.0</v>
      </c>
      <c r="AX129" s="3"/>
      <c r="AY129" s="3">
        <v>142.0</v>
      </c>
      <c r="AZ129" s="1">
        <v>40.0</v>
      </c>
      <c r="BA129" s="3">
        <v>80.0</v>
      </c>
      <c r="BB129" s="3">
        <v>402.0</v>
      </c>
      <c r="BC129" s="1">
        <v>150.0</v>
      </c>
      <c r="BD129" s="1">
        <v>190.0</v>
      </c>
      <c r="BE129" s="1">
        <v>80.0</v>
      </c>
      <c r="BF129" s="1"/>
      <c r="BG129" s="1">
        <v>213.0</v>
      </c>
      <c r="BH129" s="1">
        <v>23.0</v>
      </c>
      <c r="BI129" s="1">
        <v>40.0</v>
      </c>
      <c r="BJ129" s="1">
        <v>278.0</v>
      </c>
      <c r="BK129" s="3"/>
      <c r="BL129" s="1">
        <v>160.0</v>
      </c>
      <c r="BM129" s="1">
        <v>75.0</v>
      </c>
      <c r="BN129" s="32">
        <v>1802.0</v>
      </c>
      <c r="BO129" s="1">
        <v>47.0</v>
      </c>
      <c r="BP129" s="3">
        <v>48.0</v>
      </c>
      <c r="BQ129" s="1">
        <v>188.0</v>
      </c>
      <c r="BR129" s="27">
        <v>36538.0</v>
      </c>
    </row>
    <row r="130">
      <c r="A130" s="25">
        <f>'Equity Price Data'!A131</f>
        <v>45609.66667</v>
      </c>
      <c r="B130" s="34">
        <f>(('PRACTICE Equity Price Data'!B131/'PRACTICE Equity Price Data'!B130)-1)+B129</f>
        <v>0.1411284973</v>
      </c>
      <c r="C130" s="34">
        <f>(('PRACTICE Equity Price Data'!C131/'PRACTICE Equity Price Data'!C130)-1)+C129</f>
        <v>0.1693757939</v>
      </c>
      <c r="D130" s="34">
        <f>(('PRACTICE Equity Price Data'!D131/'PRACTICE Equity Price Data'!D130)-1)+D129</f>
        <v>0.1126110612</v>
      </c>
      <c r="E130" s="34">
        <f>(('PRACTICE Equity Price Data'!E131/'PRACTICE Equity Price Data'!E130)-1)+E129</f>
        <v>0.151017872</v>
      </c>
      <c r="F130" s="3">
        <v>13.0</v>
      </c>
      <c r="G130" s="3">
        <v>260.0</v>
      </c>
      <c r="H130" s="3">
        <v>110.0</v>
      </c>
      <c r="I130" s="3">
        <v>256.0</v>
      </c>
      <c r="J130" s="3">
        <v>83.0</v>
      </c>
      <c r="K130" s="3">
        <v>188.0</v>
      </c>
      <c r="L130" s="3">
        <v>1000.0</v>
      </c>
      <c r="M130" s="3">
        <v>102.0</v>
      </c>
      <c r="N130" s="3">
        <v>200.0</v>
      </c>
      <c r="O130" s="3">
        <v>121.0</v>
      </c>
      <c r="P130" s="3"/>
      <c r="Q130" s="3">
        <v>80.0</v>
      </c>
      <c r="R130" s="3">
        <v>150.0</v>
      </c>
      <c r="S130" s="3">
        <v>417.0</v>
      </c>
      <c r="T130" s="3">
        <v>120.0</v>
      </c>
      <c r="U130" s="3">
        <v>80.0</v>
      </c>
      <c r="V130" s="1">
        <v>88.0</v>
      </c>
      <c r="W130" s="1">
        <v>250.0</v>
      </c>
      <c r="X130" s="1">
        <v>264.0</v>
      </c>
      <c r="Y130" s="1">
        <v>161.0</v>
      </c>
      <c r="Z130" s="1">
        <v>69.0</v>
      </c>
      <c r="AA130" s="3">
        <v>250.0</v>
      </c>
      <c r="AB130" s="1">
        <v>13.0</v>
      </c>
      <c r="AC130" s="1">
        <v>150.0</v>
      </c>
      <c r="AD130" s="1">
        <v>170.0</v>
      </c>
      <c r="AE130" s="3">
        <v>30.0</v>
      </c>
      <c r="AF130" s="1">
        <v>40.0</v>
      </c>
      <c r="AG130" s="1">
        <v>45.0</v>
      </c>
      <c r="AH130" s="3">
        <v>200.0</v>
      </c>
      <c r="AI130" s="1">
        <v>205.0</v>
      </c>
      <c r="AJ130" s="1">
        <v>60.0</v>
      </c>
      <c r="AK130" s="1">
        <v>100.0</v>
      </c>
      <c r="AL130" s="1">
        <v>175.0</v>
      </c>
      <c r="AM130" s="1">
        <v>130.0</v>
      </c>
      <c r="AN130" s="3"/>
      <c r="AO130" s="3">
        <v>160.0</v>
      </c>
      <c r="AP130" s="3">
        <v>70.0</v>
      </c>
      <c r="AQ130" s="3">
        <v>35.0</v>
      </c>
      <c r="AR130" s="1">
        <v>854.0</v>
      </c>
      <c r="AS130" s="1">
        <v>250.0</v>
      </c>
      <c r="AT130" s="1">
        <v>220.0</v>
      </c>
      <c r="AU130" s="1"/>
      <c r="AV130" s="1">
        <v>120.0</v>
      </c>
      <c r="AW130" s="3">
        <v>200.0</v>
      </c>
      <c r="AX130" s="3"/>
      <c r="AY130" s="3">
        <v>142.0</v>
      </c>
      <c r="AZ130" s="1">
        <v>40.0</v>
      </c>
      <c r="BA130" s="3">
        <v>80.0</v>
      </c>
      <c r="BB130" s="3">
        <v>402.0</v>
      </c>
      <c r="BC130" s="1">
        <v>150.0</v>
      </c>
      <c r="BD130" s="1">
        <v>190.0</v>
      </c>
      <c r="BE130" s="1">
        <v>80.0</v>
      </c>
      <c r="BF130" s="1"/>
      <c r="BG130" s="1">
        <v>213.0</v>
      </c>
      <c r="BH130" s="1">
        <v>23.0</v>
      </c>
      <c r="BI130" s="1">
        <v>40.0</v>
      </c>
      <c r="BJ130" s="1">
        <v>278.0</v>
      </c>
      <c r="BK130" s="3"/>
      <c r="BL130" s="1">
        <v>160.0</v>
      </c>
      <c r="BM130" s="1">
        <v>75.0</v>
      </c>
      <c r="BN130" s="32">
        <v>1802.0</v>
      </c>
      <c r="BO130" s="1">
        <v>47.0</v>
      </c>
      <c r="BP130" s="3">
        <v>48.0</v>
      </c>
      <c r="BQ130" s="1">
        <v>188.0</v>
      </c>
      <c r="BR130" s="27">
        <v>36538.0</v>
      </c>
    </row>
    <row r="131">
      <c r="A131" s="25">
        <f>'Equity Price Data'!A132</f>
        <v>45610.66667</v>
      </c>
      <c r="B131" s="34">
        <f>(('PRACTICE Equity Price Data'!B132/'PRACTICE Equity Price Data'!B131)-1)+B130</f>
        <v>0.1350787561</v>
      </c>
      <c r="C131" s="34">
        <f>(('PRACTICE Equity Price Data'!C132/'PRACTICE Equity Price Data'!C131)-1)+C130</f>
        <v>0.1629761375</v>
      </c>
      <c r="D131" s="34">
        <f>(('PRACTICE Equity Price Data'!D132/'PRACTICE Equity Price Data'!D131)-1)+D130</f>
        <v>0.107894534</v>
      </c>
      <c r="E131" s="34">
        <f>(('PRACTICE Equity Price Data'!E132/'PRACTICE Equity Price Data'!E131)-1)+E130</f>
        <v>0.1373306893</v>
      </c>
      <c r="F131" s="3">
        <v>13.0</v>
      </c>
      <c r="G131" s="3">
        <v>260.0</v>
      </c>
      <c r="H131" s="3">
        <v>110.0</v>
      </c>
      <c r="I131" s="3">
        <v>256.0</v>
      </c>
      <c r="J131" s="3">
        <v>83.0</v>
      </c>
      <c r="K131" s="3">
        <v>188.0</v>
      </c>
      <c r="L131" s="3">
        <v>1000.0</v>
      </c>
      <c r="M131" s="3">
        <v>102.0</v>
      </c>
      <c r="N131" s="3">
        <v>200.0</v>
      </c>
      <c r="O131" s="3">
        <v>121.0</v>
      </c>
      <c r="P131" s="3"/>
      <c r="Q131" s="3">
        <v>80.0</v>
      </c>
      <c r="R131" s="3">
        <v>150.0</v>
      </c>
      <c r="S131" s="3">
        <v>417.0</v>
      </c>
      <c r="T131" s="3">
        <v>120.0</v>
      </c>
      <c r="U131" s="3">
        <v>80.0</v>
      </c>
      <c r="V131" s="1">
        <v>88.0</v>
      </c>
      <c r="W131" s="1">
        <v>250.0</v>
      </c>
      <c r="X131" s="1">
        <v>264.0</v>
      </c>
      <c r="Y131" s="1">
        <v>161.0</v>
      </c>
      <c r="Z131" s="1">
        <v>69.0</v>
      </c>
      <c r="AA131" s="3">
        <v>250.0</v>
      </c>
      <c r="AB131" s="1">
        <v>13.0</v>
      </c>
      <c r="AC131" s="1">
        <v>150.0</v>
      </c>
      <c r="AD131" s="1">
        <v>170.0</v>
      </c>
      <c r="AE131" s="3">
        <v>60.0</v>
      </c>
      <c r="AF131" s="1">
        <v>40.0</v>
      </c>
      <c r="AG131" s="1">
        <v>45.0</v>
      </c>
      <c r="AH131" s="3">
        <v>200.0</v>
      </c>
      <c r="AI131" s="1">
        <v>205.0</v>
      </c>
      <c r="AJ131" s="1">
        <v>60.0</v>
      </c>
      <c r="AK131" s="1">
        <v>100.0</v>
      </c>
      <c r="AL131" s="1">
        <v>175.0</v>
      </c>
      <c r="AM131" s="1">
        <v>130.0</v>
      </c>
      <c r="AN131" s="3">
        <v>47.0</v>
      </c>
      <c r="AO131" s="3">
        <v>160.0</v>
      </c>
      <c r="AP131" s="3">
        <v>70.0</v>
      </c>
      <c r="AQ131" s="3">
        <v>35.0</v>
      </c>
      <c r="AR131" s="1">
        <v>854.0</v>
      </c>
      <c r="AS131" s="1">
        <v>250.0</v>
      </c>
      <c r="AT131" s="1">
        <v>220.0</v>
      </c>
      <c r="AU131" s="1"/>
      <c r="AV131" s="1">
        <v>120.0</v>
      </c>
      <c r="AW131" s="3">
        <v>200.0</v>
      </c>
      <c r="AX131" s="3"/>
      <c r="AY131" s="3">
        <v>142.0</v>
      </c>
      <c r="AZ131" s="1">
        <v>40.0</v>
      </c>
      <c r="BA131" s="3">
        <v>80.0</v>
      </c>
      <c r="BB131" s="3">
        <v>402.0</v>
      </c>
      <c r="BC131" s="1">
        <v>150.0</v>
      </c>
      <c r="BD131" s="1">
        <v>190.0</v>
      </c>
      <c r="BE131" s="1">
        <v>80.0</v>
      </c>
      <c r="BF131" s="1"/>
      <c r="BG131" s="1">
        <v>213.0</v>
      </c>
      <c r="BH131" s="1">
        <v>23.0</v>
      </c>
      <c r="BI131" s="1">
        <v>40.0</v>
      </c>
      <c r="BJ131" s="1">
        <v>278.0</v>
      </c>
      <c r="BK131" s="3"/>
      <c r="BL131" s="1">
        <v>160.0</v>
      </c>
      <c r="BM131" s="1">
        <v>75.0</v>
      </c>
      <c r="BN131" s="32">
        <v>1802.0</v>
      </c>
      <c r="BO131" s="1">
        <v>47.0</v>
      </c>
      <c r="BP131" s="3">
        <v>48.0</v>
      </c>
      <c r="BQ131" s="1">
        <v>188.0</v>
      </c>
      <c r="BR131" s="28">
        <v>53374.07</v>
      </c>
    </row>
    <row r="132">
      <c r="A132" s="25">
        <f>'Equity Price Data'!A133</f>
        <v>45611.66667</v>
      </c>
      <c r="B132" s="34">
        <f>(('PRACTICE Equity Price Data'!B133/'PRACTICE Equity Price Data'!B132)-1)+B131</f>
        <v>0.1218752336</v>
      </c>
      <c r="C132" s="34">
        <f>(('PRACTICE Equity Price Data'!C133/'PRACTICE Equity Price Data'!C132)-1)+C131</f>
        <v>0.1406013295</v>
      </c>
      <c r="D132" s="34">
        <f>(('PRACTICE Equity Price Data'!D133/'PRACTICE Equity Price Data'!D132)-1)+D131</f>
        <v>0.1009033572</v>
      </c>
      <c r="E132" s="34">
        <f>(('PRACTICE Equity Price Data'!E133/'PRACTICE Equity Price Data'!E132)-1)+E131</f>
        <v>0.1231668683</v>
      </c>
      <c r="F132" s="3">
        <v>13.0</v>
      </c>
      <c r="G132" s="3">
        <v>260.0</v>
      </c>
      <c r="H132" s="3">
        <v>110.0</v>
      </c>
      <c r="I132" s="3">
        <v>256.0</v>
      </c>
      <c r="J132" s="3">
        <v>83.0</v>
      </c>
      <c r="K132" s="3">
        <v>188.0</v>
      </c>
      <c r="L132" s="3">
        <v>1000.0</v>
      </c>
      <c r="M132" s="3">
        <v>102.0</v>
      </c>
      <c r="N132" s="3">
        <v>200.0</v>
      </c>
      <c r="O132" s="3">
        <v>121.0</v>
      </c>
      <c r="P132" s="3"/>
      <c r="Q132" s="3">
        <v>80.0</v>
      </c>
      <c r="R132" s="3">
        <v>150.0</v>
      </c>
      <c r="S132" s="3">
        <v>417.0</v>
      </c>
      <c r="T132" s="3">
        <v>120.0</v>
      </c>
      <c r="U132" s="3">
        <v>80.0</v>
      </c>
      <c r="V132" s="1">
        <v>88.0</v>
      </c>
      <c r="W132" s="1">
        <v>250.0</v>
      </c>
      <c r="X132" s="1">
        <v>264.0</v>
      </c>
      <c r="Y132" s="1">
        <v>161.0</v>
      </c>
      <c r="Z132" s="1">
        <v>69.0</v>
      </c>
      <c r="AA132" s="3"/>
      <c r="AB132" s="1">
        <v>13.0</v>
      </c>
      <c r="AC132" s="1">
        <v>150.0</v>
      </c>
      <c r="AD132" s="1">
        <v>170.0</v>
      </c>
      <c r="AE132" s="1">
        <v>60.0</v>
      </c>
      <c r="AF132" s="1">
        <v>40.0</v>
      </c>
      <c r="AG132" s="1">
        <v>45.0</v>
      </c>
      <c r="AH132" s="3">
        <v>200.0</v>
      </c>
      <c r="AI132" s="1">
        <v>205.0</v>
      </c>
      <c r="AJ132" s="1">
        <v>60.0</v>
      </c>
      <c r="AK132" s="1">
        <v>100.0</v>
      </c>
      <c r="AL132" s="1">
        <v>175.0</v>
      </c>
      <c r="AM132" s="1">
        <v>130.0</v>
      </c>
      <c r="AN132" s="3">
        <v>47.0</v>
      </c>
      <c r="AO132" s="3">
        <v>160.0</v>
      </c>
      <c r="AP132" s="3">
        <v>70.0</v>
      </c>
      <c r="AQ132" s="3">
        <v>35.0</v>
      </c>
      <c r="AR132" s="1">
        <v>854.0</v>
      </c>
      <c r="AS132" s="1">
        <v>250.0</v>
      </c>
      <c r="AT132" s="1">
        <v>220.0</v>
      </c>
      <c r="AU132" s="1"/>
      <c r="AV132" s="1">
        <v>120.0</v>
      </c>
      <c r="AW132" s="3">
        <v>200.0</v>
      </c>
      <c r="AX132" s="3"/>
      <c r="AY132" s="3">
        <v>142.0</v>
      </c>
      <c r="AZ132" s="1">
        <v>40.0</v>
      </c>
      <c r="BA132" s="3">
        <v>80.0</v>
      </c>
      <c r="BB132" s="3">
        <v>402.0</v>
      </c>
      <c r="BC132" s="1">
        <v>150.0</v>
      </c>
      <c r="BD132" s="1">
        <v>190.0</v>
      </c>
      <c r="BE132" s="1">
        <v>80.0</v>
      </c>
      <c r="BF132" s="1"/>
      <c r="BG132" s="1">
        <v>213.0</v>
      </c>
      <c r="BH132" s="1">
        <v>23.0</v>
      </c>
      <c r="BI132" s="1">
        <v>40.0</v>
      </c>
      <c r="BJ132" s="1">
        <v>278.0</v>
      </c>
      <c r="BK132" s="3"/>
      <c r="BL132" s="1">
        <v>160.0</v>
      </c>
      <c r="BM132" s="1">
        <v>75.0</v>
      </c>
      <c r="BN132" s="32">
        <v>1802.0</v>
      </c>
      <c r="BO132" s="1">
        <v>47.0</v>
      </c>
      <c r="BP132" s="3">
        <v>48.0</v>
      </c>
      <c r="BQ132" s="1">
        <v>188.0</v>
      </c>
      <c r="BR132" s="28">
        <v>53374.07</v>
      </c>
    </row>
    <row r="133">
      <c r="A133" s="25">
        <f>'Equity Price Data'!A134</f>
        <v>45614.66667</v>
      </c>
      <c r="B133" s="34">
        <f>(('PRACTICE Equity Price Data'!B134/'PRACTICE Equity Price Data'!B133)-1)+B132</f>
        <v>0.125793048</v>
      </c>
      <c r="C133" s="34">
        <f>(('PRACTICE Equity Price Data'!C134/'PRACTICE Equity Price Data'!C133)-1)+C132</f>
        <v>0.1465804132</v>
      </c>
      <c r="D133" s="34">
        <f>(('PRACTICE Equity Price Data'!D134/'PRACTICE Equity Price Data'!D133)-1)+D132</f>
        <v>0.09962841154</v>
      </c>
      <c r="E133" s="34">
        <f>(('PRACTICE Equity Price Data'!E134/'PRACTICE Equity Price Data'!E133)-1)+E132</f>
        <v>0.1242520131</v>
      </c>
      <c r="F133" s="3">
        <v>13.0</v>
      </c>
      <c r="G133" s="3">
        <v>260.0</v>
      </c>
      <c r="H133" s="3">
        <v>110.0</v>
      </c>
      <c r="I133" s="3">
        <v>256.0</v>
      </c>
      <c r="J133" s="3">
        <v>83.0</v>
      </c>
      <c r="K133" s="3">
        <v>188.0</v>
      </c>
      <c r="L133" s="3">
        <v>1000.0</v>
      </c>
      <c r="M133" s="3">
        <v>102.0</v>
      </c>
      <c r="N133" s="3">
        <v>200.0</v>
      </c>
      <c r="O133" s="3">
        <v>121.0</v>
      </c>
      <c r="P133" s="3"/>
      <c r="Q133" s="3">
        <v>80.0</v>
      </c>
      <c r="R133" s="3">
        <v>150.0</v>
      </c>
      <c r="S133" s="3">
        <v>417.0</v>
      </c>
      <c r="T133" s="3">
        <v>120.0</v>
      </c>
      <c r="U133" s="3">
        <v>80.0</v>
      </c>
      <c r="V133" s="1">
        <v>88.0</v>
      </c>
      <c r="W133" s="1">
        <v>250.0</v>
      </c>
      <c r="X133" s="1">
        <v>264.0</v>
      </c>
      <c r="Y133" s="1">
        <v>161.0</v>
      </c>
      <c r="Z133" s="1">
        <v>69.0</v>
      </c>
      <c r="AA133" s="3"/>
      <c r="AB133" s="1">
        <v>13.0</v>
      </c>
      <c r="AC133" s="1">
        <v>150.0</v>
      </c>
      <c r="AD133" s="1">
        <v>170.0</v>
      </c>
      <c r="AE133" s="1">
        <v>60.0</v>
      </c>
      <c r="AF133" s="1">
        <v>40.0</v>
      </c>
      <c r="AG133" s="1">
        <v>45.0</v>
      </c>
      <c r="AH133" s="3">
        <v>200.0</v>
      </c>
      <c r="AI133" s="1">
        <v>205.0</v>
      </c>
      <c r="AJ133" s="1">
        <v>60.0</v>
      </c>
      <c r="AK133" s="1">
        <v>100.0</v>
      </c>
      <c r="AL133" s="1">
        <v>175.0</v>
      </c>
      <c r="AM133" s="1">
        <v>130.0</v>
      </c>
      <c r="AN133" s="3">
        <v>47.0</v>
      </c>
      <c r="AO133" s="3">
        <v>160.0</v>
      </c>
      <c r="AP133" s="3">
        <v>70.0</v>
      </c>
      <c r="AQ133" s="3">
        <v>35.0</v>
      </c>
      <c r="AR133" s="1">
        <v>854.0</v>
      </c>
      <c r="AS133" s="1">
        <v>250.0</v>
      </c>
      <c r="AT133" s="1">
        <v>220.0</v>
      </c>
      <c r="AU133" s="1"/>
      <c r="AV133" s="1">
        <v>120.0</v>
      </c>
      <c r="AW133" s="3">
        <v>200.0</v>
      </c>
      <c r="AX133" s="3"/>
      <c r="AY133" s="3">
        <v>142.0</v>
      </c>
      <c r="AZ133" s="1">
        <v>40.0</v>
      </c>
      <c r="BA133" s="3">
        <v>80.0</v>
      </c>
      <c r="BB133" s="3">
        <v>402.0</v>
      </c>
      <c r="BC133" s="1">
        <v>150.0</v>
      </c>
      <c r="BD133" s="1">
        <v>190.0</v>
      </c>
      <c r="BE133" s="1">
        <v>80.0</v>
      </c>
      <c r="BF133" s="1"/>
      <c r="BG133" s="1">
        <v>213.0</v>
      </c>
      <c r="BH133" s="1">
        <v>23.0</v>
      </c>
      <c r="BI133" s="1">
        <v>40.0</v>
      </c>
      <c r="BJ133" s="1">
        <v>278.0</v>
      </c>
      <c r="BK133" s="3"/>
      <c r="BL133" s="1">
        <v>160.0</v>
      </c>
      <c r="BM133" s="1">
        <v>75.0</v>
      </c>
      <c r="BN133" s="32">
        <v>1802.0</v>
      </c>
      <c r="BO133" s="1">
        <v>47.0</v>
      </c>
      <c r="BP133" s="3">
        <v>48.0</v>
      </c>
      <c r="BQ133" s="1">
        <v>188.0</v>
      </c>
      <c r="BR133" s="28">
        <v>53374.07</v>
      </c>
    </row>
    <row r="134">
      <c r="A134" s="25">
        <f>'Equity Price Data'!A135</f>
        <v>45615.66667</v>
      </c>
      <c r="B134" s="34">
        <f>(('PRACTICE Equity Price Data'!B135/'PRACTICE Equity Price Data'!B134)-1)+B133</f>
        <v>0.1297566561</v>
      </c>
      <c r="C134" s="34">
        <f>(('PRACTICE Equity Price Data'!C135/'PRACTICE Equity Price Data'!C134)-1)+C133</f>
        <v>0.1569923958</v>
      </c>
      <c r="D134" s="34">
        <f>(('PRACTICE Equity Price Data'!D135/'PRACTICE Equity Price Data'!D134)-1)+D133</f>
        <v>0.09684756083</v>
      </c>
      <c r="E134" s="34">
        <f>(('PRACTICE Equity Price Data'!E135/'PRACTICE Equity Price Data'!E134)-1)+E133</f>
        <v>0.1322690444</v>
      </c>
      <c r="F134" s="3">
        <v>13.0</v>
      </c>
      <c r="G134" s="3">
        <v>260.0</v>
      </c>
      <c r="H134" s="3">
        <v>110.0</v>
      </c>
      <c r="I134" s="3">
        <v>256.0</v>
      </c>
      <c r="J134" s="3">
        <v>83.0</v>
      </c>
      <c r="K134" s="3">
        <v>188.0</v>
      </c>
      <c r="L134" s="3">
        <v>1000.0</v>
      </c>
      <c r="M134" s="3">
        <v>102.0</v>
      </c>
      <c r="N134" s="3">
        <v>200.0</v>
      </c>
      <c r="O134" s="3">
        <v>121.0</v>
      </c>
      <c r="P134" s="3"/>
      <c r="Q134" s="3">
        <v>80.0</v>
      </c>
      <c r="R134" s="3">
        <v>150.0</v>
      </c>
      <c r="S134" s="3">
        <v>417.0</v>
      </c>
      <c r="T134" s="3">
        <v>120.0</v>
      </c>
      <c r="U134" s="3">
        <v>80.0</v>
      </c>
      <c r="V134" s="1">
        <v>88.0</v>
      </c>
      <c r="W134" s="1">
        <v>250.0</v>
      </c>
      <c r="X134" s="1">
        <v>264.0</v>
      </c>
      <c r="Y134" s="1">
        <v>161.0</v>
      </c>
      <c r="Z134" s="1">
        <v>69.0</v>
      </c>
      <c r="AA134" s="3"/>
      <c r="AB134" s="1">
        <v>13.0</v>
      </c>
      <c r="AC134" s="1">
        <v>150.0</v>
      </c>
      <c r="AD134" s="1">
        <v>170.0</v>
      </c>
      <c r="AE134" s="1">
        <v>60.0</v>
      </c>
      <c r="AF134" s="1">
        <v>40.0</v>
      </c>
      <c r="AG134" s="1">
        <v>45.0</v>
      </c>
      <c r="AH134" s="3">
        <v>200.0</v>
      </c>
      <c r="AI134" s="1">
        <v>205.0</v>
      </c>
      <c r="AJ134" s="1">
        <v>60.0</v>
      </c>
      <c r="AK134" s="1">
        <v>100.0</v>
      </c>
      <c r="AL134" s="1">
        <v>175.0</v>
      </c>
      <c r="AM134" s="1">
        <v>130.0</v>
      </c>
      <c r="AN134" s="3">
        <v>47.0</v>
      </c>
      <c r="AO134" s="3">
        <v>160.0</v>
      </c>
      <c r="AP134" s="3">
        <v>70.0</v>
      </c>
      <c r="AQ134" s="3">
        <v>35.0</v>
      </c>
      <c r="AR134" s="1">
        <v>854.0</v>
      </c>
      <c r="AS134" s="1">
        <v>250.0</v>
      </c>
      <c r="AT134" s="1">
        <v>220.0</v>
      </c>
      <c r="AU134" s="1"/>
      <c r="AV134" s="1">
        <v>120.0</v>
      </c>
      <c r="AW134" s="3">
        <v>200.0</v>
      </c>
      <c r="AX134" s="3"/>
      <c r="AY134" s="3">
        <v>142.0</v>
      </c>
      <c r="AZ134" s="1">
        <v>40.0</v>
      </c>
      <c r="BA134" s="3">
        <v>80.0</v>
      </c>
      <c r="BB134" s="3">
        <v>402.0</v>
      </c>
      <c r="BC134" s="1">
        <v>150.0</v>
      </c>
      <c r="BD134" s="1">
        <v>190.0</v>
      </c>
      <c r="BE134" s="1">
        <v>80.0</v>
      </c>
      <c r="BF134" s="1"/>
      <c r="BG134" s="1">
        <v>213.0</v>
      </c>
      <c r="BH134" s="1">
        <v>23.0</v>
      </c>
      <c r="BI134" s="1">
        <v>40.0</v>
      </c>
      <c r="BJ134" s="1">
        <v>278.0</v>
      </c>
      <c r="BK134" s="3"/>
      <c r="BL134" s="1">
        <v>160.0</v>
      </c>
      <c r="BM134" s="1">
        <v>75.0</v>
      </c>
      <c r="BN134" s="32">
        <v>1802.0</v>
      </c>
      <c r="BO134" s="1">
        <v>47.0</v>
      </c>
      <c r="BP134" s="3">
        <v>48.0</v>
      </c>
      <c r="BQ134" s="1">
        <v>188.0</v>
      </c>
      <c r="BR134" s="28">
        <v>53374.07</v>
      </c>
    </row>
    <row r="135">
      <c r="A135" s="25">
        <f>'Equity Price Data'!A136</f>
        <v>45616.66667</v>
      </c>
      <c r="B135" s="34">
        <f>(('PRACTICE Equity Price Data'!B136/'PRACTICE Equity Price Data'!B135)-1)+B134</f>
        <v>0.1297786268</v>
      </c>
      <c r="C135" s="34">
        <f>(('PRACTICE Equity Price Data'!C136/'PRACTICE Equity Price Data'!C135)-1)+C134</f>
        <v>0.1558690234</v>
      </c>
      <c r="D135" s="34">
        <f>(('PRACTICE Equity Price Data'!D136/'PRACTICE Equity Price Data'!D135)-1)+D134</f>
        <v>0.1000722758</v>
      </c>
      <c r="E135" s="34">
        <f>(('PRACTICE Equity Price Data'!E136/'PRACTICE Equity Price Data'!E135)-1)+E134</f>
        <v>0.1325701417</v>
      </c>
      <c r="F135" s="3">
        <v>13.0</v>
      </c>
      <c r="G135" s="3">
        <v>260.0</v>
      </c>
      <c r="H135" s="3">
        <v>110.0</v>
      </c>
      <c r="I135" s="3">
        <v>256.0</v>
      </c>
      <c r="J135" s="3">
        <v>83.0</v>
      </c>
      <c r="K135" s="3">
        <v>188.0</v>
      </c>
      <c r="L135" s="3">
        <v>1000.0</v>
      </c>
      <c r="M135" s="3">
        <v>102.0</v>
      </c>
      <c r="N135" s="3">
        <v>200.0</v>
      </c>
      <c r="O135" s="3">
        <v>121.0</v>
      </c>
      <c r="P135" s="3"/>
      <c r="Q135" s="3">
        <v>80.0</v>
      </c>
      <c r="R135" s="3">
        <v>150.0</v>
      </c>
      <c r="S135" s="3">
        <v>417.0</v>
      </c>
      <c r="T135" s="3">
        <v>120.0</v>
      </c>
      <c r="U135" s="3">
        <v>80.0</v>
      </c>
      <c r="V135" s="1">
        <v>88.0</v>
      </c>
      <c r="W135" s="1">
        <v>250.0</v>
      </c>
      <c r="X135" s="1">
        <v>264.0</v>
      </c>
      <c r="Y135" s="1">
        <v>161.0</v>
      </c>
      <c r="Z135" s="1">
        <v>69.0</v>
      </c>
      <c r="AA135" s="3"/>
      <c r="AB135" s="1">
        <v>13.0</v>
      </c>
      <c r="AC135" s="1">
        <v>150.0</v>
      </c>
      <c r="AD135" s="1">
        <v>170.0</v>
      </c>
      <c r="AE135" s="1">
        <v>60.0</v>
      </c>
      <c r="AF135" s="1">
        <v>40.0</v>
      </c>
      <c r="AG135" s="1">
        <v>45.0</v>
      </c>
      <c r="AH135" s="3">
        <v>200.0</v>
      </c>
      <c r="AI135" s="1">
        <v>205.0</v>
      </c>
      <c r="AJ135" s="1">
        <v>60.0</v>
      </c>
      <c r="AK135" s="1">
        <v>100.0</v>
      </c>
      <c r="AL135" s="1">
        <v>175.0</v>
      </c>
      <c r="AM135" s="1">
        <v>130.0</v>
      </c>
      <c r="AN135" s="3">
        <v>47.0</v>
      </c>
      <c r="AO135" s="3">
        <v>160.0</v>
      </c>
      <c r="AP135" s="3">
        <v>70.0</v>
      </c>
      <c r="AQ135" s="3">
        <v>35.0</v>
      </c>
      <c r="AR135" s="1">
        <v>854.0</v>
      </c>
      <c r="AS135" s="1">
        <v>250.0</v>
      </c>
      <c r="AT135" s="1">
        <v>220.0</v>
      </c>
      <c r="AU135" s="1"/>
      <c r="AV135" s="1">
        <v>120.0</v>
      </c>
      <c r="AW135" s="3">
        <v>200.0</v>
      </c>
      <c r="AX135" s="3"/>
      <c r="AY135" s="3">
        <v>142.0</v>
      </c>
      <c r="AZ135" s="1">
        <v>40.0</v>
      </c>
      <c r="BA135" s="3">
        <v>80.0</v>
      </c>
      <c r="BB135" s="3">
        <v>402.0</v>
      </c>
      <c r="BC135" s="1">
        <v>150.0</v>
      </c>
      <c r="BD135" s="1">
        <v>190.0</v>
      </c>
      <c r="BE135" s="1">
        <v>80.0</v>
      </c>
      <c r="BF135" s="1"/>
      <c r="BG135" s="1">
        <v>213.0</v>
      </c>
      <c r="BH135" s="1">
        <v>23.0</v>
      </c>
      <c r="BI135" s="1">
        <v>40.0</v>
      </c>
      <c r="BJ135" s="1">
        <v>278.0</v>
      </c>
      <c r="BK135" s="3"/>
      <c r="BL135" s="1">
        <v>160.0</v>
      </c>
      <c r="BM135" s="1">
        <v>75.0</v>
      </c>
      <c r="BN135" s="32">
        <v>1802.0</v>
      </c>
      <c r="BO135" s="1">
        <v>47.0</v>
      </c>
      <c r="BP135" s="3">
        <v>48.0</v>
      </c>
      <c r="BQ135" s="1">
        <v>188.0</v>
      </c>
      <c r="BR135" s="28">
        <v>53374.07</v>
      </c>
    </row>
    <row r="136">
      <c r="A136" s="25">
        <f>'Equity Price Data'!A137</f>
        <v>45617.66667</v>
      </c>
      <c r="B136" s="34">
        <f>(('PRACTICE Equity Price Data'!B137/'PRACTICE Equity Price Data'!B136)-1)+B135</f>
        <v>0.1351190717</v>
      </c>
      <c r="C136" s="34">
        <f>(('PRACTICE Equity Price Data'!C137/'PRACTICE Equity Price Data'!C136)-1)+C135</f>
        <v>0.1562001398</v>
      </c>
      <c r="D136" s="34">
        <f>(('PRACTICE Equity Price Data'!D137/'PRACTICE Equity Price Data'!D136)-1)+D135</f>
        <v>0.1107125956</v>
      </c>
      <c r="E136" s="34">
        <f>(('PRACTICE Equity Price Data'!E137/'PRACTICE Equity Price Data'!E136)-1)+E135</f>
        <v>0.1491212075</v>
      </c>
      <c r="F136" s="3">
        <v>13.0</v>
      </c>
      <c r="G136" s="3">
        <v>260.0</v>
      </c>
      <c r="H136" s="3">
        <v>110.0</v>
      </c>
      <c r="I136" s="3">
        <v>256.0</v>
      </c>
      <c r="J136" s="3">
        <v>83.0</v>
      </c>
      <c r="K136" s="3">
        <v>188.0</v>
      </c>
      <c r="L136" s="3">
        <v>1000.0</v>
      </c>
      <c r="M136" s="3">
        <v>102.0</v>
      </c>
      <c r="N136" s="3">
        <v>200.0</v>
      </c>
      <c r="O136" s="3">
        <v>121.0</v>
      </c>
      <c r="P136" s="3"/>
      <c r="Q136" s="3">
        <v>80.0</v>
      </c>
      <c r="R136" s="3">
        <v>150.0</v>
      </c>
      <c r="S136" s="3">
        <v>417.0</v>
      </c>
      <c r="T136" s="3">
        <v>120.0</v>
      </c>
      <c r="U136" s="3">
        <v>80.0</v>
      </c>
      <c r="V136" s="1">
        <v>88.0</v>
      </c>
      <c r="W136" s="1">
        <v>250.0</v>
      </c>
      <c r="X136" s="1">
        <v>264.0</v>
      </c>
      <c r="Y136" s="1">
        <v>161.0</v>
      </c>
      <c r="Z136" s="1">
        <v>69.0</v>
      </c>
      <c r="AA136" s="3"/>
      <c r="AB136" s="1">
        <v>13.0</v>
      </c>
      <c r="AC136" s="1">
        <v>150.0</v>
      </c>
      <c r="AD136" s="1">
        <v>170.0</v>
      </c>
      <c r="AE136" s="1">
        <v>60.0</v>
      </c>
      <c r="AF136" s="1">
        <v>40.0</v>
      </c>
      <c r="AG136" s="1">
        <v>45.0</v>
      </c>
      <c r="AH136" s="3">
        <v>200.0</v>
      </c>
      <c r="AI136" s="1">
        <v>205.0</v>
      </c>
      <c r="AJ136" s="1">
        <v>60.0</v>
      </c>
      <c r="AK136" s="1">
        <v>100.0</v>
      </c>
      <c r="AL136" s="1">
        <v>175.0</v>
      </c>
      <c r="AM136" s="1">
        <v>130.0</v>
      </c>
      <c r="AN136" s="3">
        <v>47.0</v>
      </c>
      <c r="AO136" s="3">
        <v>160.0</v>
      </c>
      <c r="AP136" s="3">
        <v>70.0</v>
      </c>
      <c r="AQ136" s="3">
        <v>35.0</v>
      </c>
      <c r="AR136" s="1">
        <v>854.0</v>
      </c>
      <c r="AS136" s="1">
        <v>250.0</v>
      </c>
      <c r="AT136" s="1">
        <v>220.0</v>
      </c>
      <c r="AU136" s="1"/>
      <c r="AV136" s="1">
        <v>120.0</v>
      </c>
      <c r="AW136" s="3">
        <v>200.0</v>
      </c>
      <c r="AX136" s="3"/>
      <c r="AY136" s="3">
        <v>142.0</v>
      </c>
      <c r="AZ136" s="1">
        <v>40.0</v>
      </c>
      <c r="BA136" s="3">
        <v>80.0</v>
      </c>
      <c r="BB136" s="3">
        <v>402.0</v>
      </c>
      <c r="BC136" s="1">
        <v>150.0</v>
      </c>
      <c r="BD136" s="1">
        <v>190.0</v>
      </c>
      <c r="BE136" s="1">
        <v>80.0</v>
      </c>
      <c r="BF136" s="1"/>
      <c r="BG136" s="1">
        <v>213.0</v>
      </c>
      <c r="BH136" s="1">
        <v>23.0</v>
      </c>
      <c r="BI136" s="1">
        <v>40.0</v>
      </c>
      <c r="BJ136" s="1">
        <v>278.0</v>
      </c>
      <c r="BK136" s="3"/>
      <c r="BL136" s="1">
        <v>160.0</v>
      </c>
      <c r="BM136" s="1">
        <v>75.0</v>
      </c>
      <c r="BN136" s="32">
        <v>1802.0</v>
      </c>
      <c r="BO136" s="1">
        <v>47.0</v>
      </c>
      <c r="BP136" s="3">
        <v>48.0</v>
      </c>
      <c r="BQ136" s="1">
        <v>188.0</v>
      </c>
      <c r="BR136" s="28">
        <v>53374.07</v>
      </c>
    </row>
    <row r="137">
      <c r="A137" s="25">
        <f>'Equity Price Data'!A138</f>
        <v>45618.66667</v>
      </c>
      <c r="B137" s="34">
        <f>(('PRACTICE Equity Price Data'!B138/'PRACTICE Equity Price Data'!B137)-1)+B136</f>
        <v>0.1385870505</v>
      </c>
      <c r="C137" s="34">
        <f>(('PRACTICE Equity Price Data'!C138/'PRACTICE Equity Price Data'!C137)-1)+C136</f>
        <v>0.1578462134</v>
      </c>
      <c r="D137" s="34">
        <f>(('PRACTICE Equity Price Data'!D138/'PRACTICE Equity Price Data'!D137)-1)+D136</f>
        <v>0.1204266735</v>
      </c>
      <c r="E137" s="34">
        <f>(('PRACTICE Equity Price Data'!E138/'PRACTICE Equity Price Data'!E137)-1)+E136</f>
        <v>0.16716251</v>
      </c>
      <c r="F137" s="3">
        <v>13.0</v>
      </c>
      <c r="G137" s="3">
        <v>260.0</v>
      </c>
      <c r="H137" s="3">
        <v>110.0</v>
      </c>
      <c r="I137" s="3">
        <v>256.0</v>
      </c>
      <c r="J137" s="3">
        <v>83.0</v>
      </c>
      <c r="K137" s="3">
        <v>188.0</v>
      </c>
      <c r="L137" s="3">
        <v>1000.0</v>
      </c>
      <c r="M137" s="3">
        <v>102.0</v>
      </c>
      <c r="N137" s="3">
        <v>200.0</v>
      </c>
      <c r="O137" s="3">
        <v>121.0</v>
      </c>
      <c r="P137" s="3"/>
      <c r="Q137" s="3">
        <v>80.0</v>
      </c>
      <c r="R137" s="3">
        <v>150.0</v>
      </c>
      <c r="S137" s="3">
        <v>417.0</v>
      </c>
      <c r="T137" s="3">
        <v>120.0</v>
      </c>
      <c r="U137" s="3">
        <v>80.0</v>
      </c>
      <c r="V137" s="1">
        <v>88.0</v>
      </c>
      <c r="W137" s="1">
        <v>250.0</v>
      </c>
      <c r="X137" s="1">
        <v>264.0</v>
      </c>
      <c r="Y137" s="1">
        <v>161.0</v>
      </c>
      <c r="Z137" s="1">
        <v>69.0</v>
      </c>
      <c r="AA137" s="3"/>
      <c r="AB137" s="1">
        <v>13.0</v>
      </c>
      <c r="AC137" s="1">
        <v>150.0</v>
      </c>
      <c r="AD137" s="1">
        <v>170.0</v>
      </c>
      <c r="AE137" s="1">
        <v>60.0</v>
      </c>
      <c r="AF137" s="1">
        <v>40.0</v>
      </c>
      <c r="AG137" s="1">
        <v>45.0</v>
      </c>
      <c r="AH137" s="3">
        <v>200.0</v>
      </c>
      <c r="AI137" s="1">
        <v>205.0</v>
      </c>
      <c r="AJ137" s="1">
        <v>60.0</v>
      </c>
      <c r="AK137" s="1">
        <v>100.0</v>
      </c>
      <c r="AL137" s="1">
        <v>175.0</v>
      </c>
      <c r="AM137" s="1">
        <v>130.0</v>
      </c>
      <c r="AN137" s="3">
        <v>47.0</v>
      </c>
      <c r="AO137" s="3">
        <v>160.0</v>
      </c>
      <c r="AP137" s="3">
        <v>70.0</v>
      </c>
      <c r="AQ137" s="3">
        <v>35.0</v>
      </c>
      <c r="AR137" s="1">
        <v>854.0</v>
      </c>
      <c r="AS137" s="1">
        <v>250.0</v>
      </c>
      <c r="AT137" s="1">
        <v>220.0</v>
      </c>
      <c r="AU137" s="1"/>
      <c r="AV137" s="1">
        <v>120.0</v>
      </c>
      <c r="AW137" s="3">
        <v>200.0</v>
      </c>
      <c r="AX137" s="3"/>
      <c r="AY137" s="3">
        <v>142.0</v>
      </c>
      <c r="AZ137" s="1">
        <v>40.0</v>
      </c>
      <c r="BA137" s="3">
        <v>80.0</v>
      </c>
      <c r="BB137" s="3">
        <v>402.0</v>
      </c>
      <c r="BC137" s="1">
        <v>150.0</v>
      </c>
      <c r="BD137" s="1">
        <v>190.0</v>
      </c>
      <c r="BE137" s="1">
        <v>80.0</v>
      </c>
      <c r="BF137" s="1"/>
      <c r="BG137" s="1">
        <v>213.0</v>
      </c>
      <c r="BH137" s="1">
        <v>23.0</v>
      </c>
      <c r="BI137" s="1">
        <v>40.0</v>
      </c>
      <c r="BJ137" s="1">
        <v>278.0</v>
      </c>
      <c r="BK137" s="3"/>
      <c r="BL137" s="1">
        <v>160.0</v>
      </c>
      <c r="BM137" s="1">
        <v>75.0</v>
      </c>
      <c r="BN137" s="32">
        <v>1802.0</v>
      </c>
      <c r="BO137" s="1">
        <v>47.0</v>
      </c>
      <c r="BP137" s="3">
        <v>48.0</v>
      </c>
      <c r="BQ137" s="1">
        <v>188.0</v>
      </c>
      <c r="BR137" s="28">
        <v>53374.07</v>
      </c>
    </row>
    <row r="138">
      <c r="A138" s="25">
        <f>'Equity Price Data'!A139</f>
        <v>45621.66667</v>
      </c>
      <c r="B138" s="34">
        <f>(('PRACTICE Equity Price Data'!B139/'PRACTICE Equity Price Data'!B138)-1)+B137</f>
        <v>0.1416074849</v>
      </c>
      <c r="C138" s="34">
        <f>(('PRACTICE Equity Price Data'!C139/'PRACTICE Equity Price Data'!C138)-1)+C137</f>
        <v>0.1605399065</v>
      </c>
      <c r="D138" s="34">
        <f>(('PRACTICE Equity Price Data'!D139/'PRACTICE Equity Price Data'!D138)-1)+D137</f>
        <v>0.1303610905</v>
      </c>
      <c r="E138" s="34">
        <f>(('PRACTICE Equity Price Data'!E139/'PRACTICE Equity Price Data'!E138)-1)+E137</f>
        <v>0.1818550104</v>
      </c>
      <c r="F138" s="3">
        <v>13.0</v>
      </c>
      <c r="G138" s="3">
        <v>260.0</v>
      </c>
      <c r="H138" s="3">
        <v>110.0</v>
      </c>
      <c r="I138" s="3">
        <v>256.0</v>
      </c>
      <c r="J138" s="3">
        <v>83.0</v>
      </c>
      <c r="K138" s="3">
        <v>188.0</v>
      </c>
      <c r="L138" s="3">
        <v>1000.0</v>
      </c>
      <c r="M138" s="3">
        <v>102.0</v>
      </c>
      <c r="N138" s="3">
        <v>200.0</v>
      </c>
      <c r="O138" s="3">
        <v>121.0</v>
      </c>
      <c r="P138" s="3"/>
      <c r="Q138" s="3">
        <v>80.0</v>
      </c>
      <c r="R138" s="3">
        <v>150.0</v>
      </c>
      <c r="S138" s="3">
        <v>417.0</v>
      </c>
      <c r="T138" s="3">
        <v>120.0</v>
      </c>
      <c r="U138" s="3">
        <v>80.0</v>
      </c>
      <c r="V138" s="1">
        <v>88.0</v>
      </c>
      <c r="W138" s="1">
        <v>250.0</v>
      </c>
      <c r="X138" s="1">
        <v>264.0</v>
      </c>
      <c r="Y138" s="1">
        <v>161.0</v>
      </c>
      <c r="Z138" s="1">
        <v>69.0</v>
      </c>
      <c r="AA138" s="3"/>
      <c r="AB138" s="1">
        <v>13.0</v>
      </c>
      <c r="AC138" s="1">
        <v>150.0</v>
      </c>
      <c r="AD138" s="1">
        <v>170.0</v>
      </c>
      <c r="AE138" s="1">
        <v>60.0</v>
      </c>
      <c r="AF138" s="1">
        <v>40.0</v>
      </c>
      <c r="AG138" s="1">
        <v>45.0</v>
      </c>
      <c r="AH138" s="3">
        <v>200.0</v>
      </c>
      <c r="AI138" s="1">
        <v>205.0</v>
      </c>
      <c r="AJ138" s="1">
        <v>60.0</v>
      </c>
      <c r="AK138" s="1">
        <v>100.0</v>
      </c>
      <c r="AL138" s="1">
        <v>175.0</v>
      </c>
      <c r="AM138" s="1">
        <v>130.0</v>
      </c>
      <c r="AN138" s="3">
        <v>47.0</v>
      </c>
      <c r="AO138" s="3">
        <v>160.0</v>
      </c>
      <c r="AP138" s="3">
        <v>70.0</v>
      </c>
      <c r="AQ138" s="3">
        <v>35.0</v>
      </c>
      <c r="AR138" s="1">
        <v>854.0</v>
      </c>
      <c r="AS138" s="1">
        <v>250.0</v>
      </c>
      <c r="AT138" s="1">
        <v>220.0</v>
      </c>
      <c r="AU138" s="1"/>
      <c r="AV138" s="1">
        <v>120.0</v>
      </c>
      <c r="AW138" s="3">
        <v>200.0</v>
      </c>
      <c r="AX138" s="3"/>
      <c r="AY138" s="3">
        <v>142.0</v>
      </c>
      <c r="AZ138" s="1">
        <v>40.0</v>
      </c>
      <c r="BA138" s="3">
        <v>80.0</v>
      </c>
      <c r="BB138" s="3">
        <v>402.0</v>
      </c>
      <c r="BC138" s="1">
        <v>150.0</v>
      </c>
      <c r="BD138" s="1">
        <v>190.0</v>
      </c>
      <c r="BE138" s="1">
        <v>80.0</v>
      </c>
      <c r="BF138" s="1"/>
      <c r="BG138" s="1">
        <v>213.0</v>
      </c>
      <c r="BH138" s="1">
        <v>23.0</v>
      </c>
      <c r="BI138" s="1">
        <v>40.0</v>
      </c>
      <c r="BJ138" s="1">
        <v>278.0</v>
      </c>
      <c r="BK138" s="3"/>
      <c r="BL138" s="1">
        <v>160.0</v>
      </c>
      <c r="BM138" s="1">
        <v>75.0</v>
      </c>
      <c r="BN138" s="32">
        <v>1802.0</v>
      </c>
      <c r="BO138" s="1">
        <v>47.0</v>
      </c>
      <c r="BP138" s="3">
        <v>48.0</v>
      </c>
      <c r="BQ138" s="1">
        <v>188.0</v>
      </c>
      <c r="BR138" s="28">
        <v>53374.07</v>
      </c>
    </row>
    <row r="139">
      <c r="A139" s="25">
        <f>'Equity Price Data'!A140</f>
        <v>45622.66667</v>
      </c>
      <c r="B139" s="34">
        <f>(('PRACTICE Equity Price Data'!B140/'PRACTICE Equity Price Data'!B139)-1)+B138</f>
        <v>0.1473295298</v>
      </c>
      <c r="C139" s="34">
        <f>(('PRACTICE Equity Price Data'!C140/'PRACTICE Equity Price Data'!C139)-1)+C138</f>
        <v>0.1668763543</v>
      </c>
      <c r="D139" s="34">
        <f>(('PRACTICE Equity Price Data'!D140/'PRACTICE Equity Price Data'!D139)-1)+D138</f>
        <v>0.1331270602</v>
      </c>
      <c r="E139" s="34">
        <f>(('PRACTICE Equity Price Data'!E140/'PRACTICE Equity Price Data'!E139)-1)+E138</f>
        <v>0.1745987523</v>
      </c>
      <c r="F139" s="3">
        <v>13.0</v>
      </c>
      <c r="G139" s="3">
        <v>260.0</v>
      </c>
      <c r="H139" s="3">
        <v>110.0</v>
      </c>
      <c r="I139" s="3">
        <v>256.0</v>
      </c>
      <c r="J139" s="3">
        <v>83.0</v>
      </c>
      <c r="K139" s="3">
        <v>188.0</v>
      </c>
      <c r="L139" s="3">
        <v>1000.0</v>
      </c>
      <c r="M139" s="3">
        <v>102.0</v>
      </c>
      <c r="N139" s="3">
        <v>200.0</v>
      </c>
      <c r="O139" s="3">
        <v>121.0</v>
      </c>
      <c r="P139" s="3"/>
      <c r="Q139" s="3">
        <v>80.0</v>
      </c>
      <c r="R139" s="3">
        <v>150.0</v>
      </c>
      <c r="S139" s="3">
        <v>417.0</v>
      </c>
      <c r="T139" s="3">
        <v>120.0</v>
      </c>
      <c r="U139" s="3">
        <v>80.0</v>
      </c>
      <c r="V139" s="1">
        <v>88.0</v>
      </c>
      <c r="W139" s="1">
        <v>250.0</v>
      </c>
      <c r="X139" s="1">
        <v>264.0</v>
      </c>
      <c r="Y139" s="1">
        <v>161.0</v>
      </c>
      <c r="Z139" s="1">
        <v>69.0</v>
      </c>
      <c r="AA139" s="3"/>
      <c r="AB139" s="1">
        <v>13.0</v>
      </c>
      <c r="AC139" s="1">
        <v>150.0</v>
      </c>
      <c r="AD139" s="1">
        <v>170.0</v>
      </c>
      <c r="AE139" s="1">
        <v>60.0</v>
      </c>
      <c r="AF139" s="1">
        <v>40.0</v>
      </c>
      <c r="AG139" s="1">
        <v>45.0</v>
      </c>
      <c r="AH139" s="3">
        <v>200.0</v>
      </c>
      <c r="AI139" s="1">
        <v>205.0</v>
      </c>
      <c r="AJ139" s="1">
        <v>60.0</v>
      </c>
      <c r="AK139" s="1">
        <v>100.0</v>
      </c>
      <c r="AL139" s="1">
        <v>175.0</v>
      </c>
      <c r="AM139" s="1">
        <v>130.0</v>
      </c>
      <c r="AN139" s="3">
        <v>47.0</v>
      </c>
      <c r="AO139" s="3">
        <v>160.0</v>
      </c>
      <c r="AP139" s="3">
        <v>70.0</v>
      </c>
      <c r="AQ139" s="3">
        <v>35.0</v>
      </c>
      <c r="AR139" s="1">
        <v>854.0</v>
      </c>
      <c r="AS139" s="1">
        <v>250.0</v>
      </c>
      <c r="AT139" s="1">
        <v>220.0</v>
      </c>
      <c r="AU139" s="1"/>
      <c r="AV139" s="1">
        <v>120.0</v>
      </c>
      <c r="AW139" s="3">
        <v>200.0</v>
      </c>
      <c r="AX139" s="3"/>
      <c r="AY139" s="3">
        <v>142.0</v>
      </c>
      <c r="AZ139" s="1">
        <v>40.0</v>
      </c>
      <c r="BA139" s="3">
        <v>80.0</v>
      </c>
      <c r="BB139" s="3">
        <v>402.0</v>
      </c>
      <c r="BC139" s="1">
        <v>150.0</v>
      </c>
      <c r="BD139" s="1">
        <v>190.0</v>
      </c>
      <c r="BE139" s="1">
        <v>80.0</v>
      </c>
      <c r="BF139" s="1"/>
      <c r="BG139" s="1">
        <v>213.0</v>
      </c>
      <c r="BH139" s="1">
        <v>23.0</v>
      </c>
      <c r="BI139" s="1">
        <v>40.0</v>
      </c>
      <c r="BJ139" s="1">
        <v>278.0</v>
      </c>
      <c r="BK139" s="3"/>
      <c r="BL139" s="1">
        <v>160.0</v>
      </c>
      <c r="BM139" s="1">
        <v>75.0</v>
      </c>
      <c r="BN139" s="32">
        <v>1802.0</v>
      </c>
      <c r="BO139" s="1">
        <v>47.0</v>
      </c>
      <c r="BP139" s="3">
        <v>48.0</v>
      </c>
      <c r="BQ139" s="1">
        <v>188.0</v>
      </c>
      <c r="BR139" s="28">
        <v>53374.07</v>
      </c>
    </row>
    <row r="140">
      <c r="A140" s="25">
        <f>'Equity Price Data'!A141</f>
        <v>45623.66667</v>
      </c>
      <c r="B140" s="34">
        <f>(('PRACTICE Equity Price Data'!B141/'PRACTICE Equity Price Data'!B140)-1)+B139</f>
        <v>0.1435282335</v>
      </c>
      <c r="C140" s="34">
        <f>(('PRACTICE Equity Price Data'!C141/'PRACTICE Equity Price Data'!C140)-1)+C139</f>
        <v>0.1608739283</v>
      </c>
      <c r="D140" s="34">
        <f>(('PRACTICE Equity Price Data'!D141/'PRACTICE Equity Price Data'!D140)-1)+D139</f>
        <v>0.1300452715</v>
      </c>
      <c r="E140" s="34">
        <f>(('PRACTICE Equity Price Data'!E141/'PRACTICE Equity Price Data'!E140)-1)+E139</f>
        <v>0.1753742307</v>
      </c>
      <c r="F140" s="3">
        <v>13.0</v>
      </c>
      <c r="G140" s="3">
        <v>260.0</v>
      </c>
      <c r="H140" s="3">
        <v>110.0</v>
      </c>
      <c r="I140" s="3">
        <v>256.0</v>
      </c>
      <c r="J140" s="3">
        <v>83.0</v>
      </c>
      <c r="K140" s="3">
        <v>188.0</v>
      </c>
      <c r="L140" s="3">
        <v>1000.0</v>
      </c>
      <c r="M140" s="3">
        <v>102.0</v>
      </c>
      <c r="N140" s="3">
        <v>200.0</v>
      </c>
      <c r="O140" s="3">
        <v>121.0</v>
      </c>
      <c r="P140" s="3"/>
      <c r="Q140" s="3">
        <v>80.0</v>
      </c>
      <c r="R140" s="3">
        <v>150.0</v>
      </c>
      <c r="S140" s="3">
        <v>417.0</v>
      </c>
      <c r="T140" s="3">
        <v>120.0</v>
      </c>
      <c r="U140" s="3">
        <v>80.0</v>
      </c>
      <c r="V140" s="1">
        <v>88.0</v>
      </c>
      <c r="W140" s="1">
        <v>250.0</v>
      </c>
      <c r="X140" s="1">
        <v>264.0</v>
      </c>
      <c r="Y140" s="1">
        <v>161.0</v>
      </c>
      <c r="Z140" s="1">
        <v>69.0</v>
      </c>
      <c r="AA140" s="3"/>
      <c r="AB140" s="1">
        <v>13.0</v>
      </c>
      <c r="AC140" s="1">
        <v>150.0</v>
      </c>
      <c r="AD140" s="1">
        <v>170.0</v>
      </c>
      <c r="AE140" s="1">
        <v>60.0</v>
      </c>
      <c r="AF140" s="1">
        <v>40.0</v>
      </c>
      <c r="AG140" s="1">
        <v>45.0</v>
      </c>
      <c r="AH140" s="3">
        <v>200.0</v>
      </c>
      <c r="AI140" s="1">
        <v>205.0</v>
      </c>
      <c r="AJ140" s="1">
        <v>60.0</v>
      </c>
      <c r="AK140" s="1">
        <v>100.0</v>
      </c>
      <c r="AL140" s="1">
        <v>175.0</v>
      </c>
      <c r="AM140" s="1">
        <v>130.0</v>
      </c>
      <c r="AN140" s="3">
        <v>47.0</v>
      </c>
      <c r="AO140" s="3">
        <v>160.0</v>
      </c>
      <c r="AP140" s="3">
        <v>70.0</v>
      </c>
      <c r="AQ140" s="3">
        <v>35.0</v>
      </c>
      <c r="AR140" s="1">
        <v>854.0</v>
      </c>
      <c r="AS140" s="1">
        <v>250.0</v>
      </c>
      <c r="AT140" s="1">
        <v>220.0</v>
      </c>
      <c r="AU140" s="1"/>
      <c r="AV140" s="1">
        <v>120.0</v>
      </c>
      <c r="AW140" s="3">
        <v>200.0</v>
      </c>
      <c r="AX140" s="3"/>
      <c r="AY140" s="3">
        <v>142.0</v>
      </c>
      <c r="AZ140" s="1">
        <v>40.0</v>
      </c>
      <c r="BA140" s="3">
        <v>80.0</v>
      </c>
      <c r="BB140" s="3">
        <v>402.0</v>
      </c>
      <c r="BC140" s="1">
        <v>150.0</v>
      </c>
      <c r="BD140" s="1">
        <v>190.0</v>
      </c>
      <c r="BE140" s="1">
        <v>80.0</v>
      </c>
      <c r="BF140" s="1"/>
      <c r="BG140" s="1">
        <v>213.0</v>
      </c>
      <c r="BH140" s="1">
        <v>23.0</v>
      </c>
      <c r="BI140" s="1">
        <v>40.0</v>
      </c>
      <c r="BJ140" s="1">
        <v>278.0</v>
      </c>
      <c r="BK140" s="3"/>
      <c r="BL140" s="1">
        <v>160.0</v>
      </c>
      <c r="BM140" s="1">
        <v>75.0</v>
      </c>
      <c r="BN140" s="32">
        <v>1802.0</v>
      </c>
      <c r="BO140" s="1">
        <v>47.0</v>
      </c>
      <c r="BP140" s="3">
        <v>48.0</v>
      </c>
      <c r="BQ140" s="1">
        <v>188.0</v>
      </c>
      <c r="BR140" s="28">
        <v>53374.07</v>
      </c>
    </row>
    <row r="141">
      <c r="A141" s="25">
        <f>'Equity Price Data'!A142</f>
        <v>45625.54514</v>
      </c>
      <c r="B141" s="34">
        <f>(('PRACTICE Equity Price Data'!B142/'PRACTICE Equity Price Data'!B141)-1)+B140</f>
        <v>0.1491360778</v>
      </c>
      <c r="C141" s="34">
        <f>(('PRACTICE Equity Price Data'!C142/'PRACTICE Equity Price Data'!C141)-1)+C140</f>
        <v>0.1691470673</v>
      </c>
      <c r="D141" s="34">
        <f>(('PRACTICE Equity Price Data'!D142/'PRACTICE Equity Price Data'!D141)-1)+D140</f>
        <v>0.134262206</v>
      </c>
      <c r="E141" s="34">
        <f>(('PRACTICE Equity Price Data'!E142/'PRACTICE Equity Price Data'!E141)-1)+E140</f>
        <v>0.1789106396</v>
      </c>
      <c r="F141" s="3">
        <v>13.0</v>
      </c>
      <c r="G141" s="3">
        <v>260.0</v>
      </c>
      <c r="H141" s="3">
        <v>110.0</v>
      </c>
      <c r="I141" s="3">
        <v>256.0</v>
      </c>
      <c r="J141" s="3">
        <v>83.0</v>
      </c>
      <c r="K141" s="3">
        <v>188.0</v>
      </c>
      <c r="L141" s="3">
        <v>1000.0</v>
      </c>
      <c r="M141" s="3">
        <v>102.0</v>
      </c>
      <c r="N141" s="3">
        <v>200.0</v>
      </c>
      <c r="O141" s="3">
        <v>121.0</v>
      </c>
      <c r="P141" s="3"/>
      <c r="Q141" s="3">
        <v>80.0</v>
      </c>
      <c r="R141" s="3">
        <v>150.0</v>
      </c>
      <c r="S141" s="3">
        <v>417.0</v>
      </c>
      <c r="T141" s="3">
        <v>120.0</v>
      </c>
      <c r="U141" s="3">
        <v>80.0</v>
      </c>
      <c r="V141" s="1">
        <v>88.0</v>
      </c>
      <c r="W141" s="1">
        <v>250.0</v>
      </c>
      <c r="X141" s="1">
        <v>264.0</v>
      </c>
      <c r="Y141" s="1">
        <v>161.0</v>
      </c>
      <c r="Z141" s="1">
        <v>69.0</v>
      </c>
      <c r="AA141" s="3"/>
      <c r="AB141" s="1">
        <v>13.0</v>
      </c>
      <c r="AC141" s="1">
        <v>150.0</v>
      </c>
      <c r="AD141" s="1">
        <v>170.0</v>
      </c>
      <c r="AE141" s="1">
        <v>60.0</v>
      </c>
      <c r="AF141" s="1">
        <v>40.0</v>
      </c>
      <c r="AG141" s="1">
        <v>45.0</v>
      </c>
      <c r="AH141" s="3">
        <v>200.0</v>
      </c>
      <c r="AI141" s="1">
        <v>205.0</v>
      </c>
      <c r="AJ141" s="1">
        <v>60.0</v>
      </c>
      <c r="AK141" s="1">
        <v>100.0</v>
      </c>
      <c r="AL141" s="1">
        <v>175.0</v>
      </c>
      <c r="AM141" s="1">
        <v>130.0</v>
      </c>
      <c r="AN141" s="3">
        <v>47.0</v>
      </c>
      <c r="AO141" s="3">
        <v>160.0</v>
      </c>
      <c r="AP141" s="3">
        <v>70.0</v>
      </c>
      <c r="AQ141" s="3">
        <v>35.0</v>
      </c>
      <c r="AR141" s="1">
        <v>854.0</v>
      </c>
      <c r="AS141" s="1">
        <v>250.0</v>
      </c>
      <c r="AT141" s="1">
        <v>220.0</v>
      </c>
      <c r="AU141" s="1"/>
      <c r="AV141" s="1">
        <v>120.0</v>
      </c>
      <c r="AW141" s="3">
        <v>200.0</v>
      </c>
      <c r="AX141" s="3"/>
      <c r="AY141" s="3">
        <v>142.0</v>
      </c>
      <c r="AZ141" s="1">
        <v>40.0</v>
      </c>
      <c r="BA141" s="3">
        <v>80.0</v>
      </c>
      <c r="BB141" s="3">
        <v>402.0</v>
      </c>
      <c r="BC141" s="1">
        <v>150.0</v>
      </c>
      <c r="BD141" s="1">
        <v>190.0</v>
      </c>
      <c r="BE141" s="1">
        <v>80.0</v>
      </c>
      <c r="BF141" s="1"/>
      <c r="BG141" s="1">
        <v>213.0</v>
      </c>
      <c r="BH141" s="1">
        <v>23.0</v>
      </c>
      <c r="BI141" s="1">
        <v>40.0</v>
      </c>
      <c r="BJ141" s="1">
        <v>278.0</v>
      </c>
      <c r="BK141" s="3"/>
      <c r="BL141" s="1">
        <v>160.0</v>
      </c>
      <c r="BM141" s="1">
        <v>75.0</v>
      </c>
      <c r="BN141" s="32">
        <v>1802.0</v>
      </c>
      <c r="BO141" s="1">
        <v>47.0</v>
      </c>
      <c r="BP141" s="3">
        <v>48.0</v>
      </c>
      <c r="BQ141" s="1">
        <v>188.0</v>
      </c>
      <c r="BR141" s="28">
        <v>53374.07</v>
      </c>
    </row>
    <row r="142">
      <c r="A142" s="25">
        <f>'Equity Price Data'!A143</f>
        <v>45628.66667</v>
      </c>
      <c r="B142" s="34">
        <f>(('PRACTICE Equity Price Data'!B143/'PRACTICE Equity Price Data'!B142)-1)+B141</f>
        <v>0.151584531</v>
      </c>
      <c r="C142" s="34">
        <f>(('PRACTICE Equity Price Data'!C143/'PRACTICE Equity Price Data'!C142)-1)+C141</f>
        <v>0.1788139607</v>
      </c>
      <c r="D142" s="34">
        <f>(('PRACTICE Equity Price Data'!D143/'PRACTICE Equity Price Data'!D142)-1)+D141</f>
        <v>0.1313976293</v>
      </c>
      <c r="E142" s="34">
        <f>(('PRACTICE Equity Price Data'!E143/'PRACTICE Equity Price Data'!E142)-1)+E141</f>
        <v>0.1786518883</v>
      </c>
      <c r="F142" s="3">
        <v>13.0</v>
      </c>
      <c r="G142" s="3">
        <v>260.0</v>
      </c>
      <c r="H142" s="3">
        <v>110.0</v>
      </c>
      <c r="I142" s="3">
        <v>256.0</v>
      </c>
      <c r="J142" s="3">
        <v>83.0</v>
      </c>
      <c r="K142" s="3">
        <v>188.0</v>
      </c>
      <c r="L142" s="3">
        <v>1000.0</v>
      </c>
      <c r="M142" s="3">
        <v>102.0</v>
      </c>
      <c r="N142" s="3">
        <v>200.0</v>
      </c>
      <c r="O142" s="3">
        <v>121.0</v>
      </c>
      <c r="P142" s="3"/>
      <c r="Q142" s="3">
        <v>80.0</v>
      </c>
      <c r="R142" s="3">
        <v>150.0</v>
      </c>
      <c r="S142" s="3">
        <v>417.0</v>
      </c>
      <c r="T142" s="3">
        <v>120.0</v>
      </c>
      <c r="U142" s="3">
        <v>80.0</v>
      </c>
      <c r="V142" s="1">
        <v>88.0</v>
      </c>
      <c r="W142" s="1">
        <v>250.0</v>
      </c>
      <c r="X142" s="1">
        <v>264.0</v>
      </c>
      <c r="Y142" s="1">
        <v>161.0</v>
      </c>
      <c r="Z142" s="1">
        <v>69.0</v>
      </c>
      <c r="AA142" s="3"/>
      <c r="AB142" s="1">
        <v>13.0</v>
      </c>
      <c r="AC142" s="1">
        <v>150.0</v>
      </c>
      <c r="AD142" s="1">
        <v>170.0</v>
      </c>
      <c r="AE142" s="1">
        <v>60.0</v>
      </c>
      <c r="AF142" s="1">
        <v>40.0</v>
      </c>
      <c r="AG142" s="1">
        <v>45.0</v>
      </c>
      <c r="AH142" s="3">
        <v>200.0</v>
      </c>
      <c r="AI142" s="1">
        <v>205.0</v>
      </c>
      <c r="AJ142" s="1">
        <v>60.0</v>
      </c>
      <c r="AK142" s="1">
        <v>100.0</v>
      </c>
      <c r="AL142" s="1">
        <v>175.0</v>
      </c>
      <c r="AM142" s="1">
        <v>130.0</v>
      </c>
      <c r="AN142" s="3">
        <v>47.0</v>
      </c>
      <c r="AO142" s="3">
        <v>160.0</v>
      </c>
      <c r="AP142" s="3">
        <v>70.0</v>
      </c>
      <c r="AQ142" s="3">
        <v>35.0</v>
      </c>
      <c r="AR142" s="1">
        <v>854.0</v>
      </c>
      <c r="AS142" s="1">
        <v>250.0</v>
      </c>
      <c r="AT142" s="1">
        <v>220.0</v>
      </c>
      <c r="AU142" s="1"/>
      <c r="AV142" s="1">
        <v>120.0</v>
      </c>
      <c r="AW142" s="3">
        <v>200.0</v>
      </c>
      <c r="AX142" s="3"/>
      <c r="AY142" s="3">
        <v>142.0</v>
      </c>
      <c r="AZ142" s="1">
        <v>40.0</v>
      </c>
      <c r="BA142" s="3">
        <v>80.0</v>
      </c>
      <c r="BB142" s="3">
        <v>402.0</v>
      </c>
      <c r="BC142" s="1">
        <v>150.0</v>
      </c>
      <c r="BD142" s="1">
        <v>190.0</v>
      </c>
      <c r="BE142" s="1">
        <v>80.0</v>
      </c>
      <c r="BF142" s="1"/>
      <c r="BG142" s="1">
        <v>213.0</v>
      </c>
      <c r="BH142" s="1">
        <v>23.0</v>
      </c>
      <c r="BI142" s="1">
        <v>40.0</v>
      </c>
      <c r="BJ142" s="1">
        <v>278.0</v>
      </c>
      <c r="BK142" s="3"/>
      <c r="BL142" s="1">
        <v>160.0</v>
      </c>
      <c r="BM142" s="1">
        <v>75.0</v>
      </c>
      <c r="BN142" s="32">
        <v>1802.0</v>
      </c>
      <c r="BO142" s="1">
        <v>47.0</v>
      </c>
      <c r="BP142" s="3">
        <v>48.0</v>
      </c>
      <c r="BQ142" s="1">
        <v>188.0</v>
      </c>
      <c r="BR142" s="28">
        <v>53374.07</v>
      </c>
    </row>
    <row r="143">
      <c r="A143" s="25">
        <f>'Equity Price Data'!A144</f>
        <v>45629.66667</v>
      </c>
      <c r="B143" s="34">
        <f>(('PRACTICE Equity Price Data'!B144/'PRACTICE Equity Price Data'!B143)-1)+B142</f>
        <v>0.1520359833</v>
      </c>
      <c r="C143" s="34">
        <f>(('PRACTICE Equity Price Data'!C144/'PRACTICE Equity Price Data'!C143)-1)+C142</f>
        <v>0.1827801634</v>
      </c>
      <c r="D143" s="34">
        <f>(('PRACTICE Equity Price Data'!D144/'PRACTICE Equity Price Data'!D143)-1)+D142</f>
        <v>0.1296900236</v>
      </c>
      <c r="E143" s="34">
        <f>(('PRACTICE Equity Price Data'!E144/'PRACTICE Equity Price Data'!E143)-1)+E142</f>
        <v>0.1713433522</v>
      </c>
      <c r="F143" s="3">
        <v>13.0</v>
      </c>
      <c r="G143" s="3">
        <v>260.0</v>
      </c>
      <c r="H143" s="3">
        <v>110.0</v>
      </c>
      <c r="I143" s="3">
        <v>256.0</v>
      </c>
      <c r="J143" s="3">
        <v>83.0</v>
      </c>
      <c r="K143" s="3">
        <v>188.0</v>
      </c>
      <c r="L143" s="3">
        <v>1000.0</v>
      </c>
      <c r="M143" s="3">
        <v>102.0</v>
      </c>
      <c r="N143" s="3">
        <v>200.0</v>
      </c>
      <c r="O143" s="3">
        <v>121.0</v>
      </c>
      <c r="P143" s="3"/>
      <c r="Q143" s="3">
        <v>80.0</v>
      </c>
      <c r="R143" s="3">
        <v>150.0</v>
      </c>
      <c r="S143" s="3">
        <v>417.0</v>
      </c>
      <c r="T143" s="3">
        <v>120.0</v>
      </c>
      <c r="U143" s="3">
        <v>80.0</v>
      </c>
      <c r="V143" s="1">
        <v>88.0</v>
      </c>
      <c r="W143" s="1">
        <v>250.0</v>
      </c>
      <c r="X143" s="1">
        <v>264.0</v>
      </c>
      <c r="Y143" s="1">
        <v>161.0</v>
      </c>
      <c r="Z143" s="1">
        <v>69.0</v>
      </c>
      <c r="AA143" s="3"/>
      <c r="AB143" s="1">
        <v>13.0</v>
      </c>
      <c r="AC143" s="1">
        <v>150.0</v>
      </c>
      <c r="AD143" s="1">
        <v>170.0</v>
      </c>
      <c r="AE143" s="1">
        <v>60.0</v>
      </c>
      <c r="AF143" s="1">
        <v>40.0</v>
      </c>
      <c r="AG143" s="1">
        <v>45.0</v>
      </c>
      <c r="AH143" s="3">
        <v>200.0</v>
      </c>
      <c r="AI143" s="1">
        <v>205.0</v>
      </c>
      <c r="AJ143" s="1">
        <v>60.0</v>
      </c>
      <c r="AK143" s="1">
        <v>100.0</v>
      </c>
      <c r="AL143" s="1">
        <v>175.0</v>
      </c>
      <c r="AM143" s="1">
        <v>130.0</v>
      </c>
      <c r="AN143" s="3">
        <v>47.0</v>
      </c>
      <c r="AO143" s="3">
        <v>160.0</v>
      </c>
      <c r="AP143" s="3">
        <v>70.0</v>
      </c>
      <c r="AQ143" s="3">
        <v>35.0</v>
      </c>
      <c r="AR143" s="1">
        <v>854.0</v>
      </c>
      <c r="AS143" s="1">
        <v>250.0</v>
      </c>
      <c r="AT143" s="1">
        <v>220.0</v>
      </c>
      <c r="AU143" s="1"/>
      <c r="AV143" s="1">
        <v>120.0</v>
      </c>
      <c r="AW143" s="3">
        <v>200.0</v>
      </c>
      <c r="AX143" s="3"/>
      <c r="AY143" s="3">
        <v>142.0</v>
      </c>
      <c r="AZ143" s="1">
        <v>40.0</v>
      </c>
      <c r="BA143" s="3">
        <v>80.0</v>
      </c>
      <c r="BB143" s="3">
        <v>402.0</v>
      </c>
      <c r="BC143" s="1">
        <v>150.0</v>
      </c>
      <c r="BD143" s="1">
        <v>190.0</v>
      </c>
      <c r="BE143" s="1">
        <v>80.0</v>
      </c>
      <c r="BF143" s="1"/>
      <c r="BG143" s="1">
        <v>213.0</v>
      </c>
      <c r="BH143" s="1">
        <v>23.0</v>
      </c>
      <c r="BI143" s="1">
        <v>40.0</v>
      </c>
      <c r="BJ143" s="1">
        <v>278.0</v>
      </c>
      <c r="BK143" s="3"/>
      <c r="BL143" s="1">
        <v>160.0</v>
      </c>
      <c r="BM143" s="1">
        <v>75.0</v>
      </c>
      <c r="BN143" s="32">
        <v>1802.0</v>
      </c>
      <c r="BO143" s="1">
        <v>47.0</v>
      </c>
      <c r="BP143" s="3">
        <v>48.0</v>
      </c>
      <c r="BQ143" s="1">
        <v>188.0</v>
      </c>
      <c r="BR143" s="28">
        <v>53374.07</v>
      </c>
    </row>
    <row r="144">
      <c r="A144" s="25">
        <f>'Equity Price Data'!A145</f>
        <v>45630.66667</v>
      </c>
      <c r="B144" s="34">
        <f>(('PRACTICE Equity Price Data'!B145/'PRACTICE Equity Price Data'!B144)-1)+B143</f>
        <v>0.158087343</v>
      </c>
      <c r="C144" s="34">
        <f>(('PRACTICE Equity Price Data'!C145/'PRACTICE Equity Price Data'!C144)-1)+C143</f>
        <v>0.1958293485</v>
      </c>
      <c r="D144" s="34">
        <f>(('PRACTICE Equity Price Data'!D145/'PRACTICE Equity Price Data'!D144)-1)+D143</f>
        <v>0.1365909596</v>
      </c>
      <c r="E144" s="34">
        <f>(('PRACTICE Equity Price Data'!E145/'PRACTICE Equity Price Data'!E144)-1)+E143</f>
        <v>0.1755687335</v>
      </c>
      <c r="F144" s="3">
        <v>13.0</v>
      </c>
      <c r="G144" s="3">
        <v>260.0</v>
      </c>
      <c r="H144" s="3">
        <v>110.0</v>
      </c>
      <c r="I144" s="3">
        <v>256.0</v>
      </c>
      <c r="J144" s="3">
        <v>83.0</v>
      </c>
      <c r="K144" s="3">
        <v>188.0</v>
      </c>
      <c r="L144" s="3">
        <v>1000.0</v>
      </c>
      <c r="M144" s="3">
        <v>102.0</v>
      </c>
      <c r="N144" s="3">
        <v>200.0</v>
      </c>
      <c r="O144" s="3">
        <v>121.0</v>
      </c>
      <c r="P144" s="3"/>
      <c r="Q144" s="3">
        <v>80.0</v>
      </c>
      <c r="R144" s="3">
        <v>150.0</v>
      </c>
      <c r="S144" s="3">
        <v>417.0</v>
      </c>
      <c r="T144" s="3">
        <v>120.0</v>
      </c>
      <c r="U144" s="3">
        <v>80.0</v>
      </c>
      <c r="V144" s="1">
        <v>88.0</v>
      </c>
      <c r="W144" s="1">
        <v>250.0</v>
      </c>
      <c r="X144" s="1">
        <v>264.0</v>
      </c>
      <c r="Y144" s="1">
        <v>161.0</v>
      </c>
      <c r="Z144" s="1">
        <v>69.0</v>
      </c>
      <c r="AA144" s="3"/>
      <c r="AB144" s="1">
        <v>13.0</v>
      </c>
      <c r="AC144" s="1">
        <v>150.0</v>
      </c>
      <c r="AD144" s="1">
        <v>170.0</v>
      </c>
      <c r="AE144" s="1">
        <v>60.0</v>
      </c>
      <c r="AF144" s="1">
        <v>40.0</v>
      </c>
      <c r="AG144" s="1">
        <v>45.0</v>
      </c>
      <c r="AH144" s="3">
        <v>200.0</v>
      </c>
      <c r="AI144" s="1">
        <v>205.0</v>
      </c>
      <c r="AJ144" s="1">
        <v>60.0</v>
      </c>
      <c r="AK144" s="1">
        <v>100.0</v>
      </c>
      <c r="AL144" s="1">
        <v>175.0</v>
      </c>
      <c r="AM144" s="1">
        <v>130.0</v>
      </c>
      <c r="AN144" s="3">
        <v>47.0</v>
      </c>
      <c r="AO144" s="3">
        <v>160.0</v>
      </c>
      <c r="AP144" s="3">
        <v>70.0</v>
      </c>
      <c r="AQ144" s="3">
        <v>35.0</v>
      </c>
      <c r="AR144" s="1">
        <v>854.0</v>
      </c>
      <c r="AS144" s="1">
        <v>250.0</v>
      </c>
      <c r="AT144" s="1">
        <v>220.0</v>
      </c>
      <c r="AU144" s="1"/>
      <c r="AV144" s="1">
        <v>120.0</v>
      </c>
      <c r="AW144" s="3">
        <v>200.0</v>
      </c>
      <c r="AX144" s="3"/>
      <c r="AY144" s="3">
        <v>142.0</v>
      </c>
      <c r="AZ144" s="1">
        <v>40.0</v>
      </c>
      <c r="BA144" s="3">
        <v>80.0</v>
      </c>
      <c r="BB144" s="3">
        <v>402.0</v>
      </c>
      <c r="BC144" s="1">
        <v>150.0</v>
      </c>
      <c r="BD144" s="1">
        <v>190.0</v>
      </c>
      <c r="BE144" s="1">
        <v>80.0</v>
      </c>
      <c r="BF144" s="1"/>
      <c r="BG144" s="1">
        <v>213.0</v>
      </c>
      <c r="BH144" s="1">
        <v>23.0</v>
      </c>
      <c r="BI144" s="1">
        <v>40.0</v>
      </c>
      <c r="BJ144" s="1">
        <v>278.0</v>
      </c>
      <c r="BK144" s="3"/>
      <c r="BL144" s="1">
        <v>160.0</v>
      </c>
      <c r="BM144" s="1">
        <v>75.0</v>
      </c>
      <c r="BN144" s="32">
        <v>1802.0</v>
      </c>
      <c r="BO144" s="1">
        <v>47.0</v>
      </c>
      <c r="BP144" s="3">
        <v>48.0</v>
      </c>
      <c r="BQ144" s="1">
        <v>188.0</v>
      </c>
      <c r="BR144" s="28">
        <v>53374.07</v>
      </c>
    </row>
    <row r="145">
      <c r="A145" s="25">
        <f>'Equity Price Data'!A146</f>
        <v>45631.66667</v>
      </c>
      <c r="B145" s="34">
        <f>(('PRACTICE Equity Price Data'!B146/'PRACTICE Equity Price Data'!B145)-1)+B144</f>
        <v>0.1562176283</v>
      </c>
      <c r="C145" s="34">
        <f>(('PRACTICE Equity Price Data'!C146/'PRACTICE Equity Price Data'!C145)-1)+C144</f>
        <v>0.1940862631</v>
      </c>
      <c r="D145" s="34">
        <f>(('PRACTICE Equity Price Data'!D146/'PRACTICE Equity Price Data'!D145)-1)+D144</f>
        <v>0.1310742364</v>
      </c>
      <c r="E145" s="34">
        <f>(('PRACTICE Equity Price Data'!E146/'PRACTICE Equity Price Data'!E145)-1)+E144</f>
        <v>0.1630448313</v>
      </c>
      <c r="F145" s="3">
        <v>13.0</v>
      </c>
      <c r="G145" s="3">
        <v>260.0</v>
      </c>
      <c r="H145" s="3">
        <v>110.0</v>
      </c>
      <c r="I145" s="3">
        <v>256.0</v>
      </c>
      <c r="J145" s="3">
        <v>83.0</v>
      </c>
      <c r="K145" s="3">
        <v>188.0</v>
      </c>
      <c r="L145" s="3">
        <v>1000.0</v>
      </c>
      <c r="M145" s="3">
        <v>102.0</v>
      </c>
      <c r="N145" s="3">
        <v>200.0</v>
      </c>
      <c r="O145" s="3">
        <v>121.0</v>
      </c>
      <c r="P145" s="3"/>
      <c r="Q145" s="3">
        <v>80.0</v>
      </c>
      <c r="R145" s="3">
        <v>150.0</v>
      </c>
      <c r="S145" s="3">
        <v>417.0</v>
      </c>
      <c r="T145" s="3">
        <v>120.0</v>
      </c>
      <c r="U145" s="3">
        <v>80.0</v>
      </c>
      <c r="V145" s="1">
        <v>88.0</v>
      </c>
      <c r="W145" s="1">
        <v>250.0</v>
      </c>
      <c r="X145" s="1">
        <v>264.0</v>
      </c>
      <c r="Y145" s="1">
        <v>161.0</v>
      </c>
      <c r="Z145" s="1">
        <v>69.0</v>
      </c>
      <c r="AA145" s="3"/>
      <c r="AB145" s="1">
        <v>13.0</v>
      </c>
      <c r="AC145" s="1">
        <v>150.0</v>
      </c>
      <c r="AD145" s="1">
        <v>170.0</v>
      </c>
      <c r="AE145" s="1">
        <v>60.0</v>
      </c>
      <c r="AF145" s="1">
        <v>40.0</v>
      </c>
      <c r="AG145" s="1">
        <v>45.0</v>
      </c>
      <c r="AH145" s="3">
        <v>200.0</v>
      </c>
      <c r="AI145" s="1">
        <v>205.0</v>
      </c>
      <c r="AJ145" s="1">
        <v>60.0</v>
      </c>
      <c r="AK145" s="1">
        <v>100.0</v>
      </c>
      <c r="AL145" s="1">
        <v>175.0</v>
      </c>
      <c r="AM145" s="1">
        <v>130.0</v>
      </c>
      <c r="AN145" s="3">
        <v>47.0</v>
      </c>
      <c r="AO145" s="3">
        <v>160.0</v>
      </c>
      <c r="AP145" s="3">
        <v>70.0</v>
      </c>
      <c r="AQ145" s="3">
        <v>35.0</v>
      </c>
      <c r="AR145" s="1">
        <v>854.0</v>
      </c>
      <c r="AS145" s="1">
        <v>250.0</v>
      </c>
      <c r="AT145" s="1">
        <v>220.0</v>
      </c>
      <c r="AU145" s="1"/>
      <c r="AV145" s="1">
        <v>120.0</v>
      </c>
      <c r="AW145" s="3">
        <v>200.0</v>
      </c>
      <c r="AX145" s="3"/>
      <c r="AY145" s="3">
        <v>142.0</v>
      </c>
      <c r="AZ145" s="1">
        <v>40.0</v>
      </c>
      <c r="BA145" s="3">
        <v>80.0</v>
      </c>
      <c r="BB145" s="3">
        <v>402.0</v>
      </c>
      <c r="BC145" s="1">
        <v>150.0</v>
      </c>
      <c r="BD145" s="1">
        <v>190.0</v>
      </c>
      <c r="BE145" s="1">
        <v>80.0</v>
      </c>
      <c r="BF145" s="1"/>
      <c r="BG145" s="1">
        <v>213.0</v>
      </c>
      <c r="BH145" s="1">
        <v>23.0</v>
      </c>
      <c r="BI145" s="1">
        <v>40.0</v>
      </c>
      <c r="BJ145" s="1">
        <v>278.0</v>
      </c>
      <c r="BK145" s="3"/>
      <c r="BL145" s="1">
        <v>160.0</v>
      </c>
      <c r="BM145" s="1">
        <v>75.0</v>
      </c>
      <c r="BN145" s="32">
        <v>1802.0</v>
      </c>
      <c r="BO145" s="1">
        <v>47.0</v>
      </c>
      <c r="BP145" s="3">
        <v>48.0</v>
      </c>
      <c r="BQ145" s="1">
        <v>188.0</v>
      </c>
      <c r="BR145" s="28">
        <v>53374.07</v>
      </c>
    </row>
    <row r="146">
      <c r="A146" s="25">
        <f>'Equity Price Data'!A147</f>
        <v>45632.66667</v>
      </c>
      <c r="B146" s="34">
        <f>(('PRACTICE Equity Price Data'!B147/'PRACTICE Equity Price Data'!B146)-1)+B145</f>
        <v>0.1587130564</v>
      </c>
      <c r="C146" s="34">
        <f>(('PRACTICE Equity Price Data'!C147/'PRACTICE Equity Price Data'!C146)-1)+C145</f>
        <v>0.2021595721</v>
      </c>
      <c r="D146" s="34">
        <f>(('PRACTICE Equity Price Data'!D147/'PRACTICE Equity Price Data'!D146)-1)+D145</f>
        <v>0.1283223533</v>
      </c>
      <c r="E146" s="34">
        <f>(('PRACTICE Equity Price Data'!E147/'PRACTICE Equity Price Data'!E146)-1)+E145</f>
        <v>0.168395036</v>
      </c>
      <c r="F146" s="3">
        <v>13.0</v>
      </c>
      <c r="G146" s="3">
        <v>260.0</v>
      </c>
      <c r="H146" s="3">
        <v>110.0</v>
      </c>
      <c r="I146" s="3">
        <v>256.0</v>
      </c>
      <c r="J146" s="3">
        <v>83.0</v>
      </c>
      <c r="K146" s="3">
        <v>188.0</v>
      </c>
      <c r="L146" s="3">
        <v>1000.0</v>
      </c>
      <c r="M146" s="3">
        <v>102.0</v>
      </c>
      <c r="N146" s="3">
        <v>200.0</v>
      </c>
      <c r="O146" s="3">
        <v>121.0</v>
      </c>
      <c r="P146" s="3"/>
      <c r="Q146" s="3">
        <v>80.0</v>
      </c>
      <c r="R146" s="3">
        <v>150.0</v>
      </c>
      <c r="S146" s="3">
        <v>417.0</v>
      </c>
      <c r="T146" s="3">
        <v>120.0</v>
      </c>
      <c r="U146" s="3">
        <v>80.0</v>
      </c>
      <c r="V146" s="1">
        <v>88.0</v>
      </c>
      <c r="W146" s="1">
        <v>250.0</v>
      </c>
      <c r="X146" s="1">
        <v>264.0</v>
      </c>
      <c r="Y146" s="1">
        <v>161.0</v>
      </c>
      <c r="Z146" s="1">
        <v>69.0</v>
      </c>
      <c r="AA146" s="3"/>
      <c r="AB146" s="1">
        <v>13.0</v>
      </c>
      <c r="AC146" s="1">
        <v>150.0</v>
      </c>
      <c r="AD146" s="1">
        <v>170.0</v>
      </c>
      <c r="AE146" s="1">
        <v>60.0</v>
      </c>
      <c r="AF146" s="1">
        <v>40.0</v>
      </c>
      <c r="AG146" s="1">
        <v>45.0</v>
      </c>
      <c r="AH146" s="3">
        <v>200.0</v>
      </c>
      <c r="AI146" s="1">
        <v>205.0</v>
      </c>
      <c r="AJ146" s="1">
        <v>60.0</v>
      </c>
      <c r="AK146" s="1">
        <v>100.0</v>
      </c>
      <c r="AL146" s="1">
        <v>175.0</v>
      </c>
      <c r="AM146" s="1">
        <v>130.0</v>
      </c>
      <c r="AN146" s="3">
        <v>47.0</v>
      </c>
      <c r="AO146" s="3">
        <v>160.0</v>
      </c>
      <c r="AP146" s="3">
        <v>70.0</v>
      </c>
      <c r="AQ146" s="3">
        <v>35.0</v>
      </c>
      <c r="AR146" s="1">
        <v>854.0</v>
      </c>
      <c r="AS146" s="1">
        <v>250.0</v>
      </c>
      <c r="AT146" s="1">
        <v>220.0</v>
      </c>
      <c r="AU146" s="1"/>
      <c r="AV146" s="1">
        <v>120.0</v>
      </c>
      <c r="AW146" s="3">
        <v>200.0</v>
      </c>
      <c r="AX146" s="3"/>
      <c r="AY146" s="3">
        <v>142.0</v>
      </c>
      <c r="AZ146" s="1">
        <v>40.0</v>
      </c>
      <c r="BA146" s="3">
        <v>80.0</v>
      </c>
      <c r="BB146" s="3">
        <v>402.0</v>
      </c>
      <c r="BC146" s="1">
        <v>150.0</v>
      </c>
      <c r="BD146" s="1">
        <v>190.0</v>
      </c>
      <c r="BE146" s="1">
        <v>80.0</v>
      </c>
      <c r="BF146" s="1"/>
      <c r="BG146" s="1">
        <v>213.0</v>
      </c>
      <c r="BH146" s="1">
        <v>23.0</v>
      </c>
      <c r="BI146" s="1">
        <v>40.0</v>
      </c>
      <c r="BJ146" s="1">
        <v>278.0</v>
      </c>
      <c r="BK146" s="3"/>
      <c r="BL146" s="1">
        <v>160.0</v>
      </c>
      <c r="BM146" s="1">
        <v>75.0</v>
      </c>
      <c r="BN146" s="32">
        <v>1802.0</v>
      </c>
      <c r="BO146" s="1">
        <v>47.0</v>
      </c>
      <c r="BP146" s="3">
        <v>48.0</v>
      </c>
      <c r="BQ146" s="1">
        <v>188.0</v>
      </c>
      <c r="BR146" s="28">
        <v>53374.07</v>
      </c>
    </row>
    <row r="147">
      <c r="A147" s="25">
        <f>'Equity Price Data'!A148</f>
        <v>45635.66667</v>
      </c>
      <c r="B147" s="34">
        <f>(('PRACTICE Equity Price Data'!B148/'PRACTICE Equity Price Data'!B147)-1)+B146</f>
        <v>0.1525688296</v>
      </c>
      <c r="C147" s="34">
        <f>(('PRACTICE Equity Price Data'!C148/'PRACTICE Equity Price Data'!C147)-1)+C146</f>
        <v>0.1959621186</v>
      </c>
      <c r="D147" s="34">
        <f>(('PRACTICE Equity Price Data'!D148/'PRACTICE Equity Price Data'!D147)-1)+D146</f>
        <v>0.1229330966</v>
      </c>
      <c r="E147" s="34">
        <f>(('PRACTICE Equity Price Data'!E148/'PRACTICE Equity Price Data'!E147)-1)+E146</f>
        <v>0.1616909816</v>
      </c>
      <c r="F147" s="3">
        <v>13.0</v>
      </c>
      <c r="G147" s="3">
        <v>260.0</v>
      </c>
      <c r="H147" s="3">
        <v>110.0</v>
      </c>
      <c r="I147" s="3">
        <v>256.0</v>
      </c>
      <c r="J147" s="3">
        <v>83.0</v>
      </c>
      <c r="K147" s="3">
        <v>188.0</v>
      </c>
      <c r="L147" s="3">
        <v>1000.0</v>
      </c>
      <c r="M147" s="3">
        <v>102.0</v>
      </c>
      <c r="N147" s="3">
        <v>200.0</v>
      </c>
      <c r="O147" s="3">
        <v>121.0</v>
      </c>
      <c r="P147" s="3"/>
      <c r="Q147" s="3">
        <v>80.0</v>
      </c>
      <c r="R147" s="3">
        <v>150.0</v>
      </c>
      <c r="S147" s="3">
        <v>417.0</v>
      </c>
      <c r="T147" s="3">
        <v>120.0</v>
      </c>
      <c r="U147" s="3">
        <v>80.0</v>
      </c>
      <c r="V147" s="1">
        <v>88.0</v>
      </c>
      <c r="W147" s="1">
        <v>250.0</v>
      </c>
      <c r="X147" s="1">
        <v>264.0</v>
      </c>
      <c r="Y147" s="1">
        <v>161.0</v>
      </c>
      <c r="Z147" s="1">
        <v>69.0</v>
      </c>
      <c r="AA147" s="3"/>
      <c r="AB147" s="1">
        <v>13.0</v>
      </c>
      <c r="AC147" s="1">
        <v>150.0</v>
      </c>
      <c r="AD147" s="1">
        <v>170.0</v>
      </c>
      <c r="AE147" s="1">
        <v>60.0</v>
      </c>
      <c r="AF147" s="1">
        <v>40.0</v>
      </c>
      <c r="AG147" s="1">
        <v>45.0</v>
      </c>
      <c r="AH147" s="3">
        <v>200.0</v>
      </c>
      <c r="AI147" s="1">
        <v>205.0</v>
      </c>
      <c r="AJ147" s="1">
        <v>60.0</v>
      </c>
      <c r="AK147" s="1">
        <v>100.0</v>
      </c>
      <c r="AL147" s="1">
        <v>175.0</v>
      </c>
      <c r="AM147" s="1">
        <v>130.0</v>
      </c>
      <c r="AN147" s="3">
        <v>47.0</v>
      </c>
      <c r="AO147" s="3">
        <v>160.0</v>
      </c>
      <c r="AP147" s="3">
        <v>70.0</v>
      </c>
      <c r="AQ147" s="3">
        <v>35.0</v>
      </c>
      <c r="AR147" s="1">
        <v>854.0</v>
      </c>
      <c r="AS147" s="1">
        <v>250.0</v>
      </c>
      <c r="AT147" s="1">
        <v>220.0</v>
      </c>
      <c r="AU147" s="1"/>
      <c r="AV147" s="1">
        <v>120.0</v>
      </c>
      <c r="AW147" s="3">
        <v>200.0</v>
      </c>
      <c r="AX147" s="3"/>
      <c r="AY147" s="3">
        <v>142.0</v>
      </c>
      <c r="AZ147" s="1">
        <v>40.0</v>
      </c>
      <c r="BA147" s="3">
        <v>80.0</v>
      </c>
      <c r="BB147" s="3">
        <v>402.0</v>
      </c>
      <c r="BC147" s="1">
        <v>150.0</v>
      </c>
      <c r="BD147" s="1">
        <v>190.0</v>
      </c>
      <c r="BE147" s="1">
        <v>80.0</v>
      </c>
      <c r="BF147" s="1"/>
      <c r="BG147" s="1">
        <v>213.0</v>
      </c>
      <c r="BH147" s="1">
        <v>23.0</v>
      </c>
      <c r="BI147" s="1">
        <v>40.0</v>
      </c>
      <c r="BJ147" s="1">
        <v>278.0</v>
      </c>
      <c r="BK147" s="3"/>
      <c r="BL147" s="1">
        <v>160.0</v>
      </c>
      <c r="BM147" s="1">
        <v>75.0</v>
      </c>
      <c r="BN147" s="32">
        <v>1802.0</v>
      </c>
      <c r="BO147" s="1">
        <v>47.0</v>
      </c>
      <c r="BP147" s="3">
        <v>48.0</v>
      </c>
      <c r="BQ147" s="1">
        <v>188.0</v>
      </c>
      <c r="BR147" s="28">
        <v>53374.07</v>
      </c>
    </row>
    <row r="148">
      <c r="A148" s="25">
        <f>'Equity Price Data'!A149</f>
        <v>45636.66667</v>
      </c>
      <c r="B148" s="34">
        <f>(('PRACTICE Equity Price Data'!B149/'PRACTICE Equity Price Data'!B148)-1)+B147</f>
        <v>0.1496049365</v>
      </c>
      <c r="C148" s="34">
        <f>(('PRACTICE Equity Price Data'!C149/'PRACTICE Equity Price Data'!C148)-1)+C147</f>
        <v>0.1934566327</v>
      </c>
      <c r="D148" s="34">
        <f>(('PRACTICE Equity Price Data'!D149/'PRACTICE Equity Price Data'!D148)-1)+D147</f>
        <v>0.1194625267</v>
      </c>
      <c r="E148" s="34">
        <f>(('PRACTICE Equity Price Data'!E149/'PRACTICE Equity Price Data'!E148)-1)+E147</f>
        <v>0.1574825933</v>
      </c>
      <c r="F148" s="3">
        <v>13.0</v>
      </c>
      <c r="G148" s="3">
        <v>260.0</v>
      </c>
      <c r="H148" s="3">
        <v>110.0</v>
      </c>
      <c r="I148" s="3">
        <v>256.0</v>
      </c>
      <c r="J148" s="3">
        <v>83.0</v>
      </c>
      <c r="K148" s="3">
        <v>188.0</v>
      </c>
      <c r="L148" s="3">
        <v>1000.0</v>
      </c>
      <c r="M148" s="3">
        <v>102.0</v>
      </c>
      <c r="N148" s="3">
        <v>200.0</v>
      </c>
      <c r="O148" s="3">
        <v>121.0</v>
      </c>
      <c r="P148" s="3"/>
      <c r="Q148" s="3">
        <v>80.0</v>
      </c>
      <c r="R148" s="3">
        <v>150.0</v>
      </c>
      <c r="S148" s="3">
        <v>417.0</v>
      </c>
      <c r="T148" s="3">
        <v>120.0</v>
      </c>
      <c r="U148" s="3">
        <v>80.0</v>
      </c>
      <c r="V148" s="1">
        <v>88.0</v>
      </c>
      <c r="W148" s="1">
        <v>250.0</v>
      </c>
      <c r="X148" s="1">
        <v>264.0</v>
      </c>
      <c r="Y148" s="1">
        <v>161.0</v>
      </c>
      <c r="Z148" s="1">
        <v>69.0</v>
      </c>
      <c r="AA148" s="3"/>
      <c r="AB148" s="1">
        <v>13.0</v>
      </c>
      <c r="AC148" s="1">
        <v>150.0</v>
      </c>
      <c r="AD148" s="1">
        <v>170.0</v>
      </c>
      <c r="AE148" s="1">
        <v>60.0</v>
      </c>
      <c r="AF148" s="1">
        <v>40.0</v>
      </c>
      <c r="AG148" s="1">
        <v>45.0</v>
      </c>
      <c r="AH148" s="3">
        <v>200.0</v>
      </c>
      <c r="AI148" s="1">
        <v>205.0</v>
      </c>
      <c r="AJ148" s="1">
        <v>60.0</v>
      </c>
      <c r="AK148" s="1">
        <v>100.0</v>
      </c>
      <c r="AL148" s="1">
        <v>175.0</v>
      </c>
      <c r="AM148" s="1">
        <v>130.0</v>
      </c>
      <c r="AN148" s="3">
        <v>47.0</v>
      </c>
      <c r="AO148" s="3">
        <v>160.0</v>
      </c>
      <c r="AP148" s="3">
        <v>70.0</v>
      </c>
      <c r="AQ148" s="3">
        <v>35.0</v>
      </c>
      <c r="AR148" s="1">
        <v>854.0</v>
      </c>
      <c r="AS148" s="1">
        <v>250.0</v>
      </c>
      <c r="AT148" s="1">
        <v>220.0</v>
      </c>
      <c r="AU148" s="1"/>
      <c r="AV148" s="1">
        <v>120.0</v>
      </c>
      <c r="AW148" s="3">
        <v>200.0</v>
      </c>
      <c r="AX148" s="3"/>
      <c r="AY148" s="3">
        <v>142.0</v>
      </c>
      <c r="AZ148" s="1">
        <v>40.0</v>
      </c>
      <c r="BA148" s="3">
        <v>80.0</v>
      </c>
      <c r="BB148" s="3">
        <v>402.0</v>
      </c>
      <c r="BC148" s="1">
        <v>150.0</v>
      </c>
      <c r="BD148" s="1">
        <v>190.0</v>
      </c>
      <c r="BE148" s="1">
        <v>80.0</v>
      </c>
      <c r="BF148" s="1"/>
      <c r="BG148" s="1">
        <v>213.0</v>
      </c>
      <c r="BH148" s="1">
        <v>23.0</v>
      </c>
      <c r="BI148" s="1">
        <v>40.0</v>
      </c>
      <c r="BJ148" s="1">
        <v>278.0</v>
      </c>
      <c r="BK148" s="3"/>
      <c r="BL148" s="1">
        <v>160.0</v>
      </c>
      <c r="BM148" s="1">
        <v>75.0</v>
      </c>
      <c r="BN148" s="32">
        <v>1802.0</v>
      </c>
      <c r="BO148" s="1">
        <v>47.0</v>
      </c>
      <c r="BP148" s="3">
        <v>48.0</v>
      </c>
      <c r="BQ148" s="1">
        <v>188.0</v>
      </c>
      <c r="BR148" s="28">
        <v>53374.07</v>
      </c>
    </row>
    <row r="149">
      <c r="A149" s="25">
        <f>'Equity Price Data'!A150</f>
        <v>45637.66667</v>
      </c>
      <c r="B149" s="34">
        <f>(('PRACTICE Equity Price Data'!B150/'PRACTICE Equity Price Data'!B149)-1)+B148</f>
        <v>0.1577707584</v>
      </c>
      <c r="C149" s="34">
        <f>(('PRACTICE Equity Price Data'!C150/'PRACTICE Equity Price Data'!C149)-1)+C148</f>
        <v>0.2111152786</v>
      </c>
      <c r="D149" s="34">
        <f>(('PRACTICE Equity Price Data'!D150/'PRACTICE Equity Price Data'!D149)-1)+D148</f>
        <v>0.1172190269</v>
      </c>
      <c r="E149" s="34">
        <f>(('PRACTICE Equity Price Data'!E150/'PRACTICE Equity Price Data'!E149)-1)+E148</f>
        <v>0.1622627441</v>
      </c>
      <c r="F149" s="3">
        <v>13.0</v>
      </c>
      <c r="G149" s="3">
        <v>260.0</v>
      </c>
      <c r="H149" s="3">
        <v>110.0</v>
      </c>
      <c r="I149" s="3">
        <v>256.0</v>
      </c>
      <c r="J149" s="3">
        <v>83.0</v>
      </c>
      <c r="K149" s="3">
        <v>188.0</v>
      </c>
      <c r="L149" s="3">
        <v>1000.0</v>
      </c>
      <c r="M149" s="3">
        <v>102.0</v>
      </c>
      <c r="N149" s="3">
        <v>200.0</v>
      </c>
      <c r="O149" s="3">
        <v>121.0</v>
      </c>
      <c r="P149" s="3"/>
      <c r="Q149" s="3">
        <v>80.0</v>
      </c>
      <c r="R149" s="3">
        <v>150.0</v>
      </c>
      <c r="S149" s="3">
        <v>417.0</v>
      </c>
      <c r="T149" s="3">
        <v>120.0</v>
      </c>
      <c r="U149" s="3">
        <v>80.0</v>
      </c>
      <c r="V149" s="1">
        <v>88.0</v>
      </c>
      <c r="W149" s="1">
        <v>250.0</v>
      </c>
      <c r="X149" s="1">
        <v>264.0</v>
      </c>
      <c r="Y149" s="1">
        <v>161.0</v>
      </c>
      <c r="Z149" s="1">
        <v>69.0</v>
      </c>
      <c r="AA149" s="3"/>
      <c r="AB149" s="1">
        <v>13.0</v>
      </c>
      <c r="AC149" s="1">
        <v>150.0</v>
      </c>
      <c r="AD149" s="1">
        <v>170.0</v>
      </c>
      <c r="AE149" s="1">
        <v>60.0</v>
      </c>
      <c r="AF149" s="1">
        <v>40.0</v>
      </c>
      <c r="AG149" s="1">
        <v>45.0</v>
      </c>
      <c r="AH149" s="3">
        <v>200.0</v>
      </c>
      <c r="AI149" s="1">
        <v>205.0</v>
      </c>
      <c r="AJ149" s="1">
        <v>60.0</v>
      </c>
      <c r="AK149" s="1">
        <v>100.0</v>
      </c>
      <c r="AL149" s="1">
        <v>175.0</v>
      </c>
      <c r="AM149" s="1">
        <v>130.0</v>
      </c>
      <c r="AN149" s="3">
        <v>47.0</v>
      </c>
      <c r="AO149" s="3">
        <v>160.0</v>
      </c>
      <c r="AP149" s="3">
        <v>70.0</v>
      </c>
      <c r="AQ149" s="3">
        <v>35.0</v>
      </c>
      <c r="AR149" s="1">
        <v>854.0</v>
      </c>
      <c r="AS149" s="1">
        <v>250.0</v>
      </c>
      <c r="AT149" s="1">
        <v>220.0</v>
      </c>
      <c r="AU149" s="1"/>
      <c r="AV149" s="1">
        <v>120.0</v>
      </c>
      <c r="AW149" s="3">
        <v>200.0</v>
      </c>
      <c r="AX149" s="3"/>
      <c r="AY149" s="3">
        <v>142.0</v>
      </c>
      <c r="AZ149" s="1">
        <v>40.0</v>
      </c>
      <c r="BA149" s="3">
        <v>80.0</v>
      </c>
      <c r="BB149" s="3">
        <v>402.0</v>
      </c>
      <c r="BC149" s="1">
        <v>150.0</v>
      </c>
      <c r="BD149" s="1">
        <v>190.0</v>
      </c>
      <c r="BE149" s="1">
        <v>80.0</v>
      </c>
      <c r="BF149" s="1"/>
      <c r="BG149" s="1">
        <v>213.0</v>
      </c>
      <c r="BH149" s="1">
        <v>23.0</v>
      </c>
      <c r="BI149" s="1">
        <v>40.0</v>
      </c>
      <c r="BJ149" s="1">
        <v>278.0</v>
      </c>
      <c r="BK149" s="3"/>
      <c r="BL149" s="1">
        <v>160.0</v>
      </c>
      <c r="BM149" s="1">
        <v>75.0</v>
      </c>
      <c r="BN149" s="32">
        <v>1802.0</v>
      </c>
      <c r="BO149" s="1">
        <v>47.0</v>
      </c>
      <c r="BP149" s="3">
        <v>48.0</v>
      </c>
      <c r="BQ149" s="1">
        <v>188.0</v>
      </c>
      <c r="BR149" s="28">
        <v>53374.07</v>
      </c>
    </row>
    <row r="150">
      <c r="A150" s="25">
        <f>'Equity Price Data'!A151</f>
        <v>45638.66667</v>
      </c>
      <c r="B150" s="34">
        <f>(('PRACTICE Equity Price Data'!B151/'PRACTICE Equity Price Data'!B150)-1)+B149</f>
        <v>0.1523567263</v>
      </c>
      <c r="C150" s="34">
        <f>(('PRACTICE Equity Price Data'!C151/'PRACTICE Equity Price Data'!C150)-1)+C149</f>
        <v>0.2045242766</v>
      </c>
      <c r="D150" s="34">
        <f>(('PRACTICE Equity Price Data'!D151/'PRACTICE Equity Price Data'!D150)-1)+D149</f>
        <v>0.1119087744</v>
      </c>
      <c r="E150" s="34">
        <f>(('PRACTICE Equity Price Data'!E151/'PRACTICE Equity Price Data'!E150)-1)+E149</f>
        <v>0.1484457895</v>
      </c>
      <c r="F150" s="3">
        <v>13.0</v>
      </c>
      <c r="G150" s="3">
        <v>260.0</v>
      </c>
      <c r="H150" s="3">
        <v>110.0</v>
      </c>
      <c r="I150" s="3">
        <v>256.0</v>
      </c>
      <c r="J150" s="3">
        <v>83.0</v>
      </c>
      <c r="K150" s="3">
        <v>188.0</v>
      </c>
      <c r="L150" s="3">
        <v>1000.0</v>
      </c>
      <c r="M150" s="3">
        <v>102.0</v>
      </c>
      <c r="N150" s="3">
        <v>200.0</v>
      </c>
      <c r="O150" s="3">
        <v>121.0</v>
      </c>
      <c r="P150" s="3"/>
      <c r="Q150" s="3">
        <v>80.0</v>
      </c>
      <c r="R150" s="3">
        <v>150.0</v>
      </c>
      <c r="S150" s="3">
        <v>417.0</v>
      </c>
      <c r="T150" s="3">
        <v>120.0</v>
      </c>
      <c r="U150" s="3">
        <v>80.0</v>
      </c>
      <c r="V150" s="1">
        <v>88.0</v>
      </c>
      <c r="W150" s="1">
        <v>250.0</v>
      </c>
      <c r="X150" s="1">
        <v>264.0</v>
      </c>
      <c r="Y150" s="1">
        <v>161.0</v>
      </c>
      <c r="Z150" s="1">
        <v>69.0</v>
      </c>
      <c r="AA150" s="3"/>
      <c r="AB150" s="1">
        <v>13.0</v>
      </c>
      <c r="AC150" s="1">
        <v>150.0</v>
      </c>
      <c r="AD150" s="1">
        <v>170.0</v>
      </c>
      <c r="AE150" s="1">
        <v>60.0</v>
      </c>
      <c r="AF150" s="1">
        <v>40.0</v>
      </c>
      <c r="AG150" s="1">
        <v>45.0</v>
      </c>
      <c r="AH150" s="3">
        <v>200.0</v>
      </c>
      <c r="AI150" s="1">
        <v>205.0</v>
      </c>
      <c r="AJ150" s="1">
        <v>60.0</v>
      </c>
      <c r="AK150" s="1">
        <v>100.0</v>
      </c>
      <c r="AL150" s="1">
        <v>175.0</v>
      </c>
      <c r="AM150" s="1">
        <v>130.0</v>
      </c>
      <c r="AN150" s="3">
        <v>47.0</v>
      </c>
      <c r="AO150" s="3">
        <v>160.0</v>
      </c>
      <c r="AP150" s="3">
        <v>70.0</v>
      </c>
      <c r="AQ150" s="3">
        <v>35.0</v>
      </c>
      <c r="AR150" s="1">
        <v>854.0</v>
      </c>
      <c r="AS150" s="1">
        <v>250.0</v>
      </c>
      <c r="AT150" s="1">
        <v>220.0</v>
      </c>
      <c r="AU150" s="1"/>
      <c r="AV150" s="1">
        <v>120.0</v>
      </c>
      <c r="AW150" s="3">
        <v>200.0</v>
      </c>
      <c r="AX150" s="3"/>
      <c r="AY150" s="3">
        <v>142.0</v>
      </c>
      <c r="AZ150" s="1">
        <v>40.0</v>
      </c>
      <c r="BA150" s="3">
        <v>80.0</v>
      </c>
      <c r="BB150" s="3">
        <v>402.0</v>
      </c>
      <c r="BC150" s="1">
        <v>150.0</v>
      </c>
      <c r="BD150" s="1">
        <v>190.0</v>
      </c>
      <c r="BE150" s="1">
        <v>80.0</v>
      </c>
      <c r="BF150" s="1"/>
      <c r="BG150" s="1">
        <v>213.0</v>
      </c>
      <c r="BH150" s="1">
        <v>23.0</v>
      </c>
      <c r="BI150" s="1">
        <v>40.0</v>
      </c>
      <c r="BJ150" s="1">
        <v>278.0</v>
      </c>
      <c r="BK150" s="3"/>
      <c r="BL150" s="1">
        <v>160.0</v>
      </c>
      <c r="BM150" s="1">
        <v>75.0</v>
      </c>
      <c r="BN150" s="32">
        <v>1802.0</v>
      </c>
      <c r="BO150" s="1">
        <v>47.0</v>
      </c>
      <c r="BP150" s="3">
        <v>48.0</v>
      </c>
      <c r="BQ150" s="1">
        <v>188.0</v>
      </c>
      <c r="BR150" s="28">
        <v>53374.07</v>
      </c>
    </row>
    <row r="151">
      <c r="A151" s="25">
        <f>'Equity Price Data'!A152</f>
        <v>45639.66667</v>
      </c>
      <c r="B151" s="34">
        <f>(('PRACTICE Equity Price Data'!B152/'PRACTICE Equity Price Data'!B151)-1)+B150</f>
        <v>0.1523302855</v>
      </c>
      <c r="C151" s="34">
        <f>(('PRACTICE Equity Price Data'!C152/'PRACTICE Equity Price Data'!C151)-1)+C150</f>
        <v>0.2057241053</v>
      </c>
      <c r="D151" s="34">
        <f>(('PRACTICE Equity Price Data'!D152/'PRACTICE Equity Price Data'!D151)-1)+D150</f>
        <v>0.1099490403</v>
      </c>
      <c r="E151" s="34">
        <f>(('PRACTICE Equity Price Data'!E152/'PRACTICE Equity Price Data'!E151)-1)+E150</f>
        <v>0.1424400633</v>
      </c>
      <c r="F151" s="3">
        <v>13.0</v>
      </c>
      <c r="G151" s="3">
        <v>260.0</v>
      </c>
      <c r="H151" s="3">
        <v>110.0</v>
      </c>
      <c r="I151" s="3">
        <v>256.0</v>
      </c>
      <c r="J151" s="3">
        <v>83.0</v>
      </c>
      <c r="K151" s="3">
        <v>188.0</v>
      </c>
      <c r="L151" s="3">
        <v>1000.0</v>
      </c>
      <c r="M151" s="3">
        <v>102.0</v>
      </c>
      <c r="N151" s="3">
        <v>200.0</v>
      </c>
      <c r="O151" s="3">
        <v>121.0</v>
      </c>
      <c r="P151" s="3"/>
      <c r="Q151" s="3">
        <v>80.0</v>
      </c>
      <c r="R151" s="3">
        <v>150.0</v>
      </c>
      <c r="S151" s="3">
        <v>417.0</v>
      </c>
      <c r="T151" s="3">
        <v>120.0</v>
      </c>
      <c r="U151" s="3">
        <v>80.0</v>
      </c>
      <c r="V151" s="1">
        <v>88.0</v>
      </c>
      <c r="W151" s="1">
        <v>250.0</v>
      </c>
      <c r="X151" s="1">
        <v>264.0</v>
      </c>
      <c r="Y151" s="1">
        <v>161.0</v>
      </c>
      <c r="Z151" s="1">
        <v>69.0</v>
      </c>
      <c r="AA151" s="3"/>
      <c r="AB151" s="1">
        <v>13.0</v>
      </c>
      <c r="AC151" s="1">
        <v>150.0</v>
      </c>
      <c r="AD151" s="1">
        <v>170.0</v>
      </c>
      <c r="AE151" s="1">
        <v>60.0</v>
      </c>
      <c r="AF151" s="1">
        <v>40.0</v>
      </c>
      <c r="AG151" s="1">
        <v>45.0</v>
      </c>
      <c r="AH151" s="3">
        <v>200.0</v>
      </c>
      <c r="AI151" s="1">
        <v>205.0</v>
      </c>
      <c r="AJ151" s="1">
        <v>60.0</v>
      </c>
      <c r="AK151" s="1">
        <v>100.0</v>
      </c>
      <c r="AL151" s="1">
        <v>175.0</v>
      </c>
      <c r="AM151" s="1">
        <v>130.0</v>
      </c>
      <c r="AN151" s="3">
        <v>47.0</v>
      </c>
      <c r="AO151" s="3">
        <v>160.0</v>
      </c>
      <c r="AP151" s="3">
        <v>70.0</v>
      </c>
      <c r="AQ151" s="3">
        <v>35.0</v>
      </c>
      <c r="AR151" s="1">
        <v>854.0</v>
      </c>
      <c r="AS151" s="1">
        <v>250.0</v>
      </c>
      <c r="AT151" s="1">
        <v>220.0</v>
      </c>
      <c r="AU151" s="1"/>
      <c r="AV151" s="1">
        <v>120.0</v>
      </c>
      <c r="AW151" s="3">
        <v>200.0</v>
      </c>
      <c r="AX151" s="3"/>
      <c r="AY151" s="3">
        <v>142.0</v>
      </c>
      <c r="AZ151" s="1">
        <v>40.0</v>
      </c>
      <c r="BA151" s="3">
        <v>80.0</v>
      </c>
      <c r="BB151" s="3">
        <v>402.0</v>
      </c>
      <c r="BC151" s="1">
        <v>150.0</v>
      </c>
      <c r="BD151" s="1">
        <v>190.0</v>
      </c>
      <c r="BE151" s="1">
        <v>80.0</v>
      </c>
      <c r="BF151" s="1"/>
      <c r="BG151" s="1">
        <v>213.0</v>
      </c>
      <c r="BH151" s="1">
        <v>23.0</v>
      </c>
      <c r="BI151" s="1">
        <v>40.0</v>
      </c>
      <c r="BJ151" s="1">
        <v>278.0</v>
      </c>
      <c r="BK151" s="3"/>
      <c r="BL151" s="1">
        <v>160.0</v>
      </c>
      <c r="BM151" s="1">
        <v>75.0</v>
      </c>
      <c r="BN151" s="32">
        <v>1802.0</v>
      </c>
      <c r="BO151" s="1">
        <v>47.0</v>
      </c>
      <c r="BP151" s="3">
        <v>48.0</v>
      </c>
      <c r="BQ151" s="1">
        <v>188.0</v>
      </c>
      <c r="BR151" s="28">
        <v>53374.07</v>
      </c>
    </row>
    <row r="152">
      <c r="A152" s="25">
        <f>'Equity Price Data'!A153</f>
        <v>45642.66667</v>
      </c>
      <c r="B152" s="34">
        <f>(('PRACTICE Equity Price Data'!B153/'PRACTICE Equity Price Data'!B152)-1)+B151</f>
        <v>0.156129601</v>
      </c>
      <c r="C152" s="34">
        <f>(('PRACTICE Equity Price Data'!C153/'PRACTICE Equity Price Data'!C152)-1)+C151</f>
        <v>0.2181280534</v>
      </c>
      <c r="D152" s="34">
        <f>(('PRACTICE Equity Price Data'!D153/'PRACTICE Equity Price Data'!D152)-1)+D151</f>
        <v>0.1074259991</v>
      </c>
      <c r="E152" s="34">
        <f>(('PRACTICE Equity Price Data'!E153/'PRACTICE Equity Price Data'!E152)-1)+E151</f>
        <v>0.1488698217</v>
      </c>
      <c r="F152" s="3">
        <v>13.0</v>
      </c>
      <c r="G152" s="3">
        <v>260.0</v>
      </c>
      <c r="H152" s="3">
        <v>110.0</v>
      </c>
      <c r="I152" s="3">
        <v>256.0</v>
      </c>
      <c r="J152" s="3">
        <v>83.0</v>
      </c>
      <c r="K152" s="3">
        <v>188.0</v>
      </c>
      <c r="L152" s="3">
        <v>1000.0</v>
      </c>
      <c r="M152" s="3">
        <v>102.0</v>
      </c>
      <c r="N152" s="3">
        <v>200.0</v>
      </c>
      <c r="O152" s="3">
        <v>121.0</v>
      </c>
      <c r="P152" s="3"/>
      <c r="Q152" s="3">
        <v>80.0</v>
      </c>
      <c r="R152" s="3">
        <v>150.0</v>
      </c>
      <c r="S152" s="3">
        <v>417.0</v>
      </c>
      <c r="T152" s="3">
        <v>120.0</v>
      </c>
      <c r="U152" s="3">
        <v>80.0</v>
      </c>
      <c r="V152" s="1">
        <v>88.0</v>
      </c>
      <c r="W152" s="1">
        <v>250.0</v>
      </c>
      <c r="X152" s="1">
        <v>264.0</v>
      </c>
      <c r="Y152" s="1">
        <v>161.0</v>
      </c>
      <c r="Z152" s="1">
        <v>69.0</v>
      </c>
      <c r="AA152" s="3"/>
      <c r="AB152" s="1">
        <v>13.0</v>
      </c>
      <c r="AC152" s="1">
        <v>150.0</v>
      </c>
      <c r="AD152" s="1">
        <v>170.0</v>
      </c>
      <c r="AE152" s="1">
        <v>60.0</v>
      </c>
      <c r="AF152" s="1">
        <v>40.0</v>
      </c>
      <c r="AG152" s="1">
        <v>45.0</v>
      </c>
      <c r="AH152" s="3">
        <v>200.0</v>
      </c>
      <c r="AI152" s="1">
        <v>205.0</v>
      </c>
      <c r="AJ152" s="1">
        <v>60.0</v>
      </c>
      <c r="AK152" s="1">
        <v>100.0</v>
      </c>
      <c r="AL152" s="1">
        <v>175.0</v>
      </c>
      <c r="AM152" s="1">
        <v>130.0</v>
      </c>
      <c r="AN152" s="3">
        <v>47.0</v>
      </c>
      <c r="AO152" s="3">
        <v>160.0</v>
      </c>
      <c r="AP152" s="3">
        <v>70.0</v>
      </c>
      <c r="AQ152" s="3">
        <v>35.0</v>
      </c>
      <c r="AR152" s="1">
        <v>854.0</v>
      </c>
      <c r="AS152" s="1">
        <v>250.0</v>
      </c>
      <c r="AT152" s="1">
        <v>220.0</v>
      </c>
      <c r="AU152" s="1"/>
      <c r="AV152" s="1">
        <v>120.0</v>
      </c>
      <c r="AW152" s="3">
        <v>200.0</v>
      </c>
      <c r="AX152" s="3"/>
      <c r="AY152" s="3">
        <v>142.0</v>
      </c>
      <c r="AZ152" s="1">
        <v>40.0</v>
      </c>
      <c r="BA152" s="3">
        <v>80.0</v>
      </c>
      <c r="BB152" s="3">
        <v>402.0</v>
      </c>
      <c r="BC152" s="1">
        <v>150.0</v>
      </c>
      <c r="BD152" s="1">
        <v>190.0</v>
      </c>
      <c r="BE152" s="1">
        <v>80.0</v>
      </c>
      <c r="BF152" s="1"/>
      <c r="BG152" s="1">
        <v>213.0</v>
      </c>
      <c r="BH152" s="1">
        <v>23.0</v>
      </c>
      <c r="BI152" s="1">
        <v>40.0</v>
      </c>
      <c r="BJ152" s="1">
        <v>278.0</v>
      </c>
      <c r="BK152" s="3"/>
      <c r="BL152" s="1">
        <v>160.0</v>
      </c>
      <c r="BM152" s="1">
        <v>75.0</v>
      </c>
      <c r="BN152" s="32">
        <v>1802.0</v>
      </c>
      <c r="BO152" s="1">
        <v>47.0</v>
      </c>
      <c r="BP152" s="3">
        <v>48.0</v>
      </c>
      <c r="BQ152" s="1">
        <v>188.0</v>
      </c>
      <c r="BR152" s="28">
        <v>53374.07</v>
      </c>
    </row>
    <row r="153">
      <c r="A153" s="25">
        <f>'Equity Price Data'!A154</f>
        <v>45643.66667</v>
      </c>
      <c r="B153" s="34">
        <f>(('PRACTICE Equity Price Data'!B154/'PRACTICE Equity Price Data'!B153)-1)+B152</f>
        <v>0.1522656413</v>
      </c>
      <c r="C153" s="34">
        <f>(('PRACTICE Equity Price Data'!C154/'PRACTICE Equity Price Data'!C153)-1)+C152</f>
        <v>0.2149144937</v>
      </c>
      <c r="D153" s="34">
        <f>(('PRACTICE Equity Price Data'!D154/'PRACTICE Equity Price Data'!D153)-1)+D152</f>
        <v>0.1013053352</v>
      </c>
      <c r="E153" s="34">
        <f>(('PRACTICE Equity Price Data'!E154/'PRACTICE Equity Price Data'!E153)-1)+E152</f>
        <v>0.1370535143</v>
      </c>
      <c r="F153" s="3">
        <v>13.0</v>
      </c>
      <c r="G153" s="3">
        <v>260.0</v>
      </c>
      <c r="H153" s="3">
        <v>110.0</v>
      </c>
      <c r="I153" s="3">
        <v>256.0</v>
      </c>
      <c r="J153" s="3">
        <v>83.0</v>
      </c>
      <c r="K153" s="3">
        <v>188.0</v>
      </c>
      <c r="L153" s="3">
        <v>1000.0</v>
      </c>
      <c r="M153" s="3">
        <v>102.0</v>
      </c>
      <c r="N153" s="3">
        <v>200.0</v>
      </c>
      <c r="O153" s="3">
        <v>121.0</v>
      </c>
      <c r="P153" s="3"/>
      <c r="Q153" s="3">
        <v>80.0</v>
      </c>
      <c r="R153" s="3">
        <v>150.0</v>
      </c>
      <c r="S153" s="3">
        <v>417.0</v>
      </c>
      <c r="T153" s="3">
        <v>120.0</v>
      </c>
      <c r="U153" s="3">
        <v>80.0</v>
      </c>
      <c r="V153" s="1">
        <v>88.0</v>
      </c>
      <c r="W153" s="1">
        <v>250.0</v>
      </c>
      <c r="X153" s="1">
        <v>264.0</v>
      </c>
      <c r="Y153" s="1">
        <v>161.0</v>
      </c>
      <c r="Z153" s="1">
        <v>69.0</v>
      </c>
      <c r="AA153" s="3"/>
      <c r="AB153" s="1">
        <v>13.0</v>
      </c>
      <c r="AC153" s="1">
        <v>150.0</v>
      </c>
      <c r="AD153" s="1">
        <v>170.0</v>
      </c>
      <c r="AE153" s="1">
        <v>60.0</v>
      </c>
      <c r="AF153" s="1">
        <v>40.0</v>
      </c>
      <c r="AG153" s="1">
        <v>45.0</v>
      </c>
      <c r="AH153" s="3">
        <v>200.0</v>
      </c>
      <c r="AI153" s="1">
        <v>205.0</v>
      </c>
      <c r="AJ153" s="1">
        <v>60.0</v>
      </c>
      <c r="AK153" s="1">
        <v>100.0</v>
      </c>
      <c r="AL153" s="1">
        <v>175.0</v>
      </c>
      <c r="AM153" s="1">
        <v>130.0</v>
      </c>
      <c r="AN153" s="3">
        <v>47.0</v>
      </c>
      <c r="AO153" s="3">
        <v>160.0</v>
      </c>
      <c r="AP153" s="3">
        <v>70.0</v>
      </c>
      <c r="AQ153" s="3">
        <v>35.0</v>
      </c>
      <c r="AR153" s="1">
        <v>854.0</v>
      </c>
      <c r="AS153" s="1">
        <v>250.0</v>
      </c>
      <c r="AT153" s="1">
        <v>220.0</v>
      </c>
      <c r="AU153" s="1"/>
      <c r="AV153" s="1">
        <v>120.0</v>
      </c>
      <c r="AW153" s="3">
        <v>200.0</v>
      </c>
      <c r="AX153" s="3"/>
      <c r="AY153" s="3">
        <v>142.0</v>
      </c>
      <c r="AZ153" s="1">
        <v>40.0</v>
      </c>
      <c r="BA153" s="3">
        <v>80.0</v>
      </c>
      <c r="BB153" s="3">
        <v>402.0</v>
      </c>
      <c r="BC153" s="1">
        <v>150.0</v>
      </c>
      <c r="BD153" s="1">
        <v>190.0</v>
      </c>
      <c r="BE153" s="1">
        <v>80.0</v>
      </c>
      <c r="BF153" s="1"/>
      <c r="BG153" s="1">
        <v>213.0</v>
      </c>
      <c r="BH153" s="1">
        <v>23.0</v>
      </c>
      <c r="BI153" s="1">
        <v>40.0</v>
      </c>
      <c r="BJ153" s="1">
        <v>278.0</v>
      </c>
      <c r="BK153" s="3"/>
      <c r="BL153" s="1">
        <v>160.0</v>
      </c>
      <c r="BM153" s="1">
        <v>75.0</v>
      </c>
      <c r="BN153" s="32">
        <v>1802.0</v>
      </c>
      <c r="BO153" s="1">
        <v>47.0</v>
      </c>
      <c r="BP153" s="3">
        <v>48.0</v>
      </c>
      <c r="BQ153" s="1">
        <v>188.0</v>
      </c>
      <c r="BR153" s="28">
        <v>53374.07</v>
      </c>
    </row>
    <row r="154">
      <c r="A154" s="25">
        <f>'Equity Price Data'!A155</f>
        <v>45644.66667</v>
      </c>
      <c r="B154" s="34">
        <f>(('PRACTICE Equity Price Data'!B155/'PRACTICE Equity Price Data'!B154)-1)+B153</f>
        <v>0.1227727472</v>
      </c>
      <c r="C154" s="34">
        <f>(('PRACTICE Equity Price Data'!C155/'PRACTICE Equity Price Data'!C154)-1)+C153</f>
        <v>0.1792902527</v>
      </c>
      <c r="D154" s="34">
        <f>(('PRACTICE Equity Price Data'!D155/'PRACTICE Equity Price Data'!D154)-1)+D153</f>
        <v>0.07545878551</v>
      </c>
      <c r="E154" s="34">
        <f>(('PRACTICE Equity Price Data'!E155/'PRACTICE Equity Price Data'!E154)-1)+E153</f>
        <v>0.09310900509</v>
      </c>
      <c r="F154" s="3">
        <v>13.0</v>
      </c>
      <c r="G154" s="3">
        <v>260.0</v>
      </c>
      <c r="H154" s="3">
        <v>110.0</v>
      </c>
      <c r="I154" s="3">
        <v>256.0</v>
      </c>
      <c r="J154" s="3">
        <v>83.0</v>
      </c>
      <c r="K154" s="3">
        <v>188.0</v>
      </c>
      <c r="L154" s="3">
        <v>1000.0</v>
      </c>
      <c r="M154" s="3">
        <v>102.0</v>
      </c>
      <c r="N154" s="3">
        <v>200.0</v>
      </c>
      <c r="O154" s="3">
        <v>121.0</v>
      </c>
      <c r="P154" s="3"/>
      <c r="Q154" s="3">
        <v>80.0</v>
      </c>
      <c r="R154" s="3">
        <v>150.0</v>
      </c>
      <c r="S154" s="3">
        <v>417.0</v>
      </c>
      <c r="T154" s="3">
        <v>120.0</v>
      </c>
      <c r="U154" s="3">
        <v>80.0</v>
      </c>
      <c r="V154" s="1">
        <v>88.0</v>
      </c>
      <c r="W154" s="1">
        <v>250.0</v>
      </c>
      <c r="X154" s="1">
        <v>264.0</v>
      </c>
      <c r="Y154" s="1">
        <v>161.0</v>
      </c>
      <c r="Z154" s="1">
        <v>69.0</v>
      </c>
      <c r="AA154" s="3"/>
      <c r="AB154" s="1">
        <v>13.0</v>
      </c>
      <c r="AC154" s="1">
        <v>150.0</v>
      </c>
      <c r="AD154" s="1">
        <v>170.0</v>
      </c>
      <c r="AE154" s="1">
        <v>60.0</v>
      </c>
      <c r="AF154" s="1">
        <v>40.0</v>
      </c>
      <c r="AG154" s="1">
        <v>45.0</v>
      </c>
      <c r="AH154" s="3">
        <v>200.0</v>
      </c>
      <c r="AI154" s="1">
        <v>205.0</v>
      </c>
      <c r="AJ154" s="1">
        <v>60.0</v>
      </c>
      <c r="AK154" s="1">
        <v>100.0</v>
      </c>
      <c r="AL154" s="1">
        <v>175.0</v>
      </c>
      <c r="AM154" s="1">
        <v>130.0</v>
      </c>
      <c r="AN154" s="3">
        <v>47.0</v>
      </c>
      <c r="AO154" s="3">
        <v>160.0</v>
      </c>
      <c r="AP154" s="3">
        <v>70.0</v>
      </c>
      <c r="AQ154" s="3">
        <v>35.0</v>
      </c>
      <c r="AR154" s="1">
        <v>854.0</v>
      </c>
      <c r="AS154" s="1">
        <v>250.0</v>
      </c>
      <c r="AT154" s="1">
        <v>220.0</v>
      </c>
      <c r="AU154" s="1"/>
      <c r="AV154" s="1">
        <v>120.0</v>
      </c>
      <c r="AW154" s="3">
        <v>200.0</v>
      </c>
      <c r="AX154" s="3"/>
      <c r="AY154" s="3">
        <v>142.0</v>
      </c>
      <c r="AZ154" s="1">
        <v>40.0</v>
      </c>
      <c r="BA154" s="3">
        <v>80.0</v>
      </c>
      <c r="BB154" s="3">
        <v>402.0</v>
      </c>
      <c r="BC154" s="1">
        <v>150.0</v>
      </c>
      <c r="BD154" s="1">
        <v>190.0</v>
      </c>
      <c r="BE154" s="1">
        <v>80.0</v>
      </c>
      <c r="BF154" s="1"/>
      <c r="BG154" s="1">
        <v>213.0</v>
      </c>
      <c r="BH154" s="1">
        <v>23.0</v>
      </c>
      <c r="BI154" s="1">
        <v>40.0</v>
      </c>
      <c r="BJ154" s="1">
        <v>278.0</v>
      </c>
      <c r="BK154" s="3"/>
      <c r="BL154" s="1">
        <v>160.0</v>
      </c>
      <c r="BM154" s="1">
        <v>75.0</v>
      </c>
      <c r="BN154" s="32">
        <v>1802.0</v>
      </c>
      <c r="BO154" s="1">
        <v>47.0</v>
      </c>
      <c r="BP154" s="3">
        <v>48.0</v>
      </c>
      <c r="BQ154" s="1">
        <v>188.0</v>
      </c>
      <c r="BR154" s="28">
        <v>53374.07</v>
      </c>
    </row>
    <row r="155">
      <c r="A155" s="25">
        <f>'Equity Price Data'!A156</f>
        <v>45645.66667</v>
      </c>
      <c r="B155" s="34">
        <f>(('PRACTICE Equity Price Data'!B156/'PRACTICE Equity Price Data'!B155)-1)+B154</f>
        <v>0.1219076482</v>
      </c>
      <c r="C155" s="34">
        <f>(('PRACTICE Equity Price Data'!C156/'PRACTICE Equity Price Data'!C155)-1)+C154</f>
        <v>0.1782630615</v>
      </c>
      <c r="D155" s="34">
        <f>(('PRACTICE Equity Price Data'!D156/'PRACTICE Equity Price Data'!D155)-1)+D154</f>
        <v>0.07582191182</v>
      </c>
      <c r="E155" s="34">
        <f>(('PRACTICE Equity Price Data'!E156/'PRACTICE Equity Price Data'!E155)-1)+E154</f>
        <v>0.08862325329</v>
      </c>
      <c r="F155" s="3">
        <v>13.0</v>
      </c>
      <c r="G155" s="3">
        <v>260.0</v>
      </c>
      <c r="H155" s="3">
        <v>110.0</v>
      </c>
      <c r="I155" s="3">
        <v>256.0</v>
      </c>
      <c r="J155" s="3">
        <v>83.0</v>
      </c>
      <c r="K155" s="3">
        <v>188.0</v>
      </c>
      <c r="L155" s="3">
        <v>1000.0</v>
      </c>
      <c r="M155" s="3">
        <v>102.0</v>
      </c>
      <c r="N155" s="3">
        <v>200.0</v>
      </c>
      <c r="O155" s="3">
        <v>121.0</v>
      </c>
      <c r="P155" s="3"/>
      <c r="Q155" s="3">
        <v>80.0</v>
      </c>
      <c r="R155" s="3">
        <v>150.0</v>
      </c>
      <c r="S155" s="3">
        <v>417.0</v>
      </c>
      <c r="T155" s="3">
        <v>120.0</v>
      </c>
      <c r="U155" s="3">
        <v>80.0</v>
      </c>
      <c r="V155" s="1">
        <v>88.0</v>
      </c>
      <c r="W155" s="1">
        <v>250.0</v>
      </c>
      <c r="X155" s="1">
        <v>264.0</v>
      </c>
      <c r="Y155" s="1">
        <v>161.0</v>
      </c>
      <c r="Z155" s="1">
        <v>69.0</v>
      </c>
      <c r="AA155" s="3"/>
      <c r="AB155" s="1">
        <v>13.0</v>
      </c>
      <c r="AC155" s="1">
        <v>150.0</v>
      </c>
      <c r="AD155" s="1">
        <v>170.0</v>
      </c>
      <c r="AE155" s="1">
        <v>60.0</v>
      </c>
      <c r="AF155" s="1">
        <v>40.0</v>
      </c>
      <c r="AG155" s="1">
        <v>45.0</v>
      </c>
      <c r="AH155" s="3">
        <v>200.0</v>
      </c>
      <c r="AI155" s="1">
        <v>205.0</v>
      </c>
      <c r="AJ155" s="1">
        <v>60.0</v>
      </c>
      <c r="AK155" s="1">
        <v>100.0</v>
      </c>
      <c r="AL155" s="1">
        <v>175.0</v>
      </c>
      <c r="AM155" s="1">
        <v>130.0</v>
      </c>
      <c r="AN155" s="3">
        <v>47.0</v>
      </c>
      <c r="AO155" s="3">
        <v>160.0</v>
      </c>
      <c r="AP155" s="3">
        <v>70.0</v>
      </c>
      <c r="AQ155" s="3">
        <v>35.0</v>
      </c>
      <c r="AR155" s="1">
        <v>854.0</v>
      </c>
      <c r="AS155" s="1">
        <v>250.0</v>
      </c>
      <c r="AT155" s="1">
        <v>220.0</v>
      </c>
      <c r="AU155" s="1"/>
      <c r="AV155" s="1">
        <v>120.0</v>
      </c>
      <c r="AW155" s="3">
        <v>200.0</v>
      </c>
      <c r="AX155" s="3"/>
      <c r="AY155" s="3">
        <v>142.0</v>
      </c>
      <c r="AZ155" s="1">
        <v>40.0</v>
      </c>
      <c r="BA155" s="3">
        <v>80.0</v>
      </c>
      <c r="BB155" s="3">
        <v>402.0</v>
      </c>
      <c r="BC155" s="1">
        <v>150.0</v>
      </c>
      <c r="BD155" s="1">
        <v>190.0</v>
      </c>
      <c r="BE155" s="1">
        <v>80.0</v>
      </c>
      <c r="BF155" s="1"/>
      <c r="BG155" s="1">
        <v>213.0</v>
      </c>
      <c r="BH155" s="1">
        <v>23.0</v>
      </c>
      <c r="BI155" s="1">
        <v>40.0</v>
      </c>
      <c r="BJ155" s="1">
        <v>278.0</v>
      </c>
      <c r="BK155" s="3"/>
      <c r="BL155" s="1">
        <v>160.0</v>
      </c>
      <c r="BM155" s="1">
        <v>75.0</v>
      </c>
      <c r="BN155" s="32">
        <v>1802.0</v>
      </c>
      <c r="BO155" s="1">
        <v>47.0</v>
      </c>
      <c r="BP155" s="3">
        <v>48.0</v>
      </c>
      <c r="BQ155" s="1">
        <v>188.0</v>
      </c>
      <c r="BR155" s="28">
        <v>53374.07</v>
      </c>
    </row>
    <row r="156">
      <c r="A156" s="25">
        <f>'Equity Price Data'!A157</f>
        <v>45646.66667</v>
      </c>
      <c r="B156" s="34">
        <f>(('PRACTICE Equity Price Data'!B157/'PRACTICE Equity Price Data'!B156)-1)+B155</f>
        <v>0.1327767688</v>
      </c>
      <c r="C156" s="34">
        <f>(('PRACTICE Equity Price Data'!C157/'PRACTICE Equity Price Data'!C156)-1)+C155</f>
        <v>0.1885780552</v>
      </c>
      <c r="D156" s="34">
        <f>(('PRACTICE Equity Price Data'!D157/'PRACTICE Equity Price Data'!D156)-1)+D155</f>
        <v>0.08758368918</v>
      </c>
      <c r="E156" s="34">
        <f>(('PRACTICE Equity Price Data'!E157/'PRACTICE Equity Price Data'!E156)-1)+E155</f>
        <v>0.09801780652</v>
      </c>
      <c r="F156" s="3">
        <v>13.0</v>
      </c>
      <c r="G156" s="3">
        <v>260.0</v>
      </c>
      <c r="H156" s="3">
        <v>110.0</v>
      </c>
      <c r="I156" s="3">
        <v>256.0</v>
      </c>
      <c r="J156" s="3">
        <v>83.0</v>
      </c>
      <c r="K156" s="3">
        <v>188.0</v>
      </c>
      <c r="L156" s="3">
        <v>1000.0</v>
      </c>
      <c r="M156" s="3">
        <v>102.0</v>
      </c>
      <c r="N156" s="3">
        <v>200.0</v>
      </c>
      <c r="O156" s="3">
        <v>121.0</v>
      </c>
      <c r="P156" s="3"/>
      <c r="Q156" s="3">
        <v>80.0</v>
      </c>
      <c r="R156" s="3">
        <v>150.0</v>
      </c>
      <c r="S156" s="3">
        <v>417.0</v>
      </c>
      <c r="T156" s="3">
        <v>120.0</v>
      </c>
      <c r="U156" s="3">
        <v>80.0</v>
      </c>
      <c r="V156" s="1">
        <v>88.0</v>
      </c>
      <c r="W156" s="1">
        <v>250.0</v>
      </c>
      <c r="X156" s="1">
        <v>264.0</v>
      </c>
      <c r="Y156" s="1">
        <v>161.0</v>
      </c>
      <c r="Z156" s="1">
        <v>69.0</v>
      </c>
      <c r="AA156" s="3"/>
      <c r="AB156" s="1">
        <v>13.0</v>
      </c>
      <c r="AC156" s="1">
        <v>150.0</v>
      </c>
      <c r="AD156" s="1">
        <v>170.0</v>
      </c>
      <c r="AE156" s="1">
        <v>60.0</v>
      </c>
      <c r="AF156" s="1">
        <v>40.0</v>
      </c>
      <c r="AG156" s="1">
        <v>45.0</v>
      </c>
      <c r="AH156" s="3">
        <v>200.0</v>
      </c>
      <c r="AI156" s="1">
        <v>205.0</v>
      </c>
      <c r="AJ156" s="1">
        <v>60.0</v>
      </c>
      <c r="AK156" s="1">
        <v>100.0</v>
      </c>
      <c r="AL156" s="1">
        <v>175.0</v>
      </c>
      <c r="AM156" s="1">
        <v>130.0</v>
      </c>
      <c r="AN156" s="3">
        <v>47.0</v>
      </c>
      <c r="AO156" s="3">
        <v>160.0</v>
      </c>
      <c r="AP156" s="3">
        <v>70.0</v>
      </c>
      <c r="AQ156" s="3">
        <v>35.0</v>
      </c>
      <c r="AR156" s="1">
        <v>854.0</v>
      </c>
      <c r="AS156" s="1">
        <v>250.0</v>
      </c>
      <c r="AT156" s="1">
        <v>220.0</v>
      </c>
      <c r="AU156" s="1"/>
      <c r="AV156" s="1">
        <v>120.0</v>
      </c>
      <c r="AW156" s="3">
        <v>200.0</v>
      </c>
      <c r="AX156" s="3"/>
      <c r="AY156" s="3">
        <v>142.0</v>
      </c>
      <c r="AZ156" s="1">
        <v>40.0</v>
      </c>
      <c r="BA156" s="3">
        <v>80.0</v>
      </c>
      <c r="BB156" s="3">
        <v>402.0</v>
      </c>
      <c r="BC156" s="1">
        <v>150.0</v>
      </c>
      <c r="BD156" s="1">
        <v>190.0</v>
      </c>
      <c r="BE156" s="1">
        <v>80.0</v>
      </c>
      <c r="BF156" s="1"/>
      <c r="BG156" s="1">
        <v>213.0</v>
      </c>
      <c r="BH156" s="1">
        <v>23.0</v>
      </c>
      <c r="BI156" s="1">
        <v>40.0</v>
      </c>
      <c r="BJ156" s="1">
        <v>278.0</v>
      </c>
      <c r="BK156" s="3"/>
      <c r="BL156" s="1">
        <v>160.0</v>
      </c>
      <c r="BM156" s="1">
        <v>75.0</v>
      </c>
      <c r="BN156" s="32">
        <v>1802.0</v>
      </c>
      <c r="BO156" s="1">
        <v>47.0</v>
      </c>
      <c r="BP156" s="3">
        <v>48.0</v>
      </c>
      <c r="BQ156" s="1">
        <v>188.0</v>
      </c>
      <c r="BR156" s="28">
        <v>53374.07</v>
      </c>
    </row>
    <row r="157">
      <c r="A157" s="25">
        <f>'Equity Price Data'!A158</f>
        <v>45649.66667</v>
      </c>
      <c r="B157" s="34">
        <f>(('PRACTICE Equity Price Data'!B158/'PRACTICE Equity Price Data'!B157)-1)+B156</f>
        <v>0.1400640885</v>
      </c>
      <c r="C157" s="34">
        <f>(('PRACTICE Equity Price Data'!C158/'PRACTICE Equity Price Data'!C157)-1)+C156</f>
        <v>0.1984019927</v>
      </c>
      <c r="D157" s="34">
        <f>(('PRACTICE Equity Price Data'!D158/'PRACTICE Equity Price Data'!D157)-1)+D156</f>
        <v>0.08914040243</v>
      </c>
      <c r="E157" s="34">
        <f>(('PRACTICE Equity Price Data'!E158/'PRACTICE Equity Price Data'!E157)-1)+E156</f>
        <v>0.09581923982</v>
      </c>
      <c r="F157" s="3">
        <v>13.0</v>
      </c>
      <c r="G157" s="3">
        <v>260.0</v>
      </c>
      <c r="H157" s="3">
        <v>110.0</v>
      </c>
      <c r="I157" s="3">
        <v>256.0</v>
      </c>
      <c r="J157" s="3">
        <v>83.0</v>
      </c>
      <c r="K157" s="3">
        <v>188.0</v>
      </c>
      <c r="L157" s="3">
        <v>1000.0</v>
      </c>
      <c r="M157" s="3">
        <v>102.0</v>
      </c>
      <c r="N157" s="3">
        <v>200.0</v>
      </c>
      <c r="O157" s="3">
        <v>121.0</v>
      </c>
      <c r="P157" s="3"/>
      <c r="Q157" s="3">
        <v>80.0</v>
      </c>
      <c r="R157" s="3">
        <v>150.0</v>
      </c>
      <c r="S157" s="3">
        <v>417.0</v>
      </c>
      <c r="T157" s="3">
        <v>120.0</v>
      </c>
      <c r="U157" s="3">
        <v>80.0</v>
      </c>
      <c r="V157" s="1">
        <v>88.0</v>
      </c>
      <c r="W157" s="1">
        <v>250.0</v>
      </c>
      <c r="X157" s="1">
        <v>264.0</v>
      </c>
      <c r="Y157" s="1">
        <v>161.0</v>
      </c>
      <c r="Z157" s="1">
        <v>69.0</v>
      </c>
      <c r="AA157" s="3"/>
      <c r="AB157" s="1">
        <v>13.0</v>
      </c>
      <c r="AC157" s="1">
        <v>150.0</v>
      </c>
      <c r="AD157" s="1">
        <v>170.0</v>
      </c>
      <c r="AE157" s="1">
        <v>60.0</v>
      </c>
      <c r="AF157" s="1">
        <v>40.0</v>
      </c>
      <c r="AG157" s="1">
        <v>45.0</v>
      </c>
      <c r="AH157" s="3">
        <v>200.0</v>
      </c>
      <c r="AI157" s="1">
        <v>205.0</v>
      </c>
      <c r="AJ157" s="1">
        <v>60.0</v>
      </c>
      <c r="AK157" s="1">
        <v>100.0</v>
      </c>
      <c r="AL157" s="1">
        <v>175.0</v>
      </c>
      <c r="AM157" s="1">
        <v>130.0</v>
      </c>
      <c r="AN157" s="3">
        <v>47.0</v>
      </c>
      <c r="AO157" s="3">
        <v>160.0</v>
      </c>
      <c r="AP157" s="3">
        <v>70.0</v>
      </c>
      <c r="AQ157" s="3">
        <v>35.0</v>
      </c>
      <c r="AR157" s="1">
        <v>854.0</v>
      </c>
      <c r="AS157" s="1">
        <v>250.0</v>
      </c>
      <c r="AT157" s="1">
        <v>220.0</v>
      </c>
      <c r="AU157" s="1"/>
      <c r="AV157" s="1">
        <v>120.0</v>
      </c>
      <c r="AW157" s="3">
        <v>200.0</v>
      </c>
      <c r="AX157" s="3"/>
      <c r="AY157" s="3">
        <v>142.0</v>
      </c>
      <c r="AZ157" s="1">
        <v>40.0</v>
      </c>
      <c r="BA157" s="3">
        <v>80.0</v>
      </c>
      <c r="BB157" s="3">
        <v>402.0</v>
      </c>
      <c r="BC157" s="1">
        <v>150.0</v>
      </c>
      <c r="BD157" s="1">
        <v>190.0</v>
      </c>
      <c r="BE157" s="1">
        <v>80.0</v>
      </c>
      <c r="BF157" s="1"/>
      <c r="BG157" s="1">
        <v>213.0</v>
      </c>
      <c r="BH157" s="1">
        <v>23.0</v>
      </c>
      <c r="BI157" s="1">
        <v>40.0</v>
      </c>
      <c r="BJ157" s="1">
        <v>278.0</v>
      </c>
      <c r="BK157" s="3"/>
      <c r="BL157" s="1">
        <v>160.0</v>
      </c>
      <c r="BM157" s="1">
        <v>75.0</v>
      </c>
      <c r="BN157" s="32">
        <v>1802.0</v>
      </c>
      <c r="BO157" s="1">
        <v>47.0</v>
      </c>
      <c r="BP157" s="3">
        <v>48.0</v>
      </c>
      <c r="BQ157" s="1">
        <v>188.0</v>
      </c>
      <c r="BR157" s="28">
        <v>53374.07</v>
      </c>
    </row>
    <row r="158">
      <c r="A158" s="25">
        <f>'Equity Price Data'!A159</f>
        <v>45650.54514</v>
      </c>
      <c r="B158" s="34">
        <f>(('PRACTICE Equity Price Data'!B159/'PRACTICE Equity Price Data'!B158)-1)+B157</f>
        <v>0.1511068114</v>
      </c>
      <c r="C158" s="34">
        <f>(('PRACTICE Equity Price Data'!C159/'PRACTICE Equity Price Data'!C158)-1)+C157</f>
        <v>0.2118728562</v>
      </c>
      <c r="D158" s="34">
        <f>(('PRACTICE Equity Price Data'!D159/'PRACTICE Equity Price Data'!D158)-1)+D157</f>
        <v>0.09823170349</v>
      </c>
      <c r="E158" s="34">
        <f>(('PRACTICE Equity Price Data'!E159/'PRACTICE Equity Price Data'!E158)-1)+E157</f>
        <v>0.1058351509</v>
      </c>
      <c r="F158" s="3">
        <v>13.0</v>
      </c>
      <c r="G158" s="3">
        <v>260.0</v>
      </c>
      <c r="H158" s="3">
        <v>110.0</v>
      </c>
      <c r="I158" s="3">
        <v>256.0</v>
      </c>
      <c r="J158" s="3">
        <v>83.0</v>
      </c>
      <c r="K158" s="3">
        <v>188.0</v>
      </c>
      <c r="L158" s="3">
        <v>1000.0</v>
      </c>
      <c r="M158" s="3">
        <v>102.0</v>
      </c>
      <c r="N158" s="3">
        <v>200.0</v>
      </c>
      <c r="O158" s="3">
        <v>121.0</v>
      </c>
      <c r="P158" s="3"/>
      <c r="Q158" s="3">
        <v>80.0</v>
      </c>
      <c r="R158" s="3">
        <v>150.0</v>
      </c>
      <c r="S158" s="3">
        <v>417.0</v>
      </c>
      <c r="T158" s="3">
        <v>120.0</v>
      </c>
      <c r="U158" s="3">
        <v>80.0</v>
      </c>
      <c r="V158" s="1">
        <v>88.0</v>
      </c>
      <c r="W158" s="1">
        <v>250.0</v>
      </c>
      <c r="X158" s="1">
        <v>264.0</v>
      </c>
      <c r="Y158" s="1">
        <v>161.0</v>
      </c>
      <c r="Z158" s="1">
        <v>69.0</v>
      </c>
      <c r="AA158" s="3"/>
      <c r="AB158" s="1">
        <v>13.0</v>
      </c>
      <c r="AC158" s="1">
        <v>150.0</v>
      </c>
      <c r="AD158" s="1">
        <v>170.0</v>
      </c>
      <c r="AE158" s="1">
        <v>60.0</v>
      </c>
      <c r="AF158" s="1">
        <v>40.0</v>
      </c>
      <c r="AG158" s="1">
        <v>45.0</v>
      </c>
      <c r="AH158" s="3">
        <v>200.0</v>
      </c>
      <c r="AI158" s="1">
        <v>205.0</v>
      </c>
      <c r="AJ158" s="1">
        <v>60.0</v>
      </c>
      <c r="AK158" s="1">
        <v>100.0</v>
      </c>
      <c r="AL158" s="1">
        <v>175.0</v>
      </c>
      <c r="AM158" s="1">
        <v>130.0</v>
      </c>
      <c r="AN158" s="3">
        <v>47.0</v>
      </c>
      <c r="AO158" s="3">
        <v>160.0</v>
      </c>
      <c r="AP158" s="3">
        <v>70.0</v>
      </c>
      <c r="AQ158" s="3">
        <v>35.0</v>
      </c>
      <c r="AR158" s="1">
        <v>854.0</v>
      </c>
      <c r="AS158" s="1">
        <v>250.0</v>
      </c>
      <c r="AT158" s="1">
        <v>220.0</v>
      </c>
      <c r="AU158" s="1"/>
      <c r="AV158" s="1">
        <v>120.0</v>
      </c>
      <c r="AW158" s="3">
        <v>200.0</v>
      </c>
      <c r="AX158" s="3"/>
      <c r="AY158" s="3">
        <v>142.0</v>
      </c>
      <c r="AZ158" s="1">
        <v>40.0</v>
      </c>
      <c r="BA158" s="3">
        <v>80.0</v>
      </c>
      <c r="BB158" s="3">
        <v>402.0</v>
      </c>
      <c r="BC158" s="1">
        <v>150.0</v>
      </c>
      <c r="BD158" s="1">
        <v>190.0</v>
      </c>
      <c r="BE158" s="1">
        <v>80.0</v>
      </c>
      <c r="BF158" s="1"/>
      <c r="BG158" s="1">
        <v>213.0</v>
      </c>
      <c r="BH158" s="1">
        <v>23.0</v>
      </c>
      <c r="BI158" s="1">
        <v>40.0</v>
      </c>
      <c r="BJ158" s="1">
        <v>278.0</v>
      </c>
      <c r="BK158" s="3"/>
      <c r="BL158" s="1">
        <v>160.0</v>
      </c>
      <c r="BM158" s="1">
        <v>75.0</v>
      </c>
      <c r="BN158" s="32">
        <v>1802.0</v>
      </c>
      <c r="BO158" s="1">
        <v>47.0</v>
      </c>
      <c r="BP158" s="3">
        <v>48.0</v>
      </c>
      <c r="BQ158" s="1">
        <v>188.0</v>
      </c>
      <c r="BR158" s="28">
        <v>53374.07</v>
      </c>
    </row>
    <row r="159">
      <c r="A159" s="25">
        <f>'Equity Price Data'!A160</f>
        <v>45652.66667</v>
      </c>
      <c r="B159" s="34">
        <f>(('PRACTICE Equity Price Data'!B160/'PRACTICE Equity Price Data'!B159)-1)+B158</f>
        <v>0.150701185</v>
      </c>
      <c r="C159" s="34">
        <f>(('PRACTICE Equity Price Data'!C160/'PRACTICE Equity Price Data'!C159)-1)+C158</f>
        <v>0.2113351931</v>
      </c>
      <c r="D159" s="34">
        <f>(('PRACTICE Equity Price Data'!D160/'PRACTICE Equity Price Data'!D159)-1)+D158</f>
        <v>0.09889618324</v>
      </c>
      <c r="E159" s="34">
        <f>(('PRACTICE Equity Price Data'!E160/'PRACTICE Equity Price Data'!E159)-1)+E158</f>
        <v>0.1148357482</v>
      </c>
      <c r="F159" s="3">
        <v>13.0</v>
      </c>
      <c r="G159" s="3">
        <v>260.0</v>
      </c>
      <c r="H159" s="3">
        <v>110.0</v>
      </c>
      <c r="I159" s="3">
        <v>256.0</v>
      </c>
      <c r="J159" s="3">
        <v>83.0</v>
      </c>
      <c r="K159" s="3">
        <v>188.0</v>
      </c>
      <c r="L159" s="3">
        <v>1000.0</v>
      </c>
      <c r="M159" s="3">
        <v>102.0</v>
      </c>
      <c r="N159" s="3">
        <v>200.0</v>
      </c>
      <c r="O159" s="3">
        <v>121.0</v>
      </c>
      <c r="P159" s="3"/>
      <c r="Q159" s="3">
        <v>80.0</v>
      </c>
      <c r="R159" s="3">
        <v>150.0</v>
      </c>
      <c r="S159" s="3">
        <v>417.0</v>
      </c>
      <c r="T159" s="3">
        <v>120.0</v>
      </c>
      <c r="U159" s="3">
        <v>80.0</v>
      </c>
      <c r="V159" s="1">
        <v>88.0</v>
      </c>
      <c r="W159" s="1">
        <v>250.0</v>
      </c>
      <c r="X159" s="1">
        <v>264.0</v>
      </c>
      <c r="Y159" s="1">
        <v>161.0</v>
      </c>
      <c r="Z159" s="1">
        <v>69.0</v>
      </c>
      <c r="AA159" s="3"/>
      <c r="AB159" s="1">
        <v>13.0</v>
      </c>
      <c r="AC159" s="1">
        <v>150.0</v>
      </c>
      <c r="AD159" s="1">
        <v>170.0</v>
      </c>
      <c r="AE159" s="1">
        <v>60.0</v>
      </c>
      <c r="AF159" s="1">
        <v>40.0</v>
      </c>
      <c r="AG159" s="1">
        <v>45.0</v>
      </c>
      <c r="AH159" s="3">
        <v>200.0</v>
      </c>
      <c r="AI159" s="1">
        <v>205.0</v>
      </c>
      <c r="AJ159" s="1">
        <v>60.0</v>
      </c>
      <c r="AK159" s="1">
        <v>100.0</v>
      </c>
      <c r="AL159" s="1">
        <v>175.0</v>
      </c>
      <c r="AM159" s="1">
        <v>130.0</v>
      </c>
      <c r="AN159" s="3">
        <v>47.0</v>
      </c>
      <c r="AO159" s="3">
        <v>160.0</v>
      </c>
      <c r="AP159" s="3">
        <v>70.0</v>
      </c>
      <c r="AQ159" s="3">
        <v>35.0</v>
      </c>
      <c r="AR159" s="1">
        <v>854.0</v>
      </c>
      <c r="AS159" s="1">
        <v>250.0</v>
      </c>
      <c r="AT159" s="1">
        <v>220.0</v>
      </c>
      <c r="AU159" s="1"/>
      <c r="AV159" s="1">
        <v>120.0</v>
      </c>
      <c r="AW159" s="3">
        <v>200.0</v>
      </c>
      <c r="AX159" s="3"/>
      <c r="AY159" s="3">
        <v>142.0</v>
      </c>
      <c r="AZ159" s="1">
        <v>40.0</v>
      </c>
      <c r="BA159" s="3">
        <v>80.0</v>
      </c>
      <c r="BB159" s="3">
        <v>402.0</v>
      </c>
      <c r="BC159" s="1">
        <v>150.0</v>
      </c>
      <c r="BD159" s="1">
        <v>190.0</v>
      </c>
      <c r="BE159" s="1">
        <v>80.0</v>
      </c>
      <c r="BF159" s="1"/>
      <c r="BG159" s="1">
        <v>213.0</v>
      </c>
      <c r="BH159" s="1">
        <v>23.0</v>
      </c>
      <c r="BI159" s="1">
        <v>40.0</v>
      </c>
      <c r="BJ159" s="1">
        <v>278.0</v>
      </c>
      <c r="BK159" s="3"/>
      <c r="BL159" s="1">
        <v>160.0</v>
      </c>
      <c r="BM159" s="1">
        <v>75.0</v>
      </c>
      <c r="BN159" s="32">
        <v>1802.0</v>
      </c>
      <c r="BO159" s="1">
        <v>47.0</v>
      </c>
      <c r="BP159" s="3">
        <v>48.0</v>
      </c>
      <c r="BQ159" s="1">
        <v>188.0</v>
      </c>
      <c r="BR159" s="28">
        <v>53374.07</v>
      </c>
    </row>
    <row r="160">
      <c r="A160" s="25">
        <f>'Equity Price Data'!A161</f>
        <v>45653.66667</v>
      </c>
      <c r="B160" s="34">
        <f>(('PRACTICE Equity Price Data'!B161/'PRACTICE Equity Price Data'!B160)-1)+B159</f>
        <v>0.1396454492</v>
      </c>
      <c r="C160" s="34">
        <f>(('PRACTICE Equity Price Data'!C161/'PRACTICE Equity Price Data'!C160)-1)+C159</f>
        <v>0.1964338626</v>
      </c>
      <c r="D160" s="34">
        <f>(('PRACTICE Equity Price Data'!D161/'PRACTICE Equity Price Data'!D160)-1)+D159</f>
        <v>0.09119661393</v>
      </c>
      <c r="E160" s="34">
        <f>(('PRACTICE Equity Price Data'!E161/'PRACTICE Equity Price Data'!E160)-1)+E159</f>
        <v>0.09922301422</v>
      </c>
      <c r="F160" s="3">
        <v>13.0</v>
      </c>
      <c r="G160" s="3">
        <v>260.0</v>
      </c>
      <c r="H160" s="3">
        <v>110.0</v>
      </c>
      <c r="I160" s="3">
        <v>256.0</v>
      </c>
      <c r="J160" s="3">
        <v>83.0</v>
      </c>
      <c r="K160" s="3">
        <v>188.0</v>
      </c>
      <c r="L160" s="3">
        <v>1000.0</v>
      </c>
      <c r="M160" s="3">
        <v>102.0</v>
      </c>
      <c r="N160" s="3">
        <v>200.0</v>
      </c>
      <c r="O160" s="3">
        <v>121.0</v>
      </c>
      <c r="P160" s="3"/>
      <c r="Q160" s="3">
        <v>80.0</v>
      </c>
      <c r="R160" s="3">
        <v>150.0</v>
      </c>
      <c r="S160" s="3">
        <v>417.0</v>
      </c>
      <c r="T160" s="3">
        <v>120.0</v>
      </c>
      <c r="U160" s="3">
        <v>80.0</v>
      </c>
      <c r="V160" s="1">
        <v>88.0</v>
      </c>
      <c r="W160" s="1">
        <v>250.0</v>
      </c>
      <c r="X160" s="1">
        <v>264.0</v>
      </c>
      <c r="Y160" s="1">
        <v>161.0</v>
      </c>
      <c r="Z160" s="1">
        <v>69.0</v>
      </c>
      <c r="AA160" s="3"/>
      <c r="AB160" s="1">
        <v>13.0</v>
      </c>
      <c r="AC160" s="1">
        <v>150.0</v>
      </c>
      <c r="AD160" s="1">
        <v>170.0</v>
      </c>
      <c r="AE160" s="1">
        <v>60.0</v>
      </c>
      <c r="AF160" s="1">
        <v>40.0</v>
      </c>
      <c r="AG160" s="1">
        <v>45.0</v>
      </c>
      <c r="AH160" s="3">
        <v>200.0</v>
      </c>
      <c r="AI160" s="1">
        <v>205.0</v>
      </c>
      <c r="AJ160" s="1">
        <v>60.0</v>
      </c>
      <c r="AK160" s="1">
        <v>100.0</v>
      </c>
      <c r="AL160" s="1">
        <v>175.0</v>
      </c>
      <c r="AM160" s="1">
        <v>130.0</v>
      </c>
      <c r="AN160" s="3">
        <v>47.0</v>
      </c>
      <c r="AO160" s="3">
        <v>160.0</v>
      </c>
      <c r="AP160" s="3">
        <v>70.0</v>
      </c>
      <c r="AQ160" s="3">
        <v>35.0</v>
      </c>
      <c r="AR160" s="1">
        <v>854.0</v>
      </c>
      <c r="AS160" s="1">
        <v>250.0</v>
      </c>
      <c r="AT160" s="1">
        <v>220.0</v>
      </c>
      <c r="AU160" s="1"/>
      <c r="AV160" s="1">
        <v>120.0</v>
      </c>
      <c r="AW160" s="3">
        <v>200.0</v>
      </c>
      <c r="AX160" s="3"/>
      <c r="AY160" s="3">
        <v>142.0</v>
      </c>
      <c r="AZ160" s="1">
        <v>40.0</v>
      </c>
      <c r="BA160" s="3">
        <v>80.0</v>
      </c>
      <c r="BB160" s="3">
        <v>402.0</v>
      </c>
      <c r="BC160" s="1">
        <v>150.0</v>
      </c>
      <c r="BD160" s="1">
        <v>190.0</v>
      </c>
      <c r="BE160" s="1">
        <v>80.0</v>
      </c>
      <c r="BF160" s="1"/>
      <c r="BG160" s="1">
        <v>213.0</v>
      </c>
      <c r="BH160" s="1">
        <v>23.0</v>
      </c>
      <c r="BI160" s="1">
        <v>40.0</v>
      </c>
      <c r="BJ160" s="1">
        <v>278.0</v>
      </c>
      <c r="BK160" s="3"/>
      <c r="BL160" s="1">
        <v>160.0</v>
      </c>
      <c r="BM160" s="1">
        <v>75.0</v>
      </c>
      <c r="BN160" s="32">
        <v>1802.0</v>
      </c>
      <c r="BO160" s="1">
        <v>47.0</v>
      </c>
      <c r="BP160" s="3">
        <v>48.0</v>
      </c>
      <c r="BQ160" s="1">
        <v>188.0</v>
      </c>
      <c r="BR160" s="28">
        <v>53374.07</v>
      </c>
    </row>
    <row r="161">
      <c r="A161" s="25">
        <f>'Equity Price Data'!A162</f>
        <v>45656.66667</v>
      </c>
      <c r="B161" s="34">
        <f>(('PRACTICE Equity Price Data'!B162/'PRACTICE Equity Price Data'!B161)-1)+B160</f>
        <v>0.1289434374</v>
      </c>
      <c r="C161" s="34">
        <f>(('PRACTICE Equity Price Data'!C162/'PRACTICE Equity Price Data'!C161)-1)+C160</f>
        <v>0.1845060844</v>
      </c>
      <c r="D161" s="34">
        <f>(('PRACTICE Equity Price Data'!D162/'PRACTICE Equity Price Data'!D161)-1)+D160</f>
        <v>0.0814627575</v>
      </c>
      <c r="E161" s="34">
        <f>(('PRACTICE Equity Price Data'!E162/'PRACTICE Equity Price Data'!E161)-1)+E160</f>
        <v>0.09173389594</v>
      </c>
      <c r="F161" s="3">
        <v>13.0</v>
      </c>
      <c r="G161" s="3">
        <v>260.0</v>
      </c>
      <c r="H161" s="3">
        <v>110.0</v>
      </c>
      <c r="I161" s="3">
        <v>256.0</v>
      </c>
      <c r="J161" s="3">
        <v>83.0</v>
      </c>
      <c r="K161" s="3">
        <v>188.0</v>
      </c>
      <c r="L161" s="3">
        <v>1000.0</v>
      </c>
      <c r="M161" s="3">
        <v>102.0</v>
      </c>
      <c r="N161" s="3">
        <v>200.0</v>
      </c>
      <c r="O161" s="3">
        <v>121.0</v>
      </c>
      <c r="P161" s="3"/>
      <c r="Q161" s="3">
        <v>80.0</v>
      </c>
      <c r="R161" s="3">
        <v>150.0</v>
      </c>
      <c r="S161" s="3">
        <v>417.0</v>
      </c>
      <c r="T161" s="3">
        <v>120.0</v>
      </c>
      <c r="U161" s="3">
        <v>80.0</v>
      </c>
      <c r="V161" s="1">
        <v>88.0</v>
      </c>
      <c r="W161" s="1">
        <v>250.0</v>
      </c>
      <c r="X161" s="1">
        <v>264.0</v>
      </c>
      <c r="Y161" s="1">
        <v>161.0</v>
      </c>
      <c r="Z161" s="1">
        <v>69.0</v>
      </c>
      <c r="AA161" s="3"/>
      <c r="AB161" s="1">
        <v>13.0</v>
      </c>
      <c r="AC161" s="1">
        <v>150.0</v>
      </c>
      <c r="AD161" s="1">
        <v>170.0</v>
      </c>
      <c r="AE161" s="1">
        <v>60.0</v>
      </c>
      <c r="AF161" s="1">
        <v>40.0</v>
      </c>
      <c r="AG161" s="1">
        <v>45.0</v>
      </c>
      <c r="AH161" s="3">
        <v>200.0</v>
      </c>
      <c r="AI161" s="1">
        <v>205.0</v>
      </c>
      <c r="AJ161" s="1">
        <v>60.0</v>
      </c>
      <c r="AK161" s="1">
        <v>100.0</v>
      </c>
      <c r="AL161" s="1">
        <v>175.0</v>
      </c>
      <c r="AM161" s="1">
        <v>130.0</v>
      </c>
      <c r="AN161" s="3">
        <v>47.0</v>
      </c>
      <c r="AO161" s="3">
        <v>160.0</v>
      </c>
      <c r="AP161" s="3">
        <v>70.0</v>
      </c>
      <c r="AQ161" s="3">
        <v>35.0</v>
      </c>
      <c r="AR161" s="1">
        <v>854.0</v>
      </c>
      <c r="AS161" s="1">
        <v>250.0</v>
      </c>
      <c r="AT161" s="1">
        <v>220.0</v>
      </c>
      <c r="AU161" s="1"/>
      <c r="AV161" s="1">
        <v>120.0</v>
      </c>
      <c r="AW161" s="3">
        <v>200.0</v>
      </c>
      <c r="AX161" s="3"/>
      <c r="AY161" s="3">
        <v>142.0</v>
      </c>
      <c r="AZ161" s="1">
        <v>40.0</v>
      </c>
      <c r="BA161" s="3">
        <v>80.0</v>
      </c>
      <c r="BB161" s="3">
        <v>402.0</v>
      </c>
      <c r="BC161" s="1">
        <v>150.0</v>
      </c>
      <c r="BD161" s="1">
        <v>190.0</v>
      </c>
      <c r="BE161" s="1">
        <v>80.0</v>
      </c>
      <c r="BF161" s="1"/>
      <c r="BG161" s="1">
        <v>213.0</v>
      </c>
      <c r="BH161" s="1">
        <v>23.0</v>
      </c>
      <c r="BI161" s="1">
        <v>40.0</v>
      </c>
      <c r="BJ161" s="1">
        <v>278.0</v>
      </c>
      <c r="BK161" s="3"/>
      <c r="BL161" s="1">
        <v>160.0</v>
      </c>
      <c r="BM161" s="1">
        <v>75.0</v>
      </c>
      <c r="BN161" s="32">
        <v>1802.0</v>
      </c>
      <c r="BO161" s="1">
        <v>47.0</v>
      </c>
      <c r="BP161" s="3">
        <v>48.0</v>
      </c>
      <c r="BQ161" s="1">
        <v>188.0</v>
      </c>
      <c r="BR161" s="28">
        <v>53374.07</v>
      </c>
    </row>
    <row r="162">
      <c r="A162" s="25">
        <f>'Equity Price Data'!A163</f>
        <v>45657.66667</v>
      </c>
      <c r="B162" s="34">
        <f>(('PRACTICE Equity Price Data'!B163/'PRACTICE Equity Price Data'!B162)-1)+B161</f>
        <v>0.1246586469</v>
      </c>
      <c r="C162" s="34">
        <f>(('PRACTICE Equity Price Data'!C163/'PRACTICE Equity Price Data'!C162)-1)+C161</f>
        <v>0.1754743249</v>
      </c>
      <c r="D162" s="34">
        <f>(('PRACTICE Equity Price Data'!D163/'PRACTICE Equity Price Data'!D162)-1)+D161</f>
        <v>0.08076960705</v>
      </c>
      <c r="E162" s="34">
        <f>(('PRACTICE Equity Price Data'!E163/'PRACTICE Equity Price Data'!E162)-1)+E161</f>
        <v>0.09280222405</v>
      </c>
      <c r="F162" s="3">
        <v>13.0</v>
      </c>
      <c r="G162" s="3">
        <v>260.0</v>
      </c>
      <c r="H162" s="3">
        <v>110.0</v>
      </c>
      <c r="I162" s="3">
        <v>256.0</v>
      </c>
      <c r="J162" s="3">
        <v>83.0</v>
      </c>
      <c r="K162" s="3">
        <v>188.0</v>
      </c>
      <c r="L162" s="3">
        <v>1000.0</v>
      </c>
      <c r="M162" s="3">
        <v>102.0</v>
      </c>
      <c r="N162" s="3">
        <v>200.0</v>
      </c>
      <c r="O162" s="3">
        <v>121.0</v>
      </c>
      <c r="P162" s="3"/>
      <c r="Q162" s="3">
        <v>80.0</v>
      </c>
      <c r="R162" s="3">
        <v>150.0</v>
      </c>
      <c r="S162" s="3">
        <v>417.0</v>
      </c>
      <c r="T162" s="3">
        <v>120.0</v>
      </c>
      <c r="U162" s="3">
        <v>80.0</v>
      </c>
      <c r="V162" s="1">
        <v>88.0</v>
      </c>
      <c r="W162" s="1">
        <v>250.0</v>
      </c>
      <c r="X162" s="1">
        <v>264.0</v>
      </c>
      <c r="Y162" s="1">
        <v>161.0</v>
      </c>
      <c r="Z162" s="1">
        <v>69.0</v>
      </c>
      <c r="AA162" s="3"/>
      <c r="AB162" s="1">
        <v>13.0</v>
      </c>
      <c r="AC162" s="1">
        <v>150.0</v>
      </c>
      <c r="AD162" s="1">
        <v>170.0</v>
      </c>
      <c r="AE162" s="1">
        <v>60.0</v>
      </c>
      <c r="AF162" s="1">
        <v>40.0</v>
      </c>
      <c r="AG162" s="1">
        <v>45.0</v>
      </c>
      <c r="AH162" s="3">
        <v>200.0</v>
      </c>
      <c r="AI162" s="1">
        <v>205.0</v>
      </c>
      <c r="AJ162" s="1">
        <v>60.0</v>
      </c>
      <c r="AK162" s="1">
        <v>100.0</v>
      </c>
      <c r="AL162" s="1">
        <v>175.0</v>
      </c>
      <c r="AM162" s="1">
        <v>130.0</v>
      </c>
      <c r="AN162" s="3">
        <v>47.0</v>
      </c>
      <c r="AO162" s="3">
        <v>160.0</v>
      </c>
      <c r="AP162" s="3">
        <v>70.0</v>
      </c>
      <c r="AQ162" s="3">
        <v>35.0</v>
      </c>
      <c r="AR162" s="1">
        <v>854.0</v>
      </c>
      <c r="AS162" s="1">
        <v>250.0</v>
      </c>
      <c r="AT162" s="1">
        <v>220.0</v>
      </c>
      <c r="AU162" s="1"/>
      <c r="AV162" s="1">
        <v>120.0</v>
      </c>
      <c r="AW162" s="3">
        <v>200.0</v>
      </c>
      <c r="AX162" s="3"/>
      <c r="AY162" s="3">
        <v>142.0</v>
      </c>
      <c r="AZ162" s="1">
        <v>40.0</v>
      </c>
      <c r="BA162" s="3">
        <v>80.0</v>
      </c>
      <c r="BB162" s="3">
        <v>402.0</v>
      </c>
      <c r="BC162" s="1">
        <v>150.0</v>
      </c>
      <c r="BD162" s="1">
        <v>190.0</v>
      </c>
      <c r="BE162" s="1">
        <v>80.0</v>
      </c>
      <c r="BF162" s="1"/>
      <c r="BG162" s="1">
        <v>213.0</v>
      </c>
      <c r="BH162" s="1">
        <v>23.0</v>
      </c>
      <c r="BI162" s="1">
        <v>40.0</v>
      </c>
      <c r="BJ162" s="1">
        <v>278.0</v>
      </c>
      <c r="BK162" s="3"/>
      <c r="BL162" s="1">
        <v>160.0</v>
      </c>
      <c r="BM162" s="1">
        <v>75.0</v>
      </c>
      <c r="BN162" s="32">
        <v>1802.0</v>
      </c>
      <c r="BO162" s="1">
        <v>47.0</v>
      </c>
      <c r="BP162" s="3">
        <v>48.0</v>
      </c>
      <c r="BQ162" s="1">
        <v>188.0</v>
      </c>
      <c r="BR162" s="28">
        <v>53374.07</v>
      </c>
    </row>
    <row r="163">
      <c r="A163" s="25">
        <f>'Equity Price Data'!A164</f>
        <v>45659.66667</v>
      </c>
      <c r="B163" s="34">
        <f>(('PRACTICE Equity Price Data'!B164/'PRACTICE Equity Price Data'!B163)-1)+B162</f>
        <v>0.1224347736</v>
      </c>
      <c r="C163" s="34">
        <f>(('PRACTICE Equity Price Data'!C164/'PRACTICE Equity Price Data'!C163)-1)+C162</f>
        <v>0.1739207893</v>
      </c>
      <c r="D163" s="34">
        <f>(('PRACTICE Equity Price Data'!D164/'PRACTICE Equity Price Data'!D163)-1)+D162</f>
        <v>0.07719802905</v>
      </c>
      <c r="E163" s="34">
        <f>(('PRACTICE Equity Price Data'!E164/'PRACTICE Equity Price Data'!E163)-1)+E162</f>
        <v>0.09347930552</v>
      </c>
      <c r="F163" s="3">
        <v>13.0</v>
      </c>
      <c r="G163" s="3">
        <v>260.0</v>
      </c>
      <c r="H163" s="3">
        <v>110.0</v>
      </c>
      <c r="I163" s="3">
        <v>256.0</v>
      </c>
      <c r="J163" s="3">
        <v>83.0</v>
      </c>
      <c r="K163" s="3">
        <v>188.0</v>
      </c>
      <c r="L163" s="3">
        <v>1000.0</v>
      </c>
      <c r="M163" s="3">
        <v>102.0</v>
      </c>
      <c r="N163" s="3">
        <v>200.0</v>
      </c>
      <c r="O163" s="3">
        <v>121.0</v>
      </c>
      <c r="P163" s="3"/>
      <c r="Q163" s="3">
        <v>80.0</v>
      </c>
      <c r="R163" s="3">
        <v>150.0</v>
      </c>
      <c r="S163" s="3">
        <v>417.0</v>
      </c>
      <c r="T163" s="3">
        <v>120.0</v>
      </c>
      <c r="U163" s="3">
        <v>80.0</v>
      </c>
      <c r="V163" s="1">
        <v>88.0</v>
      </c>
      <c r="W163" s="1">
        <v>250.0</v>
      </c>
      <c r="X163" s="1">
        <v>264.0</v>
      </c>
      <c r="Y163" s="1">
        <v>161.0</v>
      </c>
      <c r="Z163" s="1">
        <v>69.0</v>
      </c>
      <c r="AA163" s="3"/>
      <c r="AB163" s="1">
        <v>13.0</v>
      </c>
      <c r="AC163" s="1">
        <v>150.0</v>
      </c>
      <c r="AD163" s="1">
        <v>170.0</v>
      </c>
      <c r="AE163" s="1">
        <v>60.0</v>
      </c>
      <c r="AF163" s="1">
        <v>40.0</v>
      </c>
      <c r="AG163" s="1">
        <v>45.0</v>
      </c>
      <c r="AH163" s="3">
        <v>200.0</v>
      </c>
      <c r="AI163" s="1">
        <v>205.0</v>
      </c>
      <c r="AJ163" s="1">
        <v>60.0</v>
      </c>
      <c r="AK163" s="1">
        <v>100.0</v>
      </c>
      <c r="AL163" s="1">
        <v>175.0</v>
      </c>
      <c r="AM163" s="1">
        <v>130.0</v>
      </c>
      <c r="AN163" s="3">
        <v>47.0</v>
      </c>
      <c r="AO163" s="3">
        <v>160.0</v>
      </c>
      <c r="AP163" s="3">
        <v>70.0</v>
      </c>
      <c r="AQ163" s="3">
        <v>35.0</v>
      </c>
      <c r="AR163" s="1">
        <v>854.0</v>
      </c>
      <c r="AS163" s="1">
        <v>250.0</v>
      </c>
      <c r="AT163" s="1">
        <v>220.0</v>
      </c>
      <c r="AU163" s="1"/>
      <c r="AV163" s="1">
        <v>120.0</v>
      </c>
      <c r="AW163" s="3">
        <v>200.0</v>
      </c>
      <c r="AX163" s="3"/>
      <c r="AY163" s="3">
        <v>142.0</v>
      </c>
      <c r="AZ163" s="1">
        <v>40.0</v>
      </c>
      <c r="BA163" s="3">
        <v>80.0</v>
      </c>
      <c r="BB163" s="3">
        <v>402.0</v>
      </c>
      <c r="BC163" s="1">
        <v>150.0</v>
      </c>
      <c r="BD163" s="1">
        <v>190.0</v>
      </c>
      <c r="BE163" s="1">
        <v>80.0</v>
      </c>
      <c r="BF163" s="1"/>
      <c r="BG163" s="1">
        <v>213.0</v>
      </c>
      <c r="BH163" s="1">
        <v>23.0</v>
      </c>
      <c r="BI163" s="1">
        <v>40.0</v>
      </c>
      <c r="BJ163" s="1">
        <v>278.0</v>
      </c>
      <c r="BK163" s="3"/>
      <c r="BL163" s="1">
        <v>160.0</v>
      </c>
      <c r="BM163" s="1">
        <v>75.0</v>
      </c>
      <c r="BN163" s="32">
        <v>1802.0</v>
      </c>
      <c r="BO163" s="1">
        <v>47.0</v>
      </c>
      <c r="BP163" s="3">
        <v>48.0</v>
      </c>
      <c r="BQ163" s="1">
        <v>188.0</v>
      </c>
      <c r="BR163" s="28">
        <v>53374.07</v>
      </c>
    </row>
    <row r="164">
      <c r="A164" s="25">
        <f>'Equity Price Data'!A165</f>
        <v>45660.66667</v>
      </c>
      <c r="B164" s="34">
        <f>(('PRACTICE Equity Price Data'!B165/'PRACTICE Equity Price Data'!B164)-1)+B163</f>
        <v>0.13503073</v>
      </c>
      <c r="C164" s="34">
        <f>(('PRACTICE Equity Price Data'!C165/'PRACTICE Equity Price Data'!C164)-1)+C163</f>
        <v>0.1916010815</v>
      </c>
      <c r="D164" s="34">
        <f>(('PRACTICE Equity Price Data'!D165/'PRACTICE Equity Price Data'!D164)-1)+D163</f>
        <v>0.08521505669</v>
      </c>
      <c r="E164" s="34">
        <f>(('PRACTICE Equity Price Data'!E165/'PRACTICE Equity Price Data'!E164)-1)+E163</f>
        <v>0.1099691987</v>
      </c>
      <c r="F164" s="3">
        <v>13.0</v>
      </c>
      <c r="G164" s="3">
        <v>260.0</v>
      </c>
      <c r="H164" s="3">
        <v>110.0</v>
      </c>
      <c r="I164" s="3">
        <v>256.0</v>
      </c>
      <c r="J164" s="3">
        <v>83.0</v>
      </c>
      <c r="K164" s="3">
        <v>188.0</v>
      </c>
      <c r="L164" s="3">
        <v>1000.0</v>
      </c>
      <c r="M164" s="3">
        <v>102.0</v>
      </c>
      <c r="N164" s="3">
        <v>200.0</v>
      </c>
      <c r="O164" s="3">
        <v>121.0</v>
      </c>
      <c r="P164" s="3"/>
      <c r="Q164" s="3">
        <v>80.0</v>
      </c>
      <c r="R164" s="3">
        <v>150.0</v>
      </c>
      <c r="S164" s="3">
        <v>417.0</v>
      </c>
      <c r="T164" s="3">
        <v>120.0</v>
      </c>
      <c r="U164" s="3">
        <v>80.0</v>
      </c>
      <c r="V164" s="1">
        <v>88.0</v>
      </c>
      <c r="W164" s="1">
        <v>250.0</v>
      </c>
      <c r="X164" s="1">
        <v>264.0</v>
      </c>
      <c r="Y164" s="1">
        <v>161.0</v>
      </c>
      <c r="Z164" s="1">
        <v>69.0</v>
      </c>
      <c r="AA164" s="3"/>
      <c r="AB164" s="1">
        <v>13.0</v>
      </c>
      <c r="AC164" s="1">
        <v>150.0</v>
      </c>
      <c r="AD164" s="1">
        <v>170.0</v>
      </c>
      <c r="AE164" s="1">
        <v>60.0</v>
      </c>
      <c r="AF164" s="1">
        <v>40.0</v>
      </c>
      <c r="AG164" s="1">
        <v>45.0</v>
      </c>
      <c r="AH164" s="3">
        <v>200.0</v>
      </c>
      <c r="AI164" s="1">
        <v>205.0</v>
      </c>
      <c r="AJ164" s="1">
        <v>60.0</v>
      </c>
      <c r="AK164" s="1">
        <v>100.0</v>
      </c>
      <c r="AL164" s="1">
        <v>175.0</v>
      </c>
      <c r="AM164" s="1">
        <v>130.0</v>
      </c>
      <c r="AN164" s="3">
        <v>47.0</v>
      </c>
      <c r="AO164" s="3">
        <v>160.0</v>
      </c>
      <c r="AP164" s="3">
        <v>70.0</v>
      </c>
      <c r="AQ164" s="3">
        <v>35.0</v>
      </c>
      <c r="AR164" s="1">
        <v>854.0</v>
      </c>
      <c r="AS164" s="1">
        <v>250.0</v>
      </c>
      <c r="AT164" s="1">
        <v>220.0</v>
      </c>
      <c r="AU164" s="1"/>
      <c r="AV164" s="1">
        <v>120.0</v>
      </c>
      <c r="AW164" s="3">
        <v>200.0</v>
      </c>
      <c r="AX164" s="3"/>
      <c r="AY164" s="3">
        <v>142.0</v>
      </c>
      <c r="AZ164" s="1">
        <v>40.0</v>
      </c>
      <c r="BA164" s="3">
        <v>80.0</v>
      </c>
      <c r="BB164" s="3">
        <v>402.0</v>
      </c>
      <c r="BC164" s="1">
        <v>150.0</v>
      </c>
      <c r="BD164" s="1">
        <v>190.0</v>
      </c>
      <c r="BE164" s="1">
        <v>80.0</v>
      </c>
      <c r="BF164" s="1"/>
      <c r="BG164" s="1">
        <v>213.0</v>
      </c>
      <c r="BH164" s="1">
        <v>23.0</v>
      </c>
      <c r="BI164" s="1">
        <v>40.0</v>
      </c>
      <c r="BJ164" s="1">
        <v>278.0</v>
      </c>
      <c r="BK164" s="3"/>
      <c r="BL164" s="1">
        <v>160.0</v>
      </c>
      <c r="BM164" s="1">
        <v>75.0</v>
      </c>
      <c r="BN164" s="32">
        <v>1802.0</v>
      </c>
      <c r="BO164" s="1">
        <v>47.0</v>
      </c>
      <c r="BP164" s="3">
        <v>48.0</v>
      </c>
      <c r="BQ164" s="1">
        <v>188.0</v>
      </c>
      <c r="BR164" s="28">
        <v>53374.07</v>
      </c>
    </row>
    <row r="165">
      <c r="A165" s="25">
        <f>'Equity Price Data'!A166</f>
        <v>45663.66667</v>
      </c>
      <c r="B165" s="34">
        <f>(('PRACTICE Equity Price Data'!B166/'PRACTICE Equity Price Data'!B165)-1)+B164</f>
        <v>0.1405688312</v>
      </c>
      <c r="C165" s="34">
        <f>(('PRACTICE Equity Price Data'!C166/'PRACTICE Equity Price Data'!C165)-1)+C164</f>
        <v>0.2040006314</v>
      </c>
      <c r="D165" s="34">
        <f>(('PRACTICE Equity Price Data'!D166/'PRACTICE Equity Price Data'!D165)-1)+D164</f>
        <v>0.0846166779</v>
      </c>
      <c r="E165" s="34">
        <f>(('PRACTICE Equity Price Data'!E166/'PRACTICE Equity Price Data'!E165)-1)+E164</f>
        <v>0.1091668959</v>
      </c>
      <c r="F165" s="3">
        <v>13.0</v>
      </c>
      <c r="G165" s="3">
        <v>260.0</v>
      </c>
      <c r="H165" s="3">
        <v>110.0</v>
      </c>
      <c r="I165" s="3">
        <v>256.0</v>
      </c>
      <c r="J165" s="3">
        <v>83.0</v>
      </c>
      <c r="K165" s="3">
        <v>188.0</v>
      </c>
      <c r="L165" s="3">
        <v>1000.0</v>
      </c>
      <c r="M165" s="3">
        <v>102.0</v>
      </c>
      <c r="N165" s="3">
        <v>200.0</v>
      </c>
      <c r="O165" s="3">
        <v>121.0</v>
      </c>
      <c r="P165" s="3"/>
      <c r="Q165" s="3">
        <v>80.0</v>
      </c>
      <c r="R165" s="3">
        <v>150.0</v>
      </c>
      <c r="S165" s="3">
        <v>417.0</v>
      </c>
      <c r="T165" s="3">
        <v>120.0</v>
      </c>
      <c r="U165" s="3">
        <v>80.0</v>
      </c>
      <c r="V165" s="1">
        <v>88.0</v>
      </c>
      <c r="W165" s="1">
        <v>250.0</v>
      </c>
      <c r="X165" s="1">
        <v>264.0</v>
      </c>
      <c r="Y165" s="1">
        <v>161.0</v>
      </c>
      <c r="Z165" s="1">
        <v>69.0</v>
      </c>
      <c r="AA165" s="3"/>
      <c r="AB165" s="1">
        <v>13.0</v>
      </c>
      <c r="AC165" s="1">
        <v>150.0</v>
      </c>
      <c r="AD165" s="1">
        <v>170.0</v>
      </c>
      <c r="AE165" s="1">
        <v>60.0</v>
      </c>
      <c r="AF165" s="1">
        <v>40.0</v>
      </c>
      <c r="AG165" s="1">
        <v>45.0</v>
      </c>
      <c r="AH165" s="3">
        <v>200.0</v>
      </c>
      <c r="AI165" s="1">
        <v>205.0</v>
      </c>
      <c r="AJ165" s="1">
        <v>60.0</v>
      </c>
      <c r="AK165" s="1">
        <v>100.0</v>
      </c>
      <c r="AL165" s="1">
        <v>175.0</v>
      </c>
      <c r="AM165" s="1">
        <v>130.0</v>
      </c>
      <c r="AN165" s="3">
        <v>47.0</v>
      </c>
      <c r="AO165" s="3">
        <v>160.0</v>
      </c>
      <c r="AP165" s="3">
        <v>70.0</v>
      </c>
      <c r="AQ165" s="3">
        <v>35.0</v>
      </c>
      <c r="AR165" s="1">
        <v>854.0</v>
      </c>
      <c r="AS165" s="1">
        <v>250.0</v>
      </c>
      <c r="AT165" s="1">
        <v>220.0</v>
      </c>
      <c r="AU165" s="1"/>
      <c r="AV165" s="1">
        <v>120.0</v>
      </c>
      <c r="AW165" s="3">
        <v>200.0</v>
      </c>
      <c r="AX165" s="3"/>
      <c r="AY165" s="3">
        <v>142.0</v>
      </c>
      <c r="AZ165" s="1">
        <v>40.0</v>
      </c>
      <c r="BA165" s="3">
        <v>80.0</v>
      </c>
      <c r="BB165" s="3">
        <v>402.0</v>
      </c>
      <c r="BC165" s="1">
        <v>150.0</v>
      </c>
      <c r="BD165" s="1">
        <v>190.0</v>
      </c>
      <c r="BE165" s="1">
        <v>80.0</v>
      </c>
      <c r="BF165" s="1"/>
      <c r="BG165" s="1">
        <v>213.0</v>
      </c>
      <c r="BH165" s="1">
        <v>23.0</v>
      </c>
      <c r="BI165" s="1">
        <v>40.0</v>
      </c>
      <c r="BJ165" s="1">
        <v>278.0</v>
      </c>
      <c r="BK165" s="3"/>
      <c r="BL165" s="1">
        <v>160.0</v>
      </c>
      <c r="BM165" s="1">
        <v>75.0</v>
      </c>
      <c r="BN165" s="32">
        <v>1802.0</v>
      </c>
      <c r="BO165" s="1">
        <v>47.0</v>
      </c>
      <c r="BP165" s="3">
        <v>48.0</v>
      </c>
      <c r="BQ165" s="1">
        <v>188.0</v>
      </c>
      <c r="BR165" s="28">
        <v>53374.07</v>
      </c>
    </row>
    <row r="166">
      <c r="A166" s="25">
        <f>'Equity Price Data'!A167</f>
        <v>45664.66667</v>
      </c>
      <c r="B166" s="34">
        <f>(('PRACTICE Equity Price Data'!B167/'PRACTICE Equity Price Data'!B166)-1)+B165</f>
        <v>0.1294649349</v>
      </c>
      <c r="C166" s="34">
        <f>(('PRACTICE Equity Price Data'!C167/'PRACTICE Equity Price Data'!C166)-1)+C165</f>
        <v>0.1851080878</v>
      </c>
      <c r="D166" s="34">
        <f>(('PRACTICE Equity Price Data'!D167/'PRACTICE Equity Price Data'!D166)-1)+D165</f>
        <v>0.08044401684</v>
      </c>
      <c r="E166" s="34">
        <f>(('PRACTICE Equity Price Data'!E167/'PRACTICE Equity Price Data'!E166)-1)+E165</f>
        <v>0.1017330177</v>
      </c>
      <c r="F166" s="3">
        <v>13.0</v>
      </c>
      <c r="G166" s="3">
        <v>260.0</v>
      </c>
      <c r="H166" s="3">
        <v>110.0</v>
      </c>
      <c r="I166" s="3">
        <v>256.0</v>
      </c>
      <c r="J166" s="3">
        <v>83.0</v>
      </c>
      <c r="K166" s="3">
        <v>188.0</v>
      </c>
      <c r="L166" s="3">
        <v>1000.0</v>
      </c>
      <c r="M166" s="3">
        <v>102.0</v>
      </c>
      <c r="N166" s="3">
        <v>200.0</v>
      </c>
      <c r="O166" s="3">
        <v>121.0</v>
      </c>
      <c r="P166" s="3"/>
      <c r="Q166" s="3">
        <v>80.0</v>
      </c>
      <c r="R166" s="3">
        <v>150.0</v>
      </c>
      <c r="S166" s="3">
        <v>417.0</v>
      </c>
      <c r="T166" s="3">
        <v>120.0</v>
      </c>
      <c r="U166" s="3">
        <v>80.0</v>
      </c>
      <c r="V166" s="1">
        <v>88.0</v>
      </c>
      <c r="W166" s="1">
        <v>250.0</v>
      </c>
      <c r="X166" s="1">
        <v>264.0</v>
      </c>
      <c r="Y166" s="1">
        <v>161.0</v>
      </c>
      <c r="Z166" s="1">
        <v>69.0</v>
      </c>
      <c r="AA166" s="3"/>
      <c r="AB166" s="1">
        <v>13.0</v>
      </c>
      <c r="AC166" s="1">
        <v>150.0</v>
      </c>
      <c r="AD166" s="1">
        <v>170.0</v>
      </c>
      <c r="AE166" s="1">
        <v>60.0</v>
      </c>
      <c r="AF166" s="1">
        <v>40.0</v>
      </c>
      <c r="AG166" s="1">
        <v>45.0</v>
      </c>
      <c r="AH166" s="3">
        <v>200.0</v>
      </c>
      <c r="AI166" s="1">
        <v>205.0</v>
      </c>
      <c r="AJ166" s="1">
        <v>60.0</v>
      </c>
      <c r="AK166" s="1">
        <v>100.0</v>
      </c>
      <c r="AL166" s="1">
        <v>175.0</v>
      </c>
      <c r="AM166" s="1">
        <v>130.0</v>
      </c>
      <c r="AN166" s="3">
        <v>47.0</v>
      </c>
      <c r="AO166" s="3">
        <v>160.0</v>
      </c>
      <c r="AP166" s="3">
        <v>70.0</v>
      </c>
      <c r="AQ166" s="3">
        <v>35.0</v>
      </c>
      <c r="AR166" s="1">
        <v>854.0</v>
      </c>
      <c r="AS166" s="1">
        <v>250.0</v>
      </c>
      <c r="AT166" s="1">
        <v>220.0</v>
      </c>
      <c r="AU166" s="1"/>
      <c r="AV166" s="1">
        <v>120.0</v>
      </c>
      <c r="AW166" s="3">
        <v>200.0</v>
      </c>
      <c r="AX166" s="3"/>
      <c r="AY166" s="3">
        <v>142.0</v>
      </c>
      <c r="AZ166" s="1">
        <v>40.0</v>
      </c>
      <c r="BA166" s="3">
        <v>80.0</v>
      </c>
      <c r="BB166" s="3">
        <v>402.0</v>
      </c>
      <c r="BC166" s="1">
        <v>150.0</v>
      </c>
      <c r="BD166" s="1">
        <v>190.0</v>
      </c>
      <c r="BE166" s="1">
        <v>80.0</v>
      </c>
      <c r="BF166" s="1"/>
      <c r="BG166" s="1">
        <v>213.0</v>
      </c>
      <c r="BH166" s="1">
        <v>23.0</v>
      </c>
      <c r="BI166" s="1">
        <v>40.0</v>
      </c>
      <c r="BJ166" s="1">
        <v>278.0</v>
      </c>
      <c r="BK166" s="3"/>
      <c r="BL166" s="1">
        <v>160.0</v>
      </c>
      <c r="BM166" s="1">
        <v>75.0</v>
      </c>
      <c r="BN166" s="32">
        <v>1802.0</v>
      </c>
      <c r="BO166" s="1">
        <v>47.0</v>
      </c>
      <c r="BP166" s="3">
        <v>48.0</v>
      </c>
      <c r="BQ166" s="1">
        <v>188.0</v>
      </c>
      <c r="BR166" s="28">
        <v>53374.07</v>
      </c>
    </row>
    <row r="167">
      <c r="A167" s="25">
        <f>'Equity Price Data'!A168</f>
        <v>45665.66667</v>
      </c>
      <c r="B167" s="34">
        <f>(('PRACTICE Equity Price Data'!B168/'PRACTICE Equity Price Data'!B167)-1)+B166</f>
        <v>0.1310252587</v>
      </c>
      <c r="C167" s="34">
        <f>(('PRACTICE Equity Price Data'!C168/'PRACTICE Equity Price Data'!C167)-1)+C166</f>
        <v>0.1845539484</v>
      </c>
      <c r="D167" s="34">
        <f>(('PRACTICE Equity Price Data'!D168/'PRACTICE Equity Price Data'!D167)-1)+D166</f>
        <v>0.08295622281</v>
      </c>
      <c r="E167" s="34">
        <f>(('PRACTICE Equity Price Data'!E168/'PRACTICE Equity Price Data'!E167)-1)+E166</f>
        <v>0.09691481161</v>
      </c>
      <c r="F167" s="3">
        <v>13.0</v>
      </c>
      <c r="G167" s="3">
        <v>260.0</v>
      </c>
      <c r="H167" s="3">
        <v>110.0</v>
      </c>
      <c r="I167" s="3">
        <v>256.0</v>
      </c>
      <c r="J167" s="3">
        <v>83.0</v>
      </c>
      <c r="K167" s="3">
        <v>188.0</v>
      </c>
      <c r="L167" s="3">
        <v>1000.0</v>
      </c>
      <c r="M167" s="3">
        <v>102.0</v>
      </c>
      <c r="N167" s="3">
        <v>200.0</v>
      </c>
      <c r="O167" s="3">
        <v>121.0</v>
      </c>
      <c r="P167" s="3"/>
      <c r="Q167" s="3">
        <v>80.0</v>
      </c>
      <c r="R167" s="3">
        <v>150.0</v>
      </c>
      <c r="S167" s="3">
        <v>417.0</v>
      </c>
      <c r="T167" s="3">
        <v>120.0</v>
      </c>
      <c r="U167" s="3">
        <v>80.0</v>
      </c>
      <c r="V167" s="1">
        <v>88.0</v>
      </c>
      <c r="W167" s="1">
        <v>250.0</v>
      </c>
      <c r="X167" s="1">
        <v>264.0</v>
      </c>
      <c r="Y167" s="1">
        <v>161.0</v>
      </c>
      <c r="Z167" s="1">
        <v>69.0</v>
      </c>
      <c r="AA167" s="3"/>
      <c r="AB167" s="1">
        <v>13.0</v>
      </c>
      <c r="AC167" s="1">
        <v>150.0</v>
      </c>
      <c r="AD167" s="1">
        <v>170.0</v>
      </c>
      <c r="AE167" s="1">
        <v>60.0</v>
      </c>
      <c r="AF167" s="1">
        <v>40.0</v>
      </c>
      <c r="AG167" s="1">
        <v>45.0</v>
      </c>
      <c r="AH167" s="3">
        <v>200.0</v>
      </c>
      <c r="AI167" s="1">
        <v>205.0</v>
      </c>
      <c r="AJ167" s="1">
        <v>60.0</v>
      </c>
      <c r="AK167" s="1">
        <v>100.0</v>
      </c>
      <c r="AL167" s="1">
        <v>175.0</v>
      </c>
      <c r="AM167" s="1">
        <v>130.0</v>
      </c>
      <c r="AN167" s="3">
        <v>47.0</v>
      </c>
      <c r="AO167" s="3">
        <v>160.0</v>
      </c>
      <c r="AP167" s="3">
        <v>70.0</v>
      </c>
      <c r="AQ167" s="3">
        <v>35.0</v>
      </c>
      <c r="AR167" s="1">
        <v>854.0</v>
      </c>
      <c r="AS167" s="1">
        <v>250.0</v>
      </c>
      <c r="AT167" s="1">
        <v>220.0</v>
      </c>
      <c r="AU167" s="1"/>
      <c r="AV167" s="1">
        <v>120.0</v>
      </c>
      <c r="AW167" s="3">
        <v>200.0</v>
      </c>
      <c r="AX167" s="3"/>
      <c r="AY167" s="3">
        <v>142.0</v>
      </c>
      <c r="AZ167" s="1">
        <v>40.0</v>
      </c>
      <c r="BA167" s="3">
        <v>80.0</v>
      </c>
      <c r="BB167" s="3">
        <v>402.0</v>
      </c>
      <c r="BC167" s="1">
        <v>150.0</v>
      </c>
      <c r="BD167" s="1">
        <v>190.0</v>
      </c>
      <c r="BE167" s="1">
        <v>80.0</v>
      </c>
      <c r="BF167" s="1"/>
      <c r="BG167" s="1">
        <v>213.0</v>
      </c>
      <c r="BH167" s="1">
        <v>23.0</v>
      </c>
      <c r="BI167" s="1">
        <v>40.0</v>
      </c>
      <c r="BJ167" s="1">
        <v>278.0</v>
      </c>
      <c r="BK167" s="3"/>
      <c r="BL167" s="1">
        <v>160.0</v>
      </c>
      <c r="BM167" s="1">
        <v>75.0</v>
      </c>
      <c r="BN167" s="32">
        <v>1802.0</v>
      </c>
      <c r="BO167" s="1">
        <v>47.0</v>
      </c>
      <c r="BP167" s="3">
        <v>48.0</v>
      </c>
      <c r="BQ167" s="1">
        <v>188.0</v>
      </c>
      <c r="BR167" s="28">
        <v>53374.07</v>
      </c>
    </row>
    <row r="168">
      <c r="A168" s="25">
        <f>'Equity Price Data'!A169</f>
        <v>45667.66667</v>
      </c>
      <c r="B168" s="34">
        <f>(('PRACTICE Equity Price Data'!B169/'PRACTICE Equity Price Data'!B168)-1)+B167</f>
        <v>0.1156136082</v>
      </c>
      <c r="C168" s="34">
        <f>(('PRACTICE Equity Price Data'!C169/'PRACTICE Equity Price Data'!C168)-1)+C167</f>
        <v>0.1682670777</v>
      </c>
      <c r="D168" s="34">
        <f>(('PRACTICE Equity Price Data'!D169/'PRACTICE Equity Price Data'!D168)-1)+D167</f>
        <v>0.06661409237</v>
      </c>
      <c r="E168" s="34">
        <f>(('PRACTICE Equity Price Data'!E169/'PRACTICE Equity Price Data'!E168)-1)+E167</f>
        <v>0.07470360641</v>
      </c>
      <c r="F168" s="3">
        <v>13.0</v>
      </c>
      <c r="G168" s="3">
        <v>260.0</v>
      </c>
      <c r="H168" s="3">
        <v>110.0</v>
      </c>
      <c r="I168" s="3">
        <v>256.0</v>
      </c>
      <c r="J168" s="3">
        <v>83.0</v>
      </c>
      <c r="K168" s="3">
        <v>188.0</v>
      </c>
      <c r="L168" s="3">
        <v>1000.0</v>
      </c>
      <c r="M168" s="3">
        <v>102.0</v>
      </c>
      <c r="N168" s="3">
        <v>200.0</v>
      </c>
      <c r="O168" s="3">
        <v>121.0</v>
      </c>
      <c r="P168" s="3"/>
      <c r="Q168" s="3">
        <v>80.0</v>
      </c>
      <c r="R168" s="3">
        <v>150.0</v>
      </c>
      <c r="S168" s="3">
        <v>417.0</v>
      </c>
      <c r="T168" s="3">
        <v>120.0</v>
      </c>
      <c r="U168" s="3">
        <v>80.0</v>
      </c>
      <c r="V168" s="1">
        <v>88.0</v>
      </c>
      <c r="W168" s="1">
        <v>250.0</v>
      </c>
      <c r="X168" s="1">
        <v>264.0</v>
      </c>
      <c r="Y168" s="1">
        <v>161.0</v>
      </c>
      <c r="Z168" s="1">
        <v>69.0</v>
      </c>
      <c r="AA168" s="3"/>
      <c r="AB168" s="1">
        <v>13.0</v>
      </c>
      <c r="AC168" s="1">
        <v>150.0</v>
      </c>
      <c r="AD168" s="1">
        <v>170.0</v>
      </c>
      <c r="AE168" s="1">
        <v>60.0</v>
      </c>
      <c r="AF168" s="1">
        <v>40.0</v>
      </c>
      <c r="AG168" s="1">
        <v>45.0</v>
      </c>
      <c r="AH168" s="3">
        <v>200.0</v>
      </c>
      <c r="AI168" s="1">
        <v>205.0</v>
      </c>
      <c r="AJ168" s="1">
        <v>60.0</v>
      </c>
      <c r="AK168" s="1">
        <v>100.0</v>
      </c>
      <c r="AL168" s="1">
        <v>175.0</v>
      </c>
      <c r="AM168" s="1">
        <v>130.0</v>
      </c>
      <c r="AN168" s="3">
        <v>47.0</v>
      </c>
      <c r="AO168" s="3">
        <v>160.0</v>
      </c>
      <c r="AP168" s="3">
        <v>70.0</v>
      </c>
      <c r="AQ168" s="3">
        <v>35.0</v>
      </c>
      <c r="AR168" s="1">
        <v>854.0</v>
      </c>
      <c r="AS168" s="1">
        <v>250.0</v>
      </c>
      <c r="AT168" s="1">
        <v>220.0</v>
      </c>
      <c r="AU168" s="1"/>
      <c r="AV168" s="1">
        <v>120.0</v>
      </c>
      <c r="AW168" s="3">
        <v>200.0</v>
      </c>
      <c r="AX168" s="3"/>
      <c r="AY168" s="3">
        <v>142.0</v>
      </c>
      <c r="AZ168" s="1">
        <v>40.0</v>
      </c>
      <c r="BA168" s="3">
        <v>80.0</v>
      </c>
      <c r="BB168" s="3">
        <v>402.0</v>
      </c>
      <c r="BC168" s="1">
        <v>150.0</v>
      </c>
      <c r="BD168" s="1">
        <v>190.0</v>
      </c>
      <c r="BE168" s="1">
        <v>80.0</v>
      </c>
      <c r="BF168" s="1"/>
      <c r="BG168" s="1">
        <v>213.0</v>
      </c>
      <c r="BH168" s="1">
        <v>23.0</v>
      </c>
      <c r="BI168" s="1">
        <v>40.0</v>
      </c>
      <c r="BJ168" s="1">
        <v>278.0</v>
      </c>
      <c r="BK168" s="3"/>
      <c r="BL168" s="1">
        <v>160.0</v>
      </c>
      <c r="BM168" s="1">
        <v>75.0</v>
      </c>
      <c r="BN168" s="32">
        <v>1802.0</v>
      </c>
      <c r="BO168" s="1">
        <v>47.0</v>
      </c>
      <c r="BP168" s="3">
        <v>48.0</v>
      </c>
      <c r="BQ168" s="1">
        <v>188.0</v>
      </c>
      <c r="BR168" s="28">
        <v>53374.07</v>
      </c>
    </row>
    <row r="169">
      <c r="A169" s="25">
        <f>'Equity Price Data'!A170</f>
        <v>45670.66667</v>
      </c>
      <c r="B169" s="34">
        <f>(('PRACTICE Equity Price Data'!B170/'PRACTICE Equity Price Data'!B169)-1)+B168</f>
        <v>0.1171890222</v>
      </c>
      <c r="C169" s="34">
        <f>(('PRACTICE Equity Price Data'!C170/'PRACTICE Equity Price Data'!C169)-1)+C168</f>
        <v>0.1644297215</v>
      </c>
      <c r="D169" s="34">
        <f>(('PRACTICE Equity Price Data'!D170/'PRACTICE Equity Price Data'!D169)-1)+D168</f>
        <v>0.07516638746</v>
      </c>
      <c r="E169" s="34">
        <f>(('PRACTICE Equity Price Data'!E170/'PRACTICE Equity Price Data'!E169)-1)+E168</f>
        <v>0.07706516732</v>
      </c>
      <c r="F169" s="3">
        <v>13.0</v>
      </c>
      <c r="G169" s="3">
        <v>260.0</v>
      </c>
      <c r="H169" s="3">
        <v>110.0</v>
      </c>
      <c r="I169" s="3">
        <v>256.0</v>
      </c>
      <c r="J169" s="3">
        <v>83.0</v>
      </c>
      <c r="K169" s="3">
        <v>188.0</v>
      </c>
      <c r="L169" s="3">
        <v>1000.0</v>
      </c>
      <c r="M169" s="3">
        <v>102.0</v>
      </c>
      <c r="N169" s="3">
        <v>200.0</v>
      </c>
      <c r="O169" s="3">
        <v>121.0</v>
      </c>
      <c r="P169" s="3"/>
      <c r="Q169" s="3">
        <v>80.0</v>
      </c>
      <c r="R169" s="3">
        <v>150.0</v>
      </c>
      <c r="S169" s="3">
        <v>417.0</v>
      </c>
      <c r="T169" s="3">
        <v>120.0</v>
      </c>
      <c r="U169" s="3">
        <v>80.0</v>
      </c>
      <c r="V169" s="1">
        <v>88.0</v>
      </c>
      <c r="W169" s="1">
        <v>250.0</v>
      </c>
      <c r="X169" s="1">
        <v>264.0</v>
      </c>
      <c r="Y169" s="1">
        <v>161.0</v>
      </c>
      <c r="Z169" s="1">
        <v>69.0</v>
      </c>
      <c r="AA169" s="3"/>
      <c r="AB169" s="1">
        <v>13.0</v>
      </c>
      <c r="AC169" s="1">
        <v>150.0</v>
      </c>
      <c r="AD169" s="1">
        <v>170.0</v>
      </c>
      <c r="AE169" s="1">
        <v>60.0</v>
      </c>
      <c r="AF169" s="1">
        <v>40.0</v>
      </c>
      <c r="AG169" s="1">
        <v>45.0</v>
      </c>
      <c r="AH169" s="3">
        <v>200.0</v>
      </c>
      <c r="AI169" s="1">
        <v>205.0</v>
      </c>
      <c r="AJ169" s="1">
        <v>60.0</v>
      </c>
      <c r="AK169" s="1">
        <v>100.0</v>
      </c>
      <c r="AL169" s="1">
        <v>175.0</v>
      </c>
      <c r="AM169" s="1">
        <v>130.0</v>
      </c>
      <c r="AN169" s="3">
        <v>47.0</v>
      </c>
      <c r="AO169" s="3">
        <v>160.0</v>
      </c>
      <c r="AP169" s="3">
        <v>70.0</v>
      </c>
      <c r="AQ169" s="3">
        <v>35.0</v>
      </c>
      <c r="AR169" s="1">
        <v>854.0</v>
      </c>
      <c r="AS169" s="1">
        <v>250.0</v>
      </c>
      <c r="AT169" s="1">
        <v>220.0</v>
      </c>
      <c r="AU169" s="1"/>
      <c r="AV169" s="1">
        <v>120.0</v>
      </c>
      <c r="AW169" s="3">
        <v>200.0</v>
      </c>
      <c r="AX169" s="3"/>
      <c r="AY169" s="3">
        <v>142.0</v>
      </c>
      <c r="AZ169" s="1">
        <v>40.0</v>
      </c>
      <c r="BA169" s="3">
        <v>80.0</v>
      </c>
      <c r="BB169" s="3">
        <v>402.0</v>
      </c>
      <c r="BC169" s="1">
        <v>150.0</v>
      </c>
      <c r="BD169" s="1">
        <v>190.0</v>
      </c>
      <c r="BE169" s="1">
        <v>80.0</v>
      </c>
      <c r="BF169" s="1"/>
      <c r="BG169" s="1">
        <v>213.0</v>
      </c>
      <c r="BH169" s="1">
        <v>23.0</v>
      </c>
      <c r="BI169" s="1">
        <v>40.0</v>
      </c>
      <c r="BJ169" s="1">
        <v>278.0</v>
      </c>
      <c r="BK169" s="3"/>
      <c r="BL169" s="1">
        <v>160.0</v>
      </c>
      <c r="BM169" s="1">
        <v>75.0</v>
      </c>
      <c r="BN169" s="32">
        <v>1802.0</v>
      </c>
      <c r="BO169" s="1">
        <v>47.0</v>
      </c>
      <c r="BP169" s="3">
        <v>48.0</v>
      </c>
      <c r="BQ169" s="1">
        <v>188.0</v>
      </c>
      <c r="BR169" s="28">
        <v>53374.07</v>
      </c>
    </row>
    <row r="170">
      <c r="A170" s="25">
        <f>'Equity Price Data'!A171</f>
        <v>45671.66667</v>
      </c>
      <c r="B170" s="34">
        <f>(('PRACTICE Equity Price Data'!B171/'PRACTICE Equity Price Data'!B170)-1)+B169</f>
        <v>0.1183353121</v>
      </c>
      <c r="C170" s="34">
        <f>(('PRACTICE Equity Price Data'!C171/'PRACTICE Equity Price Data'!C170)-1)+C169</f>
        <v>0.1621398131</v>
      </c>
      <c r="D170" s="34">
        <f>(('PRACTICE Equity Price Data'!D171/'PRACTICE Equity Price Data'!D170)-1)+D169</f>
        <v>0.08039511225</v>
      </c>
      <c r="E170" s="34">
        <f>(('PRACTICE Equity Price Data'!E171/'PRACTICE Equity Price Data'!E170)-1)+E169</f>
        <v>0.08838489025</v>
      </c>
      <c r="F170" s="3">
        <v>13.0</v>
      </c>
      <c r="G170" s="3">
        <v>260.0</v>
      </c>
      <c r="H170" s="3">
        <v>110.0</v>
      </c>
      <c r="I170" s="3">
        <v>256.0</v>
      </c>
      <c r="J170" s="3">
        <v>83.0</v>
      </c>
      <c r="K170" s="3">
        <v>188.0</v>
      </c>
      <c r="L170" s="3">
        <v>1000.0</v>
      </c>
      <c r="M170" s="3">
        <v>102.0</v>
      </c>
      <c r="N170" s="3">
        <v>200.0</v>
      </c>
      <c r="O170" s="3">
        <v>121.0</v>
      </c>
      <c r="P170" s="3"/>
      <c r="Q170" s="3">
        <v>80.0</v>
      </c>
      <c r="R170" s="3">
        <v>150.0</v>
      </c>
      <c r="S170" s="3">
        <v>417.0</v>
      </c>
      <c r="T170" s="3">
        <v>120.0</v>
      </c>
      <c r="U170" s="3">
        <v>80.0</v>
      </c>
      <c r="V170" s="1">
        <v>88.0</v>
      </c>
      <c r="W170" s="1">
        <v>250.0</v>
      </c>
      <c r="X170" s="1">
        <v>264.0</v>
      </c>
      <c r="Y170" s="1">
        <v>161.0</v>
      </c>
      <c r="Z170" s="1">
        <v>69.0</v>
      </c>
      <c r="AA170" s="3"/>
      <c r="AB170" s="1">
        <v>13.0</v>
      </c>
      <c r="AC170" s="1">
        <v>150.0</v>
      </c>
      <c r="AD170" s="1">
        <v>170.0</v>
      </c>
      <c r="AE170" s="1">
        <v>60.0</v>
      </c>
      <c r="AF170" s="1">
        <v>40.0</v>
      </c>
      <c r="AG170" s="1">
        <v>45.0</v>
      </c>
      <c r="AH170" s="3">
        <v>200.0</v>
      </c>
      <c r="AI170" s="1">
        <v>205.0</v>
      </c>
      <c r="AJ170" s="1">
        <v>60.0</v>
      </c>
      <c r="AK170" s="1">
        <v>100.0</v>
      </c>
      <c r="AL170" s="1">
        <v>175.0</v>
      </c>
      <c r="AM170" s="1">
        <v>130.0</v>
      </c>
      <c r="AN170" s="3">
        <v>47.0</v>
      </c>
      <c r="AO170" s="3">
        <v>160.0</v>
      </c>
      <c r="AP170" s="3">
        <v>70.0</v>
      </c>
      <c r="AQ170" s="3">
        <v>35.0</v>
      </c>
      <c r="AR170" s="1">
        <v>854.0</v>
      </c>
      <c r="AS170" s="1">
        <v>250.0</v>
      </c>
      <c r="AT170" s="1">
        <v>220.0</v>
      </c>
      <c r="AU170" s="1"/>
      <c r="AV170" s="1">
        <v>120.0</v>
      </c>
      <c r="AW170" s="3">
        <v>200.0</v>
      </c>
      <c r="AX170" s="3"/>
      <c r="AY170" s="3">
        <v>142.0</v>
      </c>
      <c r="AZ170" s="1">
        <v>40.0</v>
      </c>
      <c r="BA170" s="3">
        <v>80.0</v>
      </c>
      <c r="BB170" s="3">
        <v>402.0</v>
      </c>
      <c r="BC170" s="1">
        <v>150.0</v>
      </c>
      <c r="BD170" s="1">
        <v>190.0</v>
      </c>
      <c r="BE170" s="1">
        <v>80.0</v>
      </c>
      <c r="BF170" s="1"/>
      <c r="BG170" s="1">
        <v>213.0</v>
      </c>
      <c r="BH170" s="1">
        <v>23.0</v>
      </c>
      <c r="BI170" s="1">
        <v>40.0</v>
      </c>
      <c r="BJ170" s="1">
        <v>278.0</v>
      </c>
      <c r="BK170" s="3"/>
      <c r="BL170" s="1">
        <v>160.0</v>
      </c>
      <c r="BM170" s="1">
        <v>75.0</v>
      </c>
      <c r="BN170" s="32">
        <v>1802.0</v>
      </c>
      <c r="BO170" s="1">
        <v>47.0</v>
      </c>
      <c r="BP170" s="3">
        <v>48.0</v>
      </c>
      <c r="BQ170" s="1">
        <v>188.0</v>
      </c>
      <c r="BR170" s="28">
        <v>53374.07</v>
      </c>
    </row>
    <row r="171">
      <c r="A171" s="25">
        <f>'Equity Price Data'!A172</f>
        <v>45672.66667</v>
      </c>
      <c r="B171" s="34">
        <f>(('PRACTICE Equity Price Data'!B172/'PRACTICE Equity Price Data'!B171)-1)+B170</f>
        <v>0.1366481048</v>
      </c>
      <c r="C171" s="34">
        <f>(('PRACTICE Equity Price Data'!C172/'PRACTICE Equity Price Data'!C171)-1)+C170</f>
        <v>0.1866530687</v>
      </c>
      <c r="D171" s="34">
        <f>(('PRACTICE Equity Price Data'!D172/'PRACTICE Equity Price Data'!D171)-1)+D170</f>
        <v>0.09693552734</v>
      </c>
      <c r="E171" s="34">
        <f>(('PRACTICE Equity Price Data'!E172/'PRACTICE Equity Price Data'!E171)-1)+E170</f>
        <v>0.1082340278</v>
      </c>
      <c r="F171" s="3">
        <v>13.0</v>
      </c>
      <c r="G171" s="3">
        <v>260.0</v>
      </c>
      <c r="H171" s="3">
        <v>110.0</v>
      </c>
      <c r="I171" s="3">
        <v>256.0</v>
      </c>
      <c r="J171" s="3">
        <v>83.0</v>
      </c>
      <c r="K171" s="3">
        <v>188.0</v>
      </c>
      <c r="L171" s="3">
        <v>1000.0</v>
      </c>
      <c r="M171" s="3">
        <v>102.0</v>
      </c>
      <c r="N171" s="3">
        <v>200.0</v>
      </c>
      <c r="O171" s="3">
        <v>121.0</v>
      </c>
      <c r="P171" s="3"/>
      <c r="Q171" s="3">
        <v>80.0</v>
      </c>
      <c r="R171" s="3">
        <v>150.0</v>
      </c>
      <c r="S171" s="3">
        <v>417.0</v>
      </c>
      <c r="T171" s="3">
        <v>120.0</v>
      </c>
      <c r="U171" s="3">
        <v>80.0</v>
      </c>
      <c r="V171" s="1">
        <v>88.0</v>
      </c>
      <c r="W171" s="1">
        <v>250.0</v>
      </c>
      <c r="X171" s="1">
        <v>264.0</v>
      </c>
      <c r="Y171" s="1">
        <v>161.0</v>
      </c>
      <c r="Z171" s="1">
        <v>69.0</v>
      </c>
      <c r="AA171" s="3"/>
      <c r="AB171" s="1">
        <v>13.0</v>
      </c>
      <c r="AC171" s="1">
        <v>150.0</v>
      </c>
      <c r="AD171" s="1">
        <v>170.0</v>
      </c>
      <c r="AE171" s="1">
        <v>60.0</v>
      </c>
      <c r="AF171" s="1">
        <v>40.0</v>
      </c>
      <c r="AG171" s="1">
        <v>45.0</v>
      </c>
      <c r="AH171" s="3">
        <v>200.0</v>
      </c>
      <c r="AI171" s="1">
        <v>205.0</v>
      </c>
      <c r="AJ171" s="1">
        <v>60.0</v>
      </c>
      <c r="AK171" s="1">
        <v>100.0</v>
      </c>
      <c r="AL171" s="1">
        <v>175.0</v>
      </c>
      <c r="AM171" s="1">
        <v>130.0</v>
      </c>
      <c r="AN171" s="3">
        <v>47.0</v>
      </c>
      <c r="AO171" s="3">
        <v>160.0</v>
      </c>
      <c r="AP171" s="3">
        <v>70.0</v>
      </c>
      <c r="AQ171" s="3">
        <v>35.0</v>
      </c>
      <c r="AR171" s="1">
        <v>854.0</v>
      </c>
      <c r="AS171" s="1">
        <v>250.0</v>
      </c>
      <c r="AT171" s="1">
        <v>220.0</v>
      </c>
      <c r="AU171" s="1"/>
      <c r="AV171" s="1">
        <v>120.0</v>
      </c>
      <c r="AW171" s="3">
        <v>200.0</v>
      </c>
      <c r="AX171" s="3"/>
      <c r="AY171" s="3">
        <v>142.0</v>
      </c>
      <c r="AZ171" s="1">
        <v>40.0</v>
      </c>
      <c r="BA171" s="3">
        <v>80.0</v>
      </c>
      <c r="BB171" s="3">
        <v>402.0</v>
      </c>
      <c r="BC171" s="1">
        <v>150.0</v>
      </c>
      <c r="BD171" s="1">
        <v>190.0</v>
      </c>
      <c r="BE171" s="1">
        <v>80.0</v>
      </c>
      <c r="BF171" s="1"/>
      <c r="BG171" s="1">
        <v>213.0</v>
      </c>
      <c r="BH171" s="1">
        <v>23.0</v>
      </c>
      <c r="BI171" s="1">
        <v>40.0</v>
      </c>
      <c r="BJ171" s="1">
        <v>278.0</v>
      </c>
      <c r="BK171" s="3"/>
      <c r="BL171" s="1">
        <v>160.0</v>
      </c>
      <c r="BM171" s="1">
        <v>75.0</v>
      </c>
      <c r="BN171" s="32">
        <v>1802.0</v>
      </c>
      <c r="BO171" s="1">
        <v>47.0</v>
      </c>
      <c r="BP171" s="3">
        <v>48.0</v>
      </c>
      <c r="BQ171" s="1">
        <v>188.0</v>
      </c>
      <c r="BR171" s="28">
        <v>53374.07</v>
      </c>
    </row>
    <row r="172">
      <c r="A172" s="25">
        <f>'Equity Price Data'!A173</f>
        <v>45673.66667</v>
      </c>
      <c r="B172" s="34">
        <f>(('PRACTICE Equity Price Data'!B173/'PRACTICE Equity Price Data'!B172)-1)+B171</f>
        <v>0.1345354678</v>
      </c>
      <c r="C172" s="34">
        <f>(('PRACTICE Equity Price Data'!C173/'PRACTICE Equity Price Data'!C172)-1)+C171</f>
        <v>0.1777894553</v>
      </c>
      <c r="D172" s="34">
        <f>(('PRACTICE Equity Price Data'!D173/'PRACTICE Equity Price Data'!D172)-1)+D171</f>
        <v>0.09535252071</v>
      </c>
      <c r="E172" s="34">
        <f>(('PRACTICE Equity Price Data'!E173/'PRACTICE Equity Price Data'!E172)-1)+E171</f>
        <v>0.1097804492</v>
      </c>
      <c r="F172" s="3">
        <v>13.0</v>
      </c>
      <c r="G172" s="3">
        <v>260.0</v>
      </c>
      <c r="H172" s="3">
        <v>110.0</v>
      </c>
      <c r="I172" s="3">
        <v>256.0</v>
      </c>
      <c r="J172" s="3">
        <v>83.0</v>
      </c>
      <c r="K172" s="3">
        <v>188.0</v>
      </c>
      <c r="L172" s="3">
        <v>1000.0</v>
      </c>
      <c r="M172" s="3">
        <v>102.0</v>
      </c>
      <c r="N172" s="3">
        <v>200.0</v>
      </c>
      <c r="O172" s="3">
        <v>121.0</v>
      </c>
      <c r="P172" s="3"/>
      <c r="Q172" s="3">
        <v>80.0</v>
      </c>
      <c r="R172" s="3">
        <v>150.0</v>
      </c>
      <c r="S172" s="3">
        <v>417.0</v>
      </c>
      <c r="T172" s="3">
        <v>120.0</v>
      </c>
      <c r="U172" s="3">
        <v>80.0</v>
      </c>
      <c r="V172" s="1">
        <v>88.0</v>
      </c>
      <c r="W172" s="1">
        <v>250.0</v>
      </c>
      <c r="X172" s="1">
        <v>264.0</v>
      </c>
      <c r="Y172" s="1">
        <v>161.0</v>
      </c>
      <c r="Z172" s="1">
        <v>69.0</v>
      </c>
      <c r="AA172" s="3"/>
      <c r="AB172" s="1">
        <v>13.0</v>
      </c>
      <c r="AC172" s="1">
        <v>150.0</v>
      </c>
      <c r="AD172" s="1">
        <v>170.0</v>
      </c>
      <c r="AE172" s="1">
        <v>60.0</v>
      </c>
      <c r="AF172" s="1">
        <v>40.0</v>
      </c>
      <c r="AG172" s="1">
        <v>45.0</v>
      </c>
      <c r="AH172" s="3">
        <v>200.0</v>
      </c>
      <c r="AI172" s="1">
        <v>205.0</v>
      </c>
      <c r="AJ172" s="1">
        <v>60.0</v>
      </c>
      <c r="AK172" s="1">
        <v>100.0</v>
      </c>
      <c r="AL172" s="1">
        <v>175.0</v>
      </c>
      <c r="AM172" s="1">
        <v>130.0</v>
      </c>
      <c r="AN172" s="3">
        <v>47.0</v>
      </c>
      <c r="AO172" s="3">
        <v>160.0</v>
      </c>
      <c r="AP172" s="3">
        <v>70.0</v>
      </c>
      <c r="AQ172" s="3">
        <v>35.0</v>
      </c>
      <c r="AR172" s="1">
        <v>854.0</v>
      </c>
      <c r="AS172" s="1">
        <v>250.0</v>
      </c>
      <c r="AT172" s="1">
        <v>220.0</v>
      </c>
      <c r="AU172" s="1"/>
      <c r="AV172" s="1">
        <v>120.0</v>
      </c>
      <c r="AW172" s="3">
        <v>200.0</v>
      </c>
      <c r="AX172" s="3"/>
      <c r="AY172" s="3">
        <v>142.0</v>
      </c>
      <c r="AZ172" s="1">
        <v>40.0</v>
      </c>
      <c r="BA172" s="3">
        <v>80.0</v>
      </c>
      <c r="BB172" s="3">
        <v>402.0</v>
      </c>
      <c r="BC172" s="1">
        <v>150.0</v>
      </c>
      <c r="BD172" s="1">
        <v>190.0</v>
      </c>
      <c r="BE172" s="1">
        <v>80.0</v>
      </c>
      <c r="BF172" s="1"/>
      <c r="BG172" s="1">
        <v>213.0</v>
      </c>
      <c r="BH172" s="1">
        <v>23.0</v>
      </c>
      <c r="BI172" s="1">
        <v>40.0</v>
      </c>
      <c r="BJ172" s="1">
        <v>278.0</v>
      </c>
      <c r="BK172" s="3"/>
      <c r="BL172" s="1">
        <v>160.0</v>
      </c>
      <c r="BM172" s="1">
        <v>75.0</v>
      </c>
      <c r="BN172" s="32">
        <v>1802.0</v>
      </c>
      <c r="BO172" s="1">
        <v>47.0</v>
      </c>
      <c r="BP172" s="3">
        <v>48.0</v>
      </c>
      <c r="BQ172" s="1">
        <v>188.0</v>
      </c>
      <c r="BR172" s="28">
        <v>53374.07</v>
      </c>
    </row>
    <row r="173">
      <c r="A173" s="25">
        <f>'Equity Price Data'!A174</f>
        <v>45674.66667</v>
      </c>
      <c r="B173" s="34">
        <f>(('PRACTICE Equity Price Data'!B174/'PRACTICE Equity Price Data'!B173)-1)+B172</f>
        <v>0.1445264739</v>
      </c>
      <c r="C173" s="34">
        <f>(('PRACTICE Equity Price Data'!C174/'PRACTICE Equity Price Data'!C173)-1)+C172</f>
        <v>0.1928843784</v>
      </c>
      <c r="D173" s="34">
        <f>(('PRACTICE Equity Price Data'!D174/'PRACTICE Equity Price Data'!D173)-1)+D172</f>
        <v>0.1031086209</v>
      </c>
      <c r="E173" s="34">
        <f>(('PRACTICE Equity Price Data'!E174/'PRACTICE Equity Price Data'!E173)-1)+E172</f>
        <v>0.1137905251</v>
      </c>
      <c r="F173" s="3">
        <v>13.0</v>
      </c>
      <c r="G173" s="3">
        <v>260.0</v>
      </c>
      <c r="H173" s="3">
        <v>110.0</v>
      </c>
      <c r="I173" s="3">
        <v>256.0</v>
      </c>
      <c r="J173" s="3">
        <v>83.0</v>
      </c>
      <c r="K173" s="3">
        <v>188.0</v>
      </c>
      <c r="L173" s="3">
        <v>1000.0</v>
      </c>
      <c r="M173" s="3">
        <v>102.0</v>
      </c>
      <c r="N173" s="3">
        <v>200.0</v>
      </c>
      <c r="O173" s="3">
        <v>121.0</v>
      </c>
      <c r="P173" s="3"/>
      <c r="Q173" s="3">
        <v>80.0</v>
      </c>
      <c r="R173" s="3">
        <v>150.0</v>
      </c>
      <c r="S173" s="3">
        <v>417.0</v>
      </c>
      <c r="T173" s="3">
        <v>120.0</v>
      </c>
      <c r="U173" s="3">
        <v>80.0</v>
      </c>
      <c r="V173" s="1">
        <v>88.0</v>
      </c>
      <c r="W173" s="1">
        <v>250.0</v>
      </c>
      <c r="X173" s="1">
        <v>264.0</v>
      </c>
      <c r="Y173" s="1">
        <v>161.0</v>
      </c>
      <c r="Z173" s="1">
        <v>69.0</v>
      </c>
      <c r="AA173" s="3"/>
      <c r="AB173" s="1">
        <v>13.0</v>
      </c>
      <c r="AC173" s="1">
        <v>150.0</v>
      </c>
      <c r="AD173" s="1">
        <v>170.0</v>
      </c>
      <c r="AE173" s="1">
        <v>60.0</v>
      </c>
      <c r="AF173" s="1">
        <v>40.0</v>
      </c>
      <c r="AG173" s="1">
        <v>45.0</v>
      </c>
      <c r="AH173" s="3">
        <v>200.0</v>
      </c>
      <c r="AI173" s="1">
        <v>205.0</v>
      </c>
      <c r="AJ173" s="1">
        <v>60.0</v>
      </c>
      <c r="AK173" s="1">
        <v>100.0</v>
      </c>
      <c r="AL173" s="1">
        <v>175.0</v>
      </c>
      <c r="AM173" s="1">
        <v>130.0</v>
      </c>
      <c r="AN173" s="3">
        <v>47.0</v>
      </c>
      <c r="AO173" s="3">
        <v>160.0</v>
      </c>
      <c r="AP173" s="3">
        <v>70.0</v>
      </c>
      <c r="AQ173" s="3">
        <v>35.0</v>
      </c>
      <c r="AR173" s="1">
        <v>854.0</v>
      </c>
      <c r="AS173" s="1">
        <v>250.0</v>
      </c>
      <c r="AT173" s="1">
        <v>220.0</v>
      </c>
      <c r="AU173" s="1"/>
      <c r="AV173" s="1">
        <v>120.0</v>
      </c>
      <c r="AW173" s="3">
        <v>200.0</v>
      </c>
      <c r="AX173" s="3"/>
      <c r="AY173" s="3">
        <v>142.0</v>
      </c>
      <c r="AZ173" s="1">
        <v>40.0</v>
      </c>
      <c r="BA173" s="3">
        <v>80.0</v>
      </c>
      <c r="BB173" s="3">
        <v>402.0</v>
      </c>
      <c r="BC173" s="1">
        <v>150.0</v>
      </c>
      <c r="BD173" s="1">
        <v>190.0</v>
      </c>
      <c r="BE173" s="1">
        <v>80.0</v>
      </c>
      <c r="BF173" s="1"/>
      <c r="BG173" s="1">
        <v>213.0</v>
      </c>
      <c r="BH173" s="1">
        <v>23.0</v>
      </c>
      <c r="BI173" s="1">
        <v>40.0</v>
      </c>
      <c r="BJ173" s="1">
        <v>278.0</v>
      </c>
      <c r="BK173" s="3"/>
      <c r="BL173" s="1">
        <v>160.0</v>
      </c>
      <c r="BM173" s="1">
        <v>75.0</v>
      </c>
      <c r="BN173" s="32">
        <v>1802.0</v>
      </c>
      <c r="BO173" s="1">
        <v>47.0</v>
      </c>
      <c r="BP173" s="3">
        <v>48.0</v>
      </c>
      <c r="BQ173" s="1">
        <v>188.0</v>
      </c>
      <c r="BR173" s="28">
        <v>53374.07</v>
      </c>
    </row>
    <row r="174">
      <c r="A174" s="25">
        <f>'Equity Price Data'!A175</f>
        <v>45678.66667</v>
      </c>
      <c r="B174" s="34">
        <f>(('PRACTICE Equity Price Data'!B175/'PRACTICE Equity Price Data'!B174)-1)+B173</f>
        <v>0.1532946882</v>
      </c>
      <c r="C174" s="34">
        <f>(('PRACTICE Equity Price Data'!C175/'PRACTICE Equity Price Data'!C174)-1)+C173</f>
        <v>0.1993326061</v>
      </c>
      <c r="D174" s="34">
        <f>(('PRACTICE Equity Price Data'!D175/'PRACTICE Equity Price Data'!D174)-1)+D173</f>
        <v>0.1154794382</v>
      </c>
      <c r="E174" s="34">
        <f>(('PRACTICE Equity Price Data'!E175/'PRACTICE Equity Price Data'!E174)-1)+E173</f>
        <v>0.1322844703</v>
      </c>
      <c r="F174" s="3">
        <v>13.0</v>
      </c>
      <c r="G174" s="3">
        <v>260.0</v>
      </c>
      <c r="H174" s="3">
        <v>110.0</v>
      </c>
      <c r="I174" s="3">
        <v>256.0</v>
      </c>
      <c r="J174" s="3">
        <v>83.0</v>
      </c>
      <c r="K174" s="3">
        <v>188.0</v>
      </c>
      <c r="L174" s="3">
        <v>1000.0</v>
      </c>
      <c r="M174" s="3">
        <v>102.0</v>
      </c>
      <c r="N174" s="3">
        <v>200.0</v>
      </c>
      <c r="O174" s="3">
        <v>121.0</v>
      </c>
      <c r="P174" s="3"/>
      <c r="Q174" s="3">
        <v>80.0</v>
      </c>
      <c r="R174" s="3">
        <v>150.0</v>
      </c>
      <c r="S174" s="3">
        <v>417.0</v>
      </c>
      <c r="T174" s="3">
        <v>120.0</v>
      </c>
      <c r="U174" s="3">
        <v>80.0</v>
      </c>
      <c r="V174" s="1">
        <v>88.0</v>
      </c>
      <c r="W174" s="1">
        <v>250.0</v>
      </c>
      <c r="X174" s="1">
        <v>264.0</v>
      </c>
      <c r="Y174" s="1">
        <v>161.0</v>
      </c>
      <c r="Z174" s="1">
        <v>69.0</v>
      </c>
      <c r="AA174" s="3"/>
      <c r="AB174" s="1">
        <v>13.0</v>
      </c>
      <c r="AC174" s="1">
        <v>150.0</v>
      </c>
      <c r="AD174" s="1">
        <v>170.0</v>
      </c>
      <c r="AE174" s="1">
        <v>60.0</v>
      </c>
      <c r="AF174" s="1">
        <v>40.0</v>
      </c>
      <c r="AG174" s="1">
        <v>45.0</v>
      </c>
      <c r="AH174" s="3">
        <v>200.0</v>
      </c>
      <c r="AI174" s="1">
        <v>205.0</v>
      </c>
      <c r="AJ174" s="1">
        <v>60.0</v>
      </c>
      <c r="AK174" s="1">
        <v>100.0</v>
      </c>
      <c r="AL174" s="1">
        <v>175.0</v>
      </c>
      <c r="AM174" s="1">
        <v>130.0</v>
      </c>
      <c r="AN174" s="3">
        <v>47.0</v>
      </c>
      <c r="AO174" s="3">
        <v>160.0</v>
      </c>
      <c r="AP174" s="3">
        <v>70.0</v>
      </c>
      <c r="AQ174" s="3">
        <v>35.0</v>
      </c>
      <c r="AR174" s="1">
        <v>854.0</v>
      </c>
      <c r="AS174" s="1">
        <v>250.0</v>
      </c>
      <c r="AT174" s="1">
        <v>220.0</v>
      </c>
      <c r="AU174" s="1"/>
      <c r="AV174" s="1">
        <v>120.0</v>
      </c>
      <c r="AW174" s="3">
        <v>200.0</v>
      </c>
      <c r="AX174" s="3"/>
      <c r="AY174" s="3">
        <v>142.0</v>
      </c>
      <c r="AZ174" s="1">
        <v>40.0</v>
      </c>
      <c r="BA174" s="3">
        <v>80.0</v>
      </c>
      <c r="BB174" s="3">
        <v>402.0</v>
      </c>
      <c r="BC174" s="1">
        <v>150.0</v>
      </c>
      <c r="BD174" s="1">
        <v>190.0</v>
      </c>
      <c r="BE174" s="1">
        <v>80.0</v>
      </c>
      <c r="BF174" s="1"/>
      <c r="BG174" s="1">
        <v>213.0</v>
      </c>
      <c r="BH174" s="1">
        <v>23.0</v>
      </c>
      <c r="BI174" s="1">
        <v>40.0</v>
      </c>
      <c r="BJ174" s="1">
        <v>278.0</v>
      </c>
      <c r="BK174" s="3"/>
      <c r="BL174" s="1">
        <v>160.0</v>
      </c>
      <c r="BM174" s="1">
        <v>75.0</v>
      </c>
      <c r="BN174" s="32">
        <v>1802.0</v>
      </c>
      <c r="BO174" s="1">
        <v>47.0</v>
      </c>
      <c r="BP174" s="3">
        <v>48.0</v>
      </c>
      <c r="BQ174" s="1">
        <v>188.0</v>
      </c>
      <c r="BR174" s="28">
        <v>53374.07</v>
      </c>
    </row>
    <row r="175">
      <c r="A175" s="25">
        <f>'Equity Price Data'!A176</f>
        <v>45679.66667</v>
      </c>
      <c r="B175" s="34">
        <f>(('PRACTICE Equity Price Data'!B176/'PRACTICE Equity Price Data'!B175)-1)+B174</f>
        <v>0.1594326494</v>
      </c>
      <c r="C175" s="34">
        <f>(('PRACTICE Equity Price Data'!C176/'PRACTICE Equity Price Data'!C175)-1)+C174</f>
        <v>0.2121160657</v>
      </c>
      <c r="D175" s="34">
        <f>(('PRACTICE Equity Price Data'!D176/'PRACTICE Equity Price Data'!D175)-1)+D174</f>
        <v>0.1184531484</v>
      </c>
      <c r="E175" s="34">
        <f>(('PRACTICE Equity Price Data'!E176/'PRACTICE Equity Price Data'!E175)-1)+E174</f>
        <v>0.1261368497</v>
      </c>
      <c r="F175" s="3">
        <v>13.0</v>
      </c>
      <c r="G175" s="3">
        <v>260.0</v>
      </c>
      <c r="H175" s="3">
        <v>110.0</v>
      </c>
      <c r="I175" s="3">
        <v>256.0</v>
      </c>
      <c r="J175" s="3">
        <v>83.0</v>
      </c>
      <c r="K175" s="3">
        <v>188.0</v>
      </c>
      <c r="L175" s="3">
        <v>1000.0</v>
      </c>
      <c r="M175" s="3">
        <v>102.0</v>
      </c>
      <c r="N175" s="3">
        <v>200.0</v>
      </c>
      <c r="O175" s="3">
        <v>121.0</v>
      </c>
      <c r="P175" s="3"/>
      <c r="Q175" s="3">
        <v>80.0</v>
      </c>
      <c r="R175" s="3">
        <v>150.0</v>
      </c>
      <c r="S175" s="3">
        <v>417.0</v>
      </c>
      <c r="T175" s="3">
        <v>120.0</v>
      </c>
      <c r="U175" s="3">
        <v>80.0</v>
      </c>
      <c r="V175" s="1">
        <v>88.0</v>
      </c>
      <c r="W175" s="1">
        <v>250.0</v>
      </c>
      <c r="X175" s="1">
        <v>264.0</v>
      </c>
      <c r="Y175" s="1">
        <v>161.0</v>
      </c>
      <c r="Z175" s="1">
        <v>69.0</v>
      </c>
      <c r="AA175" s="3"/>
      <c r="AB175" s="1">
        <v>13.0</v>
      </c>
      <c r="AC175" s="1">
        <v>150.0</v>
      </c>
      <c r="AD175" s="1">
        <v>170.0</v>
      </c>
      <c r="AE175" s="1">
        <v>60.0</v>
      </c>
      <c r="AF175" s="1">
        <v>40.0</v>
      </c>
      <c r="AG175" s="1">
        <v>45.0</v>
      </c>
      <c r="AH175" s="3">
        <v>200.0</v>
      </c>
      <c r="AI175" s="1">
        <v>205.0</v>
      </c>
      <c r="AJ175" s="1">
        <v>60.0</v>
      </c>
      <c r="AK175" s="1">
        <v>100.0</v>
      </c>
      <c r="AL175" s="1">
        <v>175.0</v>
      </c>
      <c r="AM175" s="1">
        <v>130.0</v>
      </c>
      <c r="AN175" s="3">
        <v>47.0</v>
      </c>
      <c r="AO175" s="3">
        <v>160.0</v>
      </c>
      <c r="AP175" s="3">
        <v>70.0</v>
      </c>
      <c r="AQ175" s="3">
        <v>35.0</v>
      </c>
      <c r="AR175" s="1">
        <v>854.0</v>
      </c>
      <c r="AS175" s="1">
        <v>250.0</v>
      </c>
      <c r="AT175" s="1">
        <v>220.0</v>
      </c>
      <c r="AU175" s="1"/>
      <c r="AV175" s="1">
        <v>120.0</v>
      </c>
      <c r="AW175" s="3">
        <v>200.0</v>
      </c>
      <c r="AX175" s="3"/>
      <c r="AY175" s="3">
        <v>142.0</v>
      </c>
      <c r="AZ175" s="1">
        <v>40.0</v>
      </c>
      <c r="BA175" s="3">
        <v>80.0</v>
      </c>
      <c r="BB175" s="3">
        <v>402.0</v>
      </c>
      <c r="BC175" s="1">
        <v>150.0</v>
      </c>
      <c r="BD175" s="1">
        <v>190.0</v>
      </c>
      <c r="BE175" s="1">
        <v>80.0</v>
      </c>
      <c r="BF175" s="1"/>
      <c r="BG175" s="1">
        <v>213.0</v>
      </c>
      <c r="BH175" s="1">
        <v>23.0</v>
      </c>
      <c r="BI175" s="1">
        <v>40.0</v>
      </c>
      <c r="BJ175" s="1">
        <v>278.0</v>
      </c>
      <c r="BK175" s="3"/>
      <c r="BL175" s="1">
        <v>160.0</v>
      </c>
      <c r="BM175" s="1">
        <v>75.0</v>
      </c>
      <c r="BN175" s="32">
        <v>1802.0</v>
      </c>
      <c r="BO175" s="1">
        <v>47.0</v>
      </c>
      <c r="BP175" s="3">
        <v>48.0</v>
      </c>
      <c r="BQ175" s="1">
        <v>188.0</v>
      </c>
      <c r="BR175" s="28">
        <v>53374.07</v>
      </c>
    </row>
    <row r="176">
      <c r="A176" s="25">
        <f>'Equity Price Data'!A177</f>
        <v>45680.66667</v>
      </c>
      <c r="B176" s="34">
        <f>(('PRACTICE Equity Price Data'!B177/'PRACTICE Equity Price Data'!B176)-1)+B175</f>
        <v>0.1647461614</v>
      </c>
      <c r="C176" s="34">
        <f>(('PRACTICE Equity Price Data'!C177/'PRACTICE Equity Price Data'!C176)-1)+C175</f>
        <v>0.2143320309</v>
      </c>
      <c r="D176" s="34">
        <f>(('PRACTICE Equity Price Data'!D177/'PRACTICE Equity Price Data'!D176)-1)+D175</f>
        <v>0.1277006629</v>
      </c>
      <c r="E176" s="34">
        <f>(('PRACTICE Equity Price Data'!E177/'PRACTICE Equity Price Data'!E176)-1)+E175</f>
        <v>0.1308596459</v>
      </c>
      <c r="F176" s="3">
        <v>13.0</v>
      </c>
      <c r="G176" s="3">
        <v>260.0</v>
      </c>
      <c r="H176" s="3">
        <v>110.0</v>
      </c>
      <c r="I176" s="3">
        <v>256.0</v>
      </c>
      <c r="J176" s="3">
        <v>83.0</v>
      </c>
      <c r="K176" s="3">
        <v>188.0</v>
      </c>
      <c r="L176" s="3">
        <v>1000.0</v>
      </c>
      <c r="M176" s="3">
        <v>102.0</v>
      </c>
      <c r="N176" s="3">
        <v>200.0</v>
      </c>
      <c r="O176" s="3">
        <v>121.0</v>
      </c>
      <c r="P176" s="3"/>
      <c r="Q176" s="3">
        <v>80.0</v>
      </c>
      <c r="R176" s="3">
        <v>150.0</v>
      </c>
      <c r="S176" s="3">
        <v>417.0</v>
      </c>
      <c r="T176" s="3">
        <v>120.0</v>
      </c>
      <c r="U176" s="3">
        <v>80.0</v>
      </c>
      <c r="V176" s="1">
        <v>88.0</v>
      </c>
      <c r="W176" s="1">
        <v>250.0</v>
      </c>
      <c r="X176" s="1">
        <v>264.0</v>
      </c>
      <c r="Y176" s="1">
        <v>161.0</v>
      </c>
      <c r="Z176" s="1">
        <v>69.0</v>
      </c>
      <c r="AA176" s="3"/>
      <c r="AB176" s="1">
        <v>13.0</v>
      </c>
      <c r="AC176" s="1">
        <v>150.0</v>
      </c>
      <c r="AD176" s="1">
        <v>170.0</v>
      </c>
      <c r="AE176" s="1">
        <v>60.0</v>
      </c>
      <c r="AF176" s="1">
        <v>40.0</v>
      </c>
      <c r="AG176" s="1">
        <v>45.0</v>
      </c>
      <c r="AH176" s="3">
        <v>200.0</v>
      </c>
      <c r="AI176" s="1">
        <v>205.0</v>
      </c>
      <c r="AJ176" s="1">
        <v>60.0</v>
      </c>
      <c r="AK176" s="1">
        <v>100.0</v>
      </c>
      <c r="AL176" s="1">
        <v>175.0</v>
      </c>
      <c r="AM176" s="1">
        <v>130.0</v>
      </c>
      <c r="AN176" s="3">
        <v>47.0</v>
      </c>
      <c r="AO176" s="3">
        <v>160.0</v>
      </c>
      <c r="AP176" s="3">
        <v>70.0</v>
      </c>
      <c r="AQ176" s="3">
        <v>35.0</v>
      </c>
      <c r="AR176" s="1">
        <v>854.0</v>
      </c>
      <c r="AS176" s="1">
        <v>250.0</v>
      </c>
      <c r="AT176" s="1">
        <v>220.0</v>
      </c>
      <c r="AU176" s="1"/>
      <c r="AV176" s="1">
        <v>120.0</v>
      </c>
      <c r="AW176" s="3">
        <v>200.0</v>
      </c>
      <c r="AX176" s="3"/>
      <c r="AY176" s="3">
        <v>142.0</v>
      </c>
      <c r="AZ176" s="1">
        <v>40.0</v>
      </c>
      <c r="BA176" s="3">
        <v>80.0</v>
      </c>
      <c r="BB176" s="3">
        <v>402.0</v>
      </c>
      <c r="BC176" s="1">
        <v>150.0</v>
      </c>
      <c r="BD176" s="1">
        <v>190.0</v>
      </c>
      <c r="BE176" s="1">
        <v>80.0</v>
      </c>
      <c r="BF176" s="1"/>
      <c r="BG176" s="1">
        <v>213.0</v>
      </c>
      <c r="BH176" s="1">
        <v>23.0</v>
      </c>
      <c r="BI176" s="1">
        <v>40.0</v>
      </c>
      <c r="BJ176" s="1">
        <v>278.0</v>
      </c>
      <c r="BK176" s="3"/>
      <c r="BL176" s="1">
        <v>160.0</v>
      </c>
      <c r="BM176" s="1">
        <v>75.0</v>
      </c>
      <c r="BN176" s="32">
        <v>1802.0</v>
      </c>
      <c r="BO176" s="1">
        <v>47.0</v>
      </c>
      <c r="BP176" s="3">
        <v>48.0</v>
      </c>
      <c r="BQ176" s="1">
        <v>188.0</v>
      </c>
      <c r="BR176" s="28">
        <v>53374.07</v>
      </c>
    </row>
    <row r="177">
      <c r="A177" s="25">
        <f>'Equity Price Data'!A178</f>
        <v>45681.66667</v>
      </c>
      <c r="B177" s="34">
        <f>(('PRACTICE Equity Price Data'!B178/'PRACTICE Equity Price Data'!B177)-1)+B176</f>
        <v>0.1618909844</v>
      </c>
      <c r="C177" s="34">
        <f>(('PRACTICE Equity Price Data'!C178/'PRACTICE Equity Price Data'!C177)-1)+C176</f>
        <v>0.209376332</v>
      </c>
      <c r="D177" s="34">
        <f>(('PRACTICE Equity Price Data'!D178/'PRACTICE Equity Price Data'!D177)-1)+D176</f>
        <v>0.124540789</v>
      </c>
      <c r="E177" s="34">
        <f>(('PRACTICE Equity Price Data'!E178/'PRACTICE Equity Price Data'!E177)-1)+E176</f>
        <v>0.1278958509</v>
      </c>
      <c r="F177" s="3">
        <v>13.0</v>
      </c>
      <c r="G177" s="3">
        <v>260.0</v>
      </c>
      <c r="H177" s="3">
        <v>110.0</v>
      </c>
      <c r="I177" s="3">
        <v>256.0</v>
      </c>
      <c r="J177" s="3">
        <v>83.0</v>
      </c>
      <c r="K177" s="3">
        <v>188.0</v>
      </c>
      <c r="L177" s="3">
        <v>1000.0</v>
      </c>
      <c r="M177" s="3">
        <v>102.0</v>
      </c>
      <c r="N177" s="3">
        <v>200.0</v>
      </c>
      <c r="O177" s="3">
        <v>121.0</v>
      </c>
      <c r="P177" s="3"/>
      <c r="Q177" s="3">
        <v>80.0</v>
      </c>
      <c r="R177" s="3">
        <v>150.0</v>
      </c>
      <c r="S177" s="3">
        <v>417.0</v>
      </c>
      <c r="T177" s="3">
        <v>120.0</v>
      </c>
      <c r="U177" s="3">
        <v>80.0</v>
      </c>
      <c r="V177" s="1">
        <v>88.0</v>
      </c>
      <c r="W177" s="1">
        <v>250.0</v>
      </c>
      <c r="X177" s="1">
        <v>264.0</v>
      </c>
      <c r="Y177" s="1">
        <v>161.0</v>
      </c>
      <c r="Z177" s="1">
        <v>69.0</v>
      </c>
      <c r="AA177" s="3"/>
      <c r="AB177" s="1">
        <v>13.0</v>
      </c>
      <c r="AC177" s="1">
        <v>150.0</v>
      </c>
      <c r="AD177" s="1">
        <v>170.0</v>
      </c>
      <c r="AE177" s="1">
        <v>60.0</v>
      </c>
      <c r="AF177" s="1">
        <v>40.0</v>
      </c>
      <c r="AG177" s="1">
        <v>45.0</v>
      </c>
      <c r="AH177" s="3">
        <v>200.0</v>
      </c>
      <c r="AI177" s="1">
        <v>205.0</v>
      </c>
      <c r="AJ177" s="1">
        <v>60.0</v>
      </c>
      <c r="AK177" s="1">
        <v>100.0</v>
      </c>
      <c r="AL177" s="1">
        <v>175.0</v>
      </c>
      <c r="AM177" s="1">
        <v>130.0</v>
      </c>
      <c r="AN177" s="3">
        <v>47.0</v>
      </c>
      <c r="AO177" s="3">
        <v>160.0</v>
      </c>
      <c r="AP177" s="3">
        <v>70.0</v>
      </c>
      <c r="AQ177" s="3">
        <v>35.0</v>
      </c>
      <c r="AR177" s="1">
        <v>854.0</v>
      </c>
      <c r="AS177" s="1">
        <v>250.0</v>
      </c>
      <c r="AT177" s="1">
        <v>220.0</v>
      </c>
      <c r="AU177" s="1"/>
      <c r="AV177" s="1">
        <v>120.0</v>
      </c>
      <c r="AW177" s="3">
        <v>200.0</v>
      </c>
      <c r="AX177" s="3"/>
      <c r="AY177" s="3">
        <v>142.0</v>
      </c>
      <c r="AZ177" s="1">
        <v>40.0</v>
      </c>
      <c r="BA177" s="3">
        <v>80.0</v>
      </c>
      <c r="BB177" s="3">
        <v>402.0</v>
      </c>
      <c r="BC177" s="1">
        <v>150.0</v>
      </c>
      <c r="BD177" s="1">
        <v>190.0</v>
      </c>
      <c r="BE177" s="1">
        <v>80.0</v>
      </c>
      <c r="BF177" s="1"/>
      <c r="BG177" s="1">
        <v>213.0</v>
      </c>
      <c r="BH177" s="1">
        <v>23.0</v>
      </c>
      <c r="BI177" s="1">
        <v>40.0</v>
      </c>
      <c r="BJ177" s="1">
        <v>278.0</v>
      </c>
      <c r="BK177" s="3"/>
      <c r="BL177" s="1">
        <v>160.0</v>
      </c>
      <c r="BM177" s="1">
        <v>75.0</v>
      </c>
      <c r="BN177" s="32">
        <v>1802.0</v>
      </c>
      <c r="BO177" s="1">
        <v>47.0</v>
      </c>
      <c r="BP177" s="3">
        <v>48.0</v>
      </c>
      <c r="BQ177" s="1">
        <v>188.0</v>
      </c>
      <c r="BR177" s="28">
        <v>53374.07</v>
      </c>
    </row>
    <row r="178">
      <c r="A178" s="25">
        <f>'Equity Price Data'!A179</f>
        <v>45684.66667</v>
      </c>
      <c r="B178" s="34">
        <f>(('PRACTICE Equity Price Data'!B179/'PRACTICE Equity Price Data'!B178)-1)+B177</f>
        <v>0.1473103417</v>
      </c>
      <c r="C178" s="34">
        <f>(('PRACTICE Equity Price Data'!C179/'PRACTICE Equity Price Data'!C178)-1)+C177</f>
        <v>0.178682697</v>
      </c>
      <c r="D178" s="34">
        <f>(('PRACTICE Equity Price Data'!D179/'PRACTICE Equity Price Data'!D178)-1)+D177</f>
        <v>0.1310536733</v>
      </c>
      <c r="E178" s="34">
        <f>(('PRACTICE Equity Price Data'!E179/'PRACTICE Equity Price Data'!E178)-1)+E177</f>
        <v>0.1176173966</v>
      </c>
      <c r="F178" s="3">
        <v>13.0</v>
      </c>
      <c r="G178" s="3">
        <v>260.0</v>
      </c>
      <c r="H178" s="3">
        <v>110.0</v>
      </c>
      <c r="I178" s="3">
        <v>256.0</v>
      </c>
      <c r="J178" s="3">
        <v>83.0</v>
      </c>
      <c r="K178" s="3">
        <v>188.0</v>
      </c>
      <c r="L178" s="3">
        <v>1000.0</v>
      </c>
      <c r="M178" s="3">
        <v>102.0</v>
      </c>
      <c r="N178" s="3">
        <v>200.0</v>
      </c>
      <c r="O178" s="3">
        <v>121.0</v>
      </c>
      <c r="P178" s="3"/>
      <c r="Q178" s="3">
        <v>80.0</v>
      </c>
      <c r="R178" s="3">
        <v>150.0</v>
      </c>
      <c r="S178" s="3">
        <v>417.0</v>
      </c>
      <c r="T178" s="3">
        <v>120.0</v>
      </c>
      <c r="U178" s="3">
        <v>80.0</v>
      </c>
      <c r="V178" s="1">
        <v>88.0</v>
      </c>
      <c r="W178" s="1">
        <v>250.0</v>
      </c>
      <c r="X178" s="1">
        <v>264.0</v>
      </c>
      <c r="Y178" s="1">
        <v>161.0</v>
      </c>
      <c r="Z178" s="1">
        <v>69.0</v>
      </c>
      <c r="AA178" s="3"/>
      <c r="AB178" s="1">
        <v>13.0</v>
      </c>
      <c r="AC178" s="1">
        <v>150.0</v>
      </c>
      <c r="AD178" s="1">
        <v>170.0</v>
      </c>
      <c r="AE178" s="1">
        <v>60.0</v>
      </c>
      <c r="AF178" s="1">
        <v>40.0</v>
      </c>
      <c r="AG178" s="1">
        <v>45.0</v>
      </c>
      <c r="AH178" s="3">
        <v>200.0</v>
      </c>
      <c r="AI178" s="1">
        <v>205.0</v>
      </c>
      <c r="AJ178" s="1">
        <v>60.0</v>
      </c>
      <c r="AK178" s="1">
        <v>100.0</v>
      </c>
      <c r="AL178" s="1">
        <v>175.0</v>
      </c>
      <c r="AM178" s="1">
        <v>130.0</v>
      </c>
      <c r="AN178" s="3">
        <v>47.0</v>
      </c>
      <c r="AO178" s="3">
        <v>160.0</v>
      </c>
      <c r="AP178" s="3">
        <v>70.0</v>
      </c>
      <c r="AQ178" s="3">
        <v>35.0</v>
      </c>
      <c r="AR178" s="1">
        <v>854.0</v>
      </c>
      <c r="AS178" s="1">
        <v>250.0</v>
      </c>
      <c r="AT178" s="1">
        <v>220.0</v>
      </c>
      <c r="AU178" s="1"/>
      <c r="AV178" s="1">
        <v>120.0</v>
      </c>
      <c r="AW178" s="3">
        <v>200.0</v>
      </c>
      <c r="AX178" s="3"/>
      <c r="AY178" s="3">
        <v>142.0</v>
      </c>
      <c r="AZ178" s="1">
        <v>40.0</v>
      </c>
      <c r="BA178" s="3">
        <v>80.0</v>
      </c>
      <c r="BB178" s="3">
        <v>402.0</v>
      </c>
      <c r="BC178" s="1">
        <v>150.0</v>
      </c>
      <c r="BD178" s="1">
        <v>190.0</v>
      </c>
      <c r="BE178" s="1">
        <v>80.0</v>
      </c>
      <c r="BF178" s="1"/>
      <c r="BG178" s="1">
        <v>213.0</v>
      </c>
      <c r="BH178" s="1">
        <v>23.0</v>
      </c>
      <c r="BI178" s="1">
        <v>40.0</v>
      </c>
      <c r="BJ178" s="1">
        <v>278.0</v>
      </c>
      <c r="BK178" s="3"/>
      <c r="BL178" s="1">
        <v>160.0</v>
      </c>
      <c r="BM178" s="1">
        <v>75.0</v>
      </c>
      <c r="BN178" s="32">
        <v>1802.0</v>
      </c>
      <c r="BO178" s="1">
        <v>47.0</v>
      </c>
      <c r="BP178" s="3">
        <v>48.0</v>
      </c>
      <c r="BQ178" s="1">
        <v>188.0</v>
      </c>
      <c r="BR178" s="28">
        <v>53374.07</v>
      </c>
    </row>
    <row r="179">
      <c r="A179" s="25">
        <f>'Equity Price Data'!A180</f>
        <v>45685.66667</v>
      </c>
      <c r="B179" s="34">
        <f>(('PRACTICE Equity Price Data'!B180/'PRACTICE Equity Price Data'!B179)-1)+B178</f>
        <v>0.1565281426</v>
      </c>
      <c r="C179" s="34">
        <f>(('PRACTICE Equity Price Data'!C180/'PRACTICE Equity Price Data'!C179)-1)+C178</f>
        <v>0.1989372438</v>
      </c>
      <c r="D179" s="34">
        <f>(('PRACTICE Equity Price Data'!D180/'PRACTICE Equity Price Data'!D179)-1)+D178</f>
        <v>0.1341124756</v>
      </c>
      <c r="E179" s="34">
        <f>(('PRACTICE Equity Price Data'!E180/'PRACTICE Equity Price Data'!E179)-1)+E178</f>
        <v>0.1197364674</v>
      </c>
      <c r="F179" s="3">
        <v>13.0</v>
      </c>
      <c r="G179" s="3">
        <v>260.0</v>
      </c>
      <c r="H179" s="3">
        <v>110.0</v>
      </c>
      <c r="I179" s="3">
        <v>256.0</v>
      </c>
      <c r="J179" s="3">
        <v>83.0</v>
      </c>
      <c r="K179" s="3">
        <v>188.0</v>
      </c>
      <c r="L179" s="3">
        <v>1000.0</v>
      </c>
      <c r="M179" s="3">
        <v>102.0</v>
      </c>
      <c r="N179" s="3">
        <v>200.0</v>
      </c>
      <c r="O179" s="3">
        <v>121.0</v>
      </c>
      <c r="P179" s="3"/>
      <c r="Q179" s="3">
        <v>80.0</v>
      </c>
      <c r="R179" s="3">
        <v>150.0</v>
      </c>
      <c r="S179" s="3">
        <v>417.0</v>
      </c>
      <c r="T179" s="3">
        <v>120.0</v>
      </c>
      <c r="U179" s="3">
        <v>80.0</v>
      </c>
      <c r="V179" s="1">
        <v>88.0</v>
      </c>
      <c r="W179" s="1">
        <v>250.0</v>
      </c>
      <c r="X179" s="1">
        <v>264.0</v>
      </c>
      <c r="Y179" s="1">
        <v>161.0</v>
      </c>
      <c r="Z179" s="1">
        <v>69.0</v>
      </c>
      <c r="AA179" s="3"/>
      <c r="AB179" s="1">
        <v>13.0</v>
      </c>
      <c r="AC179" s="1">
        <v>150.0</v>
      </c>
      <c r="AD179" s="1">
        <v>170.0</v>
      </c>
      <c r="AE179" s="1">
        <v>60.0</v>
      </c>
      <c r="AF179" s="1">
        <v>40.0</v>
      </c>
      <c r="AG179" s="1">
        <v>45.0</v>
      </c>
      <c r="AH179" s="3">
        <v>200.0</v>
      </c>
      <c r="AI179" s="1">
        <v>205.0</v>
      </c>
      <c r="AJ179" s="1">
        <v>60.0</v>
      </c>
      <c r="AK179" s="1">
        <v>100.0</v>
      </c>
      <c r="AL179" s="1">
        <v>175.0</v>
      </c>
      <c r="AM179" s="1">
        <v>130.0</v>
      </c>
      <c r="AN179" s="3">
        <v>47.0</v>
      </c>
      <c r="AO179" s="3">
        <v>160.0</v>
      </c>
      <c r="AP179" s="3">
        <v>70.0</v>
      </c>
      <c r="AQ179" s="3">
        <v>35.0</v>
      </c>
      <c r="AR179" s="1">
        <v>854.0</v>
      </c>
      <c r="AS179" s="1">
        <v>250.0</v>
      </c>
      <c r="AT179" s="1">
        <v>220.0</v>
      </c>
      <c r="AU179" s="1"/>
      <c r="AV179" s="1">
        <v>120.0</v>
      </c>
      <c r="AW179" s="3">
        <v>200.0</v>
      </c>
      <c r="AX179" s="3"/>
      <c r="AY179" s="3">
        <v>142.0</v>
      </c>
      <c r="AZ179" s="1">
        <v>40.0</v>
      </c>
      <c r="BA179" s="3">
        <v>80.0</v>
      </c>
      <c r="BB179" s="3">
        <v>402.0</v>
      </c>
      <c r="BC179" s="1">
        <v>150.0</v>
      </c>
      <c r="BD179" s="1">
        <v>190.0</v>
      </c>
      <c r="BE179" s="1">
        <v>80.0</v>
      </c>
      <c r="BF179" s="1"/>
      <c r="BG179" s="1">
        <v>213.0</v>
      </c>
      <c r="BH179" s="1">
        <v>23.0</v>
      </c>
      <c r="BI179" s="1">
        <v>40.0</v>
      </c>
      <c r="BJ179" s="1">
        <v>278.0</v>
      </c>
      <c r="BK179" s="3"/>
      <c r="BL179" s="1">
        <v>160.0</v>
      </c>
      <c r="BM179" s="1">
        <v>75.0</v>
      </c>
      <c r="BN179" s="32">
        <v>1802.0</v>
      </c>
      <c r="BO179" s="1">
        <v>47.0</v>
      </c>
      <c r="BP179" s="3">
        <v>48.0</v>
      </c>
      <c r="BQ179" s="1">
        <v>188.0</v>
      </c>
      <c r="BR179" s="28">
        <v>53374.07</v>
      </c>
    </row>
    <row r="180">
      <c r="A180" s="25">
        <f>'Equity Price Data'!A181</f>
        <v>45686.66667</v>
      </c>
      <c r="B180" s="34">
        <f>(('PRACTICE Equity Price Data'!B181/'PRACTICE Equity Price Data'!B180)-1)+B179</f>
        <v>0.1518492693</v>
      </c>
      <c r="C180" s="34">
        <f>(('PRACTICE Equity Price Data'!C181/'PRACTICE Equity Price Data'!C180)-1)+C179</f>
        <v>0.1938053848</v>
      </c>
      <c r="D180" s="34">
        <f>(('PRACTICE Equity Price Data'!D181/'PRACTICE Equity Price Data'!D180)-1)+D179</f>
        <v>0.1310616633</v>
      </c>
      <c r="E180" s="34">
        <f>(('PRACTICE Equity Price Data'!E181/'PRACTICE Equity Price Data'!E180)-1)+E179</f>
        <v>0.1172199308</v>
      </c>
      <c r="F180" s="3">
        <v>13.0</v>
      </c>
      <c r="G180" s="3">
        <v>260.0</v>
      </c>
      <c r="H180" s="3">
        <v>110.0</v>
      </c>
      <c r="I180" s="3">
        <v>256.0</v>
      </c>
      <c r="J180" s="3">
        <v>83.0</v>
      </c>
      <c r="K180" s="3">
        <v>188.0</v>
      </c>
      <c r="L180" s="3">
        <v>1000.0</v>
      </c>
      <c r="M180" s="3">
        <v>102.0</v>
      </c>
      <c r="N180" s="3">
        <v>200.0</v>
      </c>
      <c r="O180" s="3">
        <v>121.0</v>
      </c>
      <c r="P180" s="3"/>
      <c r="Q180" s="3">
        <v>80.0</v>
      </c>
      <c r="R180" s="3">
        <v>150.0</v>
      </c>
      <c r="S180" s="3">
        <v>417.0</v>
      </c>
      <c r="T180" s="3">
        <v>120.0</v>
      </c>
      <c r="U180" s="3">
        <v>80.0</v>
      </c>
      <c r="V180" s="1">
        <v>88.0</v>
      </c>
      <c r="W180" s="1">
        <v>250.0</v>
      </c>
      <c r="X180" s="1">
        <v>264.0</v>
      </c>
      <c r="Y180" s="1">
        <v>161.0</v>
      </c>
      <c r="Z180" s="1">
        <v>69.0</v>
      </c>
      <c r="AA180" s="3"/>
      <c r="AB180" s="1">
        <v>13.0</v>
      </c>
      <c r="AC180" s="1">
        <v>150.0</v>
      </c>
      <c r="AD180" s="1">
        <v>170.0</v>
      </c>
      <c r="AE180" s="1">
        <v>60.0</v>
      </c>
      <c r="AF180" s="1">
        <v>40.0</v>
      </c>
      <c r="AG180" s="1">
        <v>45.0</v>
      </c>
      <c r="AH180" s="3">
        <v>200.0</v>
      </c>
      <c r="AI180" s="1">
        <v>205.0</v>
      </c>
      <c r="AJ180" s="1">
        <v>60.0</v>
      </c>
      <c r="AK180" s="1">
        <v>100.0</v>
      </c>
      <c r="AL180" s="1">
        <v>175.0</v>
      </c>
      <c r="AM180" s="1">
        <v>130.0</v>
      </c>
      <c r="AN180" s="3">
        <v>47.0</v>
      </c>
      <c r="AO180" s="3">
        <v>160.0</v>
      </c>
      <c r="AP180" s="3">
        <v>70.0</v>
      </c>
      <c r="AQ180" s="3">
        <v>35.0</v>
      </c>
      <c r="AR180" s="1">
        <v>854.0</v>
      </c>
      <c r="AS180" s="1">
        <v>250.0</v>
      </c>
      <c r="AT180" s="1">
        <v>220.0</v>
      </c>
      <c r="AU180" s="1"/>
      <c r="AV180" s="1">
        <v>120.0</v>
      </c>
      <c r="AW180" s="3">
        <v>200.0</v>
      </c>
      <c r="AX180" s="3"/>
      <c r="AY180" s="3">
        <v>142.0</v>
      </c>
      <c r="AZ180" s="1">
        <v>40.0</v>
      </c>
      <c r="BA180" s="3">
        <v>80.0</v>
      </c>
      <c r="BB180" s="3">
        <v>402.0</v>
      </c>
      <c r="BC180" s="1">
        <v>150.0</v>
      </c>
      <c r="BD180" s="1">
        <v>190.0</v>
      </c>
      <c r="BE180" s="1">
        <v>80.0</v>
      </c>
      <c r="BF180" s="1"/>
      <c r="BG180" s="1">
        <v>213.0</v>
      </c>
      <c r="BH180" s="1">
        <v>23.0</v>
      </c>
      <c r="BI180" s="1">
        <v>40.0</v>
      </c>
      <c r="BJ180" s="1">
        <v>278.0</v>
      </c>
      <c r="BK180" s="3"/>
      <c r="BL180" s="1">
        <v>160.0</v>
      </c>
      <c r="BM180" s="1">
        <v>75.0</v>
      </c>
      <c r="BN180" s="32">
        <v>1802.0</v>
      </c>
      <c r="BO180" s="1">
        <v>47.0</v>
      </c>
      <c r="BP180" s="3">
        <v>48.0</v>
      </c>
      <c r="BQ180" s="1">
        <v>188.0</v>
      </c>
      <c r="BR180" s="28">
        <v>53374.07</v>
      </c>
    </row>
    <row r="181">
      <c r="A181" s="25">
        <f>'Equity Price Data'!A182</f>
        <v>45687.66667</v>
      </c>
      <c r="B181" s="34">
        <f>(('PRACTICE Equity Price Data'!B182/'PRACTICE Equity Price Data'!B181)-1)+B180</f>
        <v>0.1571247064</v>
      </c>
      <c r="C181" s="34">
        <f>(('PRACTICE Equity Price Data'!C182/'PRACTICE Equity Price Data'!C181)-1)+C180</f>
        <v>0.1963231718</v>
      </c>
      <c r="D181" s="34">
        <f>(('PRACTICE Equity Price Data'!D182/'PRACTICE Equity Price Data'!D181)-1)+D180</f>
        <v>0.1348325585</v>
      </c>
      <c r="E181" s="34">
        <f>(('PRACTICE Equity Price Data'!E182/'PRACTICE Equity Price Data'!E181)-1)+E180</f>
        <v>0.1278852542</v>
      </c>
      <c r="F181" s="3">
        <v>13.0</v>
      </c>
      <c r="G181" s="3">
        <v>260.0</v>
      </c>
      <c r="H181" s="3">
        <v>110.0</v>
      </c>
      <c r="I181" s="3">
        <v>256.0</v>
      </c>
      <c r="J181" s="3">
        <v>83.0</v>
      </c>
      <c r="K181" s="3">
        <v>188.0</v>
      </c>
      <c r="L181" s="3">
        <v>1000.0</v>
      </c>
      <c r="M181" s="3">
        <v>102.0</v>
      </c>
      <c r="N181" s="3">
        <v>200.0</v>
      </c>
      <c r="O181" s="3">
        <v>121.0</v>
      </c>
      <c r="P181" s="3"/>
      <c r="Q181" s="3">
        <v>80.0</v>
      </c>
      <c r="R181" s="3">
        <v>150.0</v>
      </c>
      <c r="S181" s="3">
        <v>417.0</v>
      </c>
      <c r="T181" s="3">
        <v>120.0</v>
      </c>
      <c r="U181" s="3">
        <v>80.0</v>
      </c>
      <c r="V181" s="1">
        <v>88.0</v>
      </c>
      <c r="W181" s="1">
        <v>250.0</v>
      </c>
      <c r="X181" s="1">
        <v>264.0</v>
      </c>
      <c r="Y181" s="1">
        <v>161.0</v>
      </c>
      <c r="Z181" s="1">
        <v>69.0</v>
      </c>
      <c r="AA181" s="3"/>
      <c r="AB181" s="1">
        <v>13.0</v>
      </c>
      <c r="AC181" s="1">
        <v>150.0</v>
      </c>
      <c r="AD181" s="1">
        <v>170.0</v>
      </c>
      <c r="AE181" s="1">
        <v>60.0</v>
      </c>
      <c r="AF181" s="1">
        <v>40.0</v>
      </c>
      <c r="AG181" s="1">
        <v>45.0</v>
      </c>
      <c r="AH181" s="3">
        <v>200.0</v>
      </c>
      <c r="AI181" s="1">
        <v>205.0</v>
      </c>
      <c r="AJ181" s="1">
        <v>60.0</v>
      </c>
      <c r="AK181" s="1">
        <v>100.0</v>
      </c>
      <c r="AL181" s="1">
        <v>175.0</v>
      </c>
      <c r="AM181" s="1">
        <v>130.0</v>
      </c>
      <c r="AN181" s="3">
        <v>47.0</v>
      </c>
      <c r="AO181" s="3">
        <v>160.0</v>
      </c>
      <c r="AP181" s="3">
        <v>70.0</v>
      </c>
      <c r="AQ181" s="3">
        <v>35.0</v>
      </c>
      <c r="AR181" s="1">
        <v>854.0</v>
      </c>
      <c r="AS181" s="1">
        <v>250.0</v>
      </c>
      <c r="AT181" s="1">
        <v>220.0</v>
      </c>
      <c r="AU181" s="1"/>
      <c r="AV181" s="1">
        <v>120.0</v>
      </c>
      <c r="AW181" s="3">
        <v>200.0</v>
      </c>
      <c r="AX181" s="3"/>
      <c r="AY181" s="3">
        <v>142.0</v>
      </c>
      <c r="AZ181" s="1">
        <v>40.0</v>
      </c>
      <c r="BA181" s="3">
        <v>80.0</v>
      </c>
      <c r="BB181" s="3">
        <v>402.0</v>
      </c>
      <c r="BC181" s="1">
        <v>150.0</v>
      </c>
      <c r="BD181" s="1">
        <v>190.0</v>
      </c>
      <c r="BE181" s="1">
        <v>80.0</v>
      </c>
      <c r="BF181" s="1"/>
      <c r="BG181" s="1">
        <v>213.0</v>
      </c>
      <c r="BH181" s="1">
        <v>23.0</v>
      </c>
      <c r="BI181" s="1">
        <v>40.0</v>
      </c>
      <c r="BJ181" s="1">
        <v>278.0</v>
      </c>
      <c r="BK181" s="3"/>
      <c r="BL181" s="1">
        <v>160.0</v>
      </c>
      <c r="BM181" s="1">
        <v>75.0</v>
      </c>
      <c r="BN181" s="32">
        <v>1802.0</v>
      </c>
      <c r="BO181" s="1">
        <v>47.0</v>
      </c>
      <c r="BP181" s="3">
        <v>48.0</v>
      </c>
      <c r="BQ181" s="1">
        <v>188.0</v>
      </c>
      <c r="BR181" s="27">
        <v>24411.0</v>
      </c>
    </row>
    <row r="182">
      <c r="A182" s="25">
        <f>'Equity Price Data'!A183</f>
        <v>45688.66667</v>
      </c>
      <c r="B182" s="34">
        <f>(('PRACTICE Equity Price Data'!B183/'PRACTICE Equity Price Data'!B182)-1)+B181</f>
        <v>0.1520779032</v>
      </c>
      <c r="C182" s="34">
        <f>(('PRACTICE Equity Price Data'!C183/'PRACTICE Equity Price Data'!C182)-1)+C181</f>
        <v>0.1935637627</v>
      </c>
      <c r="D182" s="34">
        <f>(('PRACTICE Equity Price Data'!D183/'PRACTICE Equity Price Data'!D182)-1)+D181</f>
        <v>0.1273135303</v>
      </c>
      <c r="E182" s="34">
        <f>(('PRACTICE Equity Price Data'!E183/'PRACTICE Equity Price Data'!E182)-1)+E181</f>
        <v>0.1193216884</v>
      </c>
      <c r="F182" s="3">
        <v>13.0</v>
      </c>
      <c r="G182" s="3">
        <v>260.0</v>
      </c>
      <c r="H182" s="3">
        <v>110.0</v>
      </c>
      <c r="I182" s="3">
        <v>256.0</v>
      </c>
      <c r="J182" s="3">
        <v>83.0</v>
      </c>
      <c r="K182" s="3">
        <v>188.0</v>
      </c>
      <c r="L182" s="3">
        <v>1000.0</v>
      </c>
      <c r="M182" s="3">
        <v>102.0</v>
      </c>
      <c r="N182" s="3">
        <v>200.0</v>
      </c>
      <c r="O182" s="3">
        <v>121.0</v>
      </c>
      <c r="P182" s="3"/>
      <c r="Q182" s="3">
        <v>80.0</v>
      </c>
      <c r="R182" s="3">
        <v>150.0</v>
      </c>
      <c r="S182" s="3">
        <v>417.0</v>
      </c>
      <c r="T182" s="3">
        <v>120.0</v>
      </c>
      <c r="U182" s="3">
        <v>80.0</v>
      </c>
      <c r="V182" s="1">
        <v>88.0</v>
      </c>
      <c r="W182" s="1">
        <v>250.0</v>
      </c>
      <c r="X182" s="1">
        <v>264.0</v>
      </c>
      <c r="Y182" s="1">
        <v>161.0</v>
      </c>
      <c r="Z182" s="1">
        <v>69.0</v>
      </c>
      <c r="AA182" s="3"/>
      <c r="AB182" s="1">
        <v>13.0</v>
      </c>
      <c r="AC182" s="1">
        <v>150.0</v>
      </c>
      <c r="AD182" s="1">
        <v>170.0</v>
      </c>
      <c r="AE182" s="1">
        <v>60.0</v>
      </c>
      <c r="AF182" s="1">
        <v>40.0</v>
      </c>
      <c r="AG182" s="1">
        <v>45.0</v>
      </c>
      <c r="AH182" s="1"/>
      <c r="AI182" s="1">
        <v>205.0</v>
      </c>
      <c r="AJ182" s="1">
        <v>60.0</v>
      </c>
      <c r="AK182" s="1">
        <v>100.0</v>
      </c>
      <c r="AL182" s="1">
        <v>175.0</v>
      </c>
      <c r="AM182" s="1">
        <v>130.0</v>
      </c>
      <c r="AN182" s="3">
        <v>47.0</v>
      </c>
      <c r="AO182" s="3">
        <v>160.0</v>
      </c>
      <c r="AP182" s="3">
        <v>70.0</v>
      </c>
      <c r="AQ182" s="3">
        <v>35.0</v>
      </c>
      <c r="AR182" s="1">
        <v>854.0</v>
      </c>
      <c r="AS182" s="1">
        <v>250.0</v>
      </c>
      <c r="AT182" s="1">
        <v>220.0</v>
      </c>
      <c r="AU182" s="1"/>
      <c r="AV182" s="1">
        <v>120.0</v>
      </c>
      <c r="AW182" s="3">
        <v>200.0</v>
      </c>
      <c r="AX182" s="3"/>
      <c r="AY182" s="3">
        <v>142.0</v>
      </c>
      <c r="AZ182" s="1">
        <v>40.0</v>
      </c>
      <c r="BA182" s="3">
        <v>80.0</v>
      </c>
      <c r="BB182" s="3">
        <v>402.0</v>
      </c>
      <c r="BC182" s="1">
        <v>150.0</v>
      </c>
      <c r="BD182" s="1">
        <v>190.0</v>
      </c>
      <c r="BE182" s="1">
        <v>80.0</v>
      </c>
      <c r="BF182" s="1"/>
      <c r="BG182" s="1">
        <v>213.0</v>
      </c>
      <c r="BH182" s="1">
        <v>23.0</v>
      </c>
      <c r="BI182" s="1">
        <v>40.0</v>
      </c>
      <c r="BJ182" s="1">
        <v>278.0</v>
      </c>
      <c r="BK182" s="3"/>
      <c r="BL182" s="1">
        <v>160.0</v>
      </c>
      <c r="BM182" s="1">
        <v>75.0</v>
      </c>
      <c r="BN182" s="32">
        <v>1802.0</v>
      </c>
      <c r="BO182" s="1">
        <v>47.0</v>
      </c>
      <c r="BP182" s="3">
        <v>48.0</v>
      </c>
      <c r="BQ182" s="1">
        <v>188.0</v>
      </c>
      <c r="BR182" s="27">
        <v>24411.0</v>
      </c>
    </row>
    <row r="183">
      <c r="A183" s="25">
        <f>'Equity Price Data'!A184</f>
        <v>45691.66667</v>
      </c>
      <c r="B183" s="34">
        <f>(('PRACTICE Equity Price Data'!B184/'PRACTICE Equity Price Data'!B183)-1)+B182</f>
        <v>0.1444692993</v>
      </c>
      <c r="C183" s="34">
        <f>(('PRACTICE Equity Price Data'!C184/'PRACTICE Equity Price Data'!C183)-1)+C182</f>
        <v>0.1815662735</v>
      </c>
      <c r="D183" s="34">
        <f>(('PRACTICE Equity Price Data'!D184/'PRACTICE Equity Price Data'!D183)-1)+D182</f>
        <v>0.1245578689</v>
      </c>
      <c r="E183" s="34">
        <f>(('PRACTICE Equity Price Data'!E184/'PRACTICE Equity Price Data'!E183)-1)+E182</f>
        <v>0.1065271227</v>
      </c>
      <c r="F183" s="3">
        <v>13.0</v>
      </c>
      <c r="G183" s="3">
        <v>260.0</v>
      </c>
      <c r="H183" s="3">
        <v>110.0</v>
      </c>
      <c r="I183" s="3">
        <v>256.0</v>
      </c>
      <c r="J183" s="3">
        <v>83.0</v>
      </c>
      <c r="K183" s="3">
        <v>188.0</v>
      </c>
      <c r="L183" s="3">
        <v>1000.0</v>
      </c>
      <c r="M183" s="3">
        <v>102.0</v>
      </c>
      <c r="N183" s="3">
        <v>200.0</v>
      </c>
      <c r="O183" s="3">
        <v>121.0</v>
      </c>
      <c r="P183" s="3"/>
      <c r="Q183" s="3">
        <v>80.0</v>
      </c>
      <c r="R183" s="3">
        <v>150.0</v>
      </c>
      <c r="S183" s="3">
        <v>417.0</v>
      </c>
      <c r="T183" s="3">
        <v>120.0</v>
      </c>
      <c r="U183" s="3">
        <v>80.0</v>
      </c>
      <c r="V183" s="1">
        <v>88.0</v>
      </c>
      <c r="W183" s="1">
        <v>250.0</v>
      </c>
      <c r="X183" s="1">
        <v>264.0</v>
      </c>
      <c r="Y183" s="1">
        <v>161.0</v>
      </c>
      <c r="Z183" s="1">
        <v>69.0</v>
      </c>
      <c r="AA183" s="3"/>
      <c r="AB183" s="1">
        <v>13.0</v>
      </c>
      <c r="AC183" s="1">
        <v>150.0</v>
      </c>
      <c r="AD183" s="1">
        <v>170.0</v>
      </c>
      <c r="AE183" s="1">
        <v>60.0</v>
      </c>
      <c r="AF183" s="1">
        <v>40.0</v>
      </c>
      <c r="AG183" s="1">
        <v>45.0</v>
      </c>
      <c r="AH183" s="1"/>
      <c r="AI183" s="1">
        <v>205.0</v>
      </c>
      <c r="AJ183" s="1">
        <v>60.0</v>
      </c>
      <c r="AK183" s="1">
        <v>100.0</v>
      </c>
      <c r="AL183" s="1">
        <v>175.0</v>
      </c>
      <c r="AM183" s="1">
        <v>130.0</v>
      </c>
      <c r="AN183" s="3">
        <v>47.0</v>
      </c>
      <c r="AO183" s="3">
        <v>160.0</v>
      </c>
      <c r="AP183" s="3">
        <v>70.0</v>
      </c>
      <c r="AQ183" s="3">
        <v>35.0</v>
      </c>
      <c r="AR183" s="1">
        <v>854.0</v>
      </c>
      <c r="AS183" s="1">
        <v>250.0</v>
      </c>
      <c r="AT183" s="1">
        <v>220.0</v>
      </c>
      <c r="AU183" s="1"/>
      <c r="AV183" s="1">
        <v>120.0</v>
      </c>
      <c r="AW183" s="3">
        <v>200.0</v>
      </c>
      <c r="AX183" s="3"/>
      <c r="AY183" s="3">
        <v>142.0</v>
      </c>
      <c r="AZ183" s="1">
        <v>40.0</v>
      </c>
      <c r="BA183" s="3">
        <v>80.0</v>
      </c>
      <c r="BB183" s="3">
        <v>402.0</v>
      </c>
      <c r="BC183" s="1">
        <v>150.0</v>
      </c>
      <c r="BD183" s="1">
        <v>190.0</v>
      </c>
      <c r="BE183" s="1">
        <v>80.0</v>
      </c>
      <c r="BF183" s="1"/>
      <c r="BG183" s="1">
        <v>213.0</v>
      </c>
      <c r="BH183" s="1">
        <v>23.0</v>
      </c>
      <c r="BI183" s="1">
        <v>40.0</v>
      </c>
      <c r="BJ183" s="1">
        <v>278.0</v>
      </c>
      <c r="BK183" s="3"/>
      <c r="BL183" s="1">
        <v>160.0</v>
      </c>
      <c r="BM183" s="1">
        <v>75.0</v>
      </c>
      <c r="BN183" s="32">
        <v>1802.0</v>
      </c>
      <c r="BO183" s="1">
        <v>47.0</v>
      </c>
      <c r="BP183" s="3">
        <v>48.0</v>
      </c>
      <c r="BQ183" s="1">
        <v>188.0</v>
      </c>
      <c r="BR183" s="27">
        <v>24411.0</v>
      </c>
    </row>
    <row r="184">
      <c r="A184" s="25">
        <f>'Equity Price Data'!A185</f>
        <v>45692.66667</v>
      </c>
      <c r="B184" s="34">
        <f>(('PRACTICE Equity Price Data'!B185/'PRACTICE Equity Price Data'!B184)-1)+B183</f>
        <v>0.1516941711</v>
      </c>
      <c r="C184" s="34">
        <f>(('PRACTICE Equity Price Data'!C185/'PRACTICE Equity Price Data'!C184)-1)+C183</f>
        <v>0.1950801215</v>
      </c>
      <c r="D184" s="34">
        <f>(('PRACTICE Equity Price Data'!D185/'PRACTICE Equity Price Data'!D184)-1)+D183</f>
        <v>0.1275773249</v>
      </c>
      <c r="E184" s="34">
        <f>(('PRACTICE Equity Price Data'!E185/'PRACTICE Equity Price Data'!E184)-1)+E183</f>
        <v>0.1206033353</v>
      </c>
      <c r="F184" s="3">
        <v>13.0</v>
      </c>
      <c r="G184" s="3">
        <v>260.0</v>
      </c>
      <c r="H184" s="3">
        <v>110.0</v>
      </c>
      <c r="I184" s="3">
        <v>256.0</v>
      </c>
      <c r="J184" s="3">
        <v>83.0</v>
      </c>
      <c r="K184" s="3">
        <v>188.0</v>
      </c>
      <c r="L184" s="3">
        <v>1000.0</v>
      </c>
      <c r="M184" s="3">
        <v>102.0</v>
      </c>
      <c r="N184" s="3">
        <v>200.0</v>
      </c>
      <c r="O184" s="3">
        <v>121.0</v>
      </c>
      <c r="P184" s="3"/>
      <c r="Q184" s="3">
        <v>80.0</v>
      </c>
      <c r="R184" s="3">
        <v>150.0</v>
      </c>
      <c r="S184" s="3">
        <v>417.0</v>
      </c>
      <c r="T184" s="3">
        <v>120.0</v>
      </c>
      <c r="U184" s="3">
        <v>80.0</v>
      </c>
      <c r="V184" s="1">
        <v>88.0</v>
      </c>
      <c r="W184" s="1">
        <v>250.0</v>
      </c>
      <c r="X184" s="1">
        <v>264.0</v>
      </c>
      <c r="Y184" s="1">
        <v>161.0</v>
      </c>
      <c r="Z184" s="1">
        <v>69.0</v>
      </c>
      <c r="AA184" s="3"/>
      <c r="AB184" s="1">
        <v>13.0</v>
      </c>
      <c r="AC184" s="1">
        <v>150.0</v>
      </c>
      <c r="AD184" s="1">
        <v>170.0</v>
      </c>
      <c r="AE184" s="1">
        <v>60.0</v>
      </c>
      <c r="AF184" s="1">
        <v>40.0</v>
      </c>
      <c r="AG184" s="1">
        <v>45.0</v>
      </c>
      <c r="AH184" s="1"/>
      <c r="AI184" s="1">
        <v>205.0</v>
      </c>
      <c r="AJ184" s="1">
        <v>60.0</v>
      </c>
      <c r="AK184" s="1">
        <v>100.0</v>
      </c>
      <c r="AL184" s="1">
        <v>175.0</v>
      </c>
      <c r="AM184" s="1">
        <v>130.0</v>
      </c>
      <c r="AN184" s="3">
        <v>47.0</v>
      </c>
      <c r="AO184" s="3">
        <v>160.0</v>
      </c>
      <c r="AP184" s="3">
        <v>70.0</v>
      </c>
      <c r="AQ184" s="3">
        <v>35.0</v>
      </c>
      <c r="AR184" s="1">
        <v>854.0</v>
      </c>
      <c r="AS184" s="1">
        <v>250.0</v>
      </c>
      <c r="AT184" s="1">
        <v>220.0</v>
      </c>
      <c r="AU184" s="1"/>
      <c r="AV184" s="1">
        <v>120.0</v>
      </c>
      <c r="AW184" s="3">
        <v>200.0</v>
      </c>
      <c r="AX184" s="3"/>
      <c r="AY184" s="3">
        <v>142.0</v>
      </c>
      <c r="AZ184" s="1">
        <v>40.0</v>
      </c>
      <c r="BA184" s="3">
        <v>80.0</v>
      </c>
      <c r="BB184" s="3">
        <v>402.0</v>
      </c>
      <c r="BC184" s="1">
        <v>150.0</v>
      </c>
      <c r="BD184" s="1">
        <v>190.0</v>
      </c>
      <c r="BE184" s="1">
        <v>80.0</v>
      </c>
      <c r="BF184" s="1"/>
      <c r="BG184" s="1">
        <v>213.0</v>
      </c>
      <c r="BH184" s="1">
        <v>23.0</v>
      </c>
      <c r="BI184" s="1">
        <v>40.0</v>
      </c>
      <c r="BJ184" s="1">
        <v>278.0</v>
      </c>
      <c r="BK184" s="3"/>
      <c r="BL184" s="1">
        <v>160.0</v>
      </c>
      <c r="BM184" s="1">
        <v>75.0</v>
      </c>
      <c r="BN184" s="32">
        <v>1802.0</v>
      </c>
      <c r="BO184" s="1">
        <v>47.0</v>
      </c>
      <c r="BP184" s="3">
        <v>48.0</v>
      </c>
      <c r="BQ184" s="1">
        <v>188.0</v>
      </c>
      <c r="BR184" s="27">
        <v>24411.0</v>
      </c>
    </row>
    <row r="185">
      <c r="A185" s="25">
        <f>'Equity Price Data'!A186</f>
        <v>45693.66667</v>
      </c>
      <c r="B185" s="34">
        <f>(('PRACTICE Equity Price Data'!B186/'PRACTICE Equity Price Data'!B185)-1)+B184</f>
        <v>0.1556028278</v>
      </c>
      <c r="C185" s="34">
        <f>(('PRACTICE Equity Price Data'!C186/'PRACTICE Equity Price Data'!C185)-1)+C184</f>
        <v>0.1970293411</v>
      </c>
      <c r="D185" s="34">
        <f>(('PRACTICE Equity Price Data'!D186/'PRACTICE Equity Price Data'!D185)-1)+D184</f>
        <v>0.1346973472</v>
      </c>
      <c r="E185" s="34">
        <f>(('PRACTICE Equity Price Data'!E186/'PRACTICE Equity Price Data'!E185)-1)+E184</f>
        <v>0.1319647388</v>
      </c>
      <c r="F185" s="3">
        <v>13.0</v>
      </c>
      <c r="G185" s="3">
        <v>260.0</v>
      </c>
      <c r="H185" s="3">
        <v>110.0</v>
      </c>
      <c r="I185" s="3">
        <v>256.0</v>
      </c>
      <c r="J185" s="3">
        <v>83.0</v>
      </c>
      <c r="K185" s="3">
        <v>188.0</v>
      </c>
      <c r="L185" s="3">
        <v>1000.0</v>
      </c>
      <c r="M185" s="3">
        <v>102.0</v>
      </c>
      <c r="N185" s="3">
        <v>200.0</v>
      </c>
      <c r="O185" s="3">
        <v>121.0</v>
      </c>
      <c r="P185" s="3"/>
      <c r="Q185" s="3">
        <v>80.0</v>
      </c>
      <c r="R185" s="3">
        <v>150.0</v>
      </c>
      <c r="S185" s="3">
        <v>417.0</v>
      </c>
      <c r="T185" s="3">
        <v>120.0</v>
      </c>
      <c r="U185" s="3">
        <v>80.0</v>
      </c>
      <c r="V185" s="1">
        <v>88.0</v>
      </c>
      <c r="W185" s="1">
        <v>250.0</v>
      </c>
      <c r="X185" s="1">
        <v>264.0</v>
      </c>
      <c r="Y185" s="1">
        <v>161.0</v>
      </c>
      <c r="Z185" s="1">
        <v>69.0</v>
      </c>
      <c r="AA185" s="3"/>
      <c r="AB185" s="1">
        <v>13.0</v>
      </c>
      <c r="AC185" s="1">
        <v>150.0</v>
      </c>
      <c r="AD185" s="1">
        <v>170.0</v>
      </c>
      <c r="AE185" s="1">
        <v>60.0</v>
      </c>
      <c r="AF185" s="1">
        <v>40.0</v>
      </c>
      <c r="AG185" s="1">
        <v>45.0</v>
      </c>
      <c r="AH185" s="1"/>
      <c r="AI185" s="1">
        <v>205.0</v>
      </c>
      <c r="AJ185" s="1">
        <v>60.0</v>
      </c>
      <c r="AK185" s="1">
        <v>100.0</v>
      </c>
      <c r="AL185" s="1">
        <v>175.0</v>
      </c>
      <c r="AM185" s="1">
        <v>130.0</v>
      </c>
      <c r="AN185" s="3">
        <v>47.0</v>
      </c>
      <c r="AO185" s="3">
        <v>160.0</v>
      </c>
      <c r="AP185" s="3">
        <v>70.0</v>
      </c>
      <c r="AQ185" s="3">
        <v>35.0</v>
      </c>
      <c r="AR185" s="1">
        <v>854.0</v>
      </c>
      <c r="AS185" s="1">
        <v>250.0</v>
      </c>
      <c r="AT185" s="1">
        <v>220.0</v>
      </c>
      <c r="AU185" s="1"/>
      <c r="AV185" s="1">
        <v>120.0</v>
      </c>
      <c r="AW185" s="3">
        <v>200.0</v>
      </c>
      <c r="AX185" s="3"/>
      <c r="AY185" s="3">
        <v>142.0</v>
      </c>
      <c r="AZ185" s="1">
        <v>40.0</v>
      </c>
      <c r="BA185" s="3">
        <v>80.0</v>
      </c>
      <c r="BB185" s="3">
        <v>402.0</v>
      </c>
      <c r="BC185" s="1">
        <v>150.0</v>
      </c>
      <c r="BD185" s="1">
        <v>190.0</v>
      </c>
      <c r="BE185" s="1">
        <v>80.0</v>
      </c>
      <c r="BF185" s="1"/>
      <c r="BG185" s="1">
        <v>213.0</v>
      </c>
      <c r="BH185" s="1">
        <v>23.0</v>
      </c>
      <c r="BI185" s="1">
        <v>40.0</v>
      </c>
      <c r="BJ185" s="1">
        <v>278.0</v>
      </c>
      <c r="BK185" s="3"/>
      <c r="BL185" s="1">
        <v>160.0</v>
      </c>
      <c r="BM185" s="1">
        <v>75.0</v>
      </c>
      <c r="BN185" s="32">
        <v>1802.0</v>
      </c>
      <c r="BO185" s="1">
        <v>47.0</v>
      </c>
      <c r="BP185" s="3">
        <v>48.0</v>
      </c>
      <c r="BQ185" s="1">
        <v>188.0</v>
      </c>
      <c r="BR185" s="27">
        <v>24411.0</v>
      </c>
    </row>
    <row r="186">
      <c r="A186" s="25">
        <f>'Equity Price Data'!A187</f>
        <v>45694.66667</v>
      </c>
      <c r="B186" s="34">
        <f>(('PRACTICE Equity Price Data'!B187/'PRACTICE Equity Price Data'!B186)-1)+B185</f>
        <v>0.1592471523</v>
      </c>
      <c r="C186" s="34">
        <f>(('PRACTICE Equity Price Data'!C187/'PRACTICE Equity Price Data'!C186)-1)+C185</f>
        <v>0.2020901947</v>
      </c>
      <c r="D186" s="34">
        <f>(('PRACTICE Equity Price Data'!D187/'PRACTICE Equity Price Data'!D186)-1)+D185</f>
        <v>0.1318972399</v>
      </c>
      <c r="E186" s="34">
        <f>(('PRACTICE Equity Price Data'!E187/'PRACTICE Equity Price Data'!E186)-1)+E185</f>
        <v>0.1280316233</v>
      </c>
      <c r="F186" s="3">
        <v>13.0</v>
      </c>
      <c r="G186" s="3">
        <v>260.0</v>
      </c>
      <c r="H186" s="3">
        <v>110.0</v>
      </c>
      <c r="I186" s="3">
        <v>256.0</v>
      </c>
      <c r="J186" s="3">
        <v>83.0</v>
      </c>
      <c r="K186" s="3">
        <v>188.0</v>
      </c>
      <c r="L186" s="3">
        <v>1000.0</v>
      </c>
      <c r="M186" s="3">
        <v>102.0</v>
      </c>
      <c r="N186" s="3">
        <v>200.0</v>
      </c>
      <c r="O186" s="3">
        <v>121.0</v>
      </c>
      <c r="P186" s="3"/>
      <c r="Q186" s="3">
        <v>80.0</v>
      </c>
      <c r="R186" s="3">
        <v>150.0</v>
      </c>
      <c r="S186" s="3">
        <v>417.0</v>
      </c>
      <c r="T186" s="3">
        <v>120.0</v>
      </c>
      <c r="U186" s="3">
        <v>80.0</v>
      </c>
      <c r="V186" s="1">
        <v>88.0</v>
      </c>
      <c r="W186" s="1">
        <v>250.0</v>
      </c>
      <c r="X186" s="1">
        <v>264.0</v>
      </c>
      <c r="Y186" s="1">
        <v>161.0</v>
      </c>
      <c r="Z186" s="1">
        <v>69.0</v>
      </c>
      <c r="AA186" s="3"/>
      <c r="AB186" s="1">
        <v>13.0</v>
      </c>
      <c r="AC186" s="1">
        <v>150.0</v>
      </c>
      <c r="AD186" s="1">
        <v>170.0</v>
      </c>
      <c r="AE186" s="1">
        <v>60.0</v>
      </c>
      <c r="AF186" s="1">
        <v>40.0</v>
      </c>
      <c r="AG186" s="1">
        <v>45.0</v>
      </c>
      <c r="AH186" s="1"/>
      <c r="AI186" s="1">
        <v>205.0</v>
      </c>
      <c r="AJ186" s="1">
        <v>60.0</v>
      </c>
      <c r="AK186" s="1">
        <v>100.0</v>
      </c>
      <c r="AL186" s="1">
        <v>175.0</v>
      </c>
      <c r="AM186" s="1">
        <v>130.0</v>
      </c>
      <c r="AN186" s="3">
        <v>47.0</v>
      </c>
      <c r="AO186" s="3">
        <v>160.0</v>
      </c>
      <c r="AP186" s="3">
        <v>70.0</v>
      </c>
      <c r="AQ186" s="3">
        <v>35.0</v>
      </c>
      <c r="AR186" s="1">
        <v>854.0</v>
      </c>
      <c r="AS186" s="1">
        <v>250.0</v>
      </c>
      <c r="AT186" s="1">
        <v>220.0</v>
      </c>
      <c r="AU186" s="1"/>
      <c r="AV186" s="1">
        <v>120.0</v>
      </c>
      <c r="AW186" s="3">
        <v>200.0</v>
      </c>
      <c r="AX186" s="3"/>
      <c r="AY186" s="3">
        <v>142.0</v>
      </c>
      <c r="AZ186" s="1">
        <v>40.0</v>
      </c>
      <c r="BA186" s="3">
        <v>80.0</v>
      </c>
      <c r="BB186" s="3">
        <v>402.0</v>
      </c>
      <c r="BC186" s="1">
        <v>150.0</v>
      </c>
      <c r="BD186" s="1">
        <v>190.0</v>
      </c>
      <c r="BE186" s="1">
        <v>80.0</v>
      </c>
      <c r="BF186" s="1"/>
      <c r="BG186" s="1">
        <v>213.0</v>
      </c>
      <c r="BH186" s="1">
        <v>23.0</v>
      </c>
      <c r="BI186" s="1">
        <v>40.0</v>
      </c>
      <c r="BJ186" s="1">
        <v>278.0</v>
      </c>
      <c r="BK186" s="3"/>
      <c r="BL186" s="1">
        <v>160.0</v>
      </c>
      <c r="BM186" s="1">
        <v>75.0</v>
      </c>
      <c r="BN186" s="32">
        <v>1802.0</v>
      </c>
      <c r="BO186" s="1">
        <v>47.0</v>
      </c>
      <c r="BP186" s="3">
        <v>48.0</v>
      </c>
      <c r="BQ186" s="1">
        <v>188.0</v>
      </c>
      <c r="BR186" s="27">
        <v>24411.0</v>
      </c>
    </row>
    <row r="187">
      <c r="A187" s="25">
        <f>'Equity Price Data'!A188</f>
        <v>45695.66667</v>
      </c>
      <c r="B187" s="34">
        <f>(('PRACTICE Equity Price Data'!B188/'PRACTICE Equity Price Data'!B187)-1)+B186</f>
        <v>0.1497823151</v>
      </c>
      <c r="C187" s="34">
        <f>(('PRACTICE Equity Price Data'!C188/'PRACTICE Equity Price Data'!C187)-1)+C186</f>
        <v>0.1885195533</v>
      </c>
      <c r="D187" s="34">
        <f>(('PRACTICE Equity Price Data'!D188/'PRACTICE Equity Price Data'!D187)-1)+D186</f>
        <v>0.1219697868</v>
      </c>
      <c r="E187" s="34">
        <f>(('PRACTICE Equity Price Data'!E188/'PRACTICE Equity Price Data'!E187)-1)+E186</f>
        <v>0.1161510103</v>
      </c>
      <c r="F187" s="3">
        <v>13.0</v>
      </c>
      <c r="G187" s="3">
        <v>260.0</v>
      </c>
      <c r="H187" s="3">
        <v>110.0</v>
      </c>
      <c r="I187" s="3">
        <v>256.0</v>
      </c>
      <c r="J187" s="3">
        <v>83.0</v>
      </c>
      <c r="K187" s="3">
        <v>188.0</v>
      </c>
      <c r="L187" s="3">
        <v>1000.0</v>
      </c>
      <c r="M187" s="3">
        <v>102.0</v>
      </c>
      <c r="N187" s="3">
        <v>200.0</v>
      </c>
      <c r="O187" s="3">
        <v>121.0</v>
      </c>
      <c r="P187" s="3"/>
      <c r="Q187" s="3">
        <v>80.0</v>
      </c>
      <c r="R187" s="3">
        <v>150.0</v>
      </c>
      <c r="S187" s="3">
        <v>417.0</v>
      </c>
      <c r="T187" s="3">
        <v>120.0</v>
      </c>
      <c r="U187" s="3">
        <v>80.0</v>
      </c>
      <c r="V187" s="1">
        <v>88.0</v>
      </c>
      <c r="W187" s="1">
        <v>250.0</v>
      </c>
      <c r="X187" s="1">
        <v>264.0</v>
      </c>
      <c r="Y187" s="1">
        <v>161.0</v>
      </c>
      <c r="Z187" s="1">
        <v>69.0</v>
      </c>
      <c r="AA187" s="3"/>
      <c r="AB187" s="1">
        <v>13.0</v>
      </c>
      <c r="AC187" s="1">
        <v>150.0</v>
      </c>
      <c r="AD187" s="1">
        <v>170.0</v>
      </c>
      <c r="AE187" s="1">
        <v>60.0</v>
      </c>
      <c r="AF187" s="1">
        <v>40.0</v>
      </c>
      <c r="AG187" s="1">
        <v>45.0</v>
      </c>
      <c r="AH187" s="1"/>
      <c r="AI187" s="1">
        <v>205.0</v>
      </c>
      <c r="AJ187" s="1">
        <v>60.0</v>
      </c>
      <c r="AK187" s="1">
        <v>100.0</v>
      </c>
      <c r="AL187" s="1">
        <v>175.0</v>
      </c>
      <c r="AM187" s="1">
        <v>130.0</v>
      </c>
      <c r="AN187" s="3">
        <v>47.0</v>
      </c>
      <c r="AO187" s="3">
        <v>160.0</v>
      </c>
      <c r="AP187" s="3">
        <v>70.0</v>
      </c>
      <c r="AQ187" s="3">
        <v>35.0</v>
      </c>
      <c r="AR187" s="1">
        <v>854.0</v>
      </c>
      <c r="AS187" s="1">
        <v>250.0</v>
      </c>
      <c r="AT187" s="1">
        <v>220.0</v>
      </c>
      <c r="AU187" s="1"/>
      <c r="AV187" s="1">
        <v>120.0</v>
      </c>
      <c r="AW187" s="3">
        <v>200.0</v>
      </c>
      <c r="AX187" s="3"/>
      <c r="AY187" s="3">
        <v>142.0</v>
      </c>
      <c r="AZ187" s="1">
        <v>40.0</v>
      </c>
      <c r="BA187" s="3">
        <v>80.0</v>
      </c>
      <c r="BB187" s="3">
        <v>402.0</v>
      </c>
      <c r="BC187" s="1">
        <v>150.0</v>
      </c>
      <c r="BD187" s="1">
        <v>190.0</v>
      </c>
      <c r="BE187" s="1">
        <v>80.0</v>
      </c>
      <c r="BF187" s="1"/>
      <c r="BG187" s="1">
        <v>213.0</v>
      </c>
      <c r="BH187" s="1">
        <v>23.0</v>
      </c>
      <c r="BI187" s="1">
        <v>40.0</v>
      </c>
      <c r="BJ187" s="1">
        <v>278.0</v>
      </c>
      <c r="BK187" s="3"/>
      <c r="BL187" s="1">
        <v>160.0</v>
      </c>
      <c r="BM187" s="1">
        <v>75.0</v>
      </c>
      <c r="BN187" s="32">
        <v>1802.0</v>
      </c>
      <c r="BO187" s="1">
        <v>47.0</v>
      </c>
      <c r="BP187" s="3">
        <v>48.0</v>
      </c>
      <c r="BQ187" s="1">
        <v>188.0</v>
      </c>
      <c r="BR187" s="27">
        <v>24411.0</v>
      </c>
    </row>
    <row r="188">
      <c r="A188" s="25">
        <f>'Equity Price Data'!A189</f>
        <v>45698.66667</v>
      </c>
      <c r="B188" s="34">
        <f>(('PRACTICE Equity Price Data'!B189/'PRACTICE Equity Price Data'!B188)-1)+B187</f>
        <v>0.156494905</v>
      </c>
      <c r="C188" s="34">
        <f>(('PRACTICE Equity Price Data'!C189/'PRACTICE Equity Price Data'!C188)-1)+C187</f>
        <v>0.1982960266</v>
      </c>
      <c r="D188" s="34">
        <f>(('PRACTICE Equity Price Data'!D189/'PRACTICE Equity Price Data'!D188)-1)+D187</f>
        <v>0.1257394749</v>
      </c>
      <c r="E188" s="34">
        <f>(('PRACTICE Equity Price Data'!E189/'PRACTICE Equity Price Data'!E188)-1)+E187</f>
        <v>0.1197611186</v>
      </c>
      <c r="F188" s="3">
        <v>13.0</v>
      </c>
      <c r="G188" s="3">
        <v>260.0</v>
      </c>
      <c r="H188" s="3">
        <v>110.0</v>
      </c>
      <c r="I188" s="3">
        <v>256.0</v>
      </c>
      <c r="J188" s="3">
        <v>83.0</v>
      </c>
      <c r="K188" s="3">
        <v>188.0</v>
      </c>
      <c r="L188" s="3">
        <v>1000.0</v>
      </c>
      <c r="M188" s="3">
        <v>102.0</v>
      </c>
      <c r="N188" s="3">
        <v>200.0</v>
      </c>
      <c r="O188" s="3">
        <v>121.0</v>
      </c>
      <c r="P188" s="3"/>
      <c r="Q188" s="3">
        <v>80.0</v>
      </c>
      <c r="R188" s="3">
        <v>150.0</v>
      </c>
      <c r="S188" s="3">
        <v>417.0</v>
      </c>
      <c r="T188" s="3">
        <v>120.0</v>
      </c>
      <c r="U188" s="3">
        <v>80.0</v>
      </c>
      <c r="V188" s="1">
        <v>88.0</v>
      </c>
      <c r="W188" s="1">
        <v>250.0</v>
      </c>
      <c r="X188" s="1">
        <v>264.0</v>
      </c>
      <c r="Y188" s="1">
        <v>161.0</v>
      </c>
      <c r="Z188" s="1">
        <v>69.0</v>
      </c>
      <c r="AA188" s="3"/>
      <c r="AB188" s="1">
        <v>13.0</v>
      </c>
      <c r="AC188" s="1">
        <v>150.0</v>
      </c>
      <c r="AD188" s="1">
        <v>170.0</v>
      </c>
      <c r="AE188" s="1">
        <v>60.0</v>
      </c>
      <c r="AF188" s="1">
        <v>40.0</v>
      </c>
      <c r="AG188" s="1">
        <v>45.0</v>
      </c>
      <c r="AH188" s="1"/>
      <c r="AI188" s="1">
        <v>205.0</v>
      </c>
      <c r="AJ188" s="1">
        <v>60.0</v>
      </c>
      <c r="AK188" s="1">
        <v>100.0</v>
      </c>
      <c r="AL188" s="1">
        <v>175.0</v>
      </c>
      <c r="AM188" s="1">
        <v>130.0</v>
      </c>
      <c r="AN188" s="3">
        <v>47.0</v>
      </c>
      <c r="AO188" s="3">
        <v>160.0</v>
      </c>
      <c r="AP188" s="3">
        <v>70.0</v>
      </c>
      <c r="AQ188" s="3">
        <v>35.0</v>
      </c>
      <c r="AR188" s="1">
        <v>854.0</v>
      </c>
      <c r="AS188" s="1">
        <v>250.0</v>
      </c>
      <c r="AT188" s="1">
        <v>220.0</v>
      </c>
      <c r="AU188" s="1"/>
      <c r="AV188" s="1">
        <v>120.0</v>
      </c>
      <c r="AW188" s="3">
        <v>200.0</v>
      </c>
      <c r="AX188" s="3"/>
      <c r="AY188" s="3">
        <v>142.0</v>
      </c>
      <c r="AZ188" s="1">
        <v>40.0</v>
      </c>
      <c r="BA188" s="3">
        <v>80.0</v>
      </c>
      <c r="BB188" s="3">
        <v>402.0</v>
      </c>
      <c r="BC188" s="1">
        <v>150.0</v>
      </c>
      <c r="BD188" s="1">
        <v>190.0</v>
      </c>
      <c r="BE188" s="1">
        <v>80.0</v>
      </c>
      <c r="BF188" s="1"/>
      <c r="BG188" s="1">
        <v>213.0</v>
      </c>
      <c r="BH188" s="1">
        <v>23.0</v>
      </c>
      <c r="BI188" s="1">
        <v>40.0</v>
      </c>
      <c r="BJ188" s="1">
        <v>278.0</v>
      </c>
      <c r="BK188" s="3"/>
      <c r="BL188" s="1">
        <v>160.0</v>
      </c>
      <c r="BM188" s="1">
        <v>75.0</v>
      </c>
      <c r="BN188" s="32">
        <v>1802.0</v>
      </c>
      <c r="BO188" s="1">
        <v>47.0</v>
      </c>
      <c r="BP188" s="3">
        <v>48.0</v>
      </c>
      <c r="BQ188" s="1">
        <v>188.0</v>
      </c>
      <c r="BR188" s="27">
        <v>24411.0</v>
      </c>
    </row>
    <row r="189">
      <c r="A189" s="25">
        <f>'Equity Price Data'!A190</f>
        <v>45699.66667</v>
      </c>
      <c r="B189" s="34">
        <f>(('PRACTICE Equity Price Data'!B190/'PRACTICE Equity Price Data'!B189)-1)+B188</f>
        <v>0.1568344781</v>
      </c>
      <c r="C189" s="34">
        <f>(('PRACTICE Equity Price Data'!C190/'PRACTICE Equity Price Data'!C189)-1)+C188</f>
        <v>0.194724502</v>
      </c>
      <c r="D189" s="34">
        <f>(('PRACTICE Equity Price Data'!D190/'PRACTICE Equity Price Data'!D189)-1)+D188</f>
        <v>0.1285107558</v>
      </c>
      <c r="E189" s="34">
        <f>(('PRACTICE Equity Price Data'!E190/'PRACTICE Equity Price Data'!E189)-1)+E188</f>
        <v>0.114411328</v>
      </c>
      <c r="F189" s="3">
        <v>13.0</v>
      </c>
      <c r="G189" s="3">
        <v>260.0</v>
      </c>
      <c r="H189" s="3">
        <v>110.0</v>
      </c>
      <c r="I189" s="3">
        <v>256.0</v>
      </c>
      <c r="J189" s="3">
        <v>83.0</v>
      </c>
      <c r="K189" s="3">
        <v>188.0</v>
      </c>
      <c r="L189" s="3">
        <v>1000.0</v>
      </c>
      <c r="M189" s="3">
        <v>102.0</v>
      </c>
      <c r="N189" s="3">
        <v>200.0</v>
      </c>
      <c r="O189" s="3">
        <v>121.0</v>
      </c>
      <c r="P189" s="3"/>
      <c r="Q189" s="3">
        <v>80.0</v>
      </c>
      <c r="R189" s="3">
        <v>150.0</v>
      </c>
      <c r="S189" s="3">
        <v>417.0</v>
      </c>
      <c r="T189" s="3">
        <v>120.0</v>
      </c>
      <c r="U189" s="3">
        <v>80.0</v>
      </c>
      <c r="V189" s="1">
        <v>88.0</v>
      </c>
      <c r="W189" s="1">
        <v>250.0</v>
      </c>
      <c r="X189" s="1">
        <v>264.0</v>
      </c>
      <c r="Y189" s="1">
        <v>161.0</v>
      </c>
      <c r="Z189" s="1">
        <v>69.0</v>
      </c>
      <c r="AA189" s="3"/>
      <c r="AB189" s="1">
        <v>13.0</v>
      </c>
      <c r="AC189" s="1">
        <v>150.0</v>
      </c>
      <c r="AD189" s="1">
        <v>170.0</v>
      </c>
      <c r="AE189" s="1">
        <v>60.0</v>
      </c>
      <c r="AF189" s="1">
        <v>40.0</v>
      </c>
      <c r="AG189" s="1">
        <v>45.0</v>
      </c>
      <c r="AH189" s="1"/>
      <c r="AI189" s="1">
        <v>205.0</v>
      </c>
      <c r="AJ189" s="1">
        <v>60.0</v>
      </c>
      <c r="AK189" s="1">
        <v>100.0</v>
      </c>
      <c r="AL189" s="1">
        <v>175.0</v>
      </c>
      <c r="AM189" s="1">
        <v>130.0</v>
      </c>
      <c r="AN189" s="3">
        <v>47.0</v>
      </c>
      <c r="AO189" s="3">
        <v>160.0</v>
      </c>
      <c r="AP189" s="3">
        <v>70.0</v>
      </c>
      <c r="AQ189" s="3">
        <v>35.0</v>
      </c>
      <c r="AR189" s="1">
        <v>854.0</v>
      </c>
      <c r="AS189" s="1">
        <v>250.0</v>
      </c>
      <c r="AT189" s="1">
        <v>220.0</v>
      </c>
      <c r="AU189" s="1"/>
      <c r="AV189" s="1">
        <v>120.0</v>
      </c>
      <c r="AW189" s="3">
        <v>200.0</v>
      </c>
      <c r="AX189" s="3"/>
      <c r="AY189" s="3">
        <v>142.0</v>
      </c>
      <c r="AZ189" s="1">
        <v>40.0</v>
      </c>
      <c r="BA189" s="3">
        <v>80.0</v>
      </c>
      <c r="BB189" s="3">
        <v>402.0</v>
      </c>
      <c r="BC189" s="1">
        <v>150.0</v>
      </c>
      <c r="BD189" s="1">
        <v>190.0</v>
      </c>
      <c r="BE189" s="1">
        <v>80.0</v>
      </c>
      <c r="BF189" s="1"/>
      <c r="BG189" s="1">
        <v>213.0</v>
      </c>
      <c r="BH189" s="1">
        <v>23.0</v>
      </c>
      <c r="BI189" s="1">
        <v>40.0</v>
      </c>
      <c r="BJ189" s="1">
        <v>278.0</v>
      </c>
      <c r="BK189" s="3"/>
      <c r="BL189" s="1">
        <v>160.0</v>
      </c>
      <c r="BM189" s="1">
        <v>75.0</v>
      </c>
      <c r="BN189" s="32">
        <v>1802.0</v>
      </c>
      <c r="BO189" s="1">
        <v>47.0</v>
      </c>
      <c r="BP189" s="3">
        <v>48.0</v>
      </c>
      <c r="BQ189" s="1">
        <v>188.0</v>
      </c>
      <c r="BR189" s="27">
        <v>24411.0</v>
      </c>
    </row>
    <row r="190">
      <c r="A190" s="25">
        <f>'Equity Price Data'!A191</f>
        <v>45700.66667</v>
      </c>
      <c r="B190" s="34">
        <f>(('PRACTICE Equity Price Data'!B191/'PRACTICE Equity Price Data'!B190)-1)+B189</f>
        <v>0.154110576</v>
      </c>
      <c r="C190" s="34">
        <f>(('PRACTICE Equity Price Data'!C191/'PRACTICE Equity Price Data'!C190)-1)+C189</f>
        <v>0.1950345226</v>
      </c>
      <c r="D190" s="34">
        <f>(('PRACTICE Equity Price Data'!D191/'PRACTICE Equity Price Data'!D190)-1)+D189</f>
        <v>0.1234631762</v>
      </c>
      <c r="E190" s="34">
        <f>(('PRACTICE Equity Price Data'!E191/'PRACTICE Equity Price Data'!E190)-1)+E189</f>
        <v>0.1057063141</v>
      </c>
      <c r="F190" s="3">
        <v>13.0</v>
      </c>
      <c r="G190" s="3">
        <v>260.0</v>
      </c>
      <c r="H190" s="3">
        <v>110.0</v>
      </c>
      <c r="I190" s="3">
        <v>256.0</v>
      </c>
      <c r="J190" s="3">
        <v>83.0</v>
      </c>
      <c r="K190" s="3">
        <v>188.0</v>
      </c>
      <c r="L190" s="3">
        <v>1000.0</v>
      </c>
      <c r="M190" s="3">
        <v>102.0</v>
      </c>
      <c r="N190" s="3">
        <v>200.0</v>
      </c>
      <c r="O190" s="3">
        <v>121.0</v>
      </c>
      <c r="P190" s="3"/>
      <c r="Q190" s="3">
        <v>80.0</v>
      </c>
      <c r="R190" s="3">
        <v>150.0</v>
      </c>
      <c r="S190" s="3">
        <v>417.0</v>
      </c>
      <c r="T190" s="3">
        <v>120.0</v>
      </c>
      <c r="U190" s="3">
        <v>80.0</v>
      </c>
      <c r="V190" s="1">
        <v>88.0</v>
      </c>
      <c r="W190" s="1">
        <v>250.0</v>
      </c>
      <c r="X190" s="1">
        <v>264.0</v>
      </c>
      <c r="Y190" s="1">
        <v>161.0</v>
      </c>
      <c r="Z190" s="1">
        <v>69.0</v>
      </c>
      <c r="AA190" s="3"/>
      <c r="AB190" s="1">
        <v>13.0</v>
      </c>
      <c r="AC190" s="1">
        <v>150.0</v>
      </c>
      <c r="AD190" s="1">
        <v>170.0</v>
      </c>
      <c r="AE190" s="1">
        <v>60.0</v>
      </c>
      <c r="AF190" s="1">
        <v>40.0</v>
      </c>
      <c r="AG190" s="1">
        <v>45.0</v>
      </c>
      <c r="AH190" s="1"/>
      <c r="AI190" s="1">
        <v>205.0</v>
      </c>
      <c r="AJ190" s="1">
        <v>60.0</v>
      </c>
      <c r="AK190" s="1">
        <v>100.0</v>
      </c>
      <c r="AL190" s="1">
        <v>175.0</v>
      </c>
      <c r="AM190" s="1">
        <v>130.0</v>
      </c>
      <c r="AN190" s="3">
        <v>47.0</v>
      </c>
      <c r="AO190" s="3">
        <v>160.0</v>
      </c>
      <c r="AP190" s="3">
        <v>70.0</v>
      </c>
      <c r="AQ190" s="3">
        <v>35.0</v>
      </c>
      <c r="AR190" s="1">
        <v>854.0</v>
      </c>
      <c r="AS190" s="1">
        <v>250.0</v>
      </c>
      <c r="AT190" s="1">
        <v>220.0</v>
      </c>
      <c r="AU190" s="1"/>
      <c r="AV190" s="1">
        <v>120.0</v>
      </c>
      <c r="AW190" s="3">
        <v>200.0</v>
      </c>
      <c r="AX190" s="3"/>
      <c r="AY190" s="3">
        <v>142.0</v>
      </c>
      <c r="AZ190" s="1">
        <v>40.0</v>
      </c>
      <c r="BA190" s="3">
        <v>80.0</v>
      </c>
      <c r="BB190" s="3">
        <v>402.0</v>
      </c>
      <c r="BC190" s="1">
        <v>150.0</v>
      </c>
      <c r="BD190" s="1">
        <v>190.0</v>
      </c>
      <c r="BE190" s="1">
        <v>80.0</v>
      </c>
      <c r="BF190" s="1"/>
      <c r="BG190" s="1">
        <v>213.0</v>
      </c>
      <c r="BH190" s="1">
        <v>23.0</v>
      </c>
      <c r="BI190" s="1">
        <v>40.0</v>
      </c>
      <c r="BJ190" s="1">
        <v>278.0</v>
      </c>
      <c r="BK190" s="3"/>
      <c r="BL190" s="1">
        <v>160.0</v>
      </c>
      <c r="BM190" s="1">
        <v>75.0</v>
      </c>
      <c r="BN190" s="32">
        <v>1802.0</v>
      </c>
      <c r="BO190" s="1">
        <v>47.0</v>
      </c>
      <c r="BP190" s="3">
        <v>48.0</v>
      </c>
      <c r="BQ190" s="1">
        <v>188.0</v>
      </c>
      <c r="BR190" s="27">
        <v>24411.0</v>
      </c>
    </row>
    <row r="191">
      <c r="A191" s="25">
        <f>'Equity Price Data'!A192</f>
        <v>45701.66667</v>
      </c>
      <c r="B191" s="34">
        <f>(('PRACTICE Equity Price Data'!B192/'PRACTICE Equity Price Data'!B191)-1)+B190</f>
        <v>0.1645369331</v>
      </c>
      <c r="C191" s="34">
        <f>(('PRACTICE Equity Price Data'!C192/'PRACTICE Equity Price Data'!C191)-1)+C190</f>
        <v>0.210082398</v>
      </c>
      <c r="D191" s="34">
        <f>(('PRACTICE Equity Price Data'!D192/'PRACTICE Equity Price Data'!D191)-1)+D190</f>
        <v>0.1311909456</v>
      </c>
      <c r="E191" s="34">
        <f>(('PRACTICE Equity Price Data'!E192/'PRACTICE Equity Price Data'!E191)-1)+E190</f>
        <v>0.1173602511</v>
      </c>
      <c r="F191" s="3">
        <v>13.0</v>
      </c>
      <c r="G191" s="3">
        <v>260.0</v>
      </c>
      <c r="H191" s="3">
        <v>110.0</v>
      </c>
      <c r="I191" s="3">
        <v>256.0</v>
      </c>
      <c r="J191" s="3">
        <v>83.0</v>
      </c>
      <c r="K191" s="3">
        <v>188.0</v>
      </c>
      <c r="L191" s="3">
        <v>1000.0</v>
      </c>
      <c r="M191" s="3">
        <v>102.0</v>
      </c>
      <c r="N191" s="3">
        <v>200.0</v>
      </c>
      <c r="O191" s="3">
        <v>121.0</v>
      </c>
      <c r="P191" s="3"/>
      <c r="Q191" s="3">
        <v>80.0</v>
      </c>
      <c r="R191" s="3">
        <v>150.0</v>
      </c>
      <c r="S191" s="3">
        <v>417.0</v>
      </c>
      <c r="T191" s="3">
        <v>120.0</v>
      </c>
      <c r="U191" s="3">
        <v>80.0</v>
      </c>
      <c r="V191" s="1">
        <v>88.0</v>
      </c>
      <c r="W191" s="1">
        <v>250.0</v>
      </c>
      <c r="X191" s="1">
        <v>264.0</v>
      </c>
      <c r="Y191" s="1">
        <v>161.0</v>
      </c>
      <c r="Z191" s="1">
        <v>69.0</v>
      </c>
      <c r="AA191" s="3"/>
      <c r="AB191" s="1">
        <v>13.0</v>
      </c>
      <c r="AC191" s="1">
        <v>150.0</v>
      </c>
      <c r="AD191" s="1">
        <v>170.0</v>
      </c>
      <c r="AE191" s="1">
        <v>60.0</v>
      </c>
      <c r="AF191" s="1">
        <v>40.0</v>
      </c>
      <c r="AG191" s="1">
        <v>45.0</v>
      </c>
      <c r="AH191" s="1"/>
      <c r="AI191" s="1">
        <v>205.0</v>
      </c>
      <c r="AJ191" s="1">
        <v>60.0</v>
      </c>
      <c r="AK191" s="1">
        <v>100.0</v>
      </c>
      <c r="AL191" s="1">
        <v>175.0</v>
      </c>
      <c r="AM191" s="1">
        <v>130.0</v>
      </c>
      <c r="AN191" s="3">
        <v>47.0</v>
      </c>
      <c r="AO191" s="3">
        <v>160.0</v>
      </c>
      <c r="AP191" s="3">
        <v>70.0</v>
      </c>
      <c r="AQ191" s="3">
        <v>35.0</v>
      </c>
      <c r="AR191" s="1">
        <v>854.0</v>
      </c>
      <c r="AS191" s="1">
        <v>250.0</v>
      </c>
      <c r="AT191" s="1">
        <v>220.0</v>
      </c>
      <c r="AU191" s="3">
        <v>423.0</v>
      </c>
      <c r="AV191" s="1">
        <v>120.0</v>
      </c>
      <c r="AW191" s="3">
        <v>200.0</v>
      </c>
      <c r="AX191" s="3"/>
      <c r="AY191" s="3">
        <v>142.0</v>
      </c>
      <c r="AZ191" s="1">
        <v>40.0</v>
      </c>
      <c r="BA191" s="3">
        <v>80.0</v>
      </c>
      <c r="BB191" s="3">
        <v>402.0</v>
      </c>
      <c r="BC191" s="1">
        <v>150.0</v>
      </c>
      <c r="BD191" s="1">
        <v>190.0</v>
      </c>
      <c r="BE191" s="1">
        <v>80.0</v>
      </c>
      <c r="BF191" s="1"/>
      <c r="BG191" s="1">
        <v>213.0</v>
      </c>
      <c r="BH191" s="1">
        <v>23.0</v>
      </c>
      <c r="BI191" s="1">
        <v>40.0</v>
      </c>
      <c r="BJ191" s="1">
        <v>278.0</v>
      </c>
      <c r="BK191" s="3"/>
      <c r="BL191" s="1">
        <v>160.0</v>
      </c>
      <c r="BM191" s="1">
        <v>75.0</v>
      </c>
      <c r="BN191" s="32">
        <v>1802.0</v>
      </c>
      <c r="BO191" s="1">
        <v>47.0</v>
      </c>
      <c r="BP191" s="3">
        <v>48.0</v>
      </c>
      <c r="BQ191" s="1">
        <v>188.0</v>
      </c>
      <c r="BR191" s="27">
        <v>24411.0</v>
      </c>
    </row>
    <row r="192">
      <c r="A192" s="25">
        <f>'Equity Price Data'!A193</f>
        <v>45702.66667</v>
      </c>
      <c r="B192" s="34">
        <f>(('PRACTICE Equity Price Data'!B193/'PRACTICE Equity Price Data'!B192)-1)+B191</f>
        <v>0.1644649797</v>
      </c>
      <c r="C192" s="34">
        <f>(('PRACTICE Equity Price Data'!C193/'PRACTICE Equity Price Data'!C192)-1)+C191</f>
        <v>0.2141499536</v>
      </c>
      <c r="D192" s="34">
        <f>(('PRACTICE Equity Price Data'!D193/'PRACTICE Equity Price Data'!D192)-1)+D191</f>
        <v>0.127492786</v>
      </c>
      <c r="E192" s="34">
        <f>(('PRACTICE Equity Price Data'!E193/'PRACTICE Equity Price Data'!E192)-1)+E191</f>
        <v>0.1163962606</v>
      </c>
      <c r="F192" s="3">
        <v>13.0</v>
      </c>
      <c r="G192" s="3">
        <v>260.0</v>
      </c>
      <c r="H192" s="3">
        <v>110.0</v>
      </c>
      <c r="I192" s="3">
        <v>256.0</v>
      </c>
      <c r="J192" s="3">
        <v>83.0</v>
      </c>
      <c r="K192" s="3">
        <v>188.0</v>
      </c>
      <c r="L192" s="3">
        <v>1000.0</v>
      </c>
      <c r="M192" s="3">
        <v>102.0</v>
      </c>
      <c r="N192" s="3">
        <v>200.0</v>
      </c>
      <c r="O192" s="3">
        <v>121.0</v>
      </c>
      <c r="P192" s="3"/>
      <c r="Q192" s="3">
        <v>80.0</v>
      </c>
      <c r="R192" s="3">
        <v>150.0</v>
      </c>
      <c r="S192" s="3">
        <v>417.0</v>
      </c>
      <c r="T192" s="3">
        <v>120.0</v>
      </c>
      <c r="U192" s="3">
        <v>80.0</v>
      </c>
      <c r="V192" s="1">
        <v>88.0</v>
      </c>
      <c r="W192" s="1">
        <v>250.0</v>
      </c>
      <c r="X192" s="1">
        <v>264.0</v>
      </c>
      <c r="Y192" s="1">
        <v>161.0</v>
      </c>
      <c r="Z192" s="1">
        <v>69.0</v>
      </c>
      <c r="AA192" s="3"/>
      <c r="AB192" s="1">
        <v>13.0</v>
      </c>
      <c r="AC192" s="1">
        <v>150.0</v>
      </c>
      <c r="AD192" s="1">
        <v>170.0</v>
      </c>
      <c r="AE192" s="1">
        <v>60.0</v>
      </c>
      <c r="AF192" s="1">
        <v>40.0</v>
      </c>
      <c r="AG192" s="1">
        <v>45.0</v>
      </c>
      <c r="AH192" s="1"/>
      <c r="AI192" s="1">
        <v>205.0</v>
      </c>
      <c r="AJ192" s="1">
        <v>60.0</v>
      </c>
      <c r="AK192" s="1">
        <v>100.0</v>
      </c>
      <c r="AL192" s="1">
        <v>175.0</v>
      </c>
      <c r="AM192" s="1">
        <v>130.0</v>
      </c>
      <c r="AN192" s="3">
        <v>47.0</v>
      </c>
      <c r="AO192" s="3">
        <v>160.0</v>
      </c>
      <c r="AP192" s="3">
        <v>70.0</v>
      </c>
      <c r="AQ192" s="3">
        <v>35.0</v>
      </c>
      <c r="AR192" s="1">
        <v>854.0</v>
      </c>
      <c r="AS192" s="1">
        <v>250.0</v>
      </c>
      <c r="AT192" s="1">
        <v>220.0</v>
      </c>
      <c r="AU192" s="3">
        <v>423.0</v>
      </c>
      <c r="AV192" s="1">
        <v>120.0</v>
      </c>
      <c r="AW192" s="3">
        <v>200.0</v>
      </c>
      <c r="AX192" s="3"/>
      <c r="AY192" s="3">
        <v>142.0</v>
      </c>
      <c r="AZ192" s="1">
        <v>40.0</v>
      </c>
      <c r="BA192" s="3">
        <v>80.0</v>
      </c>
      <c r="BB192" s="3">
        <v>402.0</v>
      </c>
      <c r="BC192" s="1">
        <v>150.0</v>
      </c>
      <c r="BD192" s="1">
        <v>190.0</v>
      </c>
      <c r="BE192" s="1">
        <v>80.0</v>
      </c>
      <c r="BF192" s="1"/>
      <c r="BG192" s="1">
        <v>213.0</v>
      </c>
      <c r="BH192" s="1">
        <v>23.0</v>
      </c>
      <c r="BI192" s="1">
        <v>40.0</v>
      </c>
      <c r="BJ192" s="1">
        <v>278.0</v>
      </c>
      <c r="BK192" s="3"/>
      <c r="BL192" s="1">
        <v>160.0</v>
      </c>
      <c r="BM192" s="1">
        <v>75.0</v>
      </c>
      <c r="BN192" s="32">
        <v>1802.0</v>
      </c>
      <c r="BO192" s="1">
        <v>47.0</v>
      </c>
      <c r="BP192" s="3">
        <v>48.0</v>
      </c>
      <c r="BQ192" s="1">
        <v>188.0</v>
      </c>
      <c r="BR192" s="27">
        <v>24411.0</v>
      </c>
    </row>
    <row r="193">
      <c r="A193" s="25">
        <f>'Equity Price Data'!A194</f>
        <v>45706.66667</v>
      </c>
      <c r="B193" s="34">
        <f>(('PRACTICE Equity Price Data'!B194/'PRACTICE Equity Price Data'!B193)-1)+B192</f>
        <v>0.1669099355</v>
      </c>
      <c r="C193" s="34">
        <f>(('PRACTICE Equity Price Data'!C194/'PRACTICE Equity Price Data'!C193)-1)+C192</f>
        <v>0.2148734852</v>
      </c>
      <c r="D193" s="34">
        <f>(('PRACTICE Equity Price Data'!D194/'PRACTICE Equity Price Data'!D193)-1)+D192</f>
        <v>0.1277231093</v>
      </c>
      <c r="E193" s="34">
        <f>(('PRACTICE Equity Price Data'!E194/'PRACTICE Equity Price Data'!E193)-1)+E192</f>
        <v>0.1209445461</v>
      </c>
      <c r="F193" s="3">
        <v>13.0</v>
      </c>
      <c r="G193" s="3">
        <v>260.0</v>
      </c>
      <c r="H193" s="3">
        <v>110.0</v>
      </c>
      <c r="I193" s="3">
        <v>256.0</v>
      </c>
      <c r="J193" s="3">
        <v>83.0</v>
      </c>
      <c r="K193" s="3">
        <v>188.0</v>
      </c>
      <c r="L193" s="3">
        <v>1000.0</v>
      </c>
      <c r="M193" s="3">
        <v>102.0</v>
      </c>
      <c r="N193" s="3">
        <v>200.0</v>
      </c>
      <c r="O193" s="3">
        <v>121.0</v>
      </c>
      <c r="P193" s="3"/>
      <c r="Q193" s="3">
        <v>80.0</v>
      </c>
      <c r="R193" s="3">
        <v>150.0</v>
      </c>
      <c r="S193" s="3">
        <v>417.0</v>
      </c>
      <c r="T193" s="3">
        <v>120.0</v>
      </c>
      <c r="U193" s="3">
        <v>80.0</v>
      </c>
      <c r="V193" s="1">
        <v>88.0</v>
      </c>
      <c r="W193" s="1">
        <v>250.0</v>
      </c>
      <c r="X193" s="1">
        <v>264.0</v>
      </c>
      <c r="Y193" s="1">
        <v>161.0</v>
      </c>
      <c r="Z193" s="1">
        <v>69.0</v>
      </c>
      <c r="AA193" s="3"/>
      <c r="AB193" s="1">
        <v>13.0</v>
      </c>
      <c r="AC193" s="1">
        <v>150.0</v>
      </c>
      <c r="AD193" s="1">
        <v>170.0</v>
      </c>
      <c r="AE193" s="1">
        <v>60.0</v>
      </c>
      <c r="AF193" s="1">
        <v>40.0</v>
      </c>
      <c r="AG193" s="1">
        <v>45.0</v>
      </c>
      <c r="AH193" s="1"/>
      <c r="AI193" s="1">
        <v>205.0</v>
      </c>
      <c r="AJ193" s="1">
        <v>60.0</v>
      </c>
      <c r="AK193" s="1">
        <v>100.0</v>
      </c>
      <c r="AL193" s="1">
        <v>175.0</v>
      </c>
      <c r="AM193" s="1">
        <v>130.0</v>
      </c>
      <c r="AN193" s="3">
        <v>47.0</v>
      </c>
      <c r="AO193" s="3">
        <v>160.0</v>
      </c>
      <c r="AP193" s="3">
        <v>70.0</v>
      </c>
      <c r="AQ193" s="3">
        <v>35.0</v>
      </c>
      <c r="AR193" s="1">
        <v>854.0</v>
      </c>
      <c r="AS193" s="1">
        <v>250.0</v>
      </c>
      <c r="AT193" s="1">
        <v>220.0</v>
      </c>
      <c r="AU193" s="3">
        <v>423.0</v>
      </c>
      <c r="AV193" s="1">
        <v>120.0</v>
      </c>
      <c r="AW193" s="3">
        <v>200.0</v>
      </c>
      <c r="AX193" s="3"/>
      <c r="AY193" s="3">
        <v>142.0</v>
      </c>
      <c r="AZ193" s="1">
        <v>40.0</v>
      </c>
      <c r="BA193" s="3">
        <v>80.0</v>
      </c>
      <c r="BB193" s="3">
        <v>402.0</v>
      </c>
      <c r="BC193" s="1">
        <v>150.0</v>
      </c>
      <c r="BD193" s="1">
        <v>190.0</v>
      </c>
      <c r="BE193" s="1">
        <v>80.0</v>
      </c>
      <c r="BF193" s="1"/>
      <c r="BG193" s="1">
        <v>213.0</v>
      </c>
      <c r="BH193" s="1">
        <v>23.0</v>
      </c>
      <c r="BI193" s="1">
        <v>40.0</v>
      </c>
      <c r="BJ193" s="1">
        <v>278.0</v>
      </c>
      <c r="BK193" s="3"/>
      <c r="BL193" s="1">
        <v>160.0</v>
      </c>
      <c r="BM193" s="1">
        <v>75.0</v>
      </c>
      <c r="BN193" s="32">
        <v>1802.0</v>
      </c>
      <c r="BO193" s="1">
        <v>47.0</v>
      </c>
      <c r="BP193" s="3">
        <v>48.0</v>
      </c>
      <c r="BQ193" s="1">
        <v>188.0</v>
      </c>
      <c r="BR193" s="27">
        <v>24411.0</v>
      </c>
    </row>
    <row r="194">
      <c r="A194" s="25">
        <f>'Equity Price Data'!A195</f>
        <v>45707.66667</v>
      </c>
      <c r="B194" s="34">
        <f>(('PRACTICE Equity Price Data'!B195/'PRACTICE Equity Price Data'!B194)-1)+B193</f>
        <v>0.1692869336</v>
      </c>
      <c r="C194" s="34">
        <f>(('PRACTICE Equity Price Data'!C195/'PRACTICE Equity Price Data'!C194)-1)+C193</f>
        <v>0.2156214421</v>
      </c>
      <c r="D194" s="34">
        <f>(('PRACTICE Equity Price Data'!D195/'PRACTICE Equity Price Data'!D194)-1)+D193</f>
        <v>0.1293222084</v>
      </c>
      <c r="E194" s="34">
        <f>(('PRACTICE Equity Price Data'!E195/'PRACTICE Equity Price Data'!E194)-1)+E193</f>
        <v>0.1174996577</v>
      </c>
      <c r="F194" s="3">
        <v>13.0</v>
      </c>
      <c r="G194" s="3">
        <v>260.0</v>
      </c>
      <c r="H194" s="3">
        <v>110.0</v>
      </c>
      <c r="I194" s="3">
        <v>256.0</v>
      </c>
      <c r="J194" s="3">
        <v>83.0</v>
      </c>
      <c r="K194" s="3">
        <v>188.0</v>
      </c>
      <c r="L194" s="3">
        <v>1000.0</v>
      </c>
      <c r="M194" s="3">
        <v>102.0</v>
      </c>
      <c r="N194" s="3">
        <v>200.0</v>
      </c>
      <c r="O194" s="3">
        <v>121.0</v>
      </c>
      <c r="P194" s="3"/>
      <c r="Q194" s="3">
        <v>80.0</v>
      </c>
      <c r="R194" s="3">
        <v>150.0</v>
      </c>
      <c r="S194" s="3">
        <v>417.0</v>
      </c>
      <c r="T194" s="3">
        <v>120.0</v>
      </c>
      <c r="U194" s="3">
        <v>80.0</v>
      </c>
      <c r="V194" s="1">
        <v>88.0</v>
      </c>
      <c r="W194" s="1">
        <v>250.0</v>
      </c>
      <c r="X194" s="1">
        <v>264.0</v>
      </c>
      <c r="Y194" s="1">
        <v>161.0</v>
      </c>
      <c r="Z194" s="1">
        <v>69.0</v>
      </c>
      <c r="AA194" s="3"/>
      <c r="AB194" s="1">
        <v>13.0</v>
      </c>
      <c r="AC194" s="1">
        <v>150.0</v>
      </c>
      <c r="AD194" s="1">
        <v>170.0</v>
      </c>
      <c r="AE194" s="1">
        <v>60.0</v>
      </c>
      <c r="AF194" s="1">
        <v>40.0</v>
      </c>
      <c r="AG194" s="1">
        <v>45.0</v>
      </c>
      <c r="AH194" s="1"/>
      <c r="AI194" s="1">
        <v>205.0</v>
      </c>
      <c r="AJ194" s="1">
        <v>60.0</v>
      </c>
      <c r="AK194" s="1">
        <v>100.0</v>
      </c>
      <c r="AL194" s="1">
        <v>175.0</v>
      </c>
      <c r="AM194" s="1">
        <v>130.0</v>
      </c>
      <c r="AN194" s="3">
        <v>47.0</v>
      </c>
      <c r="AO194" s="3">
        <v>160.0</v>
      </c>
      <c r="AP194" s="3">
        <v>70.0</v>
      </c>
      <c r="AQ194" s="3">
        <v>35.0</v>
      </c>
      <c r="AR194" s="1">
        <v>854.0</v>
      </c>
      <c r="AS194" s="1">
        <v>250.0</v>
      </c>
      <c r="AT194" s="1">
        <v>220.0</v>
      </c>
      <c r="AU194" s="3">
        <v>423.0</v>
      </c>
      <c r="AV194" s="1">
        <v>120.0</v>
      </c>
      <c r="AW194" s="3">
        <v>200.0</v>
      </c>
      <c r="AX194" s="3"/>
      <c r="AY194" s="3">
        <v>142.0</v>
      </c>
      <c r="AZ194" s="1">
        <v>40.0</v>
      </c>
      <c r="BA194" s="3">
        <v>80.0</v>
      </c>
      <c r="BB194" s="3">
        <v>402.0</v>
      </c>
      <c r="BC194" s="1">
        <v>150.0</v>
      </c>
      <c r="BD194" s="1">
        <v>190.0</v>
      </c>
      <c r="BE194" s="1">
        <v>80.0</v>
      </c>
      <c r="BF194" s="1"/>
      <c r="BG194" s="1">
        <v>213.0</v>
      </c>
      <c r="BH194" s="1">
        <v>23.0</v>
      </c>
      <c r="BI194" s="1">
        <v>40.0</v>
      </c>
      <c r="BJ194" s="1">
        <v>278.0</v>
      </c>
      <c r="BK194" s="3"/>
      <c r="BL194" s="1">
        <v>160.0</v>
      </c>
      <c r="BM194" s="1">
        <v>75.0</v>
      </c>
      <c r="BN194" s="32">
        <v>1802.0</v>
      </c>
      <c r="BO194" s="1">
        <v>47.0</v>
      </c>
      <c r="BP194" s="3">
        <v>48.0</v>
      </c>
      <c r="BQ194" s="1">
        <v>188.0</v>
      </c>
      <c r="BR194" s="27">
        <v>24411.0</v>
      </c>
    </row>
    <row r="195">
      <c r="A195" s="25">
        <f>'Equity Price Data'!A196</f>
        <v>45708.66667</v>
      </c>
      <c r="B195" s="34">
        <f>(('PRACTICE Equity Price Data'!B196/'PRACTICE Equity Price Data'!B195)-1)+B194</f>
        <v>0.1649527295</v>
      </c>
      <c r="C195" s="34">
        <f>(('PRACTICE Equity Price Data'!C196/'PRACTICE Equity Price Data'!C195)-1)+C194</f>
        <v>0.2109401084</v>
      </c>
      <c r="D195" s="34">
        <f>(('PRACTICE Equity Price Data'!D196/'PRACTICE Equity Price Data'!D195)-1)+D194</f>
        <v>0.1192176968</v>
      </c>
      <c r="E195" s="34">
        <f>(('PRACTICE Equity Price Data'!E196/'PRACTICE Equity Price Data'!E195)-1)+E194</f>
        <v>0.108421733</v>
      </c>
      <c r="F195" s="3">
        <v>13.0</v>
      </c>
      <c r="G195" s="3">
        <v>260.0</v>
      </c>
      <c r="H195" s="3">
        <v>110.0</v>
      </c>
      <c r="I195" s="3">
        <v>256.0</v>
      </c>
      <c r="J195" s="3">
        <v>83.0</v>
      </c>
      <c r="K195" s="3">
        <v>188.0</v>
      </c>
      <c r="L195" s="3">
        <v>1000.0</v>
      </c>
      <c r="M195" s="3">
        <v>102.0</v>
      </c>
      <c r="N195" s="3">
        <v>200.0</v>
      </c>
      <c r="O195" s="3">
        <v>121.0</v>
      </c>
      <c r="P195" s="3"/>
      <c r="Q195" s="3">
        <v>80.0</v>
      </c>
      <c r="R195" s="3">
        <v>150.0</v>
      </c>
      <c r="S195" s="3">
        <v>417.0</v>
      </c>
      <c r="T195" s="3">
        <v>120.0</v>
      </c>
      <c r="U195" s="3">
        <v>80.0</v>
      </c>
      <c r="V195" s="1">
        <v>88.0</v>
      </c>
      <c r="W195" s="1">
        <v>250.0</v>
      </c>
      <c r="X195" s="1">
        <v>264.0</v>
      </c>
      <c r="Y195" s="1">
        <v>161.0</v>
      </c>
      <c r="Z195" s="1">
        <v>69.0</v>
      </c>
      <c r="AA195" s="3"/>
      <c r="AB195" s="1">
        <v>13.0</v>
      </c>
      <c r="AC195" s="1">
        <v>150.0</v>
      </c>
      <c r="AD195" s="1">
        <v>170.0</v>
      </c>
      <c r="AE195" s="1">
        <v>60.0</v>
      </c>
      <c r="AF195" s="1">
        <v>40.0</v>
      </c>
      <c r="AG195" s="1">
        <v>45.0</v>
      </c>
      <c r="AH195" s="1"/>
      <c r="AI195" s="1">
        <v>205.0</v>
      </c>
      <c r="AJ195" s="1">
        <v>60.0</v>
      </c>
      <c r="AK195" s="1">
        <v>100.0</v>
      </c>
      <c r="AL195" s="1">
        <v>175.0</v>
      </c>
      <c r="AM195" s="1">
        <v>130.0</v>
      </c>
      <c r="AN195" s="3">
        <v>47.0</v>
      </c>
      <c r="AO195" s="3">
        <v>160.0</v>
      </c>
      <c r="AP195" s="3">
        <v>70.0</v>
      </c>
      <c r="AQ195" s="3">
        <v>35.0</v>
      </c>
      <c r="AR195" s="1">
        <v>854.0</v>
      </c>
      <c r="AS195" s="1">
        <v>250.0</v>
      </c>
      <c r="AT195" s="1">
        <v>220.0</v>
      </c>
      <c r="AU195" s="3">
        <v>423.0</v>
      </c>
      <c r="AV195" s="1">
        <v>120.0</v>
      </c>
      <c r="AW195" s="3">
        <v>200.0</v>
      </c>
      <c r="AX195" s="3"/>
      <c r="AY195" s="3">
        <v>142.0</v>
      </c>
      <c r="AZ195" s="1">
        <v>40.0</v>
      </c>
      <c r="BA195" s="3">
        <v>80.0</v>
      </c>
      <c r="BB195" s="3">
        <v>402.0</v>
      </c>
      <c r="BC195" s="1">
        <v>150.0</v>
      </c>
      <c r="BD195" s="1">
        <v>190.0</v>
      </c>
      <c r="BE195" s="1">
        <v>80.0</v>
      </c>
      <c r="BF195" s="1"/>
      <c r="BG195" s="1">
        <v>213.0</v>
      </c>
      <c r="BH195" s="1">
        <v>23.0</v>
      </c>
      <c r="BI195" s="1">
        <v>40.0</v>
      </c>
      <c r="BJ195" s="1">
        <v>278.0</v>
      </c>
      <c r="BK195" s="3"/>
      <c r="BL195" s="1">
        <v>160.0</v>
      </c>
      <c r="BM195" s="1">
        <v>75.0</v>
      </c>
      <c r="BN195" s="32">
        <v>1802.0</v>
      </c>
      <c r="BO195" s="1">
        <v>47.0</v>
      </c>
      <c r="BP195" s="3">
        <v>48.0</v>
      </c>
      <c r="BQ195" s="1">
        <v>188.0</v>
      </c>
      <c r="BR195" s="27">
        <v>24411.0</v>
      </c>
    </row>
    <row r="196">
      <c r="A196" s="25">
        <f>'Equity Price Data'!A197</f>
        <v>45709.66667</v>
      </c>
      <c r="B196" s="34">
        <f>(('PRACTICE Equity Price Data'!B197/'PRACTICE Equity Price Data'!B196)-1)+B195</f>
        <v>0.1478886251</v>
      </c>
      <c r="C196" s="34">
        <f>(('PRACTICE Equity Price Data'!C197/'PRACTICE Equity Price Data'!C196)-1)+C195</f>
        <v>0.1889812819</v>
      </c>
      <c r="D196" s="34">
        <f>(('PRACTICE Equity Price Data'!D197/'PRACTICE Equity Price Data'!D196)-1)+D195</f>
        <v>0.1022714141</v>
      </c>
      <c r="E196" s="34">
        <f>(('PRACTICE Equity Price Data'!E197/'PRACTICE Equity Price Data'!E196)-1)+E195</f>
        <v>0.07906822645</v>
      </c>
      <c r="F196" s="3">
        <v>13.0</v>
      </c>
      <c r="G196" s="3">
        <v>260.0</v>
      </c>
      <c r="H196" s="3">
        <v>110.0</v>
      </c>
      <c r="I196" s="3">
        <v>256.0</v>
      </c>
      <c r="J196" s="3">
        <v>83.0</v>
      </c>
      <c r="K196" s="3">
        <v>188.0</v>
      </c>
      <c r="L196" s="3">
        <v>1000.0</v>
      </c>
      <c r="M196" s="3">
        <v>102.0</v>
      </c>
      <c r="N196" s="3">
        <v>200.0</v>
      </c>
      <c r="O196" s="3">
        <v>121.0</v>
      </c>
      <c r="P196" s="3"/>
      <c r="Q196" s="3">
        <v>80.0</v>
      </c>
      <c r="R196" s="3">
        <v>150.0</v>
      </c>
      <c r="S196" s="3">
        <v>417.0</v>
      </c>
      <c r="T196" s="3">
        <v>120.0</v>
      </c>
      <c r="U196" s="3">
        <v>80.0</v>
      </c>
      <c r="V196" s="1">
        <v>88.0</v>
      </c>
      <c r="W196" s="1">
        <v>250.0</v>
      </c>
      <c r="X196" s="1">
        <v>264.0</v>
      </c>
      <c r="Y196" s="1">
        <v>161.0</v>
      </c>
      <c r="Z196" s="1">
        <v>69.0</v>
      </c>
      <c r="AA196" s="3"/>
      <c r="AB196" s="1">
        <v>13.0</v>
      </c>
      <c r="AC196" s="1">
        <v>150.0</v>
      </c>
      <c r="AD196" s="1">
        <v>170.0</v>
      </c>
      <c r="AE196" s="1">
        <v>60.0</v>
      </c>
      <c r="AF196" s="1">
        <v>40.0</v>
      </c>
      <c r="AG196" s="1">
        <v>45.0</v>
      </c>
      <c r="AH196" s="1"/>
      <c r="AI196" s="1">
        <v>205.0</v>
      </c>
      <c r="AJ196" s="1">
        <v>60.0</v>
      </c>
      <c r="AK196" s="1">
        <v>100.0</v>
      </c>
      <c r="AL196" s="1">
        <v>175.0</v>
      </c>
      <c r="AM196" s="1">
        <v>130.0</v>
      </c>
      <c r="AN196" s="3">
        <v>47.0</v>
      </c>
      <c r="AO196" s="3">
        <v>160.0</v>
      </c>
      <c r="AP196" s="3">
        <v>70.0</v>
      </c>
      <c r="AQ196" s="3">
        <v>35.0</v>
      </c>
      <c r="AR196" s="1">
        <v>854.0</v>
      </c>
      <c r="AS196" s="1">
        <v>250.0</v>
      </c>
      <c r="AT196" s="1">
        <v>220.0</v>
      </c>
      <c r="AU196" s="3">
        <v>423.0</v>
      </c>
      <c r="AV196" s="1">
        <v>120.0</v>
      </c>
      <c r="AW196" s="3">
        <v>200.0</v>
      </c>
      <c r="AX196" s="3"/>
      <c r="AY196" s="3">
        <v>142.0</v>
      </c>
      <c r="AZ196" s="1">
        <v>40.0</v>
      </c>
      <c r="BA196" s="3">
        <v>80.0</v>
      </c>
      <c r="BB196" s="3">
        <v>402.0</v>
      </c>
      <c r="BC196" s="1">
        <v>150.0</v>
      </c>
      <c r="BD196" s="1">
        <v>190.0</v>
      </c>
      <c r="BE196" s="1">
        <v>80.0</v>
      </c>
      <c r="BF196" s="1"/>
      <c r="BG196" s="1">
        <v>213.0</v>
      </c>
      <c r="BH196" s="1">
        <v>23.0</v>
      </c>
      <c r="BI196" s="1">
        <v>40.0</v>
      </c>
      <c r="BJ196" s="1">
        <v>278.0</v>
      </c>
      <c r="BK196" s="3"/>
      <c r="BL196" s="1">
        <v>160.0</v>
      </c>
      <c r="BM196" s="1">
        <v>75.0</v>
      </c>
      <c r="BN196" s="32">
        <v>1802.0</v>
      </c>
      <c r="BO196" s="1">
        <v>47.0</v>
      </c>
      <c r="BP196" s="3">
        <v>48.0</v>
      </c>
      <c r="BQ196" s="1">
        <v>188.0</v>
      </c>
      <c r="BR196" s="27">
        <v>24411.0</v>
      </c>
    </row>
    <row r="197">
      <c r="A197" s="25">
        <f>'Equity Price Data'!A198</f>
        <v>45712.66667</v>
      </c>
      <c r="B197" s="34">
        <f>(('PRACTICE Equity Price Data'!B198/'PRACTICE Equity Price Data'!B197)-1)+B196</f>
        <v>0.1429194992</v>
      </c>
      <c r="C197" s="34">
        <f>(('PRACTICE Equity Price Data'!C198/'PRACTICE Equity Price Data'!C197)-1)+C196</f>
        <v>0.1768382846</v>
      </c>
      <c r="D197" s="34">
        <f>(('PRACTICE Equity Price Data'!D198/'PRACTICE Equity Price Data'!D197)-1)+D196</f>
        <v>0.1030356672</v>
      </c>
      <c r="E197" s="34">
        <f>(('PRACTICE Equity Price Data'!E198/'PRACTICE Equity Price Data'!E197)-1)+E196</f>
        <v>0.07128814583</v>
      </c>
      <c r="F197" s="3">
        <v>13.0</v>
      </c>
      <c r="G197" s="3">
        <v>260.0</v>
      </c>
      <c r="H197" s="3">
        <v>110.0</v>
      </c>
      <c r="I197" s="3">
        <v>256.0</v>
      </c>
      <c r="J197" s="3">
        <v>83.0</v>
      </c>
      <c r="K197" s="3">
        <v>188.0</v>
      </c>
      <c r="L197" s="3">
        <v>1000.0</v>
      </c>
      <c r="M197" s="3">
        <v>102.0</v>
      </c>
      <c r="N197" s="3">
        <v>200.0</v>
      </c>
      <c r="O197" s="3">
        <v>121.0</v>
      </c>
      <c r="P197" s="3"/>
      <c r="Q197" s="3">
        <v>80.0</v>
      </c>
      <c r="R197" s="3">
        <v>150.0</v>
      </c>
      <c r="S197" s="3">
        <v>417.0</v>
      </c>
      <c r="T197" s="3">
        <v>120.0</v>
      </c>
      <c r="U197" s="3">
        <v>80.0</v>
      </c>
      <c r="V197" s="1">
        <v>88.0</v>
      </c>
      <c r="W197" s="1">
        <v>250.0</v>
      </c>
      <c r="X197" s="1">
        <v>264.0</v>
      </c>
      <c r="Y197" s="1">
        <v>161.0</v>
      </c>
      <c r="Z197" s="1">
        <v>69.0</v>
      </c>
      <c r="AA197" s="3"/>
      <c r="AB197" s="1">
        <v>13.0</v>
      </c>
      <c r="AC197" s="1">
        <v>150.0</v>
      </c>
      <c r="AD197" s="1">
        <v>170.0</v>
      </c>
      <c r="AE197" s="1">
        <v>60.0</v>
      </c>
      <c r="AF197" s="1">
        <v>40.0</v>
      </c>
      <c r="AG197" s="1">
        <v>45.0</v>
      </c>
      <c r="AH197" s="1"/>
      <c r="AI197" s="1">
        <v>205.0</v>
      </c>
      <c r="AJ197" s="1">
        <v>60.0</v>
      </c>
      <c r="AK197" s="1">
        <v>100.0</v>
      </c>
      <c r="AL197" s="1">
        <v>175.0</v>
      </c>
      <c r="AM197" s="1">
        <v>130.0</v>
      </c>
      <c r="AN197" s="3">
        <v>47.0</v>
      </c>
      <c r="AO197" s="3">
        <v>160.0</v>
      </c>
      <c r="AP197" s="3">
        <v>70.0</v>
      </c>
      <c r="AQ197" s="3">
        <v>35.0</v>
      </c>
      <c r="AR197" s="1">
        <v>854.0</v>
      </c>
      <c r="AS197" s="1">
        <v>250.0</v>
      </c>
      <c r="AT197" s="1">
        <v>220.0</v>
      </c>
      <c r="AU197" s="3">
        <v>423.0</v>
      </c>
      <c r="AV197" s="1">
        <v>120.0</v>
      </c>
      <c r="AW197" s="3">
        <v>200.0</v>
      </c>
      <c r="AX197" s="3"/>
      <c r="AY197" s="3">
        <v>142.0</v>
      </c>
      <c r="AZ197" s="1">
        <v>40.0</v>
      </c>
      <c r="BA197" s="3">
        <v>80.0</v>
      </c>
      <c r="BB197" s="3">
        <v>402.0</v>
      </c>
      <c r="BC197" s="1">
        <v>150.0</v>
      </c>
      <c r="BD197" s="1">
        <v>190.0</v>
      </c>
      <c r="BE197" s="1">
        <v>80.0</v>
      </c>
      <c r="BF197" s="1"/>
      <c r="BG197" s="1">
        <v>213.0</v>
      </c>
      <c r="BH197" s="1">
        <v>23.0</v>
      </c>
      <c r="BI197" s="1">
        <v>40.0</v>
      </c>
      <c r="BJ197" s="1">
        <v>278.0</v>
      </c>
      <c r="BK197" s="3"/>
      <c r="BL197" s="1">
        <v>160.0</v>
      </c>
      <c r="BM197" s="1">
        <v>75.0</v>
      </c>
      <c r="BN197" s="32">
        <v>1802.0</v>
      </c>
      <c r="BO197" s="1">
        <v>47.0</v>
      </c>
      <c r="BP197" s="3">
        <v>48.0</v>
      </c>
      <c r="BQ197" s="1">
        <v>188.0</v>
      </c>
      <c r="BR197" s="27">
        <v>24411.0</v>
      </c>
    </row>
    <row r="198">
      <c r="A198" s="25">
        <f>'Equity Price Data'!A199</f>
        <v>45713.66667</v>
      </c>
      <c r="B198" s="34">
        <f>(('PRACTICE Equity Price Data'!B199/'PRACTICE Equity Price Data'!B198)-1)+B197</f>
        <v>0.1382397683</v>
      </c>
      <c r="C198" s="34">
        <f>(('PRACTICE Equity Price Data'!C199/'PRACTICE Equity Price Data'!C198)-1)+C197</f>
        <v>0.1633296547</v>
      </c>
      <c r="D198" s="34">
        <f>(('PRACTICE Equity Price Data'!D199/'PRACTICE Equity Price Data'!D198)-1)+D197</f>
        <v>0.1067159605</v>
      </c>
      <c r="E198" s="34">
        <f>(('PRACTICE Equity Price Data'!E199/'PRACTICE Equity Price Data'!E198)-1)+E197</f>
        <v>0.06752828135</v>
      </c>
      <c r="F198" s="3">
        <v>13.0</v>
      </c>
      <c r="G198" s="3">
        <v>260.0</v>
      </c>
      <c r="H198" s="3">
        <v>110.0</v>
      </c>
      <c r="I198" s="3">
        <v>256.0</v>
      </c>
      <c r="J198" s="3">
        <v>83.0</v>
      </c>
      <c r="K198" s="3">
        <v>188.0</v>
      </c>
      <c r="L198" s="3">
        <v>1000.0</v>
      </c>
      <c r="M198" s="3">
        <v>102.0</v>
      </c>
      <c r="N198" s="3">
        <v>200.0</v>
      </c>
      <c r="O198" s="3">
        <v>121.0</v>
      </c>
      <c r="P198" s="3"/>
      <c r="Q198" s="3">
        <v>80.0</v>
      </c>
      <c r="R198" s="3">
        <v>150.0</v>
      </c>
      <c r="S198" s="3">
        <v>417.0</v>
      </c>
      <c r="T198" s="3">
        <v>120.0</v>
      </c>
      <c r="U198" s="3">
        <v>80.0</v>
      </c>
      <c r="V198" s="1">
        <v>88.0</v>
      </c>
      <c r="W198" s="1">
        <v>250.0</v>
      </c>
      <c r="X198" s="1">
        <v>264.0</v>
      </c>
      <c r="Y198" s="1">
        <v>161.0</v>
      </c>
      <c r="Z198" s="1">
        <v>69.0</v>
      </c>
      <c r="AA198" s="3"/>
      <c r="AB198" s="1">
        <v>13.0</v>
      </c>
      <c r="AC198" s="1">
        <v>150.0</v>
      </c>
      <c r="AD198" s="1">
        <v>170.0</v>
      </c>
      <c r="AE198" s="1">
        <v>60.0</v>
      </c>
      <c r="AF198" s="1">
        <v>40.0</v>
      </c>
      <c r="AG198" s="1">
        <v>45.0</v>
      </c>
      <c r="AH198" s="1"/>
      <c r="AI198" s="1">
        <v>205.0</v>
      </c>
      <c r="AJ198" s="1">
        <v>60.0</v>
      </c>
      <c r="AK198" s="1">
        <v>100.0</v>
      </c>
      <c r="AL198" s="1">
        <v>175.0</v>
      </c>
      <c r="AM198" s="1">
        <v>130.0</v>
      </c>
      <c r="AN198" s="3">
        <v>47.0</v>
      </c>
      <c r="AO198" s="3">
        <v>160.0</v>
      </c>
      <c r="AP198" s="3">
        <v>70.0</v>
      </c>
      <c r="AQ198" s="3">
        <v>35.0</v>
      </c>
      <c r="AR198" s="1">
        <v>854.0</v>
      </c>
      <c r="AS198" s="1">
        <v>250.0</v>
      </c>
      <c r="AT198" s="1">
        <v>220.0</v>
      </c>
      <c r="AU198" s="3">
        <v>423.0</v>
      </c>
      <c r="AV198" s="1">
        <v>120.0</v>
      </c>
      <c r="AW198" s="3">
        <v>200.0</v>
      </c>
      <c r="AX198" s="3"/>
      <c r="AY198" s="3">
        <v>142.0</v>
      </c>
      <c r="AZ198" s="1">
        <v>40.0</v>
      </c>
      <c r="BA198" s="3">
        <v>80.0</v>
      </c>
      <c r="BB198" s="3">
        <v>402.0</v>
      </c>
      <c r="BC198" s="1">
        <v>150.0</v>
      </c>
      <c r="BD198" s="1">
        <v>190.0</v>
      </c>
      <c r="BE198" s="1">
        <v>80.0</v>
      </c>
      <c r="BF198" s="1"/>
      <c r="BG198" s="1">
        <v>213.0</v>
      </c>
      <c r="BH198" s="1">
        <v>23.0</v>
      </c>
      <c r="BI198" s="1">
        <v>40.0</v>
      </c>
      <c r="BJ198" s="1">
        <v>278.0</v>
      </c>
      <c r="BK198" s="3"/>
      <c r="BL198" s="1">
        <v>160.0</v>
      </c>
      <c r="BM198" s="1">
        <v>75.0</v>
      </c>
      <c r="BN198" s="32">
        <v>1802.0</v>
      </c>
      <c r="BO198" s="1">
        <v>47.0</v>
      </c>
      <c r="BP198" s="3">
        <v>48.0</v>
      </c>
      <c r="BQ198" s="1">
        <v>188.0</v>
      </c>
      <c r="BR198" s="27">
        <v>24411.0</v>
      </c>
    </row>
    <row r="199">
      <c r="A199" s="25">
        <f>'Equity Price Data'!A200</f>
        <v>45714.66667</v>
      </c>
      <c r="B199" s="34">
        <f>(('PRACTICE Equity Price Data'!B200/'PRACTICE Equity Price Data'!B199)-1)+B198</f>
        <v>0.1383757827</v>
      </c>
      <c r="C199" s="34">
        <f>(('PRACTICE Equity Price Data'!C200/'PRACTICE Equity Price Data'!C199)-1)+C198</f>
        <v>0.1658981924</v>
      </c>
      <c r="D199" s="34">
        <f>(('PRACTICE Equity Price Data'!D200/'PRACTICE Equity Price Data'!D199)-1)+D198</f>
        <v>0.1024052086</v>
      </c>
      <c r="E199" s="34">
        <f>(('PRACTICE Equity Price Data'!E200/'PRACTICE Equity Price Data'!E199)-1)+E198</f>
        <v>0.06941300449</v>
      </c>
      <c r="F199" s="3">
        <v>13.0</v>
      </c>
      <c r="G199" s="3">
        <v>260.0</v>
      </c>
      <c r="H199" s="3">
        <v>110.0</v>
      </c>
      <c r="I199" s="3">
        <v>256.0</v>
      </c>
      <c r="J199" s="3">
        <v>83.0</v>
      </c>
      <c r="K199" s="3">
        <v>188.0</v>
      </c>
      <c r="L199" s="3">
        <v>1000.0</v>
      </c>
      <c r="M199" s="3">
        <v>102.0</v>
      </c>
      <c r="N199" s="3">
        <v>200.0</v>
      </c>
      <c r="O199" s="3">
        <v>121.0</v>
      </c>
      <c r="P199" s="3"/>
      <c r="Q199" s="3">
        <v>80.0</v>
      </c>
      <c r="R199" s="3">
        <v>150.0</v>
      </c>
      <c r="S199" s="3">
        <v>417.0</v>
      </c>
      <c r="T199" s="3">
        <v>120.0</v>
      </c>
      <c r="U199" s="3">
        <v>80.0</v>
      </c>
      <c r="V199" s="1">
        <v>88.0</v>
      </c>
      <c r="W199" s="1">
        <v>250.0</v>
      </c>
      <c r="X199" s="1">
        <v>264.0</v>
      </c>
      <c r="Y199" s="1">
        <v>161.0</v>
      </c>
      <c r="Z199" s="1">
        <v>69.0</v>
      </c>
      <c r="AA199" s="3"/>
      <c r="AB199" s="1">
        <v>13.0</v>
      </c>
      <c r="AC199" s="1">
        <v>150.0</v>
      </c>
      <c r="AD199" s="1">
        <v>170.0</v>
      </c>
      <c r="AE199" s="1">
        <v>60.0</v>
      </c>
      <c r="AF199" s="1">
        <v>40.0</v>
      </c>
      <c r="AG199" s="1">
        <v>45.0</v>
      </c>
      <c r="AH199" s="1"/>
      <c r="AI199" s="1">
        <v>205.0</v>
      </c>
      <c r="AJ199" s="1">
        <v>60.0</v>
      </c>
      <c r="AK199" s="1">
        <v>100.0</v>
      </c>
      <c r="AL199" s="1">
        <v>175.0</v>
      </c>
      <c r="AM199" s="1">
        <v>130.0</v>
      </c>
      <c r="AN199" s="3">
        <v>47.0</v>
      </c>
      <c r="AO199" s="3">
        <v>160.0</v>
      </c>
      <c r="AP199" s="3">
        <v>70.0</v>
      </c>
      <c r="AQ199" s="3">
        <v>35.0</v>
      </c>
      <c r="AR199" s="1">
        <v>854.0</v>
      </c>
      <c r="AS199" s="1">
        <v>250.0</v>
      </c>
      <c r="AT199" s="1">
        <v>220.0</v>
      </c>
      <c r="AU199" s="3">
        <v>423.0</v>
      </c>
      <c r="AV199" s="1">
        <v>120.0</v>
      </c>
      <c r="AW199" s="3">
        <v>200.0</v>
      </c>
      <c r="AX199" s="3"/>
      <c r="AY199" s="3">
        <v>142.0</v>
      </c>
      <c r="AZ199" s="1">
        <v>40.0</v>
      </c>
      <c r="BA199" s="3">
        <v>80.0</v>
      </c>
      <c r="BB199" s="3">
        <v>402.0</v>
      </c>
      <c r="BC199" s="1">
        <v>150.0</v>
      </c>
      <c r="BD199" s="1">
        <v>190.0</v>
      </c>
      <c r="BE199" s="1">
        <v>80.0</v>
      </c>
      <c r="BF199" s="1"/>
      <c r="BG199" s="1">
        <v>213.0</v>
      </c>
      <c r="BH199" s="1">
        <v>23.0</v>
      </c>
      <c r="BI199" s="1">
        <v>40.0</v>
      </c>
      <c r="BJ199" s="1">
        <v>278.0</v>
      </c>
      <c r="BK199" s="3"/>
      <c r="BL199" s="1">
        <v>160.0</v>
      </c>
      <c r="BM199" s="1">
        <v>75.0</v>
      </c>
      <c r="BN199" s="32">
        <v>1802.0</v>
      </c>
      <c r="BO199" s="1">
        <v>47.0</v>
      </c>
      <c r="BP199" s="3">
        <v>48.0</v>
      </c>
      <c r="BQ199" s="1">
        <v>188.0</v>
      </c>
      <c r="BR199" s="27">
        <v>24411.0</v>
      </c>
    </row>
    <row r="200">
      <c r="A200" s="25">
        <f>'Equity Price Data'!A201</f>
        <v>45715.66667</v>
      </c>
      <c r="B200" s="34">
        <f>(('PRACTICE Equity Price Data'!B201/'PRACTICE Equity Price Data'!B200)-1)+B199</f>
        <v>0.1225112682</v>
      </c>
      <c r="C200" s="34">
        <f>(('PRACTICE Equity Price Data'!C201/'PRACTICE Equity Price Data'!C200)-1)+C199</f>
        <v>0.138069476</v>
      </c>
      <c r="D200" s="34">
        <f>(('PRACTICE Equity Price Data'!D201/'PRACTICE Equity Price Data'!D200)-1)+D199</f>
        <v>0.09794732021</v>
      </c>
      <c r="E200" s="34">
        <f>(('PRACTICE Equity Price Data'!E201/'PRACTICE Equity Price Data'!E200)-1)+E199</f>
        <v>0.05354028065</v>
      </c>
      <c r="F200" s="3">
        <v>13.0</v>
      </c>
      <c r="G200" s="3">
        <v>260.0</v>
      </c>
      <c r="H200" s="3">
        <v>110.0</v>
      </c>
      <c r="I200" s="3">
        <v>256.0</v>
      </c>
      <c r="J200" s="3">
        <v>83.0</v>
      </c>
      <c r="K200" s="3">
        <v>188.0</v>
      </c>
      <c r="L200" s="3">
        <v>1000.0</v>
      </c>
      <c r="M200" s="3">
        <v>102.0</v>
      </c>
      <c r="N200" s="3">
        <v>200.0</v>
      </c>
      <c r="O200" s="3">
        <v>121.0</v>
      </c>
      <c r="P200" s="3"/>
      <c r="Q200" s="3">
        <v>80.0</v>
      </c>
      <c r="R200" s="3">
        <v>150.0</v>
      </c>
      <c r="S200" s="3">
        <v>417.0</v>
      </c>
      <c r="T200" s="3">
        <v>120.0</v>
      </c>
      <c r="U200" s="3">
        <v>80.0</v>
      </c>
      <c r="V200" s="1">
        <v>88.0</v>
      </c>
      <c r="W200" s="1">
        <v>250.0</v>
      </c>
      <c r="X200" s="1">
        <v>264.0</v>
      </c>
      <c r="Y200" s="1">
        <v>161.0</v>
      </c>
      <c r="Z200" s="1">
        <v>69.0</v>
      </c>
      <c r="AA200" s="3"/>
      <c r="AB200" s="1">
        <v>13.0</v>
      </c>
      <c r="AC200" s="1">
        <v>150.0</v>
      </c>
      <c r="AD200" s="1">
        <v>170.0</v>
      </c>
      <c r="AE200" s="1">
        <v>60.0</v>
      </c>
      <c r="AF200" s="1">
        <v>40.0</v>
      </c>
      <c r="AG200" s="1">
        <v>45.0</v>
      </c>
      <c r="AH200" s="1"/>
      <c r="AI200" s="1">
        <v>205.0</v>
      </c>
      <c r="AJ200" s="1">
        <v>60.0</v>
      </c>
      <c r="AK200" s="1">
        <v>100.0</v>
      </c>
      <c r="AL200" s="1">
        <v>175.0</v>
      </c>
      <c r="AM200" s="1">
        <v>130.0</v>
      </c>
      <c r="AN200" s="3">
        <v>47.0</v>
      </c>
      <c r="AO200" s="3">
        <v>160.0</v>
      </c>
      <c r="AP200" s="3">
        <v>70.0</v>
      </c>
      <c r="AQ200" s="3">
        <v>35.0</v>
      </c>
      <c r="AR200" s="1">
        <v>854.0</v>
      </c>
      <c r="AS200" s="1">
        <v>250.0</v>
      </c>
      <c r="AT200" s="1">
        <v>220.0</v>
      </c>
      <c r="AU200" s="3">
        <v>423.0</v>
      </c>
      <c r="AV200" s="1">
        <v>120.0</v>
      </c>
      <c r="AW200" s="3">
        <v>200.0</v>
      </c>
      <c r="AX200" s="3"/>
      <c r="AY200" s="3">
        <v>142.0</v>
      </c>
      <c r="AZ200" s="1">
        <v>40.0</v>
      </c>
      <c r="BA200" s="3">
        <v>80.0</v>
      </c>
      <c r="BB200" s="3">
        <v>402.0</v>
      </c>
      <c r="BC200" s="1">
        <v>150.0</v>
      </c>
      <c r="BD200" s="1">
        <v>190.0</v>
      </c>
      <c r="BE200" s="1">
        <v>80.0</v>
      </c>
      <c r="BF200" s="1"/>
      <c r="BG200" s="1">
        <v>213.0</v>
      </c>
      <c r="BH200" s="1">
        <v>23.0</v>
      </c>
      <c r="BI200" s="1">
        <v>40.0</v>
      </c>
      <c r="BJ200" s="1">
        <v>278.0</v>
      </c>
      <c r="BK200" s="3"/>
      <c r="BL200" s="1">
        <v>160.0</v>
      </c>
      <c r="BM200" s="1">
        <v>75.0</v>
      </c>
      <c r="BN200" s="32">
        <v>1802.0</v>
      </c>
      <c r="BO200" s="1">
        <v>47.0</v>
      </c>
      <c r="BP200" s="3">
        <v>48.0</v>
      </c>
      <c r="BQ200" s="1">
        <v>188.0</v>
      </c>
      <c r="BR200" s="27">
        <v>24411.0</v>
      </c>
    </row>
    <row r="201">
      <c r="A201" s="25">
        <f>'Equity Price Data'!A202</f>
        <v>45716.66667</v>
      </c>
      <c r="B201" s="34">
        <f>(('PRACTICE Equity Price Data'!B202/'PRACTICE Equity Price Data'!B201)-1)+B200</f>
        <v>0.1383653824</v>
      </c>
      <c r="C201" s="34">
        <f>(('PRACTICE Equity Price Data'!C202/'PRACTICE Equity Price Data'!C201)-1)+C200</f>
        <v>0.1544010733</v>
      </c>
      <c r="D201" s="34">
        <f>(('PRACTICE Equity Price Data'!D202/'PRACTICE Equity Price Data'!D201)-1)+D200</f>
        <v>0.1118561304</v>
      </c>
      <c r="E201" s="34">
        <f>(('PRACTICE Equity Price Data'!E202/'PRACTICE Equity Price Data'!E201)-1)+E200</f>
        <v>0.06448127127</v>
      </c>
      <c r="F201" s="3">
        <v>13.0</v>
      </c>
      <c r="G201" s="3">
        <v>260.0</v>
      </c>
      <c r="H201" s="3">
        <v>110.0</v>
      </c>
      <c r="I201" s="3">
        <v>256.0</v>
      </c>
      <c r="J201" s="3">
        <v>83.0</v>
      </c>
      <c r="K201" s="3">
        <v>188.0</v>
      </c>
      <c r="L201" s="3">
        <v>1000.0</v>
      </c>
      <c r="M201" s="3">
        <v>102.0</v>
      </c>
      <c r="N201" s="3">
        <v>200.0</v>
      </c>
      <c r="O201" s="3">
        <v>121.0</v>
      </c>
      <c r="P201" s="3"/>
      <c r="Q201" s="3">
        <v>80.0</v>
      </c>
      <c r="R201" s="3">
        <v>150.0</v>
      </c>
      <c r="S201" s="3">
        <v>417.0</v>
      </c>
      <c r="T201" s="3">
        <v>120.0</v>
      </c>
      <c r="U201" s="3">
        <v>80.0</v>
      </c>
      <c r="V201" s="1">
        <v>88.0</v>
      </c>
      <c r="W201" s="1">
        <v>250.0</v>
      </c>
      <c r="X201" s="1">
        <v>264.0</v>
      </c>
      <c r="Y201" s="1">
        <v>161.0</v>
      </c>
      <c r="Z201" s="1">
        <v>69.0</v>
      </c>
      <c r="AA201" s="3"/>
      <c r="AB201" s="1">
        <v>13.0</v>
      </c>
      <c r="AC201" s="1">
        <v>150.0</v>
      </c>
      <c r="AD201" s="1">
        <v>170.0</v>
      </c>
      <c r="AE201" s="1">
        <v>60.0</v>
      </c>
      <c r="AF201" s="1">
        <v>40.0</v>
      </c>
      <c r="AG201" s="1">
        <v>45.0</v>
      </c>
      <c r="AH201" s="1"/>
      <c r="AI201" s="1">
        <v>205.0</v>
      </c>
      <c r="AJ201" s="1">
        <v>60.0</v>
      </c>
      <c r="AK201" s="1">
        <v>100.0</v>
      </c>
      <c r="AL201" s="1">
        <v>175.0</v>
      </c>
      <c r="AM201" s="1">
        <v>130.0</v>
      </c>
      <c r="AN201" s="3">
        <v>47.0</v>
      </c>
      <c r="AO201" s="3">
        <v>160.0</v>
      </c>
      <c r="AP201" s="3">
        <v>70.0</v>
      </c>
      <c r="AQ201" s="3">
        <v>35.0</v>
      </c>
      <c r="AR201" s="1">
        <v>854.0</v>
      </c>
      <c r="AS201" s="1">
        <v>250.0</v>
      </c>
      <c r="AT201" s="1">
        <v>220.0</v>
      </c>
      <c r="AU201" s="3">
        <v>423.0</v>
      </c>
      <c r="AV201" s="1">
        <v>120.0</v>
      </c>
      <c r="AW201" s="3">
        <v>200.0</v>
      </c>
      <c r="AX201" s="3"/>
      <c r="AY201" s="3">
        <v>142.0</v>
      </c>
      <c r="AZ201" s="1">
        <v>40.0</v>
      </c>
      <c r="BA201" s="3">
        <v>80.0</v>
      </c>
      <c r="BB201" s="3">
        <v>402.0</v>
      </c>
      <c r="BC201" s="1">
        <v>150.0</v>
      </c>
      <c r="BD201" s="1">
        <v>190.0</v>
      </c>
      <c r="BE201" s="1">
        <v>80.0</v>
      </c>
      <c r="BF201" s="1"/>
      <c r="BG201" s="1">
        <v>213.0</v>
      </c>
      <c r="BH201" s="1">
        <v>23.0</v>
      </c>
      <c r="BI201" s="1">
        <v>40.0</v>
      </c>
      <c r="BJ201" s="1">
        <v>278.0</v>
      </c>
      <c r="BK201" s="3"/>
      <c r="BL201" s="1">
        <v>160.0</v>
      </c>
      <c r="BM201" s="1">
        <v>75.0</v>
      </c>
      <c r="BN201" s="32">
        <v>1802.0</v>
      </c>
      <c r="BO201" s="1">
        <v>47.0</v>
      </c>
      <c r="BP201" s="3">
        <v>48.0</v>
      </c>
      <c r="BQ201" s="1">
        <v>188.0</v>
      </c>
      <c r="BR201" s="27">
        <v>24411.0</v>
      </c>
    </row>
    <row r="202">
      <c r="A202" s="25">
        <f>'Equity Price Data'!A203</f>
        <v>45719.66667</v>
      </c>
      <c r="B202" s="34">
        <f>(('PRACTICE Equity Price Data'!B203/'PRACTICE Equity Price Data'!B202)-1)+B201</f>
        <v>0.1207686069</v>
      </c>
      <c r="C202" s="34">
        <f>(('PRACTICE Equity Price Data'!C203/'PRACTICE Equity Price Data'!C202)-1)+C201</f>
        <v>0.1280264453</v>
      </c>
      <c r="D202" s="34">
        <f>(('PRACTICE Equity Price Data'!D203/'PRACTICE Equity Price Data'!D202)-1)+D201</f>
        <v>0.09703732308</v>
      </c>
      <c r="E202" s="34">
        <f>(('PRACTICE Equity Price Data'!E203/'PRACTICE Equity Price Data'!E202)-1)+E201</f>
        <v>0.03635920403</v>
      </c>
      <c r="F202" s="3">
        <v>13.0</v>
      </c>
      <c r="G202" s="3">
        <v>260.0</v>
      </c>
      <c r="H202" s="3">
        <v>110.0</v>
      </c>
      <c r="I202" s="3">
        <v>256.0</v>
      </c>
      <c r="J202" s="3">
        <v>83.0</v>
      </c>
      <c r="K202" s="3">
        <v>188.0</v>
      </c>
      <c r="L202" s="3">
        <v>1000.0</v>
      </c>
      <c r="M202" s="3">
        <v>102.0</v>
      </c>
      <c r="N202" s="3">
        <v>200.0</v>
      </c>
      <c r="O202" s="3">
        <v>121.0</v>
      </c>
      <c r="P202" s="3"/>
      <c r="Q202" s="3">
        <v>80.0</v>
      </c>
      <c r="R202" s="3">
        <v>150.0</v>
      </c>
      <c r="S202" s="3">
        <v>417.0</v>
      </c>
      <c r="T202" s="3">
        <v>120.0</v>
      </c>
      <c r="U202" s="3">
        <v>80.0</v>
      </c>
      <c r="V202" s="1">
        <v>88.0</v>
      </c>
      <c r="W202" s="1">
        <v>250.0</v>
      </c>
      <c r="X202" s="1">
        <v>264.0</v>
      </c>
      <c r="Y202" s="1">
        <v>161.0</v>
      </c>
      <c r="Z202" s="1">
        <v>69.0</v>
      </c>
      <c r="AA202" s="3"/>
      <c r="AB202" s="1">
        <v>13.0</v>
      </c>
      <c r="AC202" s="1">
        <v>150.0</v>
      </c>
      <c r="AD202" s="1">
        <v>170.0</v>
      </c>
      <c r="AE202" s="1">
        <v>60.0</v>
      </c>
      <c r="AF202" s="1">
        <v>40.0</v>
      </c>
      <c r="AG202" s="1">
        <v>45.0</v>
      </c>
      <c r="AH202" s="1"/>
      <c r="AI202" s="1">
        <v>205.0</v>
      </c>
      <c r="AJ202" s="1">
        <v>60.0</v>
      </c>
      <c r="AK202" s="1">
        <v>100.0</v>
      </c>
      <c r="AL202" s="1">
        <v>175.0</v>
      </c>
      <c r="AM202" s="1">
        <v>130.0</v>
      </c>
      <c r="AN202" s="3">
        <v>47.0</v>
      </c>
      <c r="AO202" s="3">
        <v>160.0</v>
      </c>
      <c r="AP202" s="3">
        <v>70.0</v>
      </c>
      <c r="AQ202" s="3">
        <v>35.0</v>
      </c>
      <c r="AR202" s="1">
        <v>854.0</v>
      </c>
      <c r="AS202" s="1">
        <v>250.0</v>
      </c>
      <c r="AT202" s="1">
        <v>220.0</v>
      </c>
      <c r="AU202" s="3">
        <v>423.0</v>
      </c>
      <c r="AV202" s="1">
        <v>120.0</v>
      </c>
      <c r="AW202" s="3">
        <v>200.0</v>
      </c>
      <c r="AX202" s="3"/>
      <c r="AY202" s="3">
        <v>142.0</v>
      </c>
      <c r="AZ202" s="1">
        <v>40.0</v>
      </c>
      <c r="BA202" s="3">
        <v>80.0</v>
      </c>
      <c r="BB202" s="3">
        <v>402.0</v>
      </c>
      <c r="BC202" s="1">
        <v>150.0</v>
      </c>
      <c r="BD202" s="1">
        <v>190.0</v>
      </c>
      <c r="BE202" s="1">
        <v>80.0</v>
      </c>
      <c r="BF202" s="1"/>
      <c r="BG202" s="1">
        <v>213.0</v>
      </c>
      <c r="BH202" s="1">
        <v>23.0</v>
      </c>
      <c r="BI202" s="1">
        <v>40.0</v>
      </c>
      <c r="BJ202" s="1">
        <v>278.0</v>
      </c>
      <c r="BK202" s="3"/>
      <c r="BL202" s="1">
        <v>160.0</v>
      </c>
      <c r="BM202" s="1">
        <v>75.0</v>
      </c>
      <c r="BN202" s="32">
        <v>1802.0</v>
      </c>
      <c r="BO202" s="1">
        <v>47.0</v>
      </c>
      <c r="BP202" s="3">
        <v>48.0</v>
      </c>
      <c r="BQ202" s="1">
        <v>188.0</v>
      </c>
      <c r="BR202" s="27">
        <v>24411.0</v>
      </c>
    </row>
    <row r="203">
      <c r="A203" s="25">
        <f>'Equity Price Data'!A204</f>
        <v>45720.66667</v>
      </c>
      <c r="B203" s="34">
        <f>(('PRACTICE Equity Price Data'!B204/'PRACTICE Equity Price Data'!B203)-1)+B202</f>
        <v>0.1085338332</v>
      </c>
      <c r="C203" s="34">
        <f>(('PRACTICE Equity Price Data'!C204/'PRACTICE Equity Price Data'!C203)-1)+C202</f>
        <v>0.1244826128</v>
      </c>
      <c r="D203" s="34">
        <f>(('PRACTICE Equity Price Data'!D204/'PRACTICE Equity Price Data'!D203)-1)+D202</f>
        <v>0.08151913004</v>
      </c>
      <c r="E203" s="34">
        <f>(('PRACTICE Equity Price Data'!E204/'PRACTICE Equity Price Data'!E203)-1)+E202</f>
        <v>0.02555644126</v>
      </c>
      <c r="F203" s="3">
        <v>13.0</v>
      </c>
      <c r="G203" s="3">
        <v>260.0</v>
      </c>
      <c r="H203" s="3">
        <v>110.0</v>
      </c>
      <c r="I203" s="3">
        <v>256.0</v>
      </c>
      <c r="J203" s="3">
        <v>83.0</v>
      </c>
      <c r="K203" s="3">
        <v>188.0</v>
      </c>
      <c r="L203" s="3">
        <v>1000.0</v>
      </c>
      <c r="M203" s="3">
        <v>102.0</v>
      </c>
      <c r="N203" s="3">
        <v>200.0</v>
      </c>
      <c r="O203" s="3">
        <v>121.0</v>
      </c>
      <c r="P203" s="3"/>
      <c r="Q203" s="3">
        <v>80.0</v>
      </c>
      <c r="R203" s="3">
        <v>150.0</v>
      </c>
      <c r="S203" s="3">
        <v>417.0</v>
      </c>
      <c r="T203" s="3">
        <v>120.0</v>
      </c>
      <c r="U203" s="3">
        <v>80.0</v>
      </c>
      <c r="V203" s="1">
        <v>88.0</v>
      </c>
      <c r="W203" s="1">
        <v>250.0</v>
      </c>
      <c r="X203" s="1">
        <v>264.0</v>
      </c>
      <c r="Y203" s="1">
        <v>161.0</v>
      </c>
      <c r="Z203" s="1">
        <v>69.0</v>
      </c>
      <c r="AA203" s="3"/>
      <c r="AB203" s="1">
        <v>13.0</v>
      </c>
      <c r="AC203" s="1">
        <v>150.0</v>
      </c>
      <c r="AD203" s="1">
        <v>170.0</v>
      </c>
      <c r="AE203" s="1">
        <v>60.0</v>
      </c>
      <c r="AF203" s="1">
        <v>40.0</v>
      </c>
      <c r="AG203" s="1">
        <v>45.0</v>
      </c>
      <c r="AH203" s="1"/>
      <c r="AI203" s="1">
        <v>205.0</v>
      </c>
      <c r="AJ203" s="1">
        <v>60.0</v>
      </c>
      <c r="AK203" s="1">
        <v>100.0</v>
      </c>
      <c r="AL203" s="1">
        <v>175.0</v>
      </c>
      <c r="AM203" s="1">
        <v>130.0</v>
      </c>
      <c r="AN203" s="3">
        <v>47.0</v>
      </c>
      <c r="AO203" s="3">
        <v>160.0</v>
      </c>
      <c r="AP203" s="3">
        <v>70.0</v>
      </c>
      <c r="AQ203" s="3">
        <v>35.0</v>
      </c>
      <c r="AR203" s="1">
        <v>854.0</v>
      </c>
      <c r="AS203" s="1">
        <v>250.0</v>
      </c>
      <c r="AT203" s="1">
        <v>220.0</v>
      </c>
      <c r="AU203" s="3">
        <v>423.0</v>
      </c>
      <c r="AV203" s="1">
        <v>120.0</v>
      </c>
      <c r="AW203" s="3">
        <v>200.0</v>
      </c>
      <c r="AX203" s="3"/>
      <c r="AY203" s="3">
        <v>142.0</v>
      </c>
      <c r="AZ203" s="1">
        <v>40.0</v>
      </c>
      <c r="BA203" s="3">
        <v>80.0</v>
      </c>
      <c r="BB203" s="3">
        <v>402.0</v>
      </c>
      <c r="BC203" s="1">
        <v>150.0</v>
      </c>
      <c r="BD203" s="1">
        <v>190.0</v>
      </c>
      <c r="BE203" s="1">
        <v>80.0</v>
      </c>
      <c r="BF203" s="1"/>
      <c r="BG203" s="1">
        <v>213.0</v>
      </c>
      <c r="BH203" s="1">
        <v>23.0</v>
      </c>
      <c r="BI203" s="1">
        <v>40.0</v>
      </c>
      <c r="BJ203" s="1">
        <v>278.0</v>
      </c>
      <c r="BK203" s="3"/>
      <c r="BL203" s="1">
        <v>160.0</v>
      </c>
      <c r="BM203" s="1">
        <v>75.0</v>
      </c>
      <c r="BN203" s="32">
        <v>1802.0</v>
      </c>
      <c r="BO203" s="1">
        <v>47.0</v>
      </c>
      <c r="BP203" s="3">
        <v>48.0</v>
      </c>
      <c r="BQ203" s="1">
        <v>188.0</v>
      </c>
      <c r="BR203" s="27">
        <v>24411.0</v>
      </c>
    </row>
    <row r="204">
      <c r="A204" s="25">
        <f>'Equity Price Data'!A205</f>
        <v>45721.66667</v>
      </c>
      <c r="B204" s="34">
        <f>(('PRACTICE Equity Price Data'!B205/'PRACTICE Equity Price Data'!B204)-1)+B203</f>
        <v>0.1196931143</v>
      </c>
      <c r="C204" s="34">
        <f>(('PRACTICE Equity Price Data'!C205/'PRACTICE Equity Price Data'!C204)-1)+C203</f>
        <v>0.1391157907</v>
      </c>
      <c r="D204" s="34">
        <f>(('PRACTICE Equity Price Data'!D205/'PRACTICE Equity Price Data'!D204)-1)+D203</f>
        <v>0.09293937214</v>
      </c>
      <c r="E204" s="34">
        <f>(('PRACTICE Equity Price Data'!E205/'PRACTICE Equity Price Data'!E204)-1)+E203</f>
        <v>0.0357606701</v>
      </c>
      <c r="F204" s="3">
        <v>13.0</v>
      </c>
      <c r="G204" s="3">
        <v>260.0</v>
      </c>
      <c r="H204" s="3">
        <v>110.0</v>
      </c>
      <c r="I204" s="3">
        <v>256.0</v>
      </c>
      <c r="J204" s="3">
        <v>83.0</v>
      </c>
      <c r="K204" s="3">
        <v>188.0</v>
      </c>
      <c r="L204" s="3">
        <v>1000.0</v>
      </c>
      <c r="M204" s="3">
        <v>102.0</v>
      </c>
      <c r="N204" s="3">
        <v>200.0</v>
      </c>
      <c r="O204" s="3">
        <v>121.0</v>
      </c>
      <c r="P204" s="3"/>
      <c r="Q204" s="3">
        <v>80.0</v>
      </c>
      <c r="R204" s="3">
        <v>150.0</v>
      </c>
      <c r="S204" s="3">
        <v>417.0</v>
      </c>
      <c r="T204" s="3">
        <v>120.0</v>
      </c>
      <c r="U204" s="3">
        <v>80.0</v>
      </c>
      <c r="V204" s="1">
        <v>88.0</v>
      </c>
      <c r="W204" s="1">
        <v>250.0</v>
      </c>
      <c r="X204" s="1">
        <v>264.0</v>
      </c>
      <c r="Y204" s="1">
        <v>161.0</v>
      </c>
      <c r="Z204" s="1">
        <v>69.0</v>
      </c>
      <c r="AA204" s="3"/>
      <c r="AB204" s="1">
        <v>13.0</v>
      </c>
      <c r="AC204" s="1">
        <v>150.0</v>
      </c>
      <c r="AD204" s="1">
        <v>170.0</v>
      </c>
      <c r="AE204" s="1">
        <v>60.0</v>
      </c>
      <c r="AF204" s="1">
        <v>40.0</v>
      </c>
      <c r="AG204" s="1">
        <v>45.0</v>
      </c>
      <c r="AH204" s="1"/>
      <c r="AI204" s="1">
        <v>205.0</v>
      </c>
      <c r="AJ204" s="1">
        <v>60.0</v>
      </c>
      <c r="AK204" s="1">
        <v>100.0</v>
      </c>
      <c r="AL204" s="1">
        <v>175.0</v>
      </c>
      <c r="AM204" s="1">
        <v>130.0</v>
      </c>
      <c r="AN204" s="3">
        <v>47.0</v>
      </c>
      <c r="AO204" s="3">
        <v>160.0</v>
      </c>
      <c r="AP204" s="3">
        <v>70.0</v>
      </c>
      <c r="AQ204" s="3">
        <v>35.0</v>
      </c>
      <c r="AR204" s="1">
        <v>854.0</v>
      </c>
      <c r="AS204" s="1">
        <v>250.0</v>
      </c>
      <c r="AT204" s="1">
        <v>220.0</v>
      </c>
      <c r="AU204" s="3">
        <v>423.0</v>
      </c>
      <c r="AV204" s="1">
        <v>120.0</v>
      </c>
      <c r="AW204" s="3">
        <v>200.0</v>
      </c>
      <c r="AX204" s="3"/>
      <c r="AY204" s="3">
        <v>142.0</v>
      </c>
      <c r="AZ204" s="1">
        <v>40.0</v>
      </c>
      <c r="BA204" s="3">
        <v>80.0</v>
      </c>
      <c r="BB204" s="3">
        <v>402.0</v>
      </c>
      <c r="BC204" s="1">
        <v>150.0</v>
      </c>
      <c r="BD204" s="1">
        <v>190.0</v>
      </c>
      <c r="BE204" s="1">
        <v>80.0</v>
      </c>
      <c r="BF204" s="1"/>
      <c r="BG204" s="1">
        <v>213.0</v>
      </c>
      <c r="BH204" s="1">
        <v>23.0</v>
      </c>
      <c r="BI204" s="1">
        <v>40.0</v>
      </c>
      <c r="BJ204" s="1">
        <v>278.0</v>
      </c>
      <c r="BK204" s="3"/>
      <c r="BL204" s="1">
        <v>160.0</v>
      </c>
      <c r="BM204" s="1">
        <v>75.0</v>
      </c>
      <c r="BN204" s="32">
        <v>1802.0</v>
      </c>
      <c r="BO204" s="1">
        <v>47.0</v>
      </c>
      <c r="BP204" s="3">
        <v>48.0</v>
      </c>
      <c r="BQ204" s="1">
        <v>188.0</v>
      </c>
      <c r="BR204" s="27">
        <v>24411.0</v>
      </c>
    </row>
    <row r="205">
      <c r="A205" s="25">
        <f>'Equity Price Data'!A206</f>
        <v>45722.66667</v>
      </c>
      <c r="B205" s="34">
        <f>(('PRACTICE Equity Price Data'!B206/'PRACTICE Equity Price Data'!B205)-1)+B204</f>
        <v>0.1018740842</v>
      </c>
      <c r="C205" s="34">
        <f>(('PRACTICE Equity Price Data'!C206/'PRACTICE Equity Price Data'!C205)-1)+C204</f>
        <v>0.1130565531</v>
      </c>
      <c r="D205" s="34">
        <f>(('PRACTICE Equity Price Data'!D206/'PRACTICE Equity Price Data'!D205)-1)+D204</f>
        <v>0.08299880256</v>
      </c>
      <c r="E205" s="34">
        <f>(('PRACTICE Equity Price Data'!E206/'PRACTICE Equity Price Data'!E205)-1)+E204</f>
        <v>0.01948077006</v>
      </c>
      <c r="F205" s="3">
        <v>13.0</v>
      </c>
      <c r="G205" s="3">
        <v>260.0</v>
      </c>
      <c r="H205" s="3">
        <v>110.0</v>
      </c>
      <c r="I205" s="3">
        <v>256.0</v>
      </c>
      <c r="J205" s="3">
        <v>83.0</v>
      </c>
      <c r="K205" s="3">
        <v>188.0</v>
      </c>
      <c r="L205" s="3">
        <v>1000.0</v>
      </c>
      <c r="M205" s="3">
        <v>102.0</v>
      </c>
      <c r="N205" s="3">
        <v>200.0</v>
      </c>
      <c r="O205" s="3">
        <v>121.0</v>
      </c>
      <c r="P205" s="3"/>
      <c r="Q205" s="3">
        <v>80.0</v>
      </c>
      <c r="R205" s="3">
        <v>150.0</v>
      </c>
      <c r="S205" s="3">
        <v>417.0</v>
      </c>
      <c r="T205" s="3">
        <v>120.0</v>
      </c>
      <c r="U205" s="3">
        <v>80.0</v>
      </c>
      <c r="V205" s="1">
        <v>88.0</v>
      </c>
      <c r="W205" s="1">
        <v>250.0</v>
      </c>
      <c r="X205" s="1">
        <v>264.0</v>
      </c>
      <c r="Y205" s="1">
        <v>161.0</v>
      </c>
      <c r="Z205" s="1">
        <v>69.0</v>
      </c>
      <c r="AA205" s="3"/>
      <c r="AB205" s="1">
        <v>13.0</v>
      </c>
      <c r="AC205" s="1">
        <v>150.0</v>
      </c>
      <c r="AD205" s="1">
        <v>170.0</v>
      </c>
      <c r="AE205" s="1">
        <v>60.0</v>
      </c>
      <c r="AF205" s="1">
        <v>40.0</v>
      </c>
      <c r="AG205" s="1">
        <v>45.0</v>
      </c>
      <c r="AH205" s="1"/>
      <c r="AI205" s="1">
        <v>205.0</v>
      </c>
      <c r="AJ205" s="1">
        <v>60.0</v>
      </c>
      <c r="AK205" s="1">
        <v>100.0</v>
      </c>
      <c r="AL205" s="1">
        <v>175.0</v>
      </c>
      <c r="AM205" s="1">
        <v>130.0</v>
      </c>
      <c r="AN205" s="3">
        <v>47.0</v>
      </c>
      <c r="AO205" s="3">
        <v>160.0</v>
      </c>
      <c r="AP205" s="3">
        <v>70.0</v>
      </c>
      <c r="AQ205" s="3">
        <v>35.0</v>
      </c>
      <c r="AR205" s="1">
        <v>854.0</v>
      </c>
      <c r="AS205" s="1">
        <v>250.0</v>
      </c>
      <c r="AT205" s="1">
        <v>220.0</v>
      </c>
      <c r="AU205" s="3">
        <v>423.0</v>
      </c>
      <c r="AV205" s="1">
        <v>120.0</v>
      </c>
      <c r="AW205" s="3">
        <v>200.0</v>
      </c>
      <c r="AX205" s="3"/>
      <c r="AY205" s="3">
        <v>142.0</v>
      </c>
      <c r="AZ205" s="1">
        <v>40.0</v>
      </c>
      <c r="BA205" s="3">
        <v>80.0</v>
      </c>
      <c r="BB205" s="3">
        <v>402.0</v>
      </c>
      <c r="BC205" s="1">
        <v>150.0</v>
      </c>
      <c r="BD205" s="1">
        <v>190.0</v>
      </c>
      <c r="BE205" s="1">
        <v>80.0</v>
      </c>
      <c r="BF205" s="3">
        <v>328.0</v>
      </c>
      <c r="BG205" s="1">
        <v>213.0</v>
      </c>
      <c r="BH205" s="1">
        <v>23.0</v>
      </c>
      <c r="BI205" s="1">
        <v>40.0</v>
      </c>
      <c r="BJ205" s="1">
        <v>278.0</v>
      </c>
      <c r="BK205" s="3"/>
      <c r="BL205" s="1">
        <v>160.0</v>
      </c>
      <c r="BM205" s="1">
        <v>75.0</v>
      </c>
      <c r="BN205" s="32">
        <v>1802.0</v>
      </c>
      <c r="BO205" s="1">
        <v>47.0</v>
      </c>
      <c r="BP205" s="3">
        <v>48.0</v>
      </c>
      <c r="BQ205" s="1">
        <v>188.0</v>
      </c>
      <c r="BR205" s="27">
        <v>24411.0</v>
      </c>
    </row>
    <row r="206">
      <c r="A206" s="25">
        <f>'Equity Price Data'!A207</f>
        <v>45723.66667</v>
      </c>
      <c r="B206" s="34">
        <f>(('PRACTICE Equity Price Data'!B207/'PRACTICE Equity Price Data'!B206)-1)+B205</f>
        <v>0.1073946714</v>
      </c>
      <c r="C206" s="34">
        <f>(('PRACTICE Equity Price Data'!C207/'PRACTICE Equity Price Data'!C206)-1)+C205</f>
        <v>0.1200828508</v>
      </c>
      <c r="D206" s="34">
        <f>(('PRACTICE Equity Price Data'!D207/'PRACTICE Equity Price Data'!D206)-1)+D205</f>
        <v>0.08822766143</v>
      </c>
      <c r="E206" s="34">
        <f>(('PRACTICE Equity Price Data'!E207/'PRACTICE Equity Price Data'!E206)-1)+E205</f>
        <v>0.02380198175</v>
      </c>
      <c r="F206" s="3">
        <v>13.0</v>
      </c>
      <c r="G206" s="3">
        <v>260.0</v>
      </c>
      <c r="H206" s="3">
        <v>110.0</v>
      </c>
      <c r="I206" s="3">
        <v>256.0</v>
      </c>
      <c r="J206" s="3">
        <v>83.0</v>
      </c>
      <c r="K206" s="3">
        <v>188.0</v>
      </c>
      <c r="L206" s="3">
        <v>1000.0</v>
      </c>
      <c r="M206" s="3">
        <v>102.0</v>
      </c>
      <c r="N206" s="3">
        <v>200.0</v>
      </c>
      <c r="O206" s="3">
        <v>121.0</v>
      </c>
      <c r="P206" s="3"/>
      <c r="Q206" s="3">
        <v>80.0</v>
      </c>
      <c r="R206" s="3">
        <v>150.0</v>
      </c>
      <c r="S206" s="3">
        <v>417.0</v>
      </c>
      <c r="T206" s="3">
        <v>120.0</v>
      </c>
      <c r="U206" s="3">
        <v>80.0</v>
      </c>
      <c r="V206" s="1">
        <v>88.0</v>
      </c>
      <c r="W206" s="1">
        <v>250.0</v>
      </c>
      <c r="X206" s="1">
        <v>264.0</v>
      </c>
      <c r="Y206" s="1">
        <v>161.0</v>
      </c>
      <c r="Z206" s="1">
        <v>69.0</v>
      </c>
      <c r="AA206" s="3"/>
      <c r="AB206" s="1">
        <v>13.0</v>
      </c>
      <c r="AC206" s="1">
        <v>150.0</v>
      </c>
      <c r="AD206" s="1">
        <v>170.0</v>
      </c>
      <c r="AE206" s="1">
        <v>60.0</v>
      </c>
      <c r="AF206" s="1">
        <v>40.0</v>
      </c>
      <c r="AG206" s="1">
        <v>45.0</v>
      </c>
      <c r="AH206" s="1"/>
      <c r="AI206" s="1">
        <v>205.0</v>
      </c>
      <c r="AJ206" s="1">
        <v>60.0</v>
      </c>
      <c r="AK206" s="1">
        <v>100.0</v>
      </c>
      <c r="AL206" s="1">
        <v>175.0</v>
      </c>
      <c r="AM206" s="1">
        <v>130.0</v>
      </c>
      <c r="AN206" s="3">
        <v>47.0</v>
      </c>
      <c r="AO206" s="3">
        <v>160.0</v>
      </c>
      <c r="AP206" s="3">
        <v>70.0</v>
      </c>
      <c r="AQ206" s="3">
        <v>35.0</v>
      </c>
      <c r="AR206" s="1">
        <v>854.0</v>
      </c>
      <c r="AS206" s="1">
        <v>250.0</v>
      </c>
      <c r="AT206" s="1">
        <v>220.0</v>
      </c>
      <c r="AU206" s="3">
        <v>423.0</v>
      </c>
      <c r="AV206" s="1">
        <v>120.0</v>
      </c>
      <c r="AW206" s="3">
        <v>200.0</v>
      </c>
      <c r="AX206" s="3"/>
      <c r="AY206" s="3">
        <v>142.0</v>
      </c>
      <c r="AZ206" s="1">
        <v>40.0</v>
      </c>
      <c r="BA206" s="3">
        <v>80.0</v>
      </c>
      <c r="BB206" s="3">
        <v>402.0</v>
      </c>
      <c r="BC206" s="1">
        <v>150.0</v>
      </c>
      <c r="BD206" s="1">
        <v>190.0</v>
      </c>
      <c r="BE206" s="1">
        <v>80.0</v>
      </c>
      <c r="BF206" s="3">
        <v>328.0</v>
      </c>
      <c r="BG206" s="1">
        <v>213.0</v>
      </c>
      <c r="BH206" s="1">
        <v>23.0</v>
      </c>
      <c r="BI206" s="1">
        <v>40.0</v>
      </c>
      <c r="BJ206" s="1">
        <v>278.0</v>
      </c>
      <c r="BK206" s="3"/>
      <c r="BL206" s="1">
        <v>160.0</v>
      </c>
      <c r="BM206" s="1">
        <v>75.0</v>
      </c>
      <c r="BN206" s="32">
        <v>1802.0</v>
      </c>
      <c r="BO206" s="1">
        <v>47.0</v>
      </c>
      <c r="BP206" s="3">
        <v>48.0</v>
      </c>
      <c r="BQ206" s="1">
        <v>188.0</v>
      </c>
      <c r="BR206" s="27">
        <v>24411.0</v>
      </c>
    </row>
    <row r="207">
      <c r="A207" s="25">
        <f>'Equity Price Data'!A208</f>
        <v>45726.66667</v>
      </c>
      <c r="B207" s="34">
        <f>(('PRACTICE Equity Price Data'!B208/'PRACTICE Equity Price Data'!B207)-1)+B206</f>
        <v>0.08042160286</v>
      </c>
      <c r="C207" s="34">
        <f>(('PRACTICE Equity Price Data'!C208/'PRACTICE Equity Price Data'!C207)-1)+C206</f>
        <v>0.08008003699</v>
      </c>
      <c r="D207" s="34">
        <f>(('PRACTICE Equity Price Data'!D208/'PRACTICE Equity Price Data'!D207)-1)+D206</f>
        <v>0.0674338709</v>
      </c>
      <c r="E207" s="34">
        <f>(('PRACTICE Equity Price Data'!E208/'PRACTICE Equity Price Data'!E207)-1)+E206</f>
        <v>-0.003377273173</v>
      </c>
      <c r="F207" s="3">
        <v>13.0</v>
      </c>
      <c r="G207" s="3">
        <v>260.0</v>
      </c>
      <c r="H207" s="3">
        <v>110.0</v>
      </c>
      <c r="I207" s="3">
        <v>256.0</v>
      </c>
      <c r="J207" s="3">
        <v>83.0</v>
      </c>
      <c r="K207" s="3">
        <v>188.0</v>
      </c>
      <c r="L207" s="3">
        <v>1000.0</v>
      </c>
      <c r="M207" s="3">
        <v>102.0</v>
      </c>
      <c r="N207" s="3">
        <v>200.0</v>
      </c>
      <c r="O207" s="3">
        <v>121.0</v>
      </c>
      <c r="P207" s="3"/>
      <c r="Q207" s="3">
        <v>80.0</v>
      </c>
      <c r="R207" s="3">
        <v>150.0</v>
      </c>
      <c r="S207" s="3">
        <v>417.0</v>
      </c>
      <c r="T207" s="3">
        <v>120.0</v>
      </c>
      <c r="U207" s="3">
        <v>80.0</v>
      </c>
      <c r="V207" s="1">
        <v>88.0</v>
      </c>
      <c r="W207" s="1">
        <v>250.0</v>
      </c>
      <c r="X207" s="1">
        <v>264.0</v>
      </c>
      <c r="Y207" s="1">
        <v>161.0</v>
      </c>
      <c r="Z207" s="1">
        <v>69.0</v>
      </c>
      <c r="AA207" s="3"/>
      <c r="AB207" s="1">
        <v>13.0</v>
      </c>
      <c r="AC207" s="1">
        <v>150.0</v>
      </c>
      <c r="AD207" s="1">
        <v>170.0</v>
      </c>
      <c r="AE207" s="1">
        <v>60.0</v>
      </c>
      <c r="AF207" s="1">
        <v>40.0</v>
      </c>
      <c r="AG207" s="1">
        <v>45.0</v>
      </c>
      <c r="AH207" s="1"/>
      <c r="AI207" s="1">
        <v>205.0</v>
      </c>
      <c r="AJ207" s="1">
        <v>60.0</v>
      </c>
      <c r="AK207" s="1">
        <v>100.0</v>
      </c>
      <c r="AL207" s="1">
        <v>175.0</v>
      </c>
      <c r="AM207" s="1">
        <v>130.0</v>
      </c>
      <c r="AN207" s="3">
        <v>47.0</v>
      </c>
      <c r="AO207" s="3">
        <v>160.0</v>
      </c>
      <c r="AP207" s="3">
        <v>70.0</v>
      </c>
      <c r="AQ207" s="3">
        <v>35.0</v>
      </c>
      <c r="AR207" s="1">
        <v>854.0</v>
      </c>
      <c r="AS207" s="1">
        <v>250.0</v>
      </c>
      <c r="AT207" s="1">
        <v>220.0</v>
      </c>
      <c r="AU207" s="3">
        <v>423.0</v>
      </c>
      <c r="AV207" s="1">
        <v>120.0</v>
      </c>
      <c r="AW207" s="3">
        <v>200.0</v>
      </c>
      <c r="AX207" s="3"/>
      <c r="AY207" s="3">
        <v>142.0</v>
      </c>
      <c r="AZ207" s="1">
        <v>40.0</v>
      </c>
      <c r="BA207" s="3">
        <v>80.0</v>
      </c>
      <c r="BB207" s="3">
        <v>402.0</v>
      </c>
      <c r="BC207" s="1">
        <v>150.0</v>
      </c>
      <c r="BD207" s="1">
        <v>190.0</v>
      </c>
      <c r="BE207" s="1">
        <v>80.0</v>
      </c>
      <c r="BF207" s="3">
        <v>328.0</v>
      </c>
      <c r="BG207" s="1">
        <v>213.0</v>
      </c>
      <c r="BH207" s="1">
        <v>23.0</v>
      </c>
      <c r="BI207" s="1">
        <v>40.0</v>
      </c>
      <c r="BJ207" s="1">
        <v>278.0</v>
      </c>
      <c r="BK207" s="3"/>
      <c r="BL207" s="1">
        <v>160.0</v>
      </c>
      <c r="BM207" s="1">
        <v>75.0</v>
      </c>
      <c r="BN207" s="32">
        <v>1802.0</v>
      </c>
      <c r="BO207" s="1">
        <v>47.0</v>
      </c>
      <c r="BP207" s="3">
        <v>48.0</v>
      </c>
      <c r="BQ207" s="1">
        <v>188.0</v>
      </c>
      <c r="BR207" s="27">
        <v>24411.0</v>
      </c>
    </row>
    <row r="208">
      <c r="A208" s="25">
        <f>'Equity Price Data'!A209</f>
        <v>45727.66667</v>
      </c>
      <c r="B208" s="34">
        <f>(('PRACTICE Equity Price Data'!B209/'PRACTICE Equity Price Data'!B208)-1)+B207</f>
        <v>0.0728537792</v>
      </c>
      <c r="C208" s="34">
        <f>(('PRACTICE Equity Price Data'!C209/'PRACTICE Equity Price Data'!C208)-1)+C207</f>
        <v>0.0782355551</v>
      </c>
      <c r="D208" s="34">
        <f>(('PRACTICE Equity Price Data'!D209/'PRACTICE Equity Price Data'!D208)-1)+D207</f>
        <v>0.05602345601</v>
      </c>
      <c r="E208" s="34">
        <f>(('PRACTICE Equity Price Data'!E209/'PRACTICE Equity Price Data'!E208)-1)+E207</f>
        <v>-0.001138618743</v>
      </c>
      <c r="F208" s="3">
        <v>13.0</v>
      </c>
      <c r="G208" s="3">
        <v>260.0</v>
      </c>
      <c r="H208" s="3">
        <v>110.0</v>
      </c>
      <c r="I208" s="3">
        <v>256.0</v>
      </c>
      <c r="J208" s="3">
        <v>83.0</v>
      </c>
      <c r="K208" s="3">
        <v>188.0</v>
      </c>
      <c r="L208" s="3">
        <v>1000.0</v>
      </c>
      <c r="M208" s="3">
        <v>102.0</v>
      </c>
      <c r="N208" s="3">
        <v>200.0</v>
      </c>
      <c r="O208" s="3">
        <v>121.0</v>
      </c>
      <c r="P208" s="3"/>
      <c r="Q208" s="3">
        <v>80.0</v>
      </c>
      <c r="R208" s="3">
        <v>150.0</v>
      </c>
      <c r="S208" s="3">
        <v>417.0</v>
      </c>
      <c r="T208" s="3">
        <v>120.0</v>
      </c>
      <c r="U208" s="3">
        <v>80.0</v>
      </c>
      <c r="V208" s="1">
        <v>88.0</v>
      </c>
      <c r="W208" s="1">
        <v>250.0</v>
      </c>
      <c r="X208" s="1">
        <v>264.0</v>
      </c>
      <c r="Y208" s="1">
        <v>161.0</v>
      </c>
      <c r="Z208" s="1">
        <v>69.0</v>
      </c>
      <c r="AA208" s="3"/>
      <c r="AB208" s="1">
        <v>13.0</v>
      </c>
      <c r="AC208" s="1">
        <v>150.0</v>
      </c>
      <c r="AD208" s="1">
        <v>170.0</v>
      </c>
      <c r="AE208" s="1">
        <v>60.0</v>
      </c>
      <c r="AF208" s="1">
        <v>40.0</v>
      </c>
      <c r="AG208" s="1">
        <v>45.0</v>
      </c>
      <c r="AH208" s="1"/>
      <c r="AI208" s="1">
        <v>205.0</v>
      </c>
      <c r="AJ208" s="1">
        <v>60.0</v>
      </c>
      <c r="AK208" s="1">
        <v>100.0</v>
      </c>
      <c r="AL208" s="1">
        <v>175.0</v>
      </c>
      <c r="AM208" s="1">
        <v>130.0</v>
      </c>
      <c r="AN208" s="3">
        <v>47.0</v>
      </c>
      <c r="AO208" s="3">
        <v>160.0</v>
      </c>
      <c r="AP208" s="3">
        <v>70.0</v>
      </c>
      <c r="AQ208" s="3">
        <v>35.0</v>
      </c>
      <c r="AR208" s="1">
        <v>854.0</v>
      </c>
      <c r="AS208" s="1">
        <v>250.0</v>
      </c>
      <c r="AT208" s="1">
        <v>220.0</v>
      </c>
      <c r="AU208" s="3">
        <v>423.0</v>
      </c>
      <c r="AV208" s="1">
        <v>120.0</v>
      </c>
      <c r="AW208" s="3">
        <v>200.0</v>
      </c>
      <c r="AX208" s="3"/>
      <c r="AY208" s="3">
        <v>142.0</v>
      </c>
      <c r="AZ208" s="1">
        <v>40.0</v>
      </c>
      <c r="BA208" s="3">
        <v>80.0</v>
      </c>
      <c r="BB208" s="3">
        <v>402.0</v>
      </c>
      <c r="BC208" s="1">
        <v>150.0</v>
      </c>
      <c r="BD208" s="1">
        <v>190.0</v>
      </c>
      <c r="BE208" s="1">
        <v>80.0</v>
      </c>
      <c r="BF208" s="3">
        <v>328.0</v>
      </c>
      <c r="BG208" s="1">
        <v>213.0</v>
      </c>
      <c r="BH208" s="1">
        <v>23.0</v>
      </c>
      <c r="BI208" s="1">
        <v>40.0</v>
      </c>
      <c r="BJ208" s="1">
        <v>278.0</v>
      </c>
      <c r="BK208" s="3"/>
      <c r="BL208" s="1">
        <v>160.0</v>
      </c>
      <c r="BM208" s="1">
        <v>75.0</v>
      </c>
      <c r="BN208" s="32">
        <v>1802.0</v>
      </c>
      <c r="BO208" s="1">
        <v>47.0</v>
      </c>
      <c r="BP208" s="3">
        <v>48.0</v>
      </c>
      <c r="BQ208" s="1">
        <v>188.0</v>
      </c>
      <c r="BR208" s="27">
        <v>24411.0</v>
      </c>
    </row>
    <row r="209">
      <c r="A209" s="25">
        <f>'Equity Price Data'!A210</f>
        <v>45728.66667</v>
      </c>
      <c r="B209" s="34">
        <f>(('PRACTICE Equity Price Data'!B210/'PRACTICE Equity Price Data'!B209)-1)+B208</f>
        <v>0.07774065248</v>
      </c>
      <c r="C209" s="34">
        <f>(('PRACTICE Equity Price Data'!C210/'PRACTICE Equity Price Data'!C209)-1)+C208</f>
        <v>0.09041431067</v>
      </c>
      <c r="D209" s="34">
        <f>(('PRACTICE Equity Price Data'!D210/'PRACTICE Equity Price Data'!D209)-1)+D208</f>
        <v>0.05403110586</v>
      </c>
      <c r="E209" s="34">
        <f>(('PRACTICE Equity Price Data'!E210/'PRACTICE Equity Price Data'!E209)-1)+E208</f>
        <v>0.0002845944571</v>
      </c>
      <c r="F209" s="3">
        <v>13.0</v>
      </c>
      <c r="G209" s="3">
        <v>260.0</v>
      </c>
      <c r="H209" s="3">
        <v>110.0</v>
      </c>
      <c r="I209" s="3">
        <v>256.0</v>
      </c>
      <c r="J209" s="3">
        <v>83.0</v>
      </c>
      <c r="K209" s="3">
        <v>188.0</v>
      </c>
      <c r="L209" s="3">
        <v>1000.0</v>
      </c>
      <c r="M209" s="3">
        <v>102.0</v>
      </c>
      <c r="N209" s="3">
        <v>200.0</v>
      </c>
      <c r="O209" s="3">
        <v>121.0</v>
      </c>
      <c r="P209" s="3"/>
      <c r="Q209" s="3">
        <v>80.0</v>
      </c>
      <c r="R209" s="3">
        <v>150.0</v>
      </c>
      <c r="S209" s="3">
        <v>417.0</v>
      </c>
      <c r="T209" s="3">
        <v>120.0</v>
      </c>
      <c r="U209" s="3">
        <v>80.0</v>
      </c>
      <c r="V209" s="1">
        <v>88.0</v>
      </c>
      <c r="W209" s="1">
        <v>250.0</v>
      </c>
      <c r="X209" s="1">
        <v>264.0</v>
      </c>
      <c r="Y209" s="1">
        <v>161.0</v>
      </c>
      <c r="Z209" s="1">
        <v>69.0</v>
      </c>
      <c r="AA209" s="3"/>
      <c r="AB209" s="1">
        <v>13.0</v>
      </c>
      <c r="AC209" s="1">
        <v>150.0</v>
      </c>
      <c r="AD209" s="1">
        <v>170.0</v>
      </c>
      <c r="AE209" s="1">
        <v>60.0</v>
      </c>
      <c r="AF209" s="1">
        <v>40.0</v>
      </c>
      <c r="AG209" s="1">
        <v>45.0</v>
      </c>
      <c r="AH209" s="1"/>
      <c r="AI209" s="1">
        <v>205.0</v>
      </c>
      <c r="AJ209" s="1">
        <v>60.0</v>
      </c>
      <c r="AK209" s="1">
        <v>100.0</v>
      </c>
      <c r="AL209" s="1">
        <v>175.0</v>
      </c>
      <c r="AM209" s="1">
        <v>130.0</v>
      </c>
      <c r="AN209" s="3">
        <v>47.0</v>
      </c>
      <c r="AO209" s="3">
        <v>160.0</v>
      </c>
      <c r="AP209" s="3">
        <v>70.0</v>
      </c>
      <c r="AQ209" s="3">
        <v>35.0</v>
      </c>
      <c r="AR209" s="1">
        <v>854.0</v>
      </c>
      <c r="AS209" s="1">
        <v>250.0</v>
      </c>
      <c r="AT209" s="1">
        <v>220.0</v>
      </c>
      <c r="AU209" s="3">
        <v>423.0</v>
      </c>
      <c r="AV209" s="1">
        <v>120.0</v>
      </c>
      <c r="AW209" s="3">
        <v>200.0</v>
      </c>
      <c r="AX209" s="3"/>
      <c r="AY209" s="3">
        <v>142.0</v>
      </c>
      <c r="AZ209" s="1">
        <v>40.0</v>
      </c>
      <c r="BA209" s="3">
        <v>80.0</v>
      </c>
      <c r="BB209" s="3">
        <v>402.0</v>
      </c>
      <c r="BC209" s="1">
        <v>150.0</v>
      </c>
      <c r="BD209" s="1">
        <v>190.0</v>
      </c>
      <c r="BE209" s="1">
        <v>80.0</v>
      </c>
      <c r="BF209" s="3">
        <v>328.0</v>
      </c>
      <c r="BG209" s="1">
        <v>213.0</v>
      </c>
      <c r="BH209" s="1">
        <v>23.0</v>
      </c>
      <c r="BI209" s="1">
        <v>40.0</v>
      </c>
      <c r="BJ209" s="1">
        <v>278.0</v>
      </c>
      <c r="BK209" s="3"/>
      <c r="BL209" s="1">
        <v>160.0</v>
      </c>
      <c r="BM209" s="1">
        <v>75.0</v>
      </c>
      <c r="BN209" s="32">
        <v>1802.0</v>
      </c>
      <c r="BO209" s="1">
        <v>47.0</v>
      </c>
      <c r="BP209" s="3">
        <v>48.0</v>
      </c>
      <c r="BQ209" s="1">
        <v>188.0</v>
      </c>
      <c r="BR209" s="27">
        <v>24411.0</v>
      </c>
    </row>
    <row r="210">
      <c r="A210" s="25">
        <f>'Equity Price Data'!A211</f>
        <v>45729.66667</v>
      </c>
      <c r="B210" s="34">
        <f>(('PRACTICE Equity Price Data'!B211/'PRACTICE Equity Price Data'!B210)-1)+B209</f>
        <v>0.06384963039</v>
      </c>
      <c r="C210" s="34">
        <f>(('PRACTICE Equity Price Data'!C211/'PRACTICE Equity Price Data'!C210)-1)+C209</f>
        <v>0.07084092037</v>
      </c>
      <c r="D210" s="34">
        <f>(('PRACTICE Equity Price Data'!D211/'PRACTICE Equity Price Data'!D210)-1)+D209</f>
        <v>0.04103599305</v>
      </c>
      <c r="E210" s="34">
        <f>(('PRACTICE Equity Price Data'!E211/'PRACTICE Equity Price Data'!E210)-1)+E209</f>
        <v>-0.01589131735</v>
      </c>
      <c r="F210" s="3">
        <v>13.0</v>
      </c>
      <c r="G210" s="3">
        <v>260.0</v>
      </c>
      <c r="H210" s="3">
        <v>110.0</v>
      </c>
      <c r="I210" s="3">
        <v>256.0</v>
      </c>
      <c r="J210" s="3">
        <v>83.0</v>
      </c>
      <c r="K210" s="3">
        <v>188.0</v>
      </c>
      <c r="L210" s="3">
        <v>1000.0</v>
      </c>
      <c r="M210" s="3">
        <v>102.0</v>
      </c>
      <c r="N210" s="3">
        <v>200.0</v>
      </c>
      <c r="O210" s="3">
        <v>121.0</v>
      </c>
      <c r="P210" s="3"/>
      <c r="Q210" s="3">
        <v>80.0</v>
      </c>
      <c r="R210" s="3">
        <v>150.0</v>
      </c>
      <c r="S210" s="3">
        <v>417.0</v>
      </c>
      <c r="T210" s="3">
        <v>120.0</v>
      </c>
      <c r="U210" s="3">
        <v>80.0</v>
      </c>
      <c r="V210" s="1">
        <v>88.0</v>
      </c>
      <c r="W210" s="1">
        <v>250.0</v>
      </c>
      <c r="X210" s="1">
        <v>264.0</v>
      </c>
      <c r="Y210" s="1">
        <v>161.0</v>
      </c>
      <c r="Z210" s="1">
        <v>69.0</v>
      </c>
      <c r="AA210" s="3"/>
      <c r="AB210" s="1">
        <v>13.0</v>
      </c>
      <c r="AC210" s="1">
        <v>150.0</v>
      </c>
      <c r="AD210" s="1">
        <v>170.0</v>
      </c>
      <c r="AE210" s="1">
        <v>60.0</v>
      </c>
      <c r="AF210" s="1">
        <v>40.0</v>
      </c>
      <c r="AG210" s="1">
        <v>45.0</v>
      </c>
      <c r="AH210" s="1"/>
      <c r="AI210" s="1">
        <v>205.0</v>
      </c>
      <c r="AJ210" s="1">
        <v>60.0</v>
      </c>
      <c r="AK210" s="1">
        <v>100.0</v>
      </c>
      <c r="AL210" s="1">
        <v>175.0</v>
      </c>
      <c r="AM210" s="1">
        <v>130.0</v>
      </c>
      <c r="AN210" s="3">
        <v>47.0</v>
      </c>
      <c r="AO210" s="3">
        <v>160.0</v>
      </c>
      <c r="AP210" s="3">
        <v>70.0</v>
      </c>
      <c r="AQ210" s="3">
        <v>35.0</v>
      </c>
      <c r="AR210" s="1">
        <v>854.0</v>
      </c>
      <c r="AS210" s="1">
        <v>250.0</v>
      </c>
      <c r="AT210" s="1">
        <v>220.0</v>
      </c>
      <c r="AU210" s="3">
        <v>423.0</v>
      </c>
      <c r="AV210" s="1">
        <v>120.0</v>
      </c>
      <c r="AW210" s="3">
        <v>200.0</v>
      </c>
      <c r="AX210" s="3"/>
      <c r="AY210" s="3">
        <v>142.0</v>
      </c>
      <c r="AZ210" s="1">
        <v>40.0</v>
      </c>
      <c r="BA210" s="3">
        <v>80.0</v>
      </c>
      <c r="BB210" s="3">
        <v>402.0</v>
      </c>
      <c r="BC210" s="1">
        <v>150.0</v>
      </c>
      <c r="BD210" s="1">
        <v>190.0</v>
      </c>
      <c r="BE210" s="1">
        <v>80.0</v>
      </c>
      <c r="BF210" s="3">
        <v>328.0</v>
      </c>
      <c r="BG210" s="1">
        <v>213.0</v>
      </c>
      <c r="BH210" s="1">
        <v>23.0</v>
      </c>
      <c r="BI210" s="1">
        <v>40.0</v>
      </c>
      <c r="BJ210" s="1">
        <v>278.0</v>
      </c>
      <c r="BK210" s="3"/>
      <c r="BL210" s="1">
        <v>160.0</v>
      </c>
      <c r="BM210" s="1">
        <v>75.0</v>
      </c>
      <c r="BN210" s="32">
        <v>1802.0</v>
      </c>
      <c r="BO210" s="1">
        <v>47.0</v>
      </c>
      <c r="BP210" s="3">
        <v>48.0</v>
      </c>
      <c r="BQ210" s="1">
        <v>188.0</v>
      </c>
      <c r="BR210" s="27">
        <v>24411.0</v>
      </c>
    </row>
    <row r="211">
      <c r="A211" s="25">
        <f>'Equity Price Data'!A212</f>
        <v>45730.66667</v>
      </c>
      <c r="B211" s="34">
        <f>(('PRACTICE Equity Price Data'!B212/'PRACTICE Equity Price Data'!B211)-1)+B210</f>
        <v>0.0851155137</v>
      </c>
      <c r="C211" s="34">
        <f>(('PRACTICE Equity Price Data'!C212/'PRACTICE Equity Price Data'!C211)-1)+C210</f>
        <v>0.09691037303</v>
      </c>
      <c r="D211" s="34">
        <f>(('PRACTICE Equity Price Data'!D212/'PRACTICE Equity Price Data'!D211)-1)+D210</f>
        <v>0.05756529936</v>
      </c>
      <c r="E211" s="34">
        <f>(('PRACTICE Equity Price Data'!E212/'PRACTICE Equity Price Data'!E211)-1)+E210</f>
        <v>0.00939345611</v>
      </c>
      <c r="F211" s="3">
        <v>13.0</v>
      </c>
      <c r="G211" s="3">
        <v>260.0</v>
      </c>
      <c r="H211" s="3">
        <v>110.0</v>
      </c>
      <c r="I211" s="3">
        <v>256.0</v>
      </c>
      <c r="J211" s="3">
        <v>83.0</v>
      </c>
      <c r="K211" s="3">
        <v>188.0</v>
      </c>
      <c r="L211" s="3">
        <v>1000.0</v>
      </c>
      <c r="M211" s="3">
        <v>102.0</v>
      </c>
      <c r="N211" s="3">
        <v>200.0</v>
      </c>
      <c r="O211" s="3">
        <v>121.0</v>
      </c>
      <c r="P211" s="3"/>
      <c r="Q211" s="3">
        <v>80.0</v>
      </c>
      <c r="R211" s="3">
        <v>150.0</v>
      </c>
      <c r="S211" s="3">
        <v>417.0</v>
      </c>
      <c r="T211" s="3">
        <v>120.0</v>
      </c>
      <c r="U211" s="3">
        <v>80.0</v>
      </c>
      <c r="V211" s="1">
        <v>88.0</v>
      </c>
      <c r="W211" s="1">
        <v>250.0</v>
      </c>
      <c r="X211" s="1">
        <v>264.0</v>
      </c>
      <c r="Y211" s="1">
        <v>161.0</v>
      </c>
      <c r="Z211" s="1">
        <v>69.0</v>
      </c>
      <c r="AA211" s="3"/>
      <c r="AB211" s="1">
        <v>13.0</v>
      </c>
      <c r="AC211" s="1">
        <v>150.0</v>
      </c>
      <c r="AD211" s="1">
        <v>170.0</v>
      </c>
      <c r="AE211" s="1">
        <v>60.0</v>
      </c>
      <c r="AF211" s="1">
        <v>40.0</v>
      </c>
      <c r="AG211" s="1">
        <v>45.0</v>
      </c>
      <c r="AH211" s="1"/>
      <c r="AI211" s="1">
        <v>205.0</v>
      </c>
      <c r="AJ211" s="1">
        <v>60.0</v>
      </c>
      <c r="AK211" s="1">
        <v>100.0</v>
      </c>
      <c r="AL211" s="1">
        <v>175.0</v>
      </c>
      <c r="AM211" s="1">
        <v>130.0</v>
      </c>
      <c r="AN211" s="3">
        <v>47.0</v>
      </c>
      <c r="AO211" s="3">
        <v>160.0</v>
      </c>
      <c r="AP211" s="3">
        <v>70.0</v>
      </c>
      <c r="AQ211" s="3">
        <v>35.0</v>
      </c>
      <c r="AR211" s="1">
        <v>854.0</v>
      </c>
      <c r="AS211" s="1">
        <v>250.0</v>
      </c>
      <c r="AT211" s="1">
        <v>220.0</v>
      </c>
      <c r="AU211" s="3">
        <v>423.0</v>
      </c>
      <c r="AV211" s="1">
        <v>120.0</v>
      </c>
      <c r="AW211" s="3">
        <v>200.0</v>
      </c>
      <c r="AX211" s="3"/>
      <c r="AY211" s="3">
        <v>142.0</v>
      </c>
      <c r="AZ211" s="1">
        <v>40.0</v>
      </c>
      <c r="BA211" s="3">
        <v>80.0</v>
      </c>
      <c r="BB211" s="3">
        <v>402.0</v>
      </c>
      <c r="BC211" s="1">
        <v>150.0</v>
      </c>
      <c r="BD211" s="1">
        <v>190.0</v>
      </c>
      <c r="BE211" s="1">
        <v>80.0</v>
      </c>
      <c r="BF211" s="3">
        <v>328.0</v>
      </c>
      <c r="BG211" s="1">
        <v>213.0</v>
      </c>
      <c r="BH211" s="1">
        <v>23.0</v>
      </c>
      <c r="BI211" s="1">
        <v>40.0</v>
      </c>
      <c r="BJ211" s="1">
        <v>278.0</v>
      </c>
      <c r="BK211" s="3"/>
      <c r="BL211" s="1">
        <v>160.0</v>
      </c>
      <c r="BM211" s="1">
        <v>75.0</v>
      </c>
      <c r="BN211" s="32">
        <v>1802.0</v>
      </c>
      <c r="BO211" s="1">
        <v>47.0</v>
      </c>
      <c r="BP211" s="3">
        <v>48.0</v>
      </c>
      <c r="BQ211" s="1">
        <v>188.0</v>
      </c>
      <c r="BR211" s="27">
        <v>24411.0</v>
      </c>
    </row>
    <row r="212">
      <c r="A212" s="25">
        <f>'Equity Price Data'!A213</f>
        <v>45733.66667</v>
      </c>
      <c r="B212" s="34">
        <f>(('PRACTICE Equity Price Data'!B213/'PRACTICE Equity Price Data'!B212)-1)+B211</f>
        <v>0.09153161318</v>
      </c>
      <c r="C212" s="34">
        <f>(('PRACTICE Equity Price Data'!C213/'PRACTICE Equity Price Data'!C212)-1)+C211</f>
        <v>0.09998403098</v>
      </c>
      <c r="D212" s="34">
        <f>(('PRACTICE Equity Price Data'!D213/'PRACTICE Equity Price Data'!D212)-1)+D211</f>
        <v>0.0660843502</v>
      </c>
      <c r="E212" s="34">
        <f>(('PRACTICE Equity Price Data'!E213/'PRACTICE Equity Price Data'!E212)-1)+E211</f>
        <v>0.02124708362</v>
      </c>
      <c r="F212" s="3">
        <v>13.0</v>
      </c>
      <c r="G212" s="3">
        <v>260.0</v>
      </c>
      <c r="H212" s="3">
        <v>110.0</v>
      </c>
      <c r="I212" s="3">
        <v>256.0</v>
      </c>
      <c r="J212" s="3">
        <v>83.0</v>
      </c>
      <c r="K212" s="3">
        <v>188.0</v>
      </c>
      <c r="L212" s="3">
        <v>1000.0</v>
      </c>
      <c r="M212" s="3">
        <v>102.0</v>
      </c>
      <c r="N212" s="3">
        <v>200.0</v>
      </c>
      <c r="O212" s="3">
        <v>121.0</v>
      </c>
      <c r="P212" s="3"/>
      <c r="Q212" s="3">
        <v>80.0</v>
      </c>
      <c r="R212" s="3">
        <v>150.0</v>
      </c>
      <c r="S212" s="3">
        <v>417.0</v>
      </c>
      <c r="T212" s="3">
        <v>120.0</v>
      </c>
      <c r="U212" s="3">
        <v>80.0</v>
      </c>
      <c r="V212" s="1">
        <v>88.0</v>
      </c>
      <c r="W212" s="1">
        <v>250.0</v>
      </c>
      <c r="X212" s="1">
        <v>264.0</v>
      </c>
      <c r="Y212" s="1">
        <v>161.0</v>
      </c>
      <c r="Z212" s="1">
        <v>69.0</v>
      </c>
      <c r="AA212" s="3"/>
      <c r="AB212" s="1">
        <v>13.0</v>
      </c>
      <c r="AC212" s="1">
        <v>150.0</v>
      </c>
      <c r="AD212" s="1">
        <v>170.0</v>
      </c>
      <c r="AE212" s="1">
        <v>60.0</v>
      </c>
      <c r="AF212" s="1">
        <v>40.0</v>
      </c>
      <c r="AG212" s="1">
        <v>45.0</v>
      </c>
      <c r="AH212" s="1"/>
      <c r="AI212" s="1">
        <v>205.0</v>
      </c>
      <c r="AJ212" s="1">
        <v>60.0</v>
      </c>
      <c r="AK212" s="1">
        <v>100.0</v>
      </c>
      <c r="AL212" s="1">
        <v>175.0</v>
      </c>
      <c r="AM212" s="1">
        <v>130.0</v>
      </c>
      <c r="AN212" s="3">
        <v>47.0</v>
      </c>
      <c r="AO212" s="3">
        <v>160.0</v>
      </c>
      <c r="AP212" s="3">
        <v>70.0</v>
      </c>
      <c r="AQ212" s="3">
        <v>35.0</v>
      </c>
      <c r="AR212" s="1">
        <v>854.0</v>
      </c>
      <c r="AS212" s="1">
        <v>250.0</v>
      </c>
      <c r="AT212" s="1">
        <v>220.0</v>
      </c>
      <c r="AU212" s="3">
        <v>423.0</v>
      </c>
      <c r="AV212" s="1">
        <v>120.0</v>
      </c>
      <c r="AW212" s="3">
        <v>200.0</v>
      </c>
      <c r="AX212" s="3"/>
      <c r="AY212" s="3">
        <v>142.0</v>
      </c>
      <c r="AZ212" s="1">
        <v>40.0</v>
      </c>
      <c r="BA212" s="3">
        <v>80.0</v>
      </c>
      <c r="BB212" s="3">
        <v>402.0</v>
      </c>
      <c r="BC212" s="1">
        <v>150.0</v>
      </c>
      <c r="BD212" s="1">
        <v>190.0</v>
      </c>
      <c r="BE212" s="1">
        <v>80.0</v>
      </c>
      <c r="BF212" s="3">
        <v>328.0</v>
      </c>
      <c r="BG212" s="1">
        <v>213.0</v>
      </c>
      <c r="BH212" s="1">
        <v>23.0</v>
      </c>
      <c r="BI212" s="1">
        <v>40.0</v>
      </c>
      <c r="BJ212" s="1">
        <v>278.0</v>
      </c>
      <c r="BK212" s="3"/>
      <c r="BL212" s="1">
        <v>160.0</v>
      </c>
      <c r="BM212" s="1">
        <v>75.0</v>
      </c>
      <c r="BN212" s="32">
        <v>1802.0</v>
      </c>
      <c r="BO212" s="1">
        <v>47.0</v>
      </c>
      <c r="BP212" s="3">
        <v>48.0</v>
      </c>
      <c r="BQ212" s="1">
        <v>188.0</v>
      </c>
      <c r="BR212" s="27">
        <v>24411.0</v>
      </c>
    </row>
    <row r="213">
      <c r="A213" s="25">
        <f>'Equity Price Data'!A214</f>
        <v>45734.66667</v>
      </c>
      <c r="B213" s="34">
        <f>(('PRACTICE Equity Price Data'!B214/'PRACTICE Equity Price Data'!B213)-1)+B212</f>
        <v>0.08087809396</v>
      </c>
      <c r="C213" s="34">
        <f>(('PRACTICE Equity Price Data'!C214/'PRACTICE Equity Price Data'!C213)-1)+C212</f>
        <v>0.08288336198</v>
      </c>
      <c r="D213" s="34">
        <f>(('PRACTICE Equity Price Data'!D214/'PRACTICE Equity Price Data'!D213)-1)+D212</f>
        <v>0.05986279526</v>
      </c>
      <c r="E213" s="34">
        <f>(('PRACTICE Equity Price Data'!E214/'PRACTICE Equity Price Data'!E213)-1)+E212</f>
        <v>0.01235585253</v>
      </c>
      <c r="F213" s="3">
        <v>13.0</v>
      </c>
      <c r="G213" s="3">
        <v>260.0</v>
      </c>
      <c r="H213" s="3">
        <v>110.0</v>
      </c>
      <c r="I213" s="3">
        <v>256.0</v>
      </c>
      <c r="J213" s="3">
        <v>83.0</v>
      </c>
      <c r="K213" s="3">
        <v>188.0</v>
      </c>
      <c r="L213" s="3">
        <v>1000.0</v>
      </c>
      <c r="M213" s="3">
        <v>102.0</v>
      </c>
      <c r="N213" s="3">
        <v>200.0</v>
      </c>
      <c r="O213" s="3">
        <v>121.0</v>
      </c>
      <c r="P213" s="3"/>
      <c r="Q213" s="3">
        <v>80.0</v>
      </c>
      <c r="R213" s="3">
        <v>150.0</v>
      </c>
      <c r="S213" s="3">
        <v>417.0</v>
      </c>
      <c r="T213" s="3">
        <v>120.0</v>
      </c>
      <c r="U213" s="3">
        <v>80.0</v>
      </c>
      <c r="V213" s="1">
        <v>88.0</v>
      </c>
      <c r="W213" s="1">
        <v>250.0</v>
      </c>
      <c r="X213" s="1">
        <v>264.0</v>
      </c>
      <c r="Y213" s="1">
        <v>161.0</v>
      </c>
      <c r="Z213" s="1">
        <v>69.0</v>
      </c>
      <c r="AA213" s="3"/>
      <c r="AB213" s="1">
        <v>13.0</v>
      </c>
      <c r="AC213" s="1">
        <v>150.0</v>
      </c>
      <c r="AD213" s="1">
        <v>170.0</v>
      </c>
      <c r="AE213" s="1">
        <v>60.0</v>
      </c>
      <c r="AF213" s="1">
        <v>40.0</v>
      </c>
      <c r="AG213" s="1">
        <v>45.0</v>
      </c>
      <c r="AH213" s="1"/>
      <c r="AI213" s="1">
        <v>205.0</v>
      </c>
      <c r="AJ213" s="1">
        <v>60.0</v>
      </c>
      <c r="AK213" s="1">
        <v>100.0</v>
      </c>
      <c r="AL213" s="1">
        <v>175.0</v>
      </c>
      <c r="AM213" s="1">
        <v>130.0</v>
      </c>
      <c r="AN213" s="3">
        <v>47.0</v>
      </c>
      <c r="AO213" s="3">
        <v>160.0</v>
      </c>
      <c r="AP213" s="3">
        <v>70.0</v>
      </c>
      <c r="AQ213" s="3">
        <v>35.0</v>
      </c>
      <c r="AR213" s="1">
        <v>854.0</v>
      </c>
      <c r="AS213" s="1">
        <v>250.0</v>
      </c>
      <c r="AT213" s="1">
        <v>220.0</v>
      </c>
      <c r="AU213" s="3">
        <v>423.0</v>
      </c>
      <c r="AV213" s="1">
        <v>120.0</v>
      </c>
      <c r="AW213" s="3">
        <v>200.0</v>
      </c>
      <c r="AX213" s="3"/>
      <c r="AY213" s="3">
        <v>142.0</v>
      </c>
      <c r="AZ213" s="1">
        <v>40.0</v>
      </c>
      <c r="BA213" s="3">
        <v>80.0</v>
      </c>
      <c r="BB213" s="3">
        <v>402.0</v>
      </c>
      <c r="BC213" s="1">
        <v>150.0</v>
      </c>
      <c r="BD213" s="1">
        <v>190.0</v>
      </c>
      <c r="BE213" s="1">
        <v>80.0</v>
      </c>
      <c r="BF213" s="3">
        <v>328.0</v>
      </c>
      <c r="BG213" s="1">
        <v>213.0</v>
      </c>
      <c r="BH213" s="1">
        <v>23.0</v>
      </c>
      <c r="BI213" s="1">
        <v>40.0</v>
      </c>
      <c r="BJ213" s="1">
        <v>278.0</v>
      </c>
      <c r="BK213" s="3"/>
      <c r="BL213" s="1">
        <v>160.0</v>
      </c>
      <c r="BM213" s="1">
        <v>75.0</v>
      </c>
      <c r="BN213" s="32">
        <v>1802.0</v>
      </c>
      <c r="BO213" s="1">
        <v>47.0</v>
      </c>
      <c r="BP213" s="3">
        <v>48.0</v>
      </c>
      <c r="BQ213" s="1">
        <v>188.0</v>
      </c>
      <c r="BR213" s="27">
        <v>24411.0</v>
      </c>
    </row>
    <row r="214">
      <c r="A214" s="25">
        <f>'Equity Price Data'!A215</f>
        <v>45735.66667</v>
      </c>
      <c r="B214" s="34">
        <f>(('PRACTICE Equity Price Data'!B215/'PRACTICE Equity Price Data'!B214)-1)+B213</f>
        <v>0.0916766107</v>
      </c>
      <c r="C214" s="34">
        <f>(('PRACTICE Equity Price Data'!C215/'PRACTICE Equity Price Data'!C214)-1)+C213</f>
        <v>0.09697547287</v>
      </c>
      <c r="D214" s="34">
        <f>(('PRACTICE Equity Price Data'!D215/'PRACTICE Equity Price Data'!D214)-1)+D213</f>
        <v>0.06908136004</v>
      </c>
      <c r="E214" s="34">
        <f>(('PRACTICE Equity Price Data'!E215/'PRACTICE Equity Price Data'!E214)-1)+E213</f>
        <v>0.0280343602</v>
      </c>
      <c r="F214" s="3">
        <v>13.0</v>
      </c>
      <c r="G214" s="3">
        <v>260.0</v>
      </c>
      <c r="H214" s="3">
        <v>110.0</v>
      </c>
      <c r="I214" s="3">
        <v>256.0</v>
      </c>
      <c r="J214" s="3">
        <v>83.0</v>
      </c>
      <c r="K214" s="3">
        <v>188.0</v>
      </c>
      <c r="L214" s="3">
        <v>1000.0</v>
      </c>
      <c r="M214" s="3">
        <v>102.0</v>
      </c>
      <c r="N214" s="3">
        <v>200.0</v>
      </c>
      <c r="O214" s="3">
        <v>121.0</v>
      </c>
      <c r="P214" s="3"/>
      <c r="Q214" s="3">
        <v>80.0</v>
      </c>
      <c r="R214" s="3">
        <v>150.0</v>
      </c>
      <c r="S214" s="3">
        <v>417.0</v>
      </c>
      <c r="T214" s="3">
        <v>120.0</v>
      </c>
      <c r="U214" s="3">
        <v>80.0</v>
      </c>
      <c r="V214" s="1">
        <v>88.0</v>
      </c>
      <c r="W214" s="1">
        <v>250.0</v>
      </c>
      <c r="X214" s="1">
        <v>264.0</v>
      </c>
      <c r="Y214" s="1">
        <v>161.0</v>
      </c>
      <c r="Z214" s="1">
        <v>69.0</v>
      </c>
      <c r="AA214" s="3"/>
      <c r="AB214" s="1">
        <v>13.0</v>
      </c>
      <c r="AC214" s="1">
        <v>150.0</v>
      </c>
      <c r="AD214" s="1">
        <v>170.0</v>
      </c>
      <c r="AE214" s="1">
        <v>60.0</v>
      </c>
      <c r="AF214" s="1">
        <v>40.0</v>
      </c>
      <c r="AG214" s="1">
        <v>45.0</v>
      </c>
      <c r="AH214" s="1"/>
      <c r="AI214" s="1">
        <v>205.0</v>
      </c>
      <c r="AJ214" s="1">
        <v>60.0</v>
      </c>
      <c r="AK214" s="1">
        <v>100.0</v>
      </c>
      <c r="AL214" s="1">
        <v>175.0</v>
      </c>
      <c r="AM214" s="1">
        <v>130.0</v>
      </c>
      <c r="AN214" s="3">
        <v>47.0</v>
      </c>
      <c r="AO214" s="3">
        <v>160.0</v>
      </c>
      <c r="AP214" s="3">
        <v>70.0</v>
      </c>
      <c r="AQ214" s="3">
        <v>35.0</v>
      </c>
      <c r="AR214" s="1">
        <v>854.0</v>
      </c>
      <c r="AS214" s="1">
        <v>250.0</v>
      </c>
      <c r="AT214" s="1">
        <v>220.0</v>
      </c>
      <c r="AU214" s="3">
        <v>423.0</v>
      </c>
      <c r="AV214" s="1">
        <v>120.0</v>
      </c>
      <c r="AW214" s="3">
        <v>200.0</v>
      </c>
      <c r="AX214" s="3"/>
      <c r="AY214" s="3">
        <v>142.0</v>
      </c>
      <c r="AZ214" s="1">
        <v>40.0</v>
      </c>
      <c r="BA214" s="3">
        <v>80.0</v>
      </c>
      <c r="BB214" s="3">
        <v>402.0</v>
      </c>
      <c r="BC214" s="1">
        <v>150.0</v>
      </c>
      <c r="BD214" s="1">
        <v>190.0</v>
      </c>
      <c r="BE214" s="1">
        <v>80.0</v>
      </c>
      <c r="BF214" s="3">
        <v>328.0</v>
      </c>
      <c r="BG214" s="1">
        <v>213.0</v>
      </c>
      <c r="BH214" s="1">
        <v>23.0</v>
      </c>
      <c r="BI214" s="1">
        <v>40.0</v>
      </c>
      <c r="BJ214" s="1">
        <v>278.0</v>
      </c>
      <c r="BK214" s="3"/>
      <c r="BL214" s="1">
        <v>160.0</v>
      </c>
      <c r="BM214" s="1">
        <v>75.0</v>
      </c>
      <c r="BN214" s="32">
        <v>1802.0</v>
      </c>
      <c r="BO214" s="1">
        <v>47.0</v>
      </c>
      <c r="BP214" s="3">
        <v>48.0</v>
      </c>
      <c r="BQ214" s="1">
        <v>188.0</v>
      </c>
      <c r="BR214" s="27">
        <v>24411.0</v>
      </c>
    </row>
    <row r="215">
      <c r="A215" s="25">
        <f>'Equity Price Data'!A216</f>
        <v>45736.66667</v>
      </c>
      <c r="B215" s="34">
        <f>(('PRACTICE Equity Price Data'!B216/'PRACTICE Equity Price Data'!B215)-1)+B214</f>
        <v>0.08949170032</v>
      </c>
      <c r="C215" s="34">
        <f>(('PRACTICE Equity Price Data'!C216/'PRACTICE Equity Price Data'!C215)-1)+C214</f>
        <v>0.09364266346</v>
      </c>
      <c r="D215" s="34">
        <f>(('PRACTICE Equity Price Data'!D216/'PRACTICE Equity Price Data'!D215)-1)+D214</f>
        <v>0.06881184736</v>
      </c>
      <c r="E215" s="34">
        <f>(('PRACTICE Equity Price Data'!E216/'PRACTICE Equity Price Data'!E215)-1)+E214</f>
        <v>0.02157447393</v>
      </c>
      <c r="F215" s="3">
        <v>13.0</v>
      </c>
      <c r="G215" s="3">
        <v>260.0</v>
      </c>
      <c r="H215" s="3">
        <v>110.0</v>
      </c>
      <c r="I215" s="3">
        <v>256.0</v>
      </c>
      <c r="J215" s="3">
        <v>83.0</v>
      </c>
      <c r="K215" s="3">
        <v>188.0</v>
      </c>
      <c r="L215" s="3">
        <v>1000.0</v>
      </c>
      <c r="M215" s="3">
        <v>102.0</v>
      </c>
      <c r="N215" s="3">
        <v>200.0</v>
      </c>
      <c r="O215" s="3">
        <v>121.0</v>
      </c>
      <c r="P215" s="3"/>
      <c r="Q215" s="3">
        <v>80.0</v>
      </c>
      <c r="R215" s="3">
        <v>150.0</v>
      </c>
      <c r="S215" s="3">
        <v>417.0</v>
      </c>
      <c r="T215" s="3">
        <v>120.0</v>
      </c>
      <c r="U215" s="3">
        <v>80.0</v>
      </c>
      <c r="V215" s="1">
        <v>88.0</v>
      </c>
      <c r="W215" s="1">
        <v>250.0</v>
      </c>
      <c r="X215" s="1">
        <v>264.0</v>
      </c>
      <c r="Y215" s="1">
        <v>161.0</v>
      </c>
      <c r="Z215" s="1">
        <v>69.0</v>
      </c>
      <c r="AA215" s="3"/>
      <c r="AB215" s="1">
        <v>13.0</v>
      </c>
      <c r="AC215" s="1">
        <v>150.0</v>
      </c>
      <c r="AD215" s="1">
        <v>170.0</v>
      </c>
      <c r="AE215" s="1">
        <v>60.0</v>
      </c>
      <c r="AF215" s="1">
        <v>40.0</v>
      </c>
      <c r="AG215" s="1">
        <v>45.0</v>
      </c>
      <c r="AH215" s="1"/>
      <c r="AI215" s="1">
        <v>205.0</v>
      </c>
      <c r="AJ215" s="1">
        <v>60.0</v>
      </c>
      <c r="AK215" s="1">
        <v>100.0</v>
      </c>
      <c r="AL215" s="1">
        <v>175.0</v>
      </c>
      <c r="AM215" s="1">
        <v>130.0</v>
      </c>
      <c r="AN215" s="3">
        <v>47.0</v>
      </c>
      <c r="AO215" s="3">
        <v>160.0</v>
      </c>
      <c r="AP215" s="3">
        <v>70.0</v>
      </c>
      <c r="AQ215" s="3">
        <v>35.0</v>
      </c>
      <c r="AR215" s="1">
        <v>854.0</v>
      </c>
      <c r="AS215" s="1">
        <v>250.0</v>
      </c>
      <c r="AT215" s="1">
        <v>220.0</v>
      </c>
      <c r="AU215" s="3">
        <v>423.0</v>
      </c>
      <c r="AV215" s="1">
        <v>120.0</v>
      </c>
      <c r="AW215" s="3">
        <v>200.0</v>
      </c>
      <c r="AX215" s="3"/>
      <c r="AY215" s="3">
        <v>142.0</v>
      </c>
      <c r="AZ215" s="1">
        <v>40.0</v>
      </c>
      <c r="BA215" s="3">
        <v>80.0</v>
      </c>
      <c r="BB215" s="3">
        <v>402.0</v>
      </c>
      <c r="BC215" s="1">
        <v>150.0</v>
      </c>
      <c r="BD215" s="1">
        <v>190.0</v>
      </c>
      <c r="BE215" s="1">
        <v>80.0</v>
      </c>
      <c r="BF215" s="3">
        <v>328.0</v>
      </c>
      <c r="BG215" s="1">
        <v>213.0</v>
      </c>
      <c r="BH215" s="1">
        <v>23.0</v>
      </c>
      <c r="BI215" s="1">
        <v>40.0</v>
      </c>
      <c r="BJ215" s="1">
        <v>278.0</v>
      </c>
      <c r="BK215" s="3"/>
      <c r="BL215" s="1">
        <v>160.0</v>
      </c>
      <c r="BM215" s="1">
        <v>75.0</v>
      </c>
      <c r="BN215" s="32">
        <v>1802.0</v>
      </c>
      <c r="BO215" s="1">
        <v>47.0</v>
      </c>
      <c r="BP215" s="3">
        <v>48.0</v>
      </c>
      <c r="BQ215" s="1">
        <v>188.0</v>
      </c>
      <c r="BR215" s="27">
        <v>24411.0</v>
      </c>
    </row>
    <row r="216">
      <c r="A216" s="25">
        <f>'Equity Price Data'!A217</f>
        <v>45737.66667</v>
      </c>
      <c r="B216" s="34">
        <f>(('PRACTICE Equity Price Data'!B217/'PRACTICE Equity Price Data'!B216)-1)+B215</f>
        <v>0.09031636759</v>
      </c>
      <c r="C216" s="34">
        <f>(('PRACTICE Equity Price Data'!C217/'PRACTICE Equity Price Data'!C216)-1)+C215</f>
        <v>0.09886660269</v>
      </c>
      <c r="D216" s="34">
        <f>(('PRACTICE Equity Price Data'!D217/'PRACTICE Equity Price Data'!D216)-1)+D215</f>
        <v>0.06957531495</v>
      </c>
      <c r="E216" s="34">
        <f>(('PRACTICE Equity Price Data'!E217/'PRACTICE Equity Price Data'!E216)-1)+E215</f>
        <v>0.01594272731</v>
      </c>
      <c r="F216" s="3">
        <v>13.0</v>
      </c>
      <c r="G216" s="3">
        <v>260.0</v>
      </c>
      <c r="H216" s="3">
        <v>110.0</v>
      </c>
      <c r="I216" s="3">
        <v>256.0</v>
      </c>
      <c r="J216" s="3">
        <v>83.0</v>
      </c>
      <c r="K216" s="3">
        <v>188.0</v>
      </c>
      <c r="L216" s="3">
        <v>1000.0</v>
      </c>
      <c r="M216" s="3">
        <v>102.0</v>
      </c>
      <c r="N216" s="3">
        <v>200.0</v>
      </c>
      <c r="O216" s="3">
        <v>121.0</v>
      </c>
      <c r="P216" s="3"/>
      <c r="Q216" s="3">
        <v>80.0</v>
      </c>
      <c r="R216" s="3">
        <v>150.0</v>
      </c>
      <c r="S216" s="3">
        <v>417.0</v>
      </c>
      <c r="T216" s="3">
        <v>120.0</v>
      </c>
      <c r="U216" s="3">
        <v>80.0</v>
      </c>
      <c r="V216" s="1">
        <v>88.0</v>
      </c>
      <c r="W216" s="1">
        <v>250.0</v>
      </c>
      <c r="X216" s="1">
        <v>264.0</v>
      </c>
      <c r="Y216" s="1">
        <v>161.0</v>
      </c>
      <c r="Z216" s="1">
        <v>69.0</v>
      </c>
      <c r="AA216" s="3"/>
      <c r="AB216" s="1">
        <v>13.0</v>
      </c>
      <c r="AC216" s="1">
        <v>150.0</v>
      </c>
      <c r="AD216" s="1">
        <v>170.0</v>
      </c>
      <c r="AE216" s="1">
        <v>60.0</v>
      </c>
      <c r="AF216" s="1">
        <v>40.0</v>
      </c>
      <c r="AG216" s="1">
        <v>45.0</v>
      </c>
      <c r="AH216" s="1"/>
      <c r="AI216" s="1">
        <v>205.0</v>
      </c>
      <c r="AJ216" s="1">
        <v>60.0</v>
      </c>
      <c r="AK216" s="1">
        <v>100.0</v>
      </c>
      <c r="AL216" s="1">
        <v>175.0</v>
      </c>
      <c r="AM216" s="1">
        <v>130.0</v>
      </c>
      <c r="AN216" s="3">
        <v>47.0</v>
      </c>
      <c r="AO216" s="3">
        <v>160.0</v>
      </c>
      <c r="AP216" s="3">
        <v>70.0</v>
      </c>
      <c r="AQ216" s="3">
        <v>35.0</v>
      </c>
      <c r="AR216" s="1">
        <v>854.0</v>
      </c>
      <c r="AS216" s="1">
        <v>250.0</v>
      </c>
      <c r="AT216" s="1">
        <v>220.0</v>
      </c>
      <c r="AU216" s="3">
        <v>423.0</v>
      </c>
      <c r="AV216" s="1">
        <v>120.0</v>
      </c>
      <c r="AW216" s="3">
        <v>200.0</v>
      </c>
      <c r="AX216" s="3"/>
      <c r="AY216" s="3">
        <v>142.0</v>
      </c>
      <c r="AZ216" s="1">
        <v>40.0</v>
      </c>
      <c r="BA216" s="3">
        <v>80.0</v>
      </c>
      <c r="BB216" s="3">
        <v>402.0</v>
      </c>
      <c r="BC216" s="1">
        <v>150.0</v>
      </c>
      <c r="BD216" s="1">
        <v>190.0</v>
      </c>
      <c r="BE216" s="1">
        <v>80.0</v>
      </c>
      <c r="BF216" s="3">
        <v>328.0</v>
      </c>
      <c r="BG216" s="1">
        <v>213.0</v>
      </c>
      <c r="BH216" s="1">
        <v>23.0</v>
      </c>
      <c r="BI216" s="1">
        <v>40.0</v>
      </c>
      <c r="BJ216" s="1">
        <v>278.0</v>
      </c>
      <c r="BK216" s="3"/>
      <c r="BL216" s="1">
        <v>160.0</v>
      </c>
      <c r="BM216" s="1">
        <v>75.0</v>
      </c>
      <c r="BN216" s="32">
        <v>1802.0</v>
      </c>
      <c r="BO216" s="1">
        <v>47.0</v>
      </c>
      <c r="BP216" s="3">
        <v>48.0</v>
      </c>
      <c r="BQ216" s="1">
        <v>188.0</v>
      </c>
      <c r="BR216" s="27">
        <v>24411.0</v>
      </c>
    </row>
    <row r="217">
      <c r="A217" s="25">
        <f>'Equity Price Data'!A218</f>
        <v>45740.66667</v>
      </c>
      <c r="B217" s="34">
        <f>(('PRACTICE Equity Price Data'!B218/'PRACTICE Equity Price Data'!B217)-1)+B216</f>
        <v>0.1079624093</v>
      </c>
      <c r="C217" s="34">
        <f>(('PRACTICE Equity Price Data'!C218/'PRACTICE Equity Price Data'!C217)-1)+C216</f>
        <v>0.1216139521</v>
      </c>
      <c r="D217" s="34">
        <f>(('PRACTICE Equity Price Data'!D218/'PRACTICE Equity Price Data'!D217)-1)+D216</f>
        <v>0.08381766376</v>
      </c>
      <c r="E217" s="34">
        <f>(('PRACTICE Equity Price Data'!E218/'PRACTICE Equity Price Data'!E217)-1)+E216</f>
        <v>0.04141696625</v>
      </c>
      <c r="F217" s="3">
        <v>13.0</v>
      </c>
      <c r="G217" s="3">
        <v>260.0</v>
      </c>
      <c r="H217" s="3">
        <v>110.0</v>
      </c>
      <c r="I217" s="3">
        <v>256.0</v>
      </c>
      <c r="J217" s="3">
        <v>83.0</v>
      </c>
      <c r="K217" s="3">
        <v>188.0</v>
      </c>
      <c r="L217" s="3">
        <v>1000.0</v>
      </c>
      <c r="M217" s="3">
        <v>102.0</v>
      </c>
      <c r="N217" s="3">
        <v>200.0</v>
      </c>
      <c r="O217" s="3">
        <v>121.0</v>
      </c>
      <c r="P217" s="3"/>
      <c r="Q217" s="3">
        <v>80.0</v>
      </c>
      <c r="R217" s="3">
        <v>150.0</v>
      </c>
      <c r="S217" s="3">
        <v>417.0</v>
      </c>
      <c r="T217" s="3">
        <v>120.0</v>
      </c>
      <c r="U217" s="3">
        <v>80.0</v>
      </c>
      <c r="V217" s="1">
        <v>88.0</v>
      </c>
      <c r="W217" s="1">
        <v>250.0</v>
      </c>
      <c r="X217" s="1">
        <v>264.0</v>
      </c>
      <c r="Y217" s="1">
        <v>161.0</v>
      </c>
      <c r="Z217" s="1">
        <v>69.0</v>
      </c>
      <c r="AA217" s="3"/>
      <c r="AB217" s="1">
        <v>13.0</v>
      </c>
      <c r="AC217" s="1">
        <v>150.0</v>
      </c>
      <c r="AD217" s="1">
        <v>170.0</v>
      </c>
      <c r="AE217" s="1">
        <v>60.0</v>
      </c>
      <c r="AF217" s="1">
        <v>40.0</v>
      </c>
      <c r="AG217" s="1">
        <v>45.0</v>
      </c>
      <c r="AH217" s="1"/>
      <c r="AI217" s="1">
        <v>205.0</v>
      </c>
      <c r="AJ217" s="1">
        <v>60.0</v>
      </c>
      <c r="AK217" s="1">
        <v>100.0</v>
      </c>
      <c r="AL217" s="1">
        <v>175.0</v>
      </c>
      <c r="AM217" s="1">
        <v>130.0</v>
      </c>
      <c r="AN217" s="3">
        <v>47.0</v>
      </c>
      <c r="AO217" s="3">
        <v>160.0</v>
      </c>
      <c r="AP217" s="3">
        <v>70.0</v>
      </c>
      <c r="AQ217" s="3">
        <v>35.0</v>
      </c>
      <c r="AR217" s="1">
        <v>854.0</v>
      </c>
      <c r="AS217" s="1">
        <v>250.0</v>
      </c>
      <c r="AT217" s="1">
        <v>220.0</v>
      </c>
      <c r="AU217" s="3">
        <v>423.0</v>
      </c>
      <c r="AV217" s="1">
        <v>120.0</v>
      </c>
      <c r="AW217" s="3">
        <v>200.0</v>
      </c>
      <c r="AX217" s="3"/>
      <c r="AY217" s="3">
        <v>142.0</v>
      </c>
      <c r="AZ217" s="1">
        <v>40.0</v>
      </c>
      <c r="BA217" s="3">
        <v>80.0</v>
      </c>
      <c r="BB217" s="3">
        <v>402.0</v>
      </c>
      <c r="BC217" s="1">
        <v>150.0</v>
      </c>
      <c r="BD217" s="1">
        <v>190.0</v>
      </c>
      <c r="BE217" s="1">
        <v>80.0</v>
      </c>
      <c r="BF217" s="3">
        <v>328.0</v>
      </c>
      <c r="BG217" s="1">
        <v>213.0</v>
      </c>
      <c r="BH217" s="1">
        <v>23.0</v>
      </c>
      <c r="BI217" s="1">
        <v>40.0</v>
      </c>
      <c r="BJ217" s="1">
        <v>278.0</v>
      </c>
      <c r="BK217" s="3"/>
      <c r="BL217" s="1">
        <v>160.0</v>
      </c>
      <c r="BM217" s="1">
        <v>75.0</v>
      </c>
      <c r="BN217" s="32">
        <v>1802.0</v>
      </c>
      <c r="BO217" s="1">
        <v>47.0</v>
      </c>
      <c r="BP217" s="3">
        <v>48.0</v>
      </c>
      <c r="BQ217" s="1">
        <v>188.0</v>
      </c>
      <c r="BR217" s="27">
        <v>24411.0</v>
      </c>
    </row>
    <row r="218">
      <c r="A218" s="25">
        <f>'Equity Price Data'!A219</f>
        <v>45741.66667</v>
      </c>
      <c r="B218" s="34">
        <f>(('PRACTICE Equity Price Data'!B219/'PRACTICE Equity Price Data'!B218)-1)+B217</f>
        <v>0.1095367291</v>
      </c>
      <c r="C218" s="34">
        <f>(('PRACTICE Equity Price Data'!C219/'PRACTICE Equity Price Data'!C218)-1)+C217</f>
        <v>0.126192097</v>
      </c>
      <c r="D218" s="34">
        <f>(('PRACTICE Equity Price Data'!D219/'PRACTICE Equity Price Data'!D218)-1)+D217</f>
        <v>0.08391582426</v>
      </c>
      <c r="E218" s="34">
        <f>(('PRACTICE Equity Price Data'!E219/'PRACTICE Equity Price Data'!E218)-1)+E217</f>
        <v>0.03477994494</v>
      </c>
      <c r="F218" s="3">
        <v>13.0</v>
      </c>
      <c r="G218" s="3">
        <v>260.0</v>
      </c>
      <c r="H218" s="3">
        <v>110.0</v>
      </c>
      <c r="I218" s="3">
        <v>256.0</v>
      </c>
      <c r="J218" s="3">
        <v>83.0</v>
      </c>
      <c r="K218" s="3">
        <v>188.0</v>
      </c>
      <c r="L218" s="3">
        <v>1000.0</v>
      </c>
      <c r="M218" s="3">
        <v>102.0</v>
      </c>
      <c r="N218" s="3">
        <v>200.0</v>
      </c>
      <c r="O218" s="3">
        <v>121.0</v>
      </c>
      <c r="P218" s="3"/>
      <c r="Q218" s="3">
        <v>80.0</v>
      </c>
      <c r="R218" s="3">
        <v>150.0</v>
      </c>
      <c r="S218" s="3">
        <v>417.0</v>
      </c>
      <c r="T218" s="3">
        <v>120.0</v>
      </c>
      <c r="U218" s="3">
        <v>80.0</v>
      </c>
      <c r="V218" s="1">
        <v>88.0</v>
      </c>
      <c r="W218" s="1">
        <v>250.0</v>
      </c>
      <c r="X218" s="1">
        <v>264.0</v>
      </c>
      <c r="Y218" s="1">
        <v>161.0</v>
      </c>
      <c r="Z218" s="1">
        <v>69.0</v>
      </c>
      <c r="AA218" s="3"/>
      <c r="AB218" s="1">
        <v>13.0</v>
      </c>
      <c r="AC218" s="1">
        <v>150.0</v>
      </c>
      <c r="AD218" s="1">
        <v>170.0</v>
      </c>
      <c r="AE218" s="1">
        <v>60.0</v>
      </c>
      <c r="AF218" s="1">
        <v>40.0</v>
      </c>
      <c r="AG218" s="1">
        <v>45.0</v>
      </c>
      <c r="AH218" s="1"/>
      <c r="AI218" s="1">
        <v>205.0</v>
      </c>
      <c r="AJ218" s="1">
        <v>60.0</v>
      </c>
      <c r="AK218" s="1">
        <v>100.0</v>
      </c>
      <c r="AL218" s="1">
        <v>175.0</v>
      </c>
      <c r="AM218" s="1">
        <v>130.0</v>
      </c>
      <c r="AN218" s="3">
        <v>47.0</v>
      </c>
      <c r="AO218" s="3">
        <v>160.0</v>
      </c>
      <c r="AP218" s="3">
        <v>70.0</v>
      </c>
      <c r="AQ218" s="3">
        <v>35.0</v>
      </c>
      <c r="AR218" s="1">
        <v>854.0</v>
      </c>
      <c r="AS218" s="1">
        <v>250.0</v>
      </c>
      <c r="AT218" s="1">
        <v>220.0</v>
      </c>
      <c r="AU218" s="3">
        <v>423.0</v>
      </c>
      <c r="AV218" s="1">
        <v>120.0</v>
      </c>
      <c r="AW218" s="3">
        <v>200.0</v>
      </c>
      <c r="AX218" s="3"/>
      <c r="AY218" s="3">
        <v>142.0</v>
      </c>
      <c r="AZ218" s="1">
        <v>40.0</v>
      </c>
      <c r="BA218" s="3">
        <v>80.0</v>
      </c>
      <c r="BB218" s="3">
        <v>402.0</v>
      </c>
      <c r="BC218" s="1">
        <v>150.0</v>
      </c>
      <c r="BD218" s="1">
        <v>190.0</v>
      </c>
      <c r="BE218" s="1">
        <v>80.0</v>
      </c>
      <c r="BF218" s="3">
        <v>328.0</v>
      </c>
      <c r="BG218" s="1">
        <v>213.0</v>
      </c>
      <c r="BH218" s="1">
        <v>23.0</v>
      </c>
      <c r="BI218" s="1">
        <v>40.0</v>
      </c>
      <c r="BJ218" s="1">
        <v>278.0</v>
      </c>
      <c r="BK218" s="3"/>
      <c r="BL218" s="1">
        <v>160.0</v>
      </c>
      <c r="BM218" s="1">
        <v>75.0</v>
      </c>
      <c r="BN218" s="32">
        <v>1802.0</v>
      </c>
      <c r="BO218" s="1">
        <v>47.0</v>
      </c>
      <c r="BP218" s="3">
        <v>48.0</v>
      </c>
      <c r="BQ218" s="1">
        <v>188.0</v>
      </c>
      <c r="BR218" s="27">
        <v>24411.0</v>
      </c>
    </row>
    <row r="219">
      <c r="A219" s="25">
        <f>'Equity Price Data'!A220</f>
        <v>45742.66667</v>
      </c>
      <c r="B219" s="34">
        <f>(('PRACTICE Equity Price Data'!B220/'PRACTICE Equity Price Data'!B219)-1)+B218</f>
        <v>0.09837974368</v>
      </c>
      <c r="C219" s="34">
        <f>(('PRACTICE Equity Price Data'!C220/'PRACTICE Equity Price Data'!C219)-1)+C218</f>
        <v>0.1057869494</v>
      </c>
      <c r="D219" s="34">
        <f>(('PRACTICE Equity Price Data'!D220/'PRACTICE Equity Price Data'!D219)-1)+D218</f>
        <v>0.08079965168</v>
      </c>
      <c r="E219" s="34">
        <f>(('PRACTICE Equity Price Data'!E220/'PRACTICE Equity Price Data'!E219)-1)+E218</f>
        <v>0.02449541421</v>
      </c>
      <c r="F219" s="3">
        <v>13.0</v>
      </c>
      <c r="G219" s="3">
        <v>260.0</v>
      </c>
      <c r="H219" s="3">
        <v>110.0</v>
      </c>
      <c r="I219" s="3">
        <v>256.0</v>
      </c>
      <c r="J219" s="3">
        <v>83.0</v>
      </c>
      <c r="K219" s="3">
        <v>188.0</v>
      </c>
      <c r="L219" s="3">
        <v>1000.0</v>
      </c>
      <c r="M219" s="3">
        <v>102.0</v>
      </c>
      <c r="N219" s="3">
        <v>200.0</v>
      </c>
      <c r="O219" s="3">
        <v>121.0</v>
      </c>
      <c r="P219" s="3"/>
      <c r="Q219" s="3">
        <v>80.0</v>
      </c>
      <c r="R219" s="3">
        <v>150.0</v>
      </c>
      <c r="S219" s="3">
        <v>417.0</v>
      </c>
      <c r="T219" s="3">
        <v>120.0</v>
      </c>
      <c r="U219" s="3">
        <v>80.0</v>
      </c>
      <c r="V219" s="1">
        <v>88.0</v>
      </c>
      <c r="W219" s="1">
        <v>250.0</v>
      </c>
      <c r="X219" s="1">
        <v>264.0</v>
      </c>
      <c r="Y219" s="1">
        <v>161.0</v>
      </c>
      <c r="Z219" s="1">
        <v>69.0</v>
      </c>
      <c r="AA219" s="3"/>
      <c r="AB219" s="1">
        <v>13.0</v>
      </c>
      <c r="AC219" s="1">
        <v>150.0</v>
      </c>
      <c r="AD219" s="1">
        <v>170.0</v>
      </c>
      <c r="AE219" s="1">
        <v>60.0</v>
      </c>
      <c r="AF219" s="1">
        <v>40.0</v>
      </c>
      <c r="AG219" s="1">
        <v>45.0</v>
      </c>
      <c r="AH219" s="1"/>
      <c r="AI219" s="1">
        <v>205.0</v>
      </c>
      <c r="AJ219" s="1">
        <v>60.0</v>
      </c>
      <c r="AK219" s="1">
        <v>100.0</v>
      </c>
      <c r="AL219" s="1">
        <v>175.0</v>
      </c>
      <c r="AM219" s="1">
        <v>130.0</v>
      </c>
      <c r="AN219" s="3">
        <v>47.0</v>
      </c>
      <c r="AO219" s="3">
        <v>160.0</v>
      </c>
      <c r="AP219" s="3">
        <v>70.0</v>
      </c>
      <c r="AQ219" s="3">
        <v>35.0</v>
      </c>
      <c r="AR219" s="1">
        <v>854.0</v>
      </c>
      <c r="AS219" s="1">
        <v>250.0</v>
      </c>
      <c r="AT219" s="1">
        <v>220.0</v>
      </c>
      <c r="AU219" s="3">
        <v>423.0</v>
      </c>
      <c r="AV219" s="1">
        <v>120.0</v>
      </c>
      <c r="AW219" s="3">
        <v>200.0</v>
      </c>
      <c r="AX219" s="3"/>
      <c r="AY219" s="3">
        <v>142.0</v>
      </c>
      <c r="AZ219" s="1">
        <v>40.0</v>
      </c>
      <c r="BA219" s="3">
        <v>80.0</v>
      </c>
      <c r="BB219" s="3">
        <v>402.0</v>
      </c>
      <c r="BC219" s="1">
        <v>150.0</v>
      </c>
      <c r="BD219" s="1">
        <v>190.0</v>
      </c>
      <c r="BE219" s="1">
        <v>80.0</v>
      </c>
      <c r="BF219" s="3">
        <v>328.0</v>
      </c>
      <c r="BG219" s="1">
        <v>213.0</v>
      </c>
      <c r="BH219" s="1">
        <v>23.0</v>
      </c>
      <c r="BI219" s="1">
        <v>40.0</v>
      </c>
      <c r="BJ219" s="1">
        <v>278.0</v>
      </c>
      <c r="BK219" s="3"/>
      <c r="BL219" s="1">
        <v>160.0</v>
      </c>
      <c r="BM219" s="1">
        <v>75.0</v>
      </c>
      <c r="BN219" s="32">
        <v>1802.0</v>
      </c>
      <c r="BO219" s="1">
        <v>47.0</v>
      </c>
      <c r="BP219" s="3">
        <v>48.0</v>
      </c>
      <c r="BQ219" s="1">
        <v>188.0</v>
      </c>
      <c r="BR219" s="27">
        <v>24411.0</v>
      </c>
    </row>
    <row r="220">
      <c r="A220" s="25">
        <f>'Equity Price Data'!A221</f>
        <v>45743.66667</v>
      </c>
      <c r="B220" s="34">
        <f>(('PRACTICE Equity Price Data'!B221/'PRACTICE Equity Price Data'!B220)-1)+B219</f>
        <v>0.09507278664</v>
      </c>
      <c r="C220" s="34">
        <f>(('PRACTICE Equity Price Data'!C221/'PRACTICE Equity Price Data'!C220)-1)+C219</f>
        <v>0.100479955</v>
      </c>
      <c r="D220" s="34">
        <f>(('PRACTICE Equity Price Data'!D221/'PRACTICE Equity Price Data'!D220)-1)+D219</f>
        <v>0.07714658921</v>
      </c>
      <c r="E220" s="34">
        <f>(('PRACTICE Equity Price Data'!E221/'PRACTICE Equity Price Data'!E220)-1)+E219</f>
        <v>0.02057513145</v>
      </c>
      <c r="F220" s="3">
        <v>13.0</v>
      </c>
      <c r="G220" s="3">
        <v>260.0</v>
      </c>
      <c r="H220" s="3">
        <v>110.0</v>
      </c>
      <c r="I220" s="3">
        <v>256.0</v>
      </c>
      <c r="J220" s="3">
        <v>83.0</v>
      </c>
      <c r="K220" s="3">
        <v>188.0</v>
      </c>
      <c r="L220" s="3">
        <v>1000.0</v>
      </c>
      <c r="M220" s="3">
        <v>102.0</v>
      </c>
      <c r="N220" s="3">
        <v>200.0</v>
      </c>
      <c r="O220" s="3">
        <v>121.0</v>
      </c>
      <c r="P220" s="3"/>
      <c r="Q220" s="3">
        <v>80.0</v>
      </c>
      <c r="R220" s="3">
        <v>150.0</v>
      </c>
      <c r="S220" s="3">
        <v>417.0</v>
      </c>
      <c r="T220" s="3">
        <v>120.0</v>
      </c>
      <c r="U220" s="3">
        <v>80.0</v>
      </c>
      <c r="V220" s="1">
        <v>88.0</v>
      </c>
      <c r="W220" s="1">
        <v>250.0</v>
      </c>
      <c r="X220" s="1">
        <v>264.0</v>
      </c>
      <c r="Y220" s="1">
        <v>161.0</v>
      </c>
      <c r="Z220" s="1">
        <v>69.0</v>
      </c>
      <c r="AA220" s="3"/>
      <c r="AB220" s="1">
        <v>13.0</v>
      </c>
      <c r="AC220" s="1">
        <v>150.0</v>
      </c>
      <c r="AD220" s="1">
        <v>170.0</v>
      </c>
      <c r="AE220" s="1">
        <v>60.0</v>
      </c>
      <c r="AF220" s="1">
        <v>40.0</v>
      </c>
      <c r="AG220" s="1">
        <v>45.0</v>
      </c>
      <c r="AH220" s="1"/>
      <c r="AI220" s="1">
        <v>205.0</v>
      </c>
      <c r="AJ220" s="1">
        <v>60.0</v>
      </c>
      <c r="AK220" s="1">
        <v>100.0</v>
      </c>
      <c r="AL220" s="1">
        <v>175.0</v>
      </c>
      <c r="AM220" s="1">
        <v>130.0</v>
      </c>
      <c r="AN220" s="3">
        <v>47.0</v>
      </c>
      <c r="AO220" s="3">
        <v>160.0</v>
      </c>
      <c r="AP220" s="3">
        <v>70.0</v>
      </c>
      <c r="AQ220" s="3">
        <v>35.0</v>
      </c>
      <c r="AR220" s="1">
        <v>854.0</v>
      </c>
      <c r="AS220" s="1">
        <v>250.0</v>
      </c>
      <c r="AT220" s="1">
        <v>220.0</v>
      </c>
      <c r="AU220" s="3">
        <v>423.0</v>
      </c>
      <c r="AV220" s="1">
        <v>120.0</v>
      </c>
      <c r="AW220" s="3">
        <v>200.0</v>
      </c>
      <c r="AX220" s="3"/>
      <c r="AY220" s="3">
        <v>142.0</v>
      </c>
      <c r="AZ220" s="1">
        <v>40.0</v>
      </c>
      <c r="BA220" s="3">
        <v>80.0</v>
      </c>
      <c r="BB220" s="3">
        <v>402.0</v>
      </c>
      <c r="BC220" s="1">
        <v>150.0</v>
      </c>
      <c r="BD220" s="1">
        <v>190.0</v>
      </c>
      <c r="BE220" s="1">
        <v>80.0</v>
      </c>
      <c r="BF220" s="3">
        <v>328.0</v>
      </c>
      <c r="BG220" s="1">
        <v>213.0</v>
      </c>
      <c r="BH220" s="1">
        <v>23.0</v>
      </c>
      <c r="BI220" s="1">
        <v>40.0</v>
      </c>
      <c r="BJ220" s="1">
        <v>278.0</v>
      </c>
      <c r="BK220" s="3"/>
      <c r="BL220" s="1">
        <v>160.0</v>
      </c>
      <c r="BM220" s="1">
        <v>75.0</v>
      </c>
      <c r="BN220" s="32">
        <v>1802.0</v>
      </c>
      <c r="BO220" s="1">
        <v>47.0</v>
      </c>
      <c r="BP220" s="3">
        <v>48.0</v>
      </c>
      <c r="BQ220" s="1">
        <v>188.0</v>
      </c>
      <c r="BR220" s="27">
        <v>24411.0</v>
      </c>
    </row>
    <row r="221">
      <c r="A221" s="25">
        <f>'Equity Price Data'!A222</f>
        <v>45744.66667</v>
      </c>
      <c r="B221" s="34">
        <f>(('PRACTICE Equity Price Data'!B222/'PRACTICE Equity Price Data'!B221)-1)+B220</f>
        <v>0.07533558631</v>
      </c>
      <c r="C221" s="34">
        <f>(('PRACTICE Equity Price Data'!C222/'PRACTICE Equity Price Data'!C221)-1)+C220</f>
        <v>0.07346135299</v>
      </c>
      <c r="D221" s="34">
        <f>(('PRACTICE Equity Price Data'!D222/'PRACTICE Equity Price Data'!D221)-1)+D220</f>
        <v>0.06022448338</v>
      </c>
      <c r="E221" s="34">
        <f>(('PRACTICE Equity Price Data'!E222/'PRACTICE Equity Price Data'!E221)-1)+E220</f>
        <v>0.00003487875253</v>
      </c>
      <c r="F221" s="3">
        <v>13.0</v>
      </c>
      <c r="G221" s="3">
        <v>260.0</v>
      </c>
      <c r="H221" s="3">
        <v>110.0</v>
      </c>
      <c r="I221" s="3">
        <v>256.0</v>
      </c>
      <c r="J221" s="3">
        <v>83.0</v>
      </c>
      <c r="K221" s="3">
        <v>188.0</v>
      </c>
      <c r="L221" s="3">
        <v>1000.0</v>
      </c>
      <c r="M221" s="3">
        <v>102.0</v>
      </c>
      <c r="N221" s="3">
        <v>200.0</v>
      </c>
      <c r="O221" s="3">
        <v>121.0</v>
      </c>
      <c r="P221" s="3"/>
      <c r="Q221" s="3">
        <v>80.0</v>
      </c>
      <c r="R221" s="3">
        <v>150.0</v>
      </c>
      <c r="S221" s="3">
        <v>417.0</v>
      </c>
      <c r="T221" s="3">
        <v>120.0</v>
      </c>
      <c r="U221" s="3">
        <v>80.0</v>
      </c>
      <c r="V221" s="1">
        <v>88.0</v>
      </c>
      <c r="W221" s="1">
        <v>250.0</v>
      </c>
      <c r="X221" s="1">
        <v>264.0</v>
      </c>
      <c r="Y221" s="1">
        <v>161.0</v>
      </c>
      <c r="Z221" s="1">
        <v>69.0</v>
      </c>
      <c r="AA221" s="3"/>
      <c r="AB221" s="1">
        <v>13.0</v>
      </c>
      <c r="AC221" s="1">
        <v>150.0</v>
      </c>
      <c r="AD221" s="1">
        <v>170.0</v>
      </c>
      <c r="AE221" s="1">
        <v>60.0</v>
      </c>
      <c r="AF221" s="1">
        <v>40.0</v>
      </c>
      <c r="AG221" s="1">
        <v>45.0</v>
      </c>
      <c r="AH221" s="1"/>
      <c r="AI221" s="1">
        <v>205.0</v>
      </c>
      <c r="AJ221" s="1">
        <v>60.0</v>
      </c>
      <c r="AK221" s="1">
        <v>100.0</v>
      </c>
      <c r="AL221" s="1">
        <v>175.0</v>
      </c>
      <c r="AM221" s="1">
        <v>130.0</v>
      </c>
      <c r="AN221" s="3">
        <v>47.0</v>
      </c>
      <c r="AO221" s="3">
        <v>160.0</v>
      </c>
      <c r="AP221" s="3">
        <v>70.0</v>
      </c>
      <c r="AQ221" s="3">
        <v>35.0</v>
      </c>
      <c r="AR221" s="1">
        <v>854.0</v>
      </c>
      <c r="AS221" s="1">
        <v>250.0</v>
      </c>
      <c r="AT221" s="1">
        <v>220.0</v>
      </c>
      <c r="AU221" s="3">
        <v>423.0</v>
      </c>
      <c r="AV221" s="1">
        <v>120.0</v>
      </c>
      <c r="AW221" s="3">
        <v>200.0</v>
      </c>
      <c r="AX221" s="3"/>
      <c r="AY221" s="3">
        <v>142.0</v>
      </c>
      <c r="AZ221" s="1">
        <v>40.0</v>
      </c>
      <c r="BA221" s="3">
        <v>80.0</v>
      </c>
      <c r="BB221" s="3">
        <v>402.0</v>
      </c>
      <c r="BC221" s="1">
        <v>150.0</v>
      </c>
      <c r="BD221" s="1">
        <v>190.0</v>
      </c>
      <c r="BE221" s="1">
        <v>80.0</v>
      </c>
      <c r="BF221" s="3">
        <v>328.0</v>
      </c>
      <c r="BG221" s="1">
        <v>213.0</v>
      </c>
      <c r="BH221" s="1">
        <v>23.0</v>
      </c>
      <c r="BI221" s="1">
        <v>40.0</v>
      </c>
      <c r="BJ221" s="1">
        <v>278.0</v>
      </c>
      <c r="BK221" s="3"/>
      <c r="BL221" s="1">
        <v>160.0</v>
      </c>
      <c r="BM221" s="1">
        <v>75.0</v>
      </c>
      <c r="BN221" s="32">
        <v>1802.0</v>
      </c>
      <c r="BO221" s="1">
        <v>47.0</v>
      </c>
      <c r="BP221" s="3">
        <v>48.0</v>
      </c>
      <c r="BQ221" s="1">
        <v>188.0</v>
      </c>
      <c r="BR221" s="27">
        <v>24411.0</v>
      </c>
    </row>
    <row r="222">
      <c r="A222" s="25">
        <f>'Equity Price Data'!A223</f>
        <v>45747.66667</v>
      </c>
      <c r="B222" s="34">
        <f>(('PRACTICE Equity Price Data'!B223/'PRACTICE Equity Price Data'!B222)-1)+B221</f>
        <v>0.08087407983</v>
      </c>
      <c r="C222" s="34">
        <f>(('PRACTICE Equity Price Data'!C223/'PRACTICE Equity Price Data'!C222)-1)+C221</f>
        <v>0.0720932289</v>
      </c>
      <c r="D222" s="34">
        <f>(('PRACTICE Equity Price Data'!D223/'PRACTICE Equity Price Data'!D222)-1)+D221</f>
        <v>0.07027308392</v>
      </c>
      <c r="E222" s="34">
        <f>(('PRACTICE Equity Price Data'!E223/'PRACTICE Equity Price Data'!E222)-1)+E221</f>
        <v>-0.005579794524</v>
      </c>
      <c r="F222" s="3">
        <v>13.0</v>
      </c>
      <c r="G222" s="3">
        <v>260.0</v>
      </c>
      <c r="H222" s="3">
        <v>110.0</v>
      </c>
      <c r="I222" s="3">
        <v>256.0</v>
      </c>
      <c r="J222" s="3">
        <v>83.0</v>
      </c>
      <c r="K222" s="3">
        <v>188.0</v>
      </c>
      <c r="L222" s="3">
        <v>1000.0</v>
      </c>
      <c r="M222" s="3">
        <v>102.0</v>
      </c>
      <c r="N222" s="3">
        <v>200.0</v>
      </c>
      <c r="O222" s="3">
        <v>121.0</v>
      </c>
      <c r="P222" s="3"/>
      <c r="Q222" s="3">
        <v>80.0</v>
      </c>
      <c r="R222" s="3">
        <v>150.0</v>
      </c>
      <c r="S222" s="3">
        <v>417.0</v>
      </c>
      <c r="T222" s="3">
        <v>120.0</v>
      </c>
      <c r="U222" s="3">
        <v>80.0</v>
      </c>
      <c r="V222" s="1">
        <v>88.0</v>
      </c>
      <c r="W222" s="1">
        <v>250.0</v>
      </c>
      <c r="X222" s="1">
        <v>264.0</v>
      </c>
      <c r="Y222" s="1">
        <v>161.0</v>
      </c>
      <c r="Z222" s="1">
        <v>69.0</v>
      </c>
      <c r="AA222" s="3"/>
      <c r="AB222" s="1">
        <v>13.0</v>
      </c>
      <c r="AC222" s="1">
        <v>150.0</v>
      </c>
      <c r="AD222" s="1">
        <v>170.0</v>
      </c>
      <c r="AE222" s="1">
        <v>60.0</v>
      </c>
      <c r="AF222" s="1">
        <v>40.0</v>
      </c>
      <c r="AG222" s="1">
        <v>45.0</v>
      </c>
      <c r="AH222" s="1"/>
      <c r="AI222" s="1">
        <v>205.0</v>
      </c>
      <c r="AJ222" s="1">
        <v>60.0</v>
      </c>
      <c r="AK222" s="1">
        <v>100.0</v>
      </c>
      <c r="AL222" s="1">
        <v>175.0</v>
      </c>
      <c r="AM222" s="1">
        <v>130.0</v>
      </c>
      <c r="AN222" s="3">
        <v>47.0</v>
      </c>
      <c r="AO222" s="3">
        <v>160.0</v>
      </c>
      <c r="AP222" s="3">
        <v>70.0</v>
      </c>
      <c r="AQ222" s="3">
        <v>35.0</v>
      </c>
      <c r="AR222" s="1">
        <v>854.0</v>
      </c>
      <c r="AS222" s="1">
        <v>250.0</v>
      </c>
      <c r="AT222" s="1">
        <v>220.0</v>
      </c>
      <c r="AU222" s="3">
        <v>423.0</v>
      </c>
      <c r="AV222" s="1">
        <v>120.0</v>
      </c>
      <c r="AW222" s="3">
        <v>200.0</v>
      </c>
      <c r="AX222" s="3"/>
      <c r="AY222" s="3">
        <v>142.0</v>
      </c>
      <c r="AZ222" s="1">
        <v>40.0</v>
      </c>
      <c r="BA222" s="3">
        <v>80.0</v>
      </c>
      <c r="BB222" s="3">
        <v>402.0</v>
      </c>
      <c r="BC222" s="1">
        <v>150.0</v>
      </c>
      <c r="BD222" s="1">
        <v>190.0</v>
      </c>
      <c r="BE222" s="1">
        <v>80.0</v>
      </c>
      <c r="BF222" s="3">
        <v>328.0</v>
      </c>
      <c r="BG222" s="1">
        <v>213.0</v>
      </c>
      <c r="BH222" s="1">
        <v>23.0</v>
      </c>
      <c r="BI222" s="1">
        <v>40.0</v>
      </c>
      <c r="BJ222" s="1">
        <v>278.0</v>
      </c>
      <c r="BK222" s="3"/>
      <c r="BL222" s="1">
        <v>160.0</v>
      </c>
      <c r="BM222" s="1">
        <v>75.0</v>
      </c>
      <c r="BN222" s="32">
        <v>1802.0</v>
      </c>
      <c r="BO222" s="1">
        <v>47.0</v>
      </c>
      <c r="BP222" s="3">
        <v>48.0</v>
      </c>
      <c r="BQ222" s="1">
        <v>188.0</v>
      </c>
      <c r="BR222" s="27">
        <v>24411.0</v>
      </c>
    </row>
    <row r="223">
      <c r="A223" s="25">
        <f>'Equity Price Data'!A224</f>
        <v>45748.66667</v>
      </c>
      <c r="B223" s="34">
        <f>(('PRACTICE Equity Price Data'!B224/'PRACTICE Equity Price Data'!B223)-1)+B222</f>
        <v>0.08465536407</v>
      </c>
      <c r="C223" s="34">
        <f>(('PRACTICE Equity Price Data'!C224/'PRACTICE Equity Price Data'!C223)-1)+C222</f>
        <v>0.08079878849</v>
      </c>
      <c r="D223" s="34">
        <f>(('PRACTICE Equity Price Data'!D224/'PRACTICE Equity Price Data'!D223)-1)+D222</f>
        <v>0.06999214331</v>
      </c>
      <c r="E223" s="34">
        <f>(('PRACTICE Equity Price Data'!E224/'PRACTICE Equity Price Data'!E223)-1)+E222</f>
        <v>-0.005415771282</v>
      </c>
      <c r="F223" s="3">
        <v>13.0</v>
      </c>
      <c r="G223" s="3">
        <v>260.0</v>
      </c>
      <c r="H223" s="3">
        <v>110.0</v>
      </c>
      <c r="I223" s="3">
        <v>256.0</v>
      </c>
      <c r="J223" s="3">
        <v>83.0</v>
      </c>
      <c r="K223" s="3">
        <v>188.0</v>
      </c>
      <c r="L223" s="3">
        <v>1000.0</v>
      </c>
      <c r="M223" s="3">
        <v>102.0</v>
      </c>
      <c r="N223" s="3">
        <v>200.0</v>
      </c>
      <c r="O223" s="3">
        <v>121.0</v>
      </c>
      <c r="P223" s="3"/>
      <c r="Q223" s="3">
        <v>80.0</v>
      </c>
      <c r="R223" s="3">
        <v>150.0</v>
      </c>
      <c r="S223" s="3">
        <v>417.0</v>
      </c>
      <c r="T223" s="3">
        <v>120.0</v>
      </c>
      <c r="U223" s="3">
        <v>80.0</v>
      </c>
      <c r="V223" s="1">
        <v>88.0</v>
      </c>
      <c r="W223" s="1">
        <v>250.0</v>
      </c>
      <c r="X223" s="1">
        <v>264.0</v>
      </c>
      <c r="Y223" s="1">
        <v>161.0</v>
      </c>
      <c r="Z223" s="1">
        <v>69.0</v>
      </c>
      <c r="AA223" s="3"/>
      <c r="AB223" s="1">
        <v>13.0</v>
      </c>
      <c r="AC223" s="1">
        <v>150.0</v>
      </c>
      <c r="AD223" s="1">
        <v>170.0</v>
      </c>
      <c r="AE223" s="1">
        <v>60.0</v>
      </c>
      <c r="AF223" s="1">
        <v>40.0</v>
      </c>
      <c r="AG223" s="1">
        <v>45.0</v>
      </c>
      <c r="AH223" s="1"/>
      <c r="AI223" s="1">
        <v>205.0</v>
      </c>
      <c r="AJ223" s="1">
        <v>60.0</v>
      </c>
      <c r="AK223" s="1">
        <v>100.0</v>
      </c>
      <c r="AL223" s="1">
        <v>175.0</v>
      </c>
      <c r="AM223" s="1">
        <v>130.0</v>
      </c>
      <c r="AN223" s="3">
        <v>47.0</v>
      </c>
      <c r="AO223" s="3">
        <v>160.0</v>
      </c>
      <c r="AP223" s="3">
        <v>70.0</v>
      </c>
      <c r="AQ223" s="3">
        <v>35.0</v>
      </c>
      <c r="AR223" s="1">
        <v>854.0</v>
      </c>
      <c r="AS223" s="1">
        <v>250.0</v>
      </c>
      <c r="AT223" s="1">
        <v>220.0</v>
      </c>
      <c r="AU223" s="3">
        <v>423.0</v>
      </c>
      <c r="AV223" s="1">
        <v>120.0</v>
      </c>
      <c r="AW223" s="3">
        <v>200.0</v>
      </c>
      <c r="AX223" s="3"/>
      <c r="AY223" s="3">
        <v>142.0</v>
      </c>
      <c r="AZ223" s="1">
        <v>40.0</v>
      </c>
      <c r="BA223" s="3">
        <v>80.0</v>
      </c>
      <c r="BB223" s="3">
        <v>402.0</v>
      </c>
      <c r="BC223" s="1">
        <v>150.0</v>
      </c>
      <c r="BD223" s="1">
        <v>190.0</v>
      </c>
      <c r="BE223" s="1">
        <v>80.0</v>
      </c>
      <c r="BF223" s="3">
        <v>328.0</v>
      </c>
      <c r="BG223" s="1">
        <v>213.0</v>
      </c>
      <c r="BH223" s="1">
        <v>23.0</v>
      </c>
      <c r="BI223" s="1">
        <v>40.0</v>
      </c>
      <c r="BJ223" s="1">
        <v>278.0</v>
      </c>
      <c r="BK223" s="3"/>
      <c r="BL223" s="1">
        <v>160.0</v>
      </c>
      <c r="BM223" s="1">
        <v>75.0</v>
      </c>
      <c r="BN223" s="32">
        <v>1802.0</v>
      </c>
      <c r="BO223" s="1">
        <v>47.0</v>
      </c>
      <c r="BP223" s="3">
        <v>48.0</v>
      </c>
      <c r="BQ223" s="1">
        <v>188.0</v>
      </c>
      <c r="BR223" s="27">
        <v>24411.0</v>
      </c>
    </row>
    <row r="224">
      <c r="A224" s="25">
        <f>'Equity Price Data'!A225</f>
        <v>45749.66667</v>
      </c>
      <c r="B224" s="34">
        <f>(('PRACTICE Equity Price Data'!B225/'PRACTICE Equity Price Data'!B224)-1)+B223</f>
        <v>0.09138348924</v>
      </c>
      <c r="C224" s="34">
        <f>(('PRACTICE Equity Price Data'!C225/'PRACTICE Equity Price Data'!C224)-1)+C223</f>
        <v>0.08946130728</v>
      </c>
      <c r="D224" s="34">
        <f>(('PRACTICE Equity Price Data'!D225/'PRACTICE Equity Price Data'!D224)-1)+D223</f>
        <v>0.07559729273</v>
      </c>
      <c r="E224" s="34">
        <f>(('PRACTICE Equity Price Data'!E225/'PRACTICE Equity Price Data'!E224)-1)+E223</f>
        <v>0.01104349799</v>
      </c>
      <c r="F224" s="3">
        <v>13.0</v>
      </c>
      <c r="G224" s="3">
        <v>260.0</v>
      </c>
      <c r="H224" s="3">
        <v>110.0</v>
      </c>
      <c r="I224" s="3">
        <v>256.0</v>
      </c>
      <c r="J224" s="3">
        <v>83.0</v>
      </c>
      <c r="K224" s="3">
        <v>188.0</v>
      </c>
      <c r="L224" s="3">
        <v>1000.0</v>
      </c>
      <c r="M224" s="3">
        <v>102.0</v>
      </c>
      <c r="N224" s="3">
        <v>200.0</v>
      </c>
      <c r="O224" s="3">
        <v>121.0</v>
      </c>
      <c r="P224" s="3"/>
      <c r="Q224" s="3">
        <v>80.0</v>
      </c>
      <c r="R224" s="3">
        <v>150.0</v>
      </c>
      <c r="S224" s="3">
        <v>417.0</v>
      </c>
      <c r="T224" s="3">
        <v>120.0</v>
      </c>
      <c r="U224" s="3">
        <v>80.0</v>
      </c>
      <c r="V224" s="1">
        <v>88.0</v>
      </c>
      <c r="W224" s="1">
        <v>250.0</v>
      </c>
      <c r="X224" s="1">
        <v>264.0</v>
      </c>
      <c r="Y224" s="1">
        <v>161.0</v>
      </c>
      <c r="Z224" s="1">
        <v>69.0</v>
      </c>
      <c r="AA224" s="3"/>
      <c r="AB224" s="1">
        <v>13.0</v>
      </c>
      <c r="AC224" s="1">
        <v>150.0</v>
      </c>
      <c r="AD224" s="1">
        <v>170.0</v>
      </c>
      <c r="AE224" s="1">
        <v>60.0</v>
      </c>
      <c r="AF224" s="1">
        <v>40.0</v>
      </c>
      <c r="AG224" s="1">
        <v>45.0</v>
      </c>
      <c r="AH224" s="1"/>
      <c r="AI224" s="1">
        <v>205.0</v>
      </c>
      <c r="AJ224" s="1">
        <v>60.0</v>
      </c>
      <c r="AK224" s="1">
        <v>100.0</v>
      </c>
      <c r="AL224" s="1">
        <v>175.0</v>
      </c>
      <c r="AM224" s="1">
        <v>130.0</v>
      </c>
      <c r="AN224" s="3">
        <v>47.0</v>
      </c>
      <c r="AO224" s="3">
        <v>160.0</v>
      </c>
      <c r="AP224" s="3">
        <v>70.0</v>
      </c>
      <c r="AQ224" s="3">
        <v>35.0</v>
      </c>
      <c r="AR224" s="1">
        <v>854.0</v>
      </c>
      <c r="AS224" s="1">
        <v>250.0</v>
      </c>
      <c r="AT224" s="1">
        <v>220.0</v>
      </c>
      <c r="AU224" s="3">
        <v>423.0</v>
      </c>
      <c r="AV224" s="1">
        <v>120.0</v>
      </c>
      <c r="AW224" s="3">
        <v>200.0</v>
      </c>
      <c r="AX224" s="3"/>
      <c r="AY224" s="3">
        <v>142.0</v>
      </c>
      <c r="AZ224" s="1">
        <v>40.0</v>
      </c>
      <c r="BA224" s="3">
        <v>80.0</v>
      </c>
      <c r="BB224" s="3">
        <v>402.0</v>
      </c>
      <c r="BC224" s="1">
        <v>150.0</v>
      </c>
      <c r="BD224" s="1">
        <v>190.0</v>
      </c>
      <c r="BE224" s="1">
        <v>80.0</v>
      </c>
      <c r="BF224" s="3">
        <v>328.0</v>
      </c>
      <c r="BG224" s="1">
        <v>213.0</v>
      </c>
      <c r="BH224" s="1">
        <v>23.0</v>
      </c>
      <c r="BI224" s="1">
        <v>40.0</v>
      </c>
      <c r="BJ224" s="1">
        <v>278.0</v>
      </c>
      <c r="BK224" s="3"/>
      <c r="BL224" s="1">
        <v>160.0</v>
      </c>
      <c r="BM224" s="1">
        <v>75.0</v>
      </c>
      <c r="BN224" s="32">
        <v>1802.0</v>
      </c>
      <c r="BO224" s="1">
        <v>47.0</v>
      </c>
      <c r="BP224" s="3">
        <v>48.0</v>
      </c>
      <c r="BQ224" s="1">
        <v>188.0</v>
      </c>
      <c r="BR224" s="27">
        <v>24411.0</v>
      </c>
    </row>
    <row r="225">
      <c r="A225" s="25">
        <f>'Equity Price Data'!A226</f>
        <v>45750.66667</v>
      </c>
      <c r="B225" s="34">
        <f>(('PRACTICE Equity Price Data'!B226/'PRACTICE Equity Price Data'!B225)-1)+B224</f>
        <v>0.04298788848</v>
      </c>
      <c r="C225" s="34">
        <f>(('PRACTICE Equity Price Data'!C226/'PRACTICE Equity Price Data'!C225)-1)+C224</f>
        <v>0.02978077685</v>
      </c>
      <c r="D225" s="34">
        <f>(('PRACTICE Equity Price Data'!D226/'PRACTICE Equity Price Data'!D225)-1)+D224</f>
        <v>0.03582518443</v>
      </c>
      <c r="E225" s="34">
        <f>(('PRACTICE Equity Price Data'!E226/'PRACTICE Equity Price Data'!E225)-1)+E224</f>
        <v>-0.05486665964</v>
      </c>
      <c r="F225" s="3">
        <v>13.0</v>
      </c>
      <c r="G225" s="3">
        <v>260.0</v>
      </c>
      <c r="H225" s="3">
        <v>110.0</v>
      </c>
      <c r="I225" s="3">
        <v>256.0</v>
      </c>
      <c r="J225" s="3">
        <v>83.0</v>
      </c>
      <c r="K225" s="3">
        <v>188.0</v>
      </c>
      <c r="L225" s="3">
        <v>1000.0</v>
      </c>
      <c r="M225" s="3">
        <v>102.0</v>
      </c>
      <c r="N225" s="3">
        <v>200.0</v>
      </c>
      <c r="O225" s="3">
        <v>121.0</v>
      </c>
      <c r="P225" s="3"/>
      <c r="Q225" s="3">
        <v>80.0</v>
      </c>
      <c r="R225" s="3">
        <v>150.0</v>
      </c>
      <c r="S225" s="3">
        <v>417.0</v>
      </c>
      <c r="T225" s="3">
        <v>120.0</v>
      </c>
      <c r="U225" s="3">
        <v>80.0</v>
      </c>
      <c r="V225" s="1">
        <v>88.0</v>
      </c>
      <c r="W225" s="1">
        <v>250.0</v>
      </c>
      <c r="X225" s="1">
        <v>264.0</v>
      </c>
      <c r="Y225" s="1">
        <v>161.0</v>
      </c>
      <c r="Z225" s="1">
        <v>69.0</v>
      </c>
      <c r="AA225" s="3"/>
      <c r="AB225" s="1">
        <v>13.0</v>
      </c>
      <c r="AC225" s="1">
        <v>150.0</v>
      </c>
      <c r="AD225" s="1">
        <v>170.0</v>
      </c>
      <c r="AE225" s="1">
        <v>60.0</v>
      </c>
      <c r="AF225" s="1">
        <v>40.0</v>
      </c>
      <c r="AG225" s="1">
        <v>45.0</v>
      </c>
      <c r="AH225" s="1"/>
      <c r="AI225" s="1">
        <v>205.0</v>
      </c>
      <c r="AJ225" s="1">
        <v>60.0</v>
      </c>
      <c r="AK225" s="1">
        <v>100.0</v>
      </c>
      <c r="AL225" s="1">
        <v>175.0</v>
      </c>
      <c r="AM225" s="1">
        <v>130.0</v>
      </c>
      <c r="AN225" s="3">
        <v>47.0</v>
      </c>
      <c r="AO225" s="3">
        <v>160.0</v>
      </c>
      <c r="AP225" s="3">
        <v>70.0</v>
      </c>
      <c r="AQ225" s="3">
        <v>35.0</v>
      </c>
      <c r="AR225" s="1">
        <v>854.0</v>
      </c>
      <c r="AS225" s="1">
        <v>250.0</v>
      </c>
      <c r="AT225" s="1">
        <v>220.0</v>
      </c>
      <c r="AU225" s="3">
        <v>423.0</v>
      </c>
      <c r="AV225" s="1">
        <v>120.0</v>
      </c>
      <c r="AW225" s="3">
        <v>200.0</v>
      </c>
      <c r="AX225" s="3"/>
      <c r="AY225" s="3">
        <v>142.0</v>
      </c>
      <c r="AZ225" s="1">
        <v>40.0</v>
      </c>
      <c r="BA225" s="3">
        <v>80.0</v>
      </c>
      <c r="BB225" s="3">
        <v>402.0</v>
      </c>
      <c r="BC225" s="1">
        <v>150.0</v>
      </c>
      <c r="BD225" s="1">
        <v>190.0</v>
      </c>
      <c r="BE225" s="1">
        <v>80.0</v>
      </c>
      <c r="BF225" s="3">
        <v>328.0</v>
      </c>
      <c r="BG225" s="1">
        <v>213.0</v>
      </c>
      <c r="BH225" s="1">
        <v>23.0</v>
      </c>
      <c r="BI225" s="1">
        <v>40.0</v>
      </c>
      <c r="BJ225" s="1">
        <v>278.0</v>
      </c>
      <c r="BK225" s="3"/>
      <c r="BL225" s="1">
        <v>160.0</v>
      </c>
      <c r="BM225" s="1">
        <v>75.0</v>
      </c>
      <c r="BN225" s="32">
        <v>1802.0</v>
      </c>
      <c r="BO225" s="1">
        <v>47.0</v>
      </c>
      <c r="BP225" s="3">
        <v>48.0</v>
      </c>
      <c r="BQ225" s="1">
        <v>188.0</v>
      </c>
      <c r="BR225" s="27">
        <v>24411.0</v>
      </c>
    </row>
    <row r="226">
      <c r="A226" s="25">
        <f>'Equity Price Data'!A227</f>
        <v>45751.66667</v>
      </c>
      <c r="B226" s="34">
        <f>(('PRACTICE Equity Price Data'!B227/'PRACTICE Equity Price Data'!B226)-1)+B225</f>
        <v>-0.01676172794</v>
      </c>
      <c r="C226" s="34">
        <f>(('PRACTICE Equity Price Data'!C227/'PRACTICE Equity Price Data'!C226)-1)+C225</f>
        <v>-0.028393514</v>
      </c>
      <c r="D226" s="34">
        <f>(('PRACTICE Equity Price Data'!D227/'PRACTICE Equity Price Data'!D226)-1)+D225</f>
        <v>-0.01920056044</v>
      </c>
      <c r="E226" s="34">
        <f>(('PRACTICE Equity Price Data'!E227/'PRACTICE Equity Price Data'!E226)-1)+E225</f>
        <v>-0.09858182019</v>
      </c>
      <c r="F226" s="3">
        <v>13.0</v>
      </c>
      <c r="G226" s="3">
        <v>260.0</v>
      </c>
      <c r="H226" s="3">
        <v>110.0</v>
      </c>
      <c r="I226" s="3">
        <v>256.0</v>
      </c>
      <c r="J226" s="3">
        <v>83.0</v>
      </c>
      <c r="K226" s="3">
        <v>188.0</v>
      </c>
      <c r="L226" s="3">
        <v>1000.0</v>
      </c>
      <c r="M226" s="3">
        <v>102.0</v>
      </c>
      <c r="N226" s="3">
        <v>200.0</v>
      </c>
      <c r="O226" s="3">
        <v>121.0</v>
      </c>
      <c r="P226" s="3"/>
      <c r="Q226" s="3">
        <v>80.0</v>
      </c>
      <c r="R226" s="3">
        <v>150.0</v>
      </c>
      <c r="S226" s="3">
        <v>417.0</v>
      </c>
      <c r="T226" s="3">
        <v>120.0</v>
      </c>
      <c r="U226" s="3">
        <v>80.0</v>
      </c>
      <c r="V226" s="1">
        <v>88.0</v>
      </c>
      <c r="W226" s="1">
        <v>250.0</v>
      </c>
      <c r="X226" s="1">
        <v>264.0</v>
      </c>
      <c r="Y226" s="1">
        <v>161.0</v>
      </c>
      <c r="Z226" s="1">
        <v>69.0</v>
      </c>
      <c r="AA226" s="3"/>
      <c r="AB226" s="1">
        <v>13.0</v>
      </c>
      <c r="AC226" s="1">
        <v>150.0</v>
      </c>
      <c r="AD226" s="1">
        <v>170.0</v>
      </c>
      <c r="AE226" s="1">
        <v>60.0</v>
      </c>
      <c r="AF226" s="1">
        <v>40.0</v>
      </c>
      <c r="AG226" s="1">
        <v>45.0</v>
      </c>
      <c r="AH226" s="1"/>
      <c r="AI226" s="1">
        <v>205.0</v>
      </c>
      <c r="AJ226" s="1">
        <v>60.0</v>
      </c>
      <c r="AK226" s="1">
        <v>100.0</v>
      </c>
      <c r="AL226" s="1">
        <v>175.0</v>
      </c>
      <c r="AM226" s="1">
        <v>130.0</v>
      </c>
      <c r="AN226" s="3">
        <v>47.0</v>
      </c>
      <c r="AO226" s="3">
        <v>160.0</v>
      </c>
      <c r="AP226" s="3">
        <v>70.0</v>
      </c>
      <c r="AQ226" s="3"/>
      <c r="AR226" s="1">
        <v>854.0</v>
      </c>
      <c r="AS226" s="1">
        <v>250.0</v>
      </c>
      <c r="AT226" s="1">
        <v>220.0</v>
      </c>
      <c r="AU226" s="3">
        <v>423.0</v>
      </c>
      <c r="AV226" s="1">
        <v>120.0</v>
      </c>
      <c r="AW226" s="3">
        <v>200.0</v>
      </c>
      <c r="AX226" s="3"/>
      <c r="AY226" s="3">
        <v>142.0</v>
      </c>
      <c r="AZ226" s="1">
        <v>40.0</v>
      </c>
      <c r="BA226" s="1"/>
      <c r="BB226" s="3">
        <v>402.0</v>
      </c>
      <c r="BC226" s="1">
        <v>150.0</v>
      </c>
      <c r="BD226" s="1">
        <v>190.0</v>
      </c>
      <c r="BE226" s="1">
        <v>80.0</v>
      </c>
      <c r="BF226" s="3">
        <v>328.0</v>
      </c>
      <c r="BG226" s="1">
        <v>213.0</v>
      </c>
      <c r="BH226" s="1">
        <v>23.0</v>
      </c>
      <c r="BI226" s="1">
        <v>40.0</v>
      </c>
      <c r="BJ226" s="1">
        <v>278.0</v>
      </c>
      <c r="BK226" s="3"/>
      <c r="BL226" s="1">
        <v>160.0</v>
      </c>
      <c r="BM226" s="1">
        <v>75.0</v>
      </c>
      <c r="BN226" s="32">
        <v>1802.0</v>
      </c>
      <c r="BO226" s="1">
        <v>47.0</v>
      </c>
      <c r="BP226" s="3">
        <v>48.0</v>
      </c>
      <c r="BQ226" s="1">
        <v>188.0</v>
      </c>
      <c r="BR226" s="27">
        <v>24411.0</v>
      </c>
    </row>
    <row r="227">
      <c r="A227" s="25">
        <f>'Equity Price Data'!A228</f>
        <v>45754.66667</v>
      </c>
      <c r="B227" s="34">
        <f>(('PRACTICE Equity Price Data'!B228/'PRACTICE Equity Price Data'!B227)-1)+B226</f>
        <v>-0.01909318507</v>
      </c>
      <c r="C227" s="34">
        <f>(('PRACTICE Equity Price Data'!C228/'PRACTICE Equity Price Data'!C227)-1)+C226</f>
        <v>-0.02740107056</v>
      </c>
      <c r="D227" s="34">
        <f>(('PRACTICE Equity Price Data'!D228/'PRACTICE Equity Price Data'!D227)-1)+D226</f>
        <v>-0.02831608377</v>
      </c>
      <c r="E227" s="34">
        <f>(('PRACTICE Equity Price Data'!E228/'PRACTICE Equity Price Data'!E227)-1)+E226</f>
        <v>-0.1078263318</v>
      </c>
      <c r="F227" s="3">
        <v>13.0</v>
      </c>
      <c r="G227" s="3">
        <v>260.0</v>
      </c>
      <c r="H227" s="3">
        <v>110.0</v>
      </c>
      <c r="I227" s="3">
        <v>256.0</v>
      </c>
      <c r="J227" s="3">
        <v>83.0</v>
      </c>
      <c r="K227" s="3">
        <v>188.0</v>
      </c>
      <c r="L227" s="3">
        <v>1000.0</v>
      </c>
      <c r="M227" s="3">
        <v>102.0</v>
      </c>
      <c r="N227" s="3">
        <v>200.0</v>
      </c>
      <c r="O227" s="3">
        <v>121.0</v>
      </c>
      <c r="P227" s="3"/>
      <c r="Q227" s="3">
        <v>80.0</v>
      </c>
      <c r="R227" s="3">
        <v>150.0</v>
      </c>
      <c r="S227" s="3">
        <v>417.0</v>
      </c>
      <c r="T227" s="3">
        <v>120.0</v>
      </c>
      <c r="U227" s="3">
        <v>80.0</v>
      </c>
      <c r="V227" s="1">
        <v>88.0</v>
      </c>
      <c r="W227" s="1">
        <v>250.0</v>
      </c>
      <c r="X227" s="1">
        <v>264.0</v>
      </c>
      <c r="Y227" s="1">
        <v>161.0</v>
      </c>
      <c r="Z227" s="1">
        <v>69.0</v>
      </c>
      <c r="AA227" s="3"/>
      <c r="AB227" s="1">
        <v>13.0</v>
      </c>
      <c r="AC227" s="1">
        <v>150.0</v>
      </c>
      <c r="AD227" s="1">
        <v>170.0</v>
      </c>
      <c r="AE227" s="1">
        <v>60.0</v>
      </c>
      <c r="AF227" s="1">
        <v>40.0</v>
      </c>
      <c r="AG227" s="1">
        <v>45.0</v>
      </c>
      <c r="AH227" s="1"/>
      <c r="AI227" s="1">
        <v>205.0</v>
      </c>
      <c r="AJ227" s="1">
        <v>60.0</v>
      </c>
      <c r="AK227" s="1">
        <v>100.0</v>
      </c>
      <c r="AL227" s="1">
        <v>175.0</v>
      </c>
      <c r="AM227" s="1">
        <v>130.0</v>
      </c>
      <c r="AN227" s="3">
        <v>47.0</v>
      </c>
      <c r="AO227" s="3">
        <v>160.0</v>
      </c>
      <c r="AP227" s="3">
        <v>70.0</v>
      </c>
      <c r="AQ227" s="3"/>
      <c r="AR227" s="1">
        <v>854.0</v>
      </c>
      <c r="AS227" s="1">
        <v>250.0</v>
      </c>
      <c r="AT227" s="1">
        <v>220.0</v>
      </c>
      <c r="AU227" s="3">
        <v>423.0</v>
      </c>
      <c r="AV227" s="1">
        <v>120.0</v>
      </c>
      <c r="AW227" s="3">
        <v>200.0</v>
      </c>
      <c r="AX227" s="3"/>
      <c r="AY227" s="3">
        <v>142.0</v>
      </c>
      <c r="AZ227" s="1">
        <v>40.0</v>
      </c>
      <c r="BA227" s="1"/>
      <c r="BB227" s="3">
        <v>402.0</v>
      </c>
      <c r="BC227" s="1">
        <v>150.0</v>
      </c>
      <c r="BD227" s="1">
        <v>190.0</v>
      </c>
      <c r="BE227" s="1">
        <v>80.0</v>
      </c>
      <c r="BF227" s="3">
        <v>328.0</v>
      </c>
      <c r="BG227" s="1">
        <v>213.0</v>
      </c>
      <c r="BH227" s="1">
        <v>23.0</v>
      </c>
      <c r="BI227" s="1">
        <v>40.0</v>
      </c>
      <c r="BJ227" s="1">
        <v>278.0</v>
      </c>
      <c r="BK227" s="3"/>
      <c r="BL227" s="1">
        <v>160.0</v>
      </c>
      <c r="BM227" s="1">
        <v>75.0</v>
      </c>
      <c r="BN227" s="32">
        <v>1802.0</v>
      </c>
      <c r="BO227" s="1">
        <v>47.0</v>
      </c>
      <c r="BP227" s="3">
        <v>48.0</v>
      </c>
      <c r="BQ227" s="1">
        <v>188.0</v>
      </c>
      <c r="BR227" s="27">
        <v>24411.0</v>
      </c>
    </row>
    <row r="228">
      <c r="A228" s="25">
        <f>'Equity Price Data'!A229</f>
        <v>45755.66667</v>
      </c>
      <c r="B228" s="34">
        <f>(('PRACTICE Equity Price Data'!B229/'PRACTICE Equity Price Data'!B228)-1)+B227</f>
        <v>-0.03479371349</v>
      </c>
      <c r="C228" s="34">
        <f>(('PRACTICE Equity Price Data'!C229/'PRACTICE Equity Price Data'!C228)-1)+C227</f>
        <v>-0.04889337409</v>
      </c>
      <c r="D228" s="34">
        <f>(('PRACTICE Equity Price Data'!D229/'PRACTICE Equity Price Data'!D228)-1)+D227</f>
        <v>-0.03674502997</v>
      </c>
      <c r="E228" s="34">
        <f>(('PRACTICE Equity Price Data'!E229/'PRACTICE Equity Price Data'!E228)-1)+E227</f>
        <v>-0.1351336119</v>
      </c>
      <c r="F228" s="3">
        <v>13.0</v>
      </c>
      <c r="G228" s="3">
        <v>260.0</v>
      </c>
      <c r="H228" s="3">
        <v>110.0</v>
      </c>
      <c r="I228" s="3">
        <v>256.0</v>
      </c>
      <c r="J228" s="3">
        <v>83.0</v>
      </c>
      <c r="K228" s="3">
        <v>188.0</v>
      </c>
      <c r="L228" s="3">
        <v>1000.0</v>
      </c>
      <c r="M228" s="3">
        <v>102.0</v>
      </c>
      <c r="N228" s="3">
        <v>200.0</v>
      </c>
      <c r="O228" s="3">
        <v>121.0</v>
      </c>
      <c r="P228" s="3"/>
      <c r="Q228" s="3">
        <v>80.0</v>
      </c>
      <c r="R228" s="3">
        <v>150.0</v>
      </c>
      <c r="S228" s="3">
        <v>417.0</v>
      </c>
      <c r="T228" s="3">
        <v>120.0</v>
      </c>
      <c r="U228" s="3">
        <v>80.0</v>
      </c>
      <c r="V228" s="1">
        <v>88.0</v>
      </c>
      <c r="W228" s="1">
        <v>250.0</v>
      </c>
      <c r="X228" s="1">
        <v>264.0</v>
      </c>
      <c r="Y228" s="1">
        <v>161.0</v>
      </c>
      <c r="Z228" s="1">
        <v>69.0</v>
      </c>
      <c r="AA228" s="3"/>
      <c r="AB228" s="1">
        <v>13.0</v>
      </c>
      <c r="AC228" s="1">
        <v>150.0</v>
      </c>
      <c r="AD228" s="1">
        <v>170.0</v>
      </c>
      <c r="AE228" s="1">
        <v>60.0</v>
      </c>
      <c r="AF228" s="1">
        <v>40.0</v>
      </c>
      <c r="AG228" s="1">
        <v>45.0</v>
      </c>
      <c r="AH228" s="1"/>
      <c r="AI228" s="1">
        <v>205.0</v>
      </c>
      <c r="AJ228" s="1">
        <v>60.0</v>
      </c>
      <c r="AK228" s="1">
        <v>100.0</v>
      </c>
      <c r="AL228" s="1">
        <v>175.0</v>
      </c>
      <c r="AM228" s="1">
        <v>130.0</v>
      </c>
      <c r="AN228" s="3">
        <v>47.0</v>
      </c>
      <c r="AO228" s="3">
        <v>160.0</v>
      </c>
      <c r="AP228" s="3">
        <v>70.0</v>
      </c>
      <c r="AQ228" s="3"/>
      <c r="AR228" s="1">
        <v>854.0</v>
      </c>
      <c r="AS228" s="1">
        <v>250.0</v>
      </c>
      <c r="AT228" s="1">
        <v>220.0</v>
      </c>
      <c r="AU228" s="3">
        <v>423.0</v>
      </c>
      <c r="AV228" s="1">
        <v>120.0</v>
      </c>
      <c r="AW228" s="3">
        <v>200.0</v>
      </c>
      <c r="AX228" s="3"/>
      <c r="AY228" s="3">
        <v>142.0</v>
      </c>
      <c r="AZ228" s="1">
        <v>40.0</v>
      </c>
      <c r="BA228" s="1"/>
      <c r="BB228" s="3">
        <v>402.0</v>
      </c>
      <c r="BC228" s="1">
        <v>150.0</v>
      </c>
      <c r="BD228" s="1">
        <v>190.0</v>
      </c>
      <c r="BE228" s="1">
        <v>80.0</v>
      </c>
      <c r="BF228" s="3">
        <v>328.0</v>
      </c>
      <c r="BG228" s="1">
        <v>213.0</v>
      </c>
      <c r="BH228" s="1">
        <v>23.0</v>
      </c>
      <c r="BI228" s="1">
        <v>40.0</v>
      </c>
      <c r="BJ228" s="1">
        <v>278.0</v>
      </c>
      <c r="BK228" s="3"/>
      <c r="BL228" s="1">
        <v>160.0</v>
      </c>
      <c r="BM228" s="1">
        <v>75.0</v>
      </c>
      <c r="BN228" s="32">
        <v>1802.0</v>
      </c>
      <c r="BO228" s="1">
        <v>47.0</v>
      </c>
      <c r="BP228" s="3">
        <v>48.0</v>
      </c>
      <c r="BQ228" s="1">
        <v>188.0</v>
      </c>
      <c r="BR228" s="27">
        <v>28381.0</v>
      </c>
    </row>
    <row r="229">
      <c r="A229" s="25">
        <f>'Equity Price Data'!A230</f>
        <v>45756.66667</v>
      </c>
      <c r="B229" s="34">
        <f>(('PRACTICE Equity Price Data'!B230/'PRACTICE Equity Price Data'!B229)-1)+B228</f>
        <v>0.06036018685</v>
      </c>
      <c r="C229" s="34">
        <f>(('PRACTICE Equity Price Data'!C230/'PRACTICE Equity Price Data'!C229)-1)+C228</f>
        <v>0.07273820482</v>
      </c>
      <c r="D229" s="34">
        <f>(('PRACTICE Equity Price Data'!D230/'PRACTICE Equity Price Data'!D229)-1)+D228</f>
        <v>0.04195900946</v>
      </c>
      <c r="E229" s="34">
        <f>(('PRACTICE Equity Price Data'!E230/'PRACTICE Equity Price Data'!E229)-1)+E228</f>
        <v>-0.04854922262</v>
      </c>
      <c r="F229" s="3">
        <v>13.0</v>
      </c>
      <c r="G229" s="3">
        <v>260.0</v>
      </c>
      <c r="H229" s="3">
        <v>110.0</v>
      </c>
      <c r="I229" s="3">
        <v>256.0</v>
      </c>
      <c r="J229" s="3">
        <v>83.0</v>
      </c>
      <c r="K229" s="3">
        <v>188.0</v>
      </c>
      <c r="L229" s="3">
        <v>1000.0</v>
      </c>
      <c r="M229" s="3">
        <v>102.0</v>
      </c>
      <c r="N229" s="3">
        <v>200.0</v>
      </c>
      <c r="O229" s="3">
        <v>121.0</v>
      </c>
      <c r="P229" s="3"/>
      <c r="Q229" s="3">
        <v>80.0</v>
      </c>
      <c r="R229" s="3">
        <v>150.0</v>
      </c>
      <c r="S229" s="3">
        <v>417.0</v>
      </c>
      <c r="T229" s="3">
        <v>120.0</v>
      </c>
      <c r="U229" s="3">
        <v>80.0</v>
      </c>
      <c r="V229" s="1">
        <v>88.0</v>
      </c>
      <c r="W229" s="1">
        <v>250.0</v>
      </c>
      <c r="X229" s="1">
        <v>264.0</v>
      </c>
      <c r="Y229" s="1">
        <v>161.0</v>
      </c>
      <c r="Z229" s="1">
        <v>69.0</v>
      </c>
      <c r="AA229" s="3"/>
      <c r="AB229" s="1">
        <v>13.0</v>
      </c>
      <c r="AC229" s="1">
        <v>150.0</v>
      </c>
      <c r="AD229" s="1">
        <v>170.0</v>
      </c>
      <c r="AE229" s="1">
        <v>60.0</v>
      </c>
      <c r="AF229" s="1">
        <v>40.0</v>
      </c>
      <c r="AG229" s="1">
        <v>45.0</v>
      </c>
      <c r="AH229" s="1"/>
      <c r="AI229" s="1">
        <v>205.0</v>
      </c>
      <c r="AJ229" s="1">
        <v>60.0</v>
      </c>
      <c r="AK229" s="1">
        <v>100.0</v>
      </c>
      <c r="AL229" s="1">
        <v>175.0</v>
      </c>
      <c r="AM229" s="1">
        <v>130.0</v>
      </c>
      <c r="AN229" s="3">
        <v>47.0</v>
      </c>
      <c r="AO229" s="3">
        <v>160.0</v>
      </c>
      <c r="AP229" s="3">
        <v>70.0</v>
      </c>
      <c r="AQ229" s="3"/>
      <c r="AR229" s="1">
        <v>854.0</v>
      </c>
      <c r="AS229" s="1">
        <v>250.0</v>
      </c>
      <c r="AT229" s="1">
        <v>220.0</v>
      </c>
      <c r="AU229" s="3">
        <v>423.0</v>
      </c>
      <c r="AV229" s="1">
        <v>120.0</v>
      </c>
      <c r="AW229" s="3">
        <v>200.0</v>
      </c>
      <c r="AX229" s="3"/>
      <c r="AY229" s="3">
        <v>142.0</v>
      </c>
      <c r="AZ229" s="1">
        <v>40.0</v>
      </c>
      <c r="BA229" s="1"/>
      <c r="BB229" s="3">
        <v>402.0</v>
      </c>
      <c r="BC229" s="1">
        <v>150.0</v>
      </c>
      <c r="BD229" s="1">
        <v>190.0</v>
      </c>
      <c r="BE229" s="1">
        <v>80.0</v>
      </c>
      <c r="BF229" s="3">
        <v>328.0</v>
      </c>
      <c r="BG229" s="1">
        <v>213.0</v>
      </c>
      <c r="BH229" s="1">
        <v>23.0</v>
      </c>
      <c r="BI229" s="1">
        <v>40.0</v>
      </c>
      <c r="BJ229" s="1">
        <v>278.0</v>
      </c>
      <c r="BK229" s="3"/>
      <c r="BL229" s="1">
        <v>160.0</v>
      </c>
      <c r="BM229" s="1">
        <v>75.0</v>
      </c>
      <c r="BN229" s="32">
        <v>1802.0</v>
      </c>
      <c r="BO229" s="1">
        <v>47.0</v>
      </c>
      <c r="BP229" s="3">
        <v>48.0</v>
      </c>
      <c r="BQ229" s="1">
        <v>188.0</v>
      </c>
      <c r="BR229" s="27">
        <v>28381.0</v>
      </c>
    </row>
    <row r="230">
      <c r="A230" s="25">
        <f>'Equity Price Data'!A231</f>
        <v>45757.66667</v>
      </c>
      <c r="B230" s="34">
        <f>(('PRACTICE Equity Price Data'!B231/'PRACTICE Equity Price Data'!B230)-1)+B229</f>
        <v>0.02575262578</v>
      </c>
      <c r="C230" s="34">
        <f>(('PRACTICE Equity Price Data'!C231/'PRACTICE Equity Price Data'!C230)-1)+C229</f>
        <v>0.02966309287</v>
      </c>
      <c r="D230" s="34">
        <f>(('PRACTICE Equity Price Data'!D231/'PRACTICE Equity Price Data'!D230)-1)+D229</f>
        <v>0.01696938292</v>
      </c>
      <c r="E230" s="34">
        <f>(('PRACTICE Equity Price Data'!E231/'PRACTICE Equity Price Data'!E230)-1)+E229</f>
        <v>-0.09129002841</v>
      </c>
      <c r="F230" s="3">
        <v>13.0</v>
      </c>
      <c r="G230" s="3">
        <v>260.0</v>
      </c>
      <c r="H230" s="3">
        <v>110.0</v>
      </c>
      <c r="I230" s="3">
        <v>256.0</v>
      </c>
      <c r="J230" s="3">
        <v>83.0</v>
      </c>
      <c r="K230" s="3">
        <v>188.0</v>
      </c>
      <c r="L230" s="3">
        <v>1000.0</v>
      </c>
      <c r="M230" s="3">
        <v>102.0</v>
      </c>
      <c r="N230" s="3">
        <v>200.0</v>
      </c>
      <c r="O230" s="3">
        <v>121.0</v>
      </c>
      <c r="P230" s="3"/>
      <c r="Q230" s="3">
        <v>80.0</v>
      </c>
      <c r="R230" s="3">
        <v>150.0</v>
      </c>
      <c r="S230" s="3">
        <v>417.0</v>
      </c>
      <c r="T230" s="3">
        <v>120.0</v>
      </c>
      <c r="U230" s="3">
        <v>80.0</v>
      </c>
      <c r="V230" s="1">
        <v>88.0</v>
      </c>
      <c r="W230" s="1">
        <v>250.0</v>
      </c>
      <c r="X230" s="1">
        <v>264.0</v>
      </c>
      <c r="Y230" s="1">
        <v>161.0</v>
      </c>
      <c r="Z230" s="1">
        <v>69.0</v>
      </c>
      <c r="AA230" s="3"/>
      <c r="AB230" s="1">
        <v>13.0</v>
      </c>
      <c r="AC230" s="1">
        <v>150.0</v>
      </c>
      <c r="AD230" s="1">
        <v>170.0</v>
      </c>
      <c r="AE230" s="1">
        <v>60.0</v>
      </c>
      <c r="AF230" s="1">
        <v>40.0</v>
      </c>
      <c r="AG230" s="1">
        <v>45.0</v>
      </c>
      <c r="AH230" s="1"/>
      <c r="AI230" s="1">
        <v>205.0</v>
      </c>
      <c r="AJ230" s="1">
        <v>60.0</v>
      </c>
      <c r="AK230" s="1">
        <v>100.0</v>
      </c>
      <c r="AL230" s="1">
        <v>175.0</v>
      </c>
      <c r="AM230" s="1">
        <v>130.0</v>
      </c>
      <c r="AN230" s="3">
        <v>47.0</v>
      </c>
      <c r="AO230" s="3">
        <v>160.0</v>
      </c>
      <c r="AP230" s="3">
        <v>70.0</v>
      </c>
      <c r="AQ230" s="3"/>
      <c r="AR230" s="1">
        <v>854.0</v>
      </c>
      <c r="AS230" s="1">
        <v>250.0</v>
      </c>
      <c r="AT230" s="1">
        <v>220.0</v>
      </c>
      <c r="AU230" s="3">
        <v>423.0</v>
      </c>
      <c r="AV230" s="1">
        <v>120.0</v>
      </c>
      <c r="AW230" s="3">
        <v>200.0</v>
      </c>
      <c r="AX230" s="3"/>
      <c r="AY230" s="3">
        <v>142.0</v>
      </c>
      <c r="AZ230" s="1">
        <v>40.0</v>
      </c>
      <c r="BA230" s="1"/>
      <c r="BB230" s="3">
        <v>402.0</v>
      </c>
      <c r="BC230" s="1">
        <v>150.0</v>
      </c>
      <c r="BD230" s="1">
        <v>190.0</v>
      </c>
      <c r="BE230" s="1">
        <v>80.0</v>
      </c>
      <c r="BF230" s="3">
        <v>328.0</v>
      </c>
      <c r="BG230" s="1">
        <v>213.0</v>
      </c>
      <c r="BH230" s="1">
        <v>23.0</v>
      </c>
      <c r="BI230" s="1">
        <v>40.0</v>
      </c>
      <c r="BJ230" s="1">
        <v>278.0</v>
      </c>
      <c r="BK230" s="3"/>
      <c r="BL230" s="1">
        <v>160.0</v>
      </c>
      <c r="BM230" s="1">
        <v>75.0</v>
      </c>
      <c r="BN230" s="32">
        <v>1802.0</v>
      </c>
      <c r="BO230" s="1">
        <v>47.0</v>
      </c>
      <c r="BP230" s="3">
        <v>48.0</v>
      </c>
      <c r="BQ230" s="1">
        <v>188.0</v>
      </c>
      <c r="BR230" s="27">
        <v>28381.0</v>
      </c>
    </row>
    <row r="231">
      <c r="A231" s="25">
        <f>'Equity Price Data'!A232</f>
        <v>45758.66667</v>
      </c>
      <c r="B231" s="34">
        <f>(('PRACTICE Equity Price Data'!B232/'PRACTICE Equity Price Data'!B231)-1)+B230</f>
        <v>0.04384470919</v>
      </c>
      <c r="C231" s="34">
        <f>(('PRACTICE Equity Price Data'!C232/'PRACTICE Equity Price Data'!C231)-1)+C230</f>
        <v>0.05023693934</v>
      </c>
      <c r="D231" s="34">
        <f>(('PRACTICE Equity Price Data'!D232/'PRACTICE Equity Price Data'!D231)-1)+D230</f>
        <v>0.03260446187</v>
      </c>
      <c r="E231" s="34">
        <f>(('PRACTICE Equity Price Data'!E232/'PRACTICE Equity Price Data'!E231)-1)+E230</f>
        <v>-0.07555880786</v>
      </c>
      <c r="F231" s="3">
        <v>13.0</v>
      </c>
      <c r="G231" s="3">
        <v>260.0</v>
      </c>
      <c r="H231" s="3">
        <v>110.0</v>
      </c>
      <c r="I231" s="3">
        <v>256.0</v>
      </c>
      <c r="J231" s="3">
        <v>83.0</v>
      </c>
      <c r="K231" s="3">
        <v>188.0</v>
      </c>
      <c r="L231" s="3">
        <v>1000.0</v>
      </c>
      <c r="M231" s="3">
        <v>102.0</v>
      </c>
      <c r="N231" s="3">
        <v>200.0</v>
      </c>
      <c r="O231" s="3">
        <v>121.0</v>
      </c>
      <c r="P231" s="3"/>
      <c r="Q231" s="3">
        <v>80.0</v>
      </c>
      <c r="R231" s="3">
        <v>150.0</v>
      </c>
      <c r="S231" s="3">
        <v>417.0</v>
      </c>
      <c r="T231" s="3">
        <v>120.0</v>
      </c>
      <c r="U231" s="3">
        <v>80.0</v>
      </c>
      <c r="V231" s="1">
        <v>88.0</v>
      </c>
      <c r="W231" s="1">
        <v>250.0</v>
      </c>
      <c r="X231" s="1">
        <v>264.0</v>
      </c>
      <c r="Y231" s="1">
        <v>161.0</v>
      </c>
      <c r="Z231" s="1">
        <v>69.0</v>
      </c>
      <c r="AA231" s="3"/>
      <c r="AB231" s="1">
        <v>13.0</v>
      </c>
      <c r="AC231" s="1">
        <v>150.0</v>
      </c>
      <c r="AD231" s="1">
        <v>170.0</v>
      </c>
      <c r="AE231" s="1">
        <v>60.0</v>
      </c>
      <c r="AF231" s="1">
        <v>40.0</v>
      </c>
      <c r="AG231" s="1">
        <v>45.0</v>
      </c>
      <c r="AH231" s="1"/>
      <c r="AI231" s="1">
        <v>205.0</v>
      </c>
      <c r="AJ231" s="1">
        <v>60.0</v>
      </c>
      <c r="AK231" s="1">
        <v>100.0</v>
      </c>
      <c r="AL231" s="1">
        <v>175.0</v>
      </c>
      <c r="AM231" s="1">
        <v>130.0</v>
      </c>
      <c r="AN231" s="3">
        <v>47.0</v>
      </c>
      <c r="AO231" s="3">
        <v>160.0</v>
      </c>
      <c r="AP231" s="3">
        <v>70.0</v>
      </c>
      <c r="AQ231" s="3"/>
      <c r="AR231" s="1">
        <v>854.0</v>
      </c>
      <c r="AS231" s="1">
        <v>250.0</v>
      </c>
      <c r="AT231" s="1">
        <v>220.0</v>
      </c>
      <c r="AU231" s="3">
        <v>423.0</v>
      </c>
      <c r="AV231" s="1">
        <v>120.0</v>
      </c>
      <c r="AW231" s="3">
        <v>200.0</v>
      </c>
      <c r="AX231" s="3"/>
      <c r="AY231" s="3">
        <v>142.0</v>
      </c>
      <c r="AZ231" s="1">
        <v>40.0</v>
      </c>
      <c r="BA231" s="1"/>
      <c r="BB231" s="3">
        <v>402.0</v>
      </c>
      <c r="BC231" s="1">
        <v>150.0</v>
      </c>
      <c r="BD231" s="1">
        <v>190.0</v>
      </c>
      <c r="BE231" s="1">
        <v>80.0</v>
      </c>
      <c r="BF231" s="3">
        <v>328.0</v>
      </c>
      <c r="BG231" s="1">
        <v>213.0</v>
      </c>
      <c r="BH231" s="1">
        <v>23.0</v>
      </c>
      <c r="BI231" s="1">
        <v>40.0</v>
      </c>
      <c r="BJ231" s="1">
        <v>278.0</v>
      </c>
      <c r="BK231" s="3"/>
      <c r="BL231" s="1">
        <v>160.0</v>
      </c>
      <c r="BM231" s="1">
        <v>75.0</v>
      </c>
      <c r="BN231" s="32">
        <v>1802.0</v>
      </c>
      <c r="BO231" s="1">
        <v>47.0</v>
      </c>
      <c r="BP231" s="3">
        <v>48.0</v>
      </c>
      <c r="BQ231" s="1">
        <v>188.0</v>
      </c>
      <c r="BR231" s="27">
        <v>28381.0</v>
      </c>
    </row>
    <row r="232">
      <c r="A232" s="25">
        <f>'Equity Price Data'!A233</f>
        <v>45761.66667</v>
      </c>
      <c r="B232" s="34">
        <f>(('PRACTICE Equity Price Data'!B233/'PRACTICE Equity Price Data'!B232)-1)+B231</f>
        <v>0.05178935583</v>
      </c>
      <c r="C232" s="34">
        <f>(('PRACTICE Equity Price Data'!C233/'PRACTICE Equity Price Data'!C232)-1)+C231</f>
        <v>0.05663595013</v>
      </c>
      <c r="D232" s="34">
        <f>(('PRACTICE Equity Price Data'!D233/'PRACTICE Equity Price Data'!D232)-1)+D231</f>
        <v>0.04036519225</v>
      </c>
      <c r="E232" s="34">
        <f>(('PRACTICE Equity Price Data'!E233/'PRACTICE Equity Price Data'!E232)-1)+E231</f>
        <v>-0.06444172368</v>
      </c>
      <c r="F232" s="3">
        <v>13.0</v>
      </c>
      <c r="G232" s="3">
        <v>260.0</v>
      </c>
      <c r="H232" s="3">
        <v>110.0</v>
      </c>
      <c r="I232" s="3">
        <v>256.0</v>
      </c>
      <c r="J232" s="3">
        <v>83.0</v>
      </c>
      <c r="K232" s="3">
        <v>188.0</v>
      </c>
      <c r="L232" s="3">
        <v>1000.0</v>
      </c>
      <c r="M232" s="3">
        <v>102.0</v>
      </c>
      <c r="N232" s="3">
        <v>200.0</v>
      </c>
      <c r="O232" s="3">
        <v>121.0</v>
      </c>
      <c r="P232" s="3"/>
      <c r="Q232" s="3">
        <v>80.0</v>
      </c>
      <c r="R232" s="3">
        <v>150.0</v>
      </c>
      <c r="S232" s="3">
        <v>417.0</v>
      </c>
      <c r="T232" s="3">
        <v>120.0</v>
      </c>
      <c r="U232" s="3">
        <v>80.0</v>
      </c>
      <c r="V232" s="1">
        <v>88.0</v>
      </c>
      <c r="W232" s="1">
        <v>250.0</v>
      </c>
      <c r="X232" s="1">
        <v>264.0</v>
      </c>
      <c r="Y232" s="1">
        <v>161.0</v>
      </c>
      <c r="Z232" s="1">
        <v>69.0</v>
      </c>
      <c r="AA232" s="3"/>
      <c r="AB232" s="1">
        <v>13.0</v>
      </c>
      <c r="AC232" s="1">
        <v>150.0</v>
      </c>
      <c r="AD232" s="1">
        <v>170.0</v>
      </c>
      <c r="AE232" s="1">
        <v>60.0</v>
      </c>
      <c r="AF232" s="1">
        <v>40.0</v>
      </c>
      <c r="AG232" s="1">
        <v>45.0</v>
      </c>
      <c r="AH232" s="1"/>
      <c r="AI232" s="1">
        <v>205.0</v>
      </c>
      <c r="AJ232" s="1">
        <v>60.0</v>
      </c>
      <c r="AK232" s="1">
        <v>100.0</v>
      </c>
      <c r="AL232" s="1">
        <v>175.0</v>
      </c>
      <c r="AM232" s="1">
        <v>130.0</v>
      </c>
      <c r="AN232" s="3">
        <v>47.0</v>
      </c>
      <c r="AO232" s="3">
        <v>160.0</v>
      </c>
      <c r="AP232" s="3">
        <v>70.0</v>
      </c>
      <c r="AQ232" s="3"/>
      <c r="AR232" s="1">
        <v>854.0</v>
      </c>
      <c r="AS232" s="1">
        <v>250.0</v>
      </c>
      <c r="AT232" s="1">
        <v>220.0</v>
      </c>
      <c r="AU232" s="3">
        <v>423.0</v>
      </c>
      <c r="AV232" s="1">
        <v>120.0</v>
      </c>
      <c r="AW232" s="3">
        <v>200.0</v>
      </c>
      <c r="AX232" s="3"/>
      <c r="AY232" s="3">
        <v>142.0</v>
      </c>
      <c r="AZ232" s="1">
        <v>40.0</v>
      </c>
      <c r="BA232" s="1"/>
      <c r="BB232" s="3">
        <v>402.0</v>
      </c>
      <c r="BC232" s="1">
        <v>150.0</v>
      </c>
      <c r="BD232" s="1">
        <v>190.0</v>
      </c>
      <c r="BE232" s="1">
        <v>80.0</v>
      </c>
      <c r="BF232" s="3">
        <v>328.0</v>
      </c>
      <c r="BG232" s="1">
        <v>213.0</v>
      </c>
      <c r="BH232" s="1">
        <v>23.0</v>
      </c>
      <c r="BI232" s="1">
        <v>40.0</v>
      </c>
      <c r="BJ232" s="1">
        <v>278.0</v>
      </c>
      <c r="BK232" s="3"/>
      <c r="BL232" s="1">
        <v>160.0</v>
      </c>
      <c r="BM232" s="1">
        <v>75.0</v>
      </c>
      <c r="BN232" s="32">
        <v>1802.0</v>
      </c>
      <c r="BO232" s="1">
        <v>47.0</v>
      </c>
      <c r="BP232" s="3">
        <v>48.0</v>
      </c>
      <c r="BQ232" s="1">
        <v>188.0</v>
      </c>
      <c r="BR232" s="27">
        <v>28381.0</v>
      </c>
    </row>
    <row r="233">
      <c r="A233" s="25">
        <f>'Equity Price Data'!A234</f>
        <v>45762.66667</v>
      </c>
      <c r="B233" s="34">
        <f>(('PRACTICE Equity Price Data'!B234/'PRACTICE Equity Price Data'!B233)-1)+B232</f>
        <v>0.05006163629</v>
      </c>
      <c r="C233" s="34">
        <f>(('PRACTICE Equity Price Data'!C234/'PRACTICE Equity Price Data'!C233)-1)+C232</f>
        <v>0.0561422324</v>
      </c>
      <c r="D233" s="34">
        <f>(('PRACTICE Equity Price Data'!D234/'PRACTICE Equity Price Data'!D233)-1)+D232</f>
        <v>0.03651989163</v>
      </c>
      <c r="E233" s="34">
        <f>(('PRACTICE Equity Price Data'!E234/'PRACTICE Equity Price Data'!E233)-1)+E232</f>
        <v>-0.06335712498</v>
      </c>
      <c r="F233" s="3">
        <v>13.0</v>
      </c>
      <c r="G233" s="3">
        <v>260.0</v>
      </c>
      <c r="H233" s="3">
        <v>110.0</v>
      </c>
      <c r="I233" s="3">
        <v>256.0</v>
      </c>
      <c r="J233" s="3">
        <v>83.0</v>
      </c>
      <c r="K233" s="3">
        <v>188.0</v>
      </c>
      <c r="L233" s="3">
        <v>1000.0</v>
      </c>
      <c r="M233" s="3">
        <v>102.0</v>
      </c>
      <c r="N233" s="3">
        <v>200.0</v>
      </c>
      <c r="O233" s="3">
        <v>121.0</v>
      </c>
      <c r="P233" s="3"/>
      <c r="Q233" s="3">
        <v>80.0</v>
      </c>
      <c r="R233" s="3">
        <v>150.0</v>
      </c>
      <c r="S233" s="3">
        <v>417.0</v>
      </c>
      <c r="T233" s="3">
        <v>120.0</v>
      </c>
      <c r="U233" s="3">
        <v>80.0</v>
      </c>
      <c r="V233" s="1">
        <v>88.0</v>
      </c>
      <c r="W233" s="1">
        <v>250.0</v>
      </c>
      <c r="X233" s="1">
        <v>264.0</v>
      </c>
      <c r="Y233" s="1">
        <v>161.0</v>
      </c>
      <c r="Z233" s="1">
        <v>69.0</v>
      </c>
      <c r="AA233" s="3"/>
      <c r="AB233" s="1">
        <v>13.0</v>
      </c>
      <c r="AC233" s="1">
        <v>150.0</v>
      </c>
      <c r="AD233" s="1">
        <v>170.0</v>
      </c>
      <c r="AE233" s="1">
        <v>60.0</v>
      </c>
      <c r="AF233" s="1">
        <v>40.0</v>
      </c>
      <c r="AG233" s="1">
        <v>45.0</v>
      </c>
      <c r="AH233" s="1"/>
      <c r="AI233" s="1">
        <v>205.0</v>
      </c>
      <c r="AJ233" s="1">
        <v>60.0</v>
      </c>
      <c r="AK233" s="1">
        <v>100.0</v>
      </c>
      <c r="AL233" s="1">
        <v>175.0</v>
      </c>
      <c r="AM233" s="1">
        <v>130.0</v>
      </c>
      <c r="AN233" s="3">
        <v>47.0</v>
      </c>
      <c r="AO233" s="3">
        <v>160.0</v>
      </c>
      <c r="AP233" s="3">
        <v>70.0</v>
      </c>
      <c r="AQ233" s="3"/>
      <c r="AR233" s="1">
        <v>854.0</v>
      </c>
      <c r="AS233" s="1">
        <v>250.0</v>
      </c>
      <c r="AT233" s="1">
        <v>220.0</v>
      </c>
      <c r="AU233" s="3">
        <v>423.0</v>
      </c>
      <c r="AV233" s="1">
        <v>120.0</v>
      </c>
      <c r="AW233" s="3">
        <v>200.0</v>
      </c>
      <c r="AX233" s="3"/>
      <c r="AY233" s="3">
        <v>142.0</v>
      </c>
      <c r="AZ233" s="1">
        <v>40.0</v>
      </c>
      <c r="BA233" s="1"/>
      <c r="BB233" s="3">
        <v>402.0</v>
      </c>
      <c r="BC233" s="1">
        <v>150.0</v>
      </c>
      <c r="BD233" s="1">
        <v>190.0</v>
      </c>
      <c r="BE233" s="1">
        <v>80.0</v>
      </c>
      <c r="BF233" s="3">
        <v>328.0</v>
      </c>
      <c r="BG233" s="1">
        <v>213.0</v>
      </c>
      <c r="BH233" s="1">
        <v>23.0</v>
      </c>
      <c r="BI233" s="1">
        <v>40.0</v>
      </c>
      <c r="BJ233" s="1">
        <v>278.0</v>
      </c>
      <c r="BK233" s="3"/>
      <c r="BL233" s="1">
        <v>160.0</v>
      </c>
      <c r="BM233" s="1">
        <v>75.0</v>
      </c>
      <c r="BN233" s="32">
        <v>1802.0</v>
      </c>
      <c r="BO233" s="1">
        <v>47.0</v>
      </c>
      <c r="BP233" s="3">
        <v>48.0</v>
      </c>
      <c r="BQ233" s="1">
        <v>188.0</v>
      </c>
      <c r="BR233" s="27">
        <v>28381.0</v>
      </c>
    </row>
    <row r="234">
      <c r="A234" s="25">
        <f>'Equity Price Data'!A235</f>
        <v>45763.66667</v>
      </c>
      <c r="B234" s="34">
        <f>(('PRACTICE Equity Price Data'!B235/'PRACTICE Equity Price Data'!B234)-1)+B233</f>
        <v>0.02765320733</v>
      </c>
      <c r="C234" s="34">
        <f>(('PRACTICE Equity Price Data'!C235/'PRACTICE Equity Price Data'!C234)-1)+C233</f>
        <v>0.02546965405</v>
      </c>
      <c r="D234" s="34">
        <f>(('PRACTICE Equity Price Data'!D235/'PRACTICE Equity Price Data'!D234)-1)+D233</f>
        <v>0.01919048805</v>
      </c>
      <c r="E234" s="34">
        <f>(('PRACTICE Equity Price Data'!E235/'PRACTICE Equity Price Data'!E234)-1)+E233</f>
        <v>-0.07368151476</v>
      </c>
      <c r="F234" s="3">
        <v>13.0</v>
      </c>
      <c r="G234" s="3">
        <v>260.0</v>
      </c>
      <c r="H234" s="3">
        <v>110.0</v>
      </c>
      <c r="I234" s="3">
        <v>256.0</v>
      </c>
      <c r="J234" s="3">
        <v>83.0</v>
      </c>
      <c r="K234" s="3">
        <v>188.0</v>
      </c>
      <c r="L234" s="3">
        <v>1000.0</v>
      </c>
      <c r="M234" s="3">
        <v>102.0</v>
      </c>
      <c r="N234" s="3">
        <v>200.0</v>
      </c>
      <c r="O234" s="3">
        <v>121.0</v>
      </c>
      <c r="P234" s="3"/>
      <c r="Q234" s="3">
        <v>80.0</v>
      </c>
      <c r="R234" s="3">
        <v>150.0</v>
      </c>
      <c r="S234" s="3">
        <v>417.0</v>
      </c>
      <c r="T234" s="3">
        <v>120.0</v>
      </c>
      <c r="U234" s="3">
        <v>80.0</v>
      </c>
      <c r="V234" s="1">
        <v>88.0</v>
      </c>
      <c r="W234" s="1">
        <v>250.0</v>
      </c>
      <c r="X234" s="1">
        <v>264.0</v>
      </c>
      <c r="Y234" s="1">
        <v>161.0</v>
      </c>
      <c r="Z234" s="1">
        <v>69.0</v>
      </c>
      <c r="AA234" s="3"/>
      <c r="AB234" s="1">
        <v>13.0</v>
      </c>
      <c r="AC234" s="1">
        <v>150.0</v>
      </c>
      <c r="AD234" s="1">
        <v>170.0</v>
      </c>
      <c r="AE234" s="1">
        <v>60.0</v>
      </c>
      <c r="AF234" s="1">
        <v>40.0</v>
      </c>
      <c r="AG234" s="1">
        <v>45.0</v>
      </c>
      <c r="AH234" s="1"/>
      <c r="AI234" s="1">
        <v>205.0</v>
      </c>
      <c r="AJ234" s="1">
        <v>60.0</v>
      </c>
      <c r="AK234" s="1">
        <v>100.0</v>
      </c>
      <c r="AL234" s="1">
        <v>175.0</v>
      </c>
      <c r="AM234" s="1">
        <v>130.0</v>
      </c>
      <c r="AN234" s="3">
        <v>47.0</v>
      </c>
      <c r="AO234" s="3">
        <v>160.0</v>
      </c>
      <c r="AP234" s="3">
        <v>70.0</v>
      </c>
      <c r="AQ234" s="3"/>
      <c r="AR234" s="1">
        <v>854.0</v>
      </c>
      <c r="AS234" s="1">
        <v>250.0</v>
      </c>
      <c r="AT234" s="1">
        <v>220.0</v>
      </c>
      <c r="AU234" s="3">
        <v>423.0</v>
      </c>
      <c r="AV234" s="1">
        <v>120.0</v>
      </c>
      <c r="AW234" s="3">
        <v>200.0</v>
      </c>
      <c r="AX234" s="3"/>
      <c r="AY234" s="3">
        <v>142.0</v>
      </c>
      <c r="AZ234" s="1">
        <v>40.0</v>
      </c>
      <c r="BA234" s="1"/>
      <c r="BB234" s="3">
        <v>402.0</v>
      </c>
      <c r="BC234" s="1">
        <v>150.0</v>
      </c>
      <c r="BD234" s="1">
        <v>190.0</v>
      </c>
      <c r="BE234" s="1">
        <v>80.0</v>
      </c>
      <c r="BF234" s="3">
        <v>328.0</v>
      </c>
      <c r="BG234" s="1">
        <v>213.0</v>
      </c>
      <c r="BH234" s="1">
        <v>23.0</v>
      </c>
      <c r="BI234" s="1">
        <v>40.0</v>
      </c>
      <c r="BJ234" s="1">
        <v>278.0</v>
      </c>
      <c r="BK234" s="3"/>
      <c r="BL234" s="1">
        <v>160.0</v>
      </c>
      <c r="BM234" s="1">
        <v>75.0</v>
      </c>
      <c r="BN234" s="32">
        <v>1802.0</v>
      </c>
      <c r="BO234" s="1">
        <v>47.0</v>
      </c>
      <c r="BP234" s="3">
        <v>48.0</v>
      </c>
      <c r="BQ234" s="1">
        <v>188.0</v>
      </c>
      <c r="BR234" s="27">
        <v>28381.0</v>
      </c>
    </row>
    <row r="235">
      <c r="A235" s="25">
        <f>'Equity Price Data'!A236</f>
        <v>45764.66667</v>
      </c>
      <c r="B235" s="34">
        <f>(('PRACTICE Equity Price Data'!B236/'PRACTICE Equity Price Data'!B235)-1)+B234</f>
        <v>0.02898004547</v>
      </c>
      <c r="C235" s="34">
        <f>(('PRACTICE Equity Price Data'!C236/'PRACTICE Equity Price Data'!C235)-1)+C234</f>
        <v>0.02419965976</v>
      </c>
      <c r="D235" s="34">
        <f>(('PRACTICE Equity Price Data'!D236/'PRACTICE Equity Price Data'!D235)-1)+D234</f>
        <v>0.005901652501</v>
      </c>
      <c r="E235" s="34">
        <f>(('PRACTICE Equity Price Data'!E236/'PRACTICE Equity Price Data'!E235)-1)+E234</f>
        <v>-0.06448366986</v>
      </c>
      <c r="F235" s="3">
        <v>13.0</v>
      </c>
      <c r="G235" s="3">
        <v>260.0</v>
      </c>
      <c r="H235" s="3">
        <v>110.0</v>
      </c>
      <c r="I235" s="3">
        <v>256.0</v>
      </c>
      <c r="J235" s="3">
        <v>83.0</v>
      </c>
      <c r="K235" s="3">
        <v>188.0</v>
      </c>
      <c r="L235" s="3">
        <v>1000.0</v>
      </c>
      <c r="M235" s="3">
        <v>102.0</v>
      </c>
      <c r="N235" s="3">
        <v>200.0</v>
      </c>
      <c r="O235" s="3">
        <v>121.0</v>
      </c>
      <c r="P235" s="3"/>
      <c r="Q235" s="3">
        <v>80.0</v>
      </c>
      <c r="R235" s="3">
        <v>150.0</v>
      </c>
      <c r="S235" s="3">
        <v>417.0</v>
      </c>
      <c r="T235" s="3">
        <v>120.0</v>
      </c>
      <c r="U235" s="3">
        <v>80.0</v>
      </c>
      <c r="V235" s="1">
        <v>88.0</v>
      </c>
      <c r="W235" s="1">
        <v>250.0</v>
      </c>
      <c r="X235" s="1">
        <v>264.0</v>
      </c>
      <c r="Y235" s="1">
        <v>161.0</v>
      </c>
      <c r="Z235" s="1">
        <v>69.0</v>
      </c>
      <c r="AA235" s="3"/>
      <c r="AB235" s="1">
        <v>13.0</v>
      </c>
      <c r="AC235" s="1">
        <v>150.0</v>
      </c>
      <c r="AD235" s="1">
        <v>170.0</v>
      </c>
      <c r="AE235" s="1">
        <v>60.0</v>
      </c>
      <c r="AF235" s="1">
        <v>40.0</v>
      </c>
      <c r="AG235" s="1">
        <v>45.0</v>
      </c>
      <c r="AH235" s="1"/>
      <c r="AI235" s="1">
        <v>205.0</v>
      </c>
      <c r="AJ235" s="1">
        <v>60.0</v>
      </c>
      <c r="AK235" s="1">
        <v>100.0</v>
      </c>
      <c r="AL235" s="1">
        <v>175.0</v>
      </c>
      <c r="AM235" s="1">
        <v>130.0</v>
      </c>
      <c r="AN235" s="3">
        <v>47.0</v>
      </c>
      <c r="AO235" s="3">
        <v>160.0</v>
      </c>
      <c r="AP235" s="3">
        <v>70.0</v>
      </c>
      <c r="AQ235" s="3"/>
      <c r="AR235" s="1">
        <v>854.0</v>
      </c>
      <c r="AS235" s="1">
        <v>250.0</v>
      </c>
      <c r="AT235" s="1">
        <v>220.0</v>
      </c>
      <c r="AU235" s="3">
        <v>423.0</v>
      </c>
      <c r="AV235" s="1">
        <v>120.0</v>
      </c>
      <c r="AW235" s="3">
        <v>200.0</v>
      </c>
      <c r="AX235" s="3"/>
      <c r="AY235" s="3">
        <v>142.0</v>
      </c>
      <c r="AZ235" s="1">
        <v>40.0</v>
      </c>
      <c r="BA235" s="1"/>
      <c r="BB235" s="3">
        <v>402.0</v>
      </c>
      <c r="BC235" s="1">
        <v>150.0</v>
      </c>
      <c r="BD235" s="1">
        <v>190.0</v>
      </c>
      <c r="BE235" s="1">
        <v>80.0</v>
      </c>
      <c r="BF235" s="3">
        <v>328.0</v>
      </c>
      <c r="BG235" s="1">
        <v>213.0</v>
      </c>
      <c r="BH235" s="1">
        <v>23.0</v>
      </c>
      <c r="BI235" s="1">
        <v>40.0</v>
      </c>
      <c r="BJ235" s="1">
        <v>278.0</v>
      </c>
      <c r="BK235" s="3"/>
      <c r="BL235" s="1">
        <v>160.0</v>
      </c>
      <c r="BM235" s="1">
        <v>75.0</v>
      </c>
      <c r="BN235" s="32">
        <v>1802.0</v>
      </c>
      <c r="BO235" s="1">
        <v>47.0</v>
      </c>
      <c r="BP235" s="3">
        <v>48.0</v>
      </c>
      <c r="BQ235" s="1">
        <v>188.0</v>
      </c>
      <c r="BR235" s="27">
        <v>28381.0</v>
      </c>
    </row>
    <row r="236">
      <c r="A236" s="25">
        <f>'Equity Price Data'!A237</f>
        <v>45768.66667</v>
      </c>
      <c r="B236" s="34">
        <f>(('PRACTICE Equity Price Data'!B237/'PRACTICE Equity Price Data'!B236)-1)+B235</f>
        <v>0.005412551576</v>
      </c>
      <c r="C236" s="34">
        <f>(('PRACTICE Equity Price Data'!C237/'PRACTICE Equity Price Data'!C236)-1)+C235</f>
        <v>-0.001315415652</v>
      </c>
      <c r="D236" s="34">
        <f>(('PRACTICE Equity Price Data'!D237/'PRACTICE Equity Price Data'!D236)-1)+D235</f>
        <v>-0.01892626354</v>
      </c>
      <c r="E236" s="34">
        <f>(('PRACTICE Equity Price Data'!E237/'PRACTICE Equity Price Data'!E236)-1)+E235</f>
        <v>-0.08591277303</v>
      </c>
      <c r="F236" s="3">
        <v>13.0</v>
      </c>
      <c r="G236" s="3">
        <v>260.0</v>
      </c>
      <c r="H236" s="3">
        <v>110.0</v>
      </c>
      <c r="I236" s="3">
        <v>256.0</v>
      </c>
      <c r="J236" s="3">
        <v>83.0</v>
      </c>
      <c r="K236" s="3">
        <v>188.0</v>
      </c>
      <c r="L236" s="3">
        <v>1000.0</v>
      </c>
      <c r="M236" s="3">
        <v>102.0</v>
      </c>
      <c r="N236" s="3">
        <v>200.0</v>
      </c>
      <c r="O236" s="3">
        <v>121.0</v>
      </c>
      <c r="P236" s="3"/>
      <c r="Q236" s="3">
        <v>80.0</v>
      </c>
      <c r="R236" s="3">
        <v>150.0</v>
      </c>
      <c r="S236" s="3">
        <v>417.0</v>
      </c>
      <c r="T236" s="3">
        <v>120.0</v>
      </c>
      <c r="U236" s="3">
        <v>80.0</v>
      </c>
      <c r="V236" s="1">
        <v>88.0</v>
      </c>
      <c r="W236" s="1">
        <v>250.0</v>
      </c>
      <c r="X236" s="1">
        <v>264.0</v>
      </c>
      <c r="Y236" s="1">
        <v>161.0</v>
      </c>
      <c r="Z236" s="1">
        <v>69.0</v>
      </c>
      <c r="AA236" s="3"/>
      <c r="AB236" s="1">
        <v>13.0</v>
      </c>
      <c r="AC236" s="1">
        <v>150.0</v>
      </c>
      <c r="AD236" s="1">
        <v>170.0</v>
      </c>
      <c r="AE236" s="1">
        <v>60.0</v>
      </c>
      <c r="AF236" s="1">
        <v>40.0</v>
      </c>
      <c r="AG236" s="1">
        <v>45.0</v>
      </c>
      <c r="AH236" s="1"/>
      <c r="AI236" s="1">
        <v>205.0</v>
      </c>
      <c r="AJ236" s="1">
        <v>60.0</v>
      </c>
      <c r="AK236" s="1">
        <v>100.0</v>
      </c>
      <c r="AL236" s="1">
        <v>175.0</v>
      </c>
      <c r="AM236" s="1">
        <v>130.0</v>
      </c>
      <c r="AN236" s="3">
        <v>47.0</v>
      </c>
      <c r="AO236" s="3">
        <v>160.0</v>
      </c>
      <c r="AP236" s="3">
        <v>70.0</v>
      </c>
      <c r="AQ236" s="3"/>
      <c r="AR236" s="1">
        <v>854.0</v>
      </c>
      <c r="AS236" s="1">
        <v>250.0</v>
      </c>
      <c r="AT236" s="1">
        <v>220.0</v>
      </c>
      <c r="AU236" s="3">
        <v>423.0</v>
      </c>
      <c r="AV236" s="1">
        <v>120.0</v>
      </c>
      <c r="AW236" s="3">
        <v>200.0</v>
      </c>
      <c r="AX236" s="3"/>
      <c r="AY236" s="3">
        <v>142.0</v>
      </c>
      <c r="AZ236" s="1">
        <v>40.0</v>
      </c>
      <c r="BA236" s="1"/>
      <c r="BB236" s="3">
        <v>402.0</v>
      </c>
      <c r="BC236" s="1">
        <v>150.0</v>
      </c>
      <c r="BD236" s="1">
        <v>190.0</v>
      </c>
      <c r="BE236" s="1">
        <v>80.0</v>
      </c>
      <c r="BF236" s="3">
        <v>328.0</v>
      </c>
      <c r="BG236" s="1">
        <v>213.0</v>
      </c>
      <c r="BH236" s="1">
        <v>23.0</v>
      </c>
      <c r="BI236" s="1">
        <v>40.0</v>
      </c>
      <c r="BJ236" s="1">
        <v>278.0</v>
      </c>
      <c r="BK236" s="3"/>
      <c r="BL236" s="1">
        <v>160.0</v>
      </c>
      <c r="BM236" s="1">
        <v>75.0</v>
      </c>
      <c r="BN236" s="32">
        <v>1802.0</v>
      </c>
      <c r="BO236" s="1">
        <v>47.0</v>
      </c>
      <c r="BP236" s="3">
        <v>48.0</v>
      </c>
      <c r="BQ236" s="1">
        <v>188.0</v>
      </c>
      <c r="BR236" s="27">
        <v>28381.0</v>
      </c>
    </row>
    <row r="237">
      <c r="A237" s="25">
        <f>'Equity Price Data'!A238</f>
        <v>45769.66667</v>
      </c>
      <c r="B237" s="34">
        <f>(('PRACTICE Equity Price Data'!B238/'PRACTICE Equity Price Data'!B237)-1)+B236</f>
        <v>0.03052984055</v>
      </c>
      <c r="C237" s="34">
        <f>(('PRACTICE Equity Price Data'!C238/'PRACTICE Equity Price Data'!C237)-1)+C236</f>
        <v>0.0257479519</v>
      </c>
      <c r="D237" s="34">
        <f>(('PRACTICE Equity Price Data'!D238/'PRACTICE Equity Price Data'!D237)-1)+D236</f>
        <v>0.007706146227</v>
      </c>
      <c r="E237" s="34">
        <f>(('PRACTICE Equity Price Data'!E238/'PRACTICE Equity Price Data'!E237)-1)+E236</f>
        <v>-0.05876532042</v>
      </c>
      <c r="F237" s="3">
        <v>13.0</v>
      </c>
      <c r="G237" s="3">
        <v>260.0</v>
      </c>
      <c r="H237" s="3">
        <v>110.0</v>
      </c>
      <c r="I237" s="3">
        <v>256.0</v>
      </c>
      <c r="J237" s="3">
        <v>83.0</v>
      </c>
      <c r="K237" s="3">
        <v>188.0</v>
      </c>
      <c r="L237" s="3">
        <v>1000.0</v>
      </c>
      <c r="M237" s="3">
        <v>102.0</v>
      </c>
      <c r="N237" s="3">
        <v>200.0</v>
      </c>
      <c r="O237" s="3">
        <v>121.0</v>
      </c>
      <c r="P237" s="3"/>
      <c r="Q237" s="3">
        <v>80.0</v>
      </c>
      <c r="R237" s="3">
        <v>150.0</v>
      </c>
      <c r="S237" s="3">
        <v>417.0</v>
      </c>
      <c r="T237" s="3">
        <v>120.0</v>
      </c>
      <c r="U237" s="3">
        <v>80.0</v>
      </c>
      <c r="V237" s="1">
        <v>88.0</v>
      </c>
      <c r="W237" s="1">
        <v>250.0</v>
      </c>
      <c r="X237" s="1">
        <v>264.0</v>
      </c>
      <c r="Y237" s="1">
        <v>161.0</v>
      </c>
      <c r="Z237" s="1">
        <v>69.0</v>
      </c>
      <c r="AA237" s="3"/>
      <c r="AB237" s="1">
        <v>13.0</v>
      </c>
      <c r="AC237" s="1">
        <v>150.0</v>
      </c>
      <c r="AD237" s="1">
        <v>170.0</v>
      </c>
      <c r="AE237" s="1">
        <v>60.0</v>
      </c>
      <c r="AF237" s="1">
        <v>40.0</v>
      </c>
      <c r="AG237" s="1">
        <v>45.0</v>
      </c>
      <c r="AH237" s="1"/>
      <c r="AI237" s="1">
        <v>205.0</v>
      </c>
      <c r="AJ237" s="1">
        <v>60.0</v>
      </c>
      <c r="AK237" s="1">
        <v>100.0</v>
      </c>
      <c r="AL237" s="1">
        <v>175.0</v>
      </c>
      <c r="AM237" s="1">
        <v>130.0</v>
      </c>
      <c r="AN237" s="3">
        <v>47.0</v>
      </c>
      <c r="AO237" s="3">
        <v>160.0</v>
      </c>
      <c r="AP237" s="3">
        <v>70.0</v>
      </c>
      <c r="AQ237" s="3"/>
      <c r="AR237" s="1">
        <v>854.0</v>
      </c>
      <c r="AS237" s="1">
        <v>250.0</v>
      </c>
      <c r="AT237" s="1">
        <v>220.0</v>
      </c>
      <c r="AU237" s="3">
        <v>423.0</v>
      </c>
      <c r="AV237" s="1">
        <v>120.0</v>
      </c>
      <c r="AW237" s="3">
        <v>200.0</v>
      </c>
      <c r="AX237" s="3"/>
      <c r="AY237" s="3">
        <v>142.0</v>
      </c>
      <c r="AZ237" s="1">
        <v>40.0</v>
      </c>
      <c r="BA237" s="1"/>
      <c r="BB237" s="3">
        <v>402.0</v>
      </c>
      <c r="BC237" s="1">
        <v>150.0</v>
      </c>
      <c r="BD237" s="1">
        <v>190.0</v>
      </c>
      <c r="BE237" s="1">
        <v>80.0</v>
      </c>
      <c r="BF237" s="3">
        <v>328.0</v>
      </c>
      <c r="BG237" s="1">
        <v>213.0</v>
      </c>
      <c r="BH237" s="1">
        <v>23.0</v>
      </c>
      <c r="BI237" s="1">
        <v>40.0</v>
      </c>
      <c r="BJ237" s="1">
        <v>278.0</v>
      </c>
      <c r="BK237" s="3"/>
      <c r="BL237" s="1">
        <v>160.0</v>
      </c>
      <c r="BM237" s="1">
        <v>75.0</v>
      </c>
      <c r="BN237" s="32">
        <v>1802.0</v>
      </c>
      <c r="BO237" s="1">
        <v>47.0</v>
      </c>
      <c r="BP237" s="3">
        <v>48.0</v>
      </c>
      <c r="BQ237" s="1">
        <v>188.0</v>
      </c>
      <c r="BR237" s="27">
        <v>28381.0</v>
      </c>
    </row>
    <row r="238">
      <c r="A238" s="25">
        <f>'Equity Price Data'!A239</f>
        <v>45770.66667</v>
      </c>
      <c r="B238" s="34">
        <f>(('PRACTICE Equity Price Data'!B239/'PRACTICE Equity Price Data'!B238)-1)+B237</f>
        <v>0.04719095982</v>
      </c>
      <c r="C238" s="34">
        <f>(('PRACTICE Equity Price Data'!C239/'PRACTICE Equity Price Data'!C238)-1)+C237</f>
        <v>0.05075528299</v>
      </c>
      <c r="D238" s="34">
        <f>(('PRACTICE Equity Price Data'!D239/'PRACTICE Equity Price Data'!D238)-1)+D237</f>
        <v>0.01841352914</v>
      </c>
      <c r="E238" s="34">
        <f>(('PRACTICE Equity Price Data'!E239/'PRACTICE Equity Price Data'!E238)-1)+E237</f>
        <v>-0.04349774101</v>
      </c>
      <c r="F238" s="3">
        <v>13.0</v>
      </c>
      <c r="G238" s="3">
        <v>260.0</v>
      </c>
      <c r="H238" s="3">
        <v>110.0</v>
      </c>
      <c r="I238" s="3">
        <v>256.0</v>
      </c>
      <c r="J238" s="3">
        <v>83.0</v>
      </c>
      <c r="K238" s="3">
        <v>188.0</v>
      </c>
      <c r="L238" s="3">
        <v>1000.0</v>
      </c>
      <c r="M238" s="3">
        <v>102.0</v>
      </c>
      <c r="N238" s="3">
        <v>200.0</v>
      </c>
      <c r="O238" s="3">
        <v>121.0</v>
      </c>
      <c r="P238" s="3"/>
      <c r="Q238" s="3">
        <v>80.0</v>
      </c>
      <c r="R238" s="3">
        <v>150.0</v>
      </c>
      <c r="S238" s="3">
        <v>417.0</v>
      </c>
      <c r="T238" s="3">
        <v>120.0</v>
      </c>
      <c r="U238" s="3">
        <v>80.0</v>
      </c>
      <c r="V238" s="1">
        <v>88.0</v>
      </c>
      <c r="W238" s="1">
        <v>250.0</v>
      </c>
      <c r="X238" s="1">
        <v>264.0</v>
      </c>
      <c r="Y238" s="1">
        <v>161.0</v>
      </c>
      <c r="Z238" s="1">
        <v>69.0</v>
      </c>
      <c r="AA238" s="3"/>
      <c r="AB238" s="1">
        <v>13.0</v>
      </c>
      <c r="AC238" s="1">
        <v>150.0</v>
      </c>
      <c r="AD238" s="1">
        <v>170.0</v>
      </c>
      <c r="AE238" s="1">
        <v>60.0</v>
      </c>
      <c r="AF238" s="1">
        <v>40.0</v>
      </c>
      <c r="AG238" s="1">
        <v>45.0</v>
      </c>
      <c r="AH238" s="1"/>
      <c r="AI238" s="1">
        <v>205.0</v>
      </c>
      <c r="AJ238" s="1">
        <v>60.0</v>
      </c>
      <c r="AK238" s="1">
        <v>100.0</v>
      </c>
      <c r="AL238" s="1">
        <v>175.0</v>
      </c>
      <c r="AM238" s="1">
        <v>130.0</v>
      </c>
      <c r="AN238" s="3">
        <v>47.0</v>
      </c>
      <c r="AO238" s="3">
        <v>160.0</v>
      </c>
      <c r="AP238" s="3">
        <v>70.0</v>
      </c>
      <c r="AQ238" s="3"/>
      <c r="AR238" s="1">
        <v>854.0</v>
      </c>
      <c r="AS238" s="1">
        <v>250.0</v>
      </c>
      <c r="AT238" s="1">
        <v>220.0</v>
      </c>
      <c r="AU238" s="3">
        <v>423.0</v>
      </c>
      <c r="AV238" s="1">
        <v>120.0</v>
      </c>
      <c r="AW238" s="3">
        <v>200.0</v>
      </c>
      <c r="AX238" s="3"/>
      <c r="AY238" s="3">
        <v>142.0</v>
      </c>
      <c r="AZ238" s="1">
        <v>40.0</v>
      </c>
      <c r="BA238" s="1"/>
      <c r="BB238" s="3">
        <v>402.0</v>
      </c>
      <c r="BC238" s="1">
        <v>150.0</v>
      </c>
      <c r="BD238" s="1">
        <v>190.0</v>
      </c>
      <c r="BE238" s="1">
        <v>80.0</v>
      </c>
      <c r="BF238" s="3">
        <v>328.0</v>
      </c>
      <c r="BG238" s="1">
        <v>213.0</v>
      </c>
      <c r="BH238" s="1">
        <v>23.0</v>
      </c>
      <c r="BI238" s="1">
        <v>40.0</v>
      </c>
      <c r="BJ238" s="1">
        <v>278.0</v>
      </c>
      <c r="BK238" s="3"/>
      <c r="BL238" s="1">
        <v>160.0</v>
      </c>
      <c r="BM238" s="1">
        <v>75.0</v>
      </c>
      <c r="BN238" s="32">
        <v>1802.0</v>
      </c>
      <c r="BO238" s="1">
        <v>47.0</v>
      </c>
      <c r="BP238" s="3">
        <v>48.0</v>
      </c>
      <c r="BQ238" s="1">
        <v>188.0</v>
      </c>
      <c r="BR238" s="27">
        <v>28381.0</v>
      </c>
    </row>
    <row r="239">
      <c r="A239" s="25">
        <f>'Equity Price Data'!A240</f>
        <v>45771.66667</v>
      </c>
      <c r="B239" s="34">
        <f>(('PRACTICE Equity Price Data'!B240/'PRACTICE Equity Price Data'!B239)-1)+B238</f>
        <v>0.06745004394</v>
      </c>
      <c r="C239" s="34">
        <f>(('PRACTICE Equity Price Data'!C240/'PRACTICE Equity Price Data'!C239)-1)+C238</f>
        <v>0.07816662064</v>
      </c>
      <c r="D239" s="34">
        <f>(('PRACTICE Equity Price Data'!D240/'PRACTICE Equity Price Data'!D239)-1)+D238</f>
        <v>0.03070517671</v>
      </c>
      <c r="E239" s="34">
        <f>(('PRACTICE Equity Price Data'!E240/'PRACTICE Equity Price Data'!E239)-1)+E238</f>
        <v>-0.02346272533</v>
      </c>
      <c r="F239" s="3">
        <v>13.0</v>
      </c>
      <c r="G239" s="3">
        <v>260.0</v>
      </c>
      <c r="H239" s="3">
        <v>110.0</v>
      </c>
      <c r="I239" s="3">
        <v>256.0</v>
      </c>
      <c r="J239" s="3">
        <v>83.0</v>
      </c>
      <c r="K239" s="3">
        <v>188.0</v>
      </c>
      <c r="L239" s="3">
        <v>1000.0</v>
      </c>
      <c r="M239" s="3">
        <v>102.0</v>
      </c>
      <c r="N239" s="3">
        <v>200.0</v>
      </c>
      <c r="O239" s="3">
        <v>121.0</v>
      </c>
      <c r="P239" s="3"/>
      <c r="Q239" s="3">
        <v>80.0</v>
      </c>
      <c r="R239" s="3">
        <v>150.0</v>
      </c>
      <c r="S239" s="3">
        <v>417.0</v>
      </c>
      <c r="T239" s="3">
        <v>120.0</v>
      </c>
      <c r="U239" s="3">
        <v>80.0</v>
      </c>
      <c r="V239" s="1">
        <v>88.0</v>
      </c>
      <c r="W239" s="1">
        <v>250.0</v>
      </c>
      <c r="X239" s="1">
        <v>264.0</v>
      </c>
      <c r="Y239" s="1">
        <v>161.0</v>
      </c>
      <c r="Z239" s="1">
        <v>69.0</v>
      </c>
      <c r="AA239" s="3"/>
      <c r="AB239" s="1">
        <v>13.0</v>
      </c>
      <c r="AC239" s="1">
        <v>150.0</v>
      </c>
      <c r="AD239" s="1">
        <v>170.0</v>
      </c>
      <c r="AE239" s="1">
        <v>60.0</v>
      </c>
      <c r="AF239" s="1">
        <v>40.0</v>
      </c>
      <c r="AG239" s="1">
        <v>45.0</v>
      </c>
      <c r="AH239" s="1"/>
      <c r="AI239" s="1">
        <v>205.0</v>
      </c>
      <c r="AJ239" s="1">
        <v>60.0</v>
      </c>
      <c r="AK239" s="1">
        <v>100.0</v>
      </c>
      <c r="AL239" s="1">
        <v>175.0</v>
      </c>
      <c r="AM239" s="1">
        <v>130.0</v>
      </c>
      <c r="AN239" s="3">
        <v>47.0</v>
      </c>
      <c r="AO239" s="3">
        <v>160.0</v>
      </c>
      <c r="AP239" s="3">
        <v>70.0</v>
      </c>
      <c r="AQ239" s="3"/>
      <c r="AR239" s="1">
        <v>854.0</v>
      </c>
      <c r="AS239" s="1">
        <v>250.0</v>
      </c>
      <c r="AT239" s="1">
        <v>220.0</v>
      </c>
      <c r="AU239" s="3">
        <v>423.0</v>
      </c>
      <c r="AV239" s="1">
        <v>120.0</v>
      </c>
      <c r="AW239" s="3">
        <v>200.0</v>
      </c>
      <c r="AX239" s="3"/>
      <c r="AY239" s="3">
        <v>142.0</v>
      </c>
      <c r="AZ239" s="1">
        <v>40.0</v>
      </c>
      <c r="BA239" s="1"/>
      <c r="BB239" s="3">
        <v>402.0</v>
      </c>
      <c r="BC239" s="1">
        <v>150.0</v>
      </c>
      <c r="BD239" s="1">
        <v>190.0</v>
      </c>
      <c r="BE239" s="1">
        <v>80.0</v>
      </c>
      <c r="BF239" s="3">
        <v>328.0</v>
      </c>
      <c r="BG239" s="1">
        <v>213.0</v>
      </c>
      <c r="BH239" s="1">
        <v>23.0</v>
      </c>
      <c r="BI239" s="1">
        <v>40.0</v>
      </c>
      <c r="BJ239" s="1">
        <v>278.0</v>
      </c>
      <c r="BK239" s="3"/>
      <c r="BL239" s="1">
        <v>160.0</v>
      </c>
      <c r="BM239" s="1">
        <v>75.0</v>
      </c>
      <c r="BN239" s="32">
        <v>1802.0</v>
      </c>
      <c r="BO239" s="1">
        <v>47.0</v>
      </c>
      <c r="BP239" s="3">
        <v>48.0</v>
      </c>
      <c r="BQ239" s="1">
        <v>188.0</v>
      </c>
      <c r="BR239" s="27">
        <v>28381.0</v>
      </c>
    </row>
    <row r="240">
      <c r="A240" s="25">
        <f>'Equity Price Data'!A241</f>
        <v>45772.66667</v>
      </c>
      <c r="B240" s="34">
        <f>(('PRACTICE Equity Price Data'!B241/'PRACTICE Equity Price Data'!B240)-1)+B239</f>
        <v>0.07482318812</v>
      </c>
      <c r="C240" s="34">
        <f>(('PRACTICE Equity Price Data'!C241/'PRACTICE Equity Price Data'!C240)-1)+C239</f>
        <v>0.09080203335</v>
      </c>
      <c r="D240" s="34">
        <f>(('PRACTICE Equity Price Data'!D241/'PRACTICE Equity Price Data'!D240)-1)+D239</f>
        <v>0.03120650611</v>
      </c>
      <c r="E240" s="34">
        <f>(('PRACTICE Equity Price Data'!E241/'PRACTICE Equity Price Data'!E240)-1)+E239</f>
        <v>-0.02344740036</v>
      </c>
      <c r="F240" s="3">
        <v>13.0</v>
      </c>
      <c r="G240" s="3">
        <v>260.0</v>
      </c>
      <c r="H240" s="3">
        <v>110.0</v>
      </c>
      <c r="I240" s="3">
        <v>256.0</v>
      </c>
      <c r="J240" s="3">
        <v>83.0</v>
      </c>
      <c r="K240" s="3">
        <v>188.0</v>
      </c>
      <c r="L240" s="3">
        <v>1000.0</v>
      </c>
      <c r="M240" s="3">
        <v>102.0</v>
      </c>
      <c r="N240" s="3">
        <v>200.0</v>
      </c>
      <c r="O240" s="3">
        <v>121.0</v>
      </c>
      <c r="P240" s="3"/>
      <c r="Q240" s="3">
        <v>80.0</v>
      </c>
      <c r="R240" s="3">
        <v>150.0</v>
      </c>
      <c r="S240" s="3">
        <v>417.0</v>
      </c>
      <c r="T240" s="3">
        <v>120.0</v>
      </c>
      <c r="U240" s="3">
        <v>80.0</v>
      </c>
      <c r="V240" s="1">
        <v>88.0</v>
      </c>
      <c r="W240" s="1">
        <v>250.0</v>
      </c>
      <c r="X240" s="1">
        <v>264.0</v>
      </c>
      <c r="Y240" s="1">
        <v>161.0</v>
      </c>
      <c r="Z240" s="1">
        <v>69.0</v>
      </c>
      <c r="AA240" s="3"/>
      <c r="AB240" s="1">
        <v>13.0</v>
      </c>
      <c r="AC240" s="1">
        <v>150.0</v>
      </c>
      <c r="AD240" s="1">
        <v>170.0</v>
      </c>
      <c r="AE240" s="1">
        <v>60.0</v>
      </c>
      <c r="AF240" s="1">
        <v>40.0</v>
      </c>
      <c r="AG240" s="1">
        <v>45.0</v>
      </c>
      <c r="AH240" s="1"/>
      <c r="AI240" s="1">
        <v>205.0</v>
      </c>
      <c r="AJ240" s="1">
        <v>60.0</v>
      </c>
      <c r="AK240" s="1">
        <v>100.0</v>
      </c>
      <c r="AL240" s="1">
        <v>175.0</v>
      </c>
      <c r="AM240" s="1">
        <v>130.0</v>
      </c>
      <c r="AN240" s="3">
        <v>47.0</v>
      </c>
      <c r="AO240" s="3">
        <v>160.0</v>
      </c>
      <c r="AP240" s="3">
        <v>70.0</v>
      </c>
      <c r="AQ240" s="3"/>
      <c r="AR240" s="1">
        <v>854.0</v>
      </c>
      <c r="AS240" s="1">
        <v>250.0</v>
      </c>
      <c r="AT240" s="1">
        <v>220.0</v>
      </c>
      <c r="AU240" s="3">
        <v>423.0</v>
      </c>
      <c r="AV240" s="1">
        <v>120.0</v>
      </c>
      <c r="AW240" s="3">
        <v>200.0</v>
      </c>
      <c r="AX240" s="3"/>
      <c r="AY240" s="3">
        <v>142.0</v>
      </c>
      <c r="AZ240" s="1">
        <v>40.0</v>
      </c>
      <c r="BA240" s="1"/>
      <c r="BB240" s="3">
        <v>402.0</v>
      </c>
      <c r="BC240" s="1">
        <v>150.0</v>
      </c>
      <c r="BD240" s="1">
        <v>190.0</v>
      </c>
      <c r="BE240" s="1">
        <v>80.0</v>
      </c>
      <c r="BF240" s="3">
        <v>328.0</v>
      </c>
      <c r="BG240" s="1">
        <v>213.0</v>
      </c>
      <c r="BH240" s="1">
        <v>23.0</v>
      </c>
      <c r="BI240" s="1">
        <v>40.0</v>
      </c>
      <c r="BJ240" s="1">
        <v>278.0</v>
      </c>
      <c r="BK240" s="3"/>
      <c r="BL240" s="1">
        <v>160.0</v>
      </c>
      <c r="BM240" s="1">
        <v>75.0</v>
      </c>
      <c r="BN240" s="32">
        <v>1802.0</v>
      </c>
      <c r="BO240" s="1">
        <v>47.0</v>
      </c>
      <c r="BP240" s="3">
        <v>48.0</v>
      </c>
      <c r="BQ240" s="1">
        <v>188.0</v>
      </c>
      <c r="BR240" s="27">
        <v>28381.0</v>
      </c>
    </row>
    <row r="241">
      <c r="A241" s="25">
        <f>'Equity Price Data'!A242</f>
        <v>45775.66667</v>
      </c>
      <c r="B241" s="34">
        <f>(('PRACTICE Equity Price Data'!B242/'PRACTICE Equity Price Data'!B241)-1)+B240</f>
        <v>0.07546388775</v>
      </c>
      <c r="C241" s="34">
        <f>(('PRACTICE Equity Price Data'!C242/'PRACTICE Equity Price Data'!C241)-1)+C240</f>
        <v>0.08983499326</v>
      </c>
      <c r="D241" s="34">
        <f>(('PRACTICE Equity Price Data'!D242/'PRACTICE Equity Price Data'!D241)-1)+D240</f>
        <v>0.03405068575</v>
      </c>
      <c r="E241" s="34">
        <f>(('PRACTICE Equity Price Data'!E242/'PRACTICE Equity Price Data'!E241)-1)+E240</f>
        <v>-0.01939656312</v>
      </c>
      <c r="F241" s="3">
        <v>13.0</v>
      </c>
      <c r="G241" s="3">
        <v>260.0</v>
      </c>
      <c r="H241" s="3">
        <v>110.0</v>
      </c>
      <c r="I241" s="3">
        <v>256.0</v>
      </c>
      <c r="J241" s="3">
        <v>83.0</v>
      </c>
      <c r="K241" s="3">
        <v>188.0</v>
      </c>
      <c r="L241" s="3">
        <v>1000.0</v>
      </c>
      <c r="M241" s="3">
        <v>102.0</v>
      </c>
      <c r="N241" s="3">
        <v>200.0</v>
      </c>
      <c r="O241" s="3">
        <v>121.0</v>
      </c>
      <c r="P241" s="3"/>
      <c r="Q241" s="3">
        <v>80.0</v>
      </c>
      <c r="R241" s="3">
        <v>150.0</v>
      </c>
      <c r="S241" s="3">
        <v>417.0</v>
      </c>
      <c r="T241" s="3">
        <v>120.0</v>
      </c>
      <c r="U241" s="3">
        <v>80.0</v>
      </c>
      <c r="V241" s="1">
        <v>88.0</v>
      </c>
      <c r="W241" s="1">
        <v>250.0</v>
      </c>
      <c r="X241" s="1">
        <v>264.0</v>
      </c>
      <c r="Y241" s="1">
        <v>161.0</v>
      </c>
      <c r="Z241" s="1">
        <v>69.0</v>
      </c>
      <c r="AA241" s="3"/>
      <c r="AB241" s="1">
        <v>13.0</v>
      </c>
      <c r="AC241" s="1">
        <v>150.0</v>
      </c>
      <c r="AD241" s="1">
        <v>170.0</v>
      </c>
      <c r="AE241" s="1">
        <v>60.0</v>
      </c>
      <c r="AF241" s="1">
        <v>40.0</v>
      </c>
      <c r="AG241" s="1">
        <v>45.0</v>
      </c>
      <c r="AH241" s="1"/>
      <c r="AI241" s="1">
        <v>205.0</v>
      </c>
      <c r="AJ241" s="1">
        <v>60.0</v>
      </c>
      <c r="AK241" s="1">
        <v>100.0</v>
      </c>
      <c r="AL241" s="1">
        <v>175.0</v>
      </c>
      <c r="AM241" s="1">
        <v>130.0</v>
      </c>
      <c r="AN241" s="3">
        <v>47.0</v>
      </c>
      <c r="AO241" s="3">
        <v>160.0</v>
      </c>
      <c r="AP241" s="3">
        <v>70.0</v>
      </c>
      <c r="AQ241" s="3"/>
      <c r="AR241" s="1">
        <v>854.0</v>
      </c>
      <c r="AS241" s="1">
        <v>250.0</v>
      </c>
      <c r="AT241" s="1">
        <v>220.0</v>
      </c>
      <c r="AU241" s="3">
        <v>423.0</v>
      </c>
      <c r="AV241" s="1">
        <v>120.0</v>
      </c>
      <c r="AW241" s="3">
        <v>200.0</v>
      </c>
      <c r="AX241" s="3"/>
      <c r="AY241" s="3">
        <v>142.0</v>
      </c>
      <c r="AZ241" s="1">
        <v>40.0</v>
      </c>
      <c r="BA241" s="1"/>
      <c r="BB241" s="3">
        <v>402.0</v>
      </c>
      <c r="BC241" s="1">
        <v>150.0</v>
      </c>
      <c r="BD241" s="1">
        <v>190.0</v>
      </c>
      <c r="BE241" s="1">
        <v>80.0</v>
      </c>
      <c r="BF241" s="3">
        <v>328.0</v>
      </c>
      <c r="BG241" s="1">
        <v>213.0</v>
      </c>
      <c r="BH241" s="1">
        <v>23.0</v>
      </c>
      <c r="BI241" s="1">
        <v>40.0</v>
      </c>
      <c r="BJ241" s="1">
        <v>278.0</v>
      </c>
      <c r="BK241" s="3"/>
      <c r="BL241" s="1">
        <v>160.0</v>
      </c>
      <c r="BM241" s="1">
        <v>75.0</v>
      </c>
      <c r="BN241" s="32">
        <v>1802.0</v>
      </c>
      <c r="BO241" s="1">
        <v>47.0</v>
      </c>
      <c r="BP241" s="3">
        <v>48.0</v>
      </c>
      <c r="BQ241" s="1">
        <v>188.0</v>
      </c>
      <c r="BR241" s="27">
        <v>28381.0</v>
      </c>
    </row>
    <row r="242">
      <c r="A242" s="25">
        <f>'Equity Price Data'!A243</f>
        <v>45776.66667</v>
      </c>
      <c r="B242" s="34">
        <f>(('PRACTICE Equity Price Data'!B243/'PRACTICE Equity Price Data'!B242)-1)+B241</f>
        <v>0.08126628432</v>
      </c>
      <c r="C242" s="34">
        <f>(('PRACTICE Equity Price Data'!C243/'PRACTICE Equity Price Data'!C242)-1)+C241</f>
        <v>0.09531635266</v>
      </c>
      <c r="D242" s="34">
        <f>(('PRACTICE Equity Price Data'!D243/'PRACTICE Equity Price Data'!D242)-1)+D241</f>
        <v>0.0415089998</v>
      </c>
      <c r="E242" s="34">
        <f>(('PRACTICE Equity Price Data'!E243/'PRACTICE Equity Price Data'!E242)-1)+E241</f>
        <v>-0.01381542807</v>
      </c>
      <c r="F242" s="3">
        <v>13.0</v>
      </c>
      <c r="G242" s="3">
        <v>260.0</v>
      </c>
      <c r="H242" s="3">
        <v>110.0</v>
      </c>
      <c r="I242" s="3">
        <v>256.0</v>
      </c>
      <c r="J242" s="3">
        <v>83.0</v>
      </c>
      <c r="K242" s="3">
        <v>188.0</v>
      </c>
      <c r="L242" s="3">
        <v>1000.0</v>
      </c>
      <c r="M242" s="3">
        <v>102.0</v>
      </c>
      <c r="N242" s="3">
        <v>200.0</v>
      </c>
      <c r="O242" s="3">
        <v>121.0</v>
      </c>
      <c r="P242" s="3"/>
      <c r="Q242" s="3">
        <v>80.0</v>
      </c>
      <c r="R242" s="3">
        <v>150.0</v>
      </c>
      <c r="S242" s="3">
        <v>417.0</v>
      </c>
      <c r="T242" s="3">
        <v>120.0</v>
      </c>
      <c r="U242" s="3">
        <v>80.0</v>
      </c>
      <c r="V242" s="1">
        <v>88.0</v>
      </c>
      <c r="W242" s="1">
        <v>250.0</v>
      </c>
      <c r="X242" s="1">
        <v>264.0</v>
      </c>
      <c r="Y242" s="1">
        <v>161.0</v>
      </c>
      <c r="Z242" s="1">
        <v>69.0</v>
      </c>
      <c r="AA242" s="3"/>
      <c r="AB242" s="1">
        <v>13.0</v>
      </c>
      <c r="AC242" s="1">
        <v>150.0</v>
      </c>
      <c r="AD242" s="1">
        <v>170.0</v>
      </c>
      <c r="AE242" s="1">
        <v>60.0</v>
      </c>
      <c r="AF242" s="1">
        <v>40.0</v>
      </c>
      <c r="AG242" s="1">
        <v>45.0</v>
      </c>
      <c r="AH242" s="1"/>
      <c r="AI242" s="1">
        <v>205.0</v>
      </c>
      <c r="AJ242" s="1">
        <v>60.0</v>
      </c>
      <c r="AK242" s="1">
        <v>100.0</v>
      </c>
      <c r="AL242" s="1">
        <v>175.0</v>
      </c>
      <c r="AM242" s="1">
        <v>130.0</v>
      </c>
      <c r="AN242" s="3">
        <v>47.0</v>
      </c>
      <c r="AO242" s="3">
        <v>160.0</v>
      </c>
      <c r="AP242" s="3">
        <v>70.0</v>
      </c>
      <c r="AQ242" s="3"/>
      <c r="AR242" s="1">
        <v>854.0</v>
      </c>
      <c r="AS242" s="1">
        <v>250.0</v>
      </c>
      <c r="AT242" s="1">
        <v>220.0</v>
      </c>
      <c r="AU242" s="3">
        <v>423.0</v>
      </c>
      <c r="AV242" s="1">
        <v>120.0</v>
      </c>
      <c r="AW242" s="3">
        <v>200.0</v>
      </c>
      <c r="AX242" s="3"/>
      <c r="AY242" s="3">
        <v>142.0</v>
      </c>
      <c r="AZ242" s="1">
        <v>40.0</v>
      </c>
      <c r="BA242" s="1"/>
      <c r="BB242" s="3">
        <v>402.0</v>
      </c>
      <c r="BC242" s="1">
        <v>150.0</v>
      </c>
      <c r="BD242" s="1">
        <v>190.0</v>
      </c>
      <c r="BE242" s="1">
        <v>80.0</v>
      </c>
      <c r="BF242" s="3">
        <v>328.0</v>
      </c>
      <c r="BG242" s="1">
        <v>213.0</v>
      </c>
      <c r="BH242" s="1">
        <v>23.0</v>
      </c>
      <c r="BI242" s="1">
        <v>40.0</v>
      </c>
      <c r="BJ242" s="1">
        <v>278.0</v>
      </c>
      <c r="BK242" s="3"/>
      <c r="BL242" s="1">
        <v>160.0</v>
      </c>
      <c r="BM242" s="1">
        <v>75.0</v>
      </c>
      <c r="BN242" s="32">
        <v>1802.0</v>
      </c>
      <c r="BO242" s="1">
        <v>47.0</v>
      </c>
      <c r="BP242" s="3">
        <v>48.0</v>
      </c>
      <c r="BQ242" s="1">
        <v>188.0</v>
      </c>
      <c r="BR242" s="27">
        <v>28381.0</v>
      </c>
    </row>
    <row r="243">
      <c r="A243" s="25">
        <f>'Equity Price Data'!A244</f>
        <v>45777.66667</v>
      </c>
      <c r="B243" s="34">
        <f>(('PRACTICE Equity Price Data'!B244/'PRACTICE Equity Price Data'!B243)-1)+B242</f>
        <v>0.08274627921</v>
      </c>
      <c r="C243" s="34">
        <f>(('PRACTICE Equity Price Data'!C244/'PRACTICE Equity Price Data'!C243)-1)+C242</f>
        <v>0.09445845646</v>
      </c>
      <c r="D243" s="34">
        <f>(('PRACTICE Equity Price Data'!D244/'PRACTICE Equity Price Data'!D243)-1)+D242</f>
        <v>0.04500636777</v>
      </c>
      <c r="E243" s="34">
        <f>(('PRACTICE Equity Price Data'!E244/'PRACTICE Equity Price Data'!E243)-1)+E242</f>
        <v>-0.02008908075</v>
      </c>
      <c r="F243" s="3">
        <v>13.0</v>
      </c>
      <c r="G243" s="3">
        <v>260.0</v>
      </c>
      <c r="H243" s="3">
        <v>110.0</v>
      </c>
      <c r="I243" s="3">
        <v>256.0</v>
      </c>
      <c r="J243" s="3">
        <v>83.0</v>
      </c>
      <c r="K243" s="3">
        <v>188.0</v>
      </c>
      <c r="L243" s="3">
        <v>1000.0</v>
      </c>
      <c r="M243" s="3">
        <v>102.0</v>
      </c>
      <c r="N243" s="3">
        <v>200.0</v>
      </c>
      <c r="O243" s="3">
        <v>121.0</v>
      </c>
      <c r="P243" s="3"/>
      <c r="Q243" s="3">
        <v>80.0</v>
      </c>
      <c r="R243" s="3">
        <v>150.0</v>
      </c>
      <c r="S243" s="3">
        <v>417.0</v>
      </c>
      <c r="T243" s="3">
        <v>120.0</v>
      </c>
      <c r="U243" s="3">
        <v>80.0</v>
      </c>
      <c r="V243" s="1">
        <v>88.0</v>
      </c>
      <c r="W243" s="1">
        <v>250.0</v>
      </c>
      <c r="X243" s="1">
        <v>264.0</v>
      </c>
      <c r="Y243" s="1">
        <v>161.0</v>
      </c>
      <c r="Z243" s="1">
        <v>69.0</v>
      </c>
      <c r="AA243" s="3"/>
      <c r="AB243" s="1">
        <v>13.0</v>
      </c>
      <c r="AC243" s="1">
        <v>150.0</v>
      </c>
      <c r="AD243" s="1">
        <v>170.0</v>
      </c>
      <c r="AE243" s="1">
        <v>60.0</v>
      </c>
      <c r="AF243" s="1">
        <v>40.0</v>
      </c>
      <c r="AG243" s="1">
        <v>45.0</v>
      </c>
      <c r="AH243" s="1"/>
      <c r="AI243" s="1">
        <v>205.0</v>
      </c>
      <c r="AJ243" s="1">
        <v>60.0</v>
      </c>
      <c r="AK243" s="1">
        <v>100.0</v>
      </c>
      <c r="AL243" s="1">
        <v>175.0</v>
      </c>
      <c r="AM243" s="1">
        <v>130.0</v>
      </c>
      <c r="AN243" s="3">
        <v>47.0</v>
      </c>
      <c r="AO243" s="3">
        <v>160.0</v>
      </c>
      <c r="AP243" s="3">
        <v>70.0</v>
      </c>
      <c r="AQ243" s="3"/>
      <c r="AR243" s="1">
        <v>854.0</v>
      </c>
      <c r="AS243" s="1">
        <v>250.0</v>
      </c>
      <c r="AT243" s="1">
        <v>220.0</v>
      </c>
      <c r="AU243" s="3">
        <v>423.0</v>
      </c>
      <c r="AV243" s="1">
        <v>120.0</v>
      </c>
      <c r="AW243" s="3">
        <v>200.0</v>
      </c>
      <c r="AX243" s="3"/>
      <c r="AY243" s="3">
        <v>142.0</v>
      </c>
      <c r="AZ243" s="1">
        <v>40.0</v>
      </c>
      <c r="BA243" s="1"/>
      <c r="BB243" s="3">
        <v>402.0</v>
      </c>
      <c r="BC243" s="1">
        <v>150.0</v>
      </c>
      <c r="BD243" s="1">
        <v>190.0</v>
      </c>
      <c r="BE243" s="1">
        <v>80.0</v>
      </c>
      <c r="BF243" s="3">
        <v>328.0</v>
      </c>
      <c r="BG243" s="1">
        <v>213.0</v>
      </c>
      <c r="BH243" s="1">
        <v>23.0</v>
      </c>
      <c r="BI243" s="1">
        <v>40.0</v>
      </c>
      <c r="BJ243" s="1">
        <v>278.0</v>
      </c>
      <c r="BK243" s="3"/>
      <c r="BL243" s="1">
        <v>160.0</v>
      </c>
      <c r="BM243" s="1">
        <v>75.0</v>
      </c>
      <c r="BN243" s="32">
        <v>1802.0</v>
      </c>
      <c r="BO243" s="1">
        <v>47.0</v>
      </c>
      <c r="BP243" s="3">
        <v>48.0</v>
      </c>
      <c r="BQ243" s="1">
        <v>188.0</v>
      </c>
      <c r="BR243" s="27">
        <v>28381.0</v>
      </c>
    </row>
    <row r="244">
      <c r="A244" s="25">
        <f>'Equity Price Data'!A245</f>
        <v>45778.66667</v>
      </c>
      <c r="B244" s="34">
        <f>(('PRACTICE Equity Price Data'!B245/'PRACTICE Equity Price Data'!B244)-1)+B243</f>
        <v>0.08904536739</v>
      </c>
      <c r="C244" s="34">
        <f>(('PRACTICE Equity Price Data'!C245/'PRACTICE Equity Price Data'!C244)-1)+C243</f>
        <v>0.1096134976</v>
      </c>
      <c r="D244" s="34">
        <f>(('PRACTICE Equity Price Data'!D245/'PRACTICE Equity Price Data'!D244)-1)+D243</f>
        <v>0.04706196934</v>
      </c>
      <c r="E244" s="34">
        <f>(('PRACTICE Equity Price Data'!E245/'PRACTICE Equity Price Data'!E244)-1)+E243</f>
        <v>-0.01411184922</v>
      </c>
      <c r="F244" s="3">
        <v>13.0</v>
      </c>
      <c r="G244" s="3">
        <v>260.0</v>
      </c>
      <c r="H244" s="3">
        <v>110.0</v>
      </c>
      <c r="I244" s="3">
        <v>256.0</v>
      </c>
      <c r="J244" s="3">
        <v>83.0</v>
      </c>
      <c r="K244" s="3">
        <v>188.0</v>
      </c>
      <c r="L244" s="3">
        <v>1000.0</v>
      </c>
      <c r="M244" s="3">
        <v>102.0</v>
      </c>
      <c r="N244" s="3">
        <v>200.0</v>
      </c>
      <c r="O244" s="3">
        <v>121.0</v>
      </c>
      <c r="P244" s="3"/>
      <c r="Q244" s="3">
        <v>80.0</v>
      </c>
      <c r="R244" s="3">
        <v>150.0</v>
      </c>
      <c r="S244" s="3">
        <v>417.0</v>
      </c>
      <c r="T244" s="3">
        <v>120.0</v>
      </c>
      <c r="U244" s="3">
        <v>80.0</v>
      </c>
      <c r="V244" s="1">
        <v>88.0</v>
      </c>
      <c r="W244" s="1">
        <v>250.0</v>
      </c>
      <c r="X244" s="1">
        <v>264.0</v>
      </c>
      <c r="Y244" s="1">
        <v>161.0</v>
      </c>
      <c r="Z244" s="1">
        <v>69.0</v>
      </c>
      <c r="AA244" s="3"/>
      <c r="AB244" s="1">
        <v>13.0</v>
      </c>
      <c r="AC244" s="1">
        <v>150.0</v>
      </c>
      <c r="AD244" s="1">
        <v>170.0</v>
      </c>
      <c r="AE244" s="1">
        <v>60.0</v>
      </c>
      <c r="AF244" s="1">
        <v>40.0</v>
      </c>
      <c r="AG244" s="1">
        <v>45.0</v>
      </c>
      <c r="AH244" s="1"/>
      <c r="AI244" s="1">
        <v>205.0</v>
      </c>
      <c r="AJ244" s="1">
        <v>60.0</v>
      </c>
      <c r="AK244" s="1">
        <v>100.0</v>
      </c>
      <c r="AL244" s="1">
        <v>175.0</v>
      </c>
      <c r="AM244" s="1">
        <v>130.0</v>
      </c>
      <c r="AN244" s="3">
        <v>47.0</v>
      </c>
      <c r="AO244" s="3">
        <v>160.0</v>
      </c>
      <c r="AP244" s="3">
        <v>70.0</v>
      </c>
      <c r="AQ244" s="3"/>
      <c r="AR244" s="1">
        <v>854.0</v>
      </c>
      <c r="AS244" s="1">
        <v>250.0</v>
      </c>
      <c r="AT244" s="1">
        <v>220.0</v>
      </c>
      <c r="AU244" s="3">
        <v>423.0</v>
      </c>
      <c r="AV244" s="1">
        <v>120.0</v>
      </c>
      <c r="AW244" s="3">
        <v>200.0</v>
      </c>
      <c r="AX244" s="3"/>
      <c r="AY244" s="3">
        <v>142.0</v>
      </c>
      <c r="AZ244" s="1">
        <v>40.0</v>
      </c>
      <c r="BA244" s="1"/>
      <c r="BB244" s="3">
        <v>402.0</v>
      </c>
      <c r="BC244" s="1">
        <v>150.0</v>
      </c>
      <c r="BD244" s="1">
        <v>190.0</v>
      </c>
      <c r="BE244" s="1">
        <v>80.0</v>
      </c>
      <c r="BF244" s="3">
        <v>328.0</v>
      </c>
      <c r="BG244" s="1">
        <v>213.0</v>
      </c>
      <c r="BH244" s="1">
        <v>23.0</v>
      </c>
      <c r="BI244" s="1">
        <v>40.0</v>
      </c>
      <c r="BJ244" s="1">
        <v>278.0</v>
      </c>
      <c r="BK244" s="3"/>
      <c r="BL244" s="1">
        <v>160.0</v>
      </c>
      <c r="BM244" s="1">
        <v>75.0</v>
      </c>
      <c r="BN244" s="32">
        <v>1802.0</v>
      </c>
      <c r="BO244" s="1">
        <v>47.0</v>
      </c>
      <c r="BP244" s="3">
        <v>48.0</v>
      </c>
      <c r="BQ244" s="1">
        <v>188.0</v>
      </c>
      <c r="BR244" s="27">
        <v>28381.0</v>
      </c>
    </row>
    <row r="245">
      <c r="A245" s="25">
        <f>'Equity Price Data'!A246</f>
        <v>45779.66667</v>
      </c>
      <c r="B245" s="34">
        <f>(('PRACTICE Equity Price Data'!B246/'PRACTICE Equity Price Data'!B245)-1)+B244</f>
        <v>0.1037719802</v>
      </c>
      <c r="C245" s="34">
        <f>(('PRACTICE Equity Price Data'!C246/'PRACTICE Equity Price Data'!C245)-1)+C244</f>
        <v>0.1246885311</v>
      </c>
      <c r="D245" s="34">
        <f>(('PRACTICE Equity Price Data'!D246/'PRACTICE Equity Price Data'!D245)-1)+D244</f>
        <v>0.06091298776</v>
      </c>
      <c r="E245" s="34">
        <f>(('PRACTICE Equity Price Data'!E246/'PRACTICE Equity Price Data'!E245)-1)+E244</f>
        <v>0.008602310694</v>
      </c>
      <c r="F245" s="3">
        <v>13.0</v>
      </c>
      <c r="G245" s="3">
        <v>260.0</v>
      </c>
      <c r="H245" s="3">
        <v>110.0</v>
      </c>
      <c r="I245" s="3">
        <v>256.0</v>
      </c>
      <c r="J245" s="3">
        <v>83.0</v>
      </c>
      <c r="K245" s="3">
        <v>188.0</v>
      </c>
      <c r="L245" s="3">
        <v>1000.0</v>
      </c>
      <c r="M245" s="3">
        <v>102.0</v>
      </c>
      <c r="N245" s="3">
        <v>200.0</v>
      </c>
      <c r="O245" s="3">
        <v>121.0</v>
      </c>
      <c r="P245" s="3"/>
      <c r="Q245" s="3">
        <v>80.0</v>
      </c>
      <c r="R245" s="3">
        <v>150.0</v>
      </c>
      <c r="S245" s="3">
        <v>417.0</v>
      </c>
      <c r="T245" s="3">
        <v>120.0</v>
      </c>
      <c r="U245" s="3">
        <v>80.0</v>
      </c>
      <c r="V245" s="1">
        <v>88.0</v>
      </c>
      <c r="W245" s="1">
        <v>250.0</v>
      </c>
      <c r="X245" s="1">
        <v>264.0</v>
      </c>
      <c r="Y245" s="1">
        <v>161.0</v>
      </c>
      <c r="Z245" s="1">
        <v>69.0</v>
      </c>
      <c r="AA245" s="3"/>
      <c r="AB245" s="1">
        <v>13.0</v>
      </c>
      <c r="AC245" s="1">
        <v>150.0</v>
      </c>
      <c r="AD245" s="1">
        <v>170.0</v>
      </c>
      <c r="AE245" s="1">
        <v>60.0</v>
      </c>
      <c r="AF245" s="1">
        <v>40.0</v>
      </c>
      <c r="AG245" s="1">
        <v>45.0</v>
      </c>
      <c r="AH245" s="1"/>
      <c r="AI245" s="1">
        <v>205.0</v>
      </c>
      <c r="AJ245" s="1">
        <v>60.0</v>
      </c>
      <c r="AK245" s="1">
        <v>100.0</v>
      </c>
      <c r="AL245" s="1">
        <v>175.0</v>
      </c>
      <c r="AM245" s="1">
        <v>130.0</v>
      </c>
      <c r="AN245" s="3">
        <v>47.0</v>
      </c>
      <c r="AO245" s="3">
        <v>160.0</v>
      </c>
      <c r="AP245" s="3">
        <v>70.0</v>
      </c>
      <c r="AQ245" s="3"/>
      <c r="AR245" s="1">
        <v>854.0</v>
      </c>
      <c r="AS245" s="1">
        <v>250.0</v>
      </c>
      <c r="AT245" s="1">
        <v>220.0</v>
      </c>
      <c r="AU245" s="3">
        <v>423.0</v>
      </c>
      <c r="AV245" s="1">
        <v>120.0</v>
      </c>
      <c r="AW245" s="3">
        <v>200.0</v>
      </c>
      <c r="AX245" s="3"/>
      <c r="AY245" s="3">
        <v>142.0</v>
      </c>
      <c r="AZ245" s="1">
        <v>40.0</v>
      </c>
      <c r="BA245" s="1"/>
      <c r="BB245" s="3">
        <v>402.0</v>
      </c>
      <c r="BC245" s="1">
        <v>150.0</v>
      </c>
      <c r="BD245" s="1">
        <v>190.0</v>
      </c>
      <c r="BE245" s="1">
        <v>80.0</v>
      </c>
      <c r="BF245" s="3">
        <v>328.0</v>
      </c>
      <c r="BG245" s="1">
        <v>213.0</v>
      </c>
      <c r="BH245" s="1">
        <v>23.0</v>
      </c>
      <c r="BI245" s="1">
        <v>40.0</v>
      </c>
      <c r="BJ245" s="1">
        <v>278.0</v>
      </c>
      <c r="BK245" s="3"/>
      <c r="BL245" s="1">
        <v>160.0</v>
      </c>
      <c r="BM245" s="1">
        <v>75.0</v>
      </c>
      <c r="BN245" s="32">
        <v>1802.0</v>
      </c>
      <c r="BO245" s="1">
        <v>47.0</v>
      </c>
      <c r="BP245" s="3">
        <v>48.0</v>
      </c>
      <c r="BQ245" s="1">
        <v>188.0</v>
      </c>
      <c r="BR245" s="27">
        <v>28381.0</v>
      </c>
    </row>
    <row r="246">
      <c r="A246" s="25">
        <f>'Equity Price Data'!A247</f>
        <v>45782.66667</v>
      </c>
      <c r="B246" s="34">
        <f>(('PRACTICE Equity Price Data'!B247/'PRACTICE Equity Price Data'!B246)-1)+B245</f>
        <v>0.09739038958</v>
      </c>
      <c r="C246" s="34">
        <f>(('PRACTICE Equity Price Data'!C247/'PRACTICE Equity Price Data'!C246)-1)+C245</f>
        <v>0.1172632333</v>
      </c>
      <c r="D246" s="34">
        <f>(('PRACTICE Equity Price Data'!D247/'PRACTICE Equity Price Data'!D246)-1)+D245</f>
        <v>0.05852658571</v>
      </c>
      <c r="E246" s="34">
        <f>(('PRACTICE Equity Price Data'!E247/'PRACTICE Equity Price Data'!E246)-1)+E245</f>
        <v>0.0004468824848</v>
      </c>
      <c r="F246" s="3">
        <v>13.0</v>
      </c>
      <c r="G246" s="3">
        <v>260.0</v>
      </c>
      <c r="H246" s="3">
        <v>110.0</v>
      </c>
      <c r="I246" s="3">
        <v>256.0</v>
      </c>
      <c r="J246" s="3">
        <v>83.0</v>
      </c>
      <c r="K246" s="3">
        <v>188.0</v>
      </c>
      <c r="L246" s="3">
        <v>1000.0</v>
      </c>
      <c r="M246" s="3">
        <v>102.0</v>
      </c>
      <c r="N246" s="3">
        <v>200.0</v>
      </c>
      <c r="O246" s="3">
        <v>121.0</v>
      </c>
      <c r="P246" s="3"/>
      <c r="Q246" s="3">
        <v>80.0</v>
      </c>
      <c r="R246" s="3">
        <v>150.0</v>
      </c>
      <c r="S246" s="3">
        <v>417.0</v>
      </c>
      <c r="T246" s="3">
        <v>120.0</v>
      </c>
      <c r="U246" s="3">
        <v>80.0</v>
      </c>
      <c r="V246" s="1">
        <v>88.0</v>
      </c>
      <c r="W246" s="1">
        <v>250.0</v>
      </c>
      <c r="X246" s="1">
        <v>264.0</v>
      </c>
      <c r="Y246" s="1">
        <v>161.0</v>
      </c>
      <c r="Z246" s="1">
        <v>69.0</v>
      </c>
      <c r="AA246" s="3"/>
      <c r="AB246" s="1">
        <v>13.0</v>
      </c>
      <c r="AC246" s="1">
        <v>150.0</v>
      </c>
      <c r="AD246" s="1">
        <v>170.0</v>
      </c>
      <c r="AE246" s="1">
        <v>60.0</v>
      </c>
      <c r="AF246" s="1">
        <v>40.0</v>
      </c>
      <c r="AG246" s="1">
        <v>45.0</v>
      </c>
      <c r="AH246" s="1"/>
      <c r="AI246" s="1">
        <v>205.0</v>
      </c>
      <c r="AJ246" s="1">
        <v>60.0</v>
      </c>
      <c r="AK246" s="1">
        <v>100.0</v>
      </c>
      <c r="AL246" s="1">
        <v>175.0</v>
      </c>
      <c r="AM246" s="1">
        <v>130.0</v>
      </c>
      <c r="AN246" s="3">
        <v>47.0</v>
      </c>
      <c r="AO246" s="3">
        <v>160.0</v>
      </c>
      <c r="AP246" s="3">
        <v>70.0</v>
      </c>
      <c r="AQ246" s="3"/>
      <c r="AR246" s="1">
        <v>854.0</v>
      </c>
      <c r="AS246" s="1">
        <v>250.0</v>
      </c>
      <c r="AT246" s="1">
        <v>220.0</v>
      </c>
      <c r="AU246" s="3">
        <v>423.0</v>
      </c>
      <c r="AV246" s="1">
        <v>120.0</v>
      </c>
      <c r="AW246" s="3">
        <v>200.0</v>
      </c>
      <c r="AX246" s="3"/>
      <c r="AY246" s="3">
        <v>142.0</v>
      </c>
      <c r="AZ246" s="1">
        <v>40.0</v>
      </c>
      <c r="BA246" s="1"/>
      <c r="BB246" s="3">
        <v>402.0</v>
      </c>
      <c r="BC246" s="1">
        <v>150.0</v>
      </c>
      <c r="BD246" s="1">
        <v>190.0</v>
      </c>
      <c r="BE246" s="1">
        <v>80.0</v>
      </c>
      <c r="BF246" s="3">
        <v>328.0</v>
      </c>
      <c r="BG246" s="1">
        <v>213.0</v>
      </c>
      <c r="BH246" s="1">
        <v>23.0</v>
      </c>
      <c r="BI246" s="1">
        <v>40.0</v>
      </c>
      <c r="BJ246" s="1">
        <v>278.0</v>
      </c>
      <c r="BK246" s="3"/>
      <c r="BL246" s="1">
        <v>160.0</v>
      </c>
      <c r="BM246" s="1">
        <v>75.0</v>
      </c>
      <c r="BN246" s="32">
        <v>1802.0</v>
      </c>
      <c r="BO246" s="1">
        <v>47.0</v>
      </c>
      <c r="BP246" s="3">
        <v>48.0</v>
      </c>
      <c r="BQ246" s="1">
        <v>188.0</v>
      </c>
      <c r="BR246" s="27">
        <v>28381.0</v>
      </c>
    </row>
    <row r="247">
      <c r="A247" s="25">
        <f>'Equity Price Data'!A248</f>
        <v>45783.66667</v>
      </c>
      <c r="B247" s="34">
        <f>(('PRACTICE Equity Price Data'!B248/'PRACTICE Equity Price Data'!B247)-1)+B246</f>
        <v>0.08969710169</v>
      </c>
      <c r="C247" s="34">
        <f>(('PRACTICE Equity Price Data'!C248/'PRACTICE Equity Price Data'!C247)-1)+C246</f>
        <v>0.1086004939</v>
      </c>
      <c r="D247" s="34">
        <f>(('PRACTICE Equity Price Data'!D248/'PRACTICE Equity Price Data'!D247)-1)+D246</f>
        <v>0.04906901498</v>
      </c>
      <c r="E247" s="34">
        <f>(('PRACTICE Equity Price Data'!E248/'PRACTICE Equity Price Data'!E247)-1)+E246</f>
        <v>-0.01006572566</v>
      </c>
      <c r="F247" s="3">
        <v>13.0</v>
      </c>
      <c r="G247" s="3">
        <v>260.0</v>
      </c>
      <c r="H247" s="3">
        <v>110.0</v>
      </c>
      <c r="I247" s="3">
        <v>256.0</v>
      </c>
      <c r="J247" s="3">
        <v>83.0</v>
      </c>
      <c r="K247" s="3">
        <v>188.0</v>
      </c>
      <c r="L247" s="3">
        <v>1000.0</v>
      </c>
      <c r="M247" s="3">
        <v>102.0</v>
      </c>
      <c r="N247" s="3">
        <v>200.0</v>
      </c>
      <c r="O247" s="3">
        <v>121.0</v>
      </c>
      <c r="P247" s="3"/>
      <c r="Q247" s="3">
        <v>80.0</v>
      </c>
      <c r="R247" s="3">
        <v>150.0</v>
      </c>
      <c r="S247" s="3">
        <v>417.0</v>
      </c>
      <c r="T247" s="3">
        <v>120.0</v>
      </c>
      <c r="U247" s="3">
        <v>80.0</v>
      </c>
      <c r="V247" s="1">
        <v>88.0</v>
      </c>
      <c r="W247" s="1">
        <v>250.0</v>
      </c>
      <c r="X247" s="1">
        <v>264.0</v>
      </c>
      <c r="Y247" s="1">
        <v>161.0</v>
      </c>
      <c r="Z247" s="1">
        <v>69.0</v>
      </c>
      <c r="AA247" s="3"/>
      <c r="AB247" s="1">
        <v>13.0</v>
      </c>
      <c r="AC247" s="1">
        <v>150.0</v>
      </c>
      <c r="AD247" s="1">
        <v>170.0</v>
      </c>
      <c r="AE247" s="1">
        <v>60.0</v>
      </c>
      <c r="AF247" s="1">
        <v>40.0</v>
      </c>
      <c r="AG247" s="1">
        <v>45.0</v>
      </c>
      <c r="AH247" s="1"/>
      <c r="AI247" s="1">
        <v>205.0</v>
      </c>
      <c r="AJ247" s="1">
        <v>60.0</v>
      </c>
      <c r="AK247" s="1">
        <v>100.0</v>
      </c>
      <c r="AL247" s="1">
        <v>175.0</v>
      </c>
      <c r="AM247" s="1">
        <v>130.0</v>
      </c>
      <c r="AN247" s="3">
        <v>47.0</v>
      </c>
      <c r="AO247" s="3">
        <v>160.0</v>
      </c>
      <c r="AP247" s="3">
        <v>70.0</v>
      </c>
      <c r="AQ247" s="3"/>
      <c r="AR247" s="1">
        <v>854.0</v>
      </c>
      <c r="AS247" s="1">
        <v>250.0</v>
      </c>
      <c r="AT247" s="1">
        <v>220.0</v>
      </c>
      <c r="AU247" s="3">
        <v>423.0</v>
      </c>
      <c r="AV247" s="1">
        <v>120.0</v>
      </c>
      <c r="AW247" s="3">
        <v>200.0</v>
      </c>
      <c r="AX247" s="3"/>
      <c r="AY247" s="3">
        <v>142.0</v>
      </c>
      <c r="AZ247" s="1">
        <v>40.0</v>
      </c>
      <c r="BA247" s="1"/>
      <c r="BB247" s="3">
        <v>402.0</v>
      </c>
      <c r="BC247" s="1">
        <v>150.0</v>
      </c>
      <c r="BD247" s="1">
        <v>190.0</v>
      </c>
      <c r="BE247" s="1">
        <v>80.0</v>
      </c>
      <c r="BF247" s="3">
        <v>328.0</v>
      </c>
      <c r="BG247" s="1">
        <v>213.0</v>
      </c>
      <c r="BH247" s="1">
        <v>23.0</v>
      </c>
      <c r="BI247" s="1">
        <v>40.0</v>
      </c>
      <c r="BJ247" s="1">
        <v>278.0</v>
      </c>
      <c r="BK247" s="3"/>
      <c r="BL247" s="1">
        <v>160.0</v>
      </c>
      <c r="BM247" s="1">
        <v>75.0</v>
      </c>
      <c r="BN247" s="32">
        <v>1802.0</v>
      </c>
      <c r="BO247" s="1">
        <v>47.0</v>
      </c>
      <c r="BP247" s="3">
        <v>48.0</v>
      </c>
      <c r="BQ247" s="1">
        <v>188.0</v>
      </c>
      <c r="BR247" s="27">
        <v>28381.0</v>
      </c>
    </row>
    <row r="248">
      <c r="A248" s="25">
        <f>'Equity Price Data'!A249</f>
        <v>45784.66667</v>
      </c>
      <c r="B248" s="34">
        <f>(('PRACTICE Equity Price Data'!B249/'PRACTICE Equity Price Data'!B248)-1)+B247</f>
        <v>0.09404352423</v>
      </c>
      <c r="C248" s="34">
        <f>(('PRACTICE Equity Price Data'!C249/'PRACTICE Equity Price Data'!C248)-1)+C247</f>
        <v>0.1113422086</v>
      </c>
      <c r="D248" s="34">
        <f>(('PRACTICE Equity Price Data'!D249/'PRACTICE Equity Price Data'!D248)-1)+D247</f>
        <v>0.05604861281</v>
      </c>
      <c r="E248" s="34">
        <f>(('PRACTICE Equity Price Data'!E249/'PRACTICE Equity Price Data'!E248)-1)+E247</f>
        <v>-0.006803305014</v>
      </c>
      <c r="F248" s="3">
        <v>13.0</v>
      </c>
      <c r="G248" s="3">
        <v>260.0</v>
      </c>
      <c r="H248" s="3">
        <v>110.0</v>
      </c>
      <c r="I248" s="3">
        <v>256.0</v>
      </c>
      <c r="J248" s="3">
        <v>83.0</v>
      </c>
      <c r="K248" s="3">
        <v>188.0</v>
      </c>
      <c r="L248" s="3">
        <v>1000.0</v>
      </c>
      <c r="M248" s="3">
        <v>102.0</v>
      </c>
      <c r="N248" s="3">
        <v>200.0</v>
      </c>
      <c r="O248" s="3">
        <v>121.0</v>
      </c>
      <c r="P248" s="3"/>
      <c r="Q248" s="3">
        <v>80.0</v>
      </c>
      <c r="R248" s="3">
        <v>150.0</v>
      </c>
      <c r="S248" s="3">
        <v>417.0</v>
      </c>
      <c r="T248" s="3">
        <v>120.0</v>
      </c>
      <c r="U248" s="3">
        <v>80.0</v>
      </c>
      <c r="V248" s="1">
        <v>88.0</v>
      </c>
      <c r="W248" s="1">
        <v>250.0</v>
      </c>
      <c r="X248" s="1">
        <v>264.0</v>
      </c>
      <c r="Y248" s="1">
        <v>161.0</v>
      </c>
      <c r="Z248" s="1">
        <v>69.0</v>
      </c>
      <c r="AA248" s="3"/>
      <c r="AB248" s="1">
        <v>13.0</v>
      </c>
      <c r="AC248" s="1">
        <v>150.0</v>
      </c>
      <c r="AD248" s="1">
        <v>170.0</v>
      </c>
      <c r="AE248" s="1">
        <v>60.0</v>
      </c>
      <c r="AF248" s="1">
        <v>40.0</v>
      </c>
      <c r="AG248" s="1">
        <v>45.0</v>
      </c>
      <c r="AH248" s="1"/>
      <c r="AI248" s="1">
        <v>205.0</v>
      </c>
      <c r="AJ248" s="1">
        <v>60.0</v>
      </c>
      <c r="AK248" s="1">
        <v>100.0</v>
      </c>
      <c r="AL248" s="1">
        <v>175.0</v>
      </c>
      <c r="AM248" s="1">
        <v>130.0</v>
      </c>
      <c r="AN248" s="3">
        <v>47.0</v>
      </c>
      <c r="AO248" s="3">
        <v>160.0</v>
      </c>
      <c r="AP248" s="3">
        <v>70.0</v>
      </c>
      <c r="AQ248" s="3"/>
      <c r="AR248" s="1">
        <v>854.0</v>
      </c>
      <c r="AS248" s="1">
        <v>250.0</v>
      </c>
      <c r="AT248" s="1">
        <v>220.0</v>
      </c>
      <c r="AU248" s="3">
        <v>423.0</v>
      </c>
      <c r="AV248" s="1">
        <v>120.0</v>
      </c>
      <c r="AW248" s="3">
        <v>200.0</v>
      </c>
      <c r="AX248" s="3"/>
      <c r="AY248" s="3">
        <v>142.0</v>
      </c>
      <c r="AZ248" s="1">
        <v>40.0</v>
      </c>
      <c r="BA248" s="1"/>
      <c r="BB248" s="3">
        <v>402.0</v>
      </c>
      <c r="BC248" s="1">
        <v>150.0</v>
      </c>
      <c r="BD248" s="1">
        <v>190.0</v>
      </c>
      <c r="BE248" s="1">
        <v>80.0</v>
      </c>
      <c r="BF248" s="3">
        <v>328.0</v>
      </c>
      <c r="BG248" s="1">
        <v>213.0</v>
      </c>
      <c r="BH248" s="1">
        <v>23.0</v>
      </c>
      <c r="BI248" s="1">
        <v>40.0</v>
      </c>
      <c r="BJ248" s="1">
        <v>278.0</v>
      </c>
      <c r="BK248" s="3"/>
      <c r="BL248" s="1">
        <v>160.0</v>
      </c>
      <c r="BM248" s="1">
        <v>75.0</v>
      </c>
      <c r="BN248" s="32">
        <v>1802.0</v>
      </c>
      <c r="BO248" s="1">
        <v>47.0</v>
      </c>
      <c r="BP248" s="3">
        <v>48.0</v>
      </c>
      <c r="BQ248" s="1">
        <v>188.0</v>
      </c>
      <c r="BR248" s="27">
        <v>28381.0</v>
      </c>
    </row>
    <row r="249">
      <c r="A249" s="25">
        <f>'Equity Price Data'!A250</f>
        <v>45785.66667</v>
      </c>
      <c r="B249" s="34">
        <f>(('PRACTICE Equity Price Data'!B250/'PRACTICE Equity Price Data'!B249)-1)+B248</f>
        <v>0.09984327136</v>
      </c>
      <c r="C249" s="34">
        <f>(('PRACTICE Equity Price Data'!C250/'PRACTICE Equity Price Data'!C249)-1)+C248</f>
        <v>0.1220524514</v>
      </c>
      <c r="D249" s="34">
        <f>(('PRACTICE Equity Price Data'!D250/'PRACTICE Equity Price Data'!D249)-1)+D248</f>
        <v>0.06223823644</v>
      </c>
      <c r="E249" s="34">
        <f>(('PRACTICE Equity Price Data'!E250/'PRACTICE Equity Price Data'!E249)-1)+E248</f>
        <v>0.01166718743</v>
      </c>
      <c r="F249" s="3">
        <v>13.0</v>
      </c>
      <c r="G249" s="3">
        <v>260.0</v>
      </c>
      <c r="H249" s="3">
        <v>110.0</v>
      </c>
      <c r="I249" s="3">
        <v>256.0</v>
      </c>
      <c r="J249" s="3">
        <v>83.0</v>
      </c>
      <c r="K249" s="3">
        <v>188.0</v>
      </c>
      <c r="L249" s="3">
        <v>1000.0</v>
      </c>
      <c r="M249" s="3">
        <v>102.0</v>
      </c>
      <c r="N249" s="3">
        <v>200.0</v>
      </c>
      <c r="O249" s="3">
        <v>121.0</v>
      </c>
      <c r="P249" s="3"/>
      <c r="Q249" s="3">
        <v>80.0</v>
      </c>
      <c r="R249" s="3">
        <v>150.0</v>
      </c>
      <c r="S249" s="3">
        <v>417.0</v>
      </c>
      <c r="T249" s="3">
        <v>120.0</v>
      </c>
      <c r="U249" s="3">
        <v>80.0</v>
      </c>
      <c r="V249" s="1">
        <v>88.0</v>
      </c>
      <c r="W249" s="1">
        <v>250.0</v>
      </c>
      <c r="X249" s="1">
        <v>264.0</v>
      </c>
      <c r="Y249" s="1">
        <v>161.0</v>
      </c>
      <c r="Z249" s="1">
        <v>69.0</v>
      </c>
      <c r="AA249" s="3"/>
      <c r="AB249" s="1">
        <v>13.0</v>
      </c>
      <c r="AC249" s="1">
        <v>150.0</v>
      </c>
      <c r="AD249" s="1">
        <v>170.0</v>
      </c>
      <c r="AE249" s="1">
        <v>60.0</v>
      </c>
      <c r="AF249" s="1">
        <v>40.0</v>
      </c>
      <c r="AG249" s="1">
        <v>45.0</v>
      </c>
      <c r="AH249" s="1"/>
      <c r="AI249" s="1">
        <v>205.0</v>
      </c>
      <c r="AJ249" s="1">
        <v>60.0</v>
      </c>
      <c r="AK249" s="1">
        <v>100.0</v>
      </c>
      <c r="AL249" s="1">
        <v>175.0</v>
      </c>
      <c r="AM249" s="1">
        <v>130.0</v>
      </c>
      <c r="AN249" s="3">
        <v>47.0</v>
      </c>
      <c r="AO249" s="3">
        <v>160.0</v>
      </c>
      <c r="AP249" s="3">
        <v>70.0</v>
      </c>
      <c r="AQ249" s="3"/>
      <c r="AR249" s="1">
        <v>854.0</v>
      </c>
      <c r="AS249" s="1">
        <v>250.0</v>
      </c>
      <c r="AT249" s="1">
        <v>220.0</v>
      </c>
      <c r="AU249" s="3">
        <v>423.0</v>
      </c>
      <c r="AV249" s="1">
        <v>120.0</v>
      </c>
      <c r="AW249" s="3">
        <v>200.0</v>
      </c>
      <c r="AX249" s="3"/>
      <c r="AY249" s="3">
        <v>142.0</v>
      </c>
      <c r="AZ249" s="1">
        <v>40.0</v>
      </c>
      <c r="BA249" s="1"/>
      <c r="BB249" s="3">
        <v>402.0</v>
      </c>
      <c r="BC249" s="1">
        <v>150.0</v>
      </c>
      <c r="BD249" s="1">
        <v>190.0</v>
      </c>
      <c r="BE249" s="1">
        <v>80.0</v>
      </c>
      <c r="BF249" s="3">
        <v>328.0</v>
      </c>
      <c r="BG249" s="1">
        <v>213.0</v>
      </c>
      <c r="BH249" s="1">
        <v>23.0</v>
      </c>
      <c r="BI249" s="1">
        <v>40.0</v>
      </c>
      <c r="BJ249" s="1">
        <v>278.0</v>
      </c>
      <c r="BK249" s="3"/>
      <c r="BL249" s="1">
        <v>160.0</v>
      </c>
      <c r="BM249" s="1">
        <v>75.0</v>
      </c>
      <c r="BN249" s="32">
        <v>1802.0</v>
      </c>
      <c r="BO249" s="1">
        <v>47.0</v>
      </c>
      <c r="BP249" s="3">
        <v>48.0</v>
      </c>
      <c r="BQ249" s="1">
        <v>188.0</v>
      </c>
      <c r="BR249" s="27">
        <v>28381.0</v>
      </c>
    </row>
    <row r="250">
      <c r="A250" s="25">
        <f>'Equity Price Data'!A251</f>
        <v>45786.66667</v>
      </c>
      <c r="B250" s="34">
        <f>(('PRACTICE Equity Price Data'!B251/'PRACTICE Equity Price Data'!B250)-1)+B249</f>
        <v>0.09913175252</v>
      </c>
      <c r="C250" s="34">
        <f>(('PRACTICE Equity Price Data'!C251/'PRACTICE Equity Price Data'!C250)-1)+C249</f>
        <v>0.1220959584</v>
      </c>
      <c r="D250" s="34">
        <f>(('PRACTICE Equity Price Data'!D251/'PRACTICE Equity Price Data'!D250)-1)+D249</f>
        <v>0.05935995601</v>
      </c>
      <c r="E250" s="34">
        <f>(('PRACTICE Equity Price Data'!E251/'PRACTICE Equity Price Data'!E250)-1)+E249</f>
        <v>0.01001895238</v>
      </c>
      <c r="F250" s="3">
        <v>13.0</v>
      </c>
      <c r="G250" s="3">
        <v>260.0</v>
      </c>
      <c r="H250" s="3">
        <v>110.0</v>
      </c>
      <c r="I250" s="3">
        <v>256.0</v>
      </c>
      <c r="J250" s="3">
        <v>83.0</v>
      </c>
      <c r="K250" s="3">
        <v>188.0</v>
      </c>
      <c r="L250" s="3">
        <v>1000.0</v>
      </c>
      <c r="M250" s="3">
        <v>102.0</v>
      </c>
      <c r="N250" s="3">
        <v>200.0</v>
      </c>
      <c r="O250" s="3">
        <v>121.0</v>
      </c>
      <c r="P250" s="3"/>
      <c r="Q250" s="3">
        <v>80.0</v>
      </c>
      <c r="R250" s="3">
        <v>150.0</v>
      </c>
      <c r="S250" s="3">
        <v>417.0</v>
      </c>
      <c r="T250" s="3">
        <v>120.0</v>
      </c>
      <c r="U250" s="3">
        <v>80.0</v>
      </c>
      <c r="V250" s="1">
        <v>88.0</v>
      </c>
      <c r="W250" s="1">
        <v>250.0</v>
      </c>
      <c r="X250" s="1">
        <v>264.0</v>
      </c>
      <c r="Y250" s="1">
        <v>161.0</v>
      </c>
      <c r="Z250" s="1">
        <v>69.0</v>
      </c>
      <c r="AA250" s="3"/>
      <c r="AB250" s="1">
        <v>13.0</v>
      </c>
      <c r="AC250" s="1">
        <v>150.0</v>
      </c>
      <c r="AD250" s="1">
        <v>170.0</v>
      </c>
      <c r="AE250" s="1">
        <v>60.0</v>
      </c>
      <c r="AF250" s="1">
        <v>40.0</v>
      </c>
      <c r="AG250" s="1">
        <v>45.0</v>
      </c>
      <c r="AH250" s="1"/>
      <c r="AI250" s="1">
        <v>205.0</v>
      </c>
      <c r="AJ250" s="1">
        <v>60.0</v>
      </c>
      <c r="AK250" s="1">
        <v>100.0</v>
      </c>
      <c r="AL250" s="1">
        <v>175.0</v>
      </c>
      <c r="AM250" s="1">
        <v>130.0</v>
      </c>
      <c r="AN250" s="3">
        <v>47.0</v>
      </c>
      <c r="AO250" s="3">
        <v>160.0</v>
      </c>
      <c r="AP250" s="3">
        <v>70.0</v>
      </c>
      <c r="AQ250" s="3"/>
      <c r="AR250" s="1">
        <v>854.0</v>
      </c>
      <c r="AS250" s="1">
        <v>250.0</v>
      </c>
      <c r="AT250" s="1">
        <v>220.0</v>
      </c>
      <c r="AU250" s="3">
        <v>423.0</v>
      </c>
      <c r="AV250" s="1">
        <v>120.0</v>
      </c>
      <c r="AW250" s="3">
        <v>200.0</v>
      </c>
      <c r="AX250" s="3"/>
      <c r="AY250" s="3">
        <v>142.0</v>
      </c>
      <c r="AZ250" s="1">
        <v>40.0</v>
      </c>
      <c r="BA250" s="1"/>
      <c r="BB250" s="3">
        <v>402.0</v>
      </c>
      <c r="BC250" s="1">
        <v>150.0</v>
      </c>
      <c r="BD250" s="1">
        <v>190.0</v>
      </c>
      <c r="BE250" s="1">
        <v>80.0</v>
      </c>
      <c r="BF250" s="3">
        <v>328.0</v>
      </c>
      <c r="BG250" s="1">
        <v>213.0</v>
      </c>
      <c r="BH250" s="1">
        <v>23.0</v>
      </c>
      <c r="BI250" s="1">
        <v>40.0</v>
      </c>
      <c r="BJ250" s="1">
        <v>278.0</v>
      </c>
      <c r="BK250" s="3"/>
      <c r="BL250" s="1">
        <v>160.0</v>
      </c>
      <c r="BM250" s="1">
        <v>75.0</v>
      </c>
      <c r="BN250" s="32">
        <v>1802.0</v>
      </c>
      <c r="BO250" s="1">
        <v>47.0</v>
      </c>
      <c r="BP250" s="3">
        <v>48.0</v>
      </c>
      <c r="BQ250" s="1">
        <v>188.0</v>
      </c>
      <c r="BR250" s="27">
        <v>28381.0</v>
      </c>
    </row>
    <row r="251">
      <c r="A251" s="25">
        <f>'Equity Price Data'!A252</f>
        <v>45789.66667</v>
      </c>
      <c r="B251" s="34">
        <f>(('PRACTICE Equity Price Data'!B252/'PRACTICE Equity Price Data'!B251)-1)+B250</f>
        <v>0.1316905741</v>
      </c>
      <c r="C251" s="34">
        <f>(('PRACTICE Equity Price Data'!C252/'PRACTICE Equity Price Data'!C251)-1)+C250</f>
        <v>0.1655687387</v>
      </c>
      <c r="D251" s="34">
        <f>(('PRACTICE Equity Price Data'!D252/'PRACTICE Equity Price Data'!D251)-1)+D250</f>
        <v>0.08749904562</v>
      </c>
      <c r="E251" s="34">
        <f>(('PRACTICE Equity Price Data'!E252/'PRACTICE Equity Price Data'!E251)-1)+E250</f>
        <v>0.04418979174</v>
      </c>
      <c r="F251" s="3">
        <v>13.0</v>
      </c>
      <c r="G251" s="3">
        <v>260.0</v>
      </c>
      <c r="H251" s="3">
        <v>110.0</v>
      </c>
      <c r="I251" s="3">
        <v>256.0</v>
      </c>
      <c r="J251" s="3">
        <v>83.0</v>
      </c>
      <c r="K251" s="3">
        <v>188.0</v>
      </c>
      <c r="L251" s="3">
        <v>1000.0</v>
      </c>
      <c r="M251" s="3">
        <v>102.0</v>
      </c>
      <c r="N251" s="3">
        <v>200.0</v>
      </c>
      <c r="O251" s="3">
        <v>121.0</v>
      </c>
      <c r="P251" s="3"/>
      <c r="Q251" s="3">
        <v>80.0</v>
      </c>
      <c r="R251" s="3">
        <v>150.0</v>
      </c>
      <c r="S251" s="3">
        <v>417.0</v>
      </c>
      <c r="T251" s="3">
        <v>120.0</v>
      </c>
      <c r="U251" s="3">
        <v>80.0</v>
      </c>
      <c r="V251" s="1">
        <v>88.0</v>
      </c>
      <c r="W251" s="1">
        <v>250.0</v>
      </c>
      <c r="X251" s="1">
        <v>264.0</v>
      </c>
      <c r="Y251" s="1">
        <v>161.0</v>
      </c>
      <c r="Z251" s="1">
        <v>69.0</v>
      </c>
      <c r="AA251" s="3"/>
      <c r="AB251" s="1">
        <v>13.0</v>
      </c>
      <c r="AC251" s="1">
        <v>150.0</v>
      </c>
      <c r="AD251" s="1">
        <v>170.0</v>
      </c>
      <c r="AE251" s="1">
        <v>60.0</v>
      </c>
      <c r="AF251" s="1">
        <v>40.0</v>
      </c>
      <c r="AG251" s="1">
        <v>45.0</v>
      </c>
      <c r="AH251" s="1"/>
      <c r="AI251" s="1">
        <v>205.0</v>
      </c>
      <c r="AJ251" s="1">
        <v>60.0</v>
      </c>
      <c r="AK251" s="1">
        <v>100.0</v>
      </c>
      <c r="AL251" s="1">
        <v>175.0</v>
      </c>
      <c r="AM251" s="1">
        <v>130.0</v>
      </c>
      <c r="AN251" s="3">
        <v>47.0</v>
      </c>
      <c r="AO251" s="3">
        <v>160.0</v>
      </c>
      <c r="AP251" s="3">
        <v>70.0</v>
      </c>
      <c r="AQ251" s="3"/>
      <c r="AR251" s="1">
        <v>854.0</v>
      </c>
      <c r="AS251" s="1">
        <v>250.0</v>
      </c>
      <c r="AT251" s="1">
        <v>220.0</v>
      </c>
      <c r="AU251" s="3">
        <v>423.0</v>
      </c>
      <c r="AV251" s="1">
        <v>120.0</v>
      </c>
      <c r="AW251" s="3">
        <v>200.0</v>
      </c>
      <c r="AX251" s="3"/>
      <c r="AY251" s="3">
        <v>142.0</v>
      </c>
      <c r="AZ251" s="1">
        <v>40.0</v>
      </c>
      <c r="BA251" s="1"/>
      <c r="BB251" s="3">
        <v>402.0</v>
      </c>
      <c r="BC251" s="1">
        <v>150.0</v>
      </c>
      <c r="BD251" s="1">
        <v>190.0</v>
      </c>
      <c r="BE251" s="1">
        <v>80.0</v>
      </c>
      <c r="BF251" s="3">
        <v>328.0</v>
      </c>
      <c r="BG251" s="1">
        <v>213.0</v>
      </c>
      <c r="BH251" s="1">
        <v>23.0</v>
      </c>
      <c r="BI251" s="1">
        <v>40.0</v>
      </c>
      <c r="BJ251" s="1">
        <v>278.0</v>
      </c>
      <c r="BK251" s="3"/>
      <c r="BL251" s="1">
        <v>160.0</v>
      </c>
      <c r="BM251" s="1">
        <v>75.0</v>
      </c>
      <c r="BN251" s="32">
        <v>1802.0</v>
      </c>
      <c r="BO251" s="1">
        <v>47.0</v>
      </c>
      <c r="BP251" s="3">
        <v>48.0</v>
      </c>
      <c r="BQ251" s="1">
        <v>188.0</v>
      </c>
      <c r="BR251" s="27">
        <v>28381.0</v>
      </c>
    </row>
    <row r="252">
      <c r="A252" s="25">
        <f>'Equity Price Data'!A253</f>
        <v>45790.66667</v>
      </c>
      <c r="B252" s="34">
        <f>(('PRACTICE Equity Price Data'!B253/'PRACTICE Equity Price Data'!B252)-1)+B251</f>
        <v>0.1389387984</v>
      </c>
      <c r="C252" s="34">
        <f>(('PRACTICE Equity Price Data'!C253/'PRACTICE Equity Price Data'!C252)-1)+C251</f>
        <v>0.1816979089</v>
      </c>
      <c r="D252" s="34">
        <f>(('PRACTICE Equity Price Data'!D253/'PRACTICE Equity Price Data'!D252)-1)+D251</f>
        <v>0.08114041878</v>
      </c>
      <c r="E252" s="34">
        <f>(('PRACTICE Equity Price Data'!E253/'PRACTICE Equity Price Data'!E252)-1)+E251</f>
        <v>0.04904114439</v>
      </c>
      <c r="F252" s="3">
        <v>13.0</v>
      </c>
      <c r="G252" s="3">
        <v>260.0</v>
      </c>
      <c r="H252" s="3">
        <v>110.0</v>
      </c>
      <c r="I252" s="3">
        <v>256.0</v>
      </c>
      <c r="J252" s="3">
        <v>83.0</v>
      </c>
      <c r="K252" s="3">
        <v>188.0</v>
      </c>
      <c r="L252" s="3">
        <v>1000.0</v>
      </c>
      <c r="M252" s="3">
        <v>102.0</v>
      </c>
      <c r="N252" s="3">
        <v>200.0</v>
      </c>
      <c r="O252" s="3">
        <v>121.0</v>
      </c>
      <c r="P252" s="3"/>
      <c r="Q252" s="3">
        <v>80.0</v>
      </c>
      <c r="R252" s="3">
        <v>150.0</v>
      </c>
      <c r="S252" s="3">
        <v>417.0</v>
      </c>
      <c r="T252" s="3">
        <v>120.0</v>
      </c>
      <c r="U252" s="3">
        <v>80.0</v>
      </c>
      <c r="V252" s="1">
        <v>88.0</v>
      </c>
      <c r="W252" s="1">
        <v>250.0</v>
      </c>
      <c r="X252" s="1">
        <v>264.0</v>
      </c>
      <c r="Y252" s="1">
        <v>161.0</v>
      </c>
      <c r="Z252" s="1">
        <v>69.0</v>
      </c>
      <c r="AA252" s="3"/>
      <c r="AB252" s="1">
        <v>13.0</v>
      </c>
      <c r="AC252" s="1">
        <v>150.0</v>
      </c>
      <c r="AD252" s="1">
        <v>170.0</v>
      </c>
      <c r="AE252" s="1">
        <v>60.0</v>
      </c>
      <c r="AF252" s="1">
        <v>40.0</v>
      </c>
      <c r="AG252" s="1">
        <v>45.0</v>
      </c>
      <c r="AH252" s="1"/>
      <c r="AI252" s="1">
        <v>205.0</v>
      </c>
      <c r="AJ252" s="1">
        <v>60.0</v>
      </c>
      <c r="AK252" s="1">
        <v>100.0</v>
      </c>
      <c r="AL252" s="1">
        <v>175.0</v>
      </c>
      <c r="AM252" s="1">
        <v>130.0</v>
      </c>
      <c r="AN252" s="3">
        <v>47.0</v>
      </c>
      <c r="AO252" s="3">
        <v>160.0</v>
      </c>
      <c r="AP252" s="3">
        <v>70.0</v>
      </c>
      <c r="AQ252" s="3"/>
      <c r="AR252" s="1">
        <v>854.0</v>
      </c>
      <c r="AS252" s="1">
        <v>250.0</v>
      </c>
      <c r="AT252" s="1">
        <v>220.0</v>
      </c>
      <c r="AU252" s="3">
        <v>423.0</v>
      </c>
      <c r="AV252" s="1">
        <v>120.0</v>
      </c>
      <c r="AW252" s="3">
        <v>200.0</v>
      </c>
      <c r="AX252" s="3"/>
      <c r="AY252" s="3">
        <v>142.0</v>
      </c>
      <c r="AZ252" s="1">
        <v>40.0</v>
      </c>
      <c r="BA252" s="1"/>
      <c r="BB252" s="3">
        <v>402.0</v>
      </c>
      <c r="BC252" s="1">
        <v>150.0</v>
      </c>
      <c r="BD252" s="1">
        <v>190.0</v>
      </c>
      <c r="BE252" s="1">
        <v>80.0</v>
      </c>
      <c r="BF252" s="3">
        <v>328.0</v>
      </c>
      <c r="BG252" s="1">
        <v>213.0</v>
      </c>
      <c r="BH252" s="1">
        <v>23.0</v>
      </c>
      <c r="BI252" s="1">
        <v>40.0</v>
      </c>
      <c r="BJ252" s="1">
        <v>278.0</v>
      </c>
      <c r="BK252" s="3"/>
      <c r="BL252" s="1">
        <v>160.0</v>
      </c>
      <c r="BM252" s="1">
        <v>75.0</v>
      </c>
      <c r="BN252" s="32">
        <v>1802.0</v>
      </c>
      <c r="BO252" s="1">
        <v>47.0</v>
      </c>
      <c r="BP252" s="3">
        <v>48.0</v>
      </c>
      <c r="BQ252" s="1">
        <v>188.0</v>
      </c>
      <c r="BR252" s="27">
        <v>28381.0</v>
      </c>
    </row>
    <row r="253">
      <c r="A253" s="25">
        <f>'Equity Price Data'!A254</f>
        <v>45791.66667</v>
      </c>
      <c r="B253" s="34">
        <f>(('PRACTICE Equity Price Data'!B254/'PRACTICE Equity Price Data'!B253)-1)+B252</f>
        <v>0.1399631675</v>
      </c>
      <c r="C253" s="34">
        <f>(('PRACTICE Equity Price Data'!C254/'PRACTICE Equity Price Data'!C253)-1)+C252</f>
        <v>0.188889879</v>
      </c>
      <c r="D253" s="34">
        <f>(('PRACTICE Equity Price Data'!D254/'PRACTICE Equity Price Data'!D253)-1)+D252</f>
        <v>0.07901965257</v>
      </c>
      <c r="E253" s="34">
        <f>(('PRACTICE Equity Price Data'!E254/'PRACTICE Equity Price Data'!E253)-1)+E252</f>
        <v>0.04021768492</v>
      </c>
      <c r="F253" s="3">
        <v>13.0</v>
      </c>
      <c r="G253" s="3">
        <v>260.0</v>
      </c>
      <c r="H253" s="3">
        <v>110.0</v>
      </c>
      <c r="I253" s="3">
        <v>256.0</v>
      </c>
      <c r="J253" s="3">
        <v>83.0</v>
      </c>
      <c r="K253" s="3">
        <v>188.0</v>
      </c>
      <c r="L253" s="3">
        <v>1000.0</v>
      </c>
      <c r="M253" s="3">
        <v>102.0</v>
      </c>
      <c r="N253" s="3">
        <v>200.0</v>
      </c>
      <c r="O253" s="3">
        <v>121.0</v>
      </c>
      <c r="P253" s="3"/>
      <c r="Q253" s="3">
        <v>80.0</v>
      </c>
      <c r="R253" s="3">
        <v>150.0</v>
      </c>
      <c r="S253" s="3">
        <v>417.0</v>
      </c>
      <c r="T253" s="3">
        <v>120.0</v>
      </c>
      <c r="U253" s="3">
        <v>80.0</v>
      </c>
      <c r="V253" s="1">
        <v>88.0</v>
      </c>
      <c r="W253" s="1">
        <v>250.0</v>
      </c>
      <c r="X253" s="1">
        <v>264.0</v>
      </c>
      <c r="Y253" s="1">
        <v>161.0</v>
      </c>
      <c r="Z253" s="1">
        <v>69.0</v>
      </c>
      <c r="AA253" s="3"/>
      <c r="AB253" s="1">
        <v>13.0</v>
      </c>
      <c r="AC253" s="1">
        <v>150.0</v>
      </c>
      <c r="AD253" s="1">
        <v>170.0</v>
      </c>
      <c r="AE253" s="1">
        <v>60.0</v>
      </c>
      <c r="AF253" s="1">
        <v>40.0</v>
      </c>
      <c r="AG253" s="1">
        <v>45.0</v>
      </c>
      <c r="AH253" s="1"/>
      <c r="AI253" s="1">
        <v>205.0</v>
      </c>
      <c r="AJ253" s="1">
        <v>60.0</v>
      </c>
      <c r="AK253" s="1">
        <v>100.0</v>
      </c>
      <c r="AL253" s="1">
        <v>175.0</v>
      </c>
      <c r="AM253" s="1">
        <v>130.0</v>
      </c>
      <c r="AN253" s="3">
        <v>47.0</v>
      </c>
      <c r="AO253" s="3">
        <v>160.0</v>
      </c>
      <c r="AP253" s="3">
        <v>70.0</v>
      </c>
      <c r="AQ253" s="3"/>
      <c r="AR253" s="1">
        <v>854.0</v>
      </c>
      <c r="AS253" s="1">
        <v>250.0</v>
      </c>
      <c r="AT253" s="1">
        <v>220.0</v>
      </c>
      <c r="AU253" s="3">
        <v>423.0</v>
      </c>
      <c r="AV253" s="1">
        <v>120.0</v>
      </c>
      <c r="AW253" s="3">
        <v>200.0</v>
      </c>
      <c r="AX253" s="3"/>
      <c r="AY253" s="3">
        <v>142.0</v>
      </c>
      <c r="AZ253" s="1">
        <v>40.0</v>
      </c>
      <c r="BA253" s="1"/>
      <c r="BB253" s="3">
        <v>402.0</v>
      </c>
      <c r="BC253" s="1">
        <v>150.0</v>
      </c>
      <c r="BD253" s="1">
        <v>190.0</v>
      </c>
      <c r="BE253" s="1">
        <v>80.0</v>
      </c>
      <c r="BF253" s="3">
        <v>328.0</v>
      </c>
      <c r="BG253" s="1">
        <v>213.0</v>
      </c>
      <c r="BH253" s="1">
        <v>23.0</v>
      </c>
      <c r="BI253" s="1">
        <v>40.0</v>
      </c>
      <c r="BJ253" s="1">
        <v>278.0</v>
      </c>
      <c r="BK253" s="3"/>
      <c r="BL253" s="1">
        <v>160.0</v>
      </c>
      <c r="BM253" s="1">
        <v>75.0</v>
      </c>
      <c r="BN253" s="32">
        <v>1802.0</v>
      </c>
      <c r="BO253" s="1">
        <v>47.0</v>
      </c>
      <c r="BP253" s="3">
        <v>48.0</v>
      </c>
      <c r="BQ253" s="1">
        <v>188.0</v>
      </c>
      <c r="BR253" s="27">
        <v>28381.0</v>
      </c>
    </row>
    <row r="254">
      <c r="A254" s="25">
        <f>'Equity Price Data'!A255</f>
        <v>45792.66667</v>
      </c>
      <c r="B254" s="34">
        <f>(('PRACTICE Equity Price Data'!B255/'PRACTICE Equity Price Data'!B254)-1)+B253</f>
        <v>0.1440954831</v>
      </c>
      <c r="C254" s="34">
        <f>(('PRACTICE Equity Price Data'!C255/'PRACTICE Equity Price Data'!C254)-1)+C253</f>
        <v>0.1870885346</v>
      </c>
      <c r="D254" s="34">
        <f>(('PRACTICE Equity Price Data'!D255/'PRACTICE Equity Price Data'!D254)-1)+D253</f>
        <v>0.08548060742</v>
      </c>
      <c r="E254" s="34">
        <f>(('PRACTICE Equity Price Data'!E255/'PRACTICE Equity Price Data'!E254)-1)+E253</f>
        <v>0.04544371429</v>
      </c>
      <c r="F254" s="3">
        <v>13.0</v>
      </c>
      <c r="G254" s="3">
        <v>260.0</v>
      </c>
      <c r="H254" s="3">
        <v>110.0</v>
      </c>
      <c r="I254" s="3">
        <v>256.0</v>
      </c>
      <c r="J254" s="3">
        <v>83.0</v>
      </c>
      <c r="K254" s="3">
        <v>188.0</v>
      </c>
      <c r="L254" s="3">
        <v>1000.0</v>
      </c>
      <c r="M254" s="3">
        <v>102.0</v>
      </c>
      <c r="N254" s="3">
        <v>200.0</v>
      </c>
      <c r="O254" s="3">
        <v>121.0</v>
      </c>
      <c r="P254" s="3"/>
      <c r="Q254" s="3">
        <v>80.0</v>
      </c>
      <c r="R254" s="3">
        <v>150.0</v>
      </c>
      <c r="S254" s="3">
        <v>417.0</v>
      </c>
      <c r="T254" s="3">
        <v>120.0</v>
      </c>
      <c r="U254" s="3">
        <v>80.0</v>
      </c>
      <c r="V254" s="1">
        <v>88.0</v>
      </c>
      <c r="W254" s="1">
        <v>250.0</v>
      </c>
      <c r="X254" s="1">
        <v>264.0</v>
      </c>
      <c r="Y254" s="1">
        <v>161.0</v>
      </c>
      <c r="Z254" s="1">
        <v>69.0</v>
      </c>
      <c r="AA254" s="3"/>
      <c r="AB254" s="1">
        <v>13.0</v>
      </c>
      <c r="AC254" s="1">
        <v>150.0</v>
      </c>
      <c r="AD254" s="1">
        <v>170.0</v>
      </c>
      <c r="AE254" s="1">
        <v>60.0</v>
      </c>
      <c r="AF254" s="1">
        <v>40.0</v>
      </c>
      <c r="AG254" s="1">
        <v>45.0</v>
      </c>
      <c r="AH254" s="1"/>
      <c r="AI254" s="1">
        <v>205.0</v>
      </c>
      <c r="AJ254" s="1">
        <v>60.0</v>
      </c>
      <c r="AK254" s="1">
        <v>100.0</v>
      </c>
      <c r="AL254" s="1">
        <v>175.0</v>
      </c>
      <c r="AM254" s="1">
        <v>130.0</v>
      </c>
      <c r="AN254" s="3">
        <v>47.0</v>
      </c>
      <c r="AO254" s="3">
        <v>160.0</v>
      </c>
      <c r="AP254" s="3">
        <v>70.0</v>
      </c>
      <c r="AQ254" s="3"/>
      <c r="AR254" s="1">
        <v>854.0</v>
      </c>
      <c r="AS254" s="1">
        <v>250.0</v>
      </c>
      <c r="AT254" s="1">
        <v>220.0</v>
      </c>
      <c r="AU254" s="3">
        <v>423.0</v>
      </c>
      <c r="AV254" s="1">
        <v>120.0</v>
      </c>
      <c r="AW254" s="3">
        <v>200.0</v>
      </c>
      <c r="AX254" s="3"/>
      <c r="AY254" s="3">
        <v>142.0</v>
      </c>
      <c r="AZ254" s="1">
        <v>40.0</v>
      </c>
      <c r="BA254" s="1"/>
      <c r="BB254" s="3">
        <v>402.0</v>
      </c>
      <c r="BC254" s="1">
        <v>150.0</v>
      </c>
      <c r="BD254" s="1">
        <v>190.0</v>
      </c>
      <c r="BE254" s="1">
        <v>80.0</v>
      </c>
      <c r="BF254" s="3">
        <v>328.0</v>
      </c>
      <c r="BG254" s="1">
        <v>213.0</v>
      </c>
      <c r="BH254" s="1">
        <v>23.0</v>
      </c>
      <c r="BI254" s="1">
        <v>40.0</v>
      </c>
      <c r="BJ254" s="1">
        <v>278.0</v>
      </c>
      <c r="BK254" s="3"/>
      <c r="BL254" s="1">
        <v>160.0</v>
      </c>
      <c r="BM254" s="1">
        <v>75.0</v>
      </c>
      <c r="BN254" s="32">
        <v>1802.0</v>
      </c>
      <c r="BO254" s="1">
        <v>47.0</v>
      </c>
      <c r="BP254" s="3">
        <v>48.0</v>
      </c>
      <c r="BQ254" s="1">
        <v>188.0</v>
      </c>
      <c r="BR254" s="27">
        <v>28381.0</v>
      </c>
    </row>
    <row r="255">
      <c r="A255" s="25">
        <f>'Equity Price Data'!A256</f>
        <v>45793.66667</v>
      </c>
      <c r="B255" s="34">
        <f>(('PRACTICE Equity Price Data'!B256/'PRACTICE Equity Price Data'!B255)-1)+B254</f>
        <v>0.1511008051</v>
      </c>
      <c r="C255" s="34">
        <f>(('PRACTICE Equity Price Data'!C256/'PRACTICE Equity Price Data'!C255)-1)+C254</f>
        <v>0.1922569286</v>
      </c>
      <c r="D255" s="34">
        <f>(('PRACTICE Equity Price Data'!D256/'PRACTICE Equity Price Data'!D255)-1)+D254</f>
        <v>0.09332485194</v>
      </c>
      <c r="E255" s="34">
        <f>(('PRACTICE Equity Price Data'!E256/'PRACTICE Equity Price Data'!E255)-1)+E254</f>
        <v>0.05430421394</v>
      </c>
      <c r="F255" s="3">
        <v>13.0</v>
      </c>
      <c r="G255" s="3">
        <v>260.0</v>
      </c>
      <c r="H255" s="3">
        <v>110.0</v>
      </c>
      <c r="I255" s="3">
        <v>256.0</v>
      </c>
      <c r="J255" s="3">
        <v>83.0</v>
      </c>
      <c r="K255" s="3">
        <v>188.0</v>
      </c>
      <c r="L255" s="3">
        <v>1000.0</v>
      </c>
      <c r="M255" s="3">
        <v>102.0</v>
      </c>
      <c r="N255" s="3">
        <v>200.0</v>
      </c>
      <c r="O255" s="3">
        <v>121.0</v>
      </c>
      <c r="P255" s="3"/>
      <c r="Q255" s="3">
        <v>80.0</v>
      </c>
      <c r="R255" s="3">
        <v>150.0</v>
      </c>
      <c r="S255" s="3">
        <v>417.0</v>
      </c>
      <c r="T255" s="3">
        <v>120.0</v>
      </c>
      <c r="U255" s="3">
        <v>80.0</v>
      </c>
      <c r="V255" s="1">
        <v>88.0</v>
      </c>
      <c r="W255" s="1">
        <v>250.0</v>
      </c>
      <c r="X255" s="1">
        <v>264.0</v>
      </c>
      <c r="Y255" s="1">
        <v>161.0</v>
      </c>
      <c r="Z255" s="1">
        <v>69.0</v>
      </c>
      <c r="AA255" s="3"/>
      <c r="AB255" s="1">
        <v>13.0</v>
      </c>
      <c r="AC255" s="1">
        <v>150.0</v>
      </c>
      <c r="AD255" s="1">
        <v>170.0</v>
      </c>
      <c r="AE255" s="1">
        <v>60.0</v>
      </c>
      <c r="AF255" s="1">
        <v>40.0</v>
      </c>
      <c r="AG255" s="1">
        <v>45.0</v>
      </c>
      <c r="AH255" s="1"/>
      <c r="AI255" s="1">
        <v>205.0</v>
      </c>
      <c r="AJ255" s="1">
        <v>60.0</v>
      </c>
      <c r="AK255" s="1">
        <v>100.0</v>
      </c>
      <c r="AL255" s="1">
        <v>175.0</v>
      </c>
      <c r="AM255" s="1">
        <v>130.0</v>
      </c>
      <c r="AN255" s="3">
        <v>47.0</v>
      </c>
      <c r="AO255" s="3">
        <v>160.0</v>
      </c>
      <c r="AP255" s="3">
        <v>70.0</v>
      </c>
      <c r="AQ255" s="3"/>
      <c r="AR255" s="1">
        <v>854.0</v>
      </c>
      <c r="AS255" s="1">
        <v>250.0</v>
      </c>
      <c r="AT255" s="1">
        <v>220.0</v>
      </c>
      <c r="AU255" s="3">
        <v>423.0</v>
      </c>
      <c r="AV255" s="1">
        <v>120.0</v>
      </c>
      <c r="AW255" s="3">
        <v>200.0</v>
      </c>
      <c r="AX255" s="3"/>
      <c r="AY255" s="3">
        <v>142.0</v>
      </c>
      <c r="AZ255" s="1">
        <v>40.0</v>
      </c>
      <c r="BA255" s="1"/>
      <c r="BB255" s="3">
        <v>402.0</v>
      </c>
      <c r="BC255" s="1">
        <v>150.0</v>
      </c>
      <c r="BD255" s="1">
        <v>190.0</v>
      </c>
      <c r="BE255" s="1">
        <v>80.0</v>
      </c>
      <c r="BF255" s="3">
        <v>328.0</v>
      </c>
      <c r="BG255" s="1">
        <v>213.0</v>
      </c>
      <c r="BH255" s="1">
        <v>23.0</v>
      </c>
      <c r="BI255" s="1">
        <v>40.0</v>
      </c>
      <c r="BJ255" s="1">
        <v>278.0</v>
      </c>
      <c r="BK255" s="3"/>
      <c r="BL255" s="1">
        <v>160.0</v>
      </c>
      <c r="BM255" s="1">
        <v>75.0</v>
      </c>
      <c r="BN255" s="32">
        <v>1802.0</v>
      </c>
      <c r="BO255" s="1">
        <v>47.0</v>
      </c>
      <c r="BP255" s="3">
        <v>48.0</v>
      </c>
      <c r="BQ255" s="1">
        <v>188.0</v>
      </c>
      <c r="BR255" s="27">
        <v>28381.0</v>
      </c>
    </row>
    <row r="256">
      <c r="A256" s="25">
        <f>'Equity Price Data'!A257</f>
        <v>45796.66667</v>
      </c>
      <c r="B256" s="34">
        <f>(('PRACTICE Equity Price Data'!B257/'PRACTICE Equity Price Data'!B256)-1)+B255</f>
        <v>0.1519768822</v>
      </c>
      <c r="C256" s="34">
        <f>(('PRACTICE Equity Price Data'!C257/'PRACTICE Equity Price Data'!C256)-1)+C255</f>
        <v>0.1924838807</v>
      </c>
      <c r="D256" s="34">
        <f>(('PRACTICE Equity Price Data'!D257/'PRACTICE Equity Price Data'!D256)-1)+D255</f>
        <v>0.09654442379</v>
      </c>
      <c r="E256" s="34">
        <f>(('PRACTICE Equity Price Data'!E257/'PRACTICE Equity Price Data'!E256)-1)+E255</f>
        <v>0.05013054778</v>
      </c>
      <c r="F256" s="3">
        <v>13.0</v>
      </c>
      <c r="G256" s="3">
        <v>260.0</v>
      </c>
      <c r="H256" s="3">
        <v>110.0</v>
      </c>
      <c r="I256" s="3">
        <v>256.0</v>
      </c>
      <c r="J256" s="3">
        <v>83.0</v>
      </c>
      <c r="K256" s="3">
        <v>188.0</v>
      </c>
      <c r="L256" s="3">
        <v>1000.0</v>
      </c>
      <c r="M256" s="3">
        <v>102.0</v>
      </c>
      <c r="N256" s="3">
        <v>200.0</v>
      </c>
      <c r="O256" s="3">
        <v>121.0</v>
      </c>
      <c r="P256" s="3"/>
      <c r="Q256" s="3">
        <v>80.0</v>
      </c>
      <c r="R256" s="3">
        <v>150.0</v>
      </c>
      <c r="S256" s="3">
        <v>417.0</v>
      </c>
      <c r="T256" s="3">
        <v>120.0</v>
      </c>
      <c r="U256" s="3">
        <v>80.0</v>
      </c>
      <c r="V256" s="1">
        <v>88.0</v>
      </c>
      <c r="W256" s="1">
        <v>250.0</v>
      </c>
      <c r="X256" s="1">
        <v>264.0</v>
      </c>
      <c r="Y256" s="1">
        <v>161.0</v>
      </c>
      <c r="Z256" s="1">
        <v>69.0</v>
      </c>
      <c r="AA256" s="3"/>
      <c r="AB256" s="1">
        <v>13.0</v>
      </c>
      <c r="AC256" s="1">
        <v>150.0</v>
      </c>
      <c r="AD256" s="1">
        <v>170.0</v>
      </c>
      <c r="AE256" s="1">
        <v>60.0</v>
      </c>
      <c r="AF256" s="1">
        <v>40.0</v>
      </c>
      <c r="AG256" s="1">
        <v>45.0</v>
      </c>
      <c r="AH256" s="1"/>
      <c r="AI256" s="1">
        <v>205.0</v>
      </c>
      <c r="AJ256" s="1">
        <v>60.0</v>
      </c>
      <c r="AK256" s="1">
        <v>100.0</v>
      </c>
      <c r="AL256" s="1">
        <v>175.0</v>
      </c>
      <c r="AM256" s="1">
        <v>130.0</v>
      </c>
      <c r="AN256" s="3">
        <v>47.0</v>
      </c>
      <c r="AO256" s="3">
        <v>160.0</v>
      </c>
      <c r="AP256" s="3">
        <v>70.0</v>
      </c>
      <c r="AQ256" s="3"/>
      <c r="AR256" s="1">
        <v>854.0</v>
      </c>
      <c r="AS256" s="1">
        <v>250.0</v>
      </c>
      <c r="AT256" s="1">
        <v>220.0</v>
      </c>
      <c r="AU256" s="3">
        <v>423.0</v>
      </c>
      <c r="AV256" s="1">
        <v>120.0</v>
      </c>
      <c r="AW256" s="3">
        <v>200.0</v>
      </c>
      <c r="AX256" s="3"/>
      <c r="AY256" s="3">
        <v>142.0</v>
      </c>
      <c r="AZ256" s="1">
        <v>40.0</v>
      </c>
      <c r="BA256" s="1"/>
      <c r="BB256" s="3">
        <v>402.0</v>
      </c>
      <c r="BC256" s="1">
        <v>150.0</v>
      </c>
      <c r="BD256" s="1">
        <v>190.0</v>
      </c>
      <c r="BE256" s="1">
        <v>80.0</v>
      </c>
      <c r="BF256" s="3">
        <v>328.0</v>
      </c>
      <c r="BG256" s="1">
        <v>213.0</v>
      </c>
      <c r="BH256" s="1">
        <v>23.0</v>
      </c>
      <c r="BI256" s="1">
        <v>40.0</v>
      </c>
      <c r="BJ256" s="1">
        <v>278.0</v>
      </c>
      <c r="BK256" s="3"/>
      <c r="BL256" s="1">
        <v>160.0</v>
      </c>
      <c r="BM256" s="1">
        <v>75.0</v>
      </c>
      <c r="BN256" s="32">
        <v>1802.0</v>
      </c>
      <c r="BO256" s="1">
        <v>47.0</v>
      </c>
      <c r="BP256" s="3">
        <v>48.0</v>
      </c>
      <c r="BQ256" s="1">
        <v>188.0</v>
      </c>
      <c r="BR256" s="27">
        <v>28381.0</v>
      </c>
    </row>
    <row r="257">
      <c r="A257" s="25">
        <f>'Equity Price Data'!A258</f>
        <v>45797.66667</v>
      </c>
      <c r="B257" s="34">
        <f>(('PRACTICE Equity Price Data'!B258/'PRACTICE Equity Price Data'!B257)-1)+B256</f>
        <v>0.1480966756</v>
      </c>
      <c r="C257" s="34">
        <f>(('PRACTICE Equity Price Data'!C258/'PRACTICE Equity Price Data'!C257)-1)+C256</f>
        <v>0.1886978667</v>
      </c>
      <c r="D257" s="34">
        <f>(('PRACTICE Equity Price Data'!D258/'PRACTICE Equity Price Data'!D257)-1)+D256</f>
        <v>0.09386098268</v>
      </c>
      <c r="E257" s="34">
        <f>(('PRACTICE Equity Price Data'!E258/'PRACTICE Equity Price Data'!E257)-1)+E256</f>
        <v>0.05067701405</v>
      </c>
      <c r="F257" s="3">
        <v>13.0</v>
      </c>
      <c r="G257" s="3">
        <v>260.0</v>
      </c>
      <c r="H257" s="3">
        <v>110.0</v>
      </c>
      <c r="I257" s="3">
        <v>256.0</v>
      </c>
      <c r="J257" s="3">
        <v>83.0</v>
      </c>
      <c r="K257" s="3">
        <v>188.0</v>
      </c>
      <c r="L257" s="3">
        <v>1000.0</v>
      </c>
      <c r="M257" s="3">
        <v>102.0</v>
      </c>
      <c r="N257" s="3">
        <v>200.0</v>
      </c>
      <c r="O257" s="3">
        <v>121.0</v>
      </c>
      <c r="P257" s="3"/>
      <c r="Q257" s="3">
        <v>80.0</v>
      </c>
      <c r="R257" s="3">
        <v>150.0</v>
      </c>
      <c r="S257" s="3">
        <v>417.0</v>
      </c>
      <c r="T257" s="3">
        <v>120.0</v>
      </c>
      <c r="U257" s="3">
        <v>80.0</v>
      </c>
      <c r="V257" s="1">
        <v>88.0</v>
      </c>
      <c r="W257" s="1">
        <v>250.0</v>
      </c>
      <c r="X257" s="1">
        <v>264.0</v>
      </c>
      <c r="Y257" s="1">
        <v>161.0</v>
      </c>
      <c r="Z257" s="1">
        <v>69.0</v>
      </c>
      <c r="AA257" s="3"/>
      <c r="AB257" s="1">
        <v>13.0</v>
      </c>
      <c r="AC257" s="1">
        <v>150.0</v>
      </c>
      <c r="AD257" s="1">
        <v>170.0</v>
      </c>
      <c r="AE257" s="1">
        <v>60.0</v>
      </c>
      <c r="AF257" s="1">
        <v>40.0</v>
      </c>
      <c r="AG257" s="1">
        <v>45.0</v>
      </c>
      <c r="AH257" s="1"/>
      <c r="AI257" s="1">
        <v>205.0</v>
      </c>
      <c r="AJ257" s="1">
        <v>60.0</v>
      </c>
      <c r="AK257" s="1">
        <v>100.0</v>
      </c>
      <c r="AL257" s="1">
        <v>175.0</v>
      </c>
      <c r="AM257" s="1">
        <v>130.0</v>
      </c>
      <c r="AN257" s="3">
        <v>47.0</v>
      </c>
      <c r="AO257" s="3">
        <v>160.0</v>
      </c>
      <c r="AP257" s="3">
        <v>70.0</v>
      </c>
      <c r="AQ257" s="3"/>
      <c r="AR257" s="1">
        <v>854.0</v>
      </c>
      <c r="AS257" s="1">
        <v>250.0</v>
      </c>
      <c r="AT257" s="1">
        <v>220.0</v>
      </c>
      <c r="AU257" s="3">
        <v>423.0</v>
      </c>
      <c r="AV257" s="1">
        <v>120.0</v>
      </c>
      <c r="AW257" s="3">
        <v>200.0</v>
      </c>
      <c r="AX257" s="3"/>
      <c r="AY257" s="3">
        <v>142.0</v>
      </c>
      <c r="AZ257" s="1">
        <v>40.0</v>
      </c>
      <c r="BA257" s="1"/>
      <c r="BB257" s="3">
        <v>402.0</v>
      </c>
      <c r="BC257" s="1">
        <v>150.0</v>
      </c>
      <c r="BD257" s="1">
        <v>190.0</v>
      </c>
      <c r="BE257" s="1">
        <v>80.0</v>
      </c>
      <c r="BF257" s="3">
        <v>328.0</v>
      </c>
      <c r="BG257" s="1">
        <v>213.0</v>
      </c>
      <c r="BH257" s="1">
        <v>23.0</v>
      </c>
      <c r="BI257" s="1">
        <v>40.0</v>
      </c>
      <c r="BJ257" s="1">
        <v>278.0</v>
      </c>
      <c r="BK257" s="3"/>
      <c r="BL257" s="1">
        <v>160.0</v>
      </c>
      <c r="BM257" s="1">
        <v>75.0</v>
      </c>
      <c r="BN257" s="32">
        <v>1802.0</v>
      </c>
      <c r="BO257" s="1">
        <v>47.0</v>
      </c>
      <c r="BP257" s="3">
        <v>48.0</v>
      </c>
      <c r="BQ257" s="1">
        <v>188.0</v>
      </c>
      <c r="BR257" s="27">
        <v>28381.0</v>
      </c>
    </row>
    <row r="258">
      <c r="A258" s="25">
        <f>'Equity Price Data'!A259</f>
        <v>45798.66667</v>
      </c>
      <c r="B258" s="34">
        <f>(('PRACTICE Equity Price Data'!B259/'PRACTICE Equity Price Data'!B258)-1)+B257</f>
        <v>0.1319615615</v>
      </c>
      <c r="C258" s="34">
        <f>(('PRACTICE Equity Price Data'!C259/'PRACTICE Equity Price Data'!C258)-1)+C257</f>
        <v>0.174589624</v>
      </c>
      <c r="D258" s="34">
        <f>(('PRACTICE Equity Price Data'!D259/'PRACTICE Equity Price Data'!D258)-1)+D257</f>
        <v>0.07472197556</v>
      </c>
      <c r="E258" s="34">
        <f>(('PRACTICE Equity Price Data'!E259/'PRACTICE Equity Price Data'!E258)-1)+E257</f>
        <v>0.02264673261</v>
      </c>
      <c r="F258" s="3">
        <v>13.0</v>
      </c>
      <c r="G258" s="3">
        <v>260.0</v>
      </c>
      <c r="H258" s="3">
        <v>110.0</v>
      </c>
      <c r="I258" s="3">
        <v>256.0</v>
      </c>
      <c r="J258" s="3">
        <v>83.0</v>
      </c>
      <c r="K258" s="3">
        <v>188.0</v>
      </c>
      <c r="L258" s="3">
        <v>1000.0</v>
      </c>
      <c r="M258" s="3">
        <v>102.0</v>
      </c>
      <c r="N258" s="3">
        <v>200.0</v>
      </c>
      <c r="O258" s="3">
        <v>121.0</v>
      </c>
      <c r="P258" s="3"/>
      <c r="Q258" s="3">
        <v>80.0</v>
      </c>
      <c r="R258" s="3">
        <v>150.0</v>
      </c>
      <c r="S258" s="3">
        <v>417.0</v>
      </c>
      <c r="T258" s="3">
        <v>120.0</v>
      </c>
      <c r="U258" s="3">
        <v>80.0</v>
      </c>
      <c r="V258" s="1">
        <v>88.0</v>
      </c>
      <c r="W258" s="1">
        <v>250.0</v>
      </c>
      <c r="X258" s="1">
        <v>264.0</v>
      </c>
      <c r="Y258" s="1">
        <v>161.0</v>
      </c>
      <c r="Z258" s="1">
        <v>69.0</v>
      </c>
      <c r="AA258" s="3"/>
      <c r="AB258" s="1">
        <v>13.0</v>
      </c>
      <c r="AC258" s="1">
        <v>150.0</v>
      </c>
      <c r="AD258" s="1">
        <v>170.0</v>
      </c>
      <c r="AE258" s="1">
        <v>60.0</v>
      </c>
      <c r="AF258" s="1">
        <v>40.0</v>
      </c>
      <c r="AG258" s="1">
        <v>45.0</v>
      </c>
      <c r="AH258" s="1"/>
      <c r="AI258" s="1">
        <v>205.0</v>
      </c>
      <c r="AJ258" s="1">
        <v>60.0</v>
      </c>
      <c r="AK258" s="1">
        <v>100.0</v>
      </c>
      <c r="AL258" s="1">
        <v>175.0</v>
      </c>
      <c r="AM258" s="1">
        <v>130.0</v>
      </c>
      <c r="AN258" s="3">
        <v>47.0</v>
      </c>
      <c r="AO258" s="3">
        <v>160.0</v>
      </c>
      <c r="AP258" s="3">
        <v>70.0</v>
      </c>
      <c r="AQ258" s="3"/>
      <c r="AR258" s="1">
        <v>854.0</v>
      </c>
      <c r="AS258" s="1">
        <v>250.0</v>
      </c>
      <c r="AT258" s="1">
        <v>220.0</v>
      </c>
      <c r="AU258" s="3">
        <v>423.0</v>
      </c>
      <c r="AV258" s="1">
        <v>120.0</v>
      </c>
      <c r="AW258" s="3">
        <v>200.0</v>
      </c>
      <c r="AX258" s="3"/>
      <c r="AY258" s="3">
        <v>142.0</v>
      </c>
      <c r="AZ258" s="1">
        <v>40.0</v>
      </c>
      <c r="BA258" s="1"/>
      <c r="BB258" s="3">
        <v>402.0</v>
      </c>
      <c r="BC258" s="1">
        <v>150.0</v>
      </c>
      <c r="BD258" s="1">
        <v>190.0</v>
      </c>
      <c r="BE258" s="1">
        <v>80.0</v>
      </c>
      <c r="BF258" s="3">
        <v>328.0</v>
      </c>
      <c r="BG258" s="1">
        <v>213.0</v>
      </c>
      <c r="BH258" s="1">
        <v>23.0</v>
      </c>
      <c r="BI258" s="1">
        <v>40.0</v>
      </c>
      <c r="BJ258" s="1">
        <v>278.0</v>
      </c>
      <c r="BK258" s="3"/>
      <c r="BL258" s="1">
        <v>160.0</v>
      </c>
      <c r="BM258" s="1">
        <v>75.0</v>
      </c>
      <c r="BN258" s="32">
        <v>1802.0</v>
      </c>
      <c r="BO258" s="1">
        <v>47.0</v>
      </c>
      <c r="BP258" s="3">
        <v>48.0</v>
      </c>
      <c r="BQ258" s="1">
        <v>188.0</v>
      </c>
      <c r="BR258" s="27">
        <v>28381.0</v>
      </c>
    </row>
    <row r="259">
      <c r="A259" s="25">
        <f>'Equity Price Data'!A260</f>
        <v>45799.66667</v>
      </c>
      <c r="B259" s="34">
        <f>(('PRACTICE Equity Price Data'!B260/'PRACTICE Equity Price Data'!B259)-1)+B258</f>
        <v>0.1315167072</v>
      </c>
      <c r="C259" s="34">
        <f>(('PRACTICE Equity Price Data'!C260/'PRACTICE Equity Price Data'!C259)-1)+C258</f>
        <v>0.1774032208</v>
      </c>
      <c r="D259" s="34">
        <f>(('PRACTICE Equity Price Data'!D260/'PRACTICE Equity Price Data'!D259)-1)+D258</f>
        <v>0.07468972554</v>
      </c>
      <c r="E259" s="34">
        <f>(('PRACTICE Equity Price Data'!E260/'PRACTICE Equity Price Data'!E259)-1)+E258</f>
        <v>0.02215810779</v>
      </c>
      <c r="F259" s="3">
        <v>13.0</v>
      </c>
      <c r="G259" s="3">
        <v>260.0</v>
      </c>
      <c r="H259" s="3">
        <v>110.0</v>
      </c>
      <c r="I259" s="3">
        <v>256.0</v>
      </c>
      <c r="J259" s="3">
        <v>83.0</v>
      </c>
      <c r="K259" s="3">
        <v>188.0</v>
      </c>
      <c r="L259" s="3">
        <v>1000.0</v>
      </c>
      <c r="M259" s="3">
        <v>102.0</v>
      </c>
      <c r="N259" s="3">
        <v>200.0</v>
      </c>
      <c r="O259" s="3">
        <v>121.0</v>
      </c>
      <c r="P259" s="3"/>
      <c r="Q259" s="3">
        <v>80.0</v>
      </c>
      <c r="R259" s="3">
        <v>150.0</v>
      </c>
      <c r="S259" s="3">
        <v>417.0</v>
      </c>
      <c r="T259" s="3">
        <v>120.0</v>
      </c>
      <c r="U259" s="3">
        <v>80.0</v>
      </c>
      <c r="V259" s="1">
        <v>88.0</v>
      </c>
      <c r="W259" s="1">
        <v>250.0</v>
      </c>
      <c r="X259" s="1">
        <v>264.0</v>
      </c>
      <c r="Y259" s="1">
        <v>161.0</v>
      </c>
      <c r="Z259" s="1">
        <v>69.0</v>
      </c>
      <c r="AA259" s="3"/>
      <c r="AB259" s="1">
        <v>13.0</v>
      </c>
      <c r="AC259" s="1">
        <v>150.0</v>
      </c>
      <c r="AD259" s="1">
        <v>170.0</v>
      </c>
      <c r="AE259" s="1">
        <v>60.0</v>
      </c>
      <c r="AF259" s="1">
        <v>40.0</v>
      </c>
      <c r="AG259" s="1">
        <v>45.0</v>
      </c>
      <c r="AH259" s="1"/>
      <c r="AI259" s="1">
        <v>205.0</v>
      </c>
      <c r="AJ259" s="1">
        <v>60.0</v>
      </c>
      <c r="AK259" s="1">
        <v>100.0</v>
      </c>
      <c r="AL259" s="1">
        <v>175.0</v>
      </c>
      <c r="AM259" s="1">
        <v>130.0</v>
      </c>
      <c r="AN259" s="3">
        <v>47.0</v>
      </c>
      <c r="AO259" s="3">
        <v>160.0</v>
      </c>
      <c r="AP259" s="3">
        <v>70.0</v>
      </c>
      <c r="AQ259" s="3"/>
      <c r="AR259" s="1">
        <v>854.0</v>
      </c>
      <c r="AS259" s="1">
        <v>250.0</v>
      </c>
      <c r="AT259" s="1">
        <v>220.0</v>
      </c>
      <c r="AU259" s="3">
        <v>423.0</v>
      </c>
      <c r="AV259" s="1">
        <v>120.0</v>
      </c>
      <c r="AW259" s="3">
        <v>200.0</v>
      </c>
      <c r="AX259" s="3"/>
      <c r="AY259" s="3">
        <v>142.0</v>
      </c>
      <c r="AZ259" s="1">
        <v>40.0</v>
      </c>
      <c r="BA259" s="1"/>
      <c r="BB259" s="3">
        <v>402.0</v>
      </c>
      <c r="BC259" s="1">
        <v>150.0</v>
      </c>
      <c r="BD259" s="1">
        <v>190.0</v>
      </c>
      <c r="BE259" s="1">
        <v>80.0</v>
      </c>
      <c r="BF259" s="3">
        <v>328.0</v>
      </c>
      <c r="BG259" s="1">
        <v>213.0</v>
      </c>
      <c r="BH259" s="1">
        <v>23.0</v>
      </c>
      <c r="BI259" s="1">
        <v>40.0</v>
      </c>
      <c r="BJ259" s="1">
        <v>278.0</v>
      </c>
      <c r="BK259" s="3"/>
      <c r="BL259" s="1">
        <v>160.0</v>
      </c>
      <c r="BM259" s="1">
        <v>75.0</v>
      </c>
      <c r="BN259" s="32">
        <v>1802.0</v>
      </c>
      <c r="BO259" s="1">
        <v>47.0</v>
      </c>
      <c r="BP259" s="3">
        <v>48.0</v>
      </c>
      <c r="BQ259" s="1">
        <v>188.0</v>
      </c>
      <c r="BR259" s="27">
        <v>28381.0</v>
      </c>
    </row>
    <row r="260">
      <c r="A260" s="25">
        <f>'Equity Price Data'!A261</f>
        <v>45800.66667</v>
      </c>
      <c r="B260" s="34">
        <f>(('PRACTICE Equity Price Data'!B261/'PRACTICE Equity Price Data'!B260)-1)+B259</f>
        <v>0.1248083996</v>
      </c>
      <c r="C260" s="34">
        <f>(('PRACTICE Equity Price Data'!C261/'PRACTICE Equity Price Data'!C260)-1)+C259</f>
        <v>0.1674416552</v>
      </c>
      <c r="D260" s="34">
        <f>(('PRACTICE Equity Price Data'!D261/'PRACTICE Equity Price Data'!D260)-1)+D259</f>
        <v>0.06857349129</v>
      </c>
      <c r="E260" s="34">
        <f>(('PRACTICE Equity Price Data'!E261/'PRACTICE Equity Price Data'!E260)-1)+E259</f>
        <v>0.01936669615</v>
      </c>
      <c r="F260" s="3">
        <v>13.0</v>
      </c>
      <c r="G260" s="3">
        <v>260.0</v>
      </c>
      <c r="H260" s="3">
        <v>110.0</v>
      </c>
      <c r="I260" s="3">
        <v>256.0</v>
      </c>
      <c r="J260" s="3">
        <v>83.0</v>
      </c>
      <c r="K260" s="3">
        <v>188.0</v>
      </c>
      <c r="L260" s="3">
        <v>1000.0</v>
      </c>
      <c r="M260" s="3">
        <v>102.0</v>
      </c>
      <c r="N260" s="3">
        <v>200.0</v>
      </c>
      <c r="O260" s="3">
        <v>121.0</v>
      </c>
      <c r="P260" s="3"/>
      <c r="Q260" s="3">
        <v>80.0</v>
      </c>
      <c r="R260" s="3">
        <v>150.0</v>
      </c>
      <c r="S260" s="3">
        <v>417.0</v>
      </c>
      <c r="T260" s="3">
        <v>120.0</v>
      </c>
      <c r="U260" s="3">
        <v>80.0</v>
      </c>
      <c r="V260" s="1">
        <v>88.0</v>
      </c>
      <c r="W260" s="1">
        <v>250.0</v>
      </c>
      <c r="X260" s="1">
        <v>264.0</v>
      </c>
      <c r="Y260" s="1">
        <v>161.0</v>
      </c>
      <c r="Z260" s="1">
        <v>69.0</v>
      </c>
      <c r="AA260" s="3"/>
      <c r="AB260" s="1">
        <v>13.0</v>
      </c>
      <c r="AC260" s="1">
        <v>150.0</v>
      </c>
      <c r="AD260" s="1">
        <v>170.0</v>
      </c>
      <c r="AE260" s="1">
        <v>60.0</v>
      </c>
      <c r="AF260" s="1">
        <v>40.0</v>
      </c>
      <c r="AG260" s="1">
        <v>45.0</v>
      </c>
      <c r="AH260" s="1"/>
      <c r="AI260" s="1">
        <v>205.0</v>
      </c>
      <c r="AJ260" s="1">
        <v>60.0</v>
      </c>
      <c r="AK260" s="1">
        <v>100.0</v>
      </c>
      <c r="AL260" s="1">
        <v>175.0</v>
      </c>
      <c r="AM260" s="1">
        <v>130.0</v>
      </c>
      <c r="AN260" s="3">
        <v>47.0</v>
      </c>
      <c r="AO260" s="3">
        <v>160.0</v>
      </c>
      <c r="AP260" s="3">
        <v>70.0</v>
      </c>
      <c r="AQ260" s="3"/>
      <c r="AR260" s="1">
        <v>854.0</v>
      </c>
      <c r="AS260" s="1">
        <v>250.0</v>
      </c>
      <c r="AT260" s="1">
        <v>220.0</v>
      </c>
      <c r="AU260" s="3">
        <v>423.0</v>
      </c>
      <c r="AV260" s="1">
        <v>120.0</v>
      </c>
      <c r="AW260" s="3">
        <v>200.0</v>
      </c>
      <c r="AX260" s="3"/>
      <c r="AY260" s="3">
        <v>142.0</v>
      </c>
      <c r="AZ260" s="1">
        <v>40.0</v>
      </c>
      <c r="BA260" s="1"/>
      <c r="BB260" s="3">
        <v>402.0</v>
      </c>
      <c r="BC260" s="1">
        <v>150.0</v>
      </c>
      <c r="BD260" s="1">
        <v>190.0</v>
      </c>
      <c r="BE260" s="1">
        <v>80.0</v>
      </c>
      <c r="BF260" s="3">
        <v>328.0</v>
      </c>
      <c r="BG260" s="1">
        <v>213.0</v>
      </c>
      <c r="BH260" s="1">
        <v>23.0</v>
      </c>
      <c r="BI260" s="1">
        <v>40.0</v>
      </c>
      <c r="BJ260" s="1">
        <v>278.0</v>
      </c>
      <c r="BK260" s="3"/>
      <c r="BL260" s="1">
        <v>160.0</v>
      </c>
      <c r="BM260" s="1">
        <v>75.0</v>
      </c>
      <c r="BN260" s="32">
        <v>1802.0</v>
      </c>
      <c r="BO260" s="1">
        <v>47.0</v>
      </c>
      <c r="BP260" s="3">
        <v>48.0</v>
      </c>
      <c r="BQ260" s="1">
        <v>188.0</v>
      </c>
      <c r="BR260" s="27">
        <v>28381.0</v>
      </c>
    </row>
    <row r="261">
      <c r="A261" s="25">
        <f>'Equity Price Data'!A262</f>
        <v>45804.66667</v>
      </c>
      <c r="B261" s="34">
        <f>(('PRACTICE Equity Price Data'!B262/'PRACTICE Equity Price Data'!B261)-1)+B260</f>
        <v>0.1452674178</v>
      </c>
      <c r="C261" s="34">
        <f>(('PRACTICE Equity Price Data'!C262/'PRACTICE Equity Price Data'!C261)-1)+C260</f>
        <v>0.192095806</v>
      </c>
      <c r="D261" s="34">
        <f>(('PRACTICE Equity Price Data'!D262/'PRACTICE Equity Price Data'!D261)-1)+D260</f>
        <v>0.08637458145</v>
      </c>
      <c r="E261" s="34">
        <f>(('PRACTICE Equity Price Data'!E262/'PRACTICE Equity Price Data'!E261)-1)+E260</f>
        <v>0.04414793006</v>
      </c>
      <c r="F261" s="3">
        <v>13.0</v>
      </c>
      <c r="G261" s="3">
        <v>260.0</v>
      </c>
      <c r="H261" s="3">
        <v>110.0</v>
      </c>
      <c r="I261" s="3">
        <v>256.0</v>
      </c>
      <c r="J261" s="3">
        <v>83.0</v>
      </c>
      <c r="K261" s="3">
        <v>188.0</v>
      </c>
      <c r="L261" s="3">
        <v>1000.0</v>
      </c>
      <c r="M261" s="3">
        <v>102.0</v>
      </c>
      <c r="N261" s="3">
        <v>200.0</v>
      </c>
      <c r="O261" s="3">
        <v>121.0</v>
      </c>
      <c r="P261" s="3"/>
      <c r="Q261" s="3">
        <v>80.0</v>
      </c>
      <c r="R261" s="3">
        <v>150.0</v>
      </c>
      <c r="S261" s="3">
        <v>417.0</v>
      </c>
      <c r="T261" s="3">
        <v>120.0</v>
      </c>
      <c r="U261" s="3">
        <v>80.0</v>
      </c>
      <c r="V261" s="1">
        <v>88.0</v>
      </c>
      <c r="W261" s="1">
        <v>250.0</v>
      </c>
      <c r="X261" s="1">
        <v>264.0</v>
      </c>
      <c r="Y261" s="1">
        <v>161.0</v>
      </c>
      <c r="Z261" s="1">
        <v>69.0</v>
      </c>
      <c r="AA261" s="3"/>
      <c r="AB261" s="1">
        <v>13.0</v>
      </c>
      <c r="AC261" s="1">
        <v>150.0</v>
      </c>
      <c r="AD261" s="1">
        <v>170.0</v>
      </c>
      <c r="AE261" s="1">
        <v>60.0</v>
      </c>
      <c r="AF261" s="1">
        <v>40.0</v>
      </c>
      <c r="AG261" s="1">
        <v>45.0</v>
      </c>
      <c r="AH261" s="1"/>
      <c r="AI261" s="1">
        <v>205.0</v>
      </c>
      <c r="AJ261" s="1">
        <v>60.0</v>
      </c>
      <c r="AK261" s="1">
        <v>100.0</v>
      </c>
      <c r="AL261" s="1">
        <v>175.0</v>
      </c>
      <c r="AM261" s="1">
        <v>130.0</v>
      </c>
      <c r="AN261" s="3">
        <v>47.0</v>
      </c>
      <c r="AO261" s="3">
        <v>160.0</v>
      </c>
      <c r="AP261" s="3">
        <v>70.0</v>
      </c>
      <c r="AQ261" s="3"/>
      <c r="AR261" s="1">
        <v>854.0</v>
      </c>
      <c r="AS261" s="1">
        <v>250.0</v>
      </c>
      <c r="AT261" s="1">
        <v>220.0</v>
      </c>
      <c r="AU261" s="3">
        <v>423.0</v>
      </c>
      <c r="AV261" s="1">
        <v>120.0</v>
      </c>
      <c r="AW261" s="3">
        <v>200.0</v>
      </c>
      <c r="AX261" s="3"/>
      <c r="AY261" s="3">
        <v>142.0</v>
      </c>
      <c r="AZ261" s="1">
        <v>40.0</v>
      </c>
      <c r="BA261" s="1"/>
      <c r="BB261" s="3">
        <v>402.0</v>
      </c>
      <c r="BC261" s="1">
        <v>150.0</v>
      </c>
      <c r="BD261" s="1">
        <v>190.0</v>
      </c>
      <c r="BE261" s="1">
        <v>80.0</v>
      </c>
      <c r="BF261" s="3">
        <v>328.0</v>
      </c>
      <c r="BG261" s="1">
        <v>213.0</v>
      </c>
      <c r="BH261" s="1">
        <v>23.0</v>
      </c>
      <c r="BI261" s="1">
        <v>40.0</v>
      </c>
      <c r="BJ261" s="1">
        <v>278.0</v>
      </c>
      <c r="BK261" s="3"/>
      <c r="BL261" s="1">
        <v>160.0</v>
      </c>
      <c r="BM261" s="1">
        <v>75.0</v>
      </c>
      <c r="BN261" s="32">
        <v>1802.0</v>
      </c>
      <c r="BO261" s="1">
        <v>47.0</v>
      </c>
      <c r="BP261" s="3">
        <v>48.0</v>
      </c>
      <c r="BQ261" s="1">
        <v>188.0</v>
      </c>
      <c r="BR261" s="27">
        <v>28381.0</v>
      </c>
    </row>
    <row r="262">
      <c r="A262" s="25">
        <f>'Equity Price Data'!A263</f>
        <v>45805.66667</v>
      </c>
      <c r="B262" s="34">
        <f>(('PRACTICE Equity Price Data'!B263/'PRACTICE Equity Price Data'!B262)-1)+B261</f>
        <v>0.1396962319</v>
      </c>
      <c r="C262" s="34">
        <f>(('PRACTICE Equity Price Data'!C263/'PRACTICE Equity Price Data'!C262)-1)+C261</f>
        <v>0.1869799572</v>
      </c>
      <c r="D262" s="34">
        <f>(('PRACTICE Equity Price Data'!D263/'PRACTICE Equity Price Data'!D262)-1)+D261</f>
        <v>0.08058977074</v>
      </c>
      <c r="E262" s="34">
        <f>(('PRACTICE Equity Price Data'!E263/'PRACTICE Equity Price Data'!E262)-1)+E261</f>
        <v>0.03333660209</v>
      </c>
      <c r="F262" s="3">
        <v>13.0</v>
      </c>
      <c r="G262" s="3">
        <v>260.0</v>
      </c>
      <c r="H262" s="3">
        <v>110.0</v>
      </c>
      <c r="I262" s="3">
        <v>256.0</v>
      </c>
      <c r="J262" s="3">
        <v>83.0</v>
      </c>
      <c r="K262" s="3">
        <v>188.0</v>
      </c>
      <c r="L262" s="3">
        <v>1000.0</v>
      </c>
      <c r="M262" s="3">
        <v>102.0</v>
      </c>
      <c r="N262" s="3">
        <v>200.0</v>
      </c>
      <c r="O262" s="3">
        <v>121.0</v>
      </c>
      <c r="P262" s="3"/>
      <c r="Q262" s="3">
        <v>80.0</v>
      </c>
      <c r="R262" s="3">
        <v>150.0</v>
      </c>
      <c r="S262" s="3">
        <v>417.0</v>
      </c>
      <c r="T262" s="3">
        <v>120.0</v>
      </c>
      <c r="U262" s="3">
        <v>80.0</v>
      </c>
      <c r="V262" s="1">
        <v>88.0</v>
      </c>
      <c r="W262" s="1">
        <v>250.0</v>
      </c>
      <c r="X262" s="1">
        <v>264.0</v>
      </c>
      <c r="Y262" s="1">
        <v>161.0</v>
      </c>
      <c r="Z262" s="1">
        <v>69.0</v>
      </c>
      <c r="AA262" s="3"/>
      <c r="AB262" s="1">
        <v>13.0</v>
      </c>
      <c r="AC262" s="1">
        <v>150.0</v>
      </c>
      <c r="AD262" s="1">
        <v>170.0</v>
      </c>
      <c r="AE262" s="1">
        <v>60.0</v>
      </c>
      <c r="AF262" s="1">
        <v>40.0</v>
      </c>
      <c r="AG262" s="1">
        <v>45.0</v>
      </c>
      <c r="AH262" s="1"/>
      <c r="AI262" s="1">
        <v>205.0</v>
      </c>
      <c r="AJ262" s="1">
        <v>60.0</v>
      </c>
      <c r="AK262" s="1">
        <v>100.0</v>
      </c>
      <c r="AL262" s="1">
        <v>175.0</v>
      </c>
      <c r="AM262" s="1">
        <v>130.0</v>
      </c>
      <c r="AN262" s="3">
        <v>47.0</v>
      </c>
      <c r="AO262" s="3">
        <v>160.0</v>
      </c>
      <c r="AP262" s="3">
        <v>70.0</v>
      </c>
      <c r="AQ262" s="3"/>
      <c r="AR262" s="1">
        <v>854.0</v>
      </c>
      <c r="AS262" s="1">
        <v>250.0</v>
      </c>
      <c r="AT262" s="1">
        <v>220.0</v>
      </c>
      <c r="AU262" s="3">
        <v>423.0</v>
      </c>
      <c r="AV262" s="1">
        <v>120.0</v>
      </c>
      <c r="AW262" s="3">
        <v>200.0</v>
      </c>
      <c r="AX262" s="3"/>
      <c r="AY262" s="3">
        <v>142.0</v>
      </c>
      <c r="AZ262" s="1">
        <v>40.0</v>
      </c>
      <c r="BA262" s="1"/>
      <c r="BB262" s="3">
        <v>402.0</v>
      </c>
      <c r="BC262" s="1">
        <v>150.0</v>
      </c>
      <c r="BD262" s="1">
        <v>190.0</v>
      </c>
      <c r="BE262" s="1">
        <v>80.0</v>
      </c>
      <c r="BF262" s="3">
        <v>328.0</v>
      </c>
      <c r="BG262" s="1">
        <v>213.0</v>
      </c>
      <c r="BH262" s="1">
        <v>23.0</v>
      </c>
      <c r="BI262" s="1">
        <v>40.0</v>
      </c>
      <c r="BJ262" s="1">
        <v>278.0</v>
      </c>
      <c r="BK262" s="3"/>
      <c r="BL262" s="1">
        <v>160.0</v>
      </c>
      <c r="BM262" s="1">
        <v>75.0</v>
      </c>
      <c r="BN262" s="32">
        <v>1802.0</v>
      </c>
      <c r="BO262" s="1">
        <v>47.0</v>
      </c>
      <c r="BP262" s="3">
        <v>48.0</v>
      </c>
      <c r="BQ262" s="1">
        <v>188.0</v>
      </c>
      <c r="BR262" s="27">
        <v>28381.0</v>
      </c>
    </row>
    <row r="263">
      <c r="A263" s="25">
        <f>'Equity Price Data'!A264</f>
        <v>45806.66667</v>
      </c>
      <c r="B263" s="34">
        <f>(('PRACTICE Equity Price Data'!B264/'PRACTICE Equity Price Data'!B263)-1)+B262</f>
        <v>0.1437074061</v>
      </c>
      <c r="C263" s="34">
        <f>(('PRACTICE Equity Price Data'!C264/'PRACTICE Equity Price Data'!C263)-1)+C262</f>
        <v>0.1909028007</v>
      </c>
      <c r="D263" s="34">
        <f>(('PRACTICE Equity Price Data'!D264/'PRACTICE Equity Price Data'!D263)-1)+D262</f>
        <v>0.08336966656</v>
      </c>
      <c r="E263" s="34">
        <f>(('PRACTICE Equity Price Data'!E264/'PRACTICE Equity Price Data'!E263)-1)+E262</f>
        <v>0.03671217032</v>
      </c>
      <c r="F263" s="3">
        <v>13.0</v>
      </c>
      <c r="G263" s="3">
        <v>260.0</v>
      </c>
      <c r="H263" s="3">
        <v>110.0</v>
      </c>
      <c r="I263" s="3">
        <v>256.0</v>
      </c>
      <c r="J263" s="3">
        <v>83.0</v>
      </c>
      <c r="K263" s="3">
        <v>188.0</v>
      </c>
      <c r="L263" s="3">
        <v>1000.0</v>
      </c>
      <c r="M263" s="3">
        <v>102.0</v>
      </c>
      <c r="N263" s="3">
        <v>200.0</v>
      </c>
      <c r="O263" s="3">
        <v>121.0</v>
      </c>
      <c r="P263" s="3"/>
      <c r="Q263" s="3">
        <v>80.0</v>
      </c>
      <c r="R263" s="3">
        <v>150.0</v>
      </c>
      <c r="S263" s="3">
        <v>417.0</v>
      </c>
      <c r="T263" s="3">
        <v>120.0</v>
      </c>
      <c r="U263" s="3">
        <v>80.0</v>
      </c>
      <c r="V263" s="1">
        <v>88.0</v>
      </c>
      <c r="W263" s="1">
        <v>250.0</v>
      </c>
      <c r="X263" s="1">
        <v>264.0</v>
      </c>
      <c r="Y263" s="1">
        <v>161.0</v>
      </c>
      <c r="Z263" s="1">
        <v>69.0</v>
      </c>
      <c r="AA263" s="3"/>
      <c r="AB263" s="1">
        <v>13.0</v>
      </c>
      <c r="AC263" s="1">
        <v>150.0</v>
      </c>
      <c r="AD263" s="1">
        <v>170.0</v>
      </c>
      <c r="AE263" s="1">
        <v>60.0</v>
      </c>
      <c r="AF263" s="1">
        <v>40.0</v>
      </c>
      <c r="AG263" s="1">
        <v>45.0</v>
      </c>
      <c r="AH263" s="1"/>
      <c r="AI263" s="1">
        <v>205.0</v>
      </c>
      <c r="AJ263" s="1">
        <v>60.0</v>
      </c>
      <c r="AK263" s="1">
        <v>100.0</v>
      </c>
      <c r="AL263" s="1">
        <v>175.0</v>
      </c>
      <c r="AM263" s="1">
        <v>130.0</v>
      </c>
      <c r="AN263" s="3">
        <v>47.0</v>
      </c>
      <c r="AO263" s="3">
        <v>160.0</v>
      </c>
      <c r="AP263" s="3">
        <v>70.0</v>
      </c>
      <c r="AQ263" s="3"/>
      <c r="AR263" s="1">
        <v>854.0</v>
      </c>
      <c r="AS263" s="1">
        <v>250.0</v>
      </c>
      <c r="AT263" s="1">
        <v>220.0</v>
      </c>
      <c r="AU263" s="3">
        <v>423.0</v>
      </c>
      <c r="AV263" s="1">
        <v>120.0</v>
      </c>
      <c r="AW263" s="3">
        <v>200.0</v>
      </c>
      <c r="AX263" s="3"/>
      <c r="AY263" s="3">
        <v>142.0</v>
      </c>
      <c r="AZ263" s="1">
        <v>40.0</v>
      </c>
      <c r="BA263" s="1"/>
      <c r="BB263" s="3">
        <v>402.0</v>
      </c>
      <c r="BC263" s="1">
        <v>150.0</v>
      </c>
      <c r="BD263" s="1">
        <v>190.0</v>
      </c>
      <c r="BE263" s="1">
        <v>80.0</v>
      </c>
      <c r="BF263" s="3">
        <v>328.0</v>
      </c>
      <c r="BG263" s="1">
        <v>213.0</v>
      </c>
      <c r="BH263" s="1">
        <v>23.0</v>
      </c>
      <c r="BI263" s="1">
        <v>40.0</v>
      </c>
      <c r="BJ263" s="1">
        <v>278.0</v>
      </c>
      <c r="BK263" s="3"/>
      <c r="BL263" s="1">
        <v>160.0</v>
      </c>
      <c r="BM263" s="1">
        <v>75.0</v>
      </c>
      <c r="BN263" s="32">
        <v>1802.0</v>
      </c>
      <c r="BO263" s="1">
        <v>47.0</v>
      </c>
      <c r="BP263" s="3">
        <v>48.0</v>
      </c>
      <c r="BQ263" s="1">
        <v>188.0</v>
      </c>
      <c r="BR263" s="27">
        <v>28381.0</v>
      </c>
    </row>
    <row r="264">
      <c r="A264" s="25">
        <f>'Equity Price Data'!A265</f>
        <v>45807.66667</v>
      </c>
      <c r="B264" s="34">
        <f>(('PRACTICE Equity Price Data'!B265/'PRACTICE Equity Price Data'!B264)-1)+B263</f>
        <v>0.1436262177</v>
      </c>
      <c r="C264" s="34">
        <f>(('PRACTICE Equity Price Data'!C265/'PRACTICE Equity Price Data'!C264)-1)+C263</f>
        <v>0.1876643558</v>
      </c>
      <c r="D264" s="34">
        <f>(('PRACTICE Equity Price Data'!D265/'PRACTICE Equity Price Data'!D264)-1)+D263</f>
        <v>0.08465686448</v>
      </c>
      <c r="E264" s="34">
        <f>(('PRACTICE Equity Price Data'!E265/'PRACTICE Equity Price Data'!E264)-1)+E263</f>
        <v>0.03262017021</v>
      </c>
      <c r="F264" s="3">
        <v>13.0</v>
      </c>
      <c r="G264" s="3">
        <v>260.0</v>
      </c>
      <c r="H264" s="3">
        <v>110.0</v>
      </c>
      <c r="I264" s="3">
        <v>256.0</v>
      </c>
      <c r="J264" s="3">
        <v>83.0</v>
      </c>
      <c r="K264" s="3">
        <v>188.0</v>
      </c>
      <c r="L264" s="3">
        <v>1000.0</v>
      </c>
      <c r="M264" s="3">
        <v>102.0</v>
      </c>
      <c r="N264" s="3">
        <v>200.0</v>
      </c>
      <c r="O264" s="3">
        <v>121.0</v>
      </c>
      <c r="P264" s="3"/>
      <c r="Q264" s="3">
        <v>80.0</v>
      </c>
      <c r="R264" s="3">
        <v>150.0</v>
      </c>
      <c r="S264" s="3">
        <v>417.0</v>
      </c>
      <c r="T264" s="3">
        <v>120.0</v>
      </c>
      <c r="U264" s="3">
        <v>80.0</v>
      </c>
      <c r="V264" s="1">
        <v>88.0</v>
      </c>
      <c r="W264" s="1">
        <v>250.0</v>
      </c>
      <c r="X264" s="1">
        <v>264.0</v>
      </c>
      <c r="Y264" s="1">
        <v>161.0</v>
      </c>
      <c r="Z264" s="1">
        <v>69.0</v>
      </c>
      <c r="AA264" s="3"/>
      <c r="AB264" s="1">
        <v>13.0</v>
      </c>
      <c r="AC264" s="1">
        <v>150.0</v>
      </c>
      <c r="AD264" s="1">
        <v>170.0</v>
      </c>
      <c r="AE264" s="1">
        <v>60.0</v>
      </c>
      <c r="AF264" s="1">
        <v>40.0</v>
      </c>
      <c r="AG264" s="1">
        <v>45.0</v>
      </c>
      <c r="AH264" s="1"/>
      <c r="AI264" s="1">
        <v>205.0</v>
      </c>
      <c r="AJ264" s="1">
        <v>60.0</v>
      </c>
      <c r="AK264" s="1">
        <v>100.0</v>
      </c>
      <c r="AL264" s="1">
        <v>175.0</v>
      </c>
      <c r="AM264" s="1">
        <v>130.0</v>
      </c>
      <c r="AN264" s="3">
        <v>47.0</v>
      </c>
      <c r="AO264" s="3">
        <v>160.0</v>
      </c>
      <c r="AP264" s="3">
        <v>70.0</v>
      </c>
      <c r="AQ264" s="3"/>
      <c r="AR264" s="1">
        <v>854.0</v>
      </c>
      <c r="AS264" s="1">
        <v>250.0</v>
      </c>
      <c r="AT264" s="1">
        <v>220.0</v>
      </c>
      <c r="AU264" s="3">
        <v>423.0</v>
      </c>
      <c r="AV264" s="1">
        <v>120.0</v>
      </c>
      <c r="AW264" s="3">
        <v>200.0</v>
      </c>
      <c r="AX264" s="3"/>
      <c r="AY264" s="3">
        <v>142.0</v>
      </c>
      <c r="AZ264" s="1">
        <v>40.0</v>
      </c>
      <c r="BA264" s="1"/>
      <c r="BB264" s="3">
        <v>402.0</v>
      </c>
      <c r="BC264" s="1">
        <v>150.0</v>
      </c>
      <c r="BD264" s="1">
        <v>190.0</v>
      </c>
      <c r="BE264" s="1">
        <v>80.0</v>
      </c>
      <c r="BF264" s="3">
        <v>328.0</v>
      </c>
      <c r="BG264" s="1">
        <v>213.0</v>
      </c>
      <c r="BH264" s="1">
        <v>23.0</v>
      </c>
      <c r="BI264" s="1">
        <v>40.0</v>
      </c>
      <c r="BJ264" s="1">
        <v>278.0</v>
      </c>
      <c r="BK264" s="3"/>
      <c r="BL264" s="1">
        <v>160.0</v>
      </c>
      <c r="BM264" s="1">
        <v>75.0</v>
      </c>
      <c r="BN264" s="32">
        <v>1802.0</v>
      </c>
      <c r="BO264" s="1">
        <v>47.0</v>
      </c>
      <c r="BP264" s="3">
        <v>48.0</v>
      </c>
      <c r="BQ264" s="1">
        <v>188.0</v>
      </c>
      <c r="BR264" s="27">
        <v>28381.0</v>
      </c>
    </row>
    <row r="265">
      <c r="A265" s="25">
        <f>'Equity Price Data'!A266</f>
        <v>45810.66667</v>
      </c>
      <c r="B265" s="34">
        <f>(('PRACTICE Equity Price Data'!B266/'PRACTICE Equity Price Data'!B265)-1)+B264</f>
        <v>0.1477282595</v>
      </c>
      <c r="C265" s="34">
        <f>(('PRACTICE Equity Price Data'!C266/'PRACTICE Equity Price Data'!C265)-1)+C264</f>
        <v>0.1944050459</v>
      </c>
      <c r="D265" s="34">
        <f>(('PRACTICE Equity Price Data'!D266/'PRACTICE Equity Price Data'!D265)-1)+D264</f>
        <v>0.08549457305</v>
      </c>
      <c r="E265" s="34">
        <f>(('PRACTICE Equity Price Data'!E266/'PRACTICE Equity Price Data'!E265)-1)+E264</f>
        <v>0.03449309221</v>
      </c>
      <c r="F265" s="3">
        <v>13.0</v>
      </c>
      <c r="G265" s="3">
        <v>260.0</v>
      </c>
      <c r="H265" s="3">
        <v>110.0</v>
      </c>
      <c r="I265" s="3">
        <v>256.0</v>
      </c>
      <c r="J265" s="3">
        <v>83.0</v>
      </c>
      <c r="K265" s="3">
        <v>188.0</v>
      </c>
      <c r="L265" s="3">
        <v>1000.0</v>
      </c>
      <c r="M265" s="3">
        <v>102.0</v>
      </c>
      <c r="N265" s="3">
        <v>200.0</v>
      </c>
      <c r="O265" s="3">
        <v>121.0</v>
      </c>
      <c r="P265" s="3"/>
      <c r="Q265" s="3">
        <v>80.0</v>
      </c>
      <c r="R265" s="3">
        <v>150.0</v>
      </c>
      <c r="S265" s="3">
        <v>417.0</v>
      </c>
      <c r="T265" s="3">
        <v>120.0</v>
      </c>
      <c r="U265" s="3">
        <v>80.0</v>
      </c>
      <c r="V265" s="1">
        <v>88.0</v>
      </c>
      <c r="W265" s="1">
        <v>250.0</v>
      </c>
      <c r="X265" s="1">
        <v>264.0</v>
      </c>
      <c r="Y265" s="1">
        <v>161.0</v>
      </c>
      <c r="Z265" s="1">
        <v>69.0</v>
      </c>
      <c r="AA265" s="3"/>
      <c r="AB265" s="1">
        <v>13.0</v>
      </c>
      <c r="AC265" s="1">
        <v>150.0</v>
      </c>
      <c r="AD265" s="1">
        <v>170.0</v>
      </c>
      <c r="AE265" s="1">
        <v>60.0</v>
      </c>
      <c r="AF265" s="1">
        <v>40.0</v>
      </c>
      <c r="AG265" s="1">
        <v>45.0</v>
      </c>
      <c r="AH265" s="1"/>
      <c r="AI265" s="1">
        <v>205.0</v>
      </c>
      <c r="AJ265" s="1">
        <v>60.0</v>
      </c>
      <c r="AK265" s="1">
        <v>100.0</v>
      </c>
      <c r="AL265" s="1">
        <v>175.0</v>
      </c>
      <c r="AM265" s="1">
        <v>130.0</v>
      </c>
      <c r="AN265" s="3">
        <v>47.0</v>
      </c>
      <c r="AO265" s="3">
        <v>160.0</v>
      </c>
      <c r="AP265" s="3">
        <v>70.0</v>
      </c>
      <c r="AQ265" s="3"/>
      <c r="AR265" s="1">
        <v>854.0</v>
      </c>
      <c r="AS265" s="1">
        <v>250.0</v>
      </c>
      <c r="AT265" s="1">
        <v>220.0</v>
      </c>
      <c r="AU265" s="3">
        <v>423.0</v>
      </c>
      <c r="AV265" s="1">
        <v>120.0</v>
      </c>
      <c r="AW265" s="3">
        <v>200.0</v>
      </c>
      <c r="AX265" s="3"/>
      <c r="AY265" s="3">
        <v>142.0</v>
      </c>
      <c r="AZ265" s="1">
        <v>40.0</v>
      </c>
      <c r="BA265" s="1"/>
      <c r="BB265" s="3">
        <v>402.0</v>
      </c>
      <c r="BC265" s="1">
        <v>150.0</v>
      </c>
      <c r="BD265" s="1">
        <v>190.0</v>
      </c>
      <c r="BE265" s="1">
        <v>80.0</v>
      </c>
      <c r="BF265" s="3">
        <v>328.0</v>
      </c>
      <c r="BG265" s="1">
        <v>213.0</v>
      </c>
      <c r="BH265" s="1">
        <v>23.0</v>
      </c>
      <c r="BI265" s="1">
        <v>40.0</v>
      </c>
      <c r="BJ265" s="1">
        <v>278.0</v>
      </c>
      <c r="BK265" s="3"/>
      <c r="BL265" s="1">
        <v>160.0</v>
      </c>
      <c r="BM265" s="1">
        <v>75.0</v>
      </c>
      <c r="BN265" s="32">
        <v>1802.0</v>
      </c>
      <c r="BO265" s="1">
        <v>47.0</v>
      </c>
      <c r="BP265" s="3">
        <v>48.0</v>
      </c>
      <c r="BQ265" s="1">
        <v>188.0</v>
      </c>
      <c r="BR265" s="27">
        <v>28381.0</v>
      </c>
    </row>
    <row r="266">
      <c r="A266" s="25">
        <f>'Equity Price Data'!A267</f>
        <v>45811.66667</v>
      </c>
      <c r="B266" s="34">
        <f>(('PRACTICE Equity Price Data'!B267/'PRACTICE Equity Price Data'!B266)-1)+B265</f>
        <v>0.1535285203</v>
      </c>
      <c r="C266" s="34">
        <f>(('PRACTICE Equity Price Data'!C267/'PRACTICE Equity Price Data'!C266)-1)+C265</f>
        <v>0.202530243</v>
      </c>
      <c r="D266" s="34">
        <f>(('PRACTICE Equity Price Data'!D267/'PRACTICE Equity Price Data'!D266)-1)+D265</f>
        <v>0.0905568014</v>
      </c>
      <c r="E266" s="34">
        <f>(('PRACTICE Equity Price Data'!E267/'PRACTICE Equity Price Data'!E266)-1)+E265</f>
        <v>0.05034693925</v>
      </c>
      <c r="F266" s="3">
        <v>13.0</v>
      </c>
      <c r="G266" s="3">
        <v>260.0</v>
      </c>
      <c r="H266" s="3">
        <v>110.0</v>
      </c>
      <c r="I266" s="3">
        <v>256.0</v>
      </c>
      <c r="J266" s="3">
        <v>83.0</v>
      </c>
      <c r="K266" s="3">
        <v>188.0</v>
      </c>
      <c r="L266" s="3">
        <v>1000.0</v>
      </c>
      <c r="M266" s="3">
        <v>102.0</v>
      </c>
      <c r="N266" s="3">
        <v>200.0</v>
      </c>
      <c r="O266" s="3">
        <v>121.0</v>
      </c>
      <c r="P266" s="3"/>
      <c r="Q266" s="3">
        <v>80.0</v>
      </c>
      <c r="R266" s="3">
        <v>150.0</v>
      </c>
      <c r="S266" s="3">
        <v>417.0</v>
      </c>
      <c r="T266" s="3">
        <v>120.0</v>
      </c>
      <c r="U266" s="3">
        <v>80.0</v>
      </c>
      <c r="V266" s="1">
        <v>88.0</v>
      </c>
      <c r="W266" s="1">
        <v>250.0</v>
      </c>
      <c r="X266" s="1">
        <v>264.0</v>
      </c>
      <c r="Y266" s="1">
        <v>161.0</v>
      </c>
      <c r="Z266" s="1">
        <v>69.0</v>
      </c>
      <c r="AA266" s="3"/>
      <c r="AB266" s="1">
        <v>13.0</v>
      </c>
      <c r="AC266" s="1">
        <v>150.0</v>
      </c>
      <c r="AD266" s="1">
        <v>170.0</v>
      </c>
      <c r="AE266" s="1">
        <v>60.0</v>
      </c>
      <c r="AF266" s="1">
        <v>40.0</v>
      </c>
      <c r="AG266" s="1">
        <v>45.0</v>
      </c>
      <c r="AH266" s="1"/>
      <c r="AI266" s="1">
        <v>205.0</v>
      </c>
      <c r="AJ266" s="1">
        <v>60.0</v>
      </c>
      <c r="AK266" s="1">
        <v>100.0</v>
      </c>
      <c r="AL266" s="1">
        <v>175.0</v>
      </c>
      <c r="AM266" s="1">
        <v>130.0</v>
      </c>
      <c r="AN266" s="3">
        <v>47.0</v>
      </c>
      <c r="AO266" s="3">
        <v>160.0</v>
      </c>
      <c r="AP266" s="3">
        <v>70.0</v>
      </c>
      <c r="AQ266" s="3"/>
      <c r="AR266" s="1">
        <v>854.0</v>
      </c>
      <c r="AS266" s="1">
        <v>250.0</v>
      </c>
      <c r="AT266" s="1">
        <v>220.0</v>
      </c>
      <c r="AU266" s="3">
        <v>423.0</v>
      </c>
      <c r="AV266" s="1">
        <v>120.0</v>
      </c>
      <c r="AW266" s="3">
        <v>200.0</v>
      </c>
      <c r="AX266" s="3"/>
      <c r="AY266" s="3">
        <v>142.0</v>
      </c>
      <c r="AZ266" s="1">
        <v>40.0</v>
      </c>
      <c r="BA266" s="1"/>
      <c r="BB266" s="3">
        <v>402.0</v>
      </c>
      <c r="BC266" s="1">
        <v>150.0</v>
      </c>
      <c r="BD266" s="1">
        <v>190.0</v>
      </c>
      <c r="BE266" s="1">
        <v>80.0</v>
      </c>
      <c r="BF266" s="3">
        <v>328.0</v>
      </c>
      <c r="BG266" s="1">
        <v>213.0</v>
      </c>
      <c r="BH266" s="1">
        <v>23.0</v>
      </c>
      <c r="BI266" s="1">
        <v>40.0</v>
      </c>
      <c r="BJ266" s="1">
        <v>278.0</v>
      </c>
      <c r="BK266" s="3"/>
      <c r="BL266" s="1">
        <v>160.0</v>
      </c>
      <c r="BM266" s="1">
        <v>75.0</v>
      </c>
      <c r="BN266" s="32">
        <v>1802.0</v>
      </c>
      <c r="BO266" s="1">
        <v>47.0</v>
      </c>
      <c r="BP266" s="3">
        <v>48.0</v>
      </c>
      <c r="BQ266" s="1">
        <v>188.0</v>
      </c>
      <c r="BR266" s="27">
        <v>28381.0</v>
      </c>
    </row>
    <row r="267">
      <c r="A267" s="25">
        <f>'Equity Price Data'!A268</f>
        <v>45812.66667</v>
      </c>
      <c r="B267" s="34">
        <f>(('PRACTICE Equity Price Data'!B268/'PRACTICE Equity Price Data'!B267)-1)+B266</f>
        <v>0.1536022176</v>
      </c>
      <c r="C267" s="34">
        <f>(('PRACTICE Equity Price Data'!C268/'PRACTICE Equity Price Data'!C267)-1)+C266</f>
        <v>0.2057020625</v>
      </c>
      <c r="D267" s="34">
        <f>(('PRACTICE Equity Price Data'!D268/'PRACTICE Equity Price Data'!D267)-1)+D266</f>
        <v>0.08839544726</v>
      </c>
      <c r="E267" s="34">
        <f>(('PRACTICE Equity Price Data'!E268/'PRACTICE Equity Price Data'!E267)-1)+E266</f>
        <v>0.04820711862</v>
      </c>
      <c r="F267" s="3">
        <v>13.0</v>
      </c>
      <c r="G267" s="3">
        <v>260.0</v>
      </c>
      <c r="H267" s="3">
        <v>110.0</v>
      </c>
      <c r="I267" s="3">
        <v>256.0</v>
      </c>
      <c r="J267" s="3">
        <v>83.0</v>
      </c>
      <c r="K267" s="3">
        <v>188.0</v>
      </c>
      <c r="L267" s="3">
        <v>1000.0</v>
      </c>
      <c r="M267" s="3">
        <v>102.0</v>
      </c>
      <c r="N267" s="3">
        <v>200.0</v>
      </c>
      <c r="O267" s="3">
        <v>121.0</v>
      </c>
      <c r="P267" s="3"/>
      <c r="Q267" s="3">
        <v>80.0</v>
      </c>
      <c r="R267" s="3">
        <v>150.0</v>
      </c>
      <c r="S267" s="3">
        <v>417.0</v>
      </c>
      <c r="T267" s="3">
        <v>120.0</v>
      </c>
      <c r="U267" s="3">
        <v>80.0</v>
      </c>
      <c r="V267" s="1">
        <v>88.0</v>
      </c>
      <c r="W267" s="1">
        <v>250.0</v>
      </c>
      <c r="X267" s="1">
        <v>264.0</v>
      </c>
      <c r="Y267" s="1">
        <v>161.0</v>
      </c>
      <c r="Z267" s="1">
        <v>69.0</v>
      </c>
      <c r="AA267" s="3"/>
      <c r="AB267" s="1">
        <v>13.0</v>
      </c>
      <c r="AC267" s="1">
        <v>150.0</v>
      </c>
      <c r="AD267" s="1">
        <v>170.0</v>
      </c>
      <c r="AE267" s="1">
        <v>60.0</v>
      </c>
      <c r="AF267" s="1">
        <v>40.0</v>
      </c>
      <c r="AG267" s="1">
        <v>45.0</v>
      </c>
      <c r="AH267" s="1"/>
      <c r="AI267" s="1">
        <v>205.0</v>
      </c>
      <c r="AJ267" s="1">
        <v>60.0</v>
      </c>
      <c r="AK267" s="1">
        <v>100.0</v>
      </c>
      <c r="AL267" s="1">
        <v>175.0</v>
      </c>
      <c r="AM267" s="1">
        <v>130.0</v>
      </c>
      <c r="AN267" s="3">
        <v>47.0</v>
      </c>
      <c r="AO267" s="3">
        <v>160.0</v>
      </c>
      <c r="AP267" s="3">
        <v>70.0</v>
      </c>
      <c r="AQ267" s="3"/>
      <c r="AR267" s="1">
        <v>854.0</v>
      </c>
      <c r="AS267" s="1">
        <v>250.0</v>
      </c>
      <c r="AT267" s="1">
        <v>220.0</v>
      </c>
      <c r="AU267" s="3">
        <v>423.0</v>
      </c>
      <c r="AV267" s="1">
        <v>120.0</v>
      </c>
      <c r="AW267" s="3">
        <v>200.0</v>
      </c>
      <c r="AX267" s="3"/>
      <c r="AY267" s="3">
        <v>142.0</v>
      </c>
      <c r="AZ267" s="1">
        <v>40.0</v>
      </c>
      <c r="BA267" s="1"/>
      <c r="BB267" s="3">
        <v>402.0</v>
      </c>
      <c r="BC267" s="1">
        <v>150.0</v>
      </c>
      <c r="BD267" s="1">
        <v>190.0</v>
      </c>
      <c r="BE267" s="1">
        <v>80.0</v>
      </c>
      <c r="BF267" s="3">
        <v>328.0</v>
      </c>
      <c r="BG267" s="1">
        <v>213.0</v>
      </c>
      <c r="BH267" s="1">
        <v>23.0</v>
      </c>
      <c r="BI267" s="1">
        <v>40.0</v>
      </c>
      <c r="BJ267" s="1">
        <v>278.0</v>
      </c>
      <c r="BK267" s="3"/>
      <c r="BL267" s="1">
        <v>160.0</v>
      </c>
      <c r="BM267" s="1">
        <v>75.0</v>
      </c>
      <c r="BN267" s="32">
        <v>1802.0</v>
      </c>
      <c r="BO267" s="1">
        <v>47.0</v>
      </c>
      <c r="BP267" s="3">
        <v>48.0</v>
      </c>
      <c r="BQ267" s="1">
        <v>188.0</v>
      </c>
      <c r="BR267" s="27">
        <v>28381.0</v>
      </c>
    </row>
    <row r="268">
      <c r="A268" s="25">
        <f>'Equity Price Data'!A269</f>
        <v>45813.66667</v>
      </c>
      <c r="B268" s="34">
        <f>(('PRACTICE Equity Price Data'!B269/'PRACTICE Equity Price Data'!B268)-1)+B267</f>
        <v>0.1483248767</v>
      </c>
      <c r="C268" s="34">
        <f>(('PRACTICE Equity Price Data'!C269/'PRACTICE Equity Price Data'!C268)-1)+C267</f>
        <v>0.1973754479</v>
      </c>
      <c r="D268" s="34">
        <f>(('PRACTICE Equity Price Data'!D269/'PRACTICE Equity Price Data'!D268)-1)+D267</f>
        <v>0.08584994283</v>
      </c>
      <c r="E268" s="34">
        <f>(('PRACTICE Equity Price Data'!E269/'PRACTICE Equity Price Data'!E268)-1)+E267</f>
        <v>0.04766863362</v>
      </c>
      <c r="F268" s="3">
        <v>13.0</v>
      </c>
      <c r="G268" s="3">
        <v>260.0</v>
      </c>
      <c r="H268" s="3">
        <v>110.0</v>
      </c>
      <c r="I268" s="3">
        <v>256.0</v>
      </c>
      <c r="J268" s="3">
        <v>83.0</v>
      </c>
      <c r="K268" s="3">
        <v>188.0</v>
      </c>
      <c r="L268" s="3">
        <v>1000.0</v>
      </c>
      <c r="M268" s="3">
        <v>102.0</v>
      </c>
      <c r="N268" s="3">
        <v>200.0</v>
      </c>
      <c r="O268" s="3">
        <v>121.0</v>
      </c>
      <c r="P268" s="3"/>
      <c r="Q268" s="3">
        <v>80.0</v>
      </c>
      <c r="R268" s="3">
        <v>150.0</v>
      </c>
      <c r="S268" s="3">
        <v>417.0</v>
      </c>
      <c r="T268" s="3">
        <v>120.0</v>
      </c>
      <c r="U268" s="3">
        <v>80.0</v>
      </c>
      <c r="V268" s="1">
        <v>88.0</v>
      </c>
      <c r="W268" s="1">
        <v>250.0</v>
      </c>
      <c r="X268" s="1">
        <v>264.0</v>
      </c>
      <c r="Y268" s="1">
        <v>161.0</v>
      </c>
      <c r="Z268" s="1">
        <v>69.0</v>
      </c>
      <c r="AA268" s="3"/>
      <c r="AB268" s="1">
        <v>13.0</v>
      </c>
      <c r="AC268" s="1">
        <v>150.0</v>
      </c>
      <c r="AD268" s="1">
        <v>170.0</v>
      </c>
      <c r="AE268" s="1">
        <v>60.0</v>
      </c>
      <c r="AF268" s="1">
        <v>40.0</v>
      </c>
      <c r="AG268" s="1">
        <v>45.0</v>
      </c>
      <c r="AH268" s="1"/>
      <c r="AI268" s="1">
        <v>205.0</v>
      </c>
      <c r="AJ268" s="1">
        <v>60.0</v>
      </c>
      <c r="AK268" s="1">
        <v>100.0</v>
      </c>
      <c r="AL268" s="1">
        <v>175.0</v>
      </c>
      <c r="AM268" s="1">
        <v>130.0</v>
      </c>
      <c r="AN268" s="3">
        <v>47.0</v>
      </c>
      <c r="AO268" s="3">
        <v>160.0</v>
      </c>
      <c r="AP268" s="3">
        <v>70.0</v>
      </c>
      <c r="AQ268" s="3"/>
      <c r="AR268" s="1">
        <v>854.0</v>
      </c>
      <c r="AS268" s="1">
        <v>250.0</v>
      </c>
      <c r="AT268" s="1">
        <v>220.0</v>
      </c>
      <c r="AU268" s="3">
        <v>423.0</v>
      </c>
      <c r="AV268" s="1">
        <v>120.0</v>
      </c>
      <c r="AW268" s="3">
        <v>200.0</v>
      </c>
      <c r="AX268" s="3"/>
      <c r="AY268" s="3">
        <v>142.0</v>
      </c>
      <c r="AZ268" s="1">
        <v>40.0</v>
      </c>
      <c r="BA268" s="1"/>
      <c r="BB268" s="3">
        <v>402.0</v>
      </c>
      <c r="BC268" s="1">
        <v>150.0</v>
      </c>
      <c r="BD268" s="1">
        <v>190.0</v>
      </c>
      <c r="BE268" s="1">
        <v>80.0</v>
      </c>
      <c r="BF268" s="3">
        <v>328.0</v>
      </c>
      <c r="BG268" s="1">
        <v>213.0</v>
      </c>
      <c r="BH268" s="1">
        <v>23.0</v>
      </c>
      <c r="BI268" s="1">
        <v>40.0</v>
      </c>
      <c r="BJ268" s="1">
        <v>278.0</v>
      </c>
      <c r="BK268" s="3"/>
      <c r="BL268" s="1">
        <v>160.0</v>
      </c>
      <c r="BM268" s="1">
        <v>75.0</v>
      </c>
      <c r="BN268" s="32">
        <v>1802.0</v>
      </c>
      <c r="BO268" s="1">
        <v>47.0</v>
      </c>
      <c r="BP268" s="3">
        <v>48.0</v>
      </c>
      <c r="BQ268" s="1">
        <v>188.0</v>
      </c>
      <c r="BR268" s="27">
        <v>28381.0</v>
      </c>
    </row>
    <row r="269">
      <c r="A269" s="25">
        <f>'Equity Price Data'!A270</f>
        <v>45814.66667</v>
      </c>
      <c r="B269" s="34">
        <f>(('PRACTICE Equity Price Data'!B270/'PRACTICE Equity Price Data'!B269)-1)+B268</f>
        <v>0.1586055495</v>
      </c>
      <c r="C269" s="34">
        <f>(('PRACTICE Equity Price Data'!C270/'PRACTICE Equity Price Data'!C269)-1)+C268</f>
        <v>0.20937123</v>
      </c>
      <c r="D269" s="34">
        <f>(('PRACTICE Equity Price Data'!D270/'PRACTICE Equity Price Data'!D269)-1)+D268</f>
        <v>0.09632094289</v>
      </c>
      <c r="E269" s="34">
        <f>(('PRACTICE Equity Price Data'!E270/'PRACTICE Equity Price Data'!E269)-1)+E268</f>
        <v>0.06430867939</v>
      </c>
      <c r="F269" s="3">
        <v>13.0</v>
      </c>
      <c r="G269" s="3">
        <v>260.0</v>
      </c>
      <c r="H269" s="3">
        <v>110.0</v>
      </c>
      <c r="I269" s="3">
        <v>256.0</v>
      </c>
      <c r="J269" s="3">
        <v>83.0</v>
      </c>
      <c r="K269" s="3">
        <v>188.0</v>
      </c>
      <c r="L269" s="3">
        <v>1000.0</v>
      </c>
      <c r="M269" s="3">
        <v>102.0</v>
      </c>
      <c r="N269" s="3">
        <v>200.0</v>
      </c>
      <c r="O269" s="3">
        <v>121.0</v>
      </c>
      <c r="P269" s="3"/>
      <c r="Q269" s="3">
        <v>80.0</v>
      </c>
      <c r="R269" s="3">
        <v>150.0</v>
      </c>
      <c r="S269" s="3">
        <v>417.0</v>
      </c>
      <c r="T269" s="3">
        <v>120.0</v>
      </c>
      <c r="U269" s="3">
        <v>80.0</v>
      </c>
      <c r="V269" s="1">
        <v>88.0</v>
      </c>
      <c r="W269" s="1">
        <v>250.0</v>
      </c>
      <c r="X269" s="1">
        <v>264.0</v>
      </c>
      <c r="Y269" s="1">
        <v>161.0</v>
      </c>
      <c r="Z269" s="1">
        <v>69.0</v>
      </c>
      <c r="AA269" s="3"/>
      <c r="AB269" s="1">
        <v>13.0</v>
      </c>
      <c r="AC269" s="1">
        <v>150.0</v>
      </c>
      <c r="AD269" s="1">
        <v>170.0</v>
      </c>
      <c r="AE269" s="1">
        <v>60.0</v>
      </c>
      <c r="AF269" s="1">
        <v>40.0</v>
      </c>
      <c r="AG269" s="1">
        <v>45.0</v>
      </c>
      <c r="AH269" s="1"/>
      <c r="AI269" s="1">
        <v>205.0</v>
      </c>
      <c r="AJ269" s="1">
        <v>60.0</v>
      </c>
      <c r="AK269" s="1">
        <v>100.0</v>
      </c>
      <c r="AL269" s="1">
        <v>175.0</v>
      </c>
      <c r="AM269" s="1">
        <v>130.0</v>
      </c>
      <c r="AN269" s="3">
        <v>47.0</v>
      </c>
      <c r="AO269" s="3">
        <v>160.0</v>
      </c>
      <c r="AP269" s="3">
        <v>70.0</v>
      </c>
      <c r="AQ269" s="3"/>
      <c r="AR269" s="1">
        <v>854.0</v>
      </c>
      <c r="AS269" s="1">
        <v>250.0</v>
      </c>
      <c r="AT269" s="1">
        <v>220.0</v>
      </c>
      <c r="AU269" s="3">
        <v>423.0</v>
      </c>
      <c r="AV269" s="1">
        <v>120.0</v>
      </c>
      <c r="AW269" s="3">
        <v>200.0</v>
      </c>
      <c r="AX269" s="3"/>
      <c r="AY269" s="3">
        <v>142.0</v>
      </c>
      <c r="AZ269" s="1">
        <v>40.0</v>
      </c>
      <c r="BA269" s="1"/>
      <c r="BB269" s="3">
        <v>402.0</v>
      </c>
      <c r="BC269" s="1">
        <v>150.0</v>
      </c>
      <c r="BD269" s="1">
        <v>190.0</v>
      </c>
      <c r="BE269" s="1">
        <v>80.0</v>
      </c>
      <c r="BF269" s="3">
        <v>328.0</v>
      </c>
      <c r="BG269" s="1">
        <v>213.0</v>
      </c>
      <c r="BH269" s="1">
        <v>23.0</v>
      </c>
      <c r="BI269" s="1">
        <v>40.0</v>
      </c>
      <c r="BJ269" s="1">
        <v>278.0</v>
      </c>
      <c r="BK269" s="3"/>
      <c r="BL269" s="1">
        <v>160.0</v>
      </c>
      <c r="BM269" s="1">
        <v>75.0</v>
      </c>
      <c r="BN269" s="32">
        <v>1802.0</v>
      </c>
      <c r="BO269" s="1">
        <v>47.0</v>
      </c>
      <c r="BP269" s="3">
        <v>48.0</v>
      </c>
      <c r="BQ269" s="1">
        <v>188.0</v>
      </c>
      <c r="BR269" s="27">
        <v>28381.0</v>
      </c>
    </row>
    <row r="270">
      <c r="A270" s="25">
        <f>'Equity Price Data'!A271</f>
        <v>45817.66667</v>
      </c>
      <c r="B270" s="34">
        <f>(('PRACTICE Equity Price Data'!B271/'PRACTICE Equity Price Data'!B270)-1)+B269</f>
        <v>0.1595254943</v>
      </c>
      <c r="C270" s="34">
        <f>(('PRACTICE Equity Price Data'!C271/'PRACTICE Equity Price Data'!C270)-1)+C269</f>
        <v>0.2125094869</v>
      </c>
      <c r="D270" s="34">
        <f>(('PRACTICE Equity Price Data'!D271/'PRACTICE Equity Price Data'!D270)-1)+D269</f>
        <v>0.09629498579</v>
      </c>
      <c r="E270" s="34">
        <f>(('PRACTICE Equity Price Data'!E271/'PRACTICE Equity Price Data'!E270)-1)+E269</f>
        <v>0.07003033492</v>
      </c>
      <c r="F270" s="3">
        <v>13.0</v>
      </c>
      <c r="G270" s="3">
        <v>260.0</v>
      </c>
      <c r="H270" s="3">
        <v>110.0</v>
      </c>
      <c r="I270" s="3">
        <v>256.0</v>
      </c>
      <c r="J270" s="3">
        <v>83.0</v>
      </c>
      <c r="K270" s="3">
        <v>188.0</v>
      </c>
      <c r="L270" s="3">
        <v>1000.0</v>
      </c>
      <c r="M270" s="3">
        <v>102.0</v>
      </c>
      <c r="N270" s="3">
        <v>200.0</v>
      </c>
      <c r="O270" s="3">
        <v>121.0</v>
      </c>
      <c r="P270" s="3"/>
      <c r="Q270" s="3">
        <v>80.0</v>
      </c>
      <c r="R270" s="3">
        <v>150.0</v>
      </c>
      <c r="S270" s="3">
        <v>417.0</v>
      </c>
      <c r="T270" s="3">
        <v>120.0</v>
      </c>
      <c r="U270" s="3">
        <v>80.0</v>
      </c>
      <c r="V270" s="1">
        <v>88.0</v>
      </c>
      <c r="W270" s="1">
        <v>250.0</v>
      </c>
      <c r="X270" s="1">
        <v>264.0</v>
      </c>
      <c r="Y270" s="1">
        <v>161.0</v>
      </c>
      <c r="Z270" s="1">
        <v>69.0</v>
      </c>
      <c r="AA270" s="3"/>
      <c r="AB270" s="1">
        <v>13.0</v>
      </c>
      <c r="AC270" s="1">
        <v>150.0</v>
      </c>
      <c r="AD270" s="1">
        <v>170.0</v>
      </c>
      <c r="AE270" s="1">
        <v>60.0</v>
      </c>
      <c r="AF270" s="1">
        <v>40.0</v>
      </c>
      <c r="AG270" s="1">
        <v>45.0</v>
      </c>
      <c r="AH270" s="1"/>
      <c r="AI270" s="1">
        <v>205.0</v>
      </c>
      <c r="AJ270" s="1">
        <v>60.0</v>
      </c>
      <c r="AK270" s="1">
        <v>100.0</v>
      </c>
      <c r="AL270" s="1">
        <v>175.0</v>
      </c>
      <c r="AM270" s="1">
        <v>130.0</v>
      </c>
      <c r="AN270" s="3">
        <v>47.0</v>
      </c>
      <c r="AO270" s="3">
        <v>160.0</v>
      </c>
      <c r="AP270" s="3">
        <v>70.0</v>
      </c>
      <c r="AQ270" s="3"/>
      <c r="AR270" s="1">
        <v>854.0</v>
      </c>
      <c r="AS270" s="1">
        <v>250.0</v>
      </c>
      <c r="AT270" s="1">
        <v>220.0</v>
      </c>
      <c r="AU270" s="3">
        <v>423.0</v>
      </c>
      <c r="AV270" s="1">
        <v>120.0</v>
      </c>
      <c r="AW270" s="3">
        <v>200.0</v>
      </c>
      <c r="AX270" s="3"/>
      <c r="AY270" s="3">
        <v>142.0</v>
      </c>
      <c r="AZ270" s="1">
        <v>40.0</v>
      </c>
      <c r="BA270" s="1"/>
      <c r="BB270" s="3">
        <v>402.0</v>
      </c>
      <c r="BC270" s="1">
        <v>150.0</v>
      </c>
      <c r="BD270" s="1">
        <v>190.0</v>
      </c>
      <c r="BE270" s="1">
        <v>80.0</v>
      </c>
      <c r="BF270" s="3">
        <v>328.0</v>
      </c>
      <c r="BG270" s="1">
        <v>213.0</v>
      </c>
      <c r="BH270" s="1">
        <v>23.0</v>
      </c>
      <c r="BI270" s="1">
        <v>40.0</v>
      </c>
      <c r="BJ270" s="1">
        <v>278.0</v>
      </c>
      <c r="BK270" s="3"/>
      <c r="BL270" s="1">
        <v>160.0</v>
      </c>
      <c r="BM270" s="1">
        <v>75.0</v>
      </c>
      <c r="BN270" s="32">
        <v>1802.0</v>
      </c>
      <c r="BO270" s="1">
        <v>47.0</v>
      </c>
      <c r="BP270" s="3">
        <v>48.0</v>
      </c>
      <c r="BQ270" s="1">
        <v>188.0</v>
      </c>
      <c r="BR270" s="27">
        <v>28381.0</v>
      </c>
    </row>
    <row r="271">
      <c r="A271" s="25">
        <f>'Equity Price Data'!A272</f>
        <v>45818.66667</v>
      </c>
      <c r="B271" s="34">
        <f>(('PRACTICE Equity Price Data'!B272/'PRACTICE Equity Price Data'!B271)-1)+B270</f>
        <v>0.1650084543</v>
      </c>
      <c r="C271" s="34">
        <f>(('PRACTICE Equity Price Data'!C272/'PRACTICE Equity Price Data'!C271)-1)+C270</f>
        <v>0.2188260855</v>
      </c>
      <c r="D271" s="34">
        <f>(('PRACTICE Equity Price Data'!D272/'PRACTICE Equity Price Data'!D271)-1)+D270</f>
        <v>0.09875302306</v>
      </c>
      <c r="E271" s="34">
        <f>(('PRACTICE Equity Price Data'!E272/'PRACTICE Equity Price Data'!E271)-1)+E270</f>
        <v>0.07560752254</v>
      </c>
      <c r="F271" s="3">
        <v>13.0</v>
      </c>
      <c r="G271" s="3">
        <v>260.0</v>
      </c>
      <c r="H271" s="3">
        <v>110.0</v>
      </c>
      <c r="I271" s="3">
        <v>256.0</v>
      </c>
      <c r="J271" s="3">
        <v>83.0</v>
      </c>
      <c r="K271" s="3">
        <v>188.0</v>
      </c>
      <c r="L271" s="3">
        <v>1000.0</v>
      </c>
      <c r="M271" s="3">
        <v>102.0</v>
      </c>
      <c r="N271" s="3">
        <v>200.0</v>
      </c>
      <c r="O271" s="3">
        <v>121.0</v>
      </c>
      <c r="P271" s="3"/>
      <c r="Q271" s="3">
        <v>80.0</v>
      </c>
      <c r="R271" s="3">
        <v>150.0</v>
      </c>
      <c r="S271" s="3">
        <v>417.0</v>
      </c>
      <c r="T271" s="3">
        <v>120.0</v>
      </c>
      <c r="U271" s="3">
        <v>80.0</v>
      </c>
      <c r="V271" s="1">
        <v>88.0</v>
      </c>
      <c r="W271" s="1">
        <v>250.0</v>
      </c>
      <c r="X271" s="1">
        <v>264.0</v>
      </c>
      <c r="Y271" s="1">
        <v>161.0</v>
      </c>
      <c r="Z271" s="1">
        <v>69.0</v>
      </c>
      <c r="AA271" s="3"/>
      <c r="AB271" s="1">
        <v>13.0</v>
      </c>
      <c r="AC271" s="1">
        <v>150.0</v>
      </c>
      <c r="AD271" s="1">
        <v>170.0</v>
      </c>
      <c r="AE271" s="1">
        <v>60.0</v>
      </c>
      <c r="AF271" s="1">
        <v>40.0</v>
      </c>
      <c r="AG271" s="1">
        <v>45.0</v>
      </c>
      <c r="AH271" s="1"/>
      <c r="AI271" s="1">
        <v>205.0</v>
      </c>
      <c r="AJ271" s="1">
        <v>60.0</v>
      </c>
      <c r="AK271" s="1">
        <v>100.0</v>
      </c>
      <c r="AL271" s="1">
        <v>175.0</v>
      </c>
      <c r="AM271" s="1">
        <v>130.0</v>
      </c>
      <c r="AN271" s="3">
        <v>47.0</v>
      </c>
      <c r="AO271" s="3">
        <v>160.0</v>
      </c>
      <c r="AP271" s="3">
        <v>70.0</v>
      </c>
      <c r="AQ271" s="3"/>
      <c r="AR271" s="1">
        <v>854.0</v>
      </c>
      <c r="AS271" s="1">
        <v>250.0</v>
      </c>
      <c r="AT271" s="1">
        <v>220.0</v>
      </c>
      <c r="AU271" s="3">
        <v>423.0</v>
      </c>
      <c r="AV271" s="1">
        <v>120.0</v>
      </c>
      <c r="AW271" s="3">
        <v>200.0</v>
      </c>
      <c r="AX271" s="3"/>
      <c r="AY271" s="3">
        <v>142.0</v>
      </c>
      <c r="AZ271" s="1">
        <v>40.0</v>
      </c>
      <c r="BA271" s="1"/>
      <c r="BB271" s="3">
        <v>402.0</v>
      </c>
      <c r="BC271" s="1">
        <v>150.0</v>
      </c>
      <c r="BD271" s="1">
        <v>190.0</v>
      </c>
      <c r="BE271" s="1">
        <v>80.0</v>
      </c>
      <c r="BF271" s="3">
        <v>328.0</v>
      </c>
      <c r="BG271" s="1">
        <v>213.0</v>
      </c>
      <c r="BH271" s="1">
        <v>23.0</v>
      </c>
      <c r="BI271" s="1">
        <v>40.0</v>
      </c>
      <c r="BJ271" s="1">
        <v>278.0</v>
      </c>
      <c r="BK271" s="3"/>
      <c r="BL271" s="1">
        <v>160.0</v>
      </c>
      <c r="BM271" s="1">
        <v>75.0</v>
      </c>
      <c r="BN271" s="32">
        <v>1802.0</v>
      </c>
      <c r="BO271" s="1">
        <v>47.0</v>
      </c>
      <c r="BP271" s="3">
        <v>48.0</v>
      </c>
      <c r="BQ271" s="1">
        <v>188.0</v>
      </c>
      <c r="BR271" s="27">
        <v>28381.0</v>
      </c>
    </row>
    <row r="272">
      <c r="A272" s="25">
        <f>'Equity Price Data'!A273</f>
        <v>45819.66667</v>
      </c>
      <c r="B272" s="34">
        <f>(('PRACTICE Equity Price Data'!B273/'PRACTICE Equity Price Data'!B272)-1)+B271</f>
        <v>0.1622645362</v>
      </c>
      <c r="C272" s="34">
        <f>(('PRACTICE Equity Price Data'!C273/'PRACTICE Equity Price Data'!C272)-1)+C271</f>
        <v>0.2137989463</v>
      </c>
      <c r="D272" s="34">
        <f>(('PRACTICE Equity Price Data'!D273/'PRACTICE Equity Price Data'!D272)-1)+D271</f>
        <v>0.09872736222</v>
      </c>
      <c r="E272" s="34">
        <f>(('PRACTICE Equity Price Data'!E273/'PRACTICE Equity Price Data'!E272)-1)+E271</f>
        <v>0.07181418083</v>
      </c>
      <c r="F272" s="3">
        <v>13.0</v>
      </c>
      <c r="G272" s="3">
        <v>260.0</v>
      </c>
      <c r="H272" s="3">
        <v>110.0</v>
      </c>
      <c r="I272" s="3">
        <v>256.0</v>
      </c>
      <c r="J272" s="3">
        <v>83.0</v>
      </c>
      <c r="K272" s="3">
        <v>188.0</v>
      </c>
      <c r="L272" s="3">
        <v>1000.0</v>
      </c>
      <c r="M272" s="3">
        <v>102.0</v>
      </c>
      <c r="N272" s="3">
        <v>200.0</v>
      </c>
      <c r="O272" s="3">
        <v>121.0</v>
      </c>
      <c r="P272" s="3"/>
      <c r="Q272" s="3">
        <v>80.0</v>
      </c>
      <c r="R272" s="3">
        <v>150.0</v>
      </c>
      <c r="S272" s="3">
        <v>417.0</v>
      </c>
      <c r="T272" s="3">
        <v>120.0</v>
      </c>
      <c r="U272" s="3">
        <v>80.0</v>
      </c>
      <c r="V272" s="1">
        <v>88.0</v>
      </c>
      <c r="W272" s="1">
        <v>250.0</v>
      </c>
      <c r="X272" s="1">
        <v>264.0</v>
      </c>
      <c r="Y272" s="1">
        <v>161.0</v>
      </c>
      <c r="Z272" s="1">
        <v>69.0</v>
      </c>
      <c r="AA272" s="3"/>
      <c r="AB272" s="1">
        <v>13.0</v>
      </c>
      <c r="AC272" s="1">
        <v>150.0</v>
      </c>
      <c r="AD272" s="1">
        <v>170.0</v>
      </c>
      <c r="AE272" s="1">
        <v>60.0</v>
      </c>
      <c r="AF272" s="1">
        <v>40.0</v>
      </c>
      <c r="AG272" s="1">
        <v>45.0</v>
      </c>
      <c r="AH272" s="1"/>
      <c r="AI272" s="1">
        <v>205.0</v>
      </c>
      <c r="AJ272" s="1">
        <v>60.0</v>
      </c>
      <c r="AK272" s="1">
        <v>100.0</v>
      </c>
      <c r="AL272" s="1">
        <v>175.0</v>
      </c>
      <c r="AM272" s="1">
        <v>130.0</v>
      </c>
      <c r="AN272" s="3">
        <v>47.0</v>
      </c>
      <c r="AO272" s="3">
        <v>160.0</v>
      </c>
      <c r="AP272" s="3">
        <v>70.0</v>
      </c>
      <c r="AQ272" s="3"/>
      <c r="AR272" s="1">
        <v>854.0</v>
      </c>
      <c r="AS272" s="1">
        <v>250.0</v>
      </c>
      <c r="AT272" s="1">
        <v>220.0</v>
      </c>
      <c r="AU272" s="3">
        <v>423.0</v>
      </c>
      <c r="AV272" s="1">
        <v>120.0</v>
      </c>
      <c r="AW272" s="3">
        <v>200.0</v>
      </c>
      <c r="AX272" s="3"/>
      <c r="AY272" s="3">
        <v>142.0</v>
      </c>
      <c r="AZ272" s="1">
        <v>40.0</v>
      </c>
      <c r="BA272" s="1"/>
      <c r="BB272" s="3">
        <v>402.0</v>
      </c>
      <c r="BC272" s="1">
        <v>150.0</v>
      </c>
      <c r="BD272" s="1">
        <v>190.0</v>
      </c>
      <c r="BE272" s="1">
        <v>80.0</v>
      </c>
      <c r="BF272" s="3">
        <v>328.0</v>
      </c>
      <c r="BG272" s="1">
        <v>213.0</v>
      </c>
      <c r="BH272" s="1">
        <v>23.0</v>
      </c>
      <c r="BI272" s="1">
        <v>40.0</v>
      </c>
      <c r="BJ272" s="1">
        <v>278.0</v>
      </c>
      <c r="BK272" s="3"/>
      <c r="BL272" s="1">
        <v>160.0</v>
      </c>
      <c r="BM272" s="1">
        <v>75.0</v>
      </c>
      <c r="BN272" s="32">
        <v>1802.0</v>
      </c>
      <c r="BO272" s="1">
        <v>47.0</v>
      </c>
      <c r="BP272" s="3">
        <v>48.0</v>
      </c>
      <c r="BQ272" s="1">
        <v>188.0</v>
      </c>
      <c r="BR272" s="27">
        <v>28381.0</v>
      </c>
    </row>
    <row r="273">
      <c r="A273" s="25">
        <f>'Equity Price Data'!A274</f>
        <v>45820.66667</v>
      </c>
      <c r="B273" s="34">
        <f>(('PRACTICE Equity Price Data'!B274/'PRACTICE Equity Price Data'!B273)-1)+B272</f>
        <v>0.1660870342</v>
      </c>
      <c r="C273" s="34">
        <f>(('PRACTICE Equity Price Data'!C274/'PRACTICE Equity Price Data'!C273)-1)+C272</f>
        <v>0.2161750823</v>
      </c>
      <c r="D273" s="34">
        <f>(('PRACTICE Equity Price Data'!D274/'PRACTICE Equity Price Data'!D273)-1)+D272</f>
        <v>0.1011033839</v>
      </c>
      <c r="E273" s="34">
        <f>(('PRACTICE Equity Price Data'!E274/'PRACTICE Equity Price Data'!E273)-1)+E272</f>
        <v>0.06802501487</v>
      </c>
      <c r="F273" s="3">
        <v>13.0</v>
      </c>
      <c r="G273" s="3">
        <v>260.0</v>
      </c>
      <c r="H273" s="3">
        <v>110.0</v>
      </c>
      <c r="I273" s="3">
        <v>256.0</v>
      </c>
      <c r="J273" s="3">
        <v>83.0</v>
      </c>
      <c r="K273" s="3">
        <v>188.0</v>
      </c>
      <c r="L273" s="3">
        <v>1000.0</v>
      </c>
      <c r="M273" s="3">
        <v>102.0</v>
      </c>
      <c r="N273" s="3">
        <v>200.0</v>
      </c>
      <c r="O273" s="3">
        <v>121.0</v>
      </c>
      <c r="P273" s="3"/>
      <c r="Q273" s="3">
        <v>80.0</v>
      </c>
      <c r="R273" s="3">
        <v>150.0</v>
      </c>
      <c r="S273" s="3">
        <v>417.0</v>
      </c>
      <c r="T273" s="3">
        <v>120.0</v>
      </c>
      <c r="U273" s="3">
        <v>80.0</v>
      </c>
      <c r="V273" s="1">
        <v>88.0</v>
      </c>
      <c r="W273" s="1">
        <v>250.0</v>
      </c>
      <c r="X273" s="1">
        <v>264.0</v>
      </c>
      <c r="Y273" s="1">
        <v>161.0</v>
      </c>
      <c r="Z273" s="1">
        <v>69.0</v>
      </c>
      <c r="AA273" s="3"/>
      <c r="AB273" s="1">
        <v>13.0</v>
      </c>
      <c r="AC273" s="1">
        <v>150.0</v>
      </c>
      <c r="AD273" s="1">
        <v>170.0</v>
      </c>
      <c r="AE273" s="1">
        <v>60.0</v>
      </c>
      <c r="AF273" s="1">
        <v>40.0</v>
      </c>
      <c r="AG273" s="1">
        <v>45.0</v>
      </c>
      <c r="AH273" s="1"/>
      <c r="AI273" s="1">
        <v>205.0</v>
      </c>
      <c r="AJ273" s="1">
        <v>60.0</v>
      </c>
      <c r="AK273" s="1">
        <v>100.0</v>
      </c>
      <c r="AL273" s="1">
        <v>175.0</v>
      </c>
      <c r="AM273" s="1">
        <v>130.0</v>
      </c>
      <c r="AN273" s="3">
        <v>47.0</v>
      </c>
      <c r="AO273" s="3">
        <v>160.0</v>
      </c>
      <c r="AP273" s="3">
        <v>70.0</v>
      </c>
      <c r="AQ273" s="3"/>
      <c r="AR273" s="1">
        <v>854.0</v>
      </c>
      <c r="AS273" s="1">
        <v>250.0</v>
      </c>
      <c r="AT273" s="1">
        <v>220.0</v>
      </c>
      <c r="AU273" s="3">
        <v>423.0</v>
      </c>
      <c r="AV273" s="1">
        <v>120.0</v>
      </c>
      <c r="AW273" s="3">
        <v>200.0</v>
      </c>
      <c r="AX273" s="3"/>
      <c r="AY273" s="3">
        <v>142.0</v>
      </c>
      <c r="AZ273" s="1">
        <v>40.0</v>
      </c>
      <c r="BA273" s="1"/>
      <c r="BB273" s="3">
        <v>402.0</v>
      </c>
      <c r="BC273" s="1">
        <v>150.0</v>
      </c>
      <c r="BD273" s="1">
        <v>190.0</v>
      </c>
      <c r="BE273" s="1">
        <v>80.0</v>
      </c>
      <c r="BF273" s="3">
        <v>328.0</v>
      </c>
      <c r="BG273" s="1">
        <v>213.0</v>
      </c>
      <c r="BH273" s="1">
        <v>23.0</v>
      </c>
      <c r="BI273" s="1">
        <v>40.0</v>
      </c>
      <c r="BJ273" s="1">
        <v>278.0</v>
      </c>
      <c r="BK273" s="3"/>
      <c r="BL273" s="1">
        <v>160.0</v>
      </c>
      <c r="BM273" s="1">
        <v>75.0</v>
      </c>
      <c r="BN273" s="32">
        <v>1802.0</v>
      </c>
      <c r="BO273" s="1">
        <v>47.0</v>
      </c>
      <c r="BP273" s="3">
        <v>48.0</v>
      </c>
      <c r="BQ273" s="1">
        <v>188.0</v>
      </c>
      <c r="BR273" s="27">
        <v>28381.0</v>
      </c>
    </row>
    <row r="274">
      <c r="A274" s="25">
        <f>'Equity Price Data'!A275</f>
        <v>45821.66667</v>
      </c>
      <c r="B274" s="34">
        <f>(('PRACTICE Equity Price Data'!B275/'PRACTICE Equity Price Data'!B274)-1)+B273</f>
        <v>0.1547905804</v>
      </c>
      <c r="C274" s="34">
        <f>(('PRACTICE Equity Price Data'!C275/'PRACTICE Equity Price Data'!C274)-1)+C273</f>
        <v>0.2031726599</v>
      </c>
      <c r="D274" s="34">
        <f>(('PRACTICE Equity Price Data'!D275/'PRACTICE Equity Price Data'!D274)-1)+D273</f>
        <v>0.08318686912</v>
      </c>
      <c r="E274" s="34">
        <f>(('PRACTICE Equity Price Data'!E275/'PRACTICE Equity Price Data'!E274)-1)+E273</f>
        <v>0.04953046557</v>
      </c>
      <c r="F274" s="3">
        <v>13.0</v>
      </c>
      <c r="G274" s="3">
        <v>260.0</v>
      </c>
      <c r="H274" s="3">
        <v>110.0</v>
      </c>
      <c r="I274" s="3">
        <v>256.0</v>
      </c>
      <c r="J274" s="3">
        <v>83.0</v>
      </c>
      <c r="K274" s="3">
        <v>188.0</v>
      </c>
      <c r="L274" s="3">
        <v>1000.0</v>
      </c>
      <c r="M274" s="3">
        <v>102.0</v>
      </c>
      <c r="N274" s="3">
        <v>200.0</v>
      </c>
      <c r="O274" s="3">
        <v>121.0</v>
      </c>
      <c r="P274" s="3"/>
      <c r="Q274" s="3">
        <v>80.0</v>
      </c>
      <c r="R274" s="3">
        <v>150.0</v>
      </c>
      <c r="S274" s="3">
        <v>417.0</v>
      </c>
      <c r="T274" s="3">
        <v>120.0</v>
      </c>
      <c r="U274" s="3">
        <v>80.0</v>
      </c>
      <c r="V274" s="1">
        <v>88.0</v>
      </c>
      <c r="W274" s="1">
        <v>250.0</v>
      </c>
      <c r="X274" s="1">
        <v>264.0</v>
      </c>
      <c r="Y274" s="1">
        <v>161.0</v>
      </c>
      <c r="Z274" s="1">
        <v>69.0</v>
      </c>
      <c r="AA274" s="3"/>
      <c r="AB274" s="1">
        <v>13.0</v>
      </c>
      <c r="AC274" s="1">
        <v>150.0</v>
      </c>
      <c r="AD274" s="1">
        <v>170.0</v>
      </c>
      <c r="AE274" s="1">
        <v>60.0</v>
      </c>
      <c r="AF274" s="1">
        <v>40.0</v>
      </c>
      <c r="AG274" s="1">
        <v>45.0</v>
      </c>
      <c r="AH274" s="1"/>
      <c r="AI274" s="1">
        <v>205.0</v>
      </c>
      <c r="AJ274" s="1">
        <v>60.0</v>
      </c>
      <c r="AK274" s="1">
        <v>100.0</v>
      </c>
      <c r="AL274" s="1">
        <v>175.0</v>
      </c>
      <c r="AM274" s="1">
        <v>130.0</v>
      </c>
      <c r="AN274" s="3">
        <v>47.0</v>
      </c>
      <c r="AO274" s="3">
        <v>160.0</v>
      </c>
      <c r="AP274" s="3">
        <v>70.0</v>
      </c>
      <c r="AQ274" s="3"/>
      <c r="AR274" s="1">
        <v>854.0</v>
      </c>
      <c r="AS274" s="1">
        <v>250.0</v>
      </c>
      <c r="AT274" s="1">
        <v>220.0</v>
      </c>
      <c r="AU274" s="3">
        <v>423.0</v>
      </c>
      <c r="AV274" s="1">
        <v>120.0</v>
      </c>
      <c r="AW274" s="3">
        <v>200.0</v>
      </c>
      <c r="AX274" s="3"/>
      <c r="AY274" s="3">
        <v>142.0</v>
      </c>
      <c r="AZ274" s="1">
        <v>40.0</v>
      </c>
      <c r="BA274" s="1"/>
      <c r="BB274" s="3">
        <v>402.0</v>
      </c>
      <c r="BC274" s="1">
        <v>150.0</v>
      </c>
      <c r="BD274" s="1">
        <v>190.0</v>
      </c>
      <c r="BE274" s="1">
        <v>80.0</v>
      </c>
      <c r="BF274" s="3">
        <v>328.0</v>
      </c>
      <c r="BG274" s="1">
        <v>213.0</v>
      </c>
      <c r="BH274" s="1">
        <v>23.0</v>
      </c>
      <c r="BI274" s="1">
        <v>40.0</v>
      </c>
      <c r="BJ274" s="1">
        <v>278.0</v>
      </c>
      <c r="BK274" s="3"/>
      <c r="BL274" s="1">
        <v>160.0</v>
      </c>
      <c r="BM274" s="1">
        <v>75.0</v>
      </c>
      <c r="BN274" s="32">
        <v>1802.0</v>
      </c>
      <c r="BO274" s="1">
        <v>47.0</v>
      </c>
      <c r="BP274" s="3">
        <v>48.0</v>
      </c>
      <c r="BQ274" s="1">
        <v>188.0</v>
      </c>
      <c r="BR274" s="27">
        <v>28381.0</v>
      </c>
    </row>
    <row r="275">
      <c r="A275" s="25">
        <f>'Equity Price Data'!A276</f>
        <v>45824.66667</v>
      </c>
      <c r="B275" s="34">
        <f>(('PRACTICE Equity Price Data'!B276/'PRACTICE Equity Price Data'!B275)-1)+B274</f>
        <v>0.1641832995</v>
      </c>
      <c r="C275" s="34">
        <f>(('PRACTICE Equity Price Data'!C276/'PRACTICE Equity Price Data'!C275)-1)+C274</f>
        <v>0.2183415464</v>
      </c>
      <c r="D275" s="34">
        <f>(('PRACTICE Equity Price Data'!D276/'PRACTICE Equity Price Data'!D275)-1)+D274</f>
        <v>0.09070622025</v>
      </c>
      <c r="E275" s="34">
        <f>(('PRACTICE Equity Price Data'!E276/'PRACTICE Equity Price Data'!E275)-1)+E274</f>
        <v>0.06077535372</v>
      </c>
      <c r="F275" s="3">
        <v>13.0</v>
      </c>
      <c r="G275" s="3">
        <v>260.0</v>
      </c>
      <c r="H275" s="3">
        <v>110.0</v>
      </c>
      <c r="I275" s="3">
        <v>256.0</v>
      </c>
      <c r="J275" s="3">
        <v>83.0</v>
      </c>
      <c r="K275" s="3">
        <v>188.0</v>
      </c>
      <c r="L275" s="3">
        <v>1000.0</v>
      </c>
      <c r="M275" s="3">
        <v>102.0</v>
      </c>
      <c r="N275" s="3">
        <v>200.0</v>
      </c>
      <c r="O275" s="3">
        <v>121.0</v>
      </c>
      <c r="P275" s="3"/>
      <c r="Q275" s="3">
        <v>80.0</v>
      </c>
      <c r="R275" s="3">
        <v>150.0</v>
      </c>
      <c r="S275" s="3">
        <v>417.0</v>
      </c>
      <c r="T275" s="3">
        <v>120.0</v>
      </c>
      <c r="U275" s="3">
        <v>80.0</v>
      </c>
      <c r="V275" s="1">
        <v>88.0</v>
      </c>
      <c r="W275" s="1">
        <v>250.0</v>
      </c>
      <c r="X275" s="1">
        <v>264.0</v>
      </c>
      <c r="Y275" s="1">
        <v>161.0</v>
      </c>
      <c r="Z275" s="1">
        <v>69.0</v>
      </c>
      <c r="AA275" s="3"/>
      <c r="AB275" s="1">
        <v>13.0</v>
      </c>
      <c r="AC275" s="1">
        <v>150.0</v>
      </c>
      <c r="AD275" s="1">
        <v>170.0</v>
      </c>
      <c r="AE275" s="1">
        <v>60.0</v>
      </c>
      <c r="AF275" s="1">
        <v>40.0</v>
      </c>
      <c r="AG275" s="1">
        <v>45.0</v>
      </c>
      <c r="AH275" s="1"/>
      <c r="AI275" s="1">
        <v>205.0</v>
      </c>
      <c r="AJ275" s="1">
        <v>60.0</v>
      </c>
      <c r="AK275" s="1">
        <v>100.0</v>
      </c>
      <c r="AL275" s="1">
        <v>175.0</v>
      </c>
      <c r="AM275" s="1">
        <v>130.0</v>
      </c>
      <c r="AN275" s="3">
        <v>47.0</v>
      </c>
      <c r="AO275" s="3">
        <v>160.0</v>
      </c>
      <c r="AP275" s="3">
        <v>70.0</v>
      </c>
      <c r="AQ275" s="3"/>
      <c r="AR275" s="1">
        <v>854.0</v>
      </c>
      <c r="AS275" s="1">
        <v>250.0</v>
      </c>
      <c r="AT275" s="1">
        <v>220.0</v>
      </c>
      <c r="AU275" s="3">
        <v>423.0</v>
      </c>
      <c r="AV275" s="1">
        <v>120.0</v>
      </c>
      <c r="AW275" s="3">
        <v>200.0</v>
      </c>
      <c r="AX275" s="3"/>
      <c r="AY275" s="3">
        <v>142.0</v>
      </c>
      <c r="AZ275" s="1">
        <v>40.0</v>
      </c>
      <c r="BA275" s="1"/>
      <c r="BB275" s="3">
        <v>402.0</v>
      </c>
      <c r="BC275" s="1">
        <v>150.0</v>
      </c>
      <c r="BD275" s="1">
        <v>190.0</v>
      </c>
      <c r="BE275" s="1">
        <v>80.0</v>
      </c>
      <c r="BF275" s="3">
        <v>328.0</v>
      </c>
      <c r="BG275" s="1">
        <v>213.0</v>
      </c>
      <c r="BH275" s="1">
        <v>23.0</v>
      </c>
      <c r="BI275" s="1">
        <v>40.0</v>
      </c>
      <c r="BJ275" s="1">
        <v>278.0</v>
      </c>
      <c r="BK275" s="3"/>
      <c r="BL275" s="1">
        <v>160.0</v>
      </c>
      <c r="BM275" s="1">
        <v>75.0</v>
      </c>
      <c r="BN275" s="32">
        <v>1802.0</v>
      </c>
      <c r="BO275" s="1">
        <v>47.0</v>
      </c>
      <c r="BP275" s="3">
        <v>48.0</v>
      </c>
      <c r="BQ275" s="1">
        <v>188.0</v>
      </c>
      <c r="BR275" s="27">
        <v>28381.0</v>
      </c>
    </row>
    <row r="276">
      <c r="A276" s="25">
        <f>'Equity Price Data'!A277</f>
        <v>45825.66667</v>
      </c>
      <c r="B276" s="34">
        <f>(('PRACTICE Equity Price Data'!B277/'PRACTICE Equity Price Data'!B276)-1)+B275</f>
        <v>0.1558310566</v>
      </c>
      <c r="C276" s="34">
        <f>(('PRACTICE Equity Price Data'!C277/'PRACTICE Equity Price Data'!C276)-1)+C275</f>
        <v>0.2091989607</v>
      </c>
      <c r="D276" s="34">
        <f>(('PRACTICE Equity Price Data'!D277/'PRACTICE Equity Price Data'!D276)-1)+D275</f>
        <v>0.08366660208</v>
      </c>
      <c r="E276" s="34">
        <f>(('PRACTICE Equity Price Data'!E277/'PRACTICE Equity Price Data'!E276)-1)+E275</f>
        <v>0.05033813943</v>
      </c>
      <c r="F276" s="3">
        <v>13.0</v>
      </c>
      <c r="G276" s="3">
        <v>260.0</v>
      </c>
      <c r="H276" s="3">
        <v>110.0</v>
      </c>
      <c r="I276" s="3">
        <v>256.0</v>
      </c>
      <c r="J276" s="3">
        <v>83.0</v>
      </c>
      <c r="K276" s="3">
        <v>188.0</v>
      </c>
      <c r="L276" s="3">
        <v>1000.0</v>
      </c>
      <c r="M276" s="3">
        <v>102.0</v>
      </c>
      <c r="N276" s="3">
        <v>200.0</v>
      </c>
      <c r="O276" s="3">
        <v>121.0</v>
      </c>
      <c r="P276" s="3"/>
      <c r="Q276" s="3">
        <v>80.0</v>
      </c>
      <c r="R276" s="3">
        <v>150.0</v>
      </c>
      <c r="S276" s="3">
        <v>417.0</v>
      </c>
      <c r="T276" s="3">
        <v>120.0</v>
      </c>
      <c r="U276" s="3">
        <v>80.0</v>
      </c>
      <c r="V276" s="1">
        <v>88.0</v>
      </c>
      <c r="W276" s="1">
        <v>250.0</v>
      </c>
      <c r="X276" s="1">
        <v>264.0</v>
      </c>
      <c r="Y276" s="1">
        <v>161.0</v>
      </c>
      <c r="Z276" s="1">
        <v>69.0</v>
      </c>
      <c r="AA276" s="3"/>
      <c r="AB276" s="1">
        <v>13.0</v>
      </c>
      <c r="AC276" s="1">
        <v>150.0</v>
      </c>
      <c r="AD276" s="1">
        <v>170.0</v>
      </c>
      <c r="AE276" s="1">
        <v>60.0</v>
      </c>
      <c r="AF276" s="1">
        <v>40.0</v>
      </c>
      <c r="AG276" s="1">
        <v>45.0</v>
      </c>
      <c r="AH276" s="1"/>
      <c r="AI276" s="1">
        <v>205.0</v>
      </c>
      <c r="AJ276" s="1">
        <v>60.0</v>
      </c>
      <c r="AK276" s="1">
        <v>100.0</v>
      </c>
      <c r="AL276" s="1">
        <v>175.0</v>
      </c>
      <c r="AM276" s="1">
        <v>130.0</v>
      </c>
      <c r="AN276" s="3">
        <v>47.0</v>
      </c>
      <c r="AO276" s="3">
        <v>160.0</v>
      </c>
      <c r="AP276" s="3">
        <v>70.0</v>
      </c>
      <c r="AQ276" s="3"/>
      <c r="AR276" s="1">
        <v>854.0</v>
      </c>
      <c r="AS276" s="1">
        <v>250.0</v>
      </c>
      <c r="AT276" s="1">
        <v>220.0</v>
      </c>
      <c r="AU276" s="3">
        <v>423.0</v>
      </c>
      <c r="AV276" s="1">
        <v>120.0</v>
      </c>
      <c r="AW276" s="3">
        <v>200.0</v>
      </c>
      <c r="AX276" s="3"/>
      <c r="AY276" s="3">
        <v>142.0</v>
      </c>
      <c r="AZ276" s="1">
        <v>40.0</v>
      </c>
      <c r="BA276" s="1"/>
      <c r="BB276" s="3">
        <v>402.0</v>
      </c>
      <c r="BC276" s="1">
        <v>150.0</v>
      </c>
      <c r="BD276" s="1">
        <v>190.0</v>
      </c>
      <c r="BE276" s="1">
        <v>80.0</v>
      </c>
      <c r="BF276" s="3">
        <v>328.0</v>
      </c>
      <c r="BG276" s="1">
        <v>213.0</v>
      </c>
      <c r="BH276" s="1">
        <v>23.0</v>
      </c>
      <c r="BI276" s="1">
        <v>40.0</v>
      </c>
      <c r="BJ276" s="1">
        <v>278.0</v>
      </c>
      <c r="BK276" s="3"/>
      <c r="BL276" s="1">
        <v>160.0</v>
      </c>
      <c r="BM276" s="1">
        <v>75.0</v>
      </c>
      <c r="BN276" s="32">
        <v>1802.0</v>
      </c>
      <c r="BO276" s="1">
        <v>47.0</v>
      </c>
      <c r="BP276" s="3">
        <v>48.0</v>
      </c>
      <c r="BQ276" s="1">
        <v>188.0</v>
      </c>
      <c r="BR276" s="27">
        <v>28381.0</v>
      </c>
    </row>
    <row r="277">
      <c r="A277" s="25">
        <f>'Equity Price Data'!A278</f>
        <v>45826.66667</v>
      </c>
      <c r="B277" s="34">
        <f>(('PRACTICE Equity Price Data'!B278/'PRACTICE Equity Price Data'!B277)-1)+B276</f>
        <v>0.1555218327</v>
      </c>
      <c r="C277" s="34">
        <f>(('PRACTICE Equity Price Data'!C278/'PRACTICE Equity Price Data'!C277)-1)+C276</f>
        <v>0.2104888477</v>
      </c>
      <c r="D277" s="34">
        <f>(('PRACTICE Equity Price Data'!D278/'PRACTICE Equity Price Data'!D277)-1)+D276</f>
        <v>0.08262102199</v>
      </c>
      <c r="E277" s="34">
        <f>(('PRACTICE Equity Price Data'!E278/'PRACTICE Equity Price Data'!E277)-1)+E276</f>
        <v>0.05557135033</v>
      </c>
      <c r="F277" s="3">
        <v>13.0</v>
      </c>
      <c r="G277" s="3">
        <v>260.0</v>
      </c>
      <c r="H277" s="3">
        <v>110.0</v>
      </c>
      <c r="I277" s="3">
        <v>256.0</v>
      </c>
      <c r="J277" s="3">
        <v>83.0</v>
      </c>
      <c r="K277" s="3">
        <v>188.0</v>
      </c>
      <c r="L277" s="3">
        <v>1000.0</v>
      </c>
      <c r="M277" s="3">
        <v>102.0</v>
      </c>
      <c r="N277" s="3">
        <v>200.0</v>
      </c>
      <c r="O277" s="3">
        <v>121.0</v>
      </c>
      <c r="P277" s="3"/>
      <c r="Q277" s="3">
        <v>80.0</v>
      </c>
      <c r="R277" s="3">
        <v>150.0</v>
      </c>
      <c r="S277" s="3">
        <v>417.0</v>
      </c>
      <c r="T277" s="3">
        <v>120.0</v>
      </c>
      <c r="U277" s="3">
        <v>80.0</v>
      </c>
      <c r="V277" s="1">
        <v>88.0</v>
      </c>
      <c r="W277" s="1">
        <v>250.0</v>
      </c>
      <c r="X277" s="1">
        <v>264.0</v>
      </c>
      <c r="Y277" s="1">
        <v>161.0</v>
      </c>
      <c r="Z277" s="1">
        <v>69.0</v>
      </c>
      <c r="AA277" s="3"/>
      <c r="AB277" s="1">
        <v>13.0</v>
      </c>
      <c r="AC277" s="1">
        <v>150.0</v>
      </c>
      <c r="AD277" s="1">
        <v>170.0</v>
      </c>
      <c r="AE277" s="1">
        <v>60.0</v>
      </c>
      <c r="AF277" s="1">
        <v>40.0</v>
      </c>
      <c r="AG277" s="1">
        <v>45.0</v>
      </c>
      <c r="AH277" s="1"/>
      <c r="AI277" s="1">
        <v>205.0</v>
      </c>
      <c r="AJ277" s="1">
        <v>60.0</v>
      </c>
      <c r="AK277" s="1">
        <v>100.0</v>
      </c>
      <c r="AL277" s="1">
        <v>175.0</v>
      </c>
      <c r="AM277" s="1">
        <v>130.0</v>
      </c>
      <c r="AN277" s="3">
        <v>47.0</v>
      </c>
      <c r="AO277" s="3">
        <v>160.0</v>
      </c>
      <c r="AP277" s="3">
        <v>70.0</v>
      </c>
      <c r="AQ277" s="3"/>
      <c r="AR277" s="1">
        <v>854.0</v>
      </c>
      <c r="AS277" s="1">
        <v>250.0</v>
      </c>
      <c r="AT277" s="1">
        <v>220.0</v>
      </c>
      <c r="AU277" s="3">
        <v>423.0</v>
      </c>
      <c r="AV277" s="1">
        <v>120.0</v>
      </c>
      <c r="AW277" s="3">
        <v>200.0</v>
      </c>
      <c r="AX277" s="3"/>
      <c r="AY277" s="3">
        <v>142.0</v>
      </c>
      <c r="AZ277" s="1">
        <v>40.0</v>
      </c>
      <c r="BA277" s="1"/>
      <c r="BB277" s="3">
        <v>402.0</v>
      </c>
      <c r="BC277" s="1">
        <v>150.0</v>
      </c>
      <c r="BD277" s="1">
        <v>190.0</v>
      </c>
      <c r="BE277" s="1">
        <v>80.0</v>
      </c>
      <c r="BF277" s="3">
        <v>328.0</v>
      </c>
      <c r="BG277" s="1">
        <v>213.0</v>
      </c>
      <c r="BH277" s="1">
        <v>23.0</v>
      </c>
      <c r="BI277" s="1">
        <v>40.0</v>
      </c>
      <c r="BJ277" s="1">
        <v>278.0</v>
      </c>
      <c r="BK277" s="3"/>
      <c r="BL277" s="1">
        <v>160.0</v>
      </c>
      <c r="BM277" s="1">
        <v>75.0</v>
      </c>
      <c r="BN277" s="32">
        <v>1802.0</v>
      </c>
      <c r="BO277" s="1">
        <v>47.0</v>
      </c>
      <c r="BP277" s="3">
        <v>48.0</v>
      </c>
      <c r="BQ277" s="1">
        <v>188.0</v>
      </c>
      <c r="BR277" s="27">
        <v>28381.0</v>
      </c>
    </row>
    <row r="278">
      <c r="A278" s="25">
        <f>'Equity Price Data'!A279</f>
        <v>45828.66667</v>
      </c>
      <c r="B278" s="34">
        <f>(('PRACTICE Equity Price Data'!B279/'PRACTICE Equity Price Data'!B278)-1)+B277</f>
        <v>0.1533432199</v>
      </c>
      <c r="C278" s="34">
        <f>(('PRACTICE Equity Price Data'!C279/'PRACTICE Equity Price Data'!C278)-1)+C277</f>
        <v>0.2054311052</v>
      </c>
      <c r="D278" s="34">
        <f>(('PRACTICE Equity Price Data'!D279/'PRACTICE Equity Price Data'!D278)-1)+D277</f>
        <v>0.08345475725</v>
      </c>
      <c r="E278" s="34">
        <f>(('PRACTICE Equity Price Data'!E279/'PRACTICE Equity Price Data'!E278)-1)+E277</f>
        <v>0.05382498504</v>
      </c>
      <c r="F278" s="3">
        <v>13.0</v>
      </c>
      <c r="G278" s="3">
        <v>260.0</v>
      </c>
      <c r="H278" s="3">
        <v>110.0</v>
      </c>
      <c r="I278" s="3">
        <v>256.0</v>
      </c>
      <c r="J278" s="3">
        <v>83.0</v>
      </c>
      <c r="K278" s="3">
        <v>188.0</v>
      </c>
      <c r="L278" s="3">
        <v>1000.0</v>
      </c>
      <c r="M278" s="3">
        <v>102.0</v>
      </c>
      <c r="N278" s="3">
        <v>200.0</v>
      </c>
      <c r="O278" s="3">
        <v>121.0</v>
      </c>
      <c r="P278" s="3"/>
      <c r="Q278" s="3">
        <v>80.0</v>
      </c>
      <c r="R278" s="3">
        <v>150.0</v>
      </c>
      <c r="S278" s="3">
        <v>417.0</v>
      </c>
      <c r="T278" s="3">
        <v>120.0</v>
      </c>
      <c r="U278" s="3">
        <v>80.0</v>
      </c>
      <c r="V278" s="1">
        <v>88.0</v>
      </c>
      <c r="W278" s="1">
        <v>250.0</v>
      </c>
      <c r="X278" s="1">
        <v>264.0</v>
      </c>
      <c r="Y278" s="1">
        <v>161.0</v>
      </c>
      <c r="Z278" s="1">
        <v>69.0</v>
      </c>
      <c r="AA278" s="3"/>
      <c r="AB278" s="1">
        <v>13.0</v>
      </c>
      <c r="AC278" s="1">
        <v>150.0</v>
      </c>
      <c r="AD278" s="1">
        <v>170.0</v>
      </c>
      <c r="AE278" s="1">
        <v>60.0</v>
      </c>
      <c r="AF278" s="1">
        <v>40.0</v>
      </c>
      <c r="AG278" s="1">
        <v>45.0</v>
      </c>
      <c r="AH278" s="1"/>
      <c r="AI278" s="1">
        <v>205.0</v>
      </c>
      <c r="AJ278" s="1">
        <v>60.0</v>
      </c>
      <c r="AK278" s="1">
        <v>100.0</v>
      </c>
      <c r="AL278" s="1">
        <v>175.0</v>
      </c>
      <c r="AM278" s="1">
        <v>130.0</v>
      </c>
      <c r="AN278" s="3">
        <v>47.0</v>
      </c>
      <c r="AO278" s="3">
        <v>160.0</v>
      </c>
      <c r="AP278" s="3">
        <v>70.0</v>
      </c>
      <c r="AQ278" s="3"/>
      <c r="AR278" s="1">
        <v>854.0</v>
      </c>
      <c r="AS278" s="1">
        <v>250.0</v>
      </c>
      <c r="AT278" s="1">
        <v>220.0</v>
      </c>
      <c r="AU278" s="3">
        <v>423.0</v>
      </c>
      <c r="AV278" s="1">
        <v>120.0</v>
      </c>
      <c r="AW278" s="3">
        <v>200.0</v>
      </c>
      <c r="AX278" s="3"/>
      <c r="AY278" s="3">
        <v>142.0</v>
      </c>
      <c r="AZ278" s="1">
        <v>40.0</v>
      </c>
      <c r="BA278" s="1"/>
      <c r="BB278" s="3">
        <v>402.0</v>
      </c>
      <c r="BC278" s="1">
        <v>150.0</v>
      </c>
      <c r="BD278" s="1">
        <v>190.0</v>
      </c>
      <c r="BE278" s="1">
        <v>80.0</v>
      </c>
      <c r="BF278" s="3">
        <v>328.0</v>
      </c>
      <c r="BG278" s="1">
        <v>213.0</v>
      </c>
      <c r="BH278" s="1">
        <v>23.0</v>
      </c>
      <c r="BI278" s="1">
        <v>40.0</v>
      </c>
      <c r="BJ278" s="1">
        <v>278.0</v>
      </c>
      <c r="BK278" s="3"/>
      <c r="BL278" s="1">
        <v>160.0</v>
      </c>
      <c r="BM278" s="1">
        <v>75.0</v>
      </c>
      <c r="BN278" s="32">
        <v>1802.0</v>
      </c>
      <c r="BO278" s="1">
        <v>47.0</v>
      </c>
      <c r="BP278" s="3">
        <v>48.0</v>
      </c>
      <c r="BQ278" s="1">
        <v>188.0</v>
      </c>
      <c r="BR278" s="27">
        <v>28381.0</v>
      </c>
    </row>
    <row r="279">
      <c r="A279" s="25">
        <f>'Equity Price Data'!A280</f>
        <v>45831.66667</v>
      </c>
      <c r="B279" s="34">
        <f>(('PRACTICE Equity Price Data'!B280/'PRACTICE Equity Price Data'!B279)-1)+B278</f>
        <v>0.1629497107</v>
      </c>
      <c r="C279" s="34">
        <f>(('PRACTICE Equity Price Data'!C280/'PRACTICE Equity Price Data'!C279)-1)+C278</f>
        <v>0.2148698942</v>
      </c>
      <c r="D279" s="34">
        <f>(('PRACTICE Equity Price Data'!D280/'PRACTICE Equity Price Data'!D279)-1)+D278</f>
        <v>0.09233862958</v>
      </c>
      <c r="E279" s="34">
        <f>(('PRACTICE Equity Price Data'!E280/'PRACTICE Equity Price Data'!E279)-1)+E278</f>
        <v>0.06492361158</v>
      </c>
      <c r="F279" s="3">
        <v>13.0</v>
      </c>
      <c r="G279" s="3">
        <v>260.0</v>
      </c>
      <c r="H279" s="3">
        <v>110.0</v>
      </c>
      <c r="I279" s="3">
        <v>256.0</v>
      </c>
      <c r="J279" s="3">
        <v>83.0</v>
      </c>
      <c r="K279" s="3">
        <v>188.0</v>
      </c>
      <c r="L279" s="3">
        <v>1000.0</v>
      </c>
      <c r="M279" s="3">
        <v>102.0</v>
      </c>
      <c r="N279" s="3">
        <v>200.0</v>
      </c>
      <c r="O279" s="3">
        <v>121.0</v>
      </c>
      <c r="P279" s="3"/>
      <c r="Q279" s="3">
        <v>80.0</v>
      </c>
      <c r="R279" s="3">
        <v>150.0</v>
      </c>
      <c r="S279" s="3">
        <v>417.0</v>
      </c>
      <c r="T279" s="3">
        <v>120.0</v>
      </c>
      <c r="U279" s="3">
        <v>80.0</v>
      </c>
      <c r="V279" s="1">
        <v>88.0</v>
      </c>
      <c r="W279" s="1">
        <v>250.0</v>
      </c>
      <c r="X279" s="1">
        <v>264.0</v>
      </c>
      <c r="Y279" s="1">
        <v>161.0</v>
      </c>
      <c r="Z279" s="1">
        <v>69.0</v>
      </c>
      <c r="AA279" s="3"/>
      <c r="AB279" s="1">
        <v>13.0</v>
      </c>
      <c r="AC279" s="1">
        <v>150.0</v>
      </c>
      <c r="AD279" s="1">
        <v>170.0</v>
      </c>
      <c r="AE279" s="1">
        <v>60.0</v>
      </c>
      <c r="AF279" s="1">
        <v>40.0</v>
      </c>
      <c r="AG279" s="1">
        <v>45.0</v>
      </c>
      <c r="AH279" s="1"/>
      <c r="AI279" s="1">
        <v>205.0</v>
      </c>
      <c r="AJ279" s="1">
        <v>60.0</v>
      </c>
      <c r="AK279" s="1">
        <v>100.0</v>
      </c>
      <c r="AL279" s="1">
        <v>175.0</v>
      </c>
      <c r="AM279" s="1">
        <v>130.0</v>
      </c>
      <c r="AN279" s="3">
        <v>47.0</v>
      </c>
      <c r="AO279" s="3">
        <v>160.0</v>
      </c>
      <c r="AP279" s="3">
        <v>70.0</v>
      </c>
      <c r="AQ279" s="3"/>
      <c r="AR279" s="1">
        <v>854.0</v>
      </c>
      <c r="AS279" s="1">
        <v>250.0</v>
      </c>
      <c r="AT279" s="1">
        <v>220.0</v>
      </c>
      <c r="AU279" s="3">
        <v>423.0</v>
      </c>
      <c r="AV279" s="1">
        <v>120.0</v>
      </c>
      <c r="AW279" s="3">
        <v>200.0</v>
      </c>
      <c r="AX279" s="3"/>
      <c r="AY279" s="3">
        <v>142.0</v>
      </c>
      <c r="AZ279" s="1">
        <v>40.0</v>
      </c>
      <c r="BA279" s="1"/>
      <c r="BB279" s="3">
        <v>402.0</v>
      </c>
      <c r="BC279" s="1">
        <v>150.0</v>
      </c>
      <c r="BD279" s="1">
        <v>190.0</v>
      </c>
      <c r="BE279" s="1">
        <v>80.0</v>
      </c>
      <c r="BF279" s="3">
        <v>328.0</v>
      </c>
      <c r="BG279" s="1">
        <v>213.0</v>
      </c>
      <c r="BH279" s="1">
        <v>23.0</v>
      </c>
      <c r="BI279" s="1">
        <v>40.0</v>
      </c>
      <c r="BJ279" s="1">
        <v>278.0</v>
      </c>
      <c r="BK279" s="3"/>
      <c r="BL279" s="1">
        <v>160.0</v>
      </c>
      <c r="BM279" s="1">
        <v>75.0</v>
      </c>
      <c r="BN279" s="32">
        <v>1802.0</v>
      </c>
      <c r="BO279" s="1">
        <v>47.0</v>
      </c>
      <c r="BP279" s="3">
        <v>48.0</v>
      </c>
      <c r="BQ279" s="1">
        <v>188.0</v>
      </c>
      <c r="BR279" s="27">
        <v>28381.0</v>
      </c>
    </row>
    <row r="280">
      <c r="A280" s="25">
        <f>'Equity Price Data'!A281</f>
        <v>45832.66667</v>
      </c>
      <c r="B280" s="34">
        <f>(('PRACTICE Equity Price Data'!B281/'PRACTICE Equity Price Data'!B280)-1)+B279</f>
        <v>0.1740713886</v>
      </c>
      <c r="C280" s="34">
        <f>(('PRACTICE Equity Price Data'!C281/'PRACTICE Equity Price Data'!C280)-1)+C279</f>
        <v>0.2292125375</v>
      </c>
      <c r="D280" s="34">
        <f>(('PRACTICE Equity Price Data'!D281/'PRACTICE Equity Price Data'!D280)-1)+D279</f>
        <v>0.1042507666</v>
      </c>
      <c r="E280" s="34">
        <f>(('PRACTICE Equity Price Data'!E281/'PRACTICE Equity Price Data'!E280)-1)+E279</f>
        <v>0.07830114595</v>
      </c>
      <c r="F280" s="3">
        <v>13.0</v>
      </c>
      <c r="G280" s="3">
        <v>260.0</v>
      </c>
      <c r="H280" s="3">
        <v>110.0</v>
      </c>
      <c r="I280" s="3">
        <v>256.0</v>
      </c>
      <c r="J280" s="3">
        <v>83.0</v>
      </c>
      <c r="K280" s="3">
        <v>188.0</v>
      </c>
      <c r="L280" s="3">
        <v>1000.0</v>
      </c>
      <c r="M280" s="3">
        <v>102.0</v>
      </c>
      <c r="N280" s="3">
        <v>200.0</v>
      </c>
      <c r="O280" s="3">
        <v>121.0</v>
      </c>
      <c r="P280" s="3"/>
      <c r="Q280" s="3">
        <v>80.0</v>
      </c>
      <c r="R280" s="3">
        <v>150.0</v>
      </c>
      <c r="S280" s="3">
        <v>417.0</v>
      </c>
      <c r="T280" s="3">
        <v>120.0</v>
      </c>
      <c r="U280" s="3">
        <v>80.0</v>
      </c>
      <c r="V280" s="1">
        <v>88.0</v>
      </c>
      <c r="W280" s="1">
        <v>250.0</v>
      </c>
      <c r="X280" s="1">
        <v>264.0</v>
      </c>
      <c r="Y280" s="1">
        <v>161.0</v>
      </c>
      <c r="Z280" s="1">
        <v>69.0</v>
      </c>
      <c r="AA280" s="3"/>
      <c r="AB280" s="1">
        <v>13.0</v>
      </c>
      <c r="AC280" s="1">
        <v>150.0</v>
      </c>
      <c r="AD280" s="1">
        <v>170.0</v>
      </c>
      <c r="AE280" s="1">
        <v>60.0</v>
      </c>
      <c r="AF280" s="1">
        <v>40.0</v>
      </c>
      <c r="AG280" s="1">
        <v>45.0</v>
      </c>
      <c r="AH280" s="1"/>
      <c r="AI280" s="1">
        <v>205.0</v>
      </c>
      <c r="AJ280" s="1">
        <v>60.0</v>
      </c>
      <c r="AK280" s="1">
        <v>100.0</v>
      </c>
      <c r="AL280" s="1">
        <v>175.0</v>
      </c>
      <c r="AM280" s="1">
        <v>130.0</v>
      </c>
      <c r="AN280" s="3">
        <v>47.0</v>
      </c>
      <c r="AO280" s="3">
        <v>160.0</v>
      </c>
      <c r="AP280" s="3">
        <v>70.0</v>
      </c>
      <c r="AQ280" s="3"/>
      <c r="AR280" s="1">
        <v>854.0</v>
      </c>
      <c r="AS280" s="1">
        <v>250.0</v>
      </c>
      <c r="AT280" s="1">
        <v>220.0</v>
      </c>
      <c r="AU280" s="3">
        <v>423.0</v>
      </c>
      <c r="AV280" s="1">
        <v>120.0</v>
      </c>
      <c r="AW280" s="3">
        <v>200.0</v>
      </c>
      <c r="AX280" s="3"/>
      <c r="AY280" s="3">
        <v>142.0</v>
      </c>
      <c r="AZ280" s="1">
        <v>40.0</v>
      </c>
      <c r="BA280" s="1"/>
      <c r="BB280" s="3">
        <v>402.0</v>
      </c>
      <c r="BC280" s="1">
        <v>150.0</v>
      </c>
      <c r="BD280" s="1">
        <v>190.0</v>
      </c>
      <c r="BE280" s="1">
        <v>80.0</v>
      </c>
      <c r="BF280" s="3">
        <v>328.0</v>
      </c>
      <c r="BG280" s="1">
        <v>213.0</v>
      </c>
      <c r="BH280" s="1">
        <v>23.0</v>
      </c>
      <c r="BI280" s="1">
        <v>40.0</v>
      </c>
      <c r="BJ280" s="1">
        <v>278.0</v>
      </c>
      <c r="BK280" s="3"/>
      <c r="BL280" s="1">
        <v>160.0</v>
      </c>
      <c r="BM280" s="1">
        <v>75.0</v>
      </c>
      <c r="BN280" s="32">
        <v>1802.0</v>
      </c>
      <c r="BO280" s="1">
        <v>47.0</v>
      </c>
      <c r="BP280" s="3">
        <v>48.0</v>
      </c>
      <c r="BQ280" s="1">
        <v>188.0</v>
      </c>
      <c r="BR280" s="27">
        <v>28381.0</v>
      </c>
    </row>
    <row r="281">
      <c r="A281" s="25">
        <f>'Equity Price Data'!A282</f>
        <v>45833.66667</v>
      </c>
      <c r="B281" s="34">
        <f>(('PRACTICE Equity Price Data'!B282/'PRACTICE Equity Price Data'!B281)-1)+B280</f>
        <v>0.1740681057</v>
      </c>
      <c r="C281" s="34">
        <f>(('PRACTICE Equity Price Data'!C282/'PRACTICE Equity Price Data'!C281)-1)+C280</f>
        <v>0.2322769397</v>
      </c>
      <c r="D281" s="34">
        <f>(('PRACTICE Equity Price Data'!D282/'PRACTICE Equity Price Data'!D281)-1)+D280</f>
        <v>0.1017770506</v>
      </c>
      <c r="E281" s="34">
        <f>(('PRACTICE Equity Price Data'!E282/'PRACTICE Equity Price Data'!E281)-1)+E280</f>
        <v>0.06671967076</v>
      </c>
      <c r="F281" s="3">
        <v>13.0</v>
      </c>
      <c r="G281" s="3">
        <v>260.0</v>
      </c>
      <c r="H281" s="3">
        <v>110.0</v>
      </c>
      <c r="I281" s="3">
        <v>256.0</v>
      </c>
      <c r="J281" s="3">
        <v>83.0</v>
      </c>
      <c r="K281" s="3">
        <v>188.0</v>
      </c>
      <c r="L281" s="3">
        <v>1000.0</v>
      </c>
      <c r="M281" s="3">
        <v>102.0</v>
      </c>
      <c r="N281" s="3">
        <v>200.0</v>
      </c>
      <c r="O281" s="3">
        <v>121.0</v>
      </c>
      <c r="P281" s="3"/>
      <c r="Q281" s="3">
        <v>80.0</v>
      </c>
      <c r="R281" s="3">
        <v>150.0</v>
      </c>
      <c r="S281" s="3">
        <v>417.0</v>
      </c>
      <c r="T281" s="3">
        <v>120.0</v>
      </c>
      <c r="U281" s="3">
        <v>80.0</v>
      </c>
      <c r="V281" s="1">
        <v>88.0</v>
      </c>
      <c r="W281" s="1">
        <v>250.0</v>
      </c>
      <c r="X281" s="1">
        <v>264.0</v>
      </c>
      <c r="Y281" s="1">
        <v>161.0</v>
      </c>
      <c r="Z281" s="1">
        <v>69.0</v>
      </c>
      <c r="AA281" s="3"/>
      <c r="AB281" s="1">
        <v>13.0</v>
      </c>
      <c r="AC281" s="1">
        <v>150.0</v>
      </c>
      <c r="AD281" s="1">
        <v>170.0</v>
      </c>
      <c r="AE281" s="1">
        <v>60.0</v>
      </c>
      <c r="AF281" s="1">
        <v>40.0</v>
      </c>
      <c r="AG281" s="1">
        <v>45.0</v>
      </c>
      <c r="AH281" s="1"/>
      <c r="AI281" s="1">
        <v>205.0</v>
      </c>
      <c r="AJ281" s="1">
        <v>60.0</v>
      </c>
      <c r="AK281" s="1">
        <v>100.0</v>
      </c>
      <c r="AL281" s="1">
        <v>175.0</v>
      </c>
      <c r="AM281" s="1">
        <v>130.0</v>
      </c>
      <c r="AN281" s="3">
        <v>47.0</v>
      </c>
      <c r="AO281" s="3">
        <v>160.0</v>
      </c>
      <c r="AP281" s="3">
        <v>70.0</v>
      </c>
      <c r="AQ281" s="3"/>
      <c r="AR281" s="1">
        <v>854.0</v>
      </c>
      <c r="AS281" s="1">
        <v>250.0</v>
      </c>
      <c r="AT281" s="1">
        <v>220.0</v>
      </c>
      <c r="AU281" s="3">
        <v>423.0</v>
      </c>
      <c r="AV281" s="1">
        <v>120.0</v>
      </c>
      <c r="AW281" s="3">
        <v>200.0</v>
      </c>
      <c r="AX281" s="3"/>
      <c r="AY281" s="3">
        <v>142.0</v>
      </c>
      <c r="AZ281" s="1">
        <v>40.0</v>
      </c>
      <c r="BA281" s="1"/>
      <c r="BB281" s="3">
        <v>402.0</v>
      </c>
      <c r="BC281" s="1">
        <v>150.0</v>
      </c>
      <c r="BD281" s="1">
        <v>190.0</v>
      </c>
      <c r="BE281" s="1">
        <v>80.0</v>
      </c>
      <c r="BF281" s="3">
        <v>328.0</v>
      </c>
      <c r="BG281" s="1">
        <v>213.0</v>
      </c>
      <c r="BH281" s="1">
        <v>23.0</v>
      </c>
      <c r="BI281" s="1">
        <v>40.0</v>
      </c>
      <c r="BJ281" s="1">
        <v>278.0</v>
      </c>
      <c r="BK281" s="3"/>
      <c r="BL281" s="1">
        <v>160.0</v>
      </c>
      <c r="BM281" s="1">
        <v>75.0</v>
      </c>
      <c r="BN281" s="32">
        <v>1802.0</v>
      </c>
      <c r="BO281" s="1">
        <v>47.0</v>
      </c>
      <c r="BP281" s="3">
        <v>48.0</v>
      </c>
      <c r="BQ281" s="1">
        <v>188.0</v>
      </c>
      <c r="BR281" s="27">
        <v>28381.0</v>
      </c>
    </row>
    <row r="282">
      <c r="A282" s="25">
        <f>'Equity Price Data'!A283</f>
        <v>45834.66667</v>
      </c>
      <c r="B282" s="34">
        <f>(('PRACTICE Equity Price Data'!B283/'PRACTICE Equity Price Data'!B282)-1)+B281</f>
        <v>0.1820882496</v>
      </c>
      <c r="C282" s="34">
        <f>(('PRACTICE Equity Price Data'!C283/'PRACTICE Equity Price Data'!C282)-1)+C281</f>
        <v>0.2420078088</v>
      </c>
      <c r="D282" s="34">
        <f>(('PRACTICE Equity Price Data'!D283/'PRACTICE Equity Price Data'!D282)-1)+D281</f>
        <v>0.1111857788</v>
      </c>
      <c r="E282" s="34">
        <f>(('PRACTICE Equity Price Data'!E283/'PRACTICE Equity Price Data'!E282)-1)+E281</f>
        <v>0.08353941442</v>
      </c>
      <c r="F282" s="3">
        <v>13.0</v>
      </c>
      <c r="G282" s="3">
        <v>260.0</v>
      </c>
      <c r="H282" s="3">
        <v>110.0</v>
      </c>
      <c r="I282" s="3">
        <v>256.0</v>
      </c>
      <c r="J282" s="3">
        <v>83.0</v>
      </c>
      <c r="K282" s="3">
        <v>188.0</v>
      </c>
      <c r="L282" s="3">
        <v>1000.0</v>
      </c>
      <c r="M282" s="3">
        <v>102.0</v>
      </c>
      <c r="N282" s="3">
        <v>200.0</v>
      </c>
      <c r="O282" s="3">
        <v>121.0</v>
      </c>
      <c r="P282" s="3"/>
      <c r="Q282" s="3">
        <v>80.0</v>
      </c>
      <c r="R282" s="3">
        <v>150.0</v>
      </c>
      <c r="S282" s="3">
        <v>417.0</v>
      </c>
      <c r="T282" s="3">
        <v>120.0</v>
      </c>
      <c r="U282" s="3">
        <v>80.0</v>
      </c>
      <c r="V282" s="1">
        <v>88.0</v>
      </c>
      <c r="W282" s="1">
        <v>250.0</v>
      </c>
      <c r="X282" s="1">
        <v>264.0</v>
      </c>
      <c r="Y282" s="1">
        <v>161.0</v>
      </c>
      <c r="Z282" s="1">
        <v>69.0</v>
      </c>
      <c r="AA282" s="3"/>
      <c r="AB282" s="1">
        <v>13.0</v>
      </c>
      <c r="AC282" s="1">
        <v>150.0</v>
      </c>
      <c r="AD282" s="1">
        <v>170.0</v>
      </c>
      <c r="AE282" s="1">
        <v>60.0</v>
      </c>
      <c r="AF282" s="1">
        <v>40.0</v>
      </c>
      <c r="AG282" s="1">
        <v>45.0</v>
      </c>
      <c r="AH282" s="1"/>
      <c r="AI282" s="1">
        <v>205.0</v>
      </c>
      <c r="AJ282" s="1">
        <v>60.0</v>
      </c>
      <c r="AK282" s="1">
        <v>100.0</v>
      </c>
      <c r="AL282" s="1">
        <v>175.0</v>
      </c>
      <c r="AM282" s="1">
        <v>130.0</v>
      </c>
      <c r="AN282" s="3">
        <v>47.0</v>
      </c>
      <c r="AO282" s="3">
        <v>160.0</v>
      </c>
      <c r="AP282" s="3">
        <v>70.0</v>
      </c>
      <c r="AQ282" s="3"/>
      <c r="AR282" s="1">
        <v>854.0</v>
      </c>
      <c r="AS282" s="1">
        <v>250.0</v>
      </c>
      <c r="AT282" s="1">
        <v>220.0</v>
      </c>
      <c r="AU282" s="3">
        <v>423.0</v>
      </c>
      <c r="AV282" s="1">
        <v>120.0</v>
      </c>
      <c r="AW282" s="3">
        <v>200.0</v>
      </c>
      <c r="AX282" s="3"/>
      <c r="AY282" s="3">
        <v>142.0</v>
      </c>
      <c r="AZ282" s="1">
        <v>40.0</v>
      </c>
      <c r="BA282" s="1"/>
      <c r="BB282" s="3">
        <v>402.0</v>
      </c>
      <c r="BC282" s="1">
        <v>150.0</v>
      </c>
      <c r="BD282" s="1">
        <v>190.0</v>
      </c>
      <c r="BE282" s="1">
        <v>80.0</v>
      </c>
      <c r="BF282" s="3">
        <v>328.0</v>
      </c>
      <c r="BG282" s="1">
        <v>213.0</v>
      </c>
      <c r="BH282" s="1">
        <v>23.0</v>
      </c>
      <c r="BI282" s="1">
        <v>40.0</v>
      </c>
      <c r="BJ282" s="1">
        <v>278.0</v>
      </c>
      <c r="BK282" s="3"/>
      <c r="BL282" s="1">
        <v>160.0</v>
      </c>
      <c r="BM282" s="1">
        <v>75.0</v>
      </c>
      <c r="BN282" s="32">
        <v>1802.0</v>
      </c>
      <c r="BO282" s="1">
        <v>47.0</v>
      </c>
      <c r="BP282" s="3">
        <v>48.0</v>
      </c>
      <c r="BQ282" s="1">
        <v>188.0</v>
      </c>
      <c r="BR282" s="27">
        <v>28381.0</v>
      </c>
    </row>
    <row r="283">
      <c r="A283" s="25">
        <f>'Equity Price Data'!A284</f>
        <v>45835.66667</v>
      </c>
      <c r="B283" s="34">
        <f>(('PRACTICE Equity Price Data'!B284/'PRACTICE Equity Price Data'!B283)-1)+B282</f>
        <v>0.1873072523</v>
      </c>
      <c r="C283" s="34">
        <f>(('PRACTICE Equity Price Data'!C284/'PRACTICE Equity Price Data'!C283)-1)+C282</f>
        <v>0.2472413704</v>
      </c>
      <c r="D283" s="34">
        <f>(('PRACTICE Equity Price Data'!D284/'PRACTICE Equity Price Data'!D283)-1)+D282</f>
        <v>0.1211526259</v>
      </c>
      <c r="E283" s="34">
        <f>(('PRACTICE Equity Price Data'!E284/'PRACTICE Equity Price Data'!E283)-1)+E282</f>
        <v>0.08373277479</v>
      </c>
      <c r="F283" s="3">
        <v>13.0</v>
      </c>
      <c r="G283" s="3">
        <v>260.0</v>
      </c>
      <c r="H283" s="3">
        <v>110.0</v>
      </c>
      <c r="I283" s="3">
        <v>256.0</v>
      </c>
      <c r="J283" s="3">
        <v>83.0</v>
      </c>
      <c r="K283" s="3">
        <v>188.0</v>
      </c>
      <c r="L283" s="3">
        <v>1000.0</v>
      </c>
      <c r="M283" s="3">
        <v>102.0</v>
      </c>
      <c r="N283" s="3">
        <v>200.0</v>
      </c>
      <c r="O283" s="3">
        <v>121.0</v>
      </c>
      <c r="P283" s="3"/>
      <c r="Q283" s="3">
        <v>80.0</v>
      </c>
      <c r="R283" s="3">
        <v>150.0</v>
      </c>
      <c r="S283" s="3">
        <v>417.0</v>
      </c>
      <c r="T283" s="3">
        <v>120.0</v>
      </c>
      <c r="U283" s="3">
        <v>80.0</v>
      </c>
      <c r="V283" s="1">
        <v>88.0</v>
      </c>
      <c r="W283" s="1">
        <v>250.0</v>
      </c>
      <c r="X283" s="1">
        <v>264.0</v>
      </c>
      <c r="Y283" s="1">
        <v>161.0</v>
      </c>
      <c r="Z283" s="1">
        <v>69.0</v>
      </c>
      <c r="AA283" s="3"/>
      <c r="AB283" s="1">
        <v>13.0</v>
      </c>
      <c r="AC283" s="1">
        <v>150.0</v>
      </c>
      <c r="AD283" s="1">
        <v>170.0</v>
      </c>
      <c r="AE283" s="1">
        <v>60.0</v>
      </c>
      <c r="AF283" s="1">
        <v>40.0</v>
      </c>
      <c r="AG283" s="1">
        <v>45.0</v>
      </c>
      <c r="AH283" s="1"/>
      <c r="AI283" s="1">
        <v>205.0</v>
      </c>
      <c r="AJ283" s="1">
        <v>60.0</v>
      </c>
      <c r="AK283" s="1">
        <v>100.0</v>
      </c>
      <c r="AL283" s="1">
        <v>175.0</v>
      </c>
      <c r="AM283" s="1">
        <v>130.0</v>
      </c>
      <c r="AN283" s="3">
        <v>47.0</v>
      </c>
      <c r="AO283" s="3">
        <v>160.0</v>
      </c>
      <c r="AP283" s="3">
        <v>70.0</v>
      </c>
      <c r="AQ283" s="3"/>
      <c r="AR283" s="1">
        <v>854.0</v>
      </c>
      <c r="AS283" s="1">
        <v>250.0</v>
      </c>
      <c r="AT283" s="1">
        <v>220.0</v>
      </c>
      <c r="AU283" s="3">
        <v>423.0</v>
      </c>
      <c r="AV283" s="1">
        <v>120.0</v>
      </c>
      <c r="AW283" s="3">
        <v>200.0</v>
      </c>
      <c r="AX283" s="3"/>
      <c r="AY283" s="3">
        <v>142.0</v>
      </c>
      <c r="AZ283" s="1">
        <v>40.0</v>
      </c>
      <c r="BA283" s="1"/>
      <c r="BB283" s="3">
        <v>402.0</v>
      </c>
      <c r="BC283" s="1">
        <v>150.0</v>
      </c>
      <c r="BD283" s="1">
        <v>190.0</v>
      </c>
      <c r="BE283" s="1">
        <v>80.0</v>
      </c>
      <c r="BF283" s="3">
        <v>328.0</v>
      </c>
      <c r="BG283" s="1">
        <v>213.0</v>
      </c>
      <c r="BH283" s="1">
        <v>23.0</v>
      </c>
      <c r="BI283" s="1">
        <v>40.0</v>
      </c>
      <c r="BJ283" s="1">
        <v>278.0</v>
      </c>
      <c r="BK283" s="3"/>
      <c r="BL283" s="1">
        <v>160.0</v>
      </c>
      <c r="BM283" s="1">
        <v>75.0</v>
      </c>
      <c r="BN283" s="32">
        <v>1802.0</v>
      </c>
      <c r="BO283" s="1">
        <v>47.0</v>
      </c>
      <c r="BP283" s="3">
        <v>48.0</v>
      </c>
      <c r="BQ283" s="1">
        <v>188.0</v>
      </c>
      <c r="BR283" s="27">
        <v>28381.0</v>
      </c>
    </row>
    <row r="284">
      <c r="A284" s="25">
        <f>'Equity Price Data'!A285</f>
        <v>45838.66667</v>
      </c>
      <c r="B284" s="34">
        <f>(('PRACTICE Equity Price Data'!B285/'PRACTICE Equity Price Data'!B284)-1)+B283</f>
        <v>0.1924716195</v>
      </c>
      <c r="C284" s="34">
        <f>(('PRACTICE Equity Price Data'!C285/'PRACTICE Equity Price Data'!C284)-1)+C283</f>
        <v>0.2519899432</v>
      </c>
      <c r="D284" s="34">
        <f>(('PRACTICE Equity Price Data'!D285/'PRACTICE Equity Price Data'!D284)-1)+D283</f>
        <v>0.1274398141</v>
      </c>
      <c r="E284" s="34">
        <f>(('PRACTICE Equity Price Data'!E285/'PRACTICE Equity Price Data'!E284)-1)+E283</f>
        <v>0.08488810981</v>
      </c>
      <c r="F284" s="3">
        <v>13.0</v>
      </c>
      <c r="G284" s="3">
        <v>260.0</v>
      </c>
      <c r="H284" s="3">
        <v>110.0</v>
      </c>
      <c r="I284" s="3">
        <v>256.0</v>
      </c>
      <c r="J284" s="3">
        <v>83.0</v>
      </c>
      <c r="K284" s="3">
        <v>188.0</v>
      </c>
      <c r="L284" s="3">
        <v>1000.0</v>
      </c>
      <c r="M284" s="3">
        <v>102.0</v>
      </c>
      <c r="N284" s="3">
        <v>200.0</v>
      </c>
      <c r="O284" s="3">
        <v>121.0</v>
      </c>
      <c r="P284" s="3"/>
      <c r="Q284" s="3">
        <v>80.0</v>
      </c>
      <c r="R284" s="3">
        <v>150.0</v>
      </c>
      <c r="S284" s="3">
        <v>417.0</v>
      </c>
      <c r="T284" s="3">
        <v>120.0</v>
      </c>
      <c r="U284" s="3">
        <v>80.0</v>
      </c>
      <c r="V284" s="1">
        <v>88.0</v>
      </c>
      <c r="W284" s="1">
        <v>250.0</v>
      </c>
      <c r="X284" s="1">
        <v>264.0</v>
      </c>
      <c r="Y284" s="1">
        <v>161.0</v>
      </c>
      <c r="Z284" s="1">
        <v>69.0</v>
      </c>
      <c r="AA284" s="3"/>
      <c r="AB284" s="1">
        <v>13.0</v>
      </c>
      <c r="AC284" s="1">
        <v>150.0</v>
      </c>
      <c r="AD284" s="1">
        <v>170.0</v>
      </c>
      <c r="AE284" s="1">
        <v>60.0</v>
      </c>
      <c r="AF284" s="1">
        <v>40.0</v>
      </c>
      <c r="AG284" s="1">
        <v>45.0</v>
      </c>
      <c r="AH284" s="1"/>
      <c r="AI284" s="1">
        <v>205.0</v>
      </c>
      <c r="AJ284" s="1">
        <v>60.0</v>
      </c>
      <c r="AK284" s="1">
        <v>100.0</v>
      </c>
      <c r="AL284" s="1">
        <v>175.0</v>
      </c>
      <c r="AM284" s="1">
        <v>130.0</v>
      </c>
      <c r="AN284" s="3">
        <v>47.0</v>
      </c>
      <c r="AO284" s="3">
        <v>160.0</v>
      </c>
      <c r="AP284" s="3">
        <v>70.0</v>
      </c>
      <c r="AQ284" s="3"/>
      <c r="AR284" s="1">
        <v>854.0</v>
      </c>
      <c r="AS284" s="1">
        <v>250.0</v>
      </c>
      <c r="AT284" s="1">
        <v>220.0</v>
      </c>
      <c r="AU284" s="3">
        <v>423.0</v>
      </c>
      <c r="AV284" s="1">
        <v>120.0</v>
      </c>
      <c r="AW284" s="3">
        <v>200.0</v>
      </c>
      <c r="AX284" s="3"/>
      <c r="AY284" s="3">
        <v>142.0</v>
      </c>
      <c r="AZ284" s="1">
        <v>40.0</v>
      </c>
      <c r="BA284" s="1"/>
      <c r="BB284" s="3">
        <v>402.0</v>
      </c>
      <c r="BC284" s="1">
        <v>150.0</v>
      </c>
      <c r="BD284" s="1">
        <v>190.0</v>
      </c>
      <c r="BE284" s="1">
        <v>80.0</v>
      </c>
      <c r="BF284" s="3">
        <v>328.0</v>
      </c>
      <c r="BG284" s="1">
        <v>213.0</v>
      </c>
      <c r="BH284" s="1">
        <v>23.0</v>
      </c>
      <c r="BI284" s="1">
        <v>40.0</v>
      </c>
      <c r="BJ284" s="1">
        <v>278.0</v>
      </c>
      <c r="BK284" s="3"/>
      <c r="BL284" s="1">
        <v>160.0</v>
      </c>
      <c r="BM284" s="1">
        <v>75.0</v>
      </c>
      <c r="BN284" s="32">
        <v>1802.0</v>
      </c>
      <c r="BO284" s="1">
        <v>47.0</v>
      </c>
      <c r="BP284" s="3">
        <v>48.0</v>
      </c>
      <c r="BQ284" s="1">
        <v>188.0</v>
      </c>
      <c r="BR284" s="27">
        <v>28381.0</v>
      </c>
    </row>
    <row r="285">
      <c r="A285" s="25">
        <f>'Equity Price Data'!A286</f>
        <v>45839.66667</v>
      </c>
      <c r="B285" s="34">
        <f>(('PRACTICE Equity Price Data'!B286/'PRACTICE Equity Price Data'!B285)-1)+B284</f>
        <v>0.1913531576</v>
      </c>
      <c r="C285" s="34">
        <f>(('PRACTICE Equity Price Data'!C286/'PRACTICE Equity Price Data'!C285)-1)+C284</f>
        <v>0.2437993584</v>
      </c>
      <c r="D285" s="34">
        <f>(('PRACTICE Equity Price Data'!D286/'PRACTICE Equity Price Data'!D285)-1)+D284</f>
        <v>0.1365150401</v>
      </c>
      <c r="E285" s="34">
        <f>(('PRACTICE Equity Price Data'!E286/'PRACTICE Equity Price Data'!E285)-1)+E284</f>
        <v>0.09523274715</v>
      </c>
      <c r="F285" s="3">
        <v>13.0</v>
      </c>
      <c r="G285" s="3">
        <v>260.0</v>
      </c>
      <c r="H285" s="3">
        <v>110.0</v>
      </c>
      <c r="I285" s="3">
        <v>256.0</v>
      </c>
      <c r="J285" s="3">
        <v>83.0</v>
      </c>
      <c r="K285" s="3">
        <v>188.0</v>
      </c>
      <c r="L285" s="3">
        <v>1000.0</v>
      </c>
      <c r="M285" s="3">
        <v>102.0</v>
      </c>
      <c r="N285" s="3">
        <v>200.0</v>
      </c>
      <c r="O285" s="3">
        <v>121.0</v>
      </c>
      <c r="P285" s="3"/>
      <c r="Q285" s="3">
        <v>80.0</v>
      </c>
      <c r="R285" s="3">
        <v>150.0</v>
      </c>
      <c r="S285" s="3">
        <v>417.0</v>
      </c>
      <c r="T285" s="3">
        <v>120.0</v>
      </c>
      <c r="U285" s="3">
        <v>80.0</v>
      </c>
      <c r="V285" s="1">
        <v>88.0</v>
      </c>
      <c r="W285" s="1">
        <v>250.0</v>
      </c>
      <c r="X285" s="1">
        <v>264.0</v>
      </c>
      <c r="Y285" s="1">
        <v>161.0</v>
      </c>
      <c r="Z285" s="1">
        <v>69.0</v>
      </c>
      <c r="AA285" s="3"/>
      <c r="AB285" s="1">
        <v>13.0</v>
      </c>
      <c r="AC285" s="1">
        <v>150.0</v>
      </c>
      <c r="AD285" s="1">
        <v>170.0</v>
      </c>
      <c r="AE285" s="1">
        <v>60.0</v>
      </c>
      <c r="AF285" s="1">
        <v>40.0</v>
      </c>
      <c r="AG285" s="1">
        <v>45.0</v>
      </c>
      <c r="AH285" s="1"/>
      <c r="AI285" s="1">
        <v>205.0</v>
      </c>
      <c r="AJ285" s="1">
        <v>60.0</v>
      </c>
      <c r="AK285" s="1">
        <v>100.0</v>
      </c>
      <c r="AL285" s="1">
        <v>175.0</v>
      </c>
      <c r="AM285" s="1">
        <v>130.0</v>
      </c>
      <c r="AN285" s="3">
        <v>47.0</v>
      </c>
      <c r="AO285" s="3">
        <v>160.0</v>
      </c>
      <c r="AP285" s="3">
        <v>70.0</v>
      </c>
      <c r="AQ285" s="3"/>
      <c r="AR285" s="1">
        <v>854.0</v>
      </c>
      <c r="AS285" s="1">
        <v>250.0</v>
      </c>
      <c r="AT285" s="1">
        <v>220.0</v>
      </c>
      <c r="AU285" s="3">
        <v>423.0</v>
      </c>
      <c r="AV285" s="1">
        <v>120.0</v>
      </c>
      <c r="AW285" s="3">
        <v>200.0</v>
      </c>
      <c r="AX285" s="3"/>
      <c r="AY285" s="3">
        <v>142.0</v>
      </c>
      <c r="AZ285" s="1">
        <v>40.0</v>
      </c>
      <c r="BA285" s="1"/>
      <c r="BB285" s="3">
        <v>402.0</v>
      </c>
      <c r="BC285" s="1">
        <v>150.0</v>
      </c>
      <c r="BD285" s="1">
        <v>190.0</v>
      </c>
      <c r="BE285" s="1">
        <v>80.0</v>
      </c>
      <c r="BF285" s="3">
        <v>328.0</v>
      </c>
      <c r="BG285" s="1">
        <v>213.0</v>
      </c>
      <c r="BH285" s="1">
        <v>23.0</v>
      </c>
      <c r="BI285" s="1">
        <v>40.0</v>
      </c>
      <c r="BJ285" s="1">
        <v>278.0</v>
      </c>
      <c r="BK285" s="3"/>
      <c r="BL285" s="1">
        <v>160.0</v>
      </c>
      <c r="BM285" s="1">
        <v>75.0</v>
      </c>
      <c r="BN285" s="32">
        <v>1802.0</v>
      </c>
      <c r="BO285" s="1">
        <v>47.0</v>
      </c>
      <c r="BP285" s="3">
        <v>48.0</v>
      </c>
      <c r="BQ285" s="1">
        <v>188.0</v>
      </c>
      <c r="BR285" s="27">
        <v>28381.0</v>
      </c>
    </row>
    <row r="286">
      <c r="A286" s="25">
        <f>'Equity Price Data'!A287</f>
        <v>45840.66667</v>
      </c>
      <c r="B286" s="34">
        <f>(('PRACTICE Equity Price Data'!B287/'PRACTICE Equity Price Data'!B286)-1)+B285</f>
        <v>0.196098229</v>
      </c>
      <c r="C286" s="34">
        <f>(('PRACTICE Equity Price Data'!C287/'PRACTICE Equity Price Data'!C286)-1)+C285</f>
        <v>0.253215833</v>
      </c>
      <c r="D286" s="34">
        <f>(('PRACTICE Equity Price Data'!D287/'PRACTICE Equity Price Data'!D286)-1)+D285</f>
        <v>0.1362786087</v>
      </c>
      <c r="E286" s="34">
        <f>(('PRACTICE Equity Price Data'!E287/'PRACTICE Equity Price Data'!E286)-1)+E285</f>
        <v>0.1083565128</v>
      </c>
      <c r="F286" s="3">
        <v>13.0</v>
      </c>
      <c r="G286" s="3">
        <v>260.0</v>
      </c>
      <c r="H286" s="3">
        <v>110.0</v>
      </c>
      <c r="I286" s="3">
        <v>256.0</v>
      </c>
      <c r="J286" s="3">
        <v>83.0</v>
      </c>
      <c r="K286" s="3">
        <v>188.0</v>
      </c>
      <c r="L286" s="3">
        <v>1000.0</v>
      </c>
      <c r="M286" s="3">
        <v>102.0</v>
      </c>
      <c r="N286" s="3">
        <v>200.0</v>
      </c>
      <c r="O286" s="3">
        <v>121.0</v>
      </c>
      <c r="P286" s="3"/>
      <c r="Q286" s="3">
        <v>80.0</v>
      </c>
      <c r="R286" s="3">
        <v>150.0</v>
      </c>
      <c r="S286" s="3">
        <v>417.0</v>
      </c>
      <c r="T286" s="3">
        <v>120.0</v>
      </c>
      <c r="U286" s="3">
        <v>80.0</v>
      </c>
      <c r="V286" s="1">
        <v>88.0</v>
      </c>
      <c r="W286" s="1">
        <v>250.0</v>
      </c>
      <c r="X286" s="1">
        <v>264.0</v>
      </c>
      <c r="Y286" s="1">
        <v>161.0</v>
      </c>
      <c r="Z286" s="1">
        <v>69.0</v>
      </c>
      <c r="AA286" s="3"/>
      <c r="AB286" s="1">
        <v>13.0</v>
      </c>
      <c r="AC286" s="1">
        <v>150.0</v>
      </c>
      <c r="AD286" s="1">
        <v>170.0</v>
      </c>
      <c r="AE286" s="1">
        <v>60.0</v>
      </c>
      <c r="AF286" s="1">
        <v>40.0</v>
      </c>
      <c r="AG286" s="1">
        <v>45.0</v>
      </c>
      <c r="AH286" s="1"/>
      <c r="AI286" s="1">
        <v>205.0</v>
      </c>
      <c r="AJ286" s="1">
        <v>60.0</v>
      </c>
      <c r="AK286" s="1">
        <v>100.0</v>
      </c>
      <c r="AL286" s="1">
        <v>175.0</v>
      </c>
      <c r="AM286" s="1">
        <v>130.0</v>
      </c>
      <c r="AN286" s="3">
        <v>47.0</v>
      </c>
      <c r="AO286" s="3">
        <v>160.0</v>
      </c>
      <c r="AP286" s="3">
        <v>70.0</v>
      </c>
      <c r="AQ286" s="3"/>
      <c r="AR286" s="1">
        <v>854.0</v>
      </c>
      <c r="AS286" s="1">
        <v>250.0</v>
      </c>
      <c r="AT286" s="1">
        <v>220.0</v>
      </c>
      <c r="AU286" s="3">
        <v>423.0</v>
      </c>
      <c r="AV286" s="1">
        <v>120.0</v>
      </c>
      <c r="AW286" s="3">
        <v>200.0</v>
      </c>
      <c r="AX286" s="3"/>
      <c r="AY286" s="3">
        <v>142.0</v>
      </c>
      <c r="AZ286" s="1">
        <v>40.0</v>
      </c>
      <c r="BA286" s="1"/>
      <c r="BB286" s="3">
        <v>402.0</v>
      </c>
      <c r="BC286" s="1">
        <v>150.0</v>
      </c>
      <c r="BD286" s="1">
        <v>190.0</v>
      </c>
      <c r="BE286" s="1">
        <v>80.0</v>
      </c>
      <c r="BF286" s="3">
        <v>328.0</v>
      </c>
      <c r="BG286" s="1">
        <v>213.0</v>
      </c>
      <c r="BH286" s="1">
        <v>23.0</v>
      </c>
      <c r="BI286" s="1">
        <v>40.0</v>
      </c>
      <c r="BJ286" s="1">
        <v>278.0</v>
      </c>
      <c r="BK286" s="3"/>
      <c r="BL286" s="1">
        <v>160.0</v>
      </c>
      <c r="BM286" s="1">
        <v>75.0</v>
      </c>
      <c r="BN286" s="32">
        <v>1802.0</v>
      </c>
      <c r="BO286" s="1">
        <v>47.0</v>
      </c>
      <c r="BP286" s="3">
        <v>48.0</v>
      </c>
      <c r="BQ286" s="1">
        <v>188.0</v>
      </c>
      <c r="BR286" s="27">
        <v>28381.0</v>
      </c>
    </row>
    <row r="287">
      <c r="A287" s="25">
        <f>'Equity Price Data'!A288</f>
        <v>45841.54514</v>
      </c>
      <c r="B287" s="34">
        <f>(('PRACTICE Equity Price Data'!B288/'PRACTICE Equity Price Data'!B287)-1)+B286</f>
        <v>0.2044371559</v>
      </c>
      <c r="C287" s="34">
        <f>(('PRACTICE Equity Price Data'!C288/'PRACTICE Equity Price Data'!C287)-1)+C286</f>
        <v>0.2634138752</v>
      </c>
      <c r="D287" s="34">
        <f>(('PRACTICE Equity Price Data'!D288/'PRACTICE Equity Price Data'!D287)-1)+D286</f>
        <v>0.144014126</v>
      </c>
      <c r="E287" s="34">
        <f>(('PRACTICE Equity Price Data'!E288/'PRACTICE Equity Price Data'!E287)-1)+E286</f>
        <v>0.1185344699</v>
      </c>
      <c r="F287" s="3">
        <v>13.0</v>
      </c>
      <c r="G287" s="3">
        <v>260.0</v>
      </c>
      <c r="H287" s="3">
        <v>110.0</v>
      </c>
      <c r="I287" s="3">
        <v>256.0</v>
      </c>
      <c r="J287" s="3">
        <v>83.0</v>
      </c>
      <c r="K287" s="3">
        <v>188.0</v>
      </c>
      <c r="L287" s="3">
        <v>1000.0</v>
      </c>
      <c r="M287" s="3">
        <v>102.0</v>
      </c>
      <c r="N287" s="3">
        <v>200.0</v>
      </c>
      <c r="O287" s="3">
        <v>121.0</v>
      </c>
      <c r="P287" s="3"/>
      <c r="Q287" s="3">
        <v>80.0</v>
      </c>
      <c r="R287" s="3">
        <v>150.0</v>
      </c>
      <c r="S287" s="3">
        <v>417.0</v>
      </c>
      <c r="T287" s="3">
        <v>120.0</v>
      </c>
      <c r="U287" s="3">
        <v>80.0</v>
      </c>
      <c r="V287" s="1">
        <v>88.0</v>
      </c>
      <c r="W287" s="1">
        <v>250.0</v>
      </c>
      <c r="X287" s="1">
        <v>264.0</v>
      </c>
      <c r="Y287" s="1">
        <v>161.0</v>
      </c>
      <c r="Z287" s="1">
        <v>69.0</v>
      </c>
      <c r="AA287" s="3"/>
      <c r="AB287" s="1">
        <v>13.0</v>
      </c>
      <c r="AC287" s="1">
        <v>150.0</v>
      </c>
      <c r="AD287" s="1">
        <v>170.0</v>
      </c>
      <c r="AE287" s="1">
        <v>60.0</v>
      </c>
      <c r="AF287" s="1">
        <v>40.0</v>
      </c>
      <c r="AG287" s="1">
        <v>45.0</v>
      </c>
      <c r="AH287" s="1"/>
      <c r="AI287" s="1">
        <v>205.0</v>
      </c>
      <c r="AJ287" s="1">
        <v>60.0</v>
      </c>
      <c r="AK287" s="1">
        <v>100.0</v>
      </c>
      <c r="AL287" s="1">
        <v>175.0</v>
      </c>
      <c r="AM287" s="1">
        <v>130.0</v>
      </c>
      <c r="AN287" s="3">
        <v>47.0</v>
      </c>
      <c r="AO287" s="3">
        <v>160.0</v>
      </c>
      <c r="AP287" s="3">
        <v>70.0</v>
      </c>
      <c r="AQ287" s="3"/>
      <c r="AR287" s="1">
        <v>854.0</v>
      </c>
      <c r="AS287" s="1">
        <v>250.0</v>
      </c>
      <c r="AT287" s="1">
        <v>220.0</v>
      </c>
      <c r="AU287" s="3">
        <v>423.0</v>
      </c>
      <c r="AV287" s="1">
        <v>120.0</v>
      </c>
      <c r="AW287" s="3">
        <v>200.0</v>
      </c>
      <c r="AX287" s="3"/>
      <c r="AY287" s="3">
        <v>142.0</v>
      </c>
      <c r="AZ287" s="1">
        <v>40.0</v>
      </c>
      <c r="BA287" s="1"/>
      <c r="BB287" s="3">
        <v>402.0</v>
      </c>
      <c r="BC287" s="1">
        <v>150.0</v>
      </c>
      <c r="BD287" s="1">
        <v>190.0</v>
      </c>
      <c r="BE287" s="1">
        <v>80.0</v>
      </c>
      <c r="BF287" s="3">
        <v>328.0</v>
      </c>
      <c r="BG287" s="1">
        <v>213.0</v>
      </c>
      <c r="BH287" s="1">
        <v>23.0</v>
      </c>
      <c r="BI287" s="1">
        <v>40.0</v>
      </c>
      <c r="BJ287" s="1">
        <v>278.0</v>
      </c>
      <c r="BK287" s="3"/>
      <c r="BL287" s="1">
        <v>160.0</v>
      </c>
      <c r="BM287" s="1">
        <v>75.0</v>
      </c>
      <c r="BN287" s="32">
        <v>1802.0</v>
      </c>
      <c r="BO287" s="1">
        <v>47.0</v>
      </c>
      <c r="BP287" s="3">
        <v>48.0</v>
      </c>
      <c r="BQ287" s="1">
        <v>188.0</v>
      </c>
      <c r="BR287" s="27">
        <v>28381.0</v>
      </c>
    </row>
    <row r="288">
      <c r="A288" s="25">
        <f>'Equity Price Data'!A289</f>
        <v>45845.66667</v>
      </c>
      <c r="B288" s="34">
        <f>(('PRACTICE Equity Price Data'!B289/'PRACTICE Equity Price Data'!B288)-1)+B287</f>
        <v>0.1965748771</v>
      </c>
      <c r="C288" s="34">
        <f>(('PRACTICE Equity Price Data'!C289/'PRACTICE Equity Price Data'!C288)-1)+C287</f>
        <v>0.254259995</v>
      </c>
      <c r="D288" s="34">
        <f>(('PRACTICE Equity Price Data'!D289/'PRACTICE Equity Price Data'!D288)-1)+D287</f>
        <v>0.1345966858</v>
      </c>
      <c r="E288" s="34">
        <f>(('PRACTICE Equity Price Data'!E289/'PRACTICE Equity Price Data'!E288)-1)+E287</f>
        <v>0.1030567549</v>
      </c>
      <c r="F288" s="3">
        <v>13.0</v>
      </c>
      <c r="G288" s="3">
        <v>260.0</v>
      </c>
      <c r="H288" s="3">
        <v>110.0</v>
      </c>
      <c r="I288" s="3">
        <v>256.0</v>
      </c>
      <c r="J288" s="3">
        <v>83.0</v>
      </c>
      <c r="K288" s="3">
        <v>188.0</v>
      </c>
      <c r="L288" s="3">
        <v>1000.0</v>
      </c>
      <c r="M288" s="3">
        <v>102.0</v>
      </c>
      <c r="N288" s="3">
        <v>200.0</v>
      </c>
      <c r="O288" s="3">
        <v>121.0</v>
      </c>
      <c r="P288" s="3"/>
      <c r="Q288" s="3">
        <v>80.0</v>
      </c>
      <c r="R288" s="3">
        <v>150.0</v>
      </c>
      <c r="S288" s="3">
        <v>417.0</v>
      </c>
      <c r="T288" s="3">
        <v>120.0</v>
      </c>
      <c r="U288" s="3">
        <v>80.0</v>
      </c>
      <c r="V288" s="1">
        <v>88.0</v>
      </c>
      <c r="W288" s="1">
        <v>250.0</v>
      </c>
      <c r="X288" s="1">
        <v>264.0</v>
      </c>
      <c r="Y288" s="1">
        <v>161.0</v>
      </c>
      <c r="Z288" s="1">
        <v>69.0</v>
      </c>
      <c r="AA288" s="3"/>
      <c r="AB288" s="1">
        <v>13.0</v>
      </c>
      <c r="AC288" s="1">
        <v>150.0</v>
      </c>
      <c r="AD288" s="1">
        <v>170.0</v>
      </c>
      <c r="AE288" s="1">
        <v>60.0</v>
      </c>
      <c r="AF288" s="1">
        <v>40.0</v>
      </c>
      <c r="AG288" s="1">
        <v>45.0</v>
      </c>
      <c r="AH288" s="1"/>
      <c r="AI288" s="1">
        <v>205.0</v>
      </c>
      <c r="AJ288" s="1">
        <v>60.0</v>
      </c>
      <c r="AK288" s="1">
        <v>100.0</v>
      </c>
      <c r="AL288" s="1">
        <v>175.0</v>
      </c>
      <c r="AM288" s="1">
        <v>130.0</v>
      </c>
      <c r="AN288" s="3">
        <v>47.0</v>
      </c>
      <c r="AO288" s="3">
        <v>160.0</v>
      </c>
      <c r="AP288" s="3">
        <v>70.0</v>
      </c>
      <c r="AQ288" s="3"/>
      <c r="AR288" s="1">
        <v>854.0</v>
      </c>
      <c r="AS288" s="1">
        <v>250.0</v>
      </c>
      <c r="AT288" s="1">
        <v>220.0</v>
      </c>
      <c r="AU288" s="3">
        <v>423.0</v>
      </c>
      <c r="AV288" s="1">
        <v>120.0</v>
      </c>
      <c r="AW288" s="3">
        <v>200.0</v>
      </c>
      <c r="AX288" s="3"/>
      <c r="AY288" s="3">
        <v>142.0</v>
      </c>
      <c r="AZ288" s="1">
        <v>40.0</v>
      </c>
      <c r="BA288" s="1"/>
      <c r="BB288" s="3">
        <v>402.0</v>
      </c>
      <c r="BC288" s="1">
        <v>150.0</v>
      </c>
      <c r="BD288" s="1">
        <v>190.0</v>
      </c>
      <c r="BE288" s="1">
        <v>80.0</v>
      </c>
      <c r="BF288" s="3">
        <v>328.0</v>
      </c>
      <c r="BG288" s="1">
        <v>213.0</v>
      </c>
      <c r="BH288" s="1">
        <v>23.0</v>
      </c>
      <c r="BI288" s="1">
        <v>40.0</v>
      </c>
      <c r="BJ288" s="1">
        <v>278.0</v>
      </c>
      <c r="BK288" s="3"/>
      <c r="BL288" s="1">
        <v>160.0</v>
      </c>
      <c r="BM288" s="1">
        <v>75.0</v>
      </c>
      <c r="BN288" s="32">
        <v>1802.0</v>
      </c>
      <c r="BO288" s="1">
        <v>47.0</v>
      </c>
      <c r="BP288" s="3">
        <v>48.0</v>
      </c>
      <c r="BQ288" s="1">
        <v>188.0</v>
      </c>
      <c r="BR288" s="27">
        <v>28381.0</v>
      </c>
    </row>
    <row r="289">
      <c r="A289" s="25">
        <f>'Equity Price Data'!A290</f>
        <v>45846.66667</v>
      </c>
      <c r="B289" s="34">
        <f>(('PRACTICE Equity Price Data'!B290/'PRACTICE Equity Price Data'!B289)-1)+B288</f>
        <v>0.195858984</v>
      </c>
      <c r="C289" s="34">
        <f>(('PRACTICE Equity Price Data'!C290/'PRACTICE Equity Price Data'!C289)-1)+C288</f>
        <v>0.2545509929</v>
      </c>
      <c r="D289" s="34">
        <f>(('PRACTICE Equity Price Data'!D290/'PRACTICE Equity Price Data'!D289)-1)+D288</f>
        <v>0.1308674902</v>
      </c>
      <c r="E289" s="34">
        <f>(('PRACTICE Equity Price Data'!E290/'PRACTICE Equity Price Data'!E289)-1)+E288</f>
        <v>0.109609823</v>
      </c>
      <c r="F289" s="3">
        <v>13.0</v>
      </c>
      <c r="G289" s="3">
        <v>260.0</v>
      </c>
      <c r="H289" s="3">
        <v>110.0</v>
      </c>
      <c r="I289" s="3">
        <v>256.0</v>
      </c>
      <c r="J289" s="3">
        <v>83.0</v>
      </c>
      <c r="K289" s="3">
        <v>188.0</v>
      </c>
      <c r="L289" s="3">
        <v>1000.0</v>
      </c>
      <c r="M289" s="3">
        <v>102.0</v>
      </c>
      <c r="N289" s="3">
        <v>200.0</v>
      </c>
      <c r="O289" s="3">
        <v>121.0</v>
      </c>
      <c r="P289" s="3"/>
      <c r="Q289" s="3">
        <v>80.0</v>
      </c>
      <c r="R289" s="3">
        <v>150.0</v>
      </c>
      <c r="S289" s="3">
        <v>417.0</v>
      </c>
      <c r="T289" s="3">
        <v>120.0</v>
      </c>
      <c r="U289" s="3">
        <v>80.0</v>
      </c>
      <c r="V289" s="1">
        <v>88.0</v>
      </c>
      <c r="W289" s="1">
        <v>250.0</v>
      </c>
      <c r="X289" s="1">
        <v>264.0</v>
      </c>
      <c r="Y289" s="1">
        <v>161.0</v>
      </c>
      <c r="Z289" s="1">
        <v>69.0</v>
      </c>
      <c r="AA289" s="3"/>
      <c r="AB289" s="1">
        <v>13.0</v>
      </c>
      <c r="AC289" s="1">
        <v>150.0</v>
      </c>
      <c r="AD289" s="1">
        <v>170.0</v>
      </c>
      <c r="AE289" s="1">
        <v>60.0</v>
      </c>
      <c r="AF289" s="1">
        <v>40.0</v>
      </c>
      <c r="AG289" s="1">
        <v>45.0</v>
      </c>
      <c r="AH289" s="1"/>
      <c r="AI289" s="1">
        <v>205.0</v>
      </c>
      <c r="AJ289" s="1">
        <v>60.0</v>
      </c>
      <c r="AK289" s="1">
        <v>100.0</v>
      </c>
      <c r="AL289" s="1">
        <v>175.0</v>
      </c>
      <c r="AM289" s="1">
        <v>130.0</v>
      </c>
      <c r="AN289" s="3">
        <v>47.0</v>
      </c>
      <c r="AO289" s="3">
        <v>160.0</v>
      </c>
      <c r="AP289" s="3">
        <v>70.0</v>
      </c>
      <c r="AQ289" s="3"/>
      <c r="AR289" s="1">
        <v>854.0</v>
      </c>
      <c r="AS289" s="1">
        <v>250.0</v>
      </c>
      <c r="AT289" s="1">
        <v>220.0</v>
      </c>
      <c r="AU289" s="3">
        <v>423.0</v>
      </c>
      <c r="AV289" s="1">
        <v>120.0</v>
      </c>
      <c r="AW289" s="3">
        <v>200.0</v>
      </c>
      <c r="AX289" s="3"/>
      <c r="AY289" s="3">
        <v>142.0</v>
      </c>
      <c r="AZ289" s="1">
        <v>40.0</v>
      </c>
      <c r="BA289" s="1"/>
      <c r="BB289" s="3">
        <v>402.0</v>
      </c>
      <c r="BC289" s="1">
        <v>150.0</v>
      </c>
      <c r="BD289" s="1">
        <v>190.0</v>
      </c>
      <c r="BE289" s="1">
        <v>80.0</v>
      </c>
      <c r="BF289" s="3">
        <v>328.0</v>
      </c>
      <c r="BG289" s="1">
        <v>213.0</v>
      </c>
      <c r="BH289" s="1">
        <v>23.0</v>
      </c>
      <c r="BI289" s="1">
        <v>40.0</v>
      </c>
      <c r="BJ289" s="1">
        <v>278.0</v>
      </c>
      <c r="BK289" s="3"/>
      <c r="BL289" s="1">
        <v>160.0</v>
      </c>
      <c r="BM289" s="1">
        <v>75.0</v>
      </c>
      <c r="BN289" s="32">
        <v>1802.0</v>
      </c>
      <c r="BO289" s="1">
        <v>47.0</v>
      </c>
      <c r="BP289" s="3">
        <v>48.0</v>
      </c>
      <c r="BQ289" s="1">
        <v>188.0</v>
      </c>
      <c r="BR289" s="27">
        <v>28381.0</v>
      </c>
    </row>
    <row r="290">
      <c r="A290" s="25">
        <f>'Equity Price Data'!A291</f>
        <v>45847.66667</v>
      </c>
      <c r="B290" s="34">
        <f>(('PRACTICE Equity Price Data'!B291/'PRACTICE Equity Price Data'!B290)-1)+B289</f>
        <v>0.2019211282</v>
      </c>
      <c r="C290" s="34">
        <f>(('PRACTICE Equity Price Data'!C291/'PRACTICE Equity Price Data'!C290)-1)+C289</f>
        <v>0.2639973468</v>
      </c>
      <c r="D290" s="34">
        <f>(('PRACTICE Equity Price Data'!D291/'PRACTICE Equity Price Data'!D290)-1)+D289</f>
        <v>0.1357846752</v>
      </c>
      <c r="E290" s="34">
        <f>(('PRACTICE Equity Price Data'!E291/'PRACTICE Equity Price Data'!E290)-1)+E289</f>
        <v>0.1202660683</v>
      </c>
      <c r="F290" s="3">
        <v>13.0</v>
      </c>
      <c r="G290" s="3">
        <v>260.0</v>
      </c>
      <c r="H290" s="3">
        <v>110.0</v>
      </c>
      <c r="I290" s="3">
        <v>256.0</v>
      </c>
      <c r="J290" s="3">
        <v>83.0</v>
      </c>
      <c r="K290" s="3">
        <v>188.0</v>
      </c>
      <c r="L290" s="3">
        <v>1000.0</v>
      </c>
      <c r="M290" s="3">
        <v>102.0</v>
      </c>
      <c r="N290" s="3">
        <v>200.0</v>
      </c>
      <c r="O290" s="3">
        <v>121.0</v>
      </c>
      <c r="P290" s="3"/>
      <c r="Q290" s="3">
        <v>80.0</v>
      </c>
      <c r="R290" s="3">
        <v>150.0</v>
      </c>
      <c r="S290" s="3">
        <v>417.0</v>
      </c>
      <c r="T290" s="3">
        <v>120.0</v>
      </c>
      <c r="U290" s="3">
        <v>80.0</v>
      </c>
      <c r="V290" s="1">
        <v>88.0</v>
      </c>
      <c r="W290" s="1">
        <v>250.0</v>
      </c>
      <c r="X290" s="1">
        <v>264.0</v>
      </c>
      <c r="Y290" s="1">
        <v>161.0</v>
      </c>
      <c r="Z290" s="1">
        <v>69.0</v>
      </c>
      <c r="AA290" s="3"/>
      <c r="AB290" s="1">
        <v>13.0</v>
      </c>
      <c r="AC290" s="1">
        <v>150.0</v>
      </c>
      <c r="AD290" s="1">
        <v>170.0</v>
      </c>
      <c r="AE290" s="1">
        <v>60.0</v>
      </c>
      <c r="AF290" s="1">
        <v>40.0</v>
      </c>
      <c r="AG290" s="1">
        <v>45.0</v>
      </c>
      <c r="AH290" s="1"/>
      <c r="AI290" s="1">
        <v>205.0</v>
      </c>
      <c r="AJ290" s="1">
        <v>60.0</v>
      </c>
      <c r="AK290" s="1">
        <v>100.0</v>
      </c>
      <c r="AL290" s="1">
        <v>175.0</v>
      </c>
      <c r="AM290" s="1">
        <v>130.0</v>
      </c>
      <c r="AN290" s="3">
        <v>47.0</v>
      </c>
      <c r="AO290" s="3">
        <v>160.0</v>
      </c>
      <c r="AP290" s="3">
        <v>70.0</v>
      </c>
      <c r="AQ290" s="3"/>
      <c r="AR290" s="1">
        <v>854.0</v>
      </c>
      <c r="AS290" s="1">
        <v>250.0</v>
      </c>
      <c r="AT290" s="1">
        <v>220.0</v>
      </c>
      <c r="AU290" s="3">
        <v>423.0</v>
      </c>
      <c r="AV290" s="1">
        <v>120.0</v>
      </c>
      <c r="AW290" s="3">
        <v>200.0</v>
      </c>
      <c r="AX290" s="3"/>
      <c r="AY290" s="3">
        <v>142.0</v>
      </c>
      <c r="AZ290" s="1">
        <v>40.0</v>
      </c>
      <c r="BA290" s="1"/>
      <c r="BB290" s="3">
        <v>402.0</v>
      </c>
      <c r="BC290" s="1">
        <v>150.0</v>
      </c>
      <c r="BD290" s="1">
        <v>190.0</v>
      </c>
      <c r="BE290" s="1">
        <v>80.0</v>
      </c>
      <c r="BF290" s="3">
        <v>328.0</v>
      </c>
      <c r="BG290" s="1">
        <v>213.0</v>
      </c>
      <c r="BH290" s="1">
        <v>23.0</v>
      </c>
      <c r="BI290" s="1">
        <v>40.0</v>
      </c>
      <c r="BJ290" s="1">
        <v>278.0</v>
      </c>
      <c r="BK290" s="3"/>
      <c r="BL290" s="1">
        <v>160.0</v>
      </c>
      <c r="BM290" s="1">
        <v>75.0</v>
      </c>
      <c r="BN290" s="32">
        <v>1802.0</v>
      </c>
      <c r="BO290" s="1">
        <v>47.0</v>
      </c>
      <c r="BP290" s="3">
        <v>48.0</v>
      </c>
      <c r="BQ290" s="1">
        <v>188.0</v>
      </c>
      <c r="BR290" s="27">
        <v>28381.0</v>
      </c>
    </row>
    <row r="291">
      <c r="A291" s="25">
        <f>'Equity Price Data'!A292</f>
        <v>45848.66667</v>
      </c>
      <c r="B291" s="34">
        <f>(('PRACTICE Equity Price Data'!B292/'PRACTICE Equity Price Data'!B291)-1)+B290</f>
        <v>0.2046673019</v>
      </c>
      <c r="C291" s="34">
        <f>(('PRACTICE Equity Price Data'!C292/'PRACTICE Equity Price Data'!C291)-1)+C290</f>
        <v>0.2649351801</v>
      </c>
      <c r="D291" s="34">
        <f>(('PRACTICE Equity Price Data'!D292/'PRACTICE Equity Price Data'!D291)-1)+D290</f>
        <v>0.1401109765</v>
      </c>
      <c r="E291" s="34">
        <f>(('PRACTICE Equity Price Data'!E292/'PRACTICE Equity Price Data'!E291)-1)+E290</f>
        <v>0.1251140365</v>
      </c>
      <c r="F291" s="3">
        <v>13.0</v>
      </c>
      <c r="G291" s="3">
        <v>260.0</v>
      </c>
      <c r="H291" s="3">
        <v>110.0</v>
      </c>
      <c r="I291" s="3">
        <v>256.0</v>
      </c>
      <c r="J291" s="3">
        <v>83.0</v>
      </c>
      <c r="K291" s="3">
        <v>188.0</v>
      </c>
      <c r="L291" s="3">
        <v>1000.0</v>
      </c>
      <c r="M291" s="3">
        <v>102.0</v>
      </c>
      <c r="N291" s="3">
        <v>200.0</v>
      </c>
      <c r="O291" s="3">
        <v>121.0</v>
      </c>
      <c r="P291" s="3"/>
      <c r="Q291" s="3">
        <v>80.0</v>
      </c>
      <c r="R291" s="3">
        <v>150.0</v>
      </c>
      <c r="S291" s="3">
        <v>417.0</v>
      </c>
      <c r="T291" s="3">
        <v>120.0</v>
      </c>
      <c r="U291" s="3">
        <v>80.0</v>
      </c>
      <c r="V291" s="1">
        <v>88.0</v>
      </c>
      <c r="W291" s="1">
        <v>250.0</v>
      </c>
      <c r="X291" s="1">
        <v>264.0</v>
      </c>
      <c r="Y291" s="1">
        <v>161.0</v>
      </c>
      <c r="Z291" s="1">
        <v>69.0</v>
      </c>
      <c r="AA291" s="3"/>
      <c r="AB291" s="1">
        <v>13.0</v>
      </c>
      <c r="AC291" s="1">
        <v>150.0</v>
      </c>
      <c r="AD291" s="1">
        <v>170.0</v>
      </c>
      <c r="AE291" s="1">
        <v>60.0</v>
      </c>
      <c r="AF291" s="1">
        <v>40.0</v>
      </c>
      <c r="AG291" s="1">
        <v>45.0</v>
      </c>
      <c r="AH291" s="1"/>
      <c r="AI291" s="1">
        <v>205.0</v>
      </c>
      <c r="AJ291" s="1">
        <v>60.0</v>
      </c>
      <c r="AK291" s="1">
        <v>100.0</v>
      </c>
      <c r="AL291" s="1">
        <v>175.0</v>
      </c>
      <c r="AM291" s="1">
        <v>130.0</v>
      </c>
      <c r="AN291" s="3">
        <v>47.0</v>
      </c>
      <c r="AO291" s="3">
        <v>160.0</v>
      </c>
      <c r="AP291" s="3">
        <v>70.0</v>
      </c>
      <c r="AQ291" s="3"/>
      <c r="AR291" s="1">
        <v>854.0</v>
      </c>
      <c r="AS291" s="1">
        <v>250.0</v>
      </c>
      <c r="AT291" s="1">
        <v>220.0</v>
      </c>
      <c r="AU291" s="3">
        <v>423.0</v>
      </c>
      <c r="AV291" s="1">
        <v>120.0</v>
      </c>
      <c r="AW291" s="3">
        <v>200.0</v>
      </c>
      <c r="AX291" s="3"/>
      <c r="AY291" s="3">
        <v>142.0</v>
      </c>
      <c r="AZ291" s="1">
        <v>40.0</v>
      </c>
      <c r="BA291" s="1"/>
      <c r="BB291" s="3">
        <v>402.0</v>
      </c>
      <c r="BC291" s="1">
        <v>150.0</v>
      </c>
      <c r="BD291" s="1">
        <v>190.0</v>
      </c>
      <c r="BE291" s="1">
        <v>80.0</v>
      </c>
      <c r="BF291" s="3">
        <v>328.0</v>
      </c>
      <c r="BG291" s="1">
        <v>213.0</v>
      </c>
      <c r="BH291" s="1">
        <v>23.0</v>
      </c>
      <c r="BI291" s="1">
        <v>40.0</v>
      </c>
      <c r="BJ291" s="1">
        <v>278.0</v>
      </c>
      <c r="BK291" s="3"/>
      <c r="BL291" s="1">
        <v>160.0</v>
      </c>
      <c r="BM291" s="1">
        <v>75.0</v>
      </c>
      <c r="BN291" s="32">
        <v>1802.0</v>
      </c>
      <c r="BO291" s="1">
        <v>47.0</v>
      </c>
      <c r="BP291" s="3">
        <v>48.0</v>
      </c>
      <c r="BQ291" s="1">
        <v>188.0</v>
      </c>
      <c r="BR291" s="27">
        <v>28381.0</v>
      </c>
    </row>
    <row r="292">
      <c r="A292" s="25">
        <f>'Equity Price Data'!A293</f>
        <v>45849.66667</v>
      </c>
      <c r="B292" s="34">
        <f>(('PRACTICE Equity Price Data'!B293/'PRACTICE Equity Price Data'!B292)-1)+B291</f>
        <v>0.2013697727</v>
      </c>
      <c r="C292" s="34">
        <f>(('PRACTICE Equity Price Data'!C293/'PRACTICE Equity Price Data'!C292)-1)+C291</f>
        <v>0.2627471755</v>
      </c>
      <c r="D292" s="34">
        <f>(('PRACTICE Equity Price Data'!D293/'PRACTICE Equity Price Data'!D292)-1)+D291</f>
        <v>0.1338595543</v>
      </c>
      <c r="E292" s="34">
        <f>(('PRACTICE Equity Price Data'!E293/'PRACTICE Equity Price Data'!E292)-1)+E291</f>
        <v>0.112487071</v>
      </c>
      <c r="F292" s="3">
        <v>13.0</v>
      </c>
      <c r="G292" s="3">
        <v>260.0</v>
      </c>
      <c r="H292" s="3">
        <v>110.0</v>
      </c>
      <c r="I292" s="3">
        <v>256.0</v>
      </c>
      <c r="J292" s="3">
        <v>83.0</v>
      </c>
      <c r="K292" s="3">
        <v>188.0</v>
      </c>
      <c r="L292" s="3">
        <v>1000.0</v>
      </c>
      <c r="M292" s="3">
        <v>102.0</v>
      </c>
      <c r="N292" s="3">
        <v>200.0</v>
      </c>
      <c r="O292" s="3">
        <v>121.0</v>
      </c>
      <c r="P292" s="3"/>
      <c r="Q292" s="3">
        <v>80.0</v>
      </c>
      <c r="R292" s="3">
        <v>150.0</v>
      </c>
      <c r="S292" s="3">
        <v>417.0</v>
      </c>
      <c r="T292" s="3">
        <v>120.0</v>
      </c>
      <c r="U292" s="3">
        <v>80.0</v>
      </c>
      <c r="V292" s="1">
        <v>88.0</v>
      </c>
      <c r="W292" s="1">
        <v>250.0</v>
      </c>
      <c r="X292" s="1">
        <v>264.0</v>
      </c>
      <c r="Y292" s="1">
        <v>161.0</v>
      </c>
      <c r="Z292" s="1">
        <v>69.0</v>
      </c>
      <c r="AA292" s="3"/>
      <c r="AB292" s="1">
        <v>13.0</v>
      </c>
      <c r="AC292" s="1">
        <v>150.0</v>
      </c>
      <c r="AD292" s="1">
        <v>170.0</v>
      </c>
      <c r="AE292" s="1">
        <v>60.0</v>
      </c>
      <c r="AF292" s="1">
        <v>40.0</v>
      </c>
      <c r="AG292" s="1">
        <v>45.0</v>
      </c>
      <c r="AH292" s="1"/>
      <c r="AI292" s="1">
        <v>205.0</v>
      </c>
      <c r="AJ292" s="1">
        <v>60.0</v>
      </c>
      <c r="AK292" s="1">
        <v>100.0</v>
      </c>
      <c r="AL292" s="1">
        <v>175.0</v>
      </c>
      <c r="AM292" s="1">
        <v>130.0</v>
      </c>
      <c r="AN292" s="3">
        <v>47.0</v>
      </c>
      <c r="AO292" s="3">
        <v>160.0</v>
      </c>
      <c r="AP292" s="3">
        <v>70.0</v>
      </c>
      <c r="AQ292" s="3"/>
      <c r="AR292" s="1">
        <v>854.0</v>
      </c>
      <c r="AS292" s="1">
        <v>250.0</v>
      </c>
      <c r="AT292" s="1">
        <v>220.0</v>
      </c>
      <c r="AU292" s="3">
        <v>423.0</v>
      </c>
      <c r="AV292" s="1">
        <v>120.0</v>
      </c>
      <c r="AW292" s="3">
        <v>200.0</v>
      </c>
      <c r="AX292" s="3"/>
      <c r="AY292" s="3">
        <v>142.0</v>
      </c>
      <c r="AZ292" s="1">
        <v>40.0</v>
      </c>
      <c r="BA292" s="1"/>
      <c r="BB292" s="3">
        <v>402.0</v>
      </c>
      <c r="BC292" s="1">
        <v>150.0</v>
      </c>
      <c r="BD292" s="1">
        <v>190.0</v>
      </c>
      <c r="BE292" s="1">
        <v>80.0</v>
      </c>
      <c r="BF292" s="3">
        <v>328.0</v>
      </c>
      <c r="BG292" s="1">
        <v>213.0</v>
      </c>
      <c r="BH292" s="1">
        <v>23.0</v>
      </c>
      <c r="BI292" s="1">
        <v>40.0</v>
      </c>
      <c r="BJ292" s="1">
        <v>278.0</v>
      </c>
      <c r="BK292" s="3"/>
      <c r="BL292" s="1">
        <v>160.0</v>
      </c>
      <c r="BM292" s="1">
        <v>75.0</v>
      </c>
      <c r="BN292" s="32">
        <v>1802.0</v>
      </c>
      <c r="BO292" s="1">
        <v>47.0</v>
      </c>
      <c r="BP292" s="3">
        <v>48.0</v>
      </c>
      <c r="BQ292" s="1">
        <v>188.0</v>
      </c>
      <c r="BR292" s="27">
        <v>28381.0</v>
      </c>
    </row>
    <row r="293">
      <c r="A293" s="25">
        <f>'Equity Price Data'!A294</f>
        <v>45852.66667</v>
      </c>
      <c r="B293" s="34">
        <f>(('PRACTICE Equity Price Data'!B294/'PRACTICE Equity Price Data'!B293)-1)+B292</f>
        <v>0.2027771772</v>
      </c>
      <c r="C293" s="34">
        <f>(('PRACTICE Equity Price Data'!C294/'PRACTICE Equity Price Data'!C293)-1)+C292</f>
        <v>0.2654092396</v>
      </c>
      <c r="D293" s="34">
        <f>(('PRACTICE Equity Price Data'!D294/'PRACTICE Equity Price Data'!D293)-1)+D292</f>
        <v>0.1358459641</v>
      </c>
      <c r="E293" s="34">
        <f>(('PRACTICE Equity Price Data'!E294/'PRACTICE Equity Price Data'!E293)-1)+E292</f>
        <v>0.1191542448</v>
      </c>
      <c r="F293" s="3">
        <v>13.0</v>
      </c>
      <c r="G293" s="3">
        <v>260.0</v>
      </c>
      <c r="H293" s="3">
        <v>110.0</v>
      </c>
      <c r="I293" s="3">
        <v>256.0</v>
      </c>
      <c r="J293" s="3">
        <v>83.0</v>
      </c>
      <c r="K293" s="3">
        <v>188.0</v>
      </c>
      <c r="L293" s="3">
        <v>1000.0</v>
      </c>
      <c r="M293" s="3">
        <v>102.0</v>
      </c>
      <c r="N293" s="3">
        <v>200.0</v>
      </c>
      <c r="O293" s="3">
        <v>121.0</v>
      </c>
      <c r="P293" s="3"/>
      <c r="Q293" s="3">
        <v>80.0</v>
      </c>
      <c r="R293" s="3">
        <v>150.0</v>
      </c>
      <c r="S293" s="3">
        <v>417.0</v>
      </c>
      <c r="T293" s="3">
        <v>120.0</v>
      </c>
      <c r="U293" s="3">
        <v>80.0</v>
      </c>
      <c r="V293" s="1">
        <v>88.0</v>
      </c>
      <c r="W293" s="1">
        <v>250.0</v>
      </c>
      <c r="X293" s="1">
        <v>264.0</v>
      </c>
      <c r="Y293" s="1">
        <v>161.0</v>
      </c>
      <c r="Z293" s="1">
        <v>69.0</v>
      </c>
      <c r="AA293" s="3"/>
      <c r="AB293" s="1">
        <v>13.0</v>
      </c>
      <c r="AC293" s="1">
        <v>150.0</v>
      </c>
      <c r="AD293" s="1">
        <v>170.0</v>
      </c>
      <c r="AE293" s="1">
        <v>60.0</v>
      </c>
      <c r="AF293" s="1">
        <v>40.0</v>
      </c>
      <c r="AG293" s="1">
        <v>45.0</v>
      </c>
      <c r="AH293" s="1"/>
      <c r="AI293" s="1">
        <v>205.0</v>
      </c>
      <c r="AJ293" s="1">
        <v>60.0</v>
      </c>
      <c r="AK293" s="1">
        <v>100.0</v>
      </c>
      <c r="AL293" s="1">
        <v>175.0</v>
      </c>
      <c r="AM293" s="1">
        <v>130.0</v>
      </c>
      <c r="AN293" s="3">
        <v>47.0</v>
      </c>
      <c r="AO293" s="3">
        <v>160.0</v>
      </c>
      <c r="AP293" s="3">
        <v>70.0</v>
      </c>
      <c r="AQ293" s="3"/>
      <c r="AR293" s="1">
        <v>854.0</v>
      </c>
      <c r="AS293" s="1">
        <v>250.0</v>
      </c>
      <c r="AT293" s="1">
        <v>220.0</v>
      </c>
      <c r="AU293" s="3">
        <v>423.0</v>
      </c>
      <c r="AV293" s="1">
        <v>120.0</v>
      </c>
      <c r="AW293" s="3">
        <v>200.0</v>
      </c>
      <c r="AX293" s="3"/>
      <c r="AY293" s="3">
        <v>142.0</v>
      </c>
      <c r="AZ293" s="1">
        <v>40.0</v>
      </c>
      <c r="BA293" s="1"/>
      <c r="BB293" s="3">
        <v>402.0</v>
      </c>
      <c r="BC293" s="1">
        <v>150.0</v>
      </c>
      <c r="BD293" s="1">
        <v>190.0</v>
      </c>
      <c r="BE293" s="1">
        <v>80.0</v>
      </c>
      <c r="BF293" s="3">
        <v>328.0</v>
      </c>
      <c r="BG293" s="1">
        <v>213.0</v>
      </c>
      <c r="BH293" s="1">
        <v>23.0</v>
      </c>
      <c r="BI293" s="1">
        <v>40.0</v>
      </c>
      <c r="BJ293" s="1">
        <v>278.0</v>
      </c>
      <c r="BK293" s="3"/>
      <c r="BL293" s="1">
        <v>160.0</v>
      </c>
      <c r="BM293" s="1">
        <v>75.0</v>
      </c>
      <c r="BN293" s="32">
        <v>1802.0</v>
      </c>
      <c r="BO293" s="1">
        <v>47.0</v>
      </c>
      <c r="BP293" s="3">
        <v>48.0</v>
      </c>
      <c r="BQ293" s="1">
        <v>188.0</v>
      </c>
      <c r="BR293" s="27">
        <v>28381.0</v>
      </c>
    </row>
    <row r="294">
      <c r="A294" s="25">
        <f>'Equity Price Data'!A295</f>
        <v>45853.66667</v>
      </c>
      <c r="B294" s="34">
        <f>(('PRACTICE Equity Price Data'!B295/'PRACTICE Equity Price Data'!B294)-1)+B293</f>
        <v>0.1988209257</v>
      </c>
      <c r="C294" s="34">
        <f>(('PRACTICE Equity Price Data'!C295/'PRACTICE Equity Price Data'!C294)-1)+C293</f>
        <v>0.2672246176</v>
      </c>
      <c r="D294" s="34">
        <f>(('PRACTICE Equity Price Data'!D295/'PRACTICE Equity Price Data'!D294)-1)+D293</f>
        <v>0.1260312219</v>
      </c>
      <c r="E294" s="34">
        <f>(('PRACTICE Equity Price Data'!E295/'PRACTICE Equity Price Data'!E294)-1)+E293</f>
        <v>0.0992940838</v>
      </c>
      <c r="F294" s="3">
        <v>13.0</v>
      </c>
      <c r="G294" s="3">
        <v>260.0</v>
      </c>
      <c r="H294" s="3">
        <v>110.0</v>
      </c>
      <c r="I294" s="3">
        <v>256.0</v>
      </c>
      <c r="J294" s="3">
        <v>83.0</v>
      </c>
      <c r="K294" s="3">
        <v>188.0</v>
      </c>
      <c r="L294" s="3">
        <v>1000.0</v>
      </c>
      <c r="M294" s="3">
        <v>102.0</v>
      </c>
      <c r="N294" s="3">
        <v>200.0</v>
      </c>
      <c r="O294" s="3">
        <v>121.0</v>
      </c>
      <c r="P294" s="3"/>
      <c r="Q294" s="3">
        <v>80.0</v>
      </c>
      <c r="R294" s="3">
        <v>150.0</v>
      </c>
      <c r="S294" s="3">
        <v>417.0</v>
      </c>
      <c r="T294" s="3">
        <v>120.0</v>
      </c>
      <c r="U294" s="3">
        <v>80.0</v>
      </c>
      <c r="V294" s="1">
        <v>88.0</v>
      </c>
      <c r="W294" s="1">
        <v>250.0</v>
      </c>
      <c r="X294" s="1">
        <v>264.0</v>
      </c>
      <c r="Y294" s="1">
        <v>161.0</v>
      </c>
      <c r="Z294" s="1">
        <v>69.0</v>
      </c>
      <c r="AA294" s="3"/>
      <c r="AB294" s="1">
        <v>13.0</v>
      </c>
      <c r="AC294" s="1">
        <v>150.0</v>
      </c>
      <c r="AD294" s="1">
        <v>170.0</v>
      </c>
      <c r="AE294" s="1">
        <v>60.0</v>
      </c>
      <c r="AF294" s="1">
        <v>40.0</v>
      </c>
      <c r="AG294" s="1">
        <v>45.0</v>
      </c>
      <c r="AH294" s="1"/>
      <c r="AI294" s="1">
        <v>205.0</v>
      </c>
      <c r="AJ294" s="1">
        <v>60.0</v>
      </c>
      <c r="AK294" s="1">
        <v>100.0</v>
      </c>
      <c r="AL294" s="1">
        <v>175.0</v>
      </c>
      <c r="AM294" s="1">
        <v>130.0</v>
      </c>
      <c r="AN294" s="3">
        <v>47.0</v>
      </c>
      <c r="AO294" s="3">
        <v>160.0</v>
      </c>
      <c r="AP294" s="3">
        <v>70.0</v>
      </c>
      <c r="AQ294" s="3"/>
      <c r="AR294" s="1">
        <v>854.0</v>
      </c>
      <c r="AS294" s="1">
        <v>250.0</v>
      </c>
      <c r="AT294" s="1">
        <v>220.0</v>
      </c>
      <c r="AU294" s="3">
        <v>423.0</v>
      </c>
      <c r="AV294" s="1">
        <v>120.0</v>
      </c>
      <c r="AW294" s="3">
        <v>200.0</v>
      </c>
      <c r="AX294" s="3"/>
      <c r="AY294" s="3">
        <v>142.0</v>
      </c>
      <c r="AZ294" s="1">
        <v>40.0</v>
      </c>
      <c r="BA294" s="1"/>
      <c r="BB294" s="3">
        <v>402.0</v>
      </c>
      <c r="BC294" s="1">
        <v>150.0</v>
      </c>
      <c r="BD294" s="1">
        <v>190.0</v>
      </c>
      <c r="BE294" s="1">
        <v>80.0</v>
      </c>
      <c r="BF294" s="3">
        <v>328.0</v>
      </c>
      <c r="BG294" s="1">
        <v>213.0</v>
      </c>
      <c r="BH294" s="1">
        <v>23.0</v>
      </c>
      <c r="BI294" s="1">
        <v>40.0</v>
      </c>
      <c r="BJ294" s="1">
        <v>278.0</v>
      </c>
      <c r="BK294" s="3"/>
      <c r="BL294" s="1">
        <v>160.0</v>
      </c>
      <c r="BM294" s="1">
        <v>75.0</v>
      </c>
      <c r="BN294" s="32">
        <v>1802.0</v>
      </c>
      <c r="BO294" s="1">
        <v>47.0</v>
      </c>
      <c r="BP294" s="3">
        <v>48.0</v>
      </c>
      <c r="BQ294" s="1">
        <v>188.0</v>
      </c>
      <c r="BR294" s="27">
        <v>28381.0</v>
      </c>
    </row>
    <row r="295">
      <c r="A295" s="25">
        <f>'Equity Price Data'!A296</f>
        <v>45854.66667</v>
      </c>
      <c r="B295" s="34">
        <f>(('PRACTICE Equity Price Data'!B296/'PRACTICE Equity Price Data'!B295)-1)+B294</f>
        <v>0.2020145142</v>
      </c>
      <c r="C295" s="34">
        <f>(('PRACTICE Equity Price Data'!C296/'PRACTICE Equity Price Data'!C295)-1)+C294</f>
        <v>0.269772761</v>
      </c>
      <c r="D295" s="34">
        <f>(('PRACTICE Equity Price Data'!D296/'PRACTICE Equity Price Data'!D295)-1)+D294</f>
        <v>0.131289575</v>
      </c>
      <c r="E295" s="34">
        <f>(('PRACTICE Equity Price Data'!E296/'PRACTICE Equity Price Data'!E295)-1)+E294</f>
        <v>0.1092394365</v>
      </c>
      <c r="F295" s="3">
        <v>13.0</v>
      </c>
      <c r="G295" s="3">
        <v>260.0</v>
      </c>
      <c r="H295" s="3">
        <v>110.0</v>
      </c>
      <c r="I295" s="3">
        <v>256.0</v>
      </c>
      <c r="J295" s="3">
        <v>83.0</v>
      </c>
      <c r="K295" s="3">
        <v>188.0</v>
      </c>
      <c r="L295" s="3">
        <v>1000.0</v>
      </c>
      <c r="M295" s="3">
        <v>102.0</v>
      </c>
      <c r="N295" s="3">
        <v>200.0</v>
      </c>
      <c r="O295" s="3">
        <v>121.0</v>
      </c>
      <c r="P295" s="3"/>
      <c r="Q295" s="3">
        <v>80.0</v>
      </c>
      <c r="R295" s="3">
        <v>150.0</v>
      </c>
      <c r="S295" s="3">
        <v>417.0</v>
      </c>
      <c r="T295" s="3">
        <v>120.0</v>
      </c>
      <c r="U295" s="3">
        <v>80.0</v>
      </c>
      <c r="V295" s="1">
        <v>88.0</v>
      </c>
      <c r="W295" s="1">
        <v>250.0</v>
      </c>
      <c r="X295" s="1">
        <v>264.0</v>
      </c>
      <c r="Y295" s="1">
        <v>161.0</v>
      </c>
      <c r="Z295" s="1">
        <v>69.0</v>
      </c>
      <c r="AA295" s="3"/>
      <c r="AB295" s="1">
        <v>13.0</v>
      </c>
      <c r="AC295" s="1">
        <v>150.0</v>
      </c>
      <c r="AD295" s="1">
        <v>170.0</v>
      </c>
      <c r="AE295" s="1">
        <v>60.0</v>
      </c>
      <c r="AF295" s="1">
        <v>40.0</v>
      </c>
      <c r="AG295" s="1">
        <v>45.0</v>
      </c>
      <c r="AH295" s="1"/>
      <c r="AI295" s="1">
        <v>205.0</v>
      </c>
      <c r="AJ295" s="1">
        <v>60.0</v>
      </c>
      <c r="AK295" s="1">
        <v>100.0</v>
      </c>
      <c r="AL295" s="1">
        <v>175.0</v>
      </c>
      <c r="AM295" s="1">
        <v>130.0</v>
      </c>
      <c r="AN295" s="3">
        <v>47.0</v>
      </c>
      <c r="AO295" s="3">
        <v>160.0</v>
      </c>
      <c r="AP295" s="3">
        <v>70.0</v>
      </c>
      <c r="AQ295" s="3"/>
      <c r="AR295" s="1">
        <v>854.0</v>
      </c>
      <c r="AS295" s="1">
        <v>250.0</v>
      </c>
      <c r="AT295" s="1">
        <v>220.0</v>
      </c>
      <c r="AU295" s="3">
        <v>423.0</v>
      </c>
      <c r="AV295" s="1">
        <v>120.0</v>
      </c>
      <c r="AW295" s="3">
        <v>200.0</v>
      </c>
      <c r="AX295" s="3"/>
      <c r="AY295" s="3">
        <v>142.0</v>
      </c>
      <c r="AZ295" s="1">
        <v>40.0</v>
      </c>
      <c r="BA295" s="1"/>
      <c r="BB295" s="3">
        <v>402.0</v>
      </c>
      <c r="BC295" s="1">
        <v>150.0</v>
      </c>
      <c r="BD295" s="1">
        <v>190.0</v>
      </c>
      <c r="BE295" s="1">
        <v>80.0</v>
      </c>
      <c r="BF295" s="3">
        <v>328.0</v>
      </c>
      <c r="BG295" s="1">
        <v>213.0</v>
      </c>
      <c r="BH295" s="1">
        <v>23.0</v>
      </c>
      <c r="BI295" s="1">
        <v>40.0</v>
      </c>
      <c r="BJ295" s="1">
        <v>278.0</v>
      </c>
      <c r="BK295" s="3"/>
      <c r="BL295" s="1">
        <v>160.0</v>
      </c>
      <c r="BM295" s="1">
        <v>75.0</v>
      </c>
      <c r="BN295" s="32">
        <v>1802.0</v>
      </c>
      <c r="BO295" s="1">
        <v>47.0</v>
      </c>
      <c r="BP295" s="3">
        <v>48.0</v>
      </c>
      <c r="BQ295" s="1">
        <v>188.0</v>
      </c>
      <c r="BR295" s="27">
        <v>28381.0</v>
      </c>
    </row>
    <row r="296">
      <c r="A296" s="25">
        <f>'Equity Price Data'!A297</f>
        <v>45855.66667</v>
      </c>
      <c r="B296" s="34">
        <f>(('PRACTICE Equity Price Data'!B297/'PRACTICE Equity Price Data'!B296)-1)+B295</f>
        <v>0.2073883347</v>
      </c>
      <c r="C296" s="34">
        <f>(('PRACTICE Equity Price Data'!C297/'PRACTICE Equity Price Data'!C296)-1)+C295</f>
        <v>0.2772573887</v>
      </c>
      <c r="D296" s="34">
        <f>(('PRACTICE Equity Price Data'!D297/'PRACTICE Equity Price Data'!D296)-1)+D295</f>
        <v>0.1364802007</v>
      </c>
      <c r="E296" s="34">
        <f>(('PRACTICE Equity Price Data'!E297/'PRACTICE Equity Price Data'!E296)-1)+E295</f>
        <v>0.1212287674</v>
      </c>
      <c r="F296" s="3">
        <v>13.0</v>
      </c>
      <c r="G296" s="3">
        <v>260.0</v>
      </c>
      <c r="H296" s="3">
        <v>110.0</v>
      </c>
      <c r="I296" s="3">
        <v>256.0</v>
      </c>
      <c r="J296" s="3">
        <v>83.0</v>
      </c>
      <c r="K296" s="3">
        <v>188.0</v>
      </c>
      <c r="L296" s="3">
        <v>1000.0</v>
      </c>
      <c r="M296" s="3">
        <v>102.0</v>
      </c>
      <c r="N296" s="3">
        <v>200.0</v>
      </c>
      <c r="O296" s="3">
        <v>121.0</v>
      </c>
      <c r="P296" s="3"/>
      <c r="Q296" s="3">
        <v>80.0</v>
      </c>
      <c r="R296" s="3">
        <v>150.0</v>
      </c>
      <c r="S296" s="3">
        <v>417.0</v>
      </c>
      <c r="T296" s="3">
        <v>120.0</v>
      </c>
      <c r="U296" s="3">
        <v>80.0</v>
      </c>
      <c r="V296" s="1">
        <v>88.0</v>
      </c>
      <c r="W296" s="1">
        <v>250.0</v>
      </c>
      <c r="X296" s="1">
        <v>264.0</v>
      </c>
      <c r="Y296" s="1">
        <v>161.0</v>
      </c>
      <c r="Z296" s="1">
        <v>69.0</v>
      </c>
      <c r="AA296" s="3"/>
      <c r="AB296" s="1">
        <v>13.0</v>
      </c>
      <c r="AC296" s="1">
        <v>150.0</v>
      </c>
      <c r="AD296" s="1">
        <v>170.0</v>
      </c>
      <c r="AE296" s="1">
        <v>60.0</v>
      </c>
      <c r="AF296" s="1">
        <v>40.0</v>
      </c>
      <c r="AG296" s="1">
        <v>45.0</v>
      </c>
      <c r="AH296" s="1"/>
      <c r="AI296" s="1">
        <v>205.0</v>
      </c>
      <c r="AJ296" s="1">
        <v>60.0</v>
      </c>
      <c r="AK296" s="1">
        <v>100.0</v>
      </c>
      <c r="AL296" s="1">
        <v>175.0</v>
      </c>
      <c r="AM296" s="1">
        <v>130.0</v>
      </c>
      <c r="AN296" s="3">
        <v>47.0</v>
      </c>
      <c r="AO296" s="3">
        <v>160.0</v>
      </c>
      <c r="AP296" s="3">
        <v>70.0</v>
      </c>
      <c r="AQ296" s="3"/>
      <c r="AR296" s="1">
        <v>854.0</v>
      </c>
      <c r="AS296" s="1">
        <v>250.0</v>
      </c>
      <c r="AT296" s="1">
        <v>220.0</v>
      </c>
      <c r="AU296" s="3">
        <v>423.0</v>
      </c>
      <c r="AV296" s="1">
        <v>120.0</v>
      </c>
      <c r="AW296" s="3">
        <v>200.0</v>
      </c>
      <c r="AX296" s="3"/>
      <c r="AY296" s="3">
        <v>142.0</v>
      </c>
      <c r="AZ296" s="1">
        <v>40.0</v>
      </c>
      <c r="BA296" s="1"/>
      <c r="BB296" s="3">
        <v>402.0</v>
      </c>
      <c r="BC296" s="1">
        <v>150.0</v>
      </c>
      <c r="BD296" s="1">
        <v>190.0</v>
      </c>
      <c r="BE296" s="1">
        <v>80.0</v>
      </c>
      <c r="BF296" s="3">
        <v>328.0</v>
      </c>
      <c r="BG296" s="1">
        <v>213.0</v>
      </c>
      <c r="BH296" s="1">
        <v>23.0</v>
      </c>
      <c r="BI296" s="1">
        <v>40.0</v>
      </c>
      <c r="BJ296" s="1">
        <v>278.0</v>
      </c>
      <c r="BK296" s="3"/>
      <c r="BL296" s="1">
        <v>160.0</v>
      </c>
      <c r="BM296" s="1">
        <v>75.0</v>
      </c>
      <c r="BN296" s="32">
        <v>1802.0</v>
      </c>
      <c r="BO296" s="1">
        <v>47.0</v>
      </c>
      <c r="BP296" s="3">
        <v>48.0</v>
      </c>
      <c r="BQ296" s="1">
        <v>188.0</v>
      </c>
      <c r="BR296" s="27">
        <v>28381.0</v>
      </c>
    </row>
    <row r="297">
      <c r="A297" s="25">
        <f>'Equity Price Data'!A298</f>
        <v>45856.66667</v>
      </c>
      <c r="B297" s="34">
        <f>(('PRACTICE Equity Price Data'!B298/'PRACTICE Equity Price Data'!B297)-1)+B296</f>
        <v>0.2072978206</v>
      </c>
      <c r="C297" s="34">
        <f>(('PRACTICE Equity Price Data'!C298/'PRACTICE Equity Price Data'!C297)-1)+C296</f>
        <v>0.2777366651</v>
      </c>
      <c r="D297" s="34">
        <f>(('PRACTICE Equity Price Data'!D298/'PRACTICE Equity Price Data'!D297)-1)+D296</f>
        <v>0.133281333</v>
      </c>
      <c r="E297" s="34">
        <f>(('PRACTICE Equity Price Data'!E298/'PRACTICE Equity Price Data'!E297)-1)+E296</f>
        <v>0.1151631325</v>
      </c>
      <c r="F297" s="3">
        <v>13.0</v>
      </c>
      <c r="G297" s="3">
        <v>260.0</v>
      </c>
      <c r="H297" s="3">
        <v>110.0</v>
      </c>
      <c r="I297" s="3">
        <v>256.0</v>
      </c>
      <c r="J297" s="3">
        <v>83.0</v>
      </c>
      <c r="K297" s="3">
        <v>188.0</v>
      </c>
      <c r="L297" s="3">
        <v>1000.0</v>
      </c>
      <c r="M297" s="3">
        <v>102.0</v>
      </c>
      <c r="N297" s="3">
        <v>200.0</v>
      </c>
      <c r="O297" s="3">
        <v>121.0</v>
      </c>
      <c r="P297" s="3"/>
      <c r="Q297" s="3">
        <v>80.0</v>
      </c>
      <c r="R297" s="3">
        <v>150.0</v>
      </c>
      <c r="S297" s="3">
        <v>417.0</v>
      </c>
      <c r="T297" s="3">
        <v>120.0</v>
      </c>
      <c r="U297" s="3">
        <v>80.0</v>
      </c>
      <c r="V297" s="1">
        <v>88.0</v>
      </c>
      <c r="W297" s="1">
        <v>250.0</v>
      </c>
      <c r="X297" s="1">
        <v>264.0</v>
      </c>
      <c r="Y297" s="1">
        <v>161.0</v>
      </c>
      <c r="Z297" s="1">
        <v>69.0</v>
      </c>
      <c r="AA297" s="3"/>
      <c r="AB297" s="1">
        <v>13.0</v>
      </c>
      <c r="AC297" s="1">
        <v>150.0</v>
      </c>
      <c r="AD297" s="1">
        <v>170.0</v>
      </c>
      <c r="AE297" s="1">
        <v>60.0</v>
      </c>
      <c r="AF297" s="1">
        <v>40.0</v>
      </c>
      <c r="AG297" s="1">
        <v>45.0</v>
      </c>
      <c r="AH297" s="1"/>
      <c r="AI297" s="1">
        <v>205.0</v>
      </c>
      <c r="AJ297" s="1">
        <v>60.0</v>
      </c>
      <c r="AK297" s="1">
        <v>100.0</v>
      </c>
      <c r="AL297" s="1">
        <v>175.0</v>
      </c>
      <c r="AM297" s="1">
        <v>130.0</v>
      </c>
      <c r="AN297" s="3">
        <v>47.0</v>
      </c>
      <c r="AO297" s="3">
        <v>160.0</v>
      </c>
      <c r="AP297" s="3">
        <v>70.0</v>
      </c>
      <c r="AQ297" s="3"/>
      <c r="AR297" s="1">
        <v>854.0</v>
      </c>
      <c r="AS297" s="1">
        <v>250.0</v>
      </c>
      <c r="AT297" s="1">
        <v>220.0</v>
      </c>
      <c r="AU297" s="3">
        <v>423.0</v>
      </c>
      <c r="AV297" s="1">
        <v>120.0</v>
      </c>
      <c r="AW297" s="3">
        <v>200.0</v>
      </c>
      <c r="AX297" s="3"/>
      <c r="AY297" s="3">
        <v>142.0</v>
      </c>
      <c r="AZ297" s="1">
        <v>40.0</v>
      </c>
      <c r="BA297" s="1"/>
      <c r="BB297" s="3">
        <v>402.0</v>
      </c>
      <c r="BC297" s="1">
        <v>150.0</v>
      </c>
      <c r="BD297" s="1">
        <v>190.0</v>
      </c>
      <c r="BE297" s="1">
        <v>80.0</v>
      </c>
      <c r="BF297" s="3">
        <v>328.0</v>
      </c>
      <c r="BG297" s="1">
        <v>213.0</v>
      </c>
      <c r="BH297" s="1">
        <v>23.0</v>
      </c>
      <c r="BI297" s="1">
        <v>40.0</v>
      </c>
      <c r="BJ297" s="1">
        <v>278.0</v>
      </c>
      <c r="BK297" s="3"/>
      <c r="BL297" s="1">
        <v>160.0</v>
      </c>
      <c r="BM297" s="1">
        <v>75.0</v>
      </c>
      <c r="BN297" s="32">
        <v>1802.0</v>
      </c>
      <c r="BO297" s="1">
        <v>47.0</v>
      </c>
      <c r="BP297" s="3">
        <v>48.0</v>
      </c>
      <c r="BQ297" s="1">
        <v>188.0</v>
      </c>
      <c r="BR297" s="27">
        <v>28381.0</v>
      </c>
    </row>
    <row r="298">
      <c r="A298" s="25">
        <f>'Equity Price Data'!A299</f>
        <v>45859.66667</v>
      </c>
      <c r="B298" s="34">
        <f>(('PRACTICE Equity Price Data'!B299/'PRACTICE Equity Price Data'!B298)-1)+B297</f>
        <v>0.2086969462</v>
      </c>
      <c r="C298" s="34">
        <f>(('PRACTICE Equity Price Data'!C299/'PRACTICE Equity Price Data'!C298)-1)+C297</f>
        <v>0.2814943833</v>
      </c>
      <c r="D298" s="34">
        <f>(('PRACTICE Equity Price Data'!D299/'PRACTICE Equity Price Data'!D298)-1)+D297</f>
        <v>0.1328501409</v>
      </c>
      <c r="E298" s="34">
        <f>(('PRACTICE Equity Price Data'!E299/'PRACTICE Equity Price Data'!E298)-1)+E297</f>
        <v>0.1111988645</v>
      </c>
      <c r="F298" s="3">
        <v>13.0</v>
      </c>
      <c r="G298" s="3">
        <v>260.0</v>
      </c>
      <c r="H298" s="3">
        <v>110.0</v>
      </c>
      <c r="I298" s="3">
        <v>256.0</v>
      </c>
      <c r="J298" s="3">
        <v>83.0</v>
      </c>
      <c r="K298" s="3">
        <v>188.0</v>
      </c>
      <c r="L298" s="3">
        <v>1000.0</v>
      </c>
      <c r="M298" s="3">
        <v>102.0</v>
      </c>
      <c r="N298" s="3">
        <v>200.0</v>
      </c>
      <c r="O298" s="3">
        <v>121.0</v>
      </c>
      <c r="P298" s="3"/>
      <c r="Q298" s="3">
        <v>80.0</v>
      </c>
      <c r="R298" s="3">
        <v>150.0</v>
      </c>
      <c r="S298" s="3">
        <v>417.0</v>
      </c>
      <c r="T298" s="3">
        <v>120.0</v>
      </c>
      <c r="U298" s="3">
        <v>80.0</v>
      </c>
      <c r="V298" s="1">
        <v>88.0</v>
      </c>
      <c r="W298" s="1">
        <v>250.0</v>
      </c>
      <c r="X298" s="1">
        <v>264.0</v>
      </c>
      <c r="Y298" s="1">
        <v>161.0</v>
      </c>
      <c r="Z298" s="1">
        <v>69.0</v>
      </c>
      <c r="AA298" s="3"/>
      <c r="AB298" s="1">
        <v>13.0</v>
      </c>
      <c r="AC298" s="1">
        <v>150.0</v>
      </c>
      <c r="AD298" s="1">
        <v>170.0</v>
      </c>
      <c r="AE298" s="1">
        <v>60.0</v>
      </c>
      <c r="AF298" s="1">
        <v>40.0</v>
      </c>
      <c r="AG298" s="1">
        <v>45.0</v>
      </c>
      <c r="AH298" s="1"/>
      <c r="AI298" s="1">
        <v>205.0</v>
      </c>
      <c r="AJ298" s="1">
        <v>60.0</v>
      </c>
      <c r="AK298" s="1">
        <v>100.0</v>
      </c>
      <c r="AL298" s="1">
        <v>175.0</v>
      </c>
      <c r="AM298" s="1">
        <v>130.0</v>
      </c>
      <c r="AN298" s="3">
        <v>47.0</v>
      </c>
      <c r="AO298" s="3">
        <v>160.0</v>
      </c>
      <c r="AP298" s="3">
        <v>70.0</v>
      </c>
      <c r="AQ298" s="3"/>
      <c r="AR298" s="1">
        <v>854.0</v>
      </c>
      <c r="AS298" s="1">
        <v>250.0</v>
      </c>
      <c r="AT298" s="1">
        <v>220.0</v>
      </c>
      <c r="AU298" s="3">
        <v>423.0</v>
      </c>
      <c r="AV298" s="1">
        <v>120.0</v>
      </c>
      <c r="AW298" s="3">
        <v>200.0</v>
      </c>
      <c r="AX298" s="3"/>
      <c r="AY298" s="3">
        <v>142.0</v>
      </c>
      <c r="AZ298" s="1">
        <v>40.0</v>
      </c>
      <c r="BA298" s="1"/>
      <c r="BB298" s="3">
        <v>402.0</v>
      </c>
      <c r="BC298" s="1">
        <v>150.0</v>
      </c>
      <c r="BD298" s="1">
        <v>190.0</v>
      </c>
      <c r="BE298" s="1">
        <v>80.0</v>
      </c>
      <c r="BF298" s="3">
        <v>328.0</v>
      </c>
      <c r="BG298" s="1">
        <v>213.0</v>
      </c>
      <c r="BH298" s="1">
        <v>23.0</v>
      </c>
      <c r="BI298" s="1">
        <v>40.0</v>
      </c>
      <c r="BJ298" s="1">
        <v>278.0</v>
      </c>
      <c r="BK298" s="3"/>
      <c r="BL298" s="1">
        <v>160.0</v>
      </c>
      <c r="BM298" s="1">
        <v>75.0</v>
      </c>
      <c r="BN298" s="32">
        <v>1802.0</v>
      </c>
      <c r="BO298" s="1">
        <v>47.0</v>
      </c>
      <c r="BP298" s="3">
        <v>48.0</v>
      </c>
      <c r="BQ298" s="1">
        <v>188.0</v>
      </c>
      <c r="BR298" s="27">
        <v>28381.0</v>
      </c>
    </row>
    <row r="299">
      <c r="A299" s="25">
        <f>'Equity Price Data'!A300</f>
        <v>45860.66667</v>
      </c>
      <c r="B299" s="34">
        <f>(('PRACTICE Equity Price Data'!B300/'PRACTICE Equity Price Data'!B299)-1)+B298</f>
        <v>0.2093344748</v>
      </c>
      <c r="C299" s="34">
        <f>(('PRACTICE Equity Price Data'!C300/'PRACTICE Equity Price Data'!C299)-1)+C298</f>
        <v>0.2776091301</v>
      </c>
      <c r="D299" s="34">
        <f>(('PRACTICE Equity Price Data'!D300/'PRACTICE Equity Price Data'!D299)-1)+D298</f>
        <v>0.1368970176</v>
      </c>
      <c r="E299" s="34">
        <f>(('PRACTICE Equity Price Data'!E300/'PRACTICE Equity Price Data'!E299)-1)+E298</f>
        <v>0.11910069</v>
      </c>
      <c r="F299" s="3">
        <v>13.0</v>
      </c>
      <c r="G299" s="3">
        <v>260.0</v>
      </c>
      <c r="H299" s="3">
        <v>110.0</v>
      </c>
      <c r="I299" s="3">
        <v>256.0</v>
      </c>
      <c r="J299" s="3">
        <v>83.0</v>
      </c>
      <c r="K299" s="3">
        <v>188.0</v>
      </c>
      <c r="L299" s="3">
        <v>1000.0</v>
      </c>
      <c r="M299" s="3">
        <v>102.0</v>
      </c>
      <c r="N299" s="3">
        <v>200.0</v>
      </c>
      <c r="O299" s="3">
        <v>121.0</v>
      </c>
      <c r="P299" s="3"/>
      <c r="Q299" s="3">
        <v>80.0</v>
      </c>
      <c r="R299" s="3">
        <v>150.0</v>
      </c>
      <c r="S299" s="3">
        <v>417.0</v>
      </c>
      <c r="T299" s="3">
        <v>120.0</v>
      </c>
      <c r="U299" s="3">
        <v>80.0</v>
      </c>
      <c r="V299" s="1">
        <v>88.0</v>
      </c>
      <c r="W299" s="1">
        <v>250.0</v>
      </c>
      <c r="X299" s="1">
        <v>264.0</v>
      </c>
      <c r="Y299" s="1">
        <v>161.0</v>
      </c>
      <c r="Z299" s="1">
        <v>69.0</v>
      </c>
      <c r="AA299" s="3"/>
      <c r="AB299" s="1">
        <v>13.0</v>
      </c>
      <c r="AC299" s="1">
        <v>150.0</v>
      </c>
      <c r="AD299" s="1">
        <v>170.0</v>
      </c>
      <c r="AE299" s="1">
        <v>60.0</v>
      </c>
      <c r="AF299" s="1">
        <v>40.0</v>
      </c>
      <c r="AG299" s="1">
        <v>45.0</v>
      </c>
      <c r="AH299" s="1"/>
      <c r="AI299" s="1">
        <v>205.0</v>
      </c>
      <c r="AJ299" s="1">
        <v>60.0</v>
      </c>
      <c r="AK299" s="1">
        <v>100.0</v>
      </c>
      <c r="AL299" s="1">
        <v>175.0</v>
      </c>
      <c r="AM299" s="1">
        <v>130.0</v>
      </c>
      <c r="AN299" s="3">
        <v>47.0</v>
      </c>
      <c r="AO299" s="3">
        <v>160.0</v>
      </c>
      <c r="AP299" s="3">
        <v>70.0</v>
      </c>
      <c r="AQ299" s="3"/>
      <c r="AR299" s="1">
        <v>854.0</v>
      </c>
      <c r="AS299" s="1">
        <v>250.0</v>
      </c>
      <c r="AT299" s="1">
        <v>220.0</v>
      </c>
      <c r="AU299" s="3">
        <v>423.0</v>
      </c>
      <c r="AV299" s="1">
        <v>120.0</v>
      </c>
      <c r="AW299" s="3">
        <v>200.0</v>
      </c>
      <c r="AX299" s="3"/>
      <c r="AY299" s="3">
        <v>142.0</v>
      </c>
      <c r="AZ299" s="1">
        <v>40.0</v>
      </c>
      <c r="BA299" s="1"/>
      <c r="BB299" s="3">
        <v>402.0</v>
      </c>
      <c r="BC299" s="1">
        <v>150.0</v>
      </c>
      <c r="BD299" s="1">
        <v>190.0</v>
      </c>
      <c r="BE299" s="1">
        <v>80.0</v>
      </c>
      <c r="BF299" s="3">
        <v>328.0</v>
      </c>
      <c r="BG299" s="1">
        <v>213.0</v>
      </c>
      <c r="BH299" s="1">
        <v>23.0</v>
      </c>
      <c r="BI299" s="1">
        <v>40.0</v>
      </c>
      <c r="BJ299" s="1">
        <v>278.0</v>
      </c>
      <c r="BK299" s="3"/>
      <c r="BL299" s="1">
        <v>160.0</v>
      </c>
      <c r="BM299" s="1">
        <v>75.0</v>
      </c>
      <c r="BN299" s="32">
        <v>1802.0</v>
      </c>
      <c r="BO299" s="1">
        <v>47.0</v>
      </c>
      <c r="BP299" s="3">
        <v>48.0</v>
      </c>
      <c r="BQ299" s="1">
        <v>188.0</v>
      </c>
      <c r="BR299" s="27">
        <v>28381.0</v>
      </c>
    </row>
    <row r="300">
      <c r="A300" s="25">
        <f>'Equity Price Data'!A301</f>
        <v>45861.66667</v>
      </c>
      <c r="B300" s="34">
        <f>(('PRACTICE Equity Price Data'!B301/'PRACTICE Equity Price Data'!B300)-1)+B299</f>
        <v>0.2171463557</v>
      </c>
      <c r="C300" s="34">
        <f>(('PRACTICE Equity Price Data'!C301/'PRACTICE Equity Price Data'!C300)-1)+C299</f>
        <v>0.2837036062</v>
      </c>
      <c r="D300" s="34">
        <f>(('PRACTICE Equity Price Data'!D301/'PRACTICE Equity Price Data'!D300)-1)+D299</f>
        <v>0.1483087514</v>
      </c>
      <c r="E300" s="34">
        <f>(('PRACTICE Equity Price Data'!E301/'PRACTICE Equity Price Data'!E300)-1)+E299</f>
        <v>0.1343846687</v>
      </c>
      <c r="F300" s="3">
        <v>13.0</v>
      </c>
      <c r="G300" s="3">
        <v>260.0</v>
      </c>
      <c r="H300" s="3">
        <v>110.0</v>
      </c>
      <c r="I300" s="3">
        <v>256.0</v>
      </c>
      <c r="J300" s="3">
        <v>83.0</v>
      </c>
      <c r="K300" s="3">
        <v>188.0</v>
      </c>
      <c r="L300" s="3">
        <v>1000.0</v>
      </c>
      <c r="M300" s="3">
        <v>102.0</v>
      </c>
      <c r="N300" s="3">
        <v>200.0</v>
      </c>
      <c r="O300" s="3">
        <v>121.0</v>
      </c>
      <c r="P300" s="3"/>
      <c r="Q300" s="3">
        <v>80.0</v>
      </c>
      <c r="R300" s="3">
        <v>150.0</v>
      </c>
      <c r="S300" s="3">
        <v>417.0</v>
      </c>
      <c r="T300" s="3">
        <v>120.0</v>
      </c>
      <c r="U300" s="3">
        <v>80.0</v>
      </c>
      <c r="V300" s="1">
        <v>88.0</v>
      </c>
      <c r="W300" s="1">
        <v>250.0</v>
      </c>
      <c r="X300" s="1">
        <v>264.0</v>
      </c>
      <c r="Y300" s="1">
        <v>161.0</v>
      </c>
      <c r="Z300" s="1">
        <v>69.0</v>
      </c>
      <c r="AA300" s="3"/>
      <c r="AB300" s="1">
        <v>13.0</v>
      </c>
      <c r="AC300" s="1">
        <v>150.0</v>
      </c>
      <c r="AD300" s="1">
        <v>170.0</v>
      </c>
      <c r="AE300" s="1">
        <v>60.0</v>
      </c>
      <c r="AF300" s="1">
        <v>40.0</v>
      </c>
      <c r="AG300" s="1">
        <v>45.0</v>
      </c>
      <c r="AH300" s="1"/>
      <c r="AI300" s="1">
        <v>205.0</v>
      </c>
      <c r="AJ300" s="1">
        <v>60.0</v>
      </c>
      <c r="AK300" s="1">
        <v>100.0</v>
      </c>
      <c r="AL300" s="1">
        <v>175.0</v>
      </c>
      <c r="AM300" s="1">
        <v>130.0</v>
      </c>
      <c r="AN300" s="3">
        <v>47.0</v>
      </c>
      <c r="AO300" s="3">
        <v>160.0</v>
      </c>
      <c r="AP300" s="3">
        <v>70.0</v>
      </c>
      <c r="AQ300" s="3"/>
      <c r="AR300" s="1">
        <v>854.0</v>
      </c>
      <c r="AS300" s="1">
        <v>250.0</v>
      </c>
      <c r="AT300" s="1">
        <v>220.0</v>
      </c>
      <c r="AU300" s="3">
        <v>423.0</v>
      </c>
      <c r="AV300" s="1">
        <v>120.0</v>
      </c>
      <c r="AW300" s="3">
        <v>200.0</v>
      </c>
      <c r="AX300" s="3"/>
      <c r="AY300" s="3">
        <v>142.0</v>
      </c>
      <c r="AZ300" s="1">
        <v>40.0</v>
      </c>
      <c r="BA300" s="1"/>
      <c r="BB300" s="3">
        <v>402.0</v>
      </c>
      <c r="BC300" s="1">
        <v>150.0</v>
      </c>
      <c r="BD300" s="1">
        <v>190.0</v>
      </c>
      <c r="BE300" s="1">
        <v>80.0</v>
      </c>
      <c r="BF300" s="3">
        <v>328.0</v>
      </c>
      <c r="BG300" s="1">
        <v>213.0</v>
      </c>
      <c r="BH300" s="1">
        <v>23.0</v>
      </c>
      <c r="BI300" s="1">
        <v>40.0</v>
      </c>
      <c r="BJ300" s="1">
        <v>278.0</v>
      </c>
      <c r="BK300" s="3"/>
      <c r="BL300" s="1">
        <v>160.0</v>
      </c>
      <c r="BM300" s="1">
        <v>75.0</v>
      </c>
      <c r="BN300" s="32">
        <v>1802.0</v>
      </c>
      <c r="BO300" s="1">
        <v>47.0</v>
      </c>
      <c r="BP300" s="3">
        <v>48.0</v>
      </c>
      <c r="BQ300" s="1">
        <v>188.0</v>
      </c>
      <c r="BR300" s="27">
        <v>28381.0</v>
      </c>
    </row>
    <row r="301">
      <c r="A301" s="25">
        <f>'Equity Price Data'!A302</f>
        <v>45862.66667</v>
      </c>
      <c r="B301" s="34">
        <f>(('PRACTICE Equity Price Data'!B302/'PRACTICE Equity Price Data'!B301)-1)+B300</f>
        <v>0.2178445885</v>
      </c>
      <c r="C301" s="34">
        <f>(('PRACTICE Equity Price Data'!C302/'PRACTICE Equity Price Data'!C301)-1)+C300</f>
        <v>0.2855085521</v>
      </c>
      <c r="D301" s="34">
        <f>(('PRACTICE Equity Price Data'!D302/'PRACTICE Equity Price Data'!D301)-1)+D300</f>
        <v>0.1412796921</v>
      </c>
      <c r="E301" s="34">
        <f>(('PRACTICE Equity Price Data'!E302/'PRACTICE Equity Price Data'!E301)-1)+E300</f>
        <v>0.1208068173</v>
      </c>
      <c r="F301" s="3">
        <v>13.0</v>
      </c>
      <c r="G301" s="3">
        <v>260.0</v>
      </c>
      <c r="H301" s="3">
        <v>110.0</v>
      </c>
      <c r="I301" s="3">
        <v>256.0</v>
      </c>
      <c r="J301" s="3">
        <v>83.0</v>
      </c>
      <c r="K301" s="3">
        <v>188.0</v>
      </c>
      <c r="L301" s="3">
        <v>1000.0</v>
      </c>
      <c r="M301" s="3">
        <v>102.0</v>
      </c>
      <c r="N301" s="3">
        <v>200.0</v>
      </c>
      <c r="O301" s="3">
        <v>121.0</v>
      </c>
      <c r="P301" s="3"/>
      <c r="Q301" s="3">
        <v>80.0</v>
      </c>
      <c r="R301" s="3">
        <v>150.0</v>
      </c>
      <c r="S301" s="3">
        <v>417.0</v>
      </c>
      <c r="T301" s="3">
        <v>120.0</v>
      </c>
      <c r="U301" s="3">
        <v>80.0</v>
      </c>
      <c r="V301" s="1">
        <v>88.0</v>
      </c>
      <c r="W301" s="1">
        <v>250.0</v>
      </c>
      <c r="X301" s="1">
        <v>264.0</v>
      </c>
      <c r="Y301" s="1">
        <v>161.0</v>
      </c>
      <c r="Z301" s="1">
        <v>69.0</v>
      </c>
      <c r="AA301" s="3"/>
      <c r="AB301" s="1">
        <v>13.0</v>
      </c>
      <c r="AC301" s="1">
        <v>150.0</v>
      </c>
      <c r="AD301" s="1">
        <v>170.0</v>
      </c>
      <c r="AE301" s="1">
        <v>60.0</v>
      </c>
      <c r="AF301" s="1">
        <v>40.0</v>
      </c>
      <c r="AG301" s="1">
        <v>45.0</v>
      </c>
      <c r="AH301" s="1"/>
      <c r="AI301" s="1">
        <v>205.0</v>
      </c>
      <c r="AJ301" s="1">
        <v>60.0</v>
      </c>
      <c r="AK301" s="1">
        <v>100.0</v>
      </c>
      <c r="AL301" s="1">
        <v>175.0</v>
      </c>
      <c r="AM301" s="1">
        <v>130.0</v>
      </c>
      <c r="AN301" s="3">
        <v>47.0</v>
      </c>
      <c r="AO301" s="3">
        <v>160.0</v>
      </c>
      <c r="AP301" s="3">
        <v>70.0</v>
      </c>
      <c r="AQ301" s="3"/>
      <c r="AR301" s="1">
        <v>854.0</v>
      </c>
      <c r="AS301" s="1">
        <v>250.0</v>
      </c>
      <c r="AT301" s="1">
        <v>220.0</v>
      </c>
      <c r="AU301" s="3">
        <v>423.0</v>
      </c>
      <c r="AV301" s="1">
        <v>120.0</v>
      </c>
      <c r="AW301" s="3">
        <v>200.0</v>
      </c>
      <c r="AX301" s="3"/>
      <c r="AY301" s="3">
        <v>142.0</v>
      </c>
      <c r="AZ301" s="1">
        <v>40.0</v>
      </c>
      <c r="BA301" s="1"/>
      <c r="BB301" s="3">
        <v>402.0</v>
      </c>
      <c r="BC301" s="1">
        <v>150.0</v>
      </c>
      <c r="BD301" s="1">
        <v>190.0</v>
      </c>
      <c r="BE301" s="1">
        <v>80.0</v>
      </c>
      <c r="BF301" s="3">
        <v>328.0</v>
      </c>
      <c r="BG301" s="1">
        <v>213.0</v>
      </c>
      <c r="BH301" s="1">
        <v>23.0</v>
      </c>
      <c r="BI301" s="1">
        <v>40.0</v>
      </c>
      <c r="BJ301" s="1">
        <v>278.0</v>
      </c>
      <c r="BK301" s="3"/>
      <c r="BL301" s="1">
        <v>160.0</v>
      </c>
      <c r="BM301" s="1">
        <v>75.0</v>
      </c>
      <c r="BN301" s="32">
        <v>1802.0</v>
      </c>
      <c r="BO301" s="1">
        <v>47.0</v>
      </c>
      <c r="BP301" s="3">
        <v>48.0</v>
      </c>
      <c r="BQ301" s="1">
        <v>188.0</v>
      </c>
      <c r="BR301" s="27">
        <v>28381.0</v>
      </c>
    </row>
    <row r="302">
      <c r="A302" s="25">
        <f>'Equity Price Data'!A303</f>
        <v>45863.66667</v>
      </c>
      <c r="B302" s="34">
        <f>(('PRACTICE Equity Price Data'!B303/'PRACTICE Equity Price Data'!B302)-1)+B301</f>
        <v>0.2218189102</v>
      </c>
      <c r="C302" s="34">
        <f>(('PRACTICE Equity Price Data'!C303/'PRACTICE Equity Price Data'!C302)-1)+C301</f>
        <v>0.2879000468</v>
      </c>
      <c r="D302" s="34">
        <f>(('PRACTICE Equity Price Data'!D303/'PRACTICE Equity Price Data'!D302)-1)+D301</f>
        <v>0.1459337937</v>
      </c>
      <c r="E302" s="34">
        <f>(('PRACTICE Equity Price Data'!E303/'PRACTICE Equity Price Data'!E302)-1)+E301</f>
        <v>0.1247763927</v>
      </c>
      <c r="F302" s="3">
        <v>13.0</v>
      </c>
      <c r="G302" s="3">
        <v>260.0</v>
      </c>
      <c r="H302" s="3">
        <v>110.0</v>
      </c>
      <c r="I302" s="3">
        <v>256.0</v>
      </c>
      <c r="J302" s="3">
        <v>83.0</v>
      </c>
      <c r="K302" s="3">
        <v>188.0</v>
      </c>
      <c r="L302" s="3">
        <v>1000.0</v>
      </c>
      <c r="M302" s="3">
        <v>102.0</v>
      </c>
      <c r="N302" s="3">
        <v>200.0</v>
      </c>
      <c r="O302" s="3">
        <v>121.0</v>
      </c>
      <c r="P302" s="3"/>
      <c r="Q302" s="3">
        <v>80.0</v>
      </c>
      <c r="R302" s="3">
        <v>150.0</v>
      </c>
      <c r="S302" s="3">
        <v>417.0</v>
      </c>
      <c r="T302" s="3">
        <v>120.0</v>
      </c>
      <c r="U302" s="3">
        <v>80.0</v>
      </c>
      <c r="V302" s="1">
        <v>88.0</v>
      </c>
      <c r="W302" s="1">
        <v>250.0</v>
      </c>
      <c r="X302" s="1">
        <v>264.0</v>
      </c>
      <c r="Y302" s="1">
        <v>161.0</v>
      </c>
      <c r="Z302" s="1">
        <v>69.0</v>
      </c>
      <c r="AA302" s="3"/>
      <c r="AB302" s="1">
        <v>13.0</v>
      </c>
      <c r="AC302" s="1">
        <v>150.0</v>
      </c>
      <c r="AD302" s="1">
        <v>170.0</v>
      </c>
      <c r="AE302" s="1">
        <v>60.0</v>
      </c>
      <c r="AF302" s="1">
        <v>40.0</v>
      </c>
      <c r="AG302" s="1">
        <v>45.0</v>
      </c>
      <c r="AH302" s="1"/>
      <c r="AI302" s="1">
        <v>205.0</v>
      </c>
      <c r="AJ302" s="1">
        <v>60.0</v>
      </c>
      <c r="AK302" s="1">
        <v>100.0</v>
      </c>
      <c r="AL302" s="1">
        <v>175.0</v>
      </c>
      <c r="AM302" s="1">
        <v>130.0</v>
      </c>
      <c r="AN302" s="3">
        <v>47.0</v>
      </c>
      <c r="AO302" s="3">
        <v>160.0</v>
      </c>
      <c r="AP302" s="3">
        <v>70.0</v>
      </c>
      <c r="AQ302" s="3"/>
      <c r="AR302" s="1">
        <v>854.0</v>
      </c>
      <c r="AS302" s="1">
        <v>250.0</v>
      </c>
      <c r="AT302" s="1">
        <v>220.0</v>
      </c>
      <c r="AU302" s="3">
        <v>423.0</v>
      </c>
      <c r="AV302" s="1">
        <v>120.0</v>
      </c>
      <c r="AW302" s="3">
        <v>200.0</v>
      </c>
      <c r="AX302" s="3"/>
      <c r="AY302" s="3">
        <v>142.0</v>
      </c>
      <c r="AZ302" s="1">
        <v>40.0</v>
      </c>
      <c r="BA302" s="1"/>
      <c r="BB302" s="3">
        <v>402.0</v>
      </c>
      <c r="BC302" s="1">
        <v>150.0</v>
      </c>
      <c r="BD302" s="1">
        <v>190.0</v>
      </c>
      <c r="BE302" s="1">
        <v>80.0</v>
      </c>
      <c r="BF302" s="3">
        <v>328.0</v>
      </c>
      <c r="BG302" s="1">
        <v>213.0</v>
      </c>
      <c r="BH302" s="1">
        <v>23.0</v>
      </c>
      <c r="BI302" s="1">
        <v>40.0</v>
      </c>
      <c r="BJ302" s="1">
        <v>278.0</v>
      </c>
      <c r="BK302" s="3"/>
      <c r="BL302" s="1">
        <v>160.0</v>
      </c>
      <c r="BM302" s="1">
        <v>75.0</v>
      </c>
      <c r="BN302" s="32">
        <v>1802.0</v>
      </c>
      <c r="BO302" s="1">
        <v>47.0</v>
      </c>
      <c r="BP302" s="3">
        <v>48.0</v>
      </c>
      <c r="BQ302" s="1">
        <v>188.0</v>
      </c>
      <c r="BR302" s="27">
        <v>28381.0</v>
      </c>
    </row>
    <row r="303">
      <c r="A303" s="25">
        <f>'Equity Price Data'!A304</f>
        <v>45866.66667</v>
      </c>
      <c r="B303" s="34">
        <f>(('PRACTICE Equity Price Data'!B304/'PRACTICE Equity Price Data'!B303)-1)+B302</f>
        <v>0.2219957867</v>
      </c>
      <c r="C303" s="34">
        <f>(('PRACTICE Equity Price Data'!C304/'PRACTICE Equity Price Data'!C303)-1)+C302</f>
        <v>0.2912285922</v>
      </c>
      <c r="D303" s="34">
        <f>(('PRACTICE Equity Price Data'!D304/'PRACTICE Equity Price Data'!D303)-1)+D302</f>
        <v>0.1445004475</v>
      </c>
      <c r="E303" s="34">
        <f>(('PRACTICE Equity Price Data'!E304/'PRACTICE Equity Price Data'!E303)-1)+E302</f>
        <v>0.1228569475</v>
      </c>
      <c r="F303" s="3">
        <v>13.0</v>
      </c>
      <c r="G303" s="3">
        <v>260.0</v>
      </c>
      <c r="H303" s="3">
        <v>110.0</v>
      </c>
      <c r="I303" s="3">
        <v>256.0</v>
      </c>
      <c r="J303" s="3">
        <v>83.0</v>
      </c>
      <c r="K303" s="3">
        <v>188.0</v>
      </c>
      <c r="L303" s="3">
        <v>1000.0</v>
      </c>
      <c r="M303" s="3">
        <v>102.0</v>
      </c>
      <c r="N303" s="3">
        <v>200.0</v>
      </c>
      <c r="O303" s="3">
        <v>121.0</v>
      </c>
      <c r="P303" s="3"/>
      <c r="Q303" s="3">
        <v>80.0</v>
      </c>
      <c r="R303" s="3">
        <v>150.0</v>
      </c>
      <c r="S303" s="3">
        <v>417.0</v>
      </c>
      <c r="T303" s="3">
        <v>120.0</v>
      </c>
      <c r="U303" s="3">
        <v>80.0</v>
      </c>
      <c r="V303" s="1">
        <v>88.0</v>
      </c>
      <c r="W303" s="1">
        <v>250.0</v>
      </c>
      <c r="X303" s="1">
        <v>264.0</v>
      </c>
      <c r="Y303" s="1">
        <v>161.0</v>
      </c>
      <c r="Z303" s="1">
        <v>69.0</v>
      </c>
      <c r="AA303" s="3"/>
      <c r="AB303" s="1">
        <v>13.0</v>
      </c>
      <c r="AC303" s="1">
        <v>150.0</v>
      </c>
      <c r="AD303" s="1">
        <v>170.0</v>
      </c>
      <c r="AE303" s="1">
        <v>60.0</v>
      </c>
      <c r="AF303" s="1">
        <v>40.0</v>
      </c>
      <c r="AG303" s="1">
        <v>45.0</v>
      </c>
      <c r="AH303" s="1"/>
      <c r="AI303" s="1">
        <v>205.0</v>
      </c>
      <c r="AJ303" s="1">
        <v>60.0</v>
      </c>
      <c r="AK303" s="1">
        <v>100.0</v>
      </c>
      <c r="AL303" s="1">
        <v>175.0</v>
      </c>
      <c r="AM303" s="1">
        <v>130.0</v>
      </c>
      <c r="AN303" s="3">
        <v>47.0</v>
      </c>
      <c r="AO303" s="3">
        <v>160.0</v>
      </c>
      <c r="AP303" s="3">
        <v>70.0</v>
      </c>
      <c r="AQ303" s="3"/>
      <c r="AR303" s="1">
        <v>854.0</v>
      </c>
      <c r="AS303" s="1">
        <v>250.0</v>
      </c>
      <c r="AT303" s="1">
        <v>220.0</v>
      </c>
      <c r="AU303" s="3">
        <v>423.0</v>
      </c>
      <c r="AV303" s="1">
        <v>120.0</v>
      </c>
      <c r="AW303" s="3">
        <v>200.0</v>
      </c>
      <c r="AX303" s="3"/>
      <c r="AY303" s="3">
        <v>142.0</v>
      </c>
      <c r="AZ303" s="1">
        <v>40.0</v>
      </c>
      <c r="BA303" s="1"/>
      <c r="BB303" s="3">
        <v>402.0</v>
      </c>
      <c r="BC303" s="1">
        <v>150.0</v>
      </c>
      <c r="BD303" s="1">
        <v>190.0</v>
      </c>
      <c r="BE303" s="1">
        <v>80.0</v>
      </c>
      <c r="BF303" s="3">
        <v>328.0</v>
      </c>
      <c r="BG303" s="1">
        <v>213.0</v>
      </c>
      <c r="BH303" s="1">
        <v>23.0</v>
      </c>
      <c r="BI303" s="1">
        <v>40.0</v>
      </c>
      <c r="BJ303" s="1">
        <v>278.0</v>
      </c>
      <c r="BK303" s="3"/>
      <c r="BL303" s="1">
        <v>160.0</v>
      </c>
      <c r="BM303" s="1">
        <v>75.0</v>
      </c>
      <c r="BN303" s="32">
        <v>1802.0</v>
      </c>
      <c r="BO303" s="1">
        <v>47.0</v>
      </c>
      <c r="BP303" s="3">
        <v>48.0</v>
      </c>
      <c r="BQ303" s="1">
        <v>188.0</v>
      </c>
      <c r="BR303" s="27">
        <v>28381.0</v>
      </c>
    </row>
    <row r="304">
      <c r="A304" s="25">
        <f>'Equity Price Data'!A305</f>
        <v>45867.66667</v>
      </c>
      <c r="B304" s="34">
        <f>(('PRACTICE Equity Price Data'!B305/'PRACTICE Equity Price Data'!B304)-1)+B303</f>
        <v>0.2190363687</v>
      </c>
      <c r="C304" s="34">
        <f>(('PRACTICE Equity Price Data'!C305/'PRACTICE Equity Price Data'!C304)-1)+C303</f>
        <v>0.2874374976</v>
      </c>
      <c r="D304" s="34">
        <f>(('PRACTICE Equity Price Data'!D305/'PRACTICE Equity Price Data'!D304)-1)+D303</f>
        <v>0.139937978</v>
      </c>
      <c r="E304" s="34">
        <f>(('PRACTICE Equity Price Data'!E305/'PRACTICE Equity Price Data'!E304)-1)+E303</f>
        <v>0.1167551985</v>
      </c>
      <c r="F304" s="3">
        <v>13.0</v>
      </c>
      <c r="G304" s="3">
        <v>260.0</v>
      </c>
      <c r="H304" s="3">
        <v>110.0</v>
      </c>
      <c r="I304" s="3">
        <v>256.0</v>
      </c>
      <c r="J304" s="3">
        <v>83.0</v>
      </c>
      <c r="K304" s="3">
        <v>188.0</v>
      </c>
      <c r="L304" s="3">
        <v>1000.0</v>
      </c>
      <c r="M304" s="3">
        <v>102.0</v>
      </c>
      <c r="N304" s="3">
        <v>200.0</v>
      </c>
      <c r="O304" s="3">
        <v>121.0</v>
      </c>
      <c r="P304" s="3"/>
      <c r="Q304" s="3">
        <v>80.0</v>
      </c>
      <c r="R304" s="3">
        <v>150.0</v>
      </c>
      <c r="S304" s="3">
        <v>417.0</v>
      </c>
      <c r="T304" s="3">
        <v>120.0</v>
      </c>
      <c r="U304" s="3">
        <v>80.0</v>
      </c>
      <c r="V304" s="1">
        <v>88.0</v>
      </c>
      <c r="W304" s="1">
        <v>250.0</v>
      </c>
      <c r="X304" s="1">
        <v>264.0</v>
      </c>
      <c r="Y304" s="1">
        <v>161.0</v>
      </c>
      <c r="Z304" s="1">
        <v>69.0</v>
      </c>
      <c r="AA304" s="3"/>
      <c r="AB304" s="1">
        <v>13.0</v>
      </c>
      <c r="AC304" s="1">
        <v>150.0</v>
      </c>
      <c r="AD304" s="1">
        <v>170.0</v>
      </c>
      <c r="AE304" s="1">
        <v>60.0</v>
      </c>
      <c r="AF304" s="1">
        <v>40.0</v>
      </c>
      <c r="AG304" s="1">
        <v>45.0</v>
      </c>
      <c r="AH304" s="1"/>
      <c r="AI304" s="1">
        <v>205.0</v>
      </c>
      <c r="AJ304" s="1">
        <v>60.0</v>
      </c>
      <c r="AK304" s="1">
        <v>100.0</v>
      </c>
      <c r="AL304" s="1">
        <v>175.0</v>
      </c>
      <c r="AM304" s="1">
        <v>130.0</v>
      </c>
      <c r="AN304" s="3">
        <v>47.0</v>
      </c>
      <c r="AO304" s="3">
        <v>160.0</v>
      </c>
      <c r="AP304" s="3">
        <v>70.0</v>
      </c>
      <c r="AQ304" s="3"/>
      <c r="AR304" s="1">
        <v>854.0</v>
      </c>
      <c r="AS304" s="1">
        <v>250.0</v>
      </c>
      <c r="AT304" s="1">
        <v>220.0</v>
      </c>
      <c r="AU304" s="3">
        <v>423.0</v>
      </c>
      <c r="AV304" s="1">
        <v>120.0</v>
      </c>
      <c r="AW304" s="3">
        <v>200.0</v>
      </c>
      <c r="AX304" s="3"/>
      <c r="AY304" s="3">
        <v>142.0</v>
      </c>
      <c r="AZ304" s="1">
        <v>40.0</v>
      </c>
      <c r="BA304" s="1"/>
      <c r="BB304" s="3">
        <v>402.0</v>
      </c>
      <c r="BC304" s="1">
        <v>150.0</v>
      </c>
      <c r="BD304" s="1">
        <v>190.0</v>
      </c>
      <c r="BE304" s="1">
        <v>80.0</v>
      </c>
      <c r="BF304" s="3">
        <v>328.0</v>
      </c>
      <c r="BG304" s="1">
        <v>213.0</v>
      </c>
      <c r="BH304" s="1">
        <v>23.0</v>
      </c>
      <c r="BI304" s="1">
        <v>40.0</v>
      </c>
      <c r="BJ304" s="1">
        <v>278.0</v>
      </c>
      <c r="BK304" s="3"/>
      <c r="BL304" s="1">
        <v>160.0</v>
      </c>
      <c r="BM304" s="1">
        <v>75.0</v>
      </c>
      <c r="BN304" s="32">
        <v>1802.0</v>
      </c>
      <c r="BO304" s="1">
        <v>47.0</v>
      </c>
      <c r="BP304" s="3">
        <v>48.0</v>
      </c>
      <c r="BQ304" s="1">
        <v>188.0</v>
      </c>
      <c r="BR304" s="27">
        <v>28381.0</v>
      </c>
    </row>
    <row r="305">
      <c r="A305" s="25">
        <f>'Equity Price Data'!A306</f>
        <v>45868.66667</v>
      </c>
      <c r="B305" s="34">
        <f>(('PRACTICE Equity Price Data'!B306/'PRACTICE Equity Price Data'!B305)-1)+B304</f>
        <v>0.2177869299</v>
      </c>
      <c r="C305" s="34">
        <f>(('PRACTICE Equity Price Data'!C306/'PRACTICE Equity Price Data'!C305)-1)+C304</f>
        <v>0.2889248219</v>
      </c>
      <c r="D305" s="34">
        <f>(('PRACTICE Equity Price Data'!D306/'PRACTICE Equity Price Data'!D305)-1)+D304</f>
        <v>0.1360908236</v>
      </c>
      <c r="E305" s="34">
        <f>(('PRACTICE Equity Price Data'!E306/'PRACTICE Equity Price Data'!E305)-1)+E304</f>
        <v>0.1120471342</v>
      </c>
      <c r="F305" s="3">
        <v>13.0</v>
      </c>
      <c r="G305" s="3">
        <v>260.0</v>
      </c>
      <c r="H305" s="3">
        <v>110.0</v>
      </c>
      <c r="I305" s="3">
        <v>256.0</v>
      </c>
      <c r="J305" s="3">
        <v>83.0</v>
      </c>
      <c r="K305" s="3">
        <v>188.0</v>
      </c>
      <c r="L305" s="3">
        <v>1000.0</v>
      </c>
      <c r="M305" s="3">
        <v>102.0</v>
      </c>
      <c r="N305" s="3">
        <v>200.0</v>
      </c>
      <c r="O305" s="3">
        <v>121.0</v>
      </c>
      <c r="P305" s="3"/>
      <c r="Q305" s="3">
        <v>80.0</v>
      </c>
      <c r="R305" s="3">
        <v>150.0</v>
      </c>
      <c r="S305" s="3">
        <v>417.0</v>
      </c>
      <c r="T305" s="3">
        <v>120.0</v>
      </c>
      <c r="U305" s="3">
        <v>80.0</v>
      </c>
      <c r="V305" s="1">
        <v>88.0</v>
      </c>
      <c r="W305" s="1">
        <v>250.0</v>
      </c>
      <c r="X305" s="1">
        <v>264.0</v>
      </c>
      <c r="Y305" s="1">
        <v>161.0</v>
      </c>
      <c r="Z305" s="1">
        <v>69.0</v>
      </c>
      <c r="AA305" s="3"/>
      <c r="AB305" s="1">
        <v>13.0</v>
      </c>
      <c r="AC305" s="1">
        <v>150.0</v>
      </c>
      <c r="AD305" s="1">
        <v>170.0</v>
      </c>
      <c r="AE305" s="1">
        <v>60.0</v>
      </c>
      <c r="AF305" s="1">
        <v>40.0</v>
      </c>
      <c r="AG305" s="1">
        <v>45.0</v>
      </c>
      <c r="AH305" s="1"/>
      <c r="AI305" s="1">
        <v>205.0</v>
      </c>
      <c r="AJ305" s="1">
        <v>60.0</v>
      </c>
      <c r="AK305" s="1">
        <v>100.0</v>
      </c>
      <c r="AL305" s="1">
        <v>175.0</v>
      </c>
      <c r="AM305" s="1">
        <v>130.0</v>
      </c>
      <c r="AN305" s="3">
        <v>47.0</v>
      </c>
      <c r="AO305" s="3">
        <v>160.0</v>
      </c>
      <c r="AP305" s="3">
        <v>70.0</v>
      </c>
      <c r="AQ305" s="3"/>
      <c r="AR305" s="1">
        <v>854.0</v>
      </c>
      <c r="AS305" s="1">
        <v>250.0</v>
      </c>
      <c r="AT305" s="1">
        <v>220.0</v>
      </c>
      <c r="AU305" s="3">
        <v>423.0</v>
      </c>
      <c r="AV305" s="1">
        <v>120.0</v>
      </c>
      <c r="AW305" s="3">
        <v>200.0</v>
      </c>
      <c r="AX305" s="3"/>
      <c r="AY305" s="3">
        <v>142.0</v>
      </c>
      <c r="AZ305" s="1">
        <v>40.0</v>
      </c>
      <c r="BA305" s="1"/>
      <c r="BB305" s="3">
        <v>402.0</v>
      </c>
      <c r="BC305" s="1">
        <v>150.0</v>
      </c>
      <c r="BD305" s="1">
        <v>190.0</v>
      </c>
      <c r="BE305" s="1">
        <v>80.0</v>
      </c>
      <c r="BF305" s="3">
        <v>328.0</v>
      </c>
      <c r="BG305" s="1">
        <v>213.0</v>
      </c>
      <c r="BH305" s="1">
        <v>23.0</v>
      </c>
      <c r="BI305" s="1">
        <v>40.0</v>
      </c>
      <c r="BJ305" s="1">
        <v>278.0</v>
      </c>
      <c r="BK305" s="3"/>
      <c r="BL305" s="1">
        <v>160.0</v>
      </c>
      <c r="BM305" s="1">
        <v>75.0</v>
      </c>
      <c r="BN305" s="32">
        <v>1802.0</v>
      </c>
      <c r="BO305" s="1">
        <v>47.0</v>
      </c>
      <c r="BP305" s="3">
        <v>48.0</v>
      </c>
      <c r="BQ305" s="1">
        <v>188.0</v>
      </c>
      <c r="BR305" s="27">
        <v>28381.0</v>
      </c>
    </row>
    <row r="306">
      <c r="A306" s="25">
        <f>'Equity Price Data'!A307</f>
        <v>45869.66667</v>
      </c>
      <c r="B306" s="34">
        <f>(('PRACTICE Equity Price Data'!B307/'PRACTICE Equity Price Data'!B306)-1)+B305</f>
        <v>0.2140920738</v>
      </c>
      <c r="C306" s="34">
        <f>(('PRACTICE Equity Price Data'!C307/'PRACTICE Equity Price Data'!C306)-1)+C305</f>
        <v>0.2885831223</v>
      </c>
      <c r="D306" s="34">
        <f>(('PRACTICE Equity Price Data'!D307/'PRACTICE Equity Price Data'!D306)-1)+D305</f>
        <v>0.1286618877</v>
      </c>
      <c r="E306" s="34">
        <f>(('PRACTICE Equity Price Data'!E307/'PRACTICE Equity Price Data'!E306)-1)+E305</f>
        <v>0.102752205</v>
      </c>
      <c r="F306" s="3">
        <v>13.0</v>
      </c>
      <c r="G306" s="3">
        <v>260.0</v>
      </c>
      <c r="H306" s="3">
        <v>110.0</v>
      </c>
      <c r="I306" s="3">
        <v>256.0</v>
      </c>
      <c r="J306" s="3">
        <v>83.0</v>
      </c>
      <c r="K306" s="3">
        <v>188.0</v>
      </c>
      <c r="L306" s="3">
        <v>1000.0</v>
      </c>
      <c r="M306" s="3">
        <v>102.0</v>
      </c>
      <c r="N306" s="3">
        <v>200.0</v>
      </c>
      <c r="O306" s="3">
        <v>121.0</v>
      </c>
      <c r="P306" s="3"/>
      <c r="Q306" s="3">
        <v>80.0</v>
      </c>
      <c r="R306" s="3">
        <v>150.0</v>
      </c>
      <c r="S306" s="3">
        <v>417.0</v>
      </c>
      <c r="T306" s="3">
        <v>120.0</v>
      </c>
      <c r="U306" s="3">
        <v>80.0</v>
      </c>
      <c r="V306" s="1">
        <v>88.0</v>
      </c>
      <c r="W306" s="1">
        <v>250.0</v>
      </c>
      <c r="X306" s="1">
        <v>264.0</v>
      </c>
      <c r="Y306" s="1">
        <v>161.0</v>
      </c>
      <c r="Z306" s="1">
        <v>69.0</v>
      </c>
      <c r="AA306" s="3"/>
      <c r="AB306" s="1">
        <v>13.0</v>
      </c>
      <c r="AC306" s="1">
        <v>150.0</v>
      </c>
      <c r="AD306" s="1">
        <v>170.0</v>
      </c>
      <c r="AE306" s="1">
        <v>60.0</v>
      </c>
      <c r="AF306" s="1">
        <v>40.0</v>
      </c>
      <c r="AG306" s="1">
        <v>45.0</v>
      </c>
      <c r="AH306" s="1"/>
      <c r="AI306" s="1">
        <v>205.0</v>
      </c>
      <c r="AJ306" s="1">
        <v>60.0</v>
      </c>
      <c r="AK306" s="1">
        <v>100.0</v>
      </c>
      <c r="AL306" s="1">
        <v>175.0</v>
      </c>
      <c r="AM306" s="1">
        <v>130.0</v>
      </c>
      <c r="AN306" s="3">
        <v>47.0</v>
      </c>
      <c r="AO306" s="3">
        <v>160.0</v>
      </c>
      <c r="AP306" s="3">
        <v>70.0</v>
      </c>
      <c r="AQ306" s="3"/>
      <c r="AR306" s="1">
        <v>854.0</v>
      </c>
      <c r="AS306" s="1">
        <v>250.0</v>
      </c>
      <c r="AT306" s="1">
        <v>220.0</v>
      </c>
      <c r="AU306" s="3">
        <v>423.0</v>
      </c>
      <c r="AV306" s="1">
        <v>120.0</v>
      </c>
      <c r="AW306" s="3">
        <v>200.0</v>
      </c>
      <c r="AX306" s="3"/>
      <c r="AY306" s="3">
        <v>142.0</v>
      </c>
      <c r="AZ306" s="1">
        <v>40.0</v>
      </c>
      <c r="BA306" s="1"/>
      <c r="BB306" s="3">
        <v>402.0</v>
      </c>
      <c r="BC306" s="1">
        <v>150.0</v>
      </c>
      <c r="BD306" s="1">
        <v>190.0</v>
      </c>
      <c r="BE306" s="1">
        <v>80.0</v>
      </c>
      <c r="BF306" s="3">
        <v>328.0</v>
      </c>
      <c r="BG306" s="1">
        <v>213.0</v>
      </c>
      <c r="BH306" s="1">
        <v>23.0</v>
      </c>
      <c r="BI306" s="1">
        <v>40.0</v>
      </c>
      <c r="BJ306" s="1">
        <v>278.0</v>
      </c>
      <c r="BK306" s="3"/>
      <c r="BL306" s="1">
        <v>160.0</v>
      </c>
      <c r="BM306" s="1">
        <v>75.0</v>
      </c>
      <c r="BN306" s="32">
        <v>1802.0</v>
      </c>
      <c r="BO306" s="1">
        <v>47.0</v>
      </c>
      <c r="BP306" s="3">
        <v>48.0</v>
      </c>
      <c r="BQ306" s="1">
        <v>188.0</v>
      </c>
      <c r="BR306" s="27">
        <v>28381.0</v>
      </c>
    </row>
    <row r="307">
      <c r="A307" s="25">
        <f>'Equity Price Data'!A308</f>
        <v>45870.66667</v>
      </c>
      <c r="B307" s="34">
        <f>(('PRACTICE Equity Price Data'!B308/'PRACTICE Equity Price Data'!B307)-1)+B306</f>
        <v>0.1980999988</v>
      </c>
      <c r="C307" s="34">
        <f>(('PRACTICE Equity Price Data'!C308/'PRACTICE Equity Price Data'!C307)-1)+C306</f>
        <v>0.2662220799</v>
      </c>
      <c r="D307" s="34">
        <f>(('PRACTICE Equity Price Data'!D308/'PRACTICE Equity Price Data'!D307)-1)+D306</f>
        <v>0.1163712021</v>
      </c>
      <c r="E307" s="34">
        <f>(('PRACTICE Equity Price Data'!E308/'PRACTICE Equity Price Data'!E307)-1)+E306</f>
        <v>0.0824641847</v>
      </c>
      <c r="F307" s="3">
        <v>13.0</v>
      </c>
      <c r="G307" s="3">
        <v>260.0</v>
      </c>
      <c r="H307" s="3">
        <v>110.0</v>
      </c>
      <c r="I307" s="3">
        <v>256.0</v>
      </c>
      <c r="J307" s="3">
        <v>83.0</v>
      </c>
      <c r="K307" s="3">
        <v>188.0</v>
      </c>
      <c r="L307" s="3">
        <v>1000.0</v>
      </c>
      <c r="M307" s="3">
        <v>102.0</v>
      </c>
      <c r="N307" s="3">
        <v>200.0</v>
      </c>
      <c r="O307" s="3">
        <v>121.0</v>
      </c>
      <c r="P307" s="3"/>
      <c r="Q307" s="3">
        <v>80.0</v>
      </c>
      <c r="R307" s="3">
        <v>150.0</v>
      </c>
      <c r="S307" s="3">
        <v>417.0</v>
      </c>
      <c r="T307" s="3">
        <v>120.0</v>
      </c>
      <c r="U307" s="3">
        <v>80.0</v>
      </c>
      <c r="V307" s="1">
        <v>88.0</v>
      </c>
      <c r="W307" s="1">
        <v>250.0</v>
      </c>
      <c r="X307" s="1">
        <v>264.0</v>
      </c>
      <c r="Y307" s="1">
        <v>161.0</v>
      </c>
      <c r="Z307" s="1">
        <v>69.0</v>
      </c>
      <c r="AA307" s="3"/>
      <c r="AB307" s="1">
        <v>13.0</v>
      </c>
      <c r="AC307" s="1">
        <v>150.0</v>
      </c>
      <c r="AD307" s="1">
        <v>170.0</v>
      </c>
      <c r="AE307" s="1">
        <v>60.0</v>
      </c>
      <c r="AF307" s="1">
        <v>40.0</v>
      </c>
      <c r="AG307" s="1">
        <v>45.0</v>
      </c>
      <c r="AH307" s="1"/>
      <c r="AI307" s="1">
        <v>205.0</v>
      </c>
      <c r="AJ307" s="1">
        <v>60.0</v>
      </c>
      <c r="AK307" s="1">
        <v>100.0</v>
      </c>
      <c r="AL307" s="1">
        <v>175.0</v>
      </c>
      <c r="AM307" s="1">
        <v>130.0</v>
      </c>
      <c r="AN307" s="3">
        <v>47.0</v>
      </c>
      <c r="AO307" s="3">
        <v>160.0</v>
      </c>
      <c r="AP307" s="3">
        <v>70.0</v>
      </c>
      <c r="AQ307" s="3"/>
      <c r="AR307" s="1">
        <v>854.0</v>
      </c>
      <c r="AS307" s="1">
        <v>250.0</v>
      </c>
      <c r="AT307" s="1">
        <v>220.0</v>
      </c>
      <c r="AU307" s="3">
        <v>423.0</v>
      </c>
      <c r="AV307" s="1">
        <v>120.0</v>
      </c>
      <c r="AW307" s="3">
        <v>200.0</v>
      </c>
      <c r="AX307" s="3"/>
      <c r="AY307" s="3">
        <v>142.0</v>
      </c>
      <c r="AZ307" s="1">
        <v>40.0</v>
      </c>
      <c r="BA307" s="1"/>
      <c r="BB307" s="3">
        <v>402.0</v>
      </c>
      <c r="BC307" s="1">
        <v>150.0</v>
      </c>
      <c r="BD307" s="1">
        <v>190.0</v>
      </c>
      <c r="BE307" s="1">
        <v>80.0</v>
      </c>
      <c r="BF307" s="3">
        <v>328.0</v>
      </c>
      <c r="BG307" s="1">
        <v>213.0</v>
      </c>
      <c r="BH307" s="1">
        <v>23.0</v>
      </c>
      <c r="BI307" s="1">
        <v>40.0</v>
      </c>
      <c r="BJ307" s="1">
        <v>278.0</v>
      </c>
      <c r="BK307" s="3"/>
      <c r="BL307" s="1">
        <v>160.0</v>
      </c>
      <c r="BM307" s="1">
        <v>75.0</v>
      </c>
      <c r="BN307" s="32">
        <v>1802.0</v>
      </c>
      <c r="BO307" s="1">
        <v>47.0</v>
      </c>
      <c r="BP307" s="3">
        <v>48.0</v>
      </c>
      <c r="BQ307" s="1">
        <v>188.0</v>
      </c>
      <c r="BR307" s="27">
        <v>28381.0</v>
      </c>
    </row>
    <row r="308">
      <c r="A308" s="25">
        <f>'Equity Price Data'!A309</f>
        <v>45873.66667</v>
      </c>
      <c r="B308" s="34">
        <f>(('PRACTICE Equity Price Data'!B309/'PRACTICE Equity Price Data'!B308)-1)+B307</f>
        <v>0.2128370704</v>
      </c>
      <c r="C308" s="34">
        <f>(('PRACTICE Equity Price Data'!C309/'PRACTICE Equity Price Data'!C308)-1)+C307</f>
        <v>0.2857594872</v>
      </c>
      <c r="D308" s="34">
        <f>(('PRACTICE Equity Price Data'!D309/'PRACTICE Equity Price Data'!D308)-1)+D307</f>
        <v>0.1297935251</v>
      </c>
      <c r="E308" s="34">
        <f>(('PRACTICE Equity Price Data'!E309/'PRACTICE Equity Price Data'!E308)-1)+E307</f>
        <v>0.1034723166</v>
      </c>
      <c r="F308" s="3">
        <v>13.0</v>
      </c>
      <c r="G308" s="3">
        <v>260.0</v>
      </c>
      <c r="H308" s="3">
        <v>110.0</v>
      </c>
      <c r="I308" s="3">
        <v>256.0</v>
      </c>
      <c r="J308" s="3">
        <v>83.0</v>
      </c>
      <c r="K308" s="3">
        <v>188.0</v>
      </c>
      <c r="L308" s="3">
        <v>1000.0</v>
      </c>
      <c r="M308" s="3">
        <v>102.0</v>
      </c>
      <c r="N308" s="3">
        <v>200.0</v>
      </c>
      <c r="O308" s="3">
        <v>121.0</v>
      </c>
      <c r="P308" s="3"/>
      <c r="Q308" s="3">
        <v>80.0</v>
      </c>
      <c r="R308" s="3">
        <v>150.0</v>
      </c>
      <c r="S308" s="3">
        <v>417.0</v>
      </c>
      <c r="T308" s="3">
        <v>120.0</v>
      </c>
      <c r="U308" s="3">
        <v>80.0</v>
      </c>
      <c r="V308" s="1">
        <v>88.0</v>
      </c>
      <c r="W308" s="1">
        <v>250.0</v>
      </c>
      <c r="X308" s="1">
        <v>264.0</v>
      </c>
      <c r="Y308" s="1">
        <v>161.0</v>
      </c>
      <c r="Z308" s="1">
        <v>69.0</v>
      </c>
      <c r="AA308" s="3"/>
      <c r="AB308" s="1">
        <v>13.0</v>
      </c>
      <c r="AC308" s="1">
        <v>150.0</v>
      </c>
      <c r="AD308" s="1">
        <v>170.0</v>
      </c>
      <c r="AE308" s="1">
        <v>60.0</v>
      </c>
      <c r="AF308" s="1">
        <v>40.0</v>
      </c>
      <c r="AG308" s="1">
        <v>45.0</v>
      </c>
      <c r="AH308" s="1"/>
      <c r="AI308" s="1">
        <v>205.0</v>
      </c>
      <c r="AJ308" s="1">
        <v>60.0</v>
      </c>
      <c r="AK308" s="1">
        <v>100.0</v>
      </c>
      <c r="AL308" s="1">
        <v>175.0</v>
      </c>
      <c r="AM308" s="1">
        <v>130.0</v>
      </c>
      <c r="AN308" s="3">
        <v>47.0</v>
      </c>
      <c r="AO308" s="3">
        <v>160.0</v>
      </c>
      <c r="AP308" s="3">
        <v>70.0</v>
      </c>
      <c r="AQ308" s="3"/>
      <c r="AR308" s="1">
        <v>854.0</v>
      </c>
      <c r="AS308" s="1">
        <v>250.0</v>
      </c>
      <c r="AT308" s="1">
        <v>220.0</v>
      </c>
      <c r="AU308" s="3">
        <v>423.0</v>
      </c>
      <c r="AV308" s="1">
        <v>120.0</v>
      </c>
      <c r="AW308" s="3">
        <v>200.0</v>
      </c>
      <c r="AX308" s="3"/>
      <c r="AY308" s="3">
        <v>142.0</v>
      </c>
      <c r="AZ308" s="1">
        <v>40.0</v>
      </c>
      <c r="BA308" s="1"/>
      <c r="BB308" s="3">
        <v>402.0</v>
      </c>
      <c r="BC308" s="1">
        <v>150.0</v>
      </c>
      <c r="BD308" s="1">
        <v>190.0</v>
      </c>
      <c r="BE308" s="1">
        <v>80.0</v>
      </c>
      <c r="BF308" s="3">
        <v>328.0</v>
      </c>
      <c r="BG308" s="1">
        <v>213.0</v>
      </c>
      <c r="BH308" s="1">
        <v>23.0</v>
      </c>
      <c r="BI308" s="1">
        <v>40.0</v>
      </c>
      <c r="BJ308" s="1">
        <v>278.0</v>
      </c>
      <c r="BK308" s="3"/>
      <c r="BL308" s="1">
        <v>160.0</v>
      </c>
      <c r="BM308" s="1">
        <v>75.0</v>
      </c>
      <c r="BN308" s="32">
        <v>1802.0</v>
      </c>
      <c r="BO308" s="1">
        <v>47.0</v>
      </c>
      <c r="BP308" s="3">
        <v>48.0</v>
      </c>
      <c r="BQ308" s="1">
        <v>188.0</v>
      </c>
      <c r="BR308" s="27">
        <v>34127.0</v>
      </c>
    </row>
    <row r="309">
      <c r="A309" s="25">
        <f>'Equity Price Data'!A310</f>
        <v>45874.66667</v>
      </c>
      <c r="B309" s="34">
        <f>(('PRACTICE Equity Price Data'!B310/'PRACTICE Equity Price Data'!B309)-1)+B308</f>
        <v>0.2079792045</v>
      </c>
      <c r="C309" s="34">
        <f>(('PRACTICE Equity Price Data'!C310/'PRACTICE Equity Price Data'!C309)-1)+C308</f>
        <v>0.2792508554</v>
      </c>
      <c r="D309" s="34">
        <f>(('PRACTICE Equity Price Data'!D310/'PRACTICE Equity Price Data'!D309)-1)+D308</f>
        <v>0.1283922369</v>
      </c>
      <c r="E309" s="34">
        <f>(('PRACTICE Equity Price Data'!E310/'PRACTICE Equity Price Data'!E309)-1)+E308</f>
        <v>0.1095158007</v>
      </c>
      <c r="F309" s="3">
        <v>13.0</v>
      </c>
      <c r="G309" s="3">
        <v>260.0</v>
      </c>
      <c r="H309" s="3">
        <v>110.0</v>
      </c>
      <c r="I309" s="3">
        <v>256.0</v>
      </c>
      <c r="J309" s="3">
        <v>83.0</v>
      </c>
      <c r="K309" s="3">
        <v>188.0</v>
      </c>
      <c r="L309" s="3">
        <v>1000.0</v>
      </c>
      <c r="M309" s="3">
        <v>102.0</v>
      </c>
      <c r="N309" s="3">
        <v>200.0</v>
      </c>
      <c r="O309" s="3">
        <v>121.0</v>
      </c>
      <c r="P309" s="3"/>
      <c r="Q309" s="3">
        <v>80.0</v>
      </c>
      <c r="R309" s="3">
        <v>150.0</v>
      </c>
      <c r="S309" s="3">
        <v>417.0</v>
      </c>
      <c r="T309" s="3">
        <v>120.0</v>
      </c>
      <c r="U309" s="3">
        <v>80.0</v>
      </c>
      <c r="V309" s="1">
        <v>88.0</v>
      </c>
      <c r="W309" s="1">
        <v>250.0</v>
      </c>
      <c r="X309" s="1">
        <v>264.0</v>
      </c>
      <c r="Y309" s="1">
        <v>161.0</v>
      </c>
      <c r="Z309" s="1">
        <v>69.0</v>
      </c>
      <c r="AA309" s="3"/>
      <c r="AB309" s="1">
        <v>13.0</v>
      </c>
      <c r="AC309" s="1">
        <v>150.0</v>
      </c>
      <c r="AD309" s="1">
        <v>170.0</v>
      </c>
      <c r="AE309" s="1">
        <v>60.0</v>
      </c>
      <c r="AF309" s="1">
        <v>40.0</v>
      </c>
      <c r="AG309" s="1">
        <v>45.0</v>
      </c>
      <c r="AH309" s="1"/>
      <c r="AI309" s="1">
        <v>205.0</v>
      </c>
      <c r="AJ309" s="1">
        <v>60.0</v>
      </c>
      <c r="AK309" s="1">
        <v>100.0</v>
      </c>
      <c r="AL309" s="1">
        <v>175.0</v>
      </c>
      <c r="AM309" s="1">
        <v>130.0</v>
      </c>
      <c r="AN309" s="3">
        <v>47.0</v>
      </c>
      <c r="AO309" s="3">
        <v>160.0</v>
      </c>
      <c r="AP309" s="3">
        <v>70.0</v>
      </c>
      <c r="AQ309" s="3"/>
      <c r="AR309" s="1">
        <v>854.0</v>
      </c>
      <c r="AS309" s="1">
        <v>250.0</v>
      </c>
      <c r="AT309" s="1">
        <v>220.0</v>
      </c>
      <c r="AU309" s="3">
        <v>423.0</v>
      </c>
      <c r="AV309" s="1">
        <v>120.0</v>
      </c>
      <c r="AW309" s="3">
        <v>200.0</v>
      </c>
      <c r="AX309" s="3"/>
      <c r="AY309" s="3">
        <v>142.0</v>
      </c>
      <c r="AZ309" s="1">
        <v>40.0</v>
      </c>
      <c r="BA309" s="1"/>
      <c r="BB309" s="3">
        <v>402.0</v>
      </c>
      <c r="BC309" s="1">
        <v>150.0</v>
      </c>
      <c r="BD309" s="1">
        <v>190.0</v>
      </c>
      <c r="BE309" s="1">
        <v>80.0</v>
      </c>
      <c r="BF309" s="3">
        <v>328.0</v>
      </c>
      <c r="BG309" s="1">
        <v>213.0</v>
      </c>
      <c r="BH309" s="1">
        <v>23.0</v>
      </c>
      <c r="BI309" s="1">
        <v>40.0</v>
      </c>
      <c r="BJ309" s="1">
        <v>278.0</v>
      </c>
      <c r="BK309" s="3"/>
      <c r="BL309" s="1">
        <v>160.0</v>
      </c>
      <c r="BM309" s="1">
        <v>75.0</v>
      </c>
      <c r="BN309" s="32">
        <v>1802.0</v>
      </c>
      <c r="BO309" s="1">
        <v>47.0</v>
      </c>
      <c r="BP309" s="3">
        <v>48.0</v>
      </c>
      <c r="BQ309" s="1">
        <v>188.0</v>
      </c>
      <c r="BR309" s="27">
        <v>34127.0</v>
      </c>
    </row>
    <row r="310">
      <c r="A310" s="25">
        <f>'Equity Price Data'!A311</f>
        <v>45875.66667</v>
      </c>
      <c r="B310" s="34">
        <f>(('PRACTICE Equity Price Data'!B311/'PRACTICE Equity Price Data'!B310)-1)+B309</f>
        <v>0.2152610931</v>
      </c>
      <c r="C310" s="34">
        <f>(('PRACTICE Equity Price Data'!C311/'PRACTICE Equity Price Data'!C310)-1)+C309</f>
        <v>0.2913403252</v>
      </c>
      <c r="D310" s="34">
        <f>(('PRACTICE Equity Price Data'!D311/'PRACTICE Equity Price Data'!D310)-1)+D309</f>
        <v>0.1302370973</v>
      </c>
      <c r="E310" s="34">
        <f>(('PRACTICE Equity Price Data'!E311/'PRACTICE Equity Price Data'!E310)-1)+E309</f>
        <v>0.107547854</v>
      </c>
      <c r="F310" s="3">
        <v>13.0</v>
      </c>
      <c r="G310" s="3">
        <v>260.0</v>
      </c>
      <c r="H310" s="3">
        <v>110.0</v>
      </c>
      <c r="I310" s="3">
        <v>256.0</v>
      </c>
      <c r="J310" s="3">
        <v>83.0</v>
      </c>
      <c r="K310" s="3">
        <v>188.0</v>
      </c>
      <c r="L310" s="3">
        <v>1000.0</v>
      </c>
      <c r="M310" s="3">
        <v>102.0</v>
      </c>
      <c r="N310" s="3">
        <v>200.0</v>
      </c>
      <c r="O310" s="3">
        <v>121.0</v>
      </c>
      <c r="P310" s="3"/>
      <c r="Q310" s="3">
        <v>80.0</v>
      </c>
      <c r="R310" s="3">
        <v>150.0</v>
      </c>
      <c r="S310" s="3">
        <v>417.0</v>
      </c>
      <c r="T310" s="3">
        <v>120.0</v>
      </c>
      <c r="U310" s="3">
        <v>80.0</v>
      </c>
      <c r="V310" s="1">
        <v>88.0</v>
      </c>
      <c r="W310" s="1">
        <v>250.0</v>
      </c>
      <c r="X310" s="1">
        <v>264.0</v>
      </c>
      <c r="Y310" s="1">
        <v>161.0</v>
      </c>
      <c r="Z310" s="1">
        <v>69.0</v>
      </c>
      <c r="AA310" s="3"/>
      <c r="AB310" s="1">
        <v>13.0</v>
      </c>
      <c r="AC310" s="1">
        <v>150.0</v>
      </c>
      <c r="AD310" s="1">
        <v>170.0</v>
      </c>
      <c r="AE310" s="1">
        <v>60.0</v>
      </c>
      <c r="AF310" s="1">
        <v>40.0</v>
      </c>
      <c r="AG310" s="1">
        <v>45.0</v>
      </c>
      <c r="AH310" s="1"/>
      <c r="AI310" s="1">
        <v>205.0</v>
      </c>
      <c r="AJ310" s="1">
        <v>60.0</v>
      </c>
      <c r="AK310" s="1">
        <v>100.0</v>
      </c>
      <c r="AL310" s="1">
        <v>175.0</v>
      </c>
      <c r="AM310" s="1">
        <v>130.0</v>
      </c>
      <c r="AN310" s="3">
        <v>47.0</v>
      </c>
      <c r="AO310" s="3">
        <v>160.0</v>
      </c>
      <c r="AP310" s="3">
        <v>70.0</v>
      </c>
      <c r="AQ310" s="3"/>
      <c r="AR310" s="1">
        <v>854.0</v>
      </c>
      <c r="AS310" s="1">
        <v>250.0</v>
      </c>
      <c r="AT310" s="1">
        <v>220.0</v>
      </c>
      <c r="AU310" s="3">
        <v>423.0</v>
      </c>
      <c r="AV310" s="1">
        <v>120.0</v>
      </c>
      <c r="AW310" s="3">
        <v>200.0</v>
      </c>
      <c r="AX310" s="3"/>
      <c r="AY310" s="3">
        <v>142.0</v>
      </c>
      <c r="AZ310" s="1">
        <v>40.0</v>
      </c>
      <c r="BA310" s="1"/>
      <c r="BB310" s="3">
        <v>402.0</v>
      </c>
      <c r="BC310" s="1">
        <v>150.0</v>
      </c>
      <c r="BD310" s="1">
        <v>190.0</v>
      </c>
      <c r="BE310" s="1">
        <v>80.0</v>
      </c>
      <c r="BF310" s="3">
        <v>328.0</v>
      </c>
      <c r="BG310" s="1">
        <v>213.0</v>
      </c>
      <c r="BH310" s="1">
        <v>23.0</v>
      </c>
      <c r="BI310" s="1">
        <v>40.0</v>
      </c>
      <c r="BJ310" s="1">
        <v>278.0</v>
      </c>
      <c r="BK310" s="3"/>
      <c r="BL310" s="1">
        <v>160.0</v>
      </c>
      <c r="BM310" s="1">
        <v>75.0</v>
      </c>
      <c r="BN310" s="32">
        <v>1802.0</v>
      </c>
      <c r="BO310" s="1">
        <v>47.0</v>
      </c>
      <c r="BP310" s="3">
        <v>48.0</v>
      </c>
      <c r="BQ310" s="1">
        <v>188.0</v>
      </c>
      <c r="BR310" s="27">
        <v>34127.0</v>
      </c>
    </row>
    <row r="311">
      <c r="A311" s="25">
        <f>'Equity Price Data'!A312</f>
        <v>45876.66667</v>
      </c>
      <c r="B311" s="34">
        <f>(('PRACTICE Equity Price Data'!B312/'PRACTICE Equity Price Data'!B311)-1)+B310</f>
        <v>0.2144636223</v>
      </c>
      <c r="C311" s="34">
        <f>(('PRACTICE Equity Price Data'!C312/'PRACTICE Equity Price Data'!C311)-1)+C310</f>
        <v>0.2948019222</v>
      </c>
      <c r="D311" s="34">
        <f>(('PRACTICE Equity Price Data'!D312/'PRACTICE Equity Price Data'!D311)-1)+D310</f>
        <v>0.1251575736</v>
      </c>
      <c r="E311" s="34">
        <f>(('PRACTICE Equity Price Data'!E312/'PRACTICE Equity Price Data'!E311)-1)+E310</f>
        <v>0.1045901132</v>
      </c>
      <c r="F311" s="3">
        <v>13.0</v>
      </c>
      <c r="G311" s="3">
        <v>260.0</v>
      </c>
      <c r="H311" s="3">
        <v>110.0</v>
      </c>
      <c r="I311" s="3">
        <v>256.0</v>
      </c>
      <c r="J311" s="3">
        <v>83.0</v>
      </c>
      <c r="K311" s="3">
        <v>188.0</v>
      </c>
      <c r="L311" s="3">
        <v>1000.0</v>
      </c>
      <c r="M311" s="3">
        <v>102.0</v>
      </c>
      <c r="N311" s="3">
        <v>200.0</v>
      </c>
      <c r="O311" s="3">
        <v>121.0</v>
      </c>
      <c r="P311" s="3"/>
      <c r="Q311" s="3">
        <v>80.0</v>
      </c>
      <c r="R311" s="3">
        <v>150.0</v>
      </c>
      <c r="S311" s="3">
        <v>417.0</v>
      </c>
      <c r="T311" s="3">
        <v>120.0</v>
      </c>
      <c r="U311" s="3">
        <v>80.0</v>
      </c>
      <c r="V311" s="1">
        <v>88.0</v>
      </c>
      <c r="W311" s="1">
        <v>250.0</v>
      </c>
      <c r="X311" s="1">
        <v>264.0</v>
      </c>
      <c r="Y311" s="1">
        <v>161.0</v>
      </c>
      <c r="Z311" s="1">
        <v>69.0</v>
      </c>
      <c r="AA311" s="3"/>
      <c r="AB311" s="1">
        <v>13.0</v>
      </c>
      <c r="AC311" s="1">
        <v>150.0</v>
      </c>
      <c r="AD311" s="1">
        <v>170.0</v>
      </c>
      <c r="AE311" s="1">
        <v>60.0</v>
      </c>
      <c r="AF311" s="1">
        <v>40.0</v>
      </c>
      <c r="AG311" s="1">
        <v>45.0</v>
      </c>
      <c r="AH311" s="1"/>
      <c r="AI311" s="1">
        <v>205.0</v>
      </c>
      <c r="AJ311" s="1">
        <v>60.0</v>
      </c>
      <c r="AK311" s="1">
        <v>100.0</v>
      </c>
      <c r="AL311" s="1">
        <v>175.0</v>
      </c>
      <c r="AM311" s="1">
        <v>130.0</v>
      </c>
      <c r="AN311" s="3">
        <v>47.0</v>
      </c>
      <c r="AO311" s="3">
        <v>160.0</v>
      </c>
      <c r="AP311" s="3">
        <v>70.0</v>
      </c>
      <c r="AQ311" s="3"/>
      <c r="AR311" s="1">
        <v>854.0</v>
      </c>
      <c r="AS311" s="1">
        <v>250.0</v>
      </c>
      <c r="AT311" s="1">
        <v>220.0</v>
      </c>
      <c r="AU311" s="3">
        <v>423.0</v>
      </c>
      <c r="AV311" s="1">
        <v>120.0</v>
      </c>
      <c r="AW311" s="3">
        <v>200.0</v>
      </c>
      <c r="AX311" s="3"/>
      <c r="AY311" s="3">
        <v>142.0</v>
      </c>
      <c r="AZ311" s="1">
        <v>40.0</v>
      </c>
      <c r="BA311" s="1"/>
      <c r="BB311" s="3">
        <v>402.0</v>
      </c>
      <c r="BC311" s="1">
        <v>150.0</v>
      </c>
      <c r="BD311" s="1">
        <v>190.0</v>
      </c>
      <c r="BE311" s="1">
        <v>80.0</v>
      </c>
      <c r="BF311" s="3">
        <v>328.0</v>
      </c>
      <c r="BG311" s="1">
        <v>213.0</v>
      </c>
      <c r="BH311" s="1">
        <v>23.0</v>
      </c>
      <c r="BI311" s="1">
        <v>40.0</v>
      </c>
      <c r="BJ311" s="1">
        <v>278.0</v>
      </c>
      <c r="BK311" s="3"/>
      <c r="BL311" s="1">
        <v>160.0</v>
      </c>
      <c r="BM311" s="1">
        <v>75.0</v>
      </c>
      <c r="BN311" s="32">
        <v>1802.0</v>
      </c>
      <c r="BO311" s="1">
        <v>47.0</v>
      </c>
      <c r="BP311" s="3">
        <v>48.0</v>
      </c>
      <c r="BQ311" s="1">
        <v>188.0</v>
      </c>
      <c r="BR311" s="27">
        <v>34127.0</v>
      </c>
    </row>
    <row r="312">
      <c r="A312" s="25">
        <f>'Equity Price Data'!A313</f>
        <v>45877.66667</v>
      </c>
      <c r="B312" s="34">
        <f>(('PRACTICE Equity Price Data'!B313/'PRACTICE Equity Price Data'!B312)-1)+B311</f>
        <v>0.2222633069</v>
      </c>
      <c r="C312" s="34">
        <f>(('PRACTICE Equity Price Data'!C313/'PRACTICE Equity Price Data'!C312)-1)+C311</f>
        <v>0.3045615102</v>
      </c>
      <c r="D312" s="34">
        <f>(('PRACTICE Equity Price Data'!D313/'PRACTICE Equity Price Data'!D312)-1)+D311</f>
        <v>0.1298647922</v>
      </c>
      <c r="E312" s="34">
        <f>(('PRACTICE Equity Price Data'!E313/'PRACTICE Equity Price Data'!E312)-1)+E311</f>
        <v>0.1062607533</v>
      </c>
      <c r="F312" s="3">
        <v>13.0</v>
      </c>
      <c r="G312" s="3">
        <v>260.0</v>
      </c>
      <c r="H312" s="3">
        <v>110.0</v>
      </c>
      <c r="I312" s="3">
        <v>256.0</v>
      </c>
      <c r="J312" s="3">
        <v>83.0</v>
      </c>
      <c r="K312" s="3">
        <v>188.0</v>
      </c>
      <c r="L312" s="3">
        <v>1000.0</v>
      </c>
      <c r="M312" s="3">
        <v>102.0</v>
      </c>
      <c r="N312" s="3">
        <v>200.0</v>
      </c>
      <c r="O312" s="3">
        <v>121.0</v>
      </c>
      <c r="P312" s="3"/>
      <c r="Q312" s="3">
        <v>80.0</v>
      </c>
      <c r="R312" s="3">
        <v>150.0</v>
      </c>
      <c r="S312" s="3">
        <v>417.0</v>
      </c>
      <c r="T312" s="3">
        <v>120.0</v>
      </c>
      <c r="U312" s="3">
        <v>80.0</v>
      </c>
      <c r="V312" s="1">
        <v>88.0</v>
      </c>
      <c r="W312" s="1">
        <v>250.0</v>
      </c>
      <c r="X312" s="1">
        <v>264.0</v>
      </c>
      <c r="Y312" s="1">
        <v>161.0</v>
      </c>
      <c r="Z312" s="1">
        <v>69.0</v>
      </c>
      <c r="AA312" s="3"/>
      <c r="AB312" s="1">
        <v>13.0</v>
      </c>
      <c r="AC312" s="1">
        <v>150.0</v>
      </c>
      <c r="AD312" s="1">
        <v>170.0</v>
      </c>
      <c r="AE312" s="1">
        <v>60.0</v>
      </c>
      <c r="AF312" s="1">
        <v>40.0</v>
      </c>
      <c r="AG312" s="1">
        <v>45.0</v>
      </c>
      <c r="AH312" s="1"/>
      <c r="AI312" s="1">
        <v>205.0</v>
      </c>
      <c r="AJ312" s="1">
        <v>60.0</v>
      </c>
      <c r="AK312" s="1">
        <v>100.0</v>
      </c>
      <c r="AL312" s="1">
        <v>175.0</v>
      </c>
      <c r="AM312" s="1">
        <v>130.0</v>
      </c>
      <c r="AN312" s="3">
        <v>47.0</v>
      </c>
      <c r="AO312" s="3">
        <v>160.0</v>
      </c>
      <c r="AP312" s="3">
        <v>70.0</v>
      </c>
      <c r="AQ312" s="3"/>
      <c r="AR312" s="1">
        <v>854.0</v>
      </c>
      <c r="AS312" s="1">
        <v>250.0</v>
      </c>
      <c r="AT312" s="1">
        <v>220.0</v>
      </c>
      <c r="AU312" s="3">
        <v>423.0</v>
      </c>
      <c r="AV312" s="1">
        <v>120.0</v>
      </c>
      <c r="AW312" s="3">
        <v>200.0</v>
      </c>
      <c r="AX312" s="3"/>
      <c r="AY312" s="3">
        <v>142.0</v>
      </c>
      <c r="AZ312" s="1">
        <v>40.0</v>
      </c>
      <c r="BA312" s="1"/>
      <c r="BB312" s="3">
        <v>402.0</v>
      </c>
      <c r="BC312" s="1">
        <v>150.0</v>
      </c>
      <c r="BD312" s="1">
        <v>190.0</v>
      </c>
      <c r="BE312" s="1">
        <v>80.0</v>
      </c>
      <c r="BF312" s="3">
        <v>328.0</v>
      </c>
      <c r="BG312" s="1">
        <v>213.0</v>
      </c>
      <c r="BH312" s="1">
        <v>23.0</v>
      </c>
      <c r="BI312" s="1">
        <v>40.0</v>
      </c>
      <c r="BJ312" s="1">
        <v>278.0</v>
      </c>
      <c r="BK312" s="3"/>
      <c r="BL312" s="1">
        <v>160.0</v>
      </c>
      <c r="BM312" s="1">
        <v>75.0</v>
      </c>
      <c r="BN312" s="32">
        <v>1802.0</v>
      </c>
      <c r="BO312" s="1">
        <v>47.0</v>
      </c>
      <c r="BP312" s="3">
        <v>48.0</v>
      </c>
      <c r="BQ312" s="1">
        <v>188.0</v>
      </c>
      <c r="BR312" s="27">
        <v>34127.0</v>
      </c>
    </row>
    <row r="313">
      <c r="A313" s="25">
        <f>'Equity Price Data'!A314</f>
        <v>45880.66667</v>
      </c>
      <c r="B313" s="34">
        <f>(('PRACTICE Equity Price Data'!B314/'PRACTICE Equity Price Data'!B313)-1)+B312</f>
        <v>0.219759179</v>
      </c>
      <c r="C313" s="34">
        <f>(('PRACTICE Equity Price Data'!C314/'PRACTICE Equity Price Data'!C313)-1)+C312</f>
        <v>0.3015489256</v>
      </c>
      <c r="D313" s="34">
        <f>(('PRACTICE Equity Price Data'!D314/'PRACTICE Equity Price Data'!D313)-1)+D312</f>
        <v>0.1253256359</v>
      </c>
      <c r="E313" s="34">
        <f>(('PRACTICE Equity Price Data'!E314/'PRACTICE Equity Price Data'!E313)-1)+E312</f>
        <v>0.1053997802</v>
      </c>
      <c r="F313" s="3">
        <v>13.0</v>
      </c>
      <c r="G313" s="3">
        <v>260.0</v>
      </c>
      <c r="H313" s="3">
        <v>110.0</v>
      </c>
      <c r="I313" s="3">
        <v>256.0</v>
      </c>
      <c r="J313" s="3">
        <v>83.0</v>
      </c>
      <c r="K313" s="3">
        <v>188.0</v>
      </c>
      <c r="L313" s="3">
        <v>1000.0</v>
      </c>
      <c r="M313" s="3">
        <v>102.0</v>
      </c>
      <c r="N313" s="3">
        <v>200.0</v>
      </c>
      <c r="O313" s="3">
        <v>121.0</v>
      </c>
      <c r="P313" s="3"/>
      <c r="Q313" s="3">
        <v>80.0</v>
      </c>
      <c r="R313" s="3">
        <v>150.0</v>
      </c>
      <c r="S313" s="3">
        <v>417.0</v>
      </c>
      <c r="T313" s="3">
        <v>120.0</v>
      </c>
      <c r="U313" s="3">
        <v>80.0</v>
      </c>
      <c r="V313" s="1">
        <v>88.0</v>
      </c>
      <c r="W313" s="1">
        <v>250.0</v>
      </c>
      <c r="X313" s="1">
        <v>264.0</v>
      </c>
      <c r="Y313" s="1">
        <v>161.0</v>
      </c>
      <c r="Z313" s="1">
        <v>69.0</v>
      </c>
      <c r="AA313" s="3"/>
      <c r="AB313" s="1">
        <v>13.0</v>
      </c>
      <c r="AC313" s="1">
        <v>150.0</v>
      </c>
      <c r="AD313" s="1">
        <v>170.0</v>
      </c>
      <c r="AE313" s="1">
        <v>60.0</v>
      </c>
      <c r="AF313" s="1">
        <v>40.0</v>
      </c>
      <c r="AG313" s="1">
        <v>45.0</v>
      </c>
      <c r="AH313" s="1"/>
      <c r="AI313" s="1">
        <v>205.0</v>
      </c>
      <c r="AJ313" s="1">
        <v>60.0</v>
      </c>
      <c r="AK313" s="1">
        <v>100.0</v>
      </c>
      <c r="AL313" s="1">
        <v>175.0</v>
      </c>
      <c r="AM313" s="1">
        <v>130.0</v>
      </c>
      <c r="AN313" s="3">
        <v>47.0</v>
      </c>
      <c r="AO313" s="3">
        <v>160.0</v>
      </c>
      <c r="AP313" s="3">
        <v>70.0</v>
      </c>
      <c r="AQ313" s="3"/>
      <c r="AR313" s="1">
        <v>854.0</v>
      </c>
      <c r="AS313" s="1">
        <v>250.0</v>
      </c>
      <c r="AT313" s="1">
        <v>220.0</v>
      </c>
      <c r="AU313" s="3">
        <v>423.0</v>
      </c>
      <c r="AV313" s="1">
        <v>120.0</v>
      </c>
      <c r="AW313" s="3">
        <v>200.0</v>
      </c>
      <c r="AX313" s="3"/>
      <c r="AY313" s="3">
        <v>142.0</v>
      </c>
      <c r="AZ313" s="1">
        <v>40.0</v>
      </c>
      <c r="BA313" s="1"/>
      <c r="BB313" s="3">
        <v>402.0</v>
      </c>
      <c r="BC313" s="1">
        <v>150.0</v>
      </c>
      <c r="BD313" s="1">
        <v>190.0</v>
      </c>
      <c r="BE313" s="1">
        <v>80.0</v>
      </c>
      <c r="BF313" s="3">
        <v>328.0</v>
      </c>
      <c r="BG313" s="1">
        <v>213.0</v>
      </c>
      <c r="BH313" s="1">
        <v>23.0</v>
      </c>
      <c r="BI313" s="1">
        <v>40.0</v>
      </c>
      <c r="BJ313" s="1">
        <v>278.0</v>
      </c>
      <c r="BK313" s="3"/>
      <c r="BL313" s="1">
        <v>160.0</v>
      </c>
      <c r="BM313" s="1">
        <v>75.0</v>
      </c>
      <c r="BN313" s="32">
        <v>1802.0</v>
      </c>
      <c r="BO313" s="1">
        <v>47.0</v>
      </c>
      <c r="BP313" s="3">
        <v>48.0</v>
      </c>
      <c r="BQ313" s="1">
        <v>188.0</v>
      </c>
      <c r="BR313" s="27">
        <v>34127.0</v>
      </c>
    </row>
    <row r="314">
      <c r="A314" s="25">
        <f>'Equity Price Data'!A315</f>
        <v>45881.66667</v>
      </c>
      <c r="B314" s="34">
        <f>(('PRACTICE Equity Price Data'!B315/'PRACTICE Equity Price Data'!B314)-1)+B313</f>
        <v>0.2311046826</v>
      </c>
      <c r="C314" s="34">
        <f>(('PRACTICE Equity Price Data'!C315/'PRACTICE Equity Price Data'!C314)-1)+C313</f>
        <v>0.3154135248</v>
      </c>
      <c r="D314" s="34">
        <f>(('PRACTICE Equity Price Data'!D315/'PRACTICE Equity Price Data'!D314)-1)+D313</f>
        <v>0.1363209516</v>
      </c>
      <c r="E314" s="34">
        <f>(('PRACTICE Equity Price Data'!E315/'PRACTICE Equity Price Data'!E314)-1)+E313</f>
        <v>0.1352981339</v>
      </c>
      <c r="F314" s="3">
        <v>13.0</v>
      </c>
      <c r="G314" s="3">
        <v>260.0</v>
      </c>
      <c r="H314" s="3">
        <v>110.0</v>
      </c>
      <c r="I314" s="3">
        <v>256.0</v>
      </c>
      <c r="J314" s="3">
        <v>83.0</v>
      </c>
      <c r="K314" s="3">
        <v>188.0</v>
      </c>
      <c r="L314" s="3">
        <v>1000.0</v>
      </c>
      <c r="M314" s="3">
        <v>102.0</v>
      </c>
      <c r="N314" s="3">
        <v>200.0</v>
      </c>
      <c r="O314" s="3">
        <v>121.0</v>
      </c>
      <c r="P314" s="3"/>
      <c r="Q314" s="3">
        <v>80.0</v>
      </c>
      <c r="R314" s="3">
        <v>150.0</v>
      </c>
      <c r="S314" s="3">
        <v>417.0</v>
      </c>
      <c r="T314" s="3">
        <v>120.0</v>
      </c>
      <c r="U314" s="3">
        <v>80.0</v>
      </c>
      <c r="V314" s="1">
        <v>88.0</v>
      </c>
      <c r="W314" s="1">
        <v>250.0</v>
      </c>
      <c r="X314" s="1">
        <v>264.0</v>
      </c>
      <c r="Y314" s="1">
        <v>161.0</v>
      </c>
      <c r="Z314" s="1">
        <v>69.0</v>
      </c>
      <c r="AA314" s="3"/>
      <c r="AB314" s="1">
        <v>13.0</v>
      </c>
      <c r="AC314" s="1">
        <v>150.0</v>
      </c>
      <c r="AD314" s="1">
        <v>170.0</v>
      </c>
      <c r="AE314" s="1">
        <v>60.0</v>
      </c>
      <c r="AF314" s="1">
        <v>40.0</v>
      </c>
      <c r="AG314" s="1">
        <v>45.0</v>
      </c>
      <c r="AH314" s="1"/>
      <c r="AI314" s="1">
        <v>205.0</v>
      </c>
      <c r="AJ314" s="1">
        <v>60.0</v>
      </c>
      <c r="AK314" s="1">
        <v>100.0</v>
      </c>
      <c r="AL314" s="1">
        <v>175.0</v>
      </c>
      <c r="AM314" s="1">
        <v>130.0</v>
      </c>
      <c r="AN314" s="3">
        <v>47.0</v>
      </c>
      <c r="AO314" s="3">
        <v>160.0</v>
      </c>
      <c r="AP314" s="3">
        <v>70.0</v>
      </c>
      <c r="AQ314" s="3"/>
      <c r="AR314" s="1">
        <v>854.0</v>
      </c>
      <c r="AS314" s="1">
        <v>250.0</v>
      </c>
      <c r="AT314" s="1">
        <v>220.0</v>
      </c>
      <c r="AU314" s="3">
        <v>423.0</v>
      </c>
      <c r="AV314" s="1">
        <v>120.0</v>
      </c>
      <c r="AW314" s="3">
        <v>200.0</v>
      </c>
      <c r="AX314" s="3"/>
      <c r="AY314" s="3">
        <v>142.0</v>
      </c>
      <c r="AZ314" s="1">
        <v>40.0</v>
      </c>
      <c r="BA314" s="1"/>
      <c r="BB314" s="3">
        <v>402.0</v>
      </c>
      <c r="BC314" s="1">
        <v>150.0</v>
      </c>
      <c r="BD314" s="1">
        <v>190.0</v>
      </c>
      <c r="BE314" s="1">
        <v>80.0</v>
      </c>
      <c r="BF314" s="3">
        <v>328.0</v>
      </c>
      <c r="BG314" s="1">
        <v>213.0</v>
      </c>
      <c r="BH314" s="1">
        <v>23.0</v>
      </c>
      <c r="BI314" s="1">
        <v>40.0</v>
      </c>
      <c r="BJ314" s="1">
        <v>278.0</v>
      </c>
      <c r="BK314" s="3"/>
      <c r="BL314" s="1">
        <v>160.0</v>
      </c>
      <c r="BM314" s="1">
        <v>75.0</v>
      </c>
      <c r="BN314" s="32">
        <v>1802.0</v>
      </c>
      <c r="BO314" s="1">
        <v>47.0</v>
      </c>
      <c r="BP314" s="3">
        <v>48.0</v>
      </c>
      <c r="BQ314" s="1">
        <v>188.0</v>
      </c>
      <c r="BR314" s="27">
        <v>34127.0</v>
      </c>
    </row>
    <row r="315">
      <c r="A315" s="25">
        <f>'Equity Price Data'!A316</f>
        <v>45882.66667</v>
      </c>
      <c r="B315" s="34">
        <f>(('PRACTICE Equity Price Data'!B316/'PRACTICE Equity Price Data'!B315)-1)+B314</f>
        <v>0.2343347129</v>
      </c>
      <c r="C315" s="34">
        <f>(('PRACTICE Equity Price Data'!C316/'PRACTICE Equity Price Data'!C315)-1)+C314</f>
        <v>0.3168543579</v>
      </c>
      <c r="D315" s="34">
        <f>(('PRACTICE Equity Price Data'!D316/'PRACTICE Equity Price Data'!D315)-1)+D314</f>
        <v>0.1467499776</v>
      </c>
      <c r="E315" s="34">
        <f>(('PRACTICE Equity Price Data'!E316/'PRACTICE Equity Price Data'!E315)-1)+E314</f>
        <v>0.1551335977</v>
      </c>
      <c r="F315" s="3">
        <v>13.0</v>
      </c>
      <c r="G315" s="3">
        <v>260.0</v>
      </c>
      <c r="H315" s="3">
        <v>110.0</v>
      </c>
      <c r="I315" s="3">
        <v>256.0</v>
      </c>
      <c r="J315" s="3">
        <v>83.0</v>
      </c>
      <c r="K315" s="3">
        <v>188.0</v>
      </c>
      <c r="L315" s="3">
        <v>1000.0</v>
      </c>
      <c r="M315" s="3">
        <v>102.0</v>
      </c>
      <c r="N315" s="3">
        <v>200.0</v>
      </c>
      <c r="O315" s="3">
        <v>121.0</v>
      </c>
      <c r="P315" s="3"/>
      <c r="Q315" s="3">
        <v>80.0</v>
      </c>
      <c r="R315" s="3">
        <v>150.0</v>
      </c>
      <c r="S315" s="3">
        <v>417.0</v>
      </c>
      <c r="T315" s="3">
        <v>120.0</v>
      </c>
      <c r="U315" s="3">
        <v>80.0</v>
      </c>
      <c r="V315" s="1">
        <v>88.0</v>
      </c>
      <c r="W315" s="1">
        <v>250.0</v>
      </c>
      <c r="X315" s="1">
        <v>264.0</v>
      </c>
      <c r="Y315" s="1">
        <v>161.0</v>
      </c>
      <c r="Z315" s="1">
        <v>69.0</v>
      </c>
      <c r="AA315" s="3"/>
      <c r="AB315" s="1">
        <v>13.0</v>
      </c>
      <c r="AC315" s="1">
        <v>150.0</v>
      </c>
      <c r="AD315" s="1">
        <v>170.0</v>
      </c>
      <c r="AE315" s="1">
        <v>60.0</v>
      </c>
      <c r="AF315" s="1">
        <v>40.0</v>
      </c>
      <c r="AG315" s="1">
        <v>45.0</v>
      </c>
      <c r="AH315" s="1"/>
      <c r="AI315" s="1">
        <v>205.0</v>
      </c>
      <c r="AJ315" s="1">
        <v>60.0</v>
      </c>
      <c r="AK315" s="1">
        <v>100.0</v>
      </c>
      <c r="AL315" s="1">
        <v>175.0</v>
      </c>
      <c r="AM315" s="1">
        <v>130.0</v>
      </c>
      <c r="AN315" s="3">
        <v>47.0</v>
      </c>
      <c r="AO315" s="3">
        <v>160.0</v>
      </c>
      <c r="AP315" s="3">
        <v>70.0</v>
      </c>
      <c r="AQ315" s="3"/>
      <c r="AR315" s="1">
        <v>854.0</v>
      </c>
      <c r="AS315" s="1">
        <v>250.0</v>
      </c>
      <c r="AT315" s="1">
        <v>220.0</v>
      </c>
      <c r="AU315" s="3">
        <v>423.0</v>
      </c>
      <c r="AV315" s="1">
        <v>120.0</v>
      </c>
      <c r="AW315" s="3">
        <v>200.0</v>
      </c>
      <c r="AX315" s="3"/>
      <c r="AY315" s="3">
        <v>142.0</v>
      </c>
      <c r="AZ315" s="1">
        <v>40.0</v>
      </c>
      <c r="BA315" s="1"/>
      <c r="BB315" s="3">
        <v>402.0</v>
      </c>
      <c r="BC315" s="1">
        <v>150.0</v>
      </c>
      <c r="BD315" s="1">
        <v>190.0</v>
      </c>
      <c r="BE315" s="1">
        <v>80.0</v>
      </c>
      <c r="BF315" s="3">
        <v>328.0</v>
      </c>
      <c r="BG315" s="1">
        <v>213.0</v>
      </c>
      <c r="BH315" s="1">
        <v>23.0</v>
      </c>
      <c r="BI315" s="1">
        <v>40.0</v>
      </c>
      <c r="BJ315" s="1">
        <v>278.0</v>
      </c>
      <c r="BK315" s="3"/>
      <c r="BL315" s="1">
        <v>160.0</v>
      </c>
      <c r="BM315" s="1">
        <v>75.0</v>
      </c>
      <c r="BN315" s="32">
        <v>1802.0</v>
      </c>
      <c r="BO315" s="1">
        <v>47.0</v>
      </c>
      <c r="BP315" s="3">
        <v>48.0</v>
      </c>
      <c r="BQ315" s="1">
        <v>188.0</v>
      </c>
      <c r="BR315" s="27">
        <v>34127.0</v>
      </c>
    </row>
    <row r="316">
      <c r="A316" s="25">
        <f>'Equity Price Data'!A317</f>
        <v>45883.66667</v>
      </c>
      <c r="B316" s="34">
        <f>(('PRACTICE Equity Price Data'!B317/'PRACTICE Equity Price Data'!B316)-1)+B315</f>
        <v>0.2346378097</v>
      </c>
      <c r="C316" s="34">
        <f>(('PRACTICE Equity Price Data'!C317/'PRACTICE Equity Price Data'!C316)-1)+C315</f>
        <v>0.3167406019</v>
      </c>
      <c r="D316" s="34">
        <f>(('PRACTICE Equity Price Data'!D317/'PRACTICE Equity Price Data'!D316)-1)+D315</f>
        <v>0.1465048876</v>
      </c>
      <c r="E316" s="34">
        <f>(('PRACTICE Equity Price Data'!E317/'PRACTICE Equity Price Data'!E316)-1)+E315</f>
        <v>0.1426854649</v>
      </c>
      <c r="F316" s="3">
        <v>13.0</v>
      </c>
      <c r="G316" s="3">
        <v>260.0</v>
      </c>
      <c r="H316" s="3">
        <v>110.0</v>
      </c>
      <c r="I316" s="3">
        <v>256.0</v>
      </c>
      <c r="J316" s="3">
        <v>83.0</v>
      </c>
      <c r="K316" s="3">
        <v>188.0</v>
      </c>
      <c r="L316" s="3">
        <v>1000.0</v>
      </c>
      <c r="M316" s="3">
        <v>102.0</v>
      </c>
      <c r="N316" s="3">
        <v>200.0</v>
      </c>
      <c r="O316" s="3">
        <v>121.0</v>
      </c>
      <c r="P316" s="3"/>
      <c r="Q316" s="3">
        <v>80.0</v>
      </c>
      <c r="R316" s="3">
        <v>150.0</v>
      </c>
      <c r="S316" s="3">
        <v>417.0</v>
      </c>
      <c r="T316" s="3">
        <v>120.0</v>
      </c>
      <c r="U316" s="3">
        <v>80.0</v>
      </c>
      <c r="V316" s="1">
        <v>88.0</v>
      </c>
      <c r="W316" s="1">
        <v>250.0</v>
      </c>
      <c r="X316" s="1">
        <v>264.0</v>
      </c>
      <c r="Y316" s="1">
        <v>161.0</v>
      </c>
      <c r="Z316" s="1">
        <v>69.0</v>
      </c>
      <c r="AA316" s="3"/>
      <c r="AB316" s="1">
        <v>13.0</v>
      </c>
      <c r="AC316" s="1">
        <v>150.0</v>
      </c>
      <c r="AD316" s="1">
        <v>170.0</v>
      </c>
      <c r="AE316" s="1">
        <v>60.0</v>
      </c>
      <c r="AF316" s="1">
        <v>40.0</v>
      </c>
      <c r="AG316" s="1">
        <v>45.0</v>
      </c>
      <c r="AH316" s="1"/>
      <c r="AI316" s="1">
        <v>205.0</v>
      </c>
      <c r="AJ316" s="1">
        <v>60.0</v>
      </c>
      <c r="AK316" s="1">
        <v>100.0</v>
      </c>
      <c r="AL316" s="1">
        <v>175.0</v>
      </c>
      <c r="AM316" s="1">
        <v>130.0</v>
      </c>
      <c r="AN316" s="3">
        <v>47.0</v>
      </c>
      <c r="AO316" s="3">
        <v>160.0</v>
      </c>
      <c r="AP316" s="3">
        <v>70.0</v>
      </c>
      <c r="AQ316" s="3"/>
      <c r="AR316" s="1">
        <v>854.0</v>
      </c>
      <c r="AS316" s="1">
        <v>250.0</v>
      </c>
      <c r="AT316" s="1">
        <v>220.0</v>
      </c>
      <c r="AU316" s="3">
        <v>423.0</v>
      </c>
      <c r="AV316" s="1">
        <v>120.0</v>
      </c>
      <c r="AW316" s="3">
        <v>200.0</v>
      </c>
      <c r="AX316" s="3"/>
      <c r="AY316" s="3">
        <v>142.0</v>
      </c>
      <c r="AZ316" s="1">
        <v>40.0</v>
      </c>
      <c r="BA316" s="1"/>
      <c r="BB316" s="3">
        <v>402.0</v>
      </c>
      <c r="BC316" s="1">
        <v>150.0</v>
      </c>
      <c r="BD316" s="1">
        <v>190.0</v>
      </c>
      <c r="BE316" s="1">
        <v>80.0</v>
      </c>
      <c r="BF316" s="3">
        <v>328.0</v>
      </c>
      <c r="BG316" s="1">
        <v>213.0</v>
      </c>
      <c r="BH316" s="1">
        <v>23.0</v>
      </c>
      <c r="BI316" s="1">
        <v>40.0</v>
      </c>
      <c r="BJ316" s="1">
        <v>278.0</v>
      </c>
      <c r="BK316" s="3"/>
      <c r="BL316" s="1">
        <v>160.0</v>
      </c>
      <c r="BM316" s="1">
        <v>75.0</v>
      </c>
      <c r="BN316" s="32">
        <v>1802.0</v>
      </c>
      <c r="BO316" s="1">
        <v>47.0</v>
      </c>
      <c r="BP316" s="3">
        <v>48.0</v>
      </c>
      <c r="BQ316" s="1">
        <v>188.0</v>
      </c>
      <c r="BR316" s="27">
        <v>34127.0</v>
      </c>
    </row>
    <row r="317">
      <c r="A317" s="25">
        <f>'Equity Price Data'!A318</f>
        <v>45884.66667</v>
      </c>
      <c r="B317" s="34">
        <f>(('PRACTICE Equity Price Data'!B318/'PRACTICE Equity Price Data'!B317)-1)+B316</f>
        <v>0.2317407108</v>
      </c>
      <c r="C317" s="34">
        <f>(('PRACTICE Equity Price Data'!C318/'PRACTICE Equity Price Data'!C317)-1)+C316</f>
        <v>0.3127015741</v>
      </c>
      <c r="D317" s="34">
        <f>(('PRACTICE Equity Price Data'!D318/'PRACTICE Equity Price Data'!D317)-1)+D316</f>
        <v>0.1472810849</v>
      </c>
      <c r="E317" s="34">
        <f>(('PRACTICE Equity Price Data'!E318/'PRACTICE Equity Price Data'!E317)-1)+E316</f>
        <v>0.1372224101</v>
      </c>
      <c r="F317" s="3">
        <v>13.0</v>
      </c>
      <c r="G317" s="3">
        <v>260.0</v>
      </c>
      <c r="H317" s="3">
        <v>110.0</v>
      </c>
      <c r="I317" s="3">
        <v>256.0</v>
      </c>
      <c r="J317" s="3">
        <v>83.0</v>
      </c>
      <c r="K317" s="3">
        <v>188.0</v>
      </c>
      <c r="L317" s="3">
        <v>1000.0</v>
      </c>
      <c r="M317" s="3">
        <v>102.0</v>
      </c>
      <c r="N317" s="3">
        <v>200.0</v>
      </c>
      <c r="O317" s="3">
        <v>121.0</v>
      </c>
      <c r="P317" s="3"/>
      <c r="Q317" s="3">
        <v>80.0</v>
      </c>
      <c r="R317" s="3">
        <v>150.0</v>
      </c>
      <c r="S317" s="3">
        <v>417.0</v>
      </c>
      <c r="T317" s="3">
        <v>120.0</v>
      </c>
      <c r="U317" s="3">
        <v>80.0</v>
      </c>
      <c r="V317" s="1">
        <v>88.0</v>
      </c>
      <c r="W317" s="1">
        <v>250.0</v>
      </c>
      <c r="X317" s="1">
        <v>264.0</v>
      </c>
      <c r="Y317" s="1">
        <v>161.0</v>
      </c>
      <c r="Z317" s="1">
        <v>69.0</v>
      </c>
      <c r="AA317" s="3"/>
      <c r="AB317" s="1">
        <v>13.0</v>
      </c>
      <c r="AC317" s="1">
        <v>150.0</v>
      </c>
      <c r="AD317" s="1">
        <v>170.0</v>
      </c>
      <c r="AE317" s="1">
        <v>60.0</v>
      </c>
      <c r="AF317" s="1">
        <v>40.0</v>
      </c>
      <c r="AG317" s="1">
        <v>45.0</v>
      </c>
      <c r="AH317" s="1"/>
      <c r="AI317" s="1">
        <v>205.0</v>
      </c>
      <c r="AJ317" s="1">
        <v>60.0</v>
      </c>
      <c r="AK317" s="1">
        <v>100.0</v>
      </c>
      <c r="AL317" s="1">
        <v>175.0</v>
      </c>
      <c r="AM317" s="1">
        <v>130.0</v>
      </c>
      <c r="AN317" s="3">
        <v>47.0</v>
      </c>
      <c r="AO317" s="3">
        <v>160.0</v>
      </c>
      <c r="AP317" s="3">
        <v>70.0</v>
      </c>
      <c r="AQ317" s="3"/>
      <c r="AR317" s="1">
        <v>854.0</v>
      </c>
      <c r="AS317" s="1">
        <v>250.0</v>
      </c>
      <c r="AT317" s="1">
        <v>220.0</v>
      </c>
      <c r="AU317" s="3">
        <v>423.0</v>
      </c>
      <c r="AV317" s="1">
        <v>120.0</v>
      </c>
      <c r="AW317" s="3">
        <v>200.0</v>
      </c>
      <c r="AX317" s="3"/>
      <c r="AY317" s="3">
        <v>142.0</v>
      </c>
      <c r="AZ317" s="1">
        <v>40.0</v>
      </c>
      <c r="BA317" s="1"/>
      <c r="BB317" s="3">
        <v>402.0</v>
      </c>
      <c r="BC317" s="1">
        <v>150.0</v>
      </c>
      <c r="BD317" s="1">
        <v>190.0</v>
      </c>
      <c r="BE317" s="1">
        <v>80.0</v>
      </c>
      <c r="BF317" s="3">
        <v>328.0</v>
      </c>
      <c r="BG317" s="1">
        <v>213.0</v>
      </c>
      <c r="BH317" s="1">
        <v>23.0</v>
      </c>
      <c r="BI317" s="1">
        <v>40.0</v>
      </c>
      <c r="BJ317" s="1">
        <v>278.0</v>
      </c>
      <c r="BK317" s="3"/>
      <c r="BL317" s="1">
        <v>160.0</v>
      </c>
      <c r="BM317" s="1">
        <v>75.0</v>
      </c>
      <c r="BN317" s="32">
        <v>1802.0</v>
      </c>
      <c r="BO317" s="1">
        <v>47.0</v>
      </c>
      <c r="BP317" s="3">
        <v>48.0</v>
      </c>
      <c r="BQ317" s="1">
        <v>188.0</v>
      </c>
      <c r="BR317" s="27">
        <v>34127.0</v>
      </c>
    </row>
    <row r="318">
      <c r="A318" s="25">
        <f>'Equity Price Data'!A319</f>
        <v>45887.66667</v>
      </c>
      <c r="B318" s="34">
        <f>(('PRACTICE Equity Price Data'!B319/'PRACTICE Equity Price Data'!B318)-1)+B317</f>
        <v>0.2316399325</v>
      </c>
      <c r="C318" s="34">
        <f>(('PRACTICE Equity Price Data'!C319/'PRACTICE Equity Price Data'!C318)-1)+C317</f>
        <v>0.3130155919</v>
      </c>
      <c r="D318" s="34">
        <f>(('PRACTICE Equity Price Data'!D319/'PRACTICE Equity Price Data'!D318)-1)+D317</f>
        <v>0.146517949</v>
      </c>
      <c r="E318" s="34">
        <f>(('PRACTICE Equity Price Data'!E319/'PRACTICE Equity Price Data'!E318)-1)+E317</f>
        <v>0.1406993095</v>
      </c>
      <c r="F318" s="3">
        <v>13.0</v>
      </c>
      <c r="G318" s="3">
        <v>260.0</v>
      </c>
      <c r="H318" s="3">
        <v>110.0</v>
      </c>
      <c r="I318" s="3">
        <v>256.0</v>
      </c>
      <c r="J318" s="3">
        <v>83.0</v>
      </c>
      <c r="K318" s="3">
        <v>188.0</v>
      </c>
      <c r="L318" s="3">
        <v>1000.0</v>
      </c>
      <c r="M318" s="3">
        <v>102.0</v>
      </c>
      <c r="N318" s="3">
        <v>200.0</v>
      </c>
      <c r="O318" s="3">
        <v>121.0</v>
      </c>
      <c r="P318" s="3"/>
      <c r="Q318" s="3">
        <v>80.0</v>
      </c>
      <c r="R318" s="3">
        <v>150.0</v>
      </c>
      <c r="S318" s="3">
        <v>417.0</v>
      </c>
      <c r="T318" s="3">
        <v>120.0</v>
      </c>
      <c r="U318" s="3">
        <v>80.0</v>
      </c>
      <c r="V318" s="1">
        <v>88.0</v>
      </c>
      <c r="W318" s="1">
        <v>250.0</v>
      </c>
      <c r="X318" s="1">
        <v>264.0</v>
      </c>
      <c r="Y318" s="1">
        <v>161.0</v>
      </c>
      <c r="Z318" s="1">
        <v>69.0</v>
      </c>
      <c r="AA318" s="3"/>
      <c r="AB318" s="1">
        <v>13.0</v>
      </c>
      <c r="AC318" s="1">
        <v>150.0</v>
      </c>
      <c r="AD318" s="1">
        <v>170.0</v>
      </c>
      <c r="AE318" s="1">
        <v>60.0</v>
      </c>
      <c r="AF318" s="1">
        <v>40.0</v>
      </c>
      <c r="AG318" s="1">
        <v>45.0</v>
      </c>
      <c r="AH318" s="1"/>
      <c r="AI318" s="1">
        <v>205.0</v>
      </c>
      <c r="AJ318" s="1">
        <v>60.0</v>
      </c>
      <c r="AK318" s="1">
        <v>100.0</v>
      </c>
      <c r="AL318" s="1">
        <v>175.0</v>
      </c>
      <c r="AM318" s="1">
        <v>130.0</v>
      </c>
      <c r="AN318" s="3">
        <v>47.0</v>
      </c>
      <c r="AO318" s="3">
        <v>160.0</v>
      </c>
      <c r="AP318" s="3">
        <v>70.0</v>
      </c>
      <c r="AQ318" s="3"/>
      <c r="AR318" s="1">
        <v>854.0</v>
      </c>
      <c r="AS318" s="1">
        <v>250.0</v>
      </c>
      <c r="AT318" s="1">
        <v>220.0</v>
      </c>
      <c r="AU318" s="3">
        <v>423.0</v>
      </c>
      <c r="AV318" s="1">
        <v>120.0</v>
      </c>
      <c r="AW318" s="3">
        <v>200.0</v>
      </c>
      <c r="AX318" s="3"/>
      <c r="AY318" s="3">
        <v>142.0</v>
      </c>
      <c r="AZ318" s="1">
        <v>40.0</v>
      </c>
      <c r="BA318" s="1"/>
      <c r="BB318" s="3">
        <v>402.0</v>
      </c>
      <c r="BC318" s="1">
        <v>150.0</v>
      </c>
      <c r="BD318" s="1">
        <v>190.0</v>
      </c>
      <c r="BE318" s="1">
        <v>80.0</v>
      </c>
      <c r="BF318" s="3">
        <v>328.0</v>
      </c>
      <c r="BG318" s="1">
        <v>213.0</v>
      </c>
      <c r="BH318" s="1">
        <v>23.0</v>
      </c>
      <c r="BI318" s="1">
        <v>40.0</v>
      </c>
      <c r="BJ318" s="1">
        <v>278.0</v>
      </c>
      <c r="BK318" s="3"/>
      <c r="BL318" s="1">
        <v>160.0</v>
      </c>
      <c r="BM318" s="1">
        <v>75.0</v>
      </c>
      <c r="BN318" s="32">
        <v>1802.0</v>
      </c>
      <c r="BO318" s="1">
        <v>47.0</v>
      </c>
      <c r="BP318" s="3">
        <v>48.0</v>
      </c>
      <c r="BQ318" s="1">
        <v>188.0</v>
      </c>
      <c r="BR318" s="27">
        <v>34127.0</v>
      </c>
    </row>
    <row r="319">
      <c r="A319" s="25">
        <f>'Equity Price Data'!A320</f>
        <v>45888.66667</v>
      </c>
      <c r="B319" s="34">
        <f>(('PRACTICE Equity Price Data'!B320/'PRACTICE Equity Price Data'!B319)-1)+B318</f>
        <v>0.2257817962</v>
      </c>
      <c r="C319" s="34">
        <f>(('PRACTICE Equity Price Data'!C320/'PRACTICE Equity Price Data'!C319)-1)+C318</f>
        <v>0.2984606521</v>
      </c>
      <c r="D319" s="34">
        <f>(('PRACTICE Equity Price Data'!D320/'PRACTICE Equity Price Data'!D319)-1)+D318</f>
        <v>0.1467506272</v>
      </c>
      <c r="E319" s="34">
        <f>(('PRACTICE Equity Price Data'!E320/'PRACTICE Equity Price Data'!E319)-1)+E318</f>
        <v>0.1329153768</v>
      </c>
      <c r="F319" s="3">
        <v>13.0</v>
      </c>
      <c r="G319" s="3">
        <v>260.0</v>
      </c>
      <c r="H319" s="3">
        <v>110.0</v>
      </c>
      <c r="I319" s="3">
        <v>256.0</v>
      </c>
      <c r="J319" s="3">
        <v>83.0</v>
      </c>
      <c r="K319" s="3">
        <v>188.0</v>
      </c>
      <c r="L319" s="3">
        <v>1000.0</v>
      </c>
      <c r="M319" s="3">
        <v>102.0</v>
      </c>
      <c r="N319" s="3">
        <v>200.0</v>
      </c>
      <c r="O319" s="3">
        <v>121.0</v>
      </c>
      <c r="P319" s="3"/>
      <c r="Q319" s="3">
        <v>80.0</v>
      </c>
      <c r="R319" s="3">
        <v>150.0</v>
      </c>
      <c r="S319" s="3">
        <v>417.0</v>
      </c>
      <c r="T319" s="3">
        <v>120.0</v>
      </c>
      <c r="U319" s="3">
        <v>80.0</v>
      </c>
      <c r="V319" s="1">
        <v>88.0</v>
      </c>
      <c r="W319" s="1">
        <v>250.0</v>
      </c>
      <c r="X319" s="1">
        <v>264.0</v>
      </c>
      <c r="Y319" s="1">
        <v>161.0</v>
      </c>
      <c r="Z319" s="1">
        <v>69.0</v>
      </c>
      <c r="AA319" s="3"/>
      <c r="AB319" s="1">
        <v>13.0</v>
      </c>
      <c r="AC319" s="1">
        <v>150.0</v>
      </c>
      <c r="AD319" s="1">
        <v>170.0</v>
      </c>
      <c r="AE319" s="1">
        <v>60.0</v>
      </c>
      <c r="AF319" s="1">
        <v>40.0</v>
      </c>
      <c r="AG319" s="1">
        <v>45.0</v>
      </c>
      <c r="AH319" s="1"/>
      <c r="AI319" s="1">
        <v>205.0</v>
      </c>
      <c r="AJ319" s="1">
        <v>60.0</v>
      </c>
      <c r="AK319" s="1">
        <v>100.0</v>
      </c>
      <c r="AL319" s="1">
        <v>175.0</v>
      </c>
      <c r="AM319" s="1">
        <v>130.0</v>
      </c>
      <c r="AN319" s="3">
        <v>47.0</v>
      </c>
      <c r="AO319" s="3">
        <v>160.0</v>
      </c>
      <c r="AP319" s="3">
        <v>70.0</v>
      </c>
      <c r="AQ319" s="3"/>
      <c r="AR319" s="1">
        <v>854.0</v>
      </c>
      <c r="AS319" s="1">
        <v>250.0</v>
      </c>
      <c r="AT319" s="1">
        <v>220.0</v>
      </c>
      <c r="AU319" s="3">
        <v>423.0</v>
      </c>
      <c r="AV319" s="1">
        <v>120.0</v>
      </c>
      <c r="AW319" s="3">
        <v>200.0</v>
      </c>
      <c r="AX319" s="3"/>
      <c r="AY319" s="3">
        <v>142.0</v>
      </c>
      <c r="AZ319" s="1">
        <v>40.0</v>
      </c>
      <c r="BA319" s="1"/>
      <c r="BB319" s="3">
        <v>402.0</v>
      </c>
      <c r="BC319" s="1">
        <v>150.0</v>
      </c>
      <c r="BD319" s="1">
        <v>190.0</v>
      </c>
      <c r="BE319" s="1">
        <v>80.0</v>
      </c>
      <c r="BF319" s="3">
        <v>328.0</v>
      </c>
      <c r="BG319" s="1">
        <v>213.0</v>
      </c>
      <c r="BH319" s="1">
        <v>23.0</v>
      </c>
      <c r="BI319" s="1">
        <v>40.0</v>
      </c>
      <c r="BJ319" s="1">
        <v>278.0</v>
      </c>
      <c r="BK319" s="3"/>
      <c r="BL319" s="1">
        <v>160.0</v>
      </c>
      <c r="BM319" s="1">
        <v>75.0</v>
      </c>
      <c r="BN319" s="32">
        <v>1802.0</v>
      </c>
      <c r="BO319" s="1">
        <v>47.0</v>
      </c>
      <c r="BP319" s="3">
        <v>48.0</v>
      </c>
      <c r="BQ319" s="1">
        <v>188.0</v>
      </c>
      <c r="BR319" s="27">
        <v>34127.0</v>
      </c>
    </row>
    <row r="320">
      <c r="A320" s="25">
        <f>'Equity Price Data'!A321</f>
        <v>45889.66667</v>
      </c>
      <c r="B320" s="34">
        <f>(('PRACTICE Equity Price Data'!B321/'PRACTICE Equity Price Data'!B320)-1)+B319</f>
        <v>0.2233501786</v>
      </c>
      <c r="C320" s="34">
        <f>(('PRACTICE Equity Price Data'!C321/'PRACTICE Equity Price Data'!C320)-1)+C319</f>
        <v>0.2917944389</v>
      </c>
      <c r="D320" s="34">
        <f>(('PRACTICE Equity Price Data'!D321/'PRACTICE Equity Price Data'!D320)-1)+D319</f>
        <v>0.1471076884</v>
      </c>
      <c r="E320" s="34">
        <f>(('PRACTICE Equity Price Data'!E321/'PRACTICE Equity Price Data'!E320)-1)+E319</f>
        <v>0.1297264248</v>
      </c>
      <c r="F320" s="3">
        <v>13.0</v>
      </c>
      <c r="G320" s="3">
        <v>260.0</v>
      </c>
      <c r="H320" s="3">
        <v>110.0</v>
      </c>
      <c r="I320" s="3">
        <v>256.0</v>
      </c>
      <c r="J320" s="3">
        <v>83.0</v>
      </c>
      <c r="K320" s="3">
        <v>188.0</v>
      </c>
      <c r="L320" s="3">
        <v>1000.0</v>
      </c>
      <c r="M320" s="3">
        <v>102.0</v>
      </c>
      <c r="N320" s="3">
        <v>200.0</v>
      </c>
      <c r="O320" s="3">
        <v>121.0</v>
      </c>
      <c r="P320" s="3"/>
      <c r="Q320" s="3">
        <v>80.0</v>
      </c>
      <c r="R320" s="3">
        <v>150.0</v>
      </c>
      <c r="S320" s="3">
        <v>417.0</v>
      </c>
      <c r="T320" s="3">
        <v>120.0</v>
      </c>
      <c r="U320" s="3">
        <v>80.0</v>
      </c>
      <c r="V320" s="1">
        <v>88.0</v>
      </c>
      <c r="W320" s="1">
        <v>250.0</v>
      </c>
      <c r="X320" s="1">
        <v>264.0</v>
      </c>
      <c r="Y320" s="1">
        <v>161.0</v>
      </c>
      <c r="Z320" s="1">
        <v>69.0</v>
      </c>
      <c r="AA320" s="3"/>
      <c r="AB320" s="1">
        <v>13.0</v>
      </c>
      <c r="AC320" s="1">
        <v>150.0</v>
      </c>
      <c r="AD320" s="1">
        <v>170.0</v>
      </c>
      <c r="AE320" s="1">
        <v>60.0</v>
      </c>
      <c r="AF320" s="1">
        <v>40.0</v>
      </c>
      <c r="AG320" s="1">
        <v>45.0</v>
      </c>
      <c r="AH320" s="1"/>
      <c r="AI320" s="1">
        <v>205.0</v>
      </c>
      <c r="AJ320" s="1">
        <v>60.0</v>
      </c>
      <c r="AK320" s="1">
        <v>100.0</v>
      </c>
      <c r="AL320" s="1">
        <v>175.0</v>
      </c>
      <c r="AM320" s="1">
        <v>130.0</v>
      </c>
      <c r="AN320" s="3">
        <v>47.0</v>
      </c>
      <c r="AO320" s="3">
        <v>160.0</v>
      </c>
      <c r="AP320" s="3">
        <v>70.0</v>
      </c>
      <c r="AQ320" s="3"/>
      <c r="AR320" s="1">
        <v>854.0</v>
      </c>
      <c r="AS320" s="1">
        <v>250.0</v>
      </c>
      <c r="AT320" s="1">
        <v>220.0</v>
      </c>
      <c r="AU320" s="3">
        <v>423.0</v>
      </c>
      <c r="AV320" s="1">
        <v>120.0</v>
      </c>
      <c r="AW320" s="3">
        <v>200.0</v>
      </c>
      <c r="AX320" s="3"/>
      <c r="AY320" s="3">
        <v>142.0</v>
      </c>
      <c r="AZ320" s="1">
        <v>40.0</v>
      </c>
      <c r="BA320" s="1"/>
      <c r="BB320" s="3">
        <v>402.0</v>
      </c>
      <c r="BC320" s="1">
        <v>150.0</v>
      </c>
      <c r="BD320" s="1">
        <v>190.0</v>
      </c>
      <c r="BE320" s="1">
        <v>80.0</v>
      </c>
      <c r="BF320" s="3">
        <v>328.0</v>
      </c>
      <c r="BG320" s="1">
        <v>213.0</v>
      </c>
      <c r="BH320" s="1">
        <v>23.0</v>
      </c>
      <c r="BI320" s="1">
        <v>40.0</v>
      </c>
      <c r="BJ320" s="1">
        <v>278.0</v>
      </c>
      <c r="BK320" s="3"/>
      <c r="BL320" s="1">
        <v>160.0</v>
      </c>
      <c r="BM320" s="1">
        <v>75.0</v>
      </c>
      <c r="BN320" s="32">
        <v>1802.0</v>
      </c>
      <c r="BO320" s="1">
        <v>47.0</v>
      </c>
      <c r="BP320" s="3">
        <v>48.0</v>
      </c>
      <c r="BQ320" s="1">
        <v>188.0</v>
      </c>
      <c r="BR320" s="27">
        <v>34127.0</v>
      </c>
    </row>
    <row r="321">
      <c r="A321" s="25">
        <f>'Equity Price Data'!A322</f>
        <v>45890.66667</v>
      </c>
      <c r="B321" s="34">
        <f>(('PRACTICE Equity Price Data'!B322/'PRACTICE Equity Price Data'!B321)-1)+B320</f>
        <v>0.2193459758</v>
      </c>
      <c r="C321" s="34">
        <f>(('PRACTICE Equity Price Data'!C322/'PRACTICE Equity Price Data'!C321)-1)+C320</f>
        <v>0.2883678825</v>
      </c>
      <c r="D321" s="34">
        <f>(('PRACTICE Equity Price Data'!D322/'PRACTICE Equity Price Data'!D321)-1)+D320</f>
        <v>0.143707249</v>
      </c>
      <c r="E321" s="34">
        <f>(('PRACTICE Equity Price Data'!E322/'PRACTICE Equity Price Data'!E321)-1)+E320</f>
        <v>0.1318195352</v>
      </c>
      <c r="F321" s="3">
        <v>13.0</v>
      </c>
      <c r="G321" s="3">
        <v>260.0</v>
      </c>
      <c r="H321" s="3">
        <v>110.0</v>
      </c>
      <c r="I321" s="3">
        <v>256.0</v>
      </c>
      <c r="J321" s="3">
        <v>83.0</v>
      </c>
      <c r="K321" s="3">
        <v>188.0</v>
      </c>
      <c r="L321" s="3">
        <v>1000.0</v>
      </c>
      <c r="M321" s="3">
        <v>102.0</v>
      </c>
      <c r="N321" s="3">
        <v>200.0</v>
      </c>
      <c r="O321" s="3">
        <v>121.0</v>
      </c>
      <c r="P321" s="3"/>
      <c r="Q321" s="3">
        <v>80.0</v>
      </c>
      <c r="R321" s="3">
        <v>150.0</v>
      </c>
      <c r="S321" s="3">
        <v>417.0</v>
      </c>
      <c r="T321" s="3">
        <v>120.0</v>
      </c>
      <c r="U321" s="3">
        <v>80.0</v>
      </c>
      <c r="V321" s="1">
        <v>88.0</v>
      </c>
      <c r="W321" s="1">
        <v>250.0</v>
      </c>
      <c r="X321" s="1">
        <v>264.0</v>
      </c>
      <c r="Y321" s="1">
        <v>161.0</v>
      </c>
      <c r="Z321" s="1">
        <v>69.0</v>
      </c>
      <c r="AA321" s="3"/>
      <c r="AB321" s="1">
        <v>13.0</v>
      </c>
      <c r="AC321" s="1">
        <v>150.0</v>
      </c>
      <c r="AD321" s="1">
        <v>170.0</v>
      </c>
      <c r="AE321" s="1">
        <v>60.0</v>
      </c>
      <c r="AF321" s="1">
        <v>40.0</v>
      </c>
      <c r="AG321" s="1">
        <v>45.0</v>
      </c>
      <c r="AH321" s="1"/>
      <c r="AI321" s="1">
        <v>205.0</v>
      </c>
      <c r="AJ321" s="1">
        <v>60.0</v>
      </c>
      <c r="AK321" s="1">
        <v>100.0</v>
      </c>
      <c r="AL321" s="1">
        <v>175.0</v>
      </c>
      <c r="AM321" s="1">
        <v>130.0</v>
      </c>
      <c r="AN321" s="3">
        <v>47.0</v>
      </c>
      <c r="AO321" s="3">
        <v>160.0</v>
      </c>
      <c r="AP321" s="3">
        <v>70.0</v>
      </c>
      <c r="AQ321" s="3"/>
      <c r="AR321" s="1">
        <v>854.0</v>
      </c>
      <c r="AS321" s="1">
        <v>250.0</v>
      </c>
      <c r="AT321" s="1">
        <v>220.0</v>
      </c>
      <c r="AU321" s="3">
        <v>423.0</v>
      </c>
      <c r="AV321" s="1">
        <v>120.0</v>
      </c>
      <c r="AW321" s="3">
        <v>200.0</v>
      </c>
      <c r="AX321" s="3"/>
      <c r="AY321" s="3">
        <v>142.0</v>
      </c>
      <c r="AZ321" s="1">
        <v>40.0</v>
      </c>
      <c r="BA321" s="1"/>
      <c r="BB321" s="3">
        <v>402.0</v>
      </c>
      <c r="BC321" s="1">
        <v>150.0</v>
      </c>
      <c r="BD321" s="1">
        <v>190.0</v>
      </c>
      <c r="BE321" s="1">
        <v>80.0</v>
      </c>
      <c r="BF321" s="3">
        <v>328.0</v>
      </c>
      <c r="BG321" s="1">
        <v>213.0</v>
      </c>
      <c r="BH321" s="1">
        <v>23.0</v>
      </c>
      <c r="BI321" s="1">
        <v>40.0</v>
      </c>
      <c r="BJ321" s="1">
        <v>278.0</v>
      </c>
      <c r="BK321" s="3"/>
      <c r="BL321" s="1">
        <v>160.0</v>
      </c>
      <c r="BM321" s="1">
        <v>75.0</v>
      </c>
      <c r="BN321" s="32">
        <v>1802.0</v>
      </c>
      <c r="BO321" s="1">
        <v>47.0</v>
      </c>
      <c r="BP321" s="3">
        <v>48.0</v>
      </c>
      <c r="BQ321" s="1">
        <v>188.0</v>
      </c>
      <c r="BR321" s="27">
        <v>34127.0</v>
      </c>
    </row>
    <row r="322">
      <c r="A322" s="25">
        <f>'Equity Price Data'!A323</f>
        <v>45891.66667</v>
      </c>
      <c r="B322" s="34">
        <f>(('PRACTICE Equity Price Data'!B323/'PRACTICE Equity Price Data'!B322)-1)+B321</f>
        <v>0.2345323837</v>
      </c>
      <c r="C322" s="34">
        <f>(('PRACTICE Equity Price Data'!C323/'PRACTICE Equity Price Data'!C322)-1)+C321</f>
        <v>0.3071462796</v>
      </c>
      <c r="D322" s="34">
        <f>(('PRACTICE Equity Price Data'!D323/'PRACTICE Equity Price Data'!D322)-1)+D321</f>
        <v>0.1626026504</v>
      </c>
      <c r="E322" s="34">
        <f>(('PRACTICE Equity Price Data'!E323/'PRACTICE Equity Price Data'!E322)-1)+E321</f>
        <v>0.1704502023</v>
      </c>
      <c r="F322" s="3">
        <v>13.0</v>
      </c>
      <c r="G322" s="3">
        <v>260.0</v>
      </c>
      <c r="H322" s="3">
        <v>110.0</v>
      </c>
      <c r="I322" s="3">
        <v>256.0</v>
      </c>
      <c r="J322" s="3">
        <v>83.0</v>
      </c>
      <c r="K322" s="3">
        <v>188.0</v>
      </c>
      <c r="L322" s="3">
        <v>1000.0</v>
      </c>
      <c r="M322" s="3">
        <v>102.0</v>
      </c>
      <c r="N322" s="3">
        <v>200.0</v>
      </c>
      <c r="O322" s="3">
        <v>121.0</v>
      </c>
      <c r="P322" s="3"/>
      <c r="Q322" s="3">
        <v>80.0</v>
      </c>
      <c r="R322" s="3">
        <v>150.0</v>
      </c>
      <c r="S322" s="3">
        <v>417.0</v>
      </c>
      <c r="T322" s="3">
        <v>120.0</v>
      </c>
      <c r="U322" s="3">
        <v>80.0</v>
      </c>
      <c r="V322" s="1">
        <v>88.0</v>
      </c>
      <c r="W322" s="1">
        <v>250.0</v>
      </c>
      <c r="X322" s="1">
        <v>264.0</v>
      </c>
      <c r="Y322" s="1">
        <v>161.0</v>
      </c>
      <c r="Z322" s="1">
        <v>69.0</v>
      </c>
      <c r="AA322" s="3"/>
      <c r="AB322" s="1">
        <v>13.0</v>
      </c>
      <c r="AC322" s="1">
        <v>150.0</v>
      </c>
      <c r="AD322" s="1">
        <v>170.0</v>
      </c>
      <c r="AE322" s="1">
        <v>60.0</v>
      </c>
      <c r="AF322" s="1">
        <v>40.0</v>
      </c>
      <c r="AG322" s="1">
        <v>45.0</v>
      </c>
      <c r="AH322" s="1"/>
      <c r="AI322" s="1">
        <v>205.0</v>
      </c>
      <c r="AJ322" s="1">
        <v>60.0</v>
      </c>
      <c r="AK322" s="1">
        <v>100.0</v>
      </c>
      <c r="AL322" s="1">
        <v>175.0</v>
      </c>
      <c r="AM322" s="1">
        <v>130.0</v>
      </c>
      <c r="AN322" s="3">
        <v>47.0</v>
      </c>
      <c r="AO322" s="3">
        <v>160.0</v>
      </c>
      <c r="AP322" s="3">
        <v>70.0</v>
      </c>
      <c r="AQ322" s="3"/>
      <c r="AR322" s="1">
        <v>854.0</v>
      </c>
      <c r="AS322" s="1">
        <v>250.0</v>
      </c>
      <c r="AT322" s="1">
        <v>220.0</v>
      </c>
      <c r="AU322" s="3">
        <v>423.0</v>
      </c>
      <c r="AV322" s="1">
        <v>120.0</v>
      </c>
      <c r="AW322" s="3">
        <v>200.0</v>
      </c>
      <c r="AX322" s="3"/>
      <c r="AY322" s="3">
        <v>142.0</v>
      </c>
      <c r="AZ322" s="1">
        <v>40.0</v>
      </c>
      <c r="BA322" s="1"/>
      <c r="BB322" s="3">
        <v>402.0</v>
      </c>
      <c r="BC322" s="1">
        <v>150.0</v>
      </c>
      <c r="BD322" s="1">
        <v>190.0</v>
      </c>
      <c r="BE322" s="1">
        <v>80.0</v>
      </c>
      <c r="BF322" s="3">
        <v>328.0</v>
      </c>
      <c r="BG322" s="1">
        <v>213.0</v>
      </c>
      <c r="BH322" s="1">
        <v>23.0</v>
      </c>
      <c r="BI322" s="1">
        <v>40.0</v>
      </c>
      <c r="BJ322" s="1">
        <v>278.0</v>
      </c>
      <c r="BK322" s="3"/>
      <c r="BL322" s="1">
        <v>160.0</v>
      </c>
      <c r="BM322" s="1">
        <v>75.0</v>
      </c>
      <c r="BN322" s="32">
        <v>1802.0</v>
      </c>
      <c r="BO322" s="1">
        <v>47.0</v>
      </c>
      <c r="BP322" s="3">
        <v>48.0</v>
      </c>
      <c r="BQ322" s="1">
        <v>188.0</v>
      </c>
      <c r="BR322" s="27">
        <v>34127.0</v>
      </c>
    </row>
    <row r="323">
      <c r="A323" s="25">
        <f>'Equity Price Data'!A324</f>
        <v>45894.66667</v>
      </c>
      <c r="B323" s="34">
        <f>(('PRACTICE Equity Price Data'!B324/'PRACTICE Equity Price Data'!B323)-1)+B322</f>
        <v>0.2302660494</v>
      </c>
      <c r="C323" s="34">
        <f>(('PRACTICE Equity Price Data'!C324/'PRACTICE Equity Price Data'!C323)-1)+C322</f>
        <v>0.3049482514</v>
      </c>
      <c r="D323" s="34">
        <f>(('PRACTICE Equity Price Data'!D324/'PRACTICE Equity Price Data'!D323)-1)+D322</f>
        <v>0.1549485482</v>
      </c>
      <c r="E323" s="34">
        <f>(('PRACTICE Equity Price Data'!E324/'PRACTICE Equity Price Data'!E323)-1)+E322</f>
        <v>0.1608056289</v>
      </c>
      <c r="F323" s="3">
        <v>13.0</v>
      </c>
      <c r="G323" s="3">
        <v>260.0</v>
      </c>
      <c r="H323" s="3">
        <v>110.0</v>
      </c>
      <c r="I323" s="3">
        <v>256.0</v>
      </c>
      <c r="J323" s="3">
        <v>83.0</v>
      </c>
      <c r="K323" s="3">
        <v>188.0</v>
      </c>
      <c r="L323" s="3">
        <v>1000.0</v>
      </c>
      <c r="M323" s="3">
        <v>102.0</v>
      </c>
      <c r="N323" s="3">
        <v>200.0</v>
      </c>
      <c r="O323" s="3">
        <v>121.0</v>
      </c>
      <c r="P323" s="3"/>
      <c r="Q323" s="3">
        <v>80.0</v>
      </c>
      <c r="R323" s="3">
        <v>150.0</v>
      </c>
      <c r="S323" s="3">
        <v>417.0</v>
      </c>
      <c r="T323" s="3">
        <v>120.0</v>
      </c>
      <c r="U323" s="3">
        <v>80.0</v>
      </c>
      <c r="V323" s="1">
        <v>88.0</v>
      </c>
      <c r="W323" s="1">
        <v>250.0</v>
      </c>
      <c r="X323" s="1">
        <v>264.0</v>
      </c>
      <c r="Y323" s="1">
        <v>161.0</v>
      </c>
      <c r="Z323" s="1">
        <v>69.0</v>
      </c>
      <c r="AA323" s="3"/>
      <c r="AB323" s="1">
        <v>13.0</v>
      </c>
      <c r="AC323" s="1">
        <v>150.0</v>
      </c>
      <c r="AD323" s="1">
        <v>170.0</v>
      </c>
      <c r="AE323" s="1">
        <v>60.0</v>
      </c>
      <c r="AF323" s="1">
        <v>40.0</v>
      </c>
      <c r="AG323" s="1">
        <v>45.0</v>
      </c>
      <c r="AH323" s="1"/>
      <c r="AI323" s="1">
        <v>205.0</v>
      </c>
      <c r="AJ323" s="1">
        <v>60.0</v>
      </c>
      <c r="AK323" s="1">
        <v>100.0</v>
      </c>
      <c r="AL323" s="1">
        <v>175.0</v>
      </c>
      <c r="AM323" s="1">
        <v>130.0</v>
      </c>
      <c r="AN323" s="3">
        <v>47.0</v>
      </c>
      <c r="AO323" s="3">
        <v>160.0</v>
      </c>
      <c r="AP323" s="3">
        <v>70.0</v>
      </c>
      <c r="AQ323" s="3"/>
      <c r="AR323" s="1">
        <v>854.0</v>
      </c>
      <c r="AS323" s="1">
        <v>250.0</v>
      </c>
      <c r="AT323" s="1">
        <v>220.0</v>
      </c>
      <c r="AU323" s="3">
        <v>423.0</v>
      </c>
      <c r="AV323" s="1">
        <v>120.0</v>
      </c>
      <c r="AW323" s="3">
        <v>200.0</v>
      </c>
      <c r="AX323" s="3"/>
      <c r="AY323" s="3">
        <v>142.0</v>
      </c>
      <c r="AZ323" s="1">
        <v>40.0</v>
      </c>
      <c r="BA323" s="1"/>
      <c r="BB323" s="3">
        <v>402.0</v>
      </c>
      <c r="BC323" s="1">
        <v>150.0</v>
      </c>
      <c r="BD323" s="1">
        <v>190.0</v>
      </c>
      <c r="BE323" s="1">
        <v>80.0</v>
      </c>
      <c r="BF323" s="3">
        <v>328.0</v>
      </c>
      <c r="BG323" s="1">
        <v>213.0</v>
      </c>
      <c r="BH323" s="1">
        <v>23.0</v>
      </c>
      <c r="BI323" s="1">
        <v>40.0</v>
      </c>
      <c r="BJ323" s="1">
        <v>278.0</v>
      </c>
      <c r="BK323" s="3"/>
      <c r="BL323" s="1">
        <v>160.0</v>
      </c>
      <c r="BM323" s="1">
        <v>75.0</v>
      </c>
      <c r="BN323" s="32">
        <v>1802.0</v>
      </c>
      <c r="BO323" s="1">
        <v>47.0</v>
      </c>
      <c r="BP323" s="3">
        <v>48.0</v>
      </c>
      <c r="BQ323" s="1">
        <v>188.0</v>
      </c>
      <c r="BR323" s="27">
        <v>34127.0</v>
      </c>
    </row>
    <row r="324">
      <c r="A324" s="25">
        <f>'Equity Price Data'!A325</f>
        <v>45895.66667</v>
      </c>
      <c r="B324" s="34">
        <f>(('PRACTICE Equity Price Data'!B325/'PRACTICE Equity Price Data'!B324)-1)+B323</f>
        <v>0.2344000263</v>
      </c>
      <c r="C324" s="34">
        <f>(('PRACTICE Equity Price Data'!C325/'PRACTICE Equity Price Data'!C324)-1)+C323</f>
        <v>0.30937637</v>
      </c>
      <c r="D324" s="34">
        <f>(('PRACTICE Equity Price Data'!D325/'PRACTICE Equity Price Data'!D324)-1)+D323</f>
        <v>0.1579430845</v>
      </c>
      <c r="E324" s="34">
        <f>(('PRACTICE Equity Price Data'!E325/'PRACTICE Equity Price Data'!E324)-1)+E323</f>
        <v>0.169111994</v>
      </c>
      <c r="F324" s="3">
        <v>13.0</v>
      </c>
      <c r="G324" s="3">
        <v>260.0</v>
      </c>
      <c r="H324" s="3">
        <v>110.0</v>
      </c>
      <c r="I324" s="3">
        <v>256.0</v>
      </c>
      <c r="J324" s="3">
        <v>83.0</v>
      </c>
      <c r="K324" s="3">
        <v>188.0</v>
      </c>
      <c r="L324" s="3">
        <v>1000.0</v>
      </c>
      <c r="M324" s="3">
        <v>102.0</v>
      </c>
      <c r="N324" s="3">
        <v>200.0</v>
      </c>
      <c r="O324" s="3">
        <v>121.0</v>
      </c>
      <c r="P324" s="3"/>
      <c r="Q324" s="3">
        <v>80.0</v>
      </c>
      <c r="R324" s="3">
        <v>150.0</v>
      </c>
      <c r="S324" s="3">
        <v>417.0</v>
      </c>
      <c r="T324" s="3">
        <v>120.0</v>
      </c>
      <c r="U324" s="3">
        <v>80.0</v>
      </c>
      <c r="V324" s="1">
        <v>88.0</v>
      </c>
      <c r="W324" s="1">
        <v>250.0</v>
      </c>
      <c r="X324" s="1">
        <v>264.0</v>
      </c>
      <c r="Y324" s="1">
        <v>161.0</v>
      </c>
      <c r="Z324" s="1">
        <v>69.0</v>
      </c>
      <c r="AA324" s="3"/>
      <c r="AB324" s="1">
        <v>13.0</v>
      </c>
      <c r="AC324" s="1">
        <v>150.0</v>
      </c>
      <c r="AD324" s="1">
        <v>170.0</v>
      </c>
      <c r="AE324" s="1">
        <v>60.0</v>
      </c>
      <c r="AF324" s="1">
        <v>40.0</v>
      </c>
      <c r="AG324" s="1">
        <v>45.0</v>
      </c>
      <c r="AH324" s="1"/>
      <c r="AI324" s="1">
        <v>205.0</v>
      </c>
      <c r="AJ324" s="1">
        <v>60.0</v>
      </c>
      <c r="AK324" s="1">
        <v>100.0</v>
      </c>
      <c r="AL324" s="1">
        <v>175.0</v>
      </c>
      <c r="AM324" s="1">
        <v>130.0</v>
      </c>
      <c r="AN324" s="3">
        <v>47.0</v>
      </c>
      <c r="AO324" s="3">
        <v>160.0</v>
      </c>
      <c r="AP324" s="3">
        <v>70.0</v>
      </c>
      <c r="AQ324" s="3"/>
      <c r="AR324" s="1">
        <v>854.0</v>
      </c>
      <c r="AS324" s="1">
        <v>250.0</v>
      </c>
      <c r="AT324" s="1">
        <v>220.0</v>
      </c>
      <c r="AU324" s="3">
        <v>423.0</v>
      </c>
      <c r="AV324" s="1">
        <v>120.0</v>
      </c>
      <c r="AW324" s="3">
        <v>200.0</v>
      </c>
      <c r="AX324" s="3"/>
      <c r="AY324" s="3">
        <v>142.0</v>
      </c>
      <c r="AZ324" s="1">
        <v>40.0</v>
      </c>
      <c r="BA324" s="1"/>
      <c r="BB324" s="3">
        <v>402.0</v>
      </c>
      <c r="BC324" s="1">
        <v>150.0</v>
      </c>
      <c r="BD324" s="1">
        <v>190.0</v>
      </c>
      <c r="BE324" s="1">
        <v>80.0</v>
      </c>
      <c r="BF324" s="3">
        <v>328.0</v>
      </c>
      <c r="BG324" s="1">
        <v>213.0</v>
      </c>
      <c r="BH324" s="1">
        <v>23.0</v>
      </c>
      <c r="BI324" s="1">
        <v>40.0</v>
      </c>
      <c r="BJ324" s="1">
        <v>278.0</v>
      </c>
      <c r="BK324" s="3"/>
      <c r="BL324" s="1">
        <v>160.0</v>
      </c>
      <c r="BM324" s="1">
        <v>75.0</v>
      </c>
      <c r="BN324" s="32">
        <v>1802.0</v>
      </c>
      <c r="BO324" s="1">
        <v>47.0</v>
      </c>
      <c r="BP324" s="3">
        <v>48.0</v>
      </c>
      <c r="BQ324" s="1">
        <v>188.0</v>
      </c>
      <c r="BR324" s="27">
        <v>34127.0</v>
      </c>
    </row>
    <row r="325">
      <c r="A325" s="25">
        <f>'Equity Price Data'!A326</f>
        <v>45896.66667</v>
      </c>
      <c r="B325" s="34">
        <f>(('PRACTICE Equity Price Data'!B326/'PRACTICE Equity Price Data'!B325)-1)+B324</f>
        <v>0.2367910166</v>
      </c>
      <c r="C325" s="34">
        <f>(('PRACTICE Equity Price Data'!C326/'PRACTICE Equity Price Data'!C325)-1)+C324</f>
        <v>0.3115054744</v>
      </c>
      <c r="D325" s="34">
        <f>(('PRACTICE Equity Price Data'!D326/'PRACTICE Equity Price Data'!D325)-1)+D324</f>
        <v>0.1611832046</v>
      </c>
      <c r="E325" s="34">
        <f>(('PRACTICE Equity Price Data'!E326/'PRACTICE Equity Price Data'!E325)-1)+E324</f>
        <v>0.175556495</v>
      </c>
      <c r="F325" s="3">
        <v>13.0</v>
      </c>
      <c r="G325" s="3">
        <v>260.0</v>
      </c>
      <c r="H325" s="3">
        <v>110.0</v>
      </c>
      <c r="I325" s="3">
        <v>256.0</v>
      </c>
      <c r="J325" s="3">
        <v>83.0</v>
      </c>
      <c r="K325" s="3">
        <v>188.0</v>
      </c>
      <c r="L325" s="3">
        <v>1000.0</v>
      </c>
      <c r="M325" s="3">
        <v>102.0</v>
      </c>
      <c r="N325" s="3">
        <v>200.0</v>
      </c>
      <c r="O325" s="3">
        <v>121.0</v>
      </c>
      <c r="P325" s="3"/>
      <c r="Q325" s="3">
        <v>80.0</v>
      </c>
      <c r="R325" s="3">
        <v>150.0</v>
      </c>
      <c r="S325" s="3">
        <v>417.0</v>
      </c>
      <c r="T325" s="3">
        <v>120.0</v>
      </c>
      <c r="U325" s="3">
        <v>80.0</v>
      </c>
      <c r="V325" s="1">
        <v>88.0</v>
      </c>
      <c r="W325" s="1">
        <v>250.0</v>
      </c>
      <c r="X325" s="1">
        <v>264.0</v>
      </c>
      <c r="Y325" s="1">
        <v>161.0</v>
      </c>
      <c r="Z325" s="1">
        <v>69.0</v>
      </c>
      <c r="AA325" s="3"/>
      <c r="AB325" s="1">
        <v>13.0</v>
      </c>
      <c r="AC325" s="1">
        <v>150.0</v>
      </c>
      <c r="AD325" s="1">
        <v>170.0</v>
      </c>
      <c r="AE325" s="1">
        <v>60.0</v>
      </c>
      <c r="AF325" s="1">
        <v>40.0</v>
      </c>
      <c r="AG325" s="1">
        <v>45.0</v>
      </c>
      <c r="AH325" s="1"/>
      <c r="AI325" s="1">
        <v>205.0</v>
      </c>
      <c r="AJ325" s="1">
        <v>60.0</v>
      </c>
      <c r="AK325" s="1">
        <v>100.0</v>
      </c>
      <c r="AL325" s="1">
        <v>175.0</v>
      </c>
      <c r="AM325" s="1">
        <v>130.0</v>
      </c>
      <c r="AN325" s="3">
        <v>47.0</v>
      </c>
      <c r="AO325" s="3">
        <v>160.0</v>
      </c>
      <c r="AP325" s="3">
        <v>70.0</v>
      </c>
      <c r="AQ325" s="3"/>
      <c r="AR325" s="1">
        <v>854.0</v>
      </c>
      <c r="AS325" s="1">
        <v>250.0</v>
      </c>
      <c r="AT325" s="1">
        <v>220.0</v>
      </c>
      <c r="AU325" s="3">
        <v>423.0</v>
      </c>
      <c r="AV325" s="1">
        <v>120.0</v>
      </c>
      <c r="AW325" s="3">
        <v>200.0</v>
      </c>
      <c r="AX325" s="3"/>
      <c r="AY325" s="3">
        <v>142.0</v>
      </c>
      <c r="AZ325" s="1">
        <v>40.0</v>
      </c>
      <c r="BA325" s="1"/>
      <c r="BB325" s="3">
        <v>402.0</v>
      </c>
      <c r="BC325" s="1">
        <v>150.0</v>
      </c>
      <c r="BD325" s="1">
        <v>190.0</v>
      </c>
      <c r="BE325" s="1">
        <v>80.0</v>
      </c>
      <c r="BF325" s="3">
        <v>328.0</v>
      </c>
      <c r="BG325" s="1">
        <v>213.0</v>
      </c>
      <c r="BH325" s="1">
        <v>23.0</v>
      </c>
      <c r="BI325" s="1">
        <v>40.0</v>
      </c>
      <c r="BJ325" s="1">
        <v>278.0</v>
      </c>
      <c r="BK325" s="3"/>
      <c r="BL325" s="1">
        <v>160.0</v>
      </c>
      <c r="BM325" s="1">
        <v>75.0</v>
      </c>
      <c r="BN325" s="32">
        <v>1802.0</v>
      </c>
      <c r="BO325" s="1">
        <v>47.0</v>
      </c>
      <c r="BP325" s="3">
        <v>48.0</v>
      </c>
      <c r="BQ325" s="1">
        <v>188.0</v>
      </c>
      <c r="BR325" s="27">
        <v>34127.0</v>
      </c>
    </row>
    <row r="326">
      <c r="A326" s="25">
        <f>'Equity Price Data'!A327</f>
        <v>45897.66667</v>
      </c>
      <c r="B326" s="34">
        <f>(('PRACTICE Equity Price Data'!B327/'PRACTICE Equity Price Data'!B326)-1)+B325</f>
        <v>0.239947742</v>
      </c>
      <c r="C326" s="34">
        <f>(('PRACTICE Equity Price Data'!C327/'PRACTICE Equity Price Data'!C326)-1)+C325</f>
        <v>0.3168329063</v>
      </c>
      <c r="D326" s="34">
        <f>(('PRACTICE Equity Price Data'!D327/'PRACTICE Equity Price Data'!D326)-1)+D325</f>
        <v>0.1627561144</v>
      </c>
      <c r="E326" s="34">
        <f>(('PRACTICE Equity Price Data'!E327/'PRACTICE Equity Price Data'!E326)-1)+E325</f>
        <v>0.1774985289</v>
      </c>
      <c r="F326" s="3">
        <v>13.0</v>
      </c>
      <c r="G326" s="3">
        <v>260.0</v>
      </c>
      <c r="H326" s="3">
        <v>110.0</v>
      </c>
      <c r="I326" s="3">
        <v>256.0</v>
      </c>
      <c r="J326" s="3">
        <v>83.0</v>
      </c>
      <c r="K326" s="3">
        <v>188.0</v>
      </c>
      <c r="L326" s="3">
        <v>1000.0</v>
      </c>
      <c r="M326" s="3">
        <v>102.0</v>
      </c>
      <c r="N326" s="3">
        <v>200.0</v>
      </c>
      <c r="O326" s="3">
        <v>121.0</v>
      </c>
      <c r="P326" s="3"/>
      <c r="Q326" s="3">
        <v>80.0</v>
      </c>
      <c r="R326" s="3">
        <v>150.0</v>
      </c>
      <c r="S326" s="3">
        <v>417.0</v>
      </c>
      <c r="T326" s="3">
        <v>120.0</v>
      </c>
      <c r="U326" s="3">
        <v>80.0</v>
      </c>
      <c r="V326" s="1">
        <v>88.0</v>
      </c>
      <c r="W326" s="1">
        <v>250.0</v>
      </c>
      <c r="X326" s="1">
        <v>264.0</v>
      </c>
      <c r="Y326" s="1">
        <v>161.0</v>
      </c>
      <c r="Z326" s="1">
        <v>69.0</v>
      </c>
      <c r="AA326" s="3"/>
      <c r="AB326" s="1">
        <v>13.0</v>
      </c>
      <c r="AC326" s="1">
        <v>150.0</v>
      </c>
      <c r="AD326" s="1">
        <v>170.0</v>
      </c>
      <c r="AE326" s="1">
        <v>60.0</v>
      </c>
      <c r="AF326" s="1">
        <v>40.0</v>
      </c>
      <c r="AG326" s="1">
        <v>45.0</v>
      </c>
      <c r="AH326" s="1"/>
      <c r="AI326" s="1">
        <v>205.0</v>
      </c>
      <c r="AJ326" s="1">
        <v>60.0</v>
      </c>
      <c r="AK326" s="1">
        <v>100.0</v>
      </c>
      <c r="AL326" s="1">
        <v>175.0</v>
      </c>
      <c r="AM326" s="1">
        <v>130.0</v>
      </c>
      <c r="AN326" s="3">
        <v>47.0</v>
      </c>
      <c r="AO326" s="3">
        <v>160.0</v>
      </c>
      <c r="AP326" s="3">
        <v>70.0</v>
      </c>
      <c r="AQ326" s="3"/>
      <c r="AR326" s="1">
        <v>854.0</v>
      </c>
      <c r="AS326" s="1">
        <v>250.0</v>
      </c>
      <c r="AT326" s="1">
        <v>220.0</v>
      </c>
      <c r="AU326" s="3">
        <v>423.0</v>
      </c>
      <c r="AV326" s="1">
        <v>120.0</v>
      </c>
      <c r="AW326" s="3">
        <v>200.0</v>
      </c>
      <c r="AX326" s="3"/>
      <c r="AY326" s="3">
        <v>142.0</v>
      </c>
      <c r="AZ326" s="1">
        <v>40.0</v>
      </c>
      <c r="BA326" s="1"/>
      <c r="BB326" s="3">
        <v>402.0</v>
      </c>
      <c r="BC326" s="1">
        <v>150.0</v>
      </c>
      <c r="BD326" s="1">
        <v>190.0</v>
      </c>
      <c r="BE326" s="1">
        <v>80.0</v>
      </c>
      <c r="BF326" s="3">
        <v>328.0</v>
      </c>
      <c r="BG326" s="1">
        <v>213.0</v>
      </c>
      <c r="BH326" s="1">
        <v>23.0</v>
      </c>
      <c r="BI326" s="1">
        <v>40.0</v>
      </c>
      <c r="BJ326" s="1">
        <v>278.0</v>
      </c>
      <c r="BK326" s="3"/>
      <c r="BL326" s="1">
        <v>160.0</v>
      </c>
      <c r="BM326" s="1">
        <v>75.0</v>
      </c>
      <c r="BN326" s="32">
        <v>1802.0</v>
      </c>
      <c r="BO326" s="1">
        <v>47.0</v>
      </c>
      <c r="BP326" s="3">
        <v>48.0</v>
      </c>
      <c r="BQ326" s="1">
        <v>188.0</v>
      </c>
      <c r="BR326" s="27">
        <v>34410.0</v>
      </c>
    </row>
    <row r="327">
      <c r="A327" s="25">
        <f>'Equity Price Data'!A328</f>
        <v>45898.66667</v>
      </c>
      <c r="B327" s="34">
        <f>(('PRACTICE Equity Price Data'!B328/'PRACTICE Equity Price Data'!B327)-1)+B326</f>
        <v>0.2335495729</v>
      </c>
      <c r="C327" s="34">
        <f>(('PRACTICE Equity Price Data'!C328/'PRACTICE Equity Price Data'!C327)-1)+C326</f>
        <v>0.3053328759</v>
      </c>
      <c r="D327" s="34">
        <f>(('PRACTICE Equity Price Data'!D328/'PRACTICE Equity Price Data'!D327)-1)+D326</f>
        <v>0.1607397636</v>
      </c>
      <c r="E327" s="34">
        <f>(('PRACTICE Equity Price Data'!E328/'PRACTICE Equity Price Data'!E327)-1)+E326</f>
        <v>0.1724573459</v>
      </c>
      <c r="F327" s="3">
        <v>13.0</v>
      </c>
      <c r="G327" s="3">
        <v>260.0</v>
      </c>
      <c r="H327" s="3">
        <v>110.0</v>
      </c>
      <c r="I327" s="3">
        <v>256.0</v>
      </c>
      <c r="J327" s="3">
        <v>83.0</v>
      </c>
      <c r="K327" s="3">
        <v>188.0</v>
      </c>
      <c r="L327" s="3">
        <v>1000.0</v>
      </c>
      <c r="M327" s="3">
        <v>102.0</v>
      </c>
      <c r="N327" s="3">
        <v>200.0</v>
      </c>
      <c r="O327" s="3">
        <v>121.0</v>
      </c>
      <c r="P327" s="3"/>
      <c r="Q327" s="3">
        <v>80.0</v>
      </c>
      <c r="R327" s="3">
        <v>150.0</v>
      </c>
      <c r="S327" s="3">
        <v>417.0</v>
      </c>
      <c r="T327" s="3">
        <v>120.0</v>
      </c>
      <c r="U327" s="3">
        <v>80.0</v>
      </c>
      <c r="V327" s="1">
        <v>88.0</v>
      </c>
      <c r="W327" s="1">
        <v>250.0</v>
      </c>
      <c r="X327" s="1">
        <v>264.0</v>
      </c>
      <c r="Y327" s="1">
        <v>161.0</v>
      </c>
      <c r="Z327" s="1">
        <v>69.0</v>
      </c>
      <c r="AA327" s="3"/>
      <c r="AB327" s="1">
        <v>13.0</v>
      </c>
      <c r="AC327" s="1">
        <v>150.0</v>
      </c>
      <c r="AD327" s="1">
        <v>170.0</v>
      </c>
      <c r="AE327" s="1">
        <v>60.0</v>
      </c>
      <c r="AF327" s="1">
        <v>40.0</v>
      </c>
      <c r="AG327" s="1">
        <v>45.0</v>
      </c>
      <c r="AH327" s="1"/>
      <c r="AI327" s="1">
        <v>205.0</v>
      </c>
      <c r="AJ327" s="1">
        <v>60.0</v>
      </c>
      <c r="AK327" s="1">
        <v>100.0</v>
      </c>
      <c r="AL327" s="1">
        <v>175.0</v>
      </c>
      <c r="AM327" s="1">
        <v>130.0</v>
      </c>
      <c r="AN327" s="3">
        <v>47.0</v>
      </c>
      <c r="AO327" s="3">
        <v>160.0</v>
      </c>
      <c r="AP327" s="3">
        <v>70.0</v>
      </c>
      <c r="AQ327" s="3"/>
      <c r="AR327" s="1">
        <v>854.0</v>
      </c>
      <c r="AS327" s="1">
        <v>250.0</v>
      </c>
      <c r="AT327" s="1">
        <v>220.0</v>
      </c>
      <c r="AU327" s="3">
        <v>423.0</v>
      </c>
      <c r="AV327" s="1">
        <v>120.0</v>
      </c>
      <c r="AW327" s="3">
        <v>200.0</v>
      </c>
      <c r="AX327" s="3"/>
      <c r="AY327" s="3">
        <v>142.0</v>
      </c>
      <c r="AZ327" s="1">
        <v>40.0</v>
      </c>
      <c r="BA327" s="1"/>
      <c r="BB327" s="3">
        <v>402.0</v>
      </c>
      <c r="BC327" s="1">
        <v>150.0</v>
      </c>
      <c r="BD327" s="1">
        <v>190.0</v>
      </c>
      <c r="BE327" s="1">
        <v>80.0</v>
      </c>
      <c r="BF327" s="3">
        <v>328.0</v>
      </c>
      <c r="BG327" s="1">
        <v>213.0</v>
      </c>
      <c r="BH327" s="1">
        <v>23.0</v>
      </c>
      <c r="BI327" s="1">
        <v>40.0</v>
      </c>
      <c r="BJ327" s="1">
        <v>278.0</v>
      </c>
      <c r="BK327" s="3"/>
      <c r="BL327" s="1">
        <v>160.0</v>
      </c>
      <c r="BM327" s="1">
        <v>75.0</v>
      </c>
      <c r="BN327" s="32">
        <v>1802.0</v>
      </c>
      <c r="BO327" s="1">
        <v>47.0</v>
      </c>
      <c r="BP327" s="3">
        <v>48.0</v>
      </c>
      <c r="BQ327" s="1">
        <v>188.0</v>
      </c>
      <c r="BR327" s="27">
        <v>34410.0</v>
      </c>
    </row>
    <row r="328">
      <c r="A328" s="25">
        <f>'Equity Price Data'!A329</f>
        <v>45902.66667</v>
      </c>
      <c r="B328" s="34">
        <f>(('PRACTICE Equity Price Data'!B329/'PRACTICE Equity Price Data'!B328)-1)+B327</f>
        <v>0.2266272509</v>
      </c>
      <c r="C328" s="34">
        <f>(('PRACTICE Equity Price Data'!C329/'PRACTICE Equity Price Data'!C328)-1)+C327</f>
        <v>0.2971335988</v>
      </c>
      <c r="D328" s="34">
        <f>(('PRACTICE Equity Price Data'!D329/'PRACTICE Equity Price Data'!D328)-1)+D327</f>
        <v>0.1552710919</v>
      </c>
      <c r="E328" s="34">
        <f>(('PRACTICE Equity Price Data'!E329/'PRACTICE Equity Price Data'!E328)-1)+E327</f>
        <v>0.1664524947</v>
      </c>
      <c r="F328" s="3">
        <v>13.0</v>
      </c>
      <c r="G328" s="3">
        <v>260.0</v>
      </c>
      <c r="H328" s="3">
        <v>110.0</v>
      </c>
      <c r="I328" s="3">
        <v>256.0</v>
      </c>
      <c r="J328" s="3">
        <v>83.0</v>
      </c>
      <c r="K328" s="3">
        <v>188.0</v>
      </c>
      <c r="L328" s="3">
        <v>1000.0</v>
      </c>
      <c r="M328" s="3">
        <v>102.0</v>
      </c>
      <c r="N328" s="3">
        <v>200.0</v>
      </c>
      <c r="O328" s="3">
        <v>121.0</v>
      </c>
      <c r="P328" s="3"/>
      <c r="Q328" s="3">
        <v>80.0</v>
      </c>
      <c r="R328" s="3">
        <v>150.0</v>
      </c>
      <c r="S328" s="3">
        <v>417.0</v>
      </c>
      <c r="T328" s="3">
        <v>120.0</v>
      </c>
      <c r="U328" s="3">
        <v>80.0</v>
      </c>
      <c r="V328" s="1">
        <v>88.0</v>
      </c>
      <c r="W328" s="1">
        <v>250.0</v>
      </c>
      <c r="X328" s="1">
        <v>264.0</v>
      </c>
      <c r="Y328" s="1">
        <v>161.0</v>
      </c>
      <c r="Z328" s="1">
        <v>69.0</v>
      </c>
      <c r="AA328" s="3"/>
      <c r="AB328" s="1">
        <v>13.0</v>
      </c>
      <c r="AC328" s="1">
        <v>150.0</v>
      </c>
      <c r="AD328" s="1">
        <v>170.0</v>
      </c>
      <c r="AE328" s="1">
        <v>60.0</v>
      </c>
      <c r="AF328" s="1">
        <v>40.0</v>
      </c>
      <c r="AG328" s="1">
        <v>45.0</v>
      </c>
      <c r="AH328" s="1"/>
      <c r="AI328" s="1">
        <v>205.0</v>
      </c>
      <c r="AJ328" s="1">
        <v>60.0</v>
      </c>
      <c r="AK328" s="1">
        <v>100.0</v>
      </c>
      <c r="AL328" s="1">
        <v>175.0</v>
      </c>
      <c r="AM328" s="1">
        <v>130.0</v>
      </c>
      <c r="AN328" s="3">
        <v>47.0</v>
      </c>
      <c r="AO328" s="3">
        <v>160.0</v>
      </c>
      <c r="AP328" s="3">
        <v>70.0</v>
      </c>
      <c r="AQ328" s="3"/>
      <c r="AR328" s="1">
        <v>854.0</v>
      </c>
      <c r="AS328" s="1">
        <v>250.0</v>
      </c>
      <c r="AT328" s="1">
        <v>220.0</v>
      </c>
      <c r="AU328" s="3">
        <v>423.0</v>
      </c>
      <c r="AV328" s="1">
        <v>120.0</v>
      </c>
      <c r="AW328" s="3">
        <v>200.0</v>
      </c>
      <c r="AX328" s="3"/>
      <c r="AY328" s="3">
        <v>142.0</v>
      </c>
      <c r="AZ328" s="1">
        <v>40.0</v>
      </c>
      <c r="BA328" s="1"/>
      <c r="BB328" s="3">
        <v>402.0</v>
      </c>
      <c r="BC328" s="1">
        <v>150.0</v>
      </c>
      <c r="BD328" s="1">
        <v>190.0</v>
      </c>
      <c r="BE328" s="1">
        <v>80.0</v>
      </c>
      <c r="BF328" s="3">
        <v>328.0</v>
      </c>
      <c r="BG328" s="1">
        <v>213.0</v>
      </c>
      <c r="BH328" s="1">
        <v>23.0</v>
      </c>
      <c r="BI328" s="1">
        <v>40.0</v>
      </c>
      <c r="BJ328" s="1">
        <v>278.0</v>
      </c>
      <c r="BK328" s="3"/>
      <c r="BL328" s="1">
        <v>160.0</v>
      </c>
      <c r="BM328" s="1">
        <v>75.0</v>
      </c>
      <c r="BN328" s="32">
        <v>1802.0</v>
      </c>
      <c r="BO328" s="1">
        <v>47.0</v>
      </c>
      <c r="BP328" s="3">
        <v>48.0</v>
      </c>
      <c r="BQ328" s="1">
        <v>188.0</v>
      </c>
      <c r="BR328" s="27">
        <v>34410.0</v>
      </c>
    </row>
    <row r="329">
      <c r="A329" s="25">
        <f>'Equity Price Data'!A330</f>
        <v>45903.66667</v>
      </c>
      <c r="B329" s="34">
        <f>(('PRACTICE Equity Price Data'!B330/'PRACTICE Equity Price Data'!B329)-1)+B328</f>
        <v>0.2317273671</v>
      </c>
      <c r="C329" s="34">
        <f>(('PRACTICE Equity Price Data'!C330/'PRACTICE Equity Price Data'!C329)-1)+C328</f>
        <v>0.3073828371</v>
      </c>
      <c r="D329" s="34">
        <f>(('PRACTICE Equity Price Data'!D330/'PRACTICE Equity Price Data'!D329)-1)+D328</f>
        <v>0.1547284368</v>
      </c>
      <c r="E329" s="34">
        <f>(('PRACTICE Equity Price Data'!E330/'PRACTICE Equity Price Data'!E329)-1)+E328</f>
        <v>0.1655001988</v>
      </c>
      <c r="F329" s="3">
        <v>13.0</v>
      </c>
      <c r="G329" s="3">
        <v>260.0</v>
      </c>
      <c r="H329" s="3">
        <v>110.0</v>
      </c>
      <c r="I329" s="3">
        <v>256.0</v>
      </c>
      <c r="J329" s="3">
        <v>83.0</v>
      </c>
      <c r="K329" s="3">
        <v>188.0</v>
      </c>
      <c r="L329" s="3">
        <v>1000.0</v>
      </c>
      <c r="M329" s="3">
        <v>102.0</v>
      </c>
      <c r="N329" s="3">
        <v>200.0</v>
      </c>
      <c r="O329" s="3">
        <v>121.0</v>
      </c>
      <c r="P329" s="3"/>
      <c r="Q329" s="3">
        <v>80.0</v>
      </c>
      <c r="R329" s="3">
        <v>150.0</v>
      </c>
      <c r="S329" s="3">
        <v>417.0</v>
      </c>
      <c r="T329" s="3">
        <v>120.0</v>
      </c>
      <c r="U329" s="3">
        <v>80.0</v>
      </c>
      <c r="V329" s="1">
        <v>88.0</v>
      </c>
      <c r="W329" s="1">
        <v>250.0</v>
      </c>
      <c r="X329" s="1">
        <v>264.0</v>
      </c>
      <c r="Y329" s="1">
        <v>161.0</v>
      </c>
      <c r="Z329" s="1">
        <v>69.0</v>
      </c>
      <c r="AA329" s="3"/>
      <c r="AB329" s="1">
        <v>13.0</v>
      </c>
      <c r="AC329" s="1">
        <v>150.0</v>
      </c>
      <c r="AD329" s="1">
        <v>170.0</v>
      </c>
      <c r="AE329" s="1">
        <v>60.0</v>
      </c>
      <c r="AF329" s="1">
        <v>40.0</v>
      </c>
      <c r="AG329" s="1">
        <v>45.0</v>
      </c>
      <c r="AH329" s="1"/>
      <c r="AI329" s="1">
        <v>205.0</v>
      </c>
      <c r="AJ329" s="1">
        <v>60.0</v>
      </c>
      <c r="AK329" s="1">
        <v>100.0</v>
      </c>
      <c r="AL329" s="1">
        <v>175.0</v>
      </c>
      <c r="AM329" s="1">
        <v>130.0</v>
      </c>
      <c r="AN329" s="3">
        <v>47.0</v>
      </c>
      <c r="AO329" s="3">
        <v>160.0</v>
      </c>
      <c r="AP329" s="3">
        <v>70.0</v>
      </c>
      <c r="AQ329" s="3"/>
      <c r="AR329" s="1">
        <v>854.0</v>
      </c>
      <c r="AS329" s="1">
        <v>250.0</v>
      </c>
      <c r="AT329" s="1">
        <v>220.0</v>
      </c>
      <c r="AU329" s="3">
        <v>423.0</v>
      </c>
      <c r="AV329" s="1">
        <v>120.0</v>
      </c>
      <c r="AW329" s="3">
        <v>200.0</v>
      </c>
      <c r="AX329" s="3"/>
      <c r="AY329" s="3">
        <v>142.0</v>
      </c>
      <c r="AZ329" s="1">
        <v>40.0</v>
      </c>
      <c r="BA329" s="1"/>
      <c r="BB329" s="3">
        <v>402.0</v>
      </c>
      <c r="BC329" s="1">
        <v>150.0</v>
      </c>
      <c r="BD329" s="1">
        <v>190.0</v>
      </c>
      <c r="BE329" s="1">
        <v>80.0</v>
      </c>
      <c r="BF329" s="3">
        <v>328.0</v>
      </c>
      <c r="BG329" s="1">
        <v>213.0</v>
      </c>
      <c r="BH329" s="1">
        <v>23.0</v>
      </c>
      <c r="BI329" s="1">
        <v>40.0</v>
      </c>
      <c r="BJ329" s="1">
        <v>278.0</v>
      </c>
      <c r="BK329" s="3"/>
      <c r="BL329" s="1">
        <v>160.0</v>
      </c>
      <c r="BM329" s="1">
        <v>75.0</v>
      </c>
      <c r="BN329" s="32">
        <v>1802.0</v>
      </c>
      <c r="BO329" s="1">
        <v>47.0</v>
      </c>
      <c r="BP329" s="3">
        <v>48.0</v>
      </c>
      <c r="BQ329" s="1">
        <v>188.0</v>
      </c>
      <c r="BR329" s="27">
        <v>34410.0</v>
      </c>
    </row>
    <row r="330">
      <c r="A330" s="25">
        <f>'Equity Price Data'!A331</f>
        <v>45904.66667</v>
      </c>
      <c r="B330" s="34">
        <f>(('PRACTICE Equity Price Data'!B331/'PRACTICE Equity Price Data'!B330)-1)+B329</f>
        <v>0.2400738048</v>
      </c>
      <c r="C330" s="34">
        <f>(('PRACTICE Equity Price Data'!C331/'PRACTICE Equity Price Data'!C330)-1)+C329</f>
        <v>0.3171494497</v>
      </c>
      <c r="D330" s="34">
        <f>(('PRACTICE Equity Price Data'!D331/'PRACTICE Equity Price Data'!D330)-1)+D329</f>
        <v>0.1624609415</v>
      </c>
      <c r="E330" s="34">
        <f>(('PRACTICE Equity Price Data'!E331/'PRACTICE Equity Price Data'!E330)-1)+E329</f>
        <v>0.1781131257</v>
      </c>
      <c r="F330" s="3">
        <v>13.0</v>
      </c>
      <c r="G330" s="3">
        <v>260.0</v>
      </c>
      <c r="H330" s="3">
        <v>110.0</v>
      </c>
      <c r="I330" s="3">
        <v>256.0</v>
      </c>
      <c r="J330" s="3">
        <v>83.0</v>
      </c>
      <c r="K330" s="3">
        <v>188.0</v>
      </c>
      <c r="L330" s="3">
        <v>1000.0</v>
      </c>
      <c r="M330" s="3">
        <v>102.0</v>
      </c>
      <c r="N330" s="3">
        <v>200.0</v>
      </c>
      <c r="O330" s="3">
        <v>121.0</v>
      </c>
      <c r="P330" s="3"/>
      <c r="Q330" s="3">
        <v>80.0</v>
      </c>
      <c r="R330" s="3">
        <v>150.0</v>
      </c>
      <c r="S330" s="3">
        <v>417.0</v>
      </c>
      <c r="T330" s="3">
        <v>120.0</v>
      </c>
      <c r="U330" s="3">
        <v>80.0</v>
      </c>
      <c r="V330" s="1">
        <v>88.0</v>
      </c>
      <c r="W330" s="1">
        <v>250.0</v>
      </c>
      <c r="X330" s="1">
        <v>264.0</v>
      </c>
      <c r="Y330" s="1">
        <v>161.0</v>
      </c>
      <c r="Z330" s="1">
        <v>69.0</v>
      </c>
      <c r="AA330" s="3"/>
      <c r="AB330" s="1">
        <v>13.0</v>
      </c>
      <c r="AC330" s="1">
        <v>150.0</v>
      </c>
      <c r="AD330" s="1">
        <v>170.0</v>
      </c>
      <c r="AE330" s="1">
        <v>60.0</v>
      </c>
      <c r="AF330" s="1">
        <v>40.0</v>
      </c>
      <c r="AG330" s="1">
        <v>45.0</v>
      </c>
      <c r="AH330" s="1"/>
      <c r="AI330" s="1">
        <v>205.0</v>
      </c>
      <c r="AJ330" s="1">
        <v>60.0</v>
      </c>
      <c r="AK330" s="1">
        <v>100.0</v>
      </c>
      <c r="AL330" s="1">
        <v>175.0</v>
      </c>
      <c r="AM330" s="1">
        <v>130.0</v>
      </c>
      <c r="AN330" s="3">
        <v>47.0</v>
      </c>
      <c r="AO330" s="3">
        <v>160.0</v>
      </c>
      <c r="AP330" s="3">
        <v>70.0</v>
      </c>
      <c r="AQ330" s="3"/>
      <c r="AR330" s="1">
        <v>854.0</v>
      </c>
      <c r="AS330" s="1">
        <v>250.0</v>
      </c>
      <c r="AT330" s="1">
        <v>220.0</v>
      </c>
      <c r="AU330" s="3">
        <v>423.0</v>
      </c>
      <c r="AV330" s="1">
        <v>120.0</v>
      </c>
      <c r="AW330" s="3">
        <v>200.0</v>
      </c>
      <c r="AX330" s="3"/>
      <c r="AY330" s="3">
        <v>142.0</v>
      </c>
      <c r="AZ330" s="1">
        <v>40.0</v>
      </c>
      <c r="BA330" s="1"/>
      <c r="BB330" s="3">
        <v>402.0</v>
      </c>
      <c r="BC330" s="1">
        <v>150.0</v>
      </c>
      <c r="BD330" s="1">
        <v>190.0</v>
      </c>
      <c r="BE330" s="1">
        <v>80.0</v>
      </c>
      <c r="BF330" s="3">
        <v>328.0</v>
      </c>
      <c r="BG330" s="1">
        <v>213.0</v>
      </c>
      <c r="BH330" s="1">
        <v>23.0</v>
      </c>
      <c r="BI330" s="1">
        <v>40.0</v>
      </c>
      <c r="BJ330" s="1">
        <v>278.0</v>
      </c>
      <c r="BK330" s="3"/>
      <c r="BL330" s="1">
        <v>160.0</v>
      </c>
      <c r="BM330" s="1">
        <v>75.0</v>
      </c>
      <c r="BN330" s="32">
        <v>1802.0</v>
      </c>
      <c r="BO330" s="1">
        <v>47.0</v>
      </c>
      <c r="BP330" s="3">
        <v>48.0</v>
      </c>
      <c r="BQ330" s="1">
        <v>188.0</v>
      </c>
      <c r="BR330" s="27">
        <v>34410.0</v>
      </c>
    </row>
    <row r="331">
      <c r="A331" s="25">
        <f>'Equity Price Data'!A332</f>
        <v>45905.66667</v>
      </c>
      <c r="B331" s="34">
        <f>(('PRACTICE Equity Price Data'!B332/'PRACTICE Equity Price Data'!B331)-1)+B330</f>
        <v>0.2369086638</v>
      </c>
      <c r="C331" s="34">
        <f>(('PRACTICE Equity Price Data'!C332/'PRACTICE Equity Price Data'!C331)-1)+C330</f>
        <v>0.3168131633</v>
      </c>
      <c r="D331" s="34">
        <f>(('PRACTICE Equity Price Data'!D332/'PRACTICE Equity Price Data'!D331)-1)+D330</f>
        <v>0.1576292062</v>
      </c>
      <c r="E331" s="34">
        <f>(('PRACTICE Equity Price Data'!E332/'PRACTICE Equity Price Data'!E331)-1)+E330</f>
        <v>0.1829206362</v>
      </c>
      <c r="F331" s="3">
        <v>13.0</v>
      </c>
      <c r="G331" s="3">
        <v>260.0</v>
      </c>
      <c r="H331" s="3">
        <v>110.0</v>
      </c>
      <c r="I331" s="3">
        <v>256.0</v>
      </c>
      <c r="J331" s="3">
        <v>83.0</v>
      </c>
      <c r="K331" s="3">
        <v>188.0</v>
      </c>
      <c r="L331" s="3">
        <v>1000.0</v>
      </c>
      <c r="M331" s="3">
        <v>102.0</v>
      </c>
      <c r="N331" s="3">
        <v>200.0</v>
      </c>
      <c r="O331" s="3">
        <v>121.0</v>
      </c>
      <c r="P331" s="3"/>
      <c r="Q331" s="3">
        <v>80.0</v>
      </c>
      <c r="R331" s="3">
        <v>150.0</v>
      </c>
      <c r="S331" s="3">
        <v>417.0</v>
      </c>
      <c r="T331" s="3">
        <v>120.0</v>
      </c>
      <c r="U331" s="3">
        <v>80.0</v>
      </c>
      <c r="V331" s="1">
        <v>88.0</v>
      </c>
      <c r="W331" s="1">
        <v>250.0</v>
      </c>
      <c r="X331" s="1">
        <v>264.0</v>
      </c>
      <c r="Y331" s="1">
        <v>161.0</v>
      </c>
      <c r="Z331" s="1">
        <v>69.0</v>
      </c>
      <c r="AA331" s="3"/>
      <c r="AB331" s="1">
        <v>13.0</v>
      </c>
      <c r="AC331" s="1">
        <v>150.0</v>
      </c>
      <c r="AD331" s="1">
        <v>170.0</v>
      </c>
      <c r="AE331" s="1">
        <v>60.0</v>
      </c>
      <c r="AF331" s="1">
        <v>40.0</v>
      </c>
      <c r="AG331" s="1">
        <v>45.0</v>
      </c>
      <c r="AH331" s="1"/>
      <c r="AI331" s="1">
        <v>205.0</v>
      </c>
      <c r="AJ331" s="1">
        <v>60.0</v>
      </c>
      <c r="AK331" s="1">
        <v>100.0</v>
      </c>
      <c r="AL331" s="1">
        <v>175.0</v>
      </c>
      <c r="AM331" s="1">
        <v>130.0</v>
      </c>
      <c r="AN331" s="3">
        <v>47.0</v>
      </c>
      <c r="AO331" s="3">
        <v>160.0</v>
      </c>
      <c r="AP331" s="3">
        <v>70.0</v>
      </c>
      <c r="AQ331" s="3"/>
      <c r="AR331" s="1">
        <v>854.0</v>
      </c>
      <c r="AS331" s="1">
        <v>250.0</v>
      </c>
      <c r="AT331" s="1">
        <v>220.0</v>
      </c>
      <c r="AU331" s="3">
        <v>423.0</v>
      </c>
      <c r="AV331" s="1">
        <v>120.0</v>
      </c>
      <c r="AW331" s="3">
        <v>200.0</v>
      </c>
      <c r="AX331" s="3"/>
      <c r="AY331" s="3">
        <v>142.0</v>
      </c>
      <c r="AZ331" s="1">
        <v>40.0</v>
      </c>
      <c r="BA331" s="1"/>
      <c r="BB331" s="3">
        <v>402.0</v>
      </c>
      <c r="BC331" s="1">
        <v>150.0</v>
      </c>
      <c r="BD331" s="1">
        <v>190.0</v>
      </c>
      <c r="BE331" s="1">
        <v>80.0</v>
      </c>
      <c r="BF331" s="3">
        <v>328.0</v>
      </c>
      <c r="BG331" s="1">
        <v>213.0</v>
      </c>
      <c r="BH331" s="1">
        <v>23.0</v>
      </c>
      <c r="BI331" s="1">
        <v>40.0</v>
      </c>
      <c r="BJ331" s="1">
        <v>278.0</v>
      </c>
      <c r="BK331" s="3"/>
      <c r="BL331" s="1">
        <v>160.0</v>
      </c>
      <c r="BM331" s="1">
        <v>75.0</v>
      </c>
      <c r="BN331" s="32">
        <v>1802.0</v>
      </c>
      <c r="BO331" s="1">
        <v>47.0</v>
      </c>
      <c r="BP331" s="3">
        <v>48.0</v>
      </c>
      <c r="BQ331" s="1">
        <v>188.0</v>
      </c>
      <c r="BR331" s="27">
        <v>34410.0</v>
      </c>
    </row>
    <row r="332">
      <c r="A332" s="25">
        <f>'Equity Price Data'!A333</f>
        <v>45908.66667</v>
      </c>
      <c r="B332" s="34">
        <f>(('PRACTICE Equity Price Data'!B333/'PRACTICE Equity Price Data'!B332)-1)+B331</f>
        <v>0.2390146578</v>
      </c>
      <c r="C332" s="34">
        <f>(('PRACTICE Equity Price Data'!C333/'PRACTICE Equity Price Data'!C332)-1)+C331</f>
        <v>0.3213434967</v>
      </c>
      <c r="D332" s="34">
        <f>(('PRACTICE Equity Price Data'!D333/'PRACTICE Equity Price Data'!D332)-1)+D331</f>
        <v>0.1601421542</v>
      </c>
      <c r="E332" s="34">
        <f>(('PRACTICE Equity Price Data'!E333/'PRACTICE Equity Price Data'!E332)-1)+E331</f>
        <v>0.1845266252</v>
      </c>
      <c r="F332" s="3">
        <v>13.0</v>
      </c>
      <c r="G332" s="3">
        <v>260.0</v>
      </c>
      <c r="H332" s="3">
        <v>110.0</v>
      </c>
      <c r="I332" s="3">
        <v>256.0</v>
      </c>
      <c r="J332" s="3">
        <v>83.0</v>
      </c>
      <c r="K332" s="3">
        <v>188.0</v>
      </c>
      <c r="L332" s="3">
        <v>1000.0</v>
      </c>
      <c r="M332" s="3">
        <v>102.0</v>
      </c>
      <c r="N332" s="3">
        <v>200.0</v>
      </c>
      <c r="O332" s="3">
        <v>121.0</v>
      </c>
      <c r="P332" s="3"/>
      <c r="Q332" s="3">
        <v>80.0</v>
      </c>
      <c r="R332" s="3">
        <v>150.0</v>
      </c>
      <c r="S332" s="3">
        <v>417.0</v>
      </c>
      <c r="T332" s="3">
        <v>120.0</v>
      </c>
      <c r="U332" s="3">
        <v>80.0</v>
      </c>
      <c r="V332" s="1">
        <v>88.0</v>
      </c>
      <c r="W332" s="1">
        <v>250.0</v>
      </c>
      <c r="X332" s="1">
        <v>264.0</v>
      </c>
      <c r="Y332" s="1">
        <v>161.0</v>
      </c>
      <c r="Z332" s="1">
        <v>69.0</v>
      </c>
      <c r="AA332" s="3"/>
      <c r="AB332" s="1">
        <v>13.0</v>
      </c>
      <c r="AC332" s="1">
        <v>150.0</v>
      </c>
      <c r="AD332" s="1">
        <v>170.0</v>
      </c>
      <c r="AE332" s="1">
        <v>60.0</v>
      </c>
      <c r="AF332" s="1">
        <v>40.0</v>
      </c>
      <c r="AG332" s="1">
        <v>45.0</v>
      </c>
      <c r="AH332" s="1"/>
      <c r="AI332" s="1">
        <v>205.0</v>
      </c>
      <c r="AJ332" s="1">
        <v>60.0</v>
      </c>
      <c r="AK332" s="1">
        <v>100.0</v>
      </c>
      <c r="AL332" s="1">
        <v>175.0</v>
      </c>
      <c r="AM332" s="1">
        <v>130.0</v>
      </c>
      <c r="AN332" s="3">
        <v>47.0</v>
      </c>
      <c r="AO332" s="3">
        <v>160.0</v>
      </c>
      <c r="AP332" s="3">
        <v>70.0</v>
      </c>
      <c r="AQ332" s="3"/>
      <c r="AR332" s="1">
        <v>854.0</v>
      </c>
      <c r="AS332" s="1">
        <v>250.0</v>
      </c>
      <c r="AT332" s="1">
        <v>220.0</v>
      </c>
      <c r="AU332" s="3">
        <v>423.0</v>
      </c>
      <c r="AV332" s="1">
        <v>120.0</v>
      </c>
      <c r="AW332" s="3">
        <v>200.0</v>
      </c>
      <c r="AX332" s="3"/>
      <c r="AY332" s="3">
        <v>142.0</v>
      </c>
      <c r="AZ332" s="1">
        <v>40.0</v>
      </c>
      <c r="BA332" s="1"/>
      <c r="BB332" s="3">
        <v>402.0</v>
      </c>
      <c r="BC332" s="1">
        <v>150.0</v>
      </c>
      <c r="BD332" s="1">
        <v>190.0</v>
      </c>
      <c r="BE332" s="1">
        <v>80.0</v>
      </c>
      <c r="BF332" s="3">
        <v>328.0</v>
      </c>
      <c r="BG332" s="1">
        <v>213.0</v>
      </c>
      <c r="BH332" s="1">
        <v>23.0</v>
      </c>
      <c r="BI332" s="1">
        <v>40.0</v>
      </c>
      <c r="BJ332" s="1">
        <v>278.0</v>
      </c>
      <c r="BK332" s="3"/>
      <c r="BL332" s="1">
        <v>160.0</v>
      </c>
      <c r="BM332" s="1">
        <v>75.0</v>
      </c>
      <c r="BN332" s="32">
        <v>1802.0</v>
      </c>
      <c r="BO332" s="1">
        <v>47.0</v>
      </c>
      <c r="BP332" s="3">
        <v>48.0</v>
      </c>
      <c r="BQ332" s="1">
        <v>188.0</v>
      </c>
      <c r="BR332" s="27">
        <v>34410.0</v>
      </c>
    </row>
    <row r="333">
      <c r="A333" s="25">
        <f>'Equity Price Data'!A334</f>
        <v>45909.66667</v>
      </c>
      <c r="B333" s="34">
        <f>(('PRACTICE Equity Price Data'!B334/'PRACTICE Equity Price Data'!B333)-1)+B332</f>
        <v>0.2417028174</v>
      </c>
      <c r="C333" s="34">
        <f>(('PRACTICE Equity Price Data'!C334/'PRACTICE Equity Price Data'!C333)-1)+C332</f>
        <v>0.325049681</v>
      </c>
      <c r="D333" s="34">
        <f>(('PRACTICE Equity Price Data'!D334/'PRACTICE Equity Price Data'!D333)-1)+D332</f>
        <v>0.1644570002</v>
      </c>
      <c r="E333" s="34">
        <f>(('PRACTICE Equity Price Data'!E334/'PRACTICE Equity Price Data'!E333)-1)+E332</f>
        <v>0.179069172</v>
      </c>
      <c r="F333" s="3">
        <v>13.0</v>
      </c>
      <c r="G333" s="3">
        <v>260.0</v>
      </c>
      <c r="H333" s="3">
        <v>110.0</v>
      </c>
      <c r="I333" s="3">
        <v>256.0</v>
      </c>
      <c r="J333" s="3">
        <v>83.0</v>
      </c>
      <c r="K333" s="3">
        <v>188.0</v>
      </c>
      <c r="L333" s="3">
        <v>1000.0</v>
      </c>
      <c r="M333" s="3">
        <v>102.0</v>
      </c>
      <c r="N333" s="3">
        <v>200.0</v>
      </c>
      <c r="O333" s="3">
        <v>121.0</v>
      </c>
      <c r="P333" s="3"/>
      <c r="Q333" s="3">
        <v>80.0</v>
      </c>
      <c r="R333" s="3">
        <v>150.0</v>
      </c>
      <c r="S333" s="3">
        <v>417.0</v>
      </c>
      <c r="T333" s="3">
        <v>120.0</v>
      </c>
      <c r="U333" s="3">
        <v>80.0</v>
      </c>
      <c r="V333" s="1">
        <v>88.0</v>
      </c>
      <c r="W333" s="1">
        <v>250.0</v>
      </c>
      <c r="X333" s="1">
        <v>264.0</v>
      </c>
      <c r="Y333" s="1">
        <v>161.0</v>
      </c>
      <c r="Z333" s="1">
        <v>69.0</v>
      </c>
      <c r="AA333" s="3"/>
      <c r="AB333" s="1">
        <v>13.0</v>
      </c>
      <c r="AC333" s="1">
        <v>150.0</v>
      </c>
      <c r="AD333" s="1">
        <v>170.0</v>
      </c>
      <c r="AE333" s="1">
        <v>60.0</v>
      </c>
      <c r="AF333" s="1">
        <v>40.0</v>
      </c>
      <c r="AG333" s="1">
        <v>45.0</v>
      </c>
      <c r="AH333" s="1"/>
      <c r="AI333" s="1">
        <v>205.0</v>
      </c>
      <c r="AJ333" s="1">
        <v>60.0</v>
      </c>
      <c r="AK333" s="1">
        <v>100.0</v>
      </c>
      <c r="AL333" s="1">
        <v>175.0</v>
      </c>
      <c r="AM333" s="1">
        <v>130.0</v>
      </c>
      <c r="AN333" s="3">
        <v>47.0</v>
      </c>
      <c r="AO333" s="3">
        <v>160.0</v>
      </c>
      <c r="AP333" s="3">
        <v>70.0</v>
      </c>
      <c r="AQ333" s="3"/>
      <c r="AR333" s="1">
        <v>854.0</v>
      </c>
      <c r="AS333" s="1">
        <v>250.0</v>
      </c>
      <c r="AT333" s="1">
        <v>220.0</v>
      </c>
      <c r="AU333" s="3">
        <v>423.0</v>
      </c>
      <c r="AV333" s="1">
        <v>120.0</v>
      </c>
      <c r="AW333" s="3">
        <v>200.0</v>
      </c>
      <c r="AX333" s="3"/>
      <c r="AY333" s="3">
        <v>142.0</v>
      </c>
      <c r="AZ333" s="1">
        <v>40.0</v>
      </c>
      <c r="BA333" s="1"/>
      <c r="BB333" s="3">
        <v>402.0</v>
      </c>
      <c r="BC333" s="1">
        <v>150.0</v>
      </c>
      <c r="BD333" s="1">
        <v>190.0</v>
      </c>
      <c r="BE333" s="1">
        <v>80.0</v>
      </c>
      <c r="BF333" s="3">
        <v>328.0</v>
      </c>
      <c r="BG333" s="1">
        <v>213.0</v>
      </c>
      <c r="BH333" s="1">
        <v>23.0</v>
      </c>
      <c r="BI333" s="1">
        <v>40.0</v>
      </c>
      <c r="BJ333" s="1">
        <v>278.0</v>
      </c>
      <c r="BK333" s="3"/>
      <c r="BL333" s="1">
        <v>160.0</v>
      </c>
      <c r="BM333" s="1">
        <v>75.0</v>
      </c>
      <c r="BN333" s="32">
        <v>1802.0</v>
      </c>
      <c r="BO333" s="1">
        <v>47.0</v>
      </c>
      <c r="BP333" s="3">
        <v>48.0</v>
      </c>
      <c r="BQ333" s="1">
        <v>188.0</v>
      </c>
      <c r="BR333" s="27">
        <v>34410.0</v>
      </c>
    </row>
    <row r="334">
      <c r="A334" s="25">
        <f>'Equity Price Data'!A335</f>
        <v>45910.66667</v>
      </c>
      <c r="B334" s="34">
        <f>(('PRACTICE Equity Price Data'!B335/'PRACTICE Equity Price Data'!B334)-1)+B333</f>
        <v>0.2446862603</v>
      </c>
      <c r="C334" s="34">
        <f>(('PRACTICE Equity Price Data'!C335/'PRACTICE Equity Price Data'!C334)-1)+C333</f>
        <v>0.3253499622</v>
      </c>
      <c r="D334" s="34">
        <f>(('PRACTICE Equity Price Data'!D335/'PRACTICE Equity Price Data'!D334)-1)+D333</f>
        <v>0.159635002</v>
      </c>
      <c r="E334" s="34">
        <f>(('PRACTICE Equity Price Data'!E335/'PRACTICE Equity Price Data'!E334)-1)+E333</f>
        <v>0.1774695549</v>
      </c>
      <c r="F334" s="3">
        <v>13.0</v>
      </c>
      <c r="G334" s="3">
        <v>260.0</v>
      </c>
      <c r="H334" s="3">
        <v>110.0</v>
      </c>
      <c r="I334" s="3">
        <v>256.0</v>
      </c>
      <c r="J334" s="3">
        <v>83.0</v>
      </c>
      <c r="K334" s="3">
        <v>188.0</v>
      </c>
      <c r="L334" s="3">
        <v>1000.0</v>
      </c>
      <c r="M334" s="3">
        <v>102.0</v>
      </c>
      <c r="N334" s="3">
        <v>200.0</v>
      </c>
      <c r="O334" s="3">
        <v>121.0</v>
      </c>
      <c r="P334" s="3"/>
      <c r="Q334" s="3">
        <v>80.0</v>
      </c>
      <c r="R334" s="3">
        <v>150.0</v>
      </c>
      <c r="S334" s="3">
        <v>417.0</v>
      </c>
      <c r="T334" s="3">
        <v>120.0</v>
      </c>
      <c r="U334" s="3">
        <v>80.0</v>
      </c>
      <c r="V334" s="1">
        <v>88.0</v>
      </c>
      <c r="W334" s="1">
        <v>250.0</v>
      </c>
      <c r="X334" s="1">
        <v>264.0</v>
      </c>
      <c r="Y334" s="1">
        <v>161.0</v>
      </c>
      <c r="Z334" s="1">
        <v>69.0</v>
      </c>
      <c r="AA334" s="3"/>
      <c r="AB334" s="1">
        <v>13.0</v>
      </c>
      <c r="AC334" s="1">
        <v>150.0</v>
      </c>
      <c r="AD334" s="1">
        <v>170.0</v>
      </c>
      <c r="AE334" s="1">
        <v>60.0</v>
      </c>
      <c r="AF334" s="1">
        <v>40.0</v>
      </c>
      <c r="AG334" s="1">
        <v>45.0</v>
      </c>
      <c r="AH334" s="1"/>
      <c r="AI334" s="1">
        <v>205.0</v>
      </c>
      <c r="AJ334" s="1">
        <v>60.0</v>
      </c>
      <c r="AK334" s="1">
        <v>100.0</v>
      </c>
      <c r="AL334" s="1">
        <v>175.0</v>
      </c>
      <c r="AM334" s="1">
        <v>130.0</v>
      </c>
      <c r="AN334" s="3">
        <v>47.0</v>
      </c>
      <c r="AO334" s="3">
        <v>160.0</v>
      </c>
      <c r="AP334" s="3">
        <v>70.0</v>
      </c>
      <c r="AQ334" s="3"/>
      <c r="AR334" s="1">
        <v>854.0</v>
      </c>
      <c r="AS334" s="1">
        <v>250.0</v>
      </c>
      <c r="AT334" s="1">
        <v>220.0</v>
      </c>
      <c r="AU334" s="3">
        <v>423.0</v>
      </c>
      <c r="AV334" s="1">
        <v>120.0</v>
      </c>
      <c r="AW334" s="3">
        <v>200.0</v>
      </c>
      <c r="AX334" s="3"/>
      <c r="AY334" s="3">
        <v>142.0</v>
      </c>
      <c r="AZ334" s="1">
        <v>40.0</v>
      </c>
      <c r="BA334" s="1"/>
      <c r="BB334" s="3">
        <v>402.0</v>
      </c>
      <c r="BC334" s="1">
        <v>150.0</v>
      </c>
      <c r="BD334" s="1">
        <v>190.0</v>
      </c>
      <c r="BE334" s="1">
        <v>80.0</v>
      </c>
      <c r="BF334" s="3">
        <v>328.0</v>
      </c>
      <c r="BG334" s="1">
        <v>213.0</v>
      </c>
      <c r="BH334" s="1">
        <v>23.0</v>
      </c>
      <c r="BI334" s="1">
        <v>40.0</v>
      </c>
      <c r="BJ334" s="1">
        <v>278.0</v>
      </c>
      <c r="BK334" s="3"/>
      <c r="BL334" s="1">
        <v>160.0</v>
      </c>
      <c r="BM334" s="1">
        <v>75.0</v>
      </c>
      <c r="BN334" s="32">
        <v>1802.0</v>
      </c>
      <c r="BO334" s="1">
        <v>47.0</v>
      </c>
      <c r="BP334" s="3">
        <v>48.0</v>
      </c>
      <c r="BQ334" s="1">
        <v>188.0</v>
      </c>
      <c r="BR334" s="27">
        <v>34410.0</v>
      </c>
    </row>
    <row r="335">
      <c r="A335" s="25">
        <f>'Equity Price Data'!A336</f>
        <v>45911.66667</v>
      </c>
      <c r="B335" s="34">
        <f>(('PRACTICE Equity Price Data'!B336/'PRACTICE Equity Price Data'!B335)-1)+B334</f>
        <v>0.2531721238</v>
      </c>
      <c r="C335" s="34">
        <f>(('PRACTICE Equity Price Data'!C336/'PRACTICE Equity Price Data'!C335)-1)+C334</f>
        <v>0.3325243919</v>
      </c>
      <c r="D335" s="34">
        <f>(('PRACTICE Equity Price Data'!D336/'PRACTICE Equity Price Data'!D335)-1)+D334</f>
        <v>0.1731999068</v>
      </c>
      <c r="E335" s="34">
        <f>(('PRACTICE Equity Price Data'!E336/'PRACTICE Equity Price Data'!E335)-1)+E334</f>
        <v>0.1957705713</v>
      </c>
      <c r="F335" s="3">
        <v>13.0</v>
      </c>
      <c r="G335" s="3">
        <v>260.0</v>
      </c>
      <c r="H335" s="3">
        <v>110.0</v>
      </c>
      <c r="I335" s="3">
        <v>256.0</v>
      </c>
      <c r="J335" s="3">
        <v>83.0</v>
      </c>
      <c r="K335" s="3">
        <v>188.0</v>
      </c>
      <c r="L335" s="3">
        <v>1000.0</v>
      </c>
      <c r="M335" s="3">
        <v>102.0</v>
      </c>
      <c r="N335" s="3">
        <v>200.0</v>
      </c>
      <c r="O335" s="3">
        <v>121.0</v>
      </c>
      <c r="P335" s="3">
        <v>146.0</v>
      </c>
      <c r="Q335" s="3">
        <v>80.0</v>
      </c>
      <c r="R335" s="3">
        <v>150.0</v>
      </c>
      <c r="S335" s="3">
        <v>417.0</v>
      </c>
      <c r="T335" s="3">
        <v>120.0</v>
      </c>
      <c r="U335" s="3">
        <v>80.0</v>
      </c>
      <c r="V335" s="1">
        <v>88.0</v>
      </c>
      <c r="W335" s="1">
        <v>250.0</v>
      </c>
      <c r="X335" s="1">
        <v>264.0</v>
      </c>
      <c r="Y335" s="1">
        <v>161.0</v>
      </c>
      <c r="Z335" s="1">
        <v>69.0</v>
      </c>
      <c r="AA335" s="3"/>
      <c r="AB335" s="1">
        <v>13.0</v>
      </c>
      <c r="AC335" s="1">
        <v>150.0</v>
      </c>
      <c r="AD335" s="1">
        <v>170.0</v>
      </c>
      <c r="AE335" s="1">
        <v>60.0</v>
      </c>
      <c r="AF335" s="1">
        <v>40.0</v>
      </c>
      <c r="AG335" s="1">
        <v>45.0</v>
      </c>
      <c r="AH335" s="1"/>
      <c r="AI335" s="1">
        <v>205.0</v>
      </c>
      <c r="AJ335" s="1">
        <v>60.0</v>
      </c>
      <c r="AK335" s="1">
        <v>100.0</v>
      </c>
      <c r="AL335" s="1">
        <v>175.0</v>
      </c>
      <c r="AM335" s="1">
        <v>130.0</v>
      </c>
      <c r="AN335" s="3">
        <v>47.0</v>
      </c>
      <c r="AO335" s="3">
        <v>160.0</v>
      </c>
      <c r="AP335" s="3">
        <v>70.0</v>
      </c>
      <c r="AQ335" s="3"/>
      <c r="AR335" s="1">
        <v>854.0</v>
      </c>
      <c r="AS335" s="1">
        <v>250.0</v>
      </c>
      <c r="AT335" s="1">
        <v>220.0</v>
      </c>
      <c r="AU335" s="3">
        <v>423.0</v>
      </c>
      <c r="AV335" s="1">
        <v>120.0</v>
      </c>
      <c r="AW335" s="3">
        <v>200.0</v>
      </c>
      <c r="AX335" s="3"/>
      <c r="AY335" s="3">
        <v>142.0</v>
      </c>
      <c r="AZ335" s="1">
        <v>40.0</v>
      </c>
      <c r="BA335" s="1"/>
      <c r="BB335" s="3">
        <v>225.0</v>
      </c>
      <c r="BC335" s="1">
        <v>150.0</v>
      </c>
      <c r="BD335" s="1">
        <v>190.0</v>
      </c>
      <c r="BE335" s="1">
        <v>80.0</v>
      </c>
      <c r="BF335" s="3">
        <v>328.0</v>
      </c>
      <c r="BG335" s="1">
        <v>213.0</v>
      </c>
      <c r="BH335" s="1">
        <v>23.0</v>
      </c>
      <c r="BI335" s="1">
        <v>40.0</v>
      </c>
      <c r="BJ335" s="1">
        <v>278.0</v>
      </c>
      <c r="BK335" s="3"/>
      <c r="BL335" s="1">
        <v>160.0</v>
      </c>
      <c r="BM335" s="1">
        <v>75.0</v>
      </c>
      <c r="BN335" s="32">
        <v>1802.0</v>
      </c>
      <c r="BO335" s="1">
        <v>47.0</v>
      </c>
      <c r="BP335" s="3">
        <v>48.0</v>
      </c>
      <c r="BQ335" s="1">
        <v>188.0</v>
      </c>
      <c r="BR335" s="27">
        <v>34410.0</v>
      </c>
    </row>
    <row r="336">
      <c r="A336" s="25">
        <f>'Equity Price Data'!A337</f>
        <v>45912.66667</v>
      </c>
      <c r="B336" s="34">
        <f>(('PRACTICE Equity Price Data'!B337/'PRACTICE Equity Price Data'!B336)-1)+B335</f>
        <v>0.2526893892</v>
      </c>
      <c r="C336" s="34">
        <f>(('PRACTICE Equity Price Data'!C337/'PRACTICE Equity Price Data'!C336)-1)+C335</f>
        <v>0.336971139</v>
      </c>
      <c r="D336" s="34">
        <f>(('PRACTICE Equity Price Data'!D337/'PRACTICE Equity Price Data'!D336)-1)+D335</f>
        <v>0.1672621086</v>
      </c>
      <c r="E336" s="34">
        <f>(('PRACTICE Equity Price Data'!E337/'PRACTICE Equity Price Data'!E336)-1)+E335</f>
        <v>0.1856653899</v>
      </c>
      <c r="F336" s="3">
        <v>13.0</v>
      </c>
      <c r="G336" s="3">
        <v>260.0</v>
      </c>
      <c r="H336" s="3">
        <v>110.0</v>
      </c>
      <c r="I336" s="3">
        <v>256.0</v>
      </c>
      <c r="J336" s="3">
        <v>83.0</v>
      </c>
      <c r="K336" s="3">
        <v>188.0</v>
      </c>
      <c r="L336" s="3">
        <v>1000.0</v>
      </c>
      <c r="M336" s="3">
        <v>102.0</v>
      </c>
      <c r="N336" s="3">
        <v>200.0</v>
      </c>
      <c r="O336" s="3">
        <v>121.0</v>
      </c>
      <c r="P336" s="3">
        <v>146.0</v>
      </c>
      <c r="Q336" s="3">
        <v>80.0</v>
      </c>
      <c r="R336" s="3">
        <v>150.0</v>
      </c>
      <c r="S336" s="3">
        <v>417.0</v>
      </c>
      <c r="T336" s="3">
        <v>120.0</v>
      </c>
      <c r="U336" s="3">
        <v>80.0</v>
      </c>
      <c r="V336" s="1">
        <v>88.0</v>
      </c>
      <c r="W336" s="1">
        <v>250.0</v>
      </c>
      <c r="X336" s="1">
        <v>264.0</v>
      </c>
      <c r="Y336" s="1">
        <v>161.0</v>
      </c>
      <c r="Z336" s="1">
        <v>69.0</v>
      </c>
      <c r="AA336" s="3"/>
      <c r="AB336" s="1">
        <v>13.0</v>
      </c>
      <c r="AC336" s="1">
        <v>150.0</v>
      </c>
      <c r="AD336" s="1">
        <v>170.0</v>
      </c>
      <c r="AE336" s="1">
        <v>60.0</v>
      </c>
      <c r="AF336" s="1">
        <v>40.0</v>
      </c>
      <c r="AG336" s="1">
        <v>45.0</v>
      </c>
      <c r="AH336" s="1"/>
      <c r="AI336" s="1">
        <v>205.0</v>
      </c>
      <c r="AJ336" s="1">
        <v>60.0</v>
      </c>
      <c r="AK336" s="1">
        <v>100.0</v>
      </c>
      <c r="AL336" s="1">
        <v>175.0</v>
      </c>
      <c r="AM336" s="1">
        <v>130.0</v>
      </c>
      <c r="AN336" s="3">
        <v>47.0</v>
      </c>
      <c r="AO336" s="3">
        <v>160.0</v>
      </c>
      <c r="AP336" s="3">
        <v>70.0</v>
      </c>
      <c r="AQ336" s="3"/>
      <c r="AR336" s="1">
        <v>854.0</v>
      </c>
      <c r="AS336" s="1">
        <v>250.0</v>
      </c>
      <c r="AT336" s="1">
        <v>220.0</v>
      </c>
      <c r="AU336" s="3">
        <v>423.0</v>
      </c>
      <c r="AV336" s="1">
        <v>120.0</v>
      </c>
      <c r="AW336" s="3">
        <v>200.0</v>
      </c>
      <c r="AX336" s="3"/>
      <c r="AY336" s="3">
        <v>142.0</v>
      </c>
      <c r="AZ336" s="1">
        <v>40.0</v>
      </c>
      <c r="BA336" s="1"/>
      <c r="BB336" s="3">
        <v>225.0</v>
      </c>
      <c r="BC336" s="1">
        <v>150.0</v>
      </c>
      <c r="BD336" s="1">
        <v>190.0</v>
      </c>
      <c r="BE336" s="1">
        <v>80.0</v>
      </c>
      <c r="BF336" s="3">
        <v>328.0</v>
      </c>
      <c r="BG336" s="1">
        <v>213.0</v>
      </c>
      <c r="BH336" s="1">
        <v>23.0</v>
      </c>
      <c r="BI336" s="1">
        <v>40.0</v>
      </c>
      <c r="BJ336" s="1">
        <v>278.0</v>
      </c>
      <c r="BK336" s="3"/>
      <c r="BL336" s="1">
        <v>160.0</v>
      </c>
      <c r="BM336" s="1">
        <v>75.0</v>
      </c>
      <c r="BN336" s="32">
        <v>1802.0</v>
      </c>
      <c r="BO336" s="1">
        <v>47.0</v>
      </c>
      <c r="BP336" s="3">
        <v>48.0</v>
      </c>
      <c r="BQ336" s="1">
        <v>188.0</v>
      </c>
      <c r="BR336" s="27">
        <v>34410.0</v>
      </c>
    </row>
    <row r="337">
      <c r="A337" s="25">
        <f>'Equity Price Data'!A338</f>
        <v>45915.66667</v>
      </c>
      <c r="B337" s="34">
        <f>(('PRACTICE Equity Price Data'!B338/'PRACTICE Equity Price Data'!B337)-1)+B336</f>
        <v>0.257396047</v>
      </c>
      <c r="C337" s="34">
        <f>(('PRACTICE Equity Price Data'!C338/'PRACTICE Equity Price Data'!C337)-1)+C336</f>
        <v>0.3463496251</v>
      </c>
      <c r="D337" s="34">
        <f>(('PRACTICE Equity Price Data'!D338/'PRACTICE Equity Price Data'!D337)-1)+D336</f>
        <v>0.1683361969</v>
      </c>
      <c r="E337" s="34">
        <f>(('PRACTICE Equity Price Data'!E338/'PRACTICE Equity Price Data'!E337)-1)+E336</f>
        <v>0.189032014</v>
      </c>
      <c r="F337" s="3">
        <v>13.0</v>
      </c>
      <c r="G337" s="3">
        <v>260.0</v>
      </c>
      <c r="H337" s="3">
        <v>110.0</v>
      </c>
      <c r="I337" s="3">
        <v>256.0</v>
      </c>
      <c r="J337" s="3">
        <v>83.0</v>
      </c>
      <c r="K337" s="3">
        <v>188.0</v>
      </c>
      <c r="L337" s="3">
        <v>1000.0</v>
      </c>
      <c r="M337" s="3">
        <v>102.0</v>
      </c>
      <c r="N337" s="3">
        <v>200.0</v>
      </c>
      <c r="O337" s="3">
        <v>121.0</v>
      </c>
      <c r="P337" s="3">
        <v>146.0</v>
      </c>
      <c r="Q337" s="3">
        <v>80.0</v>
      </c>
      <c r="R337" s="3">
        <v>150.0</v>
      </c>
      <c r="S337" s="3">
        <v>417.0</v>
      </c>
      <c r="T337" s="3">
        <v>120.0</v>
      </c>
      <c r="U337" s="3">
        <v>80.0</v>
      </c>
      <c r="V337" s="1">
        <v>88.0</v>
      </c>
      <c r="W337" s="1">
        <v>250.0</v>
      </c>
      <c r="X337" s="1">
        <v>264.0</v>
      </c>
      <c r="Y337" s="1">
        <v>161.0</v>
      </c>
      <c r="Z337" s="1">
        <v>69.0</v>
      </c>
      <c r="AA337" s="3"/>
      <c r="AB337" s="1">
        <v>13.0</v>
      </c>
      <c r="AC337" s="1">
        <v>150.0</v>
      </c>
      <c r="AD337" s="1">
        <v>170.0</v>
      </c>
      <c r="AE337" s="1">
        <v>60.0</v>
      </c>
      <c r="AF337" s="1">
        <v>40.0</v>
      </c>
      <c r="AG337" s="1">
        <v>45.0</v>
      </c>
      <c r="AH337" s="1"/>
      <c r="AI337" s="1">
        <v>205.0</v>
      </c>
      <c r="AJ337" s="1">
        <v>60.0</v>
      </c>
      <c r="AK337" s="1">
        <v>100.0</v>
      </c>
      <c r="AL337" s="1">
        <v>175.0</v>
      </c>
      <c r="AM337" s="1">
        <v>130.0</v>
      </c>
      <c r="AN337" s="3">
        <v>47.0</v>
      </c>
      <c r="AO337" s="3">
        <v>160.0</v>
      </c>
      <c r="AP337" s="3">
        <v>70.0</v>
      </c>
      <c r="AQ337" s="3"/>
      <c r="AR337" s="1">
        <v>854.0</v>
      </c>
      <c r="AS337" s="1">
        <v>250.0</v>
      </c>
      <c r="AT337" s="1">
        <v>220.0</v>
      </c>
      <c r="AU337" s="3">
        <v>423.0</v>
      </c>
      <c r="AV337" s="1">
        <v>120.0</v>
      </c>
      <c r="AW337" s="3">
        <v>200.0</v>
      </c>
      <c r="AX337" s="3"/>
      <c r="AY337" s="3">
        <v>142.0</v>
      </c>
      <c r="AZ337" s="1">
        <v>40.0</v>
      </c>
      <c r="BA337" s="1"/>
      <c r="BB337" s="3">
        <v>225.0</v>
      </c>
      <c r="BC337" s="1">
        <v>150.0</v>
      </c>
      <c r="BD337" s="1">
        <v>190.0</v>
      </c>
      <c r="BE337" s="1">
        <v>80.0</v>
      </c>
      <c r="BF337" s="3">
        <v>328.0</v>
      </c>
      <c r="BG337" s="1">
        <v>213.0</v>
      </c>
      <c r="BH337" s="1">
        <v>23.0</v>
      </c>
      <c r="BI337" s="1">
        <v>40.0</v>
      </c>
      <c r="BJ337" s="1">
        <v>278.0</v>
      </c>
      <c r="BK337" s="3"/>
      <c r="BL337" s="1">
        <v>160.0</v>
      </c>
      <c r="BM337" s="1">
        <v>75.0</v>
      </c>
      <c r="BN337" s="32">
        <v>1802.0</v>
      </c>
      <c r="BO337" s="1">
        <v>47.0</v>
      </c>
      <c r="BP337" s="3">
        <v>48.0</v>
      </c>
      <c r="BQ337" s="1">
        <v>188.0</v>
      </c>
      <c r="BR337" s="27">
        <v>34410.0</v>
      </c>
    </row>
    <row r="338">
      <c r="A338" s="25">
        <f>'Equity Price Data'!A339</f>
        <v>45916.66667</v>
      </c>
      <c r="B338" s="34">
        <f>(('PRACTICE Equity Price Data'!B339/'PRACTICE Equity Price Data'!B338)-1)+B337</f>
        <v>0.2561081196</v>
      </c>
      <c r="C338" s="34">
        <f>(('PRACTICE Equity Price Data'!C339/'PRACTICE Equity Price Data'!C338)-1)+C337</f>
        <v>0.3456878431</v>
      </c>
      <c r="D338" s="34">
        <f>(('PRACTICE Equity Price Data'!D339/'PRACTICE Equity Price Data'!D338)-1)+D337</f>
        <v>0.1655999161</v>
      </c>
      <c r="E338" s="34">
        <f>(('PRACTICE Equity Price Data'!E339/'PRACTICE Equity Price Data'!E338)-1)+E337</f>
        <v>0.1881588803</v>
      </c>
      <c r="F338" s="3">
        <v>13.0</v>
      </c>
      <c r="G338" s="3">
        <v>260.0</v>
      </c>
      <c r="H338" s="3">
        <v>110.0</v>
      </c>
      <c r="I338" s="3">
        <v>256.0</v>
      </c>
      <c r="J338" s="3">
        <v>83.0</v>
      </c>
      <c r="K338" s="3">
        <v>188.0</v>
      </c>
      <c r="L338" s="3">
        <v>1000.0</v>
      </c>
      <c r="M338" s="3">
        <v>102.0</v>
      </c>
      <c r="N338" s="3">
        <v>200.0</v>
      </c>
      <c r="O338" s="3">
        <v>121.0</v>
      </c>
      <c r="P338" s="3">
        <v>146.0</v>
      </c>
      <c r="Q338" s="3">
        <v>80.0</v>
      </c>
      <c r="R338" s="3">
        <v>150.0</v>
      </c>
      <c r="S338" s="3">
        <v>417.0</v>
      </c>
      <c r="T338" s="3">
        <v>120.0</v>
      </c>
      <c r="U338" s="3">
        <v>80.0</v>
      </c>
      <c r="V338" s="1">
        <v>88.0</v>
      </c>
      <c r="W338" s="1">
        <v>250.0</v>
      </c>
      <c r="X338" s="1">
        <v>264.0</v>
      </c>
      <c r="Y338" s="1">
        <v>161.0</v>
      </c>
      <c r="Z338" s="1">
        <v>69.0</v>
      </c>
      <c r="AA338" s="3"/>
      <c r="AB338" s="1">
        <v>13.0</v>
      </c>
      <c r="AC338" s="1">
        <v>150.0</v>
      </c>
      <c r="AD338" s="1">
        <v>170.0</v>
      </c>
      <c r="AE338" s="1">
        <v>60.0</v>
      </c>
      <c r="AF338" s="1">
        <v>40.0</v>
      </c>
      <c r="AG338" s="1">
        <v>45.0</v>
      </c>
      <c r="AH338" s="1"/>
      <c r="AI338" s="1">
        <v>205.0</v>
      </c>
      <c r="AJ338" s="1">
        <v>60.0</v>
      </c>
      <c r="AK338" s="1">
        <v>100.0</v>
      </c>
      <c r="AL338" s="1">
        <v>175.0</v>
      </c>
      <c r="AM338" s="1">
        <v>130.0</v>
      </c>
      <c r="AN338" s="3">
        <v>47.0</v>
      </c>
      <c r="AO338" s="3">
        <v>160.0</v>
      </c>
      <c r="AP338" s="3">
        <v>70.0</v>
      </c>
      <c r="AQ338" s="3"/>
      <c r="AR338" s="1">
        <v>854.0</v>
      </c>
      <c r="AS338" s="1">
        <v>250.0</v>
      </c>
      <c r="AT338" s="1">
        <v>220.0</v>
      </c>
      <c r="AU338" s="3">
        <v>423.0</v>
      </c>
      <c r="AV338" s="1">
        <v>120.0</v>
      </c>
      <c r="AW338" s="3">
        <v>200.0</v>
      </c>
      <c r="AX338" s="3"/>
      <c r="AY338" s="3">
        <v>142.0</v>
      </c>
      <c r="AZ338" s="1">
        <v>40.0</v>
      </c>
      <c r="BA338" s="1"/>
      <c r="BB338" s="3">
        <v>225.0</v>
      </c>
      <c r="BC338" s="1">
        <v>150.0</v>
      </c>
      <c r="BD338" s="1">
        <v>190.0</v>
      </c>
      <c r="BE338" s="1">
        <v>80.0</v>
      </c>
      <c r="BF338" s="3">
        <v>328.0</v>
      </c>
      <c r="BG338" s="1">
        <v>213.0</v>
      </c>
      <c r="BH338" s="1">
        <v>23.0</v>
      </c>
      <c r="BI338" s="1">
        <v>40.0</v>
      </c>
      <c r="BJ338" s="1">
        <v>278.0</v>
      </c>
      <c r="BK338" s="3"/>
      <c r="BL338" s="1">
        <v>160.0</v>
      </c>
      <c r="BM338" s="1">
        <v>75.0</v>
      </c>
      <c r="BN338" s="32">
        <v>1802.0</v>
      </c>
      <c r="BO338" s="1">
        <v>47.0</v>
      </c>
      <c r="BP338" s="3">
        <v>48.0</v>
      </c>
      <c r="BQ338" s="1">
        <v>188.0</v>
      </c>
      <c r="BR338" s="27">
        <v>34410.0</v>
      </c>
    </row>
    <row r="339">
      <c r="A339" s="25">
        <f>'Equity Price Data'!A340</f>
        <v>45917.66667</v>
      </c>
      <c r="B339" s="34">
        <f>(('PRACTICE Equity Price Data'!B340/'PRACTICE Equity Price Data'!B339)-1)+B338</f>
        <v>0.2551379012</v>
      </c>
      <c r="C339" s="34">
        <f>(('PRACTICE Equity Price Data'!C340/'PRACTICE Equity Price Data'!C339)-1)+C338</f>
        <v>0.3424358448</v>
      </c>
      <c r="D339" s="34">
        <f>(('PRACTICE Equity Price Data'!D340/'PRACTICE Equity Price Data'!D339)-1)+D338</f>
        <v>0.1712911738</v>
      </c>
      <c r="E339" s="34">
        <f>(('PRACTICE Equity Price Data'!E340/'PRACTICE Equity Price Data'!E339)-1)+E338</f>
        <v>0.1899524493</v>
      </c>
      <c r="F339" s="3">
        <v>13.0</v>
      </c>
      <c r="G339" s="3">
        <v>260.0</v>
      </c>
      <c r="H339" s="3">
        <v>110.0</v>
      </c>
      <c r="I339" s="3">
        <v>256.0</v>
      </c>
      <c r="J339" s="3">
        <v>83.0</v>
      </c>
      <c r="K339" s="3">
        <v>188.0</v>
      </c>
      <c r="L339" s="3">
        <v>1000.0</v>
      </c>
      <c r="M339" s="3">
        <v>102.0</v>
      </c>
      <c r="N339" s="3">
        <v>200.0</v>
      </c>
      <c r="O339" s="3">
        <v>121.0</v>
      </c>
      <c r="P339" s="3">
        <v>146.0</v>
      </c>
      <c r="Q339" s="3">
        <v>80.0</v>
      </c>
      <c r="R339" s="3">
        <v>150.0</v>
      </c>
      <c r="S339" s="3">
        <v>417.0</v>
      </c>
      <c r="T339" s="3">
        <v>120.0</v>
      </c>
      <c r="U339" s="3">
        <v>80.0</v>
      </c>
      <c r="V339" s="1">
        <v>88.0</v>
      </c>
      <c r="W339" s="1">
        <v>250.0</v>
      </c>
      <c r="X339" s="1">
        <v>264.0</v>
      </c>
      <c r="Y339" s="1">
        <v>161.0</v>
      </c>
      <c r="Z339" s="1">
        <v>69.0</v>
      </c>
      <c r="AA339" s="3"/>
      <c r="AB339" s="1">
        <v>13.0</v>
      </c>
      <c r="AC339" s="1">
        <v>150.0</v>
      </c>
      <c r="AD339" s="1">
        <v>170.0</v>
      </c>
      <c r="AE339" s="1">
        <v>60.0</v>
      </c>
      <c r="AF339" s="1">
        <v>40.0</v>
      </c>
      <c r="AG339" s="1">
        <v>45.0</v>
      </c>
      <c r="AH339" s="1"/>
      <c r="AI339" s="1">
        <v>205.0</v>
      </c>
      <c r="AJ339" s="1">
        <v>60.0</v>
      </c>
      <c r="AK339" s="1">
        <v>100.0</v>
      </c>
      <c r="AL339" s="1">
        <v>175.0</v>
      </c>
      <c r="AM339" s="1">
        <v>130.0</v>
      </c>
      <c r="AN339" s="3">
        <v>47.0</v>
      </c>
      <c r="AO339" s="3">
        <v>160.0</v>
      </c>
      <c r="AP339" s="3">
        <v>70.0</v>
      </c>
      <c r="AQ339" s="3"/>
      <c r="AR339" s="1">
        <v>854.0</v>
      </c>
      <c r="AS339" s="1">
        <v>250.0</v>
      </c>
      <c r="AT339" s="1">
        <v>220.0</v>
      </c>
      <c r="AU339" s="3">
        <v>423.0</v>
      </c>
      <c r="AV339" s="1">
        <v>120.0</v>
      </c>
      <c r="AW339" s="3">
        <v>200.0</v>
      </c>
      <c r="AX339" s="3"/>
      <c r="AY339" s="3">
        <v>142.0</v>
      </c>
      <c r="AZ339" s="1">
        <v>40.0</v>
      </c>
      <c r="BA339" s="1"/>
      <c r="BB339" s="3">
        <v>225.0</v>
      </c>
      <c r="BC339" s="1">
        <v>150.0</v>
      </c>
      <c r="BD339" s="1">
        <v>190.0</v>
      </c>
      <c r="BE339" s="1">
        <v>80.0</v>
      </c>
      <c r="BF339" s="3">
        <v>328.0</v>
      </c>
      <c r="BG339" s="1">
        <v>213.0</v>
      </c>
      <c r="BH339" s="1">
        <v>23.0</v>
      </c>
      <c r="BI339" s="1">
        <v>40.0</v>
      </c>
      <c r="BJ339" s="1">
        <v>278.0</v>
      </c>
      <c r="BK339" s="3"/>
      <c r="BL339" s="1">
        <v>160.0</v>
      </c>
      <c r="BM339" s="1">
        <v>75.0</v>
      </c>
      <c r="BN339" s="32">
        <v>1802.0</v>
      </c>
      <c r="BO339" s="1">
        <v>47.0</v>
      </c>
      <c r="BP339" s="3">
        <v>48.0</v>
      </c>
      <c r="BQ339" s="1">
        <v>188.0</v>
      </c>
      <c r="BR339" s="27">
        <v>34410.0</v>
      </c>
    </row>
    <row r="340">
      <c r="A340" s="25">
        <f>'Equity Price Data'!A341</f>
        <v>45918.66667</v>
      </c>
      <c r="B340" s="34">
        <f>(('PRACTICE Equity Price Data'!B341/'PRACTICE Equity Price Data'!B340)-1)+B339</f>
        <v>0.2599270412</v>
      </c>
      <c r="C340" s="34">
        <f>(('PRACTICE Equity Price Data'!C341/'PRACTICE Equity Price Data'!C340)-1)+C339</f>
        <v>0.3518422909</v>
      </c>
      <c r="D340" s="34">
        <f>(('PRACTICE Equity Price Data'!D341/'PRACTICE Equity Price Data'!D340)-1)+D339</f>
        <v>0.1739879259</v>
      </c>
      <c r="E340" s="34">
        <f>(('PRACTICE Equity Price Data'!E341/'PRACTICE Equity Price Data'!E340)-1)+E339</f>
        <v>0.2150257667</v>
      </c>
      <c r="F340" s="3">
        <v>13.0</v>
      </c>
      <c r="G340" s="3">
        <v>260.0</v>
      </c>
      <c r="H340" s="3">
        <v>110.0</v>
      </c>
      <c r="I340" s="3">
        <v>256.0</v>
      </c>
      <c r="J340" s="3">
        <v>83.0</v>
      </c>
      <c r="K340" s="3">
        <v>188.0</v>
      </c>
      <c r="L340" s="3">
        <v>1000.0</v>
      </c>
      <c r="M340" s="3">
        <v>102.0</v>
      </c>
      <c r="N340" s="3">
        <v>200.0</v>
      </c>
      <c r="O340" s="3">
        <v>121.0</v>
      </c>
      <c r="P340" s="3">
        <v>146.0</v>
      </c>
      <c r="Q340" s="3">
        <v>80.0</v>
      </c>
      <c r="R340" s="3">
        <v>150.0</v>
      </c>
      <c r="S340" s="3">
        <v>417.0</v>
      </c>
      <c r="T340" s="3">
        <v>120.0</v>
      </c>
      <c r="U340" s="3">
        <v>80.0</v>
      </c>
      <c r="V340" s="1">
        <v>88.0</v>
      </c>
      <c r="W340" s="1">
        <v>250.0</v>
      </c>
      <c r="X340" s="1">
        <v>264.0</v>
      </c>
      <c r="Y340" s="1">
        <v>161.0</v>
      </c>
      <c r="Z340" s="1">
        <v>69.0</v>
      </c>
      <c r="AA340" s="3"/>
      <c r="AB340" s="1">
        <v>13.0</v>
      </c>
      <c r="AC340" s="1">
        <v>150.0</v>
      </c>
      <c r="AD340" s="1">
        <v>170.0</v>
      </c>
      <c r="AE340" s="1">
        <v>60.0</v>
      </c>
      <c r="AF340" s="1">
        <v>40.0</v>
      </c>
      <c r="AG340" s="1">
        <v>45.0</v>
      </c>
      <c r="AH340" s="1"/>
      <c r="AI340" s="1">
        <v>205.0</v>
      </c>
      <c r="AJ340" s="1">
        <v>60.0</v>
      </c>
      <c r="AK340" s="1">
        <v>100.0</v>
      </c>
      <c r="AL340" s="1">
        <v>175.0</v>
      </c>
      <c r="AM340" s="1">
        <v>130.0</v>
      </c>
      <c r="AN340" s="3">
        <v>47.0</v>
      </c>
      <c r="AO340" s="3">
        <v>160.0</v>
      </c>
      <c r="AP340" s="3">
        <v>70.0</v>
      </c>
      <c r="AQ340" s="3"/>
      <c r="AR340" s="1">
        <v>854.0</v>
      </c>
      <c r="AS340" s="1">
        <v>250.0</v>
      </c>
      <c r="AT340" s="1">
        <v>220.0</v>
      </c>
      <c r="AU340" s="3">
        <v>423.0</v>
      </c>
      <c r="AV340" s="1">
        <v>120.0</v>
      </c>
      <c r="AW340" s="3">
        <v>200.0</v>
      </c>
      <c r="AX340" s="3"/>
      <c r="AY340" s="3">
        <v>142.0</v>
      </c>
      <c r="AZ340" s="1">
        <v>40.0</v>
      </c>
      <c r="BA340" s="1"/>
      <c r="BB340" s="3">
        <v>225.0</v>
      </c>
      <c r="BC340" s="1">
        <v>150.0</v>
      </c>
      <c r="BD340" s="1">
        <v>190.0</v>
      </c>
      <c r="BE340" s="1">
        <v>80.0</v>
      </c>
      <c r="BF340" s="3">
        <v>328.0</v>
      </c>
      <c r="BG340" s="1">
        <v>213.0</v>
      </c>
      <c r="BH340" s="1">
        <v>23.0</v>
      </c>
      <c r="BI340" s="1">
        <v>40.0</v>
      </c>
      <c r="BJ340" s="1">
        <v>278.0</v>
      </c>
      <c r="BK340" s="3"/>
      <c r="BL340" s="1">
        <v>160.0</v>
      </c>
      <c r="BM340" s="1">
        <v>75.0</v>
      </c>
      <c r="BN340" s="32">
        <v>1802.0</v>
      </c>
      <c r="BO340" s="1">
        <v>47.0</v>
      </c>
      <c r="BP340" s="3">
        <v>48.0</v>
      </c>
      <c r="BQ340" s="1">
        <v>188.0</v>
      </c>
      <c r="BR340" s="27">
        <v>34410.0</v>
      </c>
    </row>
    <row r="341">
      <c r="A341" s="25">
        <f>'Equity Price Data'!A342</f>
        <v>45919.66667</v>
      </c>
      <c r="B341" s="34">
        <f>(('PRACTICE Equity Price Data'!B342/'PRACTICE Equity Price Data'!B341)-1)+B340</f>
        <v>0.2648124748</v>
      </c>
      <c r="C341" s="34">
        <f>(('PRACTICE Equity Price Data'!C342/'PRACTICE Equity Price Data'!C341)-1)+C340</f>
        <v>0.3589960416</v>
      </c>
      <c r="D341" s="34">
        <f>(('PRACTICE Equity Price Data'!D342/'PRACTICE Equity Price Data'!D341)-1)+D340</f>
        <v>0.1777339366</v>
      </c>
      <c r="E341" s="34">
        <f>(('PRACTICE Equity Price Data'!E342/'PRACTICE Equity Price Data'!E341)-1)+E340</f>
        <v>0.207354656</v>
      </c>
      <c r="F341" s="3">
        <v>13.0</v>
      </c>
      <c r="G341" s="3">
        <v>260.0</v>
      </c>
      <c r="H341" s="3">
        <v>110.0</v>
      </c>
      <c r="I341" s="3">
        <v>256.0</v>
      </c>
      <c r="J341" s="3">
        <v>83.0</v>
      </c>
      <c r="K341" s="3">
        <v>188.0</v>
      </c>
      <c r="L341" s="3">
        <v>1000.0</v>
      </c>
      <c r="M341" s="3">
        <v>102.0</v>
      </c>
      <c r="N341" s="3">
        <v>200.0</v>
      </c>
      <c r="O341" s="3">
        <v>121.0</v>
      </c>
      <c r="P341" s="3">
        <v>146.0</v>
      </c>
      <c r="Q341" s="3">
        <v>80.0</v>
      </c>
      <c r="R341" s="3">
        <v>150.0</v>
      </c>
      <c r="S341" s="3">
        <v>417.0</v>
      </c>
      <c r="T341" s="3">
        <v>120.0</v>
      </c>
      <c r="U341" s="3">
        <v>80.0</v>
      </c>
      <c r="V341" s="1">
        <v>88.0</v>
      </c>
      <c r="W341" s="1">
        <v>250.0</v>
      </c>
      <c r="X341" s="1">
        <v>264.0</v>
      </c>
      <c r="Y341" s="1">
        <v>161.0</v>
      </c>
      <c r="Z341" s="1">
        <v>69.0</v>
      </c>
      <c r="AA341" s="3"/>
      <c r="AB341" s="1">
        <v>13.0</v>
      </c>
      <c r="AC341" s="1">
        <v>150.0</v>
      </c>
      <c r="AD341" s="1">
        <v>170.0</v>
      </c>
      <c r="AE341" s="1">
        <v>60.0</v>
      </c>
      <c r="AF341" s="1">
        <v>40.0</v>
      </c>
      <c r="AG341" s="1">
        <v>45.0</v>
      </c>
      <c r="AH341" s="1"/>
      <c r="AI341" s="1">
        <v>205.0</v>
      </c>
      <c r="AJ341" s="1">
        <v>60.0</v>
      </c>
      <c r="AK341" s="1">
        <v>100.0</v>
      </c>
      <c r="AL341" s="1">
        <v>175.0</v>
      </c>
      <c r="AM341" s="1">
        <v>130.0</v>
      </c>
      <c r="AN341" s="3">
        <v>47.0</v>
      </c>
      <c r="AO341" s="3">
        <v>160.0</v>
      </c>
      <c r="AP341" s="3">
        <v>70.0</v>
      </c>
      <c r="AQ341" s="3"/>
      <c r="AR341" s="1">
        <v>854.0</v>
      </c>
      <c r="AS341" s="1">
        <v>250.0</v>
      </c>
      <c r="AT341" s="1">
        <v>220.0</v>
      </c>
      <c r="AU341" s="3">
        <v>423.0</v>
      </c>
      <c r="AV341" s="1">
        <v>120.0</v>
      </c>
      <c r="AW341" s="3">
        <v>200.0</v>
      </c>
      <c r="AX341" s="3"/>
      <c r="AY341" s="3">
        <v>142.0</v>
      </c>
      <c r="AZ341" s="1">
        <v>40.0</v>
      </c>
      <c r="BA341" s="1"/>
      <c r="BB341" s="3">
        <v>225.0</v>
      </c>
      <c r="BC341" s="1">
        <v>150.0</v>
      </c>
      <c r="BD341" s="1">
        <v>190.0</v>
      </c>
      <c r="BE341" s="1">
        <v>80.0</v>
      </c>
      <c r="BF341" s="3">
        <v>328.0</v>
      </c>
      <c r="BG341" s="1">
        <v>213.0</v>
      </c>
      <c r="BH341" s="1">
        <v>23.0</v>
      </c>
      <c r="BI341" s="1">
        <v>40.0</v>
      </c>
      <c r="BJ341" s="1">
        <v>278.0</v>
      </c>
      <c r="BK341" s="3"/>
      <c r="BL341" s="1">
        <v>160.0</v>
      </c>
      <c r="BM341" s="1">
        <v>75.0</v>
      </c>
      <c r="BN341" s="32">
        <v>1802.0</v>
      </c>
      <c r="BO341" s="1">
        <v>47.0</v>
      </c>
      <c r="BP341" s="3">
        <v>48.0</v>
      </c>
      <c r="BQ341" s="1">
        <v>188.0</v>
      </c>
      <c r="BR341" s="27">
        <v>34410.0</v>
      </c>
    </row>
    <row r="342">
      <c r="A342" s="25">
        <f>'Equity Price Data'!A343</f>
        <v>45922.66667</v>
      </c>
      <c r="B342" s="34">
        <f>(('PRACTICE Equity Price Data'!B343/'PRACTICE Equity Price Data'!B342)-1)+B341</f>
        <v>0.2692225007</v>
      </c>
      <c r="C342" s="34">
        <f>(('PRACTICE Equity Price Data'!C343/'PRACTICE Equity Price Data'!C342)-1)+C341</f>
        <v>0.3659553743</v>
      </c>
      <c r="D342" s="34">
        <f>(('PRACTICE Equity Price Data'!D343/'PRACTICE Equity Price Data'!D342)-1)+D341</f>
        <v>0.1791647822</v>
      </c>
      <c r="E342" s="34">
        <f>(('PRACTICE Equity Price Data'!E343/'PRACTICE Equity Price Data'!E342)-1)+E341</f>
        <v>0.2133045819</v>
      </c>
      <c r="F342" s="3">
        <v>13.0</v>
      </c>
      <c r="G342" s="3">
        <v>260.0</v>
      </c>
      <c r="H342" s="3">
        <v>110.0</v>
      </c>
      <c r="I342" s="3">
        <v>256.0</v>
      </c>
      <c r="J342" s="3">
        <v>83.0</v>
      </c>
      <c r="K342" s="3">
        <v>188.0</v>
      </c>
      <c r="L342" s="3">
        <v>1000.0</v>
      </c>
      <c r="M342" s="3">
        <v>102.0</v>
      </c>
      <c r="N342" s="3">
        <v>200.0</v>
      </c>
      <c r="O342" s="3">
        <v>121.0</v>
      </c>
      <c r="P342" s="3">
        <v>146.0</v>
      </c>
      <c r="Q342" s="3">
        <v>80.0</v>
      </c>
      <c r="R342" s="3">
        <v>150.0</v>
      </c>
      <c r="S342" s="3">
        <v>417.0</v>
      </c>
      <c r="T342" s="3">
        <v>120.0</v>
      </c>
      <c r="U342" s="3">
        <v>80.0</v>
      </c>
      <c r="V342" s="1">
        <v>88.0</v>
      </c>
      <c r="W342" s="1">
        <v>250.0</v>
      </c>
      <c r="X342" s="1">
        <v>264.0</v>
      </c>
      <c r="Y342" s="1">
        <v>161.0</v>
      </c>
      <c r="Z342" s="1">
        <v>69.0</v>
      </c>
      <c r="AA342" s="3"/>
      <c r="AB342" s="1">
        <v>13.0</v>
      </c>
      <c r="AC342" s="1">
        <v>150.0</v>
      </c>
      <c r="AD342" s="1">
        <v>170.0</v>
      </c>
      <c r="AE342" s="1">
        <v>60.0</v>
      </c>
      <c r="AF342" s="1">
        <v>40.0</v>
      </c>
      <c r="AG342" s="1">
        <v>45.0</v>
      </c>
      <c r="AH342" s="1"/>
      <c r="AI342" s="1">
        <v>205.0</v>
      </c>
      <c r="AJ342" s="1">
        <v>60.0</v>
      </c>
      <c r="AK342" s="1">
        <v>100.0</v>
      </c>
      <c r="AL342" s="1">
        <v>175.0</v>
      </c>
      <c r="AM342" s="1">
        <v>130.0</v>
      </c>
      <c r="AN342" s="3">
        <v>47.0</v>
      </c>
      <c r="AO342" s="3">
        <v>160.0</v>
      </c>
      <c r="AP342" s="3">
        <v>70.0</v>
      </c>
      <c r="AQ342" s="3"/>
      <c r="AR342" s="1">
        <v>854.0</v>
      </c>
      <c r="AS342" s="1">
        <v>250.0</v>
      </c>
      <c r="AT342" s="1">
        <v>220.0</v>
      </c>
      <c r="AU342" s="3">
        <v>423.0</v>
      </c>
      <c r="AV342" s="1">
        <v>120.0</v>
      </c>
      <c r="AW342" s="3">
        <v>200.0</v>
      </c>
      <c r="AX342" s="3"/>
      <c r="AY342" s="3">
        <v>142.0</v>
      </c>
      <c r="AZ342" s="1">
        <v>40.0</v>
      </c>
      <c r="BA342" s="1"/>
      <c r="BB342" s="3">
        <v>225.0</v>
      </c>
      <c r="BC342" s="1">
        <v>150.0</v>
      </c>
      <c r="BD342" s="1">
        <v>190.0</v>
      </c>
      <c r="BE342" s="1">
        <v>80.0</v>
      </c>
      <c r="BF342" s="3">
        <v>328.0</v>
      </c>
      <c r="BG342" s="1">
        <v>213.0</v>
      </c>
      <c r="BH342" s="1">
        <v>23.0</v>
      </c>
      <c r="BI342" s="1">
        <v>40.0</v>
      </c>
      <c r="BJ342" s="1">
        <v>278.0</v>
      </c>
      <c r="BK342" s="3"/>
      <c r="BL342" s="1">
        <v>160.0</v>
      </c>
      <c r="BM342" s="1">
        <v>75.0</v>
      </c>
      <c r="BN342" s="32">
        <v>1802.0</v>
      </c>
      <c r="BO342" s="1">
        <v>47.0</v>
      </c>
      <c r="BP342" s="3">
        <v>48.0</v>
      </c>
      <c r="BQ342" s="1">
        <v>188.0</v>
      </c>
      <c r="BR342" s="27">
        <v>34410.0</v>
      </c>
    </row>
    <row r="343">
      <c r="A343" s="25">
        <f>'Equity Price Data'!A344</f>
        <v>45923.66667</v>
      </c>
      <c r="B343" s="34">
        <f>(('PRACTICE Equity Price Data'!B344/'PRACTICE Equity Price Data'!B343)-1)+B342</f>
        <v>0.2637203531</v>
      </c>
      <c r="C343" s="34">
        <f>(('PRACTICE Equity Price Data'!C344/'PRACTICE Equity Price Data'!C343)-1)+C342</f>
        <v>0.3564986106</v>
      </c>
      <c r="D343" s="34">
        <f>(('PRACTICE Equity Price Data'!D344/'PRACTICE Equity Price Data'!D343)-1)+D342</f>
        <v>0.1772510898</v>
      </c>
      <c r="E343" s="34">
        <f>(('PRACTICE Equity Price Data'!E344/'PRACTICE Equity Price Data'!E343)-1)+E342</f>
        <v>0.2109378765</v>
      </c>
      <c r="F343" s="3">
        <v>13.0</v>
      </c>
      <c r="G343" s="3">
        <v>260.0</v>
      </c>
      <c r="H343" s="3">
        <v>110.0</v>
      </c>
      <c r="I343" s="3">
        <v>256.0</v>
      </c>
      <c r="J343" s="3">
        <v>83.0</v>
      </c>
      <c r="K343" s="3">
        <v>188.0</v>
      </c>
      <c r="L343" s="3">
        <v>1000.0</v>
      </c>
      <c r="M343" s="3">
        <v>102.0</v>
      </c>
      <c r="N343" s="3">
        <v>200.0</v>
      </c>
      <c r="O343" s="3">
        <v>121.0</v>
      </c>
      <c r="P343" s="3">
        <v>146.0</v>
      </c>
      <c r="Q343" s="3">
        <v>80.0</v>
      </c>
      <c r="R343" s="3">
        <v>150.0</v>
      </c>
      <c r="S343" s="3">
        <v>417.0</v>
      </c>
      <c r="T343" s="3">
        <v>120.0</v>
      </c>
      <c r="U343" s="3">
        <v>80.0</v>
      </c>
      <c r="V343" s="1">
        <v>88.0</v>
      </c>
      <c r="W343" s="1">
        <v>250.0</v>
      </c>
      <c r="X343" s="1">
        <v>264.0</v>
      </c>
      <c r="Y343" s="1">
        <v>161.0</v>
      </c>
      <c r="Z343" s="1">
        <v>69.0</v>
      </c>
      <c r="AA343" s="3"/>
      <c r="AB343" s="1">
        <v>13.0</v>
      </c>
      <c r="AC343" s="1">
        <v>150.0</v>
      </c>
      <c r="AD343" s="1">
        <v>170.0</v>
      </c>
      <c r="AE343" s="1">
        <v>60.0</v>
      </c>
      <c r="AF343" s="1">
        <v>40.0</v>
      </c>
      <c r="AG343" s="1">
        <v>45.0</v>
      </c>
      <c r="AH343" s="1"/>
      <c r="AI343" s="1">
        <v>205.0</v>
      </c>
      <c r="AJ343" s="1">
        <v>60.0</v>
      </c>
      <c r="AK343" s="1">
        <v>100.0</v>
      </c>
      <c r="AL343" s="1">
        <v>175.0</v>
      </c>
      <c r="AM343" s="1">
        <v>130.0</v>
      </c>
      <c r="AN343" s="3">
        <v>47.0</v>
      </c>
      <c r="AO343" s="3">
        <v>160.0</v>
      </c>
      <c r="AP343" s="3">
        <v>70.0</v>
      </c>
      <c r="AQ343" s="3"/>
      <c r="AR343" s="1">
        <v>854.0</v>
      </c>
      <c r="AS343" s="1">
        <v>250.0</v>
      </c>
      <c r="AT343" s="1">
        <v>220.0</v>
      </c>
      <c r="AU343" s="3">
        <v>423.0</v>
      </c>
      <c r="AV343" s="1">
        <v>120.0</v>
      </c>
      <c r="AW343" s="3">
        <v>200.0</v>
      </c>
      <c r="AX343" s="3"/>
      <c r="AY343" s="3">
        <v>142.0</v>
      </c>
      <c r="AZ343" s="1">
        <v>40.0</v>
      </c>
      <c r="BA343" s="1"/>
      <c r="BB343" s="3">
        <v>225.0</v>
      </c>
      <c r="BC343" s="1">
        <v>150.0</v>
      </c>
      <c r="BD343" s="1">
        <v>190.0</v>
      </c>
      <c r="BE343" s="1">
        <v>80.0</v>
      </c>
      <c r="BF343" s="3">
        <v>328.0</v>
      </c>
      <c r="BG343" s="1">
        <v>213.0</v>
      </c>
      <c r="BH343" s="1">
        <v>23.0</v>
      </c>
      <c r="BI343" s="1">
        <v>40.0</v>
      </c>
      <c r="BJ343" s="1">
        <v>278.0</v>
      </c>
      <c r="BK343" s="3"/>
      <c r="BL343" s="1">
        <v>160.0</v>
      </c>
      <c r="BM343" s="1">
        <v>75.0</v>
      </c>
      <c r="BN343" s="32">
        <v>1802.0</v>
      </c>
      <c r="BO343" s="1">
        <v>47.0</v>
      </c>
      <c r="BP343" s="3">
        <v>48.0</v>
      </c>
      <c r="BQ343" s="1">
        <v>188.0</v>
      </c>
      <c r="BR343" s="27">
        <v>34410.0</v>
      </c>
    </row>
    <row r="344">
      <c r="A344" s="25">
        <f>'Equity Price Data'!A345</f>
        <v>45924.66667</v>
      </c>
      <c r="B344" s="34">
        <f>(('PRACTICE Equity Price Data'!B345/'PRACTICE Equity Price Data'!B344)-1)+B343</f>
        <v>0.2608736913</v>
      </c>
      <c r="C344" s="34">
        <f>(('PRACTICE Equity Price Data'!C345/'PRACTICE Equity Price Data'!C344)-1)+C343</f>
        <v>0.3531491034</v>
      </c>
      <c r="D344" s="34">
        <f>(('PRACTICE Equity Price Data'!D345/'PRACTICE Equity Price Data'!D344)-1)+D343</f>
        <v>0.1735464085</v>
      </c>
      <c r="E344" s="34">
        <f>(('PRACTICE Equity Price Data'!E345/'PRACTICE Equity Price Data'!E344)-1)+E343</f>
        <v>0.2017700603</v>
      </c>
      <c r="F344" s="3">
        <v>13.0</v>
      </c>
      <c r="G344" s="3">
        <v>260.0</v>
      </c>
      <c r="H344" s="3">
        <v>110.0</v>
      </c>
      <c r="I344" s="3">
        <v>256.0</v>
      </c>
      <c r="J344" s="3">
        <v>83.0</v>
      </c>
      <c r="K344" s="3">
        <v>188.0</v>
      </c>
      <c r="L344" s="3">
        <v>1000.0</v>
      </c>
      <c r="M344" s="3">
        <v>102.0</v>
      </c>
      <c r="N344" s="3">
        <v>200.0</v>
      </c>
      <c r="O344" s="3">
        <v>121.0</v>
      </c>
      <c r="P344" s="3">
        <v>146.0</v>
      </c>
      <c r="Q344" s="3">
        <v>80.0</v>
      </c>
      <c r="R344" s="3">
        <v>150.0</v>
      </c>
      <c r="S344" s="3">
        <v>417.0</v>
      </c>
      <c r="T344" s="3">
        <v>120.0</v>
      </c>
      <c r="U344" s="3">
        <v>80.0</v>
      </c>
      <c r="V344" s="1">
        <v>88.0</v>
      </c>
      <c r="W344" s="1">
        <v>250.0</v>
      </c>
      <c r="X344" s="1">
        <v>264.0</v>
      </c>
      <c r="Y344" s="1">
        <v>161.0</v>
      </c>
      <c r="Z344" s="1">
        <v>69.0</v>
      </c>
      <c r="AA344" s="3"/>
      <c r="AB344" s="1">
        <v>13.0</v>
      </c>
      <c r="AC344" s="1">
        <v>150.0</v>
      </c>
      <c r="AD344" s="1">
        <v>170.0</v>
      </c>
      <c r="AE344" s="1">
        <v>60.0</v>
      </c>
      <c r="AF344" s="1">
        <v>40.0</v>
      </c>
      <c r="AG344" s="1">
        <v>45.0</v>
      </c>
      <c r="AH344" s="1"/>
      <c r="AI344" s="1">
        <v>205.0</v>
      </c>
      <c r="AJ344" s="1">
        <v>60.0</v>
      </c>
      <c r="AK344" s="1">
        <v>100.0</v>
      </c>
      <c r="AL344" s="1">
        <v>175.0</v>
      </c>
      <c r="AM344" s="1">
        <v>130.0</v>
      </c>
      <c r="AN344" s="3">
        <v>47.0</v>
      </c>
      <c r="AO344" s="3">
        <v>160.0</v>
      </c>
      <c r="AP344" s="3">
        <v>70.0</v>
      </c>
      <c r="AQ344" s="3"/>
      <c r="AR344" s="1">
        <v>854.0</v>
      </c>
      <c r="AS344" s="1">
        <v>250.0</v>
      </c>
      <c r="AT344" s="1">
        <v>220.0</v>
      </c>
      <c r="AU344" s="3">
        <v>423.0</v>
      </c>
      <c r="AV344" s="1">
        <v>120.0</v>
      </c>
      <c r="AW344" s="3">
        <v>200.0</v>
      </c>
      <c r="AX344" s="3"/>
      <c r="AY344" s="3">
        <v>142.0</v>
      </c>
      <c r="AZ344" s="1">
        <v>40.0</v>
      </c>
      <c r="BA344" s="1"/>
      <c r="BB344" s="3">
        <v>225.0</v>
      </c>
      <c r="BC344" s="1">
        <v>150.0</v>
      </c>
      <c r="BD344" s="1">
        <v>190.0</v>
      </c>
      <c r="BE344" s="1">
        <v>80.0</v>
      </c>
      <c r="BF344" s="3">
        <v>328.0</v>
      </c>
      <c r="BG344" s="1">
        <v>213.0</v>
      </c>
      <c r="BH344" s="1">
        <v>23.0</v>
      </c>
      <c r="BI344" s="1">
        <v>40.0</v>
      </c>
      <c r="BJ344" s="1">
        <v>278.0</v>
      </c>
      <c r="BK344" s="3"/>
      <c r="BL344" s="1">
        <v>160.0</v>
      </c>
      <c r="BM344" s="1">
        <v>75.0</v>
      </c>
      <c r="BN344" s="32">
        <v>1802.0</v>
      </c>
      <c r="BO344" s="1">
        <v>47.0</v>
      </c>
      <c r="BP344" s="3">
        <v>48.0</v>
      </c>
      <c r="BQ344" s="1">
        <v>188.0</v>
      </c>
      <c r="BR344" s="27">
        <v>34410.0</v>
      </c>
    </row>
    <row r="345">
      <c r="A345" s="25">
        <f>'Equity Price Data'!A346</f>
        <v>45925.66667</v>
      </c>
      <c r="B345" s="34">
        <f>(('PRACTICE Equity Price Data'!B346/'PRACTICE Equity Price Data'!B345)-1)+B344</f>
        <v>0.2558646298</v>
      </c>
      <c r="C345" s="34">
        <f>(('PRACTICE Equity Price Data'!C346/'PRACTICE Equity Price Data'!C345)-1)+C344</f>
        <v>0.3481192917</v>
      </c>
      <c r="D345" s="34">
        <f>(('PRACTICE Equity Price Data'!D346/'PRACTICE Equity Price Data'!D345)-1)+D344</f>
        <v>0.1697746137</v>
      </c>
      <c r="E345" s="34">
        <f>(('PRACTICE Equity Price Data'!E346/'PRACTICE Equity Price Data'!E345)-1)+E344</f>
        <v>0.1919383574</v>
      </c>
      <c r="F345" s="3">
        <v>13.0</v>
      </c>
      <c r="G345" s="3">
        <v>260.0</v>
      </c>
      <c r="H345" s="3">
        <v>110.0</v>
      </c>
      <c r="I345" s="3">
        <v>256.0</v>
      </c>
      <c r="J345" s="3">
        <v>83.0</v>
      </c>
      <c r="K345" s="3">
        <v>188.0</v>
      </c>
      <c r="L345" s="3">
        <v>1000.0</v>
      </c>
      <c r="M345" s="3">
        <v>102.0</v>
      </c>
      <c r="N345" s="3">
        <v>200.0</v>
      </c>
      <c r="O345" s="3">
        <v>121.0</v>
      </c>
      <c r="P345" s="3">
        <v>146.0</v>
      </c>
      <c r="Q345" s="3">
        <v>80.0</v>
      </c>
      <c r="R345" s="3">
        <v>150.0</v>
      </c>
      <c r="S345" s="3">
        <v>417.0</v>
      </c>
      <c r="T345" s="3">
        <v>120.0</v>
      </c>
      <c r="U345" s="3">
        <v>80.0</v>
      </c>
      <c r="V345" s="1">
        <v>88.0</v>
      </c>
      <c r="W345" s="1">
        <v>250.0</v>
      </c>
      <c r="X345" s="1">
        <v>264.0</v>
      </c>
      <c r="Y345" s="1">
        <v>161.0</v>
      </c>
      <c r="Z345" s="1">
        <v>69.0</v>
      </c>
      <c r="AA345" s="3"/>
      <c r="AB345" s="1">
        <v>13.0</v>
      </c>
      <c r="AC345" s="1">
        <v>150.0</v>
      </c>
      <c r="AD345" s="1">
        <v>170.0</v>
      </c>
      <c r="AE345" s="1">
        <v>60.0</v>
      </c>
      <c r="AF345" s="1">
        <v>40.0</v>
      </c>
      <c r="AG345" s="1">
        <v>45.0</v>
      </c>
      <c r="AH345" s="1"/>
      <c r="AI345" s="1">
        <v>205.0</v>
      </c>
      <c r="AJ345" s="1">
        <v>60.0</v>
      </c>
      <c r="AK345" s="1">
        <v>100.0</v>
      </c>
      <c r="AL345" s="1">
        <v>175.0</v>
      </c>
      <c r="AM345" s="1">
        <v>130.0</v>
      </c>
      <c r="AN345" s="3">
        <v>47.0</v>
      </c>
      <c r="AO345" s="3">
        <v>160.0</v>
      </c>
      <c r="AP345" s="3">
        <v>70.0</v>
      </c>
      <c r="AQ345" s="3"/>
      <c r="AR345" s="1">
        <v>854.0</v>
      </c>
      <c r="AS345" s="1">
        <v>250.0</v>
      </c>
      <c r="AT345" s="1">
        <v>220.0</v>
      </c>
      <c r="AU345" s="3">
        <v>423.0</v>
      </c>
      <c r="AV345" s="1">
        <v>120.0</v>
      </c>
      <c r="AW345" s="3">
        <v>200.0</v>
      </c>
      <c r="AX345" s="3"/>
      <c r="AY345" s="3">
        <v>142.0</v>
      </c>
      <c r="AZ345" s="1">
        <v>40.0</v>
      </c>
      <c r="BA345" s="1"/>
      <c r="BB345" s="3">
        <v>225.0</v>
      </c>
      <c r="BC345" s="1">
        <v>150.0</v>
      </c>
      <c r="BD345" s="1">
        <v>190.0</v>
      </c>
      <c r="BE345" s="1">
        <v>80.0</v>
      </c>
      <c r="BF345" s="3">
        <v>328.0</v>
      </c>
      <c r="BG345" s="1">
        <v>213.0</v>
      </c>
      <c r="BH345" s="1">
        <v>23.0</v>
      </c>
      <c r="BI345" s="1">
        <v>40.0</v>
      </c>
      <c r="BJ345" s="1">
        <v>278.0</v>
      </c>
      <c r="BK345" s="3"/>
      <c r="BL345" s="1">
        <v>160.0</v>
      </c>
      <c r="BM345" s="1">
        <v>75.0</v>
      </c>
      <c r="BN345" s="32">
        <v>1802.0</v>
      </c>
      <c r="BO345" s="1">
        <v>47.0</v>
      </c>
      <c r="BP345" s="3">
        <v>48.0</v>
      </c>
      <c r="BQ345" s="1">
        <v>188.0</v>
      </c>
      <c r="BR345" s="27">
        <v>34410.0</v>
      </c>
    </row>
    <row r="346">
      <c r="A346" s="25">
        <f>'Equity Price Data'!A347</f>
        <v>45926.66667</v>
      </c>
      <c r="B346" s="34">
        <f>(('PRACTICE Equity Price Data'!B347/'PRACTICE Equity Price Data'!B346)-1)+B345</f>
        <v>0.2617664697</v>
      </c>
      <c r="C346" s="34">
        <f>(('PRACTICE Equity Price Data'!C347/'PRACTICE Equity Price Data'!C346)-1)+C345</f>
        <v>0.3525584845</v>
      </c>
      <c r="D346" s="34">
        <f>(('PRACTICE Equity Price Data'!D347/'PRACTICE Equity Price Data'!D346)-1)+D345</f>
        <v>0.1763031773</v>
      </c>
      <c r="E346" s="34">
        <f>(('PRACTICE Equity Price Data'!E347/'PRACTICE Equity Price Data'!E346)-1)+E345</f>
        <v>0.2015939417</v>
      </c>
      <c r="F346" s="3">
        <v>13.0</v>
      </c>
      <c r="G346" s="3">
        <v>260.0</v>
      </c>
      <c r="H346" s="3">
        <v>110.0</v>
      </c>
      <c r="I346" s="3">
        <v>256.0</v>
      </c>
      <c r="J346" s="3">
        <v>83.0</v>
      </c>
      <c r="K346" s="3">
        <v>188.0</v>
      </c>
      <c r="L346" s="3">
        <v>1000.0</v>
      </c>
      <c r="M346" s="3">
        <v>102.0</v>
      </c>
      <c r="N346" s="3">
        <v>200.0</v>
      </c>
      <c r="O346" s="3">
        <v>121.0</v>
      </c>
      <c r="P346" s="3">
        <v>146.0</v>
      </c>
      <c r="Q346" s="3">
        <v>80.0</v>
      </c>
      <c r="R346" s="3">
        <v>150.0</v>
      </c>
      <c r="S346" s="3">
        <v>417.0</v>
      </c>
      <c r="T346" s="3">
        <v>120.0</v>
      </c>
      <c r="U346" s="3">
        <v>80.0</v>
      </c>
      <c r="V346" s="1">
        <v>88.0</v>
      </c>
      <c r="W346" s="1">
        <v>250.0</v>
      </c>
      <c r="X346" s="1">
        <v>264.0</v>
      </c>
      <c r="Y346" s="1">
        <v>161.0</v>
      </c>
      <c r="Z346" s="1">
        <v>69.0</v>
      </c>
      <c r="AA346" s="3"/>
      <c r="AB346" s="1">
        <v>13.0</v>
      </c>
      <c r="AC346" s="1">
        <v>150.0</v>
      </c>
      <c r="AD346" s="1">
        <v>170.0</v>
      </c>
      <c r="AE346" s="1">
        <v>60.0</v>
      </c>
      <c r="AF346" s="1">
        <v>40.0</v>
      </c>
      <c r="AG346" s="1">
        <v>45.0</v>
      </c>
      <c r="AH346" s="1"/>
      <c r="AI346" s="1">
        <v>205.0</v>
      </c>
      <c r="AJ346" s="1">
        <v>60.0</v>
      </c>
      <c r="AK346" s="1">
        <v>100.0</v>
      </c>
      <c r="AL346" s="1">
        <v>175.0</v>
      </c>
      <c r="AM346" s="1">
        <v>130.0</v>
      </c>
      <c r="AN346" s="3">
        <v>47.0</v>
      </c>
      <c r="AO346" s="3">
        <v>160.0</v>
      </c>
      <c r="AP346" s="3">
        <v>70.0</v>
      </c>
      <c r="AQ346" s="3"/>
      <c r="AR346" s="1">
        <v>854.0</v>
      </c>
      <c r="AS346" s="1">
        <v>250.0</v>
      </c>
      <c r="AT346" s="1">
        <v>220.0</v>
      </c>
      <c r="AU346" s="3">
        <v>423.0</v>
      </c>
      <c r="AV346" s="1">
        <v>120.0</v>
      </c>
      <c r="AW346" s="3">
        <v>200.0</v>
      </c>
      <c r="AX346" s="3"/>
      <c r="AY346" s="3">
        <v>142.0</v>
      </c>
      <c r="AZ346" s="1">
        <v>40.0</v>
      </c>
      <c r="BA346" s="1"/>
      <c r="BB346" s="3">
        <v>225.0</v>
      </c>
      <c r="BC346" s="1">
        <v>150.0</v>
      </c>
      <c r="BD346" s="1">
        <v>190.0</v>
      </c>
      <c r="BE346" s="1">
        <v>80.0</v>
      </c>
      <c r="BF346" s="3">
        <v>328.0</v>
      </c>
      <c r="BG346" s="1">
        <v>213.0</v>
      </c>
      <c r="BH346" s="1">
        <v>23.0</v>
      </c>
      <c r="BI346" s="1">
        <v>40.0</v>
      </c>
      <c r="BJ346" s="1">
        <v>278.0</v>
      </c>
      <c r="BK346" s="3"/>
      <c r="BL346" s="1">
        <v>160.0</v>
      </c>
      <c r="BM346" s="1">
        <v>75.0</v>
      </c>
      <c r="BN346" s="32">
        <v>1802.0</v>
      </c>
      <c r="BO346" s="1">
        <v>47.0</v>
      </c>
      <c r="BP346" s="3">
        <v>48.0</v>
      </c>
      <c r="BQ346" s="1">
        <v>188.0</v>
      </c>
      <c r="BR346" s="27">
        <v>34410.0</v>
      </c>
    </row>
    <row r="347">
      <c r="A347" s="25">
        <f>'Equity Price Data'!A348</f>
        <v>45929.66667</v>
      </c>
      <c r="B347" s="34">
        <f>(('PRACTICE Equity Price Data'!B348/'PRACTICE Equity Price Data'!B347)-1)+B346</f>
        <v>0.2644020493</v>
      </c>
      <c r="C347" s="34">
        <f>(('PRACTICE Equity Price Data'!C348/'PRACTICE Equity Price Data'!C347)-1)+C346</f>
        <v>0.3573209675</v>
      </c>
      <c r="D347" s="34">
        <f>(('PRACTICE Equity Price Data'!D348/'PRACTICE Equity Price Data'!D347)-1)+D346</f>
        <v>0.1777903996</v>
      </c>
      <c r="E347" s="34">
        <f>(('PRACTICE Equity Price Data'!E348/'PRACTICE Equity Price Data'!E347)-1)+E346</f>
        <v>0.2019759785</v>
      </c>
      <c r="F347" s="3">
        <v>13.0</v>
      </c>
      <c r="G347" s="3">
        <v>260.0</v>
      </c>
      <c r="H347" s="3">
        <v>110.0</v>
      </c>
      <c r="I347" s="3">
        <v>256.0</v>
      </c>
      <c r="J347" s="3">
        <v>83.0</v>
      </c>
      <c r="K347" s="3">
        <v>188.0</v>
      </c>
      <c r="L347" s="3">
        <v>1000.0</v>
      </c>
      <c r="M347" s="3">
        <v>102.0</v>
      </c>
      <c r="N347" s="3">
        <v>200.0</v>
      </c>
      <c r="O347" s="3">
        <v>121.0</v>
      </c>
      <c r="P347" s="3">
        <v>146.0</v>
      </c>
      <c r="Q347" s="3">
        <v>80.0</v>
      </c>
      <c r="R347" s="3">
        <v>150.0</v>
      </c>
      <c r="S347" s="3">
        <v>417.0</v>
      </c>
      <c r="T347" s="3">
        <v>120.0</v>
      </c>
      <c r="U347" s="3">
        <v>80.0</v>
      </c>
      <c r="V347" s="1">
        <v>88.0</v>
      </c>
      <c r="W347" s="1">
        <v>250.0</v>
      </c>
      <c r="X347" s="1">
        <v>264.0</v>
      </c>
      <c r="Y347" s="1">
        <v>161.0</v>
      </c>
      <c r="Z347" s="1">
        <v>69.0</v>
      </c>
      <c r="AA347" s="3"/>
      <c r="AB347" s="1">
        <v>13.0</v>
      </c>
      <c r="AC347" s="1">
        <v>150.0</v>
      </c>
      <c r="AD347" s="1">
        <v>170.0</v>
      </c>
      <c r="AE347" s="1">
        <v>60.0</v>
      </c>
      <c r="AF347" s="1">
        <v>40.0</v>
      </c>
      <c r="AG347" s="1">
        <v>45.0</v>
      </c>
      <c r="AH347" s="1"/>
      <c r="AI347" s="1">
        <v>205.0</v>
      </c>
      <c r="AJ347" s="1">
        <v>60.0</v>
      </c>
      <c r="AK347" s="1">
        <v>100.0</v>
      </c>
      <c r="AL347" s="1">
        <v>175.0</v>
      </c>
      <c r="AM347" s="1">
        <v>130.0</v>
      </c>
      <c r="AN347" s="3">
        <v>47.0</v>
      </c>
      <c r="AO347" s="3">
        <v>160.0</v>
      </c>
      <c r="AP347" s="3">
        <v>70.0</v>
      </c>
      <c r="AQ347" s="3"/>
      <c r="AR347" s="1">
        <v>854.0</v>
      </c>
      <c r="AS347" s="1">
        <v>250.0</v>
      </c>
      <c r="AT347" s="1">
        <v>220.0</v>
      </c>
      <c r="AU347" s="3">
        <v>423.0</v>
      </c>
      <c r="AV347" s="1">
        <v>120.0</v>
      </c>
      <c r="AW347" s="3">
        <v>200.0</v>
      </c>
      <c r="AX347" s="3"/>
      <c r="AY347" s="3">
        <v>142.0</v>
      </c>
      <c r="AZ347" s="1">
        <v>40.0</v>
      </c>
      <c r="BA347" s="1"/>
      <c r="BB347" s="3">
        <v>225.0</v>
      </c>
      <c r="BC347" s="1">
        <v>150.0</v>
      </c>
      <c r="BD347" s="1">
        <v>190.0</v>
      </c>
      <c r="BE347" s="1">
        <v>80.0</v>
      </c>
      <c r="BF347" s="3">
        <v>328.0</v>
      </c>
      <c r="BG347" s="1">
        <v>213.0</v>
      </c>
      <c r="BH347" s="1">
        <v>23.0</v>
      </c>
      <c r="BI347" s="1">
        <v>40.0</v>
      </c>
      <c r="BJ347" s="1">
        <v>278.0</v>
      </c>
      <c r="BK347" s="3"/>
      <c r="BL347" s="1">
        <v>160.0</v>
      </c>
      <c r="BM347" s="1">
        <v>75.0</v>
      </c>
      <c r="BN347" s="32">
        <v>1802.0</v>
      </c>
      <c r="BO347" s="1">
        <v>47.0</v>
      </c>
      <c r="BP347" s="3">
        <v>48.0</v>
      </c>
      <c r="BQ347" s="1">
        <v>188.0</v>
      </c>
      <c r="BR347" s="27">
        <v>34410.0</v>
      </c>
    </row>
    <row r="348">
      <c r="A348" s="25">
        <f>'Equity Price Data'!A349</f>
        <v>45930.66667</v>
      </c>
      <c r="B348" s="34">
        <f>(('PRACTICE Equity Price Data'!B349/'PRACTICE Equity Price Data'!B348)-1)+B347</f>
        <v>0.2684928976</v>
      </c>
      <c r="C348" s="34">
        <f>(('PRACTICE Equity Price Data'!C349/'PRACTICE Equity Price Data'!C348)-1)+C347</f>
        <v>0.3603690637</v>
      </c>
      <c r="D348" s="34">
        <f>(('PRACTICE Equity Price Data'!D349/'PRACTICE Equity Price Data'!D348)-1)+D347</f>
        <v>0.1795569571</v>
      </c>
      <c r="E348" s="34">
        <f>(('PRACTICE Equity Price Data'!E349/'PRACTICE Equity Price Data'!E348)-1)+E347</f>
        <v>0.2024810602</v>
      </c>
      <c r="F348" s="3">
        <v>13.0</v>
      </c>
      <c r="G348" s="3">
        <v>260.0</v>
      </c>
      <c r="H348" s="3">
        <v>110.0</v>
      </c>
      <c r="I348" s="3">
        <v>256.0</v>
      </c>
      <c r="J348" s="3">
        <v>83.0</v>
      </c>
      <c r="K348" s="3">
        <v>188.0</v>
      </c>
      <c r="L348" s="3">
        <v>1000.0</v>
      </c>
      <c r="M348" s="3">
        <v>102.0</v>
      </c>
      <c r="N348" s="3">
        <v>200.0</v>
      </c>
      <c r="O348" s="3">
        <v>121.0</v>
      </c>
      <c r="P348" s="3">
        <v>146.0</v>
      </c>
      <c r="Q348" s="3">
        <v>80.0</v>
      </c>
      <c r="R348" s="3">
        <v>150.0</v>
      </c>
      <c r="S348" s="3">
        <v>417.0</v>
      </c>
      <c r="T348" s="3">
        <v>120.0</v>
      </c>
      <c r="U348" s="3">
        <v>80.0</v>
      </c>
      <c r="V348" s="1">
        <v>88.0</v>
      </c>
      <c r="W348" s="1">
        <v>250.0</v>
      </c>
      <c r="X348" s="1">
        <v>264.0</v>
      </c>
      <c r="Y348" s="1">
        <v>161.0</v>
      </c>
      <c r="Z348" s="1">
        <v>69.0</v>
      </c>
      <c r="AA348" s="3"/>
      <c r="AB348" s="1">
        <v>13.0</v>
      </c>
      <c r="AC348" s="1">
        <v>150.0</v>
      </c>
      <c r="AD348" s="1">
        <v>170.0</v>
      </c>
      <c r="AE348" s="1">
        <v>60.0</v>
      </c>
      <c r="AF348" s="1">
        <v>40.0</v>
      </c>
      <c r="AG348" s="1">
        <v>45.0</v>
      </c>
      <c r="AH348" s="1"/>
      <c r="AI348" s="1">
        <v>205.0</v>
      </c>
      <c r="AJ348" s="1">
        <v>60.0</v>
      </c>
      <c r="AK348" s="1">
        <v>100.0</v>
      </c>
      <c r="AL348" s="1">
        <v>175.0</v>
      </c>
      <c r="AM348" s="1">
        <v>130.0</v>
      </c>
      <c r="AN348" s="3">
        <v>47.0</v>
      </c>
      <c r="AO348" s="3">
        <v>160.0</v>
      </c>
      <c r="AP348" s="3">
        <v>70.0</v>
      </c>
      <c r="AQ348" s="3"/>
      <c r="AR348" s="1">
        <v>854.0</v>
      </c>
      <c r="AS348" s="1">
        <v>250.0</v>
      </c>
      <c r="AT348" s="1">
        <v>220.0</v>
      </c>
      <c r="AU348" s="3">
        <v>423.0</v>
      </c>
      <c r="AV348" s="1">
        <v>120.0</v>
      </c>
      <c r="AW348" s="3">
        <v>200.0</v>
      </c>
      <c r="AX348" s="3"/>
      <c r="AY348" s="3">
        <v>142.0</v>
      </c>
      <c r="AZ348" s="1">
        <v>40.0</v>
      </c>
      <c r="BA348" s="1"/>
      <c r="BB348" s="3">
        <v>225.0</v>
      </c>
      <c r="BC348" s="1">
        <v>150.0</v>
      </c>
      <c r="BD348" s="1">
        <v>190.0</v>
      </c>
      <c r="BE348" s="1">
        <v>80.0</v>
      </c>
      <c r="BF348" s="3">
        <v>328.0</v>
      </c>
      <c r="BG348" s="1">
        <v>213.0</v>
      </c>
      <c r="BH348" s="1">
        <v>23.0</v>
      </c>
      <c r="BI348" s="1">
        <v>40.0</v>
      </c>
      <c r="BJ348" s="1">
        <v>278.0</v>
      </c>
      <c r="BK348" s="3"/>
      <c r="BL348" s="1">
        <v>160.0</v>
      </c>
      <c r="BM348" s="1">
        <v>75.0</v>
      </c>
      <c r="BN348" s="32">
        <v>1802.0</v>
      </c>
      <c r="BO348" s="1">
        <v>47.0</v>
      </c>
      <c r="BP348" s="3">
        <v>48.0</v>
      </c>
      <c r="BQ348" s="1">
        <v>188.0</v>
      </c>
      <c r="BR348" s="27">
        <v>34410.0</v>
      </c>
    </row>
    <row r="349">
      <c r="A349" s="25">
        <f>'Equity Price Data'!A350</f>
        <v>45931.66667</v>
      </c>
      <c r="B349" s="34">
        <f>(('PRACTICE Equity Price Data'!B350/'PRACTICE Equity Price Data'!B349)-1)+B348</f>
        <v>0.2718927834</v>
      </c>
      <c r="C349" s="34">
        <f>(('PRACTICE Equity Price Data'!C350/'PRACTICE Equity Price Data'!C349)-1)+C348</f>
        <v>0.364568091</v>
      </c>
      <c r="D349" s="34">
        <f>(('PRACTICE Equity Price Data'!D350/'PRACTICE Equity Price Data'!D349)-1)+D348</f>
        <v>0.1804882494</v>
      </c>
      <c r="E349" s="34">
        <f>(('PRACTICE Equity Price Data'!E350/'PRACTICE Equity Price Data'!E349)-1)+E348</f>
        <v>0.2048902735</v>
      </c>
      <c r="F349" s="3">
        <v>13.0</v>
      </c>
      <c r="G349" s="3">
        <v>260.0</v>
      </c>
      <c r="H349" s="3">
        <v>110.0</v>
      </c>
      <c r="I349" s="3">
        <v>256.0</v>
      </c>
      <c r="J349" s="3">
        <v>83.0</v>
      </c>
      <c r="K349" s="3">
        <v>188.0</v>
      </c>
      <c r="L349" s="3">
        <v>1000.0</v>
      </c>
      <c r="M349" s="3">
        <v>102.0</v>
      </c>
      <c r="N349" s="3">
        <v>200.0</v>
      </c>
      <c r="O349" s="3">
        <v>121.0</v>
      </c>
      <c r="P349" s="3">
        <v>146.0</v>
      </c>
      <c r="Q349" s="3">
        <v>80.0</v>
      </c>
      <c r="R349" s="3">
        <v>150.0</v>
      </c>
      <c r="S349" s="3">
        <v>417.0</v>
      </c>
      <c r="T349" s="3">
        <v>120.0</v>
      </c>
      <c r="U349" s="3">
        <v>80.0</v>
      </c>
      <c r="V349" s="1">
        <v>88.0</v>
      </c>
      <c r="W349" s="1">
        <v>250.0</v>
      </c>
      <c r="X349" s="1">
        <v>264.0</v>
      </c>
      <c r="Y349" s="1">
        <v>161.0</v>
      </c>
      <c r="Z349" s="1">
        <v>69.0</v>
      </c>
      <c r="AA349" s="3"/>
      <c r="AB349" s="1">
        <v>13.0</v>
      </c>
      <c r="AC349" s="1">
        <v>150.0</v>
      </c>
      <c r="AD349" s="1">
        <v>170.0</v>
      </c>
      <c r="AE349" s="1">
        <v>60.0</v>
      </c>
      <c r="AF349" s="1">
        <v>40.0</v>
      </c>
      <c r="AG349" s="1">
        <v>45.0</v>
      </c>
      <c r="AH349" s="1"/>
      <c r="AI349" s="1">
        <v>205.0</v>
      </c>
      <c r="AJ349" s="1">
        <v>60.0</v>
      </c>
      <c r="AK349" s="1">
        <v>100.0</v>
      </c>
      <c r="AL349" s="1">
        <v>175.0</v>
      </c>
      <c r="AM349" s="1">
        <v>130.0</v>
      </c>
      <c r="AN349" s="3">
        <v>47.0</v>
      </c>
      <c r="AO349" s="3">
        <v>160.0</v>
      </c>
      <c r="AP349" s="3">
        <v>70.0</v>
      </c>
      <c r="AQ349" s="3"/>
      <c r="AR349" s="1">
        <v>854.0</v>
      </c>
      <c r="AS349" s="1">
        <v>250.0</v>
      </c>
      <c r="AT349" s="1">
        <v>220.0</v>
      </c>
      <c r="AU349" s="3">
        <v>223.0</v>
      </c>
      <c r="AV349" s="1">
        <v>120.0</v>
      </c>
      <c r="AW349" s="3">
        <v>200.0</v>
      </c>
      <c r="AX349" s="3"/>
      <c r="AY349" s="3">
        <v>142.0</v>
      </c>
      <c r="AZ349" s="1">
        <v>40.0</v>
      </c>
      <c r="BA349" s="1"/>
      <c r="BB349" s="3">
        <v>225.0</v>
      </c>
      <c r="BC349" s="1">
        <v>150.0</v>
      </c>
      <c r="BD349" s="1">
        <v>190.0</v>
      </c>
      <c r="BE349" s="1">
        <v>80.0</v>
      </c>
      <c r="BF349" s="3">
        <v>328.0</v>
      </c>
      <c r="BG349" s="1">
        <v>213.0</v>
      </c>
      <c r="BH349" s="1">
        <v>23.0</v>
      </c>
      <c r="BI349" s="1">
        <v>40.0</v>
      </c>
      <c r="BJ349" s="1">
        <v>278.0</v>
      </c>
      <c r="BK349" s="3"/>
      <c r="BL349" s="1">
        <v>160.0</v>
      </c>
      <c r="BM349" s="1">
        <v>75.0</v>
      </c>
      <c r="BN349" s="32">
        <v>1802.0</v>
      </c>
      <c r="BO349" s="1">
        <v>47.0</v>
      </c>
      <c r="BP349" s="3">
        <v>48.0</v>
      </c>
      <c r="BQ349" s="1">
        <v>188.0</v>
      </c>
      <c r="BR349" s="27">
        <v>34410.0</v>
      </c>
    </row>
    <row r="350">
      <c r="A350" s="25">
        <f>'Equity Price Data'!A351</f>
        <v>45932.66667</v>
      </c>
      <c r="B350" s="34">
        <f>(('PRACTICE Equity Price Data'!B351/'PRACTICE Equity Price Data'!B350)-1)+B349</f>
        <v>0.2725111527</v>
      </c>
      <c r="C350" s="34">
        <f>(('PRACTICE Equity Price Data'!C351/'PRACTICE Equity Price Data'!C350)-1)+C349</f>
        <v>0.3684744577</v>
      </c>
      <c r="D350" s="34">
        <f>(('PRACTICE Equity Price Data'!D351/'PRACTICE Equity Price Data'!D350)-1)+D349</f>
        <v>0.1821811465</v>
      </c>
      <c r="E350" s="34">
        <f>(('PRACTICE Equity Price Data'!E351/'PRACTICE Equity Price Data'!E350)-1)+E349</f>
        <v>0.2114986629</v>
      </c>
      <c r="F350" s="3">
        <v>13.0</v>
      </c>
      <c r="G350" s="3">
        <v>260.0</v>
      </c>
      <c r="H350" s="3">
        <v>110.0</v>
      </c>
      <c r="I350" s="3">
        <v>256.0</v>
      </c>
      <c r="J350" s="3">
        <v>83.0</v>
      </c>
      <c r="K350" s="3">
        <v>188.0</v>
      </c>
      <c r="L350" s="3">
        <v>1000.0</v>
      </c>
      <c r="M350" s="3">
        <v>102.0</v>
      </c>
      <c r="N350" s="3">
        <v>200.0</v>
      </c>
      <c r="O350" s="3">
        <v>121.0</v>
      </c>
      <c r="P350" s="3">
        <v>146.0</v>
      </c>
      <c r="Q350" s="3">
        <v>80.0</v>
      </c>
      <c r="R350" s="3">
        <v>150.0</v>
      </c>
      <c r="S350" s="3">
        <v>417.0</v>
      </c>
      <c r="T350" s="3">
        <v>120.0</v>
      </c>
      <c r="U350" s="3">
        <v>80.0</v>
      </c>
      <c r="V350" s="1">
        <v>88.0</v>
      </c>
      <c r="W350" s="1">
        <v>250.0</v>
      </c>
      <c r="X350" s="1">
        <v>264.0</v>
      </c>
      <c r="Y350" s="1">
        <v>161.0</v>
      </c>
      <c r="Z350" s="1">
        <v>69.0</v>
      </c>
      <c r="AA350" s="3"/>
      <c r="AB350" s="1">
        <v>13.0</v>
      </c>
      <c r="AC350" s="1">
        <v>150.0</v>
      </c>
      <c r="AD350" s="1">
        <v>170.0</v>
      </c>
      <c r="AE350" s="1">
        <v>60.0</v>
      </c>
      <c r="AF350" s="1">
        <v>40.0</v>
      </c>
      <c r="AG350" s="1">
        <v>45.0</v>
      </c>
      <c r="AH350" s="1"/>
      <c r="AI350" s="1">
        <v>205.0</v>
      </c>
      <c r="AJ350" s="1">
        <v>60.0</v>
      </c>
      <c r="AK350" s="1">
        <v>100.0</v>
      </c>
      <c r="AL350" s="1">
        <v>175.0</v>
      </c>
      <c r="AM350" s="1">
        <v>130.0</v>
      </c>
      <c r="AN350" s="3">
        <v>47.0</v>
      </c>
      <c r="AO350" s="3">
        <v>160.0</v>
      </c>
      <c r="AP350" s="3">
        <v>70.0</v>
      </c>
      <c r="AQ350" s="3"/>
      <c r="AR350" s="1">
        <v>854.0</v>
      </c>
      <c r="AS350" s="1">
        <v>250.0</v>
      </c>
      <c r="AT350" s="1">
        <v>220.0</v>
      </c>
      <c r="AU350" s="3">
        <v>223.0</v>
      </c>
      <c r="AV350" s="1">
        <v>120.0</v>
      </c>
      <c r="AW350" s="3">
        <v>200.0</v>
      </c>
      <c r="AX350" s="3"/>
      <c r="AY350" s="3">
        <v>142.0</v>
      </c>
      <c r="AZ350" s="1">
        <v>40.0</v>
      </c>
      <c r="BA350" s="1"/>
      <c r="BB350" s="3">
        <v>225.0</v>
      </c>
      <c r="BC350" s="1">
        <v>150.0</v>
      </c>
      <c r="BD350" s="1">
        <v>190.0</v>
      </c>
      <c r="BE350" s="1">
        <v>80.0</v>
      </c>
      <c r="BF350" s="3">
        <v>328.0</v>
      </c>
      <c r="BG350" s="1">
        <v>213.0</v>
      </c>
      <c r="BH350" s="1">
        <v>23.0</v>
      </c>
      <c r="BI350" s="1">
        <v>40.0</v>
      </c>
      <c r="BJ350" s="1">
        <v>278.0</v>
      </c>
      <c r="BK350" s="3"/>
      <c r="BL350" s="1">
        <v>160.0</v>
      </c>
      <c r="BM350" s="1">
        <v>75.0</v>
      </c>
      <c r="BN350" s="32">
        <v>1802.0</v>
      </c>
      <c r="BO350" s="1">
        <v>47.0</v>
      </c>
      <c r="BP350" s="3">
        <v>48.0</v>
      </c>
      <c r="BQ350" s="1">
        <v>188.0</v>
      </c>
      <c r="BR350" s="27">
        <v>34410.0</v>
      </c>
    </row>
    <row r="351">
      <c r="A351" s="25">
        <f>'Equity Price Data'!A352</f>
        <v>45933.66667</v>
      </c>
      <c r="B351" s="34">
        <f>(('PRACTICE Equity Price Data'!B352/'PRACTICE Equity Price Data'!B351)-1)+B350</f>
        <v>0.2725766742</v>
      </c>
      <c r="C351" s="34">
        <f>(('PRACTICE Equity Price Data'!C352/'PRACTICE Equity Price Data'!C351)-1)+C350</f>
        <v>0.3656929895</v>
      </c>
      <c r="D351" s="34">
        <f>(('PRACTICE Equity Price Data'!D352/'PRACTICE Equity Price Data'!D351)-1)+D350</f>
        <v>0.1873092943</v>
      </c>
      <c r="E351" s="34">
        <f>(('PRACTICE Equity Price Data'!E352/'PRACTICE Equity Price Data'!E351)-1)+E350</f>
        <v>0.2186941366</v>
      </c>
      <c r="F351" s="3">
        <v>13.0</v>
      </c>
      <c r="G351" s="3">
        <v>260.0</v>
      </c>
      <c r="H351" s="3">
        <v>110.0</v>
      </c>
      <c r="I351" s="3">
        <v>256.0</v>
      </c>
      <c r="J351" s="3">
        <v>83.0</v>
      </c>
      <c r="K351" s="3">
        <v>188.0</v>
      </c>
      <c r="L351" s="3">
        <v>1000.0</v>
      </c>
      <c r="M351" s="3">
        <v>102.0</v>
      </c>
      <c r="N351" s="3">
        <v>200.0</v>
      </c>
      <c r="O351" s="3">
        <v>121.0</v>
      </c>
      <c r="P351" s="3">
        <v>146.0</v>
      </c>
      <c r="Q351" s="3">
        <v>80.0</v>
      </c>
      <c r="R351" s="3">
        <v>150.0</v>
      </c>
      <c r="S351" s="3">
        <v>417.0</v>
      </c>
      <c r="T351" s="3">
        <v>120.0</v>
      </c>
      <c r="U351" s="3">
        <v>80.0</v>
      </c>
      <c r="V351" s="1">
        <v>88.0</v>
      </c>
      <c r="W351" s="1">
        <v>250.0</v>
      </c>
      <c r="X351" s="1">
        <v>264.0</v>
      </c>
      <c r="Y351" s="1">
        <v>161.0</v>
      </c>
      <c r="Z351" s="1">
        <v>69.0</v>
      </c>
      <c r="AA351" s="3"/>
      <c r="AB351" s="1">
        <v>13.0</v>
      </c>
      <c r="AC351" s="1">
        <v>150.0</v>
      </c>
      <c r="AD351" s="1">
        <v>170.0</v>
      </c>
      <c r="AE351" s="1">
        <v>60.0</v>
      </c>
      <c r="AF351" s="1">
        <v>40.0</v>
      </c>
      <c r="AG351" s="1">
        <v>45.0</v>
      </c>
      <c r="AH351" s="1"/>
      <c r="AI351" s="1">
        <v>205.0</v>
      </c>
      <c r="AJ351" s="1">
        <v>60.0</v>
      </c>
      <c r="AK351" s="1">
        <v>100.0</v>
      </c>
      <c r="AL351" s="1">
        <v>175.0</v>
      </c>
      <c r="AM351" s="1">
        <v>130.0</v>
      </c>
      <c r="AN351" s="3">
        <v>47.0</v>
      </c>
      <c r="AO351" s="3">
        <v>160.0</v>
      </c>
      <c r="AP351" s="3">
        <v>70.0</v>
      </c>
      <c r="AQ351" s="3"/>
      <c r="AR351" s="1">
        <v>854.0</v>
      </c>
      <c r="AS351" s="1">
        <v>250.0</v>
      </c>
      <c r="AT351" s="1">
        <v>220.0</v>
      </c>
      <c r="AU351" s="3">
        <v>223.0</v>
      </c>
      <c r="AV351" s="1">
        <v>120.0</v>
      </c>
      <c r="AW351" s="3">
        <v>200.0</v>
      </c>
      <c r="AX351" s="3"/>
      <c r="AY351" s="3">
        <v>142.0</v>
      </c>
      <c r="AZ351" s="1">
        <v>40.0</v>
      </c>
      <c r="BA351" s="1"/>
      <c r="BB351" s="3">
        <v>225.0</v>
      </c>
      <c r="BC351" s="1">
        <v>150.0</v>
      </c>
      <c r="BD351" s="1">
        <v>190.0</v>
      </c>
      <c r="BE351" s="1">
        <v>80.0</v>
      </c>
      <c r="BF351" s="3">
        <v>328.0</v>
      </c>
      <c r="BG351" s="1">
        <v>213.0</v>
      </c>
      <c r="BH351" s="1">
        <v>23.0</v>
      </c>
      <c r="BI351" s="1">
        <v>40.0</v>
      </c>
      <c r="BJ351" s="1">
        <v>278.0</v>
      </c>
      <c r="BK351" s="3"/>
      <c r="BL351" s="1">
        <v>160.0</v>
      </c>
      <c r="BM351" s="1">
        <v>75.0</v>
      </c>
      <c r="BN351" s="32">
        <v>1802.0</v>
      </c>
      <c r="BO351" s="1">
        <v>47.0</v>
      </c>
      <c r="BP351" s="3">
        <v>48.0</v>
      </c>
      <c r="BQ351" s="1">
        <v>188.0</v>
      </c>
      <c r="BR351" s="27">
        <v>34410.0</v>
      </c>
    </row>
    <row r="352">
      <c r="A352" s="25">
        <f>'Equity Price Data'!A353</f>
        <v>45936.66667</v>
      </c>
      <c r="B352" s="34">
        <f>(('PRACTICE Equity Price Data'!B353/'PRACTICE Equity Price Data'!B352)-1)+B351</f>
        <v>0.276223304</v>
      </c>
      <c r="C352" s="34">
        <f>(('PRACTICE Equity Price Data'!C353/'PRACTICE Equity Price Data'!C352)-1)+C351</f>
        <v>0.372767458</v>
      </c>
      <c r="D352" s="34">
        <f>(('PRACTICE Equity Price Data'!D353/'PRACTICE Equity Price Data'!D352)-1)+D351</f>
        <v>0.1859553095</v>
      </c>
      <c r="E352" s="34">
        <f>(('PRACTICE Equity Price Data'!E353/'PRACTICE Equity Price Data'!E352)-1)+E351</f>
        <v>0.2228012693</v>
      </c>
      <c r="F352" s="3">
        <v>13.0</v>
      </c>
      <c r="G352" s="3">
        <v>260.0</v>
      </c>
      <c r="H352" s="3">
        <v>110.0</v>
      </c>
      <c r="I352" s="3">
        <v>256.0</v>
      </c>
      <c r="J352" s="3">
        <v>83.0</v>
      </c>
      <c r="K352" s="3">
        <v>188.0</v>
      </c>
      <c r="L352" s="3">
        <v>1000.0</v>
      </c>
      <c r="M352" s="3">
        <v>102.0</v>
      </c>
      <c r="N352" s="3">
        <v>200.0</v>
      </c>
      <c r="O352" s="3">
        <v>121.0</v>
      </c>
      <c r="P352" s="3">
        <v>146.0</v>
      </c>
      <c r="Q352" s="3">
        <v>80.0</v>
      </c>
      <c r="R352" s="3">
        <v>150.0</v>
      </c>
      <c r="S352" s="3">
        <v>417.0</v>
      </c>
      <c r="T352" s="3">
        <v>120.0</v>
      </c>
      <c r="U352" s="3">
        <v>80.0</v>
      </c>
      <c r="V352" s="1">
        <v>88.0</v>
      </c>
      <c r="W352" s="1">
        <v>250.0</v>
      </c>
      <c r="X352" s="1">
        <v>264.0</v>
      </c>
      <c r="Y352" s="1">
        <v>161.0</v>
      </c>
      <c r="Z352" s="1">
        <v>69.0</v>
      </c>
      <c r="AA352" s="3"/>
      <c r="AB352" s="1">
        <v>13.0</v>
      </c>
      <c r="AC352" s="1">
        <v>150.0</v>
      </c>
      <c r="AD352" s="1">
        <v>170.0</v>
      </c>
      <c r="AE352" s="1">
        <v>60.0</v>
      </c>
      <c r="AF352" s="1">
        <v>40.0</v>
      </c>
      <c r="AG352" s="1">
        <v>45.0</v>
      </c>
      <c r="AH352" s="1"/>
      <c r="AI352" s="1">
        <v>205.0</v>
      </c>
      <c r="AJ352" s="1">
        <v>60.0</v>
      </c>
      <c r="AK352" s="1">
        <v>100.0</v>
      </c>
      <c r="AL352" s="1">
        <v>175.0</v>
      </c>
      <c r="AM352" s="1">
        <v>130.0</v>
      </c>
      <c r="AN352" s="3">
        <v>47.0</v>
      </c>
      <c r="AO352" s="3">
        <v>160.0</v>
      </c>
      <c r="AP352" s="3">
        <v>70.0</v>
      </c>
      <c r="AQ352" s="3"/>
      <c r="AR352" s="1">
        <v>854.0</v>
      </c>
      <c r="AS352" s="1">
        <v>250.0</v>
      </c>
      <c r="AT352" s="1">
        <v>220.0</v>
      </c>
      <c r="AU352" s="3">
        <v>223.0</v>
      </c>
      <c r="AV352" s="1">
        <v>120.0</v>
      </c>
      <c r="AW352" s="3">
        <v>200.0</v>
      </c>
      <c r="AX352" s="3"/>
      <c r="AY352" s="3">
        <v>142.0</v>
      </c>
      <c r="AZ352" s="1">
        <v>40.0</v>
      </c>
      <c r="BA352" s="1"/>
      <c r="BB352" s="3">
        <v>225.0</v>
      </c>
      <c r="BC352" s="1">
        <v>150.0</v>
      </c>
      <c r="BD352" s="1">
        <v>190.0</v>
      </c>
      <c r="BE352" s="1">
        <v>80.0</v>
      </c>
      <c r="BF352" s="3">
        <v>328.0</v>
      </c>
      <c r="BG352" s="1">
        <v>213.0</v>
      </c>
      <c r="BH352" s="1">
        <v>23.0</v>
      </c>
      <c r="BI352" s="1">
        <v>40.0</v>
      </c>
      <c r="BJ352" s="1">
        <v>278.0</v>
      </c>
      <c r="BK352" s="3"/>
      <c r="BL352" s="1">
        <v>160.0</v>
      </c>
      <c r="BM352" s="1">
        <v>75.0</v>
      </c>
      <c r="BN352" s="32">
        <v>1802.0</v>
      </c>
      <c r="BO352" s="1">
        <v>47.0</v>
      </c>
      <c r="BP352" s="3">
        <v>48.0</v>
      </c>
      <c r="BQ352" s="1">
        <v>188.0</v>
      </c>
      <c r="BR352" s="27">
        <v>34410.0</v>
      </c>
    </row>
    <row r="353">
      <c r="A353" s="25">
        <f>'Equity Price Data'!A354</f>
        <v>45937.66667</v>
      </c>
      <c r="B353" s="34">
        <f>(('PRACTICE Equity Price Data'!B354/'PRACTICE Equity Price Data'!B353)-1)+B352</f>
        <v>0.2724118897</v>
      </c>
      <c r="C353" s="34">
        <f>(('PRACTICE Equity Price Data'!C354/'PRACTICE Equity Price Data'!C353)-1)+C352</f>
        <v>0.3660848581</v>
      </c>
      <c r="D353" s="34">
        <f>(('PRACTICE Equity Price Data'!D354/'PRACTICE Equity Price Data'!D353)-1)+D352</f>
        <v>0.18398529</v>
      </c>
      <c r="E353" s="34">
        <f>(('PRACTICE Equity Price Data'!E354/'PRACTICE Equity Price Data'!E353)-1)+E352</f>
        <v>0.2115679353</v>
      </c>
      <c r="F353" s="3">
        <v>13.0</v>
      </c>
      <c r="G353" s="3">
        <v>260.0</v>
      </c>
      <c r="H353" s="3">
        <v>110.0</v>
      </c>
      <c r="I353" s="3">
        <v>256.0</v>
      </c>
      <c r="J353" s="3">
        <v>83.0</v>
      </c>
      <c r="K353" s="3">
        <v>188.0</v>
      </c>
      <c r="L353" s="3">
        <v>1000.0</v>
      </c>
      <c r="M353" s="3">
        <v>102.0</v>
      </c>
      <c r="N353" s="3">
        <v>200.0</v>
      </c>
      <c r="O353" s="3">
        <v>121.0</v>
      </c>
      <c r="P353" s="3">
        <v>146.0</v>
      </c>
      <c r="Q353" s="3">
        <v>80.0</v>
      </c>
      <c r="R353" s="3">
        <v>150.0</v>
      </c>
      <c r="S353" s="3">
        <v>417.0</v>
      </c>
      <c r="T353" s="3">
        <v>120.0</v>
      </c>
      <c r="U353" s="3">
        <v>80.0</v>
      </c>
      <c r="V353" s="1">
        <v>88.0</v>
      </c>
      <c r="W353" s="1">
        <v>250.0</v>
      </c>
      <c r="X353" s="1">
        <v>264.0</v>
      </c>
      <c r="Y353" s="1">
        <v>161.0</v>
      </c>
      <c r="Z353" s="1">
        <v>69.0</v>
      </c>
      <c r="AA353" s="3"/>
      <c r="AB353" s="1">
        <v>13.0</v>
      </c>
      <c r="AC353" s="1">
        <v>150.0</v>
      </c>
      <c r="AD353" s="1">
        <v>170.0</v>
      </c>
      <c r="AE353" s="1">
        <v>60.0</v>
      </c>
      <c r="AF353" s="1">
        <v>40.0</v>
      </c>
      <c r="AG353" s="1">
        <v>45.0</v>
      </c>
      <c r="AH353" s="1"/>
      <c r="AI353" s="1">
        <v>205.0</v>
      </c>
      <c r="AJ353" s="1">
        <v>60.0</v>
      </c>
      <c r="AK353" s="1">
        <v>100.0</v>
      </c>
      <c r="AL353" s="1">
        <v>175.0</v>
      </c>
      <c r="AM353" s="1">
        <v>130.0</v>
      </c>
      <c r="AN353" s="3">
        <v>47.0</v>
      </c>
      <c r="AO353" s="3">
        <v>160.0</v>
      </c>
      <c r="AP353" s="3">
        <v>70.0</v>
      </c>
      <c r="AQ353" s="3"/>
      <c r="AR353" s="1">
        <v>854.0</v>
      </c>
      <c r="AS353" s="1">
        <v>250.0</v>
      </c>
      <c r="AT353" s="1">
        <v>220.0</v>
      </c>
      <c r="AU353" s="3">
        <v>223.0</v>
      </c>
      <c r="AV353" s="1">
        <v>120.0</v>
      </c>
      <c r="AW353" s="3">
        <v>200.0</v>
      </c>
      <c r="AX353" s="3"/>
      <c r="AY353" s="3">
        <v>142.0</v>
      </c>
      <c r="AZ353" s="1">
        <v>40.0</v>
      </c>
      <c r="BA353" s="1"/>
      <c r="BB353" s="3">
        <v>225.0</v>
      </c>
      <c r="BC353" s="1">
        <v>150.0</v>
      </c>
      <c r="BD353" s="1">
        <v>190.0</v>
      </c>
      <c r="BE353" s="1">
        <v>80.0</v>
      </c>
      <c r="BF353" s="3">
        <v>328.0</v>
      </c>
      <c r="BG353" s="1">
        <v>213.0</v>
      </c>
      <c r="BH353" s="1">
        <v>23.0</v>
      </c>
      <c r="BI353" s="1">
        <v>40.0</v>
      </c>
      <c r="BJ353" s="1">
        <v>278.0</v>
      </c>
      <c r="BK353" s="3"/>
      <c r="BL353" s="1">
        <v>160.0</v>
      </c>
      <c r="BM353" s="1">
        <v>75.0</v>
      </c>
      <c r="BN353" s="32">
        <v>1802.0</v>
      </c>
      <c r="BO353" s="1">
        <v>47.0</v>
      </c>
      <c r="BP353" s="3">
        <v>48.0</v>
      </c>
      <c r="BQ353" s="1">
        <v>188.0</v>
      </c>
      <c r="BR353" s="27">
        <v>34410.0</v>
      </c>
    </row>
    <row r="354">
      <c r="A354" s="25">
        <f>'Equity Price Data'!A355</f>
        <v>45938.66667</v>
      </c>
      <c r="B354" s="34">
        <f>(('PRACTICE Equity Price Data'!B355/'PRACTICE Equity Price Data'!B354)-1)+B353</f>
        <v>0.2782394979</v>
      </c>
      <c r="C354" s="34">
        <f>(('PRACTICE Equity Price Data'!C355/'PRACTICE Equity Price Data'!C354)-1)+C353</f>
        <v>0.377275659</v>
      </c>
      <c r="D354" s="34">
        <f>(('PRACTICE Equity Price Data'!D355/'PRACTICE Equity Price Data'!D354)-1)+D353</f>
        <v>0.1839595406</v>
      </c>
      <c r="E354" s="34">
        <f>(('PRACTICE Equity Price Data'!E355/'PRACTICE Equity Price Data'!E354)-1)+E353</f>
        <v>0.2219689246</v>
      </c>
      <c r="F354" s="3">
        <v>13.0</v>
      </c>
      <c r="G354" s="3">
        <v>260.0</v>
      </c>
      <c r="H354" s="3">
        <v>110.0</v>
      </c>
      <c r="I354" s="3">
        <v>256.0</v>
      </c>
      <c r="J354" s="3">
        <v>83.0</v>
      </c>
      <c r="K354" s="3">
        <v>188.0</v>
      </c>
      <c r="L354" s="3">
        <v>1000.0</v>
      </c>
      <c r="M354" s="3">
        <v>102.0</v>
      </c>
      <c r="N354" s="3">
        <v>200.0</v>
      </c>
      <c r="O354" s="3">
        <v>121.0</v>
      </c>
      <c r="P354" s="3">
        <v>146.0</v>
      </c>
      <c r="Q354" s="3">
        <v>80.0</v>
      </c>
      <c r="R354" s="3">
        <v>150.0</v>
      </c>
      <c r="S354" s="3">
        <v>417.0</v>
      </c>
      <c r="T354" s="3">
        <v>120.0</v>
      </c>
      <c r="U354" s="3">
        <v>80.0</v>
      </c>
      <c r="V354" s="1">
        <v>88.0</v>
      </c>
      <c r="W354" s="1">
        <v>250.0</v>
      </c>
      <c r="X354" s="1">
        <v>264.0</v>
      </c>
      <c r="Y354" s="1">
        <v>161.0</v>
      </c>
      <c r="Z354" s="1">
        <v>69.0</v>
      </c>
      <c r="AA354" s="3"/>
      <c r="AB354" s="1">
        <v>13.0</v>
      </c>
      <c r="AC354" s="1">
        <v>150.0</v>
      </c>
      <c r="AD354" s="1">
        <v>170.0</v>
      </c>
      <c r="AE354" s="1">
        <v>60.0</v>
      </c>
      <c r="AF354" s="1">
        <v>40.0</v>
      </c>
      <c r="AG354" s="1">
        <v>45.0</v>
      </c>
      <c r="AH354" s="1"/>
      <c r="AI354" s="1">
        <v>205.0</v>
      </c>
      <c r="AJ354" s="1">
        <v>60.0</v>
      </c>
      <c r="AK354" s="1">
        <v>100.0</v>
      </c>
      <c r="AL354" s="1">
        <v>175.0</v>
      </c>
      <c r="AM354" s="1">
        <v>130.0</v>
      </c>
      <c r="AN354" s="3">
        <v>47.0</v>
      </c>
      <c r="AO354" s="3">
        <v>160.0</v>
      </c>
      <c r="AP354" s="3">
        <v>70.0</v>
      </c>
      <c r="AQ354" s="3"/>
      <c r="AR354" s="1">
        <v>854.0</v>
      </c>
      <c r="AS354" s="1">
        <v>250.0</v>
      </c>
      <c r="AT354" s="1">
        <v>220.0</v>
      </c>
      <c r="AU354" s="3">
        <v>223.0</v>
      </c>
      <c r="AV354" s="1">
        <v>120.0</v>
      </c>
      <c r="AW354" s="3">
        <v>200.0</v>
      </c>
      <c r="AX354" s="3"/>
      <c r="AY354" s="3">
        <v>142.0</v>
      </c>
      <c r="AZ354" s="1">
        <v>40.0</v>
      </c>
      <c r="BA354" s="1"/>
      <c r="BB354" s="3">
        <v>225.0</v>
      </c>
      <c r="BC354" s="1">
        <v>150.0</v>
      </c>
      <c r="BD354" s="1">
        <v>190.0</v>
      </c>
      <c r="BE354" s="1">
        <v>80.0</v>
      </c>
      <c r="BF354" s="3">
        <v>328.0</v>
      </c>
      <c r="BG354" s="1">
        <v>213.0</v>
      </c>
      <c r="BH354" s="1">
        <v>23.0</v>
      </c>
      <c r="BI354" s="1">
        <v>40.0</v>
      </c>
      <c r="BJ354" s="1">
        <v>278.0</v>
      </c>
      <c r="BK354" s="3"/>
      <c r="BL354" s="1">
        <v>160.0</v>
      </c>
      <c r="BM354" s="1">
        <v>75.0</v>
      </c>
      <c r="BN354" s="32">
        <v>1802.0</v>
      </c>
      <c r="BO354" s="1">
        <v>47.0</v>
      </c>
      <c r="BP354" s="3">
        <v>48.0</v>
      </c>
      <c r="BQ354" s="1">
        <v>188.0</v>
      </c>
      <c r="BR354" s="27">
        <v>34410.0</v>
      </c>
    </row>
    <row r="355">
      <c r="A355" s="25">
        <f>'Equity Price Data'!A356</f>
        <v>45939.66667</v>
      </c>
      <c r="B355" s="34">
        <f>(('PRACTICE Equity Price Data'!B356/'PRACTICE Equity Price Data'!B355)-1)+B354</f>
        <v>0.2754839795</v>
      </c>
      <c r="C355" s="34">
        <f>(('PRACTICE Equity Price Data'!C356/'PRACTICE Equity Price Data'!C355)-1)+C354</f>
        <v>0.3764619763</v>
      </c>
      <c r="D355" s="34">
        <f>(('PRACTICE Equity Price Data'!D356/'PRACTICE Equity Price Data'!D355)-1)+D354</f>
        <v>0.1787374225</v>
      </c>
      <c r="E355" s="34">
        <f>(('PRACTICE Equity Price Data'!E356/'PRACTICE Equity Price Data'!E355)-1)+E354</f>
        <v>0.215873892</v>
      </c>
      <c r="F355" s="3">
        <v>13.0</v>
      </c>
      <c r="G355" s="3">
        <v>260.0</v>
      </c>
      <c r="H355" s="3">
        <v>110.0</v>
      </c>
      <c r="I355" s="3">
        <v>256.0</v>
      </c>
      <c r="J355" s="3">
        <v>83.0</v>
      </c>
      <c r="K355" s="3">
        <v>188.0</v>
      </c>
      <c r="L355" s="3">
        <v>1000.0</v>
      </c>
      <c r="M355" s="3">
        <v>102.0</v>
      </c>
      <c r="N355" s="3">
        <v>200.0</v>
      </c>
      <c r="O355" s="3">
        <v>121.0</v>
      </c>
      <c r="P355" s="3">
        <v>146.0</v>
      </c>
      <c r="Q355" s="3">
        <v>80.0</v>
      </c>
      <c r="R355" s="3">
        <v>150.0</v>
      </c>
      <c r="S355" s="3">
        <v>417.0</v>
      </c>
      <c r="T355" s="3">
        <v>120.0</v>
      </c>
      <c r="U355" s="3">
        <v>80.0</v>
      </c>
      <c r="V355" s="1">
        <v>88.0</v>
      </c>
      <c r="W355" s="1">
        <v>250.0</v>
      </c>
      <c r="X355" s="1">
        <v>264.0</v>
      </c>
      <c r="Y355" s="1">
        <v>161.0</v>
      </c>
      <c r="Z355" s="1">
        <v>69.0</v>
      </c>
      <c r="AA355" s="3"/>
      <c r="AB355" s="1">
        <v>13.0</v>
      </c>
      <c r="AC355" s="1">
        <v>150.0</v>
      </c>
      <c r="AD355" s="1">
        <v>170.0</v>
      </c>
      <c r="AE355" s="1">
        <v>60.0</v>
      </c>
      <c r="AF355" s="1">
        <v>40.0</v>
      </c>
      <c r="AG355" s="1">
        <v>45.0</v>
      </c>
      <c r="AH355" s="1"/>
      <c r="AI355" s="1">
        <v>205.0</v>
      </c>
      <c r="AJ355" s="1">
        <v>60.0</v>
      </c>
      <c r="AK355" s="1">
        <v>100.0</v>
      </c>
      <c r="AL355" s="1">
        <v>175.0</v>
      </c>
      <c r="AM355" s="1">
        <v>130.0</v>
      </c>
      <c r="AN355" s="3">
        <v>47.0</v>
      </c>
      <c r="AO355" s="3">
        <v>160.0</v>
      </c>
      <c r="AP355" s="3">
        <v>70.0</v>
      </c>
      <c r="AQ355" s="3"/>
      <c r="AR355" s="1">
        <v>854.0</v>
      </c>
      <c r="AS355" s="1">
        <v>250.0</v>
      </c>
      <c r="AT355" s="1">
        <v>220.0</v>
      </c>
      <c r="AU355" s="3">
        <v>223.0</v>
      </c>
      <c r="AV355" s="1">
        <v>120.0</v>
      </c>
      <c r="AW355" s="3">
        <v>200.0</v>
      </c>
      <c r="AX355" s="3"/>
      <c r="AY355" s="3">
        <v>142.0</v>
      </c>
      <c r="AZ355" s="1">
        <v>40.0</v>
      </c>
      <c r="BA355" s="1"/>
      <c r="BB355" s="3">
        <v>225.0</v>
      </c>
      <c r="BC355" s="1">
        <v>150.0</v>
      </c>
      <c r="BD355" s="1">
        <v>190.0</v>
      </c>
      <c r="BE355" s="1">
        <v>80.0</v>
      </c>
      <c r="BF355" s="3">
        <v>328.0</v>
      </c>
      <c r="BG355" s="1">
        <v>213.0</v>
      </c>
      <c r="BH355" s="1">
        <v>23.0</v>
      </c>
      <c r="BI355" s="1">
        <v>40.0</v>
      </c>
      <c r="BJ355" s="1">
        <v>278.0</v>
      </c>
      <c r="BK355" s="3"/>
      <c r="BL355" s="1">
        <v>160.0</v>
      </c>
      <c r="BM355" s="1">
        <v>75.0</v>
      </c>
      <c r="BN355" s="32">
        <v>1802.0</v>
      </c>
      <c r="BO355" s="1">
        <v>47.0</v>
      </c>
      <c r="BP355" s="3">
        <v>48.0</v>
      </c>
      <c r="BQ355" s="1">
        <v>188.0</v>
      </c>
      <c r="BR355" s="27">
        <v>34410.0</v>
      </c>
    </row>
    <row r="356">
      <c r="A356" s="25">
        <f>'Equity Price Data'!A357</f>
        <v>45940.66667</v>
      </c>
      <c r="B356" s="34">
        <f>(('PRACTICE Equity Price Data'!B357/'PRACTICE Equity Price Data'!B356)-1)+B355</f>
        <v>0.2483723213</v>
      </c>
      <c r="C356" s="34">
        <f>(('PRACTICE Equity Price Data'!C357/'PRACTICE Equity Price Data'!C356)-1)+C355</f>
        <v>0.3408392541</v>
      </c>
      <c r="D356" s="34">
        <f>(('PRACTICE Equity Price Data'!D357/'PRACTICE Equity Price Data'!D356)-1)+D355</f>
        <v>0.1597803484</v>
      </c>
      <c r="E356" s="34">
        <f>(('PRACTICE Equity Price Data'!E357/'PRACTICE Equity Price Data'!E356)-1)+E355</f>
        <v>0.1857951104</v>
      </c>
      <c r="F356" s="3">
        <v>13.0</v>
      </c>
      <c r="G356" s="3">
        <v>260.0</v>
      </c>
      <c r="H356" s="3">
        <v>110.0</v>
      </c>
      <c r="I356" s="3">
        <v>256.0</v>
      </c>
      <c r="J356" s="3">
        <v>83.0</v>
      </c>
      <c r="K356" s="3">
        <v>188.0</v>
      </c>
      <c r="L356" s="3">
        <v>1000.0</v>
      </c>
      <c r="M356" s="3">
        <v>102.0</v>
      </c>
      <c r="N356" s="3">
        <v>200.0</v>
      </c>
      <c r="O356" s="3">
        <v>121.0</v>
      </c>
      <c r="P356" s="3">
        <v>146.0</v>
      </c>
      <c r="Q356" s="3">
        <v>80.0</v>
      </c>
      <c r="R356" s="3">
        <v>150.0</v>
      </c>
      <c r="S356" s="3">
        <v>417.0</v>
      </c>
      <c r="T356" s="3">
        <v>120.0</v>
      </c>
      <c r="U356" s="3">
        <v>80.0</v>
      </c>
      <c r="V356" s="1">
        <v>88.0</v>
      </c>
      <c r="W356" s="1">
        <v>250.0</v>
      </c>
      <c r="X356" s="1">
        <v>264.0</v>
      </c>
      <c r="Y356" s="1">
        <v>161.0</v>
      </c>
      <c r="Z356" s="1">
        <v>69.0</v>
      </c>
      <c r="AA356" s="3"/>
      <c r="AB356" s="1">
        <v>13.0</v>
      </c>
      <c r="AC356" s="1">
        <v>150.0</v>
      </c>
      <c r="AD356" s="1">
        <v>170.0</v>
      </c>
      <c r="AE356" s="1">
        <v>60.0</v>
      </c>
      <c r="AF356" s="1">
        <v>40.0</v>
      </c>
      <c r="AG356" s="1">
        <v>45.0</v>
      </c>
      <c r="AH356" s="1"/>
      <c r="AI356" s="1">
        <v>205.0</v>
      </c>
      <c r="AJ356" s="1">
        <v>60.0</v>
      </c>
      <c r="AK356" s="1">
        <v>100.0</v>
      </c>
      <c r="AL356" s="1">
        <v>175.0</v>
      </c>
      <c r="AM356" s="1">
        <v>130.0</v>
      </c>
      <c r="AN356" s="3">
        <v>47.0</v>
      </c>
      <c r="AO356" s="3">
        <v>160.0</v>
      </c>
      <c r="AP356" s="3">
        <v>70.0</v>
      </c>
      <c r="AQ356" s="3"/>
      <c r="AR356" s="1">
        <v>854.0</v>
      </c>
      <c r="AS356" s="1">
        <v>250.0</v>
      </c>
      <c r="AT356" s="1">
        <v>220.0</v>
      </c>
      <c r="AU356" s="3">
        <v>223.0</v>
      </c>
      <c r="AV356" s="1">
        <v>120.0</v>
      </c>
      <c r="AW356" s="3">
        <v>200.0</v>
      </c>
      <c r="AX356" s="3"/>
      <c r="AY356" s="3">
        <v>142.0</v>
      </c>
      <c r="AZ356" s="1">
        <v>40.0</v>
      </c>
      <c r="BA356" s="1"/>
      <c r="BB356" s="3">
        <v>225.0</v>
      </c>
      <c r="BC356" s="1">
        <v>150.0</v>
      </c>
      <c r="BD356" s="1">
        <v>190.0</v>
      </c>
      <c r="BE356" s="1">
        <v>80.0</v>
      </c>
      <c r="BF356" s="3">
        <v>328.0</v>
      </c>
      <c r="BG356" s="1">
        <v>213.0</v>
      </c>
      <c r="BH356" s="1">
        <v>23.0</v>
      </c>
      <c r="BI356" s="1">
        <v>40.0</v>
      </c>
      <c r="BJ356" s="1">
        <v>278.0</v>
      </c>
      <c r="BK356" s="3"/>
      <c r="BL356" s="1">
        <v>160.0</v>
      </c>
      <c r="BM356" s="1">
        <v>75.0</v>
      </c>
      <c r="BN356" s="32">
        <v>1802.0</v>
      </c>
      <c r="BO356" s="1">
        <v>47.0</v>
      </c>
      <c r="BP356" s="3">
        <v>48.0</v>
      </c>
      <c r="BQ356" s="1">
        <v>188.0</v>
      </c>
      <c r="BR356" s="27">
        <v>34410.0</v>
      </c>
    </row>
    <row r="357">
      <c r="A357" s="25">
        <f>'Equity Price Data'!A358</f>
        <v>45943.66667</v>
      </c>
      <c r="B357" s="34">
        <f>(('PRACTICE Equity Price Data'!B358/'PRACTICE Equity Price Data'!B357)-1)+B356</f>
        <v>0.263970924</v>
      </c>
      <c r="C357" s="34">
        <f>(('PRACTICE Equity Price Data'!C358/'PRACTICE Equity Price Data'!C357)-1)+C356</f>
        <v>0.362915029</v>
      </c>
      <c r="D357" s="34">
        <f>(('PRACTICE Equity Price Data'!D358/'PRACTICE Equity Price Data'!D357)-1)+D356</f>
        <v>0.1727087823</v>
      </c>
      <c r="E357" s="34">
        <f>(('PRACTICE Equity Price Data'!E358/'PRACTICE Equity Price Data'!E357)-1)+E356</f>
        <v>0.2137038547</v>
      </c>
      <c r="F357" s="3">
        <v>13.0</v>
      </c>
      <c r="G357" s="3">
        <v>260.0</v>
      </c>
      <c r="H357" s="3">
        <v>110.0</v>
      </c>
      <c r="I357" s="3">
        <v>256.0</v>
      </c>
      <c r="J357" s="3">
        <v>83.0</v>
      </c>
      <c r="K357" s="3">
        <v>188.0</v>
      </c>
      <c r="L357" s="3">
        <v>1000.0</v>
      </c>
      <c r="M357" s="3">
        <v>102.0</v>
      </c>
      <c r="N357" s="3">
        <v>200.0</v>
      </c>
      <c r="O357" s="3">
        <v>121.0</v>
      </c>
      <c r="P357" s="3">
        <v>146.0</v>
      </c>
      <c r="Q357" s="3">
        <v>80.0</v>
      </c>
      <c r="R357" s="3">
        <v>150.0</v>
      </c>
      <c r="S357" s="3">
        <v>417.0</v>
      </c>
      <c r="T357" s="3">
        <v>120.0</v>
      </c>
      <c r="U357" s="3">
        <v>80.0</v>
      </c>
      <c r="V357" s="1">
        <v>88.0</v>
      </c>
      <c r="W357" s="1">
        <v>250.0</v>
      </c>
      <c r="X357" s="1">
        <v>264.0</v>
      </c>
      <c r="Y357" s="1">
        <v>161.0</v>
      </c>
      <c r="Z357" s="1">
        <v>69.0</v>
      </c>
      <c r="AA357" s="3"/>
      <c r="AB357" s="1">
        <v>13.0</v>
      </c>
      <c r="AC357" s="1">
        <v>150.0</v>
      </c>
      <c r="AD357" s="1">
        <v>170.0</v>
      </c>
      <c r="AE357" s="1">
        <v>60.0</v>
      </c>
      <c r="AF357" s="1">
        <v>40.0</v>
      </c>
      <c r="AG357" s="1">
        <v>45.0</v>
      </c>
      <c r="AH357" s="1"/>
      <c r="AI357" s="1">
        <v>205.0</v>
      </c>
      <c r="AJ357" s="1">
        <v>60.0</v>
      </c>
      <c r="AK357" s="1">
        <v>100.0</v>
      </c>
      <c r="AL357" s="1">
        <v>175.0</v>
      </c>
      <c r="AM357" s="1">
        <v>130.0</v>
      </c>
      <c r="AN357" s="3">
        <v>47.0</v>
      </c>
      <c r="AO357" s="3">
        <v>160.0</v>
      </c>
      <c r="AP357" s="3">
        <v>70.0</v>
      </c>
      <c r="AQ357" s="3"/>
      <c r="AR357" s="1">
        <v>854.0</v>
      </c>
      <c r="AS357" s="1">
        <v>250.0</v>
      </c>
      <c r="AT357" s="1">
        <v>220.0</v>
      </c>
      <c r="AU357" s="3">
        <v>223.0</v>
      </c>
      <c r="AV357" s="1">
        <v>120.0</v>
      </c>
      <c r="AW357" s="3">
        <v>200.0</v>
      </c>
      <c r="AX357" s="3"/>
      <c r="AY357" s="3">
        <v>142.0</v>
      </c>
      <c r="AZ357" s="1">
        <v>40.0</v>
      </c>
      <c r="BA357" s="1"/>
      <c r="BB357" s="3">
        <v>225.0</v>
      </c>
      <c r="BC357" s="1">
        <v>150.0</v>
      </c>
      <c r="BD357" s="1">
        <v>190.0</v>
      </c>
      <c r="BE357" s="1">
        <v>80.0</v>
      </c>
      <c r="BF357" s="3">
        <v>328.0</v>
      </c>
      <c r="BG357" s="1">
        <v>213.0</v>
      </c>
      <c r="BH357" s="1">
        <v>23.0</v>
      </c>
      <c r="BI357" s="1">
        <v>40.0</v>
      </c>
      <c r="BJ357" s="1">
        <v>278.0</v>
      </c>
      <c r="BK357" s="3"/>
      <c r="BL357" s="1">
        <v>160.0</v>
      </c>
      <c r="BM357" s="1">
        <v>75.0</v>
      </c>
      <c r="BN357" s="32">
        <v>1802.0</v>
      </c>
      <c r="BO357" s="1">
        <v>47.0</v>
      </c>
      <c r="BP357" s="3">
        <v>48.0</v>
      </c>
      <c r="BQ357" s="1">
        <v>188.0</v>
      </c>
      <c r="BR357" s="27">
        <v>34410.0</v>
      </c>
    </row>
    <row r="358">
      <c r="A358" s="25">
        <f>'Equity Price Data'!A359</f>
        <v>45944.66667</v>
      </c>
      <c r="B358" s="34">
        <f>(('PRACTICE Equity Price Data'!B359/'PRACTICE Equity Price Data'!B358)-1)+B357</f>
        <v>0.2624066207</v>
      </c>
      <c r="C358" s="34">
        <f>(('PRACTICE Equity Price Data'!C359/'PRACTICE Equity Price Data'!C358)-1)+C357</f>
        <v>0.3552960393</v>
      </c>
      <c r="D358" s="34">
        <f>(('PRACTICE Equity Price Data'!D359/'PRACTICE Equity Price Data'!D358)-1)+D357</f>
        <v>0.1771127471</v>
      </c>
      <c r="E358" s="34">
        <f>(('PRACTICE Equity Price Data'!E359/'PRACTICE Equity Price Data'!E358)-1)+E357</f>
        <v>0.227549521</v>
      </c>
      <c r="F358" s="3">
        <v>13.0</v>
      </c>
      <c r="G358" s="3">
        <v>260.0</v>
      </c>
      <c r="H358" s="3">
        <v>110.0</v>
      </c>
      <c r="I358" s="3">
        <v>256.0</v>
      </c>
      <c r="J358" s="3">
        <v>83.0</v>
      </c>
      <c r="K358" s="3">
        <v>188.0</v>
      </c>
      <c r="L358" s="3">
        <v>1000.0</v>
      </c>
      <c r="M358" s="3">
        <v>102.0</v>
      </c>
      <c r="N358" s="3">
        <v>200.0</v>
      </c>
      <c r="O358" s="3">
        <v>121.0</v>
      </c>
      <c r="P358" s="3">
        <v>146.0</v>
      </c>
      <c r="Q358" s="3">
        <v>80.0</v>
      </c>
      <c r="R358" s="3">
        <v>150.0</v>
      </c>
      <c r="S358" s="3">
        <v>417.0</v>
      </c>
      <c r="T358" s="3">
        <v>120.0</v>
      </c>
      <c r="U358" s="3">
        <v>80.0</v>
      </c>
      <c r="V358" s="1">
        <v>88.0</v>
      </c>
      <c r="W358" s="1">
        <v>250.0</v>
      </c>
      <c r="X358" s="1">
        <v>264.0</v>
      </c>
      <c r="Y358" s="1">
        <v>161.0</v>
      </c>
      <c r="Z358" s="1">
        <v>69.0</v>
      </c>
      <c r="AA358" s="3"/>
      <c r="AB358" s="1">
        <v>13.0</v>
      </c>
      <c r="AC358" s="1">
        <v>150.0</v>
      </c>
      <c r="AD358" s="1">
        <v>170.0</v>
      </c>
      <c r="AE358" s="1">
        <v>60.0</v>
      </c>
      <c r="AF358" s="1">
        <v>40.0</v>
      </c>
      <c r="AG358" s="1">
        <v>45.0</v>
      </c>
      <c r="AH358" s="1"/>
      <c r="AI358" s="1">
        <v>205.0</v>
      </c>
      <c r="AJ358" s="1">
        <v>60.0</v>
      </c>
      <c r="AK358" s="1">
        <v>100.0</v>
      </c>
      <c r="AL358" s="1">
        <v>175.0</v>
      </c>
      <c r="AM358" s="1">
        <v>130.0</v>
      </c>
      <c r="AN358" s="3">
        <v>47.0</v>
      </c>
      <c r="AO358" s="3">
        <v>160.0</v>
      </c>
      <c r="AP358" s="3">
        <v>70.0</v>
      </c>
      <c r="AQ358" s="3"/>
      <c r="AR358" s="1">
        <v>854.0</v>
      </c>
      <c r="AS358" s="1">
        <v>250.0</v>
      </c>
      <c r="AT358" s="1">
        <v>220.0</v>
      </c>
      <c r="AU358" s="3">
        <v>223.0</v>
      </c>
      <c r="AV358" s="1">
        <v>120.0</v>
      </c>
      <c r="AW358" s="3">
        <v>200.0</v>
      </c>
      <c r="AX358" s="3"/>
      <c r="AY358" s="3">
        <v>142.0</v>
      </c>
      <c r="AZ358" s="1">
        <v>40.0</v>
      </c>
      <c r="BA358" s="1"/>
      <c r="BB358" s="3">
        <v>225.0</v>
      </c>
      <c r="BC358" s="1">
        <v>150.0</v>
      </c>
      <c r="BD358" s="1">
        <v>190.0</v>
      </c>
      <c r="BE358" s="1">
        <v>80.0</v>
      </c>
      <c r="BF358" s="3">
        <v>328.0</v>
      </c>
      <c r="BG358" s="1">
        <v>213.0</v>
      </c>
      <c r="BH358" s="1">
        <v>23.0</v>
      </c>
      <c r="BI358" s="1">
        <v>40.0</v>
      </c>
      <c r="BJ358" s="1">
        <v>278.0</v>
      </c>
      <c r="BK358" s="3"/>
      <c r="BL358" s="1">
        <v>160.0</v>
      </c>
      <c r="BM358" s="1">
        <v>75.0</v>
      </c>
      <c r="BN358" s="32">
        <v>1802.0</v>
      </c>
      <c r="BO358" s="1">
        <v>47.0</v>
      </c>
      <c r="BP358" s="3">
        <v>48.0</v>
      </c>
      <c r="BQ358" s="1">
        <v>188.0</v>
      </c>
      <c r="BR358" s="27">
        <v>34410.0</v>
      </c>
    </row>
    <row r="359">
      <c r="A359" s="25">
        <f>'Equity Price Data'!A360</f>
        <v>45945.66667</v>
      </c>
      <c r="B359" s="34">
        <f>(('PRACTICE Equity Price Data'!B360/'PRACTICE Equity Price Data'!B359)-1)+B358</f>
        <v>0.2664326219</v>
      </c>
      <c r="C359" s="34">
        <f>(('PRACTICE Equity Price Data'!C360/'PRACTICE Equity Price Data'!C359)-1)+C358</f>
        <v>0.3618843519</v>
      </c>
      <c r="D359" s="34">
        <f>(('PRACTICE Equity Price Data'!D360/'PRACTICE Equity Price Data'!D359)-1)+D358</f>
        <v>0.1767421002</v>
      </c>
      <c r="E359" s="34">
        <f>(('PRACTICE Equity Price Data'!E360/'PRACTICE Equity Price Data'!E359)-1)+E358</f>
        <v>0.2372670125</v>
      </c>
      <c r="F359" s="3">
        <v>13.0</v>
      </c>
      <c r="G359" s="3">
        <v>260.0</v>
      </c>
      <c r="H359" s="3">
        <v>110.0</v>
      </c>
      <c r="I359" s="3">
        <v>256.0</v>
      </c>
      <c r="J359" s="3">
        <v>83.0</v>
      </c>
      <c r="K359" s="3">
        <v>188.0</v>
      </c>
      <c r="L359" s="3">
        <v>1000.0</v>
      </c>
      <c r="M359" s="3">
        <v>102.0</v>
      </c>
      <c r="N359" s="3">
        <v>200.0</v>
      </c>
      <c r="O359" s="3">
        <v>121.0</v>
      </c>
      <c r="P359" s="3">
        <v>146.0</v>
      </c>
      <c r="Q359" s="3">
        <v>80.0</v>
      </c>
      <c r="R359" s="3">
        <v>150.0</v>
      </c>
      <c r="S359" s="3">
        <v>417.0</v>
      </c>
      <c r="T359" s="3">
        <v>120.0</v>
      </c>
      <c r="U359" s="3">
        <v>80.0</v>
      </c>
      <c r="V359" s="1">
        <v>88.0</v>
      </c>
      <c r="W359" s="1">
        <v>250.0</v>
      </c>
      <c r="X359" s="1">
        <v>264.0</v>
      </c>
      <c r="Y359" s="1">
        <v>161.0</v>
      </c>
      <c r="Z359" s="1">
        <v>69.0</v>
      </c>
      <c r="AA359" s="3"/>
      <c r="AB359" s="1">
        <v>13.0</v>
      </c>
      <c r="AC359" s="1">
        <v>150.0</v>
      </c>
      <c r="AD359" s="1">
        <v>170.0</v>
      </c>
      <c r="AE359" s="1">
        <v>60.0</v>
      </c>
      <c r="AF359" s="1">
        <v>40.0</v>
      </c>
      <c r="AG359" s="1">
        <v>45.0</v>
      </c>
      <c r="AH359" s="1"/>
      <c r="AI359" s="1">
        <v>205.0</v>
      </c>
      <c r="AJ359" s="1">
        <v>60.0</v>
      </c>
      <c r="AK359" s="1">
        <v>100.0</v>
      </c>
      <c r="AL359" s="1">
        <v>175.0</v>
      </c>
      <c r="AM359" s="1">
        <v>130.0</v>
      </c>
      <c r="AN359" s="3">
        <v>47.0</v>
      </c>
      <c r="AO359" s="3">
        <v>160.0</v>
      </c>
      <c r="AP359" s="3">
        <v>70.0</v>
      </c>
      <c r="AQ359" s="3"/>
      <c r="AR359" s="1">
        <v>854.0</v>
      </c>
      <c r="AS359" s="1">
        <v>250.0</v>
      </c>
      <c r="AT359" s="1">
        <v>220.0</v>
      </c>
      <c r="AU359" s="3">
        <v>223.0</v>
      </c>
      <c r="AV359" s="1">
        <v>120.0</v>
      </c>
      <c r="AW359" s="3">
        <v>200.0</v>
      </c>
      <c r="AX359" s="3"/>
      <c r="AY359" s="3">
        <v>142.0</v>
      </c>
      <c r="AZ359" s="1">
        <v>40.0</v>
      </c>
      <c r="BA359" s="1"/>
      <c r="BB359" s="3">
        <v>225.0</v>
      </c>
      <c r="BC359" s="1">
        <v>150.0</v>
      </c>
      <c r="BD359" s="1">
        <v>190.0</v>
      </c>
      <c r="BE359" s="1">
        <v>80.0</v>
      </c>
      <c r="BF359" s="3">
        <v>328.0</v>
      </c>
      <c r="BG359" s="1">
        <v>213.0</v>
      </c>
      <c r="BH359" s="1">
        <v>23.0</v>
      </c>
      <c r="BI359" s="1">
        <v>40.0</v>
      </c>
      <c r="BJ359" s="1">
        <v>278.0</v>
      </c>
      <c r="BK359" s="3"/>
      <c r="BL359" s="1">
        <v>160.0</v>
      </c>
      <c r="BM359" s="1">
        <v>75.0</v>
      </c>
      <c r="BN359" s="32">
        <v>1802.0</v>
      </c>
      <c r="BO359" s="1">
        <v>47.0</v>
      </c>
      <c r="BP359" s="3">
        <v>48.0</v>
      </c>
      <c r="BQ359" s="1">
        <v>188.0</v>
      </c>
      <c r="BR359" s="27">
        <v>34410.0</v>
      </c>
    </row>
    <row r="360">
      <c r="A360" s="25">
        <f>'Equity Price Data'!A361</f>
        <v>45946.66667</v>
      </c>
      <c r="B360" s="34">
        <f>(('PRACTICE Equity Price Data'!B361/'PRACTICE Equity Price Data'!B360)-1)+B359</f>
        <v>0.2601382699</v>
      </c>
      <c r="C360" s="34">
        <f>(('PRACTICE Equity Price Data'!C361/'PRACTICE Equity Price Data'!C360)-1)+C359</f>
        <v>0.3571406545</v>
      </c>
      <c r="D360" s="34">
        <f>(('PRACTICE Equity Price Data'!D361/'PRACTICE Equity Price Data'!D360)-1)+D359</f>
        <v>0.1702329444</v>
      </c>
      <c r="E360" s="34">
        <f>(('PRACTICE Equity Price Data'!E361/'PRACTICE Equity Price Data'!E360)-1)+E359</f>
        <v>0.2163363646</v>
      </c>
      <c r="F360" s="3">
        <v>13.0</v>
      </c>
      <c r="G360" s="3">
        <v>260.0</v>
      </c>
      <c r="H360" s="3">
        <v>110.0</v>
      </c>
      <c r="I360" s="3">
        <v>256.0</v>
      </c>
      <c r="J360" s="3">
        <v>83.0</v>
      </c>
      <c r="K360" s="3">
        <v>188.0</v>
      </c>
      <c r="L360" s="3">
        <v>1000.0</v>
      </c>
      <c r="M360" s="3">
        <v>102.0</v>
      </c>
      <c r="N360" s="3">
        <v>200.0</v>
      </c>
      <c r="O360" s="3">
        <v>121.0</v>
      </c>
      <c r="P360" s="3">
        <v>146.0</v>
      </c>
      <c r="Q360" s="3">
        <v>80.0</v>
      </c>
      <c r="R360" s="3">
        <v>150.0</v>
      </c>
      <c r="S360" s="3">
        <v>417.0</v>
      </c>
      <c r="T360" s="3">
        <v>120.0</v>
      </c>
      <c r="U360" s="3">
        <v>80.0</v>
      </c>
      <c r="V360" s="1">
        <v>88.0</v>
      </c>
      <c r="W360" s="1">
        <v>250.0</v>
      </c>
      <c r="X360" s="1">
        <v>264.0</v>
      </c>
      <c r="Y360" s="1">
        <v>161.0</v>
      </c>
      <c r="Z360" s="1">
        <v>69.0</v>
      </c>
      <c r="AA360" s="3"/>
      <c r="AB360" s="1">
        <v>13.0</v>
      </c>
      <c r="AC360" s="1">
        <v>150.0</v>
      </c>
      <c r="AD360" s="1">
        <v>170.0</v>
      </c>
      <c r="AE360" s="1">
        <v>60.0</v>
      </c>
      <c r="AF360" s="1">
        <v>40.0</v>
      </c>
      <c r="AG360" s="1">
        <v>45.0</v>
      </c>
      <c r="AH360" s="1"/>
      <c r="AI360" s="1">
        <v>205.0</v>
      </c>
      <c r="AJ360" s="1">
        <v>60.0</v>
      </c>
      <c r="AK360" s="1">
        <v>100.0</v>
      </c>
      <c r="AL360" s="1">
        <v>175.0</v>
      </c>
      <c r="AM360" s="1">
        <v>130.0</v>
      </c>
      <c r="AN360" s="3">
        <v>47.0</v>
      </c>
      <c r="AO360" s="3">
        <v>160.0</v>
      </c>
      <c r="AP360" s="3">
        <v>70.0</v>
      </c>
      <c r="AQ360" s="3"/>
      <c r="AR360" s="1">
        <v>854.0</v>
      </c>
      <c r="AS360" s="1">
        <v>250.0</v>
      </c>
      <c r="AT360" s="1">
        <v>220.0</v>
      </c>
      <c r="AU360" s="3">
        <v>223.0</v>
      </c>
      <c r="AV360" s="1">
        <v>120.0</v>
      </c>
      <c r="AW360" s="3">
        <v>200.0</v>
      </c>
      <c r="AX360" s="3"/>
      <c r="AY360" s="3">
        <v>142.0</v>
      </c>
      <c r="AZ360" s="1">
        <v>40.0</v>
      </c>
      <c r="BA360" s="1"/>
      <c r="BB360" s="3">
        <v>225.0</v>
      </c>
      <c r="BC360" s="1">
        <v>150.0</v>
      </c>
      <c r="BD360" s="1">
        <v>190.0</v>
      </c>
      <c r="BE360" s="1">
        <v>80.0</v>
      </c>
      <c r="BF360" s="3">
        <v>328.0</v>
      </c>
      <c r="BG360" s="1">
        <v>213.0</v>
      </c>
      <c r="BH360" s="1">
        <v>23.0</v>
      </c>
      <c r="BI360" s="1">
        <v>40.0</v>
      </c>
      <c r="BJ360" s="1">
        <v>278.0</v>
      </c>
      <c r="BK360" s="3"/>
      <c r="BL360" s="1">
        <v>160.0</v>
      </c>
      <c r="BM360" s="1">
        <v>75.0</v>
      </c>
      <c r="BN360" s="32">
        <v>1802.0</v>
      </c>
      <c r="BO360" s="1">
        <v>47.0</v>
      </c>
      <c r="BP360" s="3">
        <v>48.0</v>
      </c>
      <c r="BQ360" s="1">
        <v>188.0</v>
      </c>
      <c r="BR360" s="27">
        <v>34410.0</v>
      </c>
    </row>
    <row r="361">
      <c r="A361" s="25">
        <f>'Equity Price Data'!A362</f>
        <v>45947.66667</v>
      </c>
      <c r="B361" s="34">
        <f>(('PRACTICE Equity Price Data'!B362/'PRACTICE Equity Price Data'!B361)-1)+B360</f>
        <v>0.2654089942</v>
      </c>
      <c r="C361" s="34">
        <f>(('PRACTICE Equity Price Data'!C362/'PRACTICE Equity Price Data'!C361)-1)+C360</f>
        <v>0.3623457422</v>
      </c>
      <c r="D361" s="34">
        <f>(('PRACTICE Equity Price Data'!D362/'PRACTICE Equity Price Data'!D361)-1)+D360</f>
        <v>0.1754202868</v>
      </c>
      <c r="E361" s="34">
        <f>(('PRACTICE Equity Price Data'!E362/'PRACTICE Equity Price Data'!E361)-1)+E360</f>
        <v>0.2103209856</v>
      </c>
      <c r="F361" s="3">
        <v>13.0</v>
      </c>
      <c r="G361" s="3">
        <v>260.0</v>
      </c>
      <c r="H361" s="3">
        <v>110.0</v>
      </c>
      <c r="I361" s="3">
        <v>256.0</v>
      </c>
      <c r="J361" s="3">
        <v>83.0</v>
      </c>
      <c r="K361" s="3">
        <v>188.0</v>
      </c>
      <c r="L361" s="3">
        <v>1000.0</v>
      </c>
      <c r="M361" s="3">
        <v>102.0</v>
      </c>
      <c r="N361" s="3">
        <v>200.0</v>
      </c>
      <c r="O361" s="3">
        <v>121.0</v>
      </c>
      <c r="P361" s="3">
        <v>146.0</v>
      </c>
      <c r="Q361" s="3">
        <v>80.0</v>
      </c>
      <c r="R361" s="3">
        <v>150.0</v>
      </c>
      <c r="S361" s="3">
        <v>417.0</v>
      </c>
      <c r="T361" s="3">
        <v>120.0</v>
      </c>
      <c r="U361" s="3">
        <v>80.0</v>
      </c>
      <c r="V361" s="1">
        <v>88.0</v>
      </c>
      <c r="W361" s="1">
        <v>250.0</v>
      </c>
      <c r="X361" s="1">
        <v>264.0</v>
      </c>
      <c r="Y361" s="1">
        <v>161.0</v>
      </c>
      <c r="Z361" s="1">
        <v>69.0</v>
      </c>
      <c r="AA361" s="3"/>
      <c r="AB361" s="1">
        <v>13.0</v>
      </c>
      <c r="AC361" s="1">
        <v>150.0</v>
      </c>
      <c r="AD361" s="1">
        <v>170.0</v>
      </c>
      <c r="AE361" s="1">
        <v>60.0</v>
      </c>
      <c r="AF361" s="1">
        <v>40.0</v>
      </c>
      <c r="AG361" s="1">
        <v>45.0</v>
      </c>
      <c r="AH361" s="1"/>
      <c r="AI361" s="1">
        <v>205.0</v>
      </c>
      <c r="AJ361" s="1">
        <v>60.0</v>
      </c>
      <c r="AK361" s="1">
        <v>100.0</v>
      </c>
      <c r="AL361" s="1">
        <v>175.0</v>
      </c>
      <c r="AM361" s="1">
        <v>130.0</v>
      </c>
      <c r="AN361" s="3">
        <v>47.0</v>
      </c>
      <c r="AO361" s="3">
        <v>160.0</v>
      </c>
      <c r="AP361" s="3">
        <v>70.0</v>
      </c>
      <c r="AQ361" s="3"/>
      <c r="AR361" s="1">
        <v>854.0</v>
      </c>
      <c r="AS361" s="1">
        <v>250.0</v>
      </c>
      <c r="AT361" s="1">
        <v>220.0</v>
      </c>
      <c r="AU361" s="3">
        <v>223.0</v>
      </c>
      <c r="AV361" s="1">
        <v>120.0</v>
      </c>
      <c r="AW361" s="3">
        <v>200.0</v>
      </c>
      <c r="AX361" s="3"/>
      <c r="AY361" s="3">
        <v>142.0</v>
      </c>
      <c r="AZ361" s="1">
        <v>40.0</v>
      </c>
      <c r="BA361" s="1"/>
      <c r="BB361" s="3">
        <v>225.0</v>
      </c>
      <c r="BC361" s="1">
        <v>150.0</v>
      </c>
      <c r="BD361" s="1">
        <v>190.0</v>
      </c>
      <c r="BE361" s="1">
        <v>80.0</v>
      </c>
      <c r="BF361" s="3">
        <v>328.0</v>
      </c>
      <c r="BG361" s="1">
        <v>213.0</v>
      </c>
      <c r="BH361" s="1">
        <v>23.0</v>
      </c>
      <c r="BI361" s="1">
        <v>40.0</v>
      </c>
      <c r="BJ361" s="1">
        <v>278.0</v>
      </c>
      <c r="BK361" s="3"/>
      <c r="BL361" s="1">
        <v>160.0</v>
      </c>
      <c r="BM361" s="1">
        <v>75.0</v>
      </c>
      <c r="BN361" s="32">
        <v>1802.0</v>
      </c>
      <c r="BO361" s="1">
        <v>47.0</v>
      </c>
      <c r="BP361" s="3">
        <v>48.0</v>
      </c>
      <c r="BQ361" s="1">
        <v>188.0</v>
      </c>
      <c r="BR361" s="27">
        <v>34410.0</v>
      </c>
    </row>
    <row r="362">
      <c r="A362" s="25">
        <f>'Equity Price Data'!A363</f>
        <v>45950.66667</v>
      </c>
      <c r="B362" s="34">
        <f>(('PRACTICE Equity Price Data'!B363/'PRACTICE Equity Price Data'!B362)-1)+B361</f>
        <v>0.2760812471</v>
      </c>
      <c r="C362" s="34">
        <f>(('PRACTICE Equity Price Data'!C363/'PRACTICE Equity Price Data'!C362)-1)+C361</f>
        <v>0.376038876</v>
      </c>
      <c r="D362" s="34">
        <f>(('PRACTICE Equity Price Data'!D363/'PRACTICE Equity Price Data'!D362)-1)+D361</f>
        <v>0.1865907389</v>
      </c>
      <c r="E362" s="34">
        <f>(('PRACTICE Equity Price Data'!E363/'PRACTICE Equity Price Data'!E362)-1)+E361</f>
        <v>0.2297894564</v>
      </c>
      <c r="F362" s="3">
        <v>13.0</v>
      </c>
      <c r="G362" s="3">
        <v>260.0</v>
      </c>
      <c r="H362" s="3">
        <v>110.0</v>
      </c>
      <c r="I362" s="3">
        <v>256.0</v>
      </c>
      <c r="J362" s="3">
        <v>83.0</v>
      </c>
      <c r="K362" s="3">
        <v>188.0</v>
      </c>
      <c r="L362" s="3">
        <v>1000.0</v>
      </c>
      <c r="M362" s="3">
        <v>102.0</v>
      </c>
      <c r="N362" s="3">
        <v>200.0</v>
      </c>
      <c r="O362" s="3">
        <v>121.0</v>
      </c>
      <c r="P362" s="3">
        <v>146.0</v>
      </c>
      <c r="Q362" s="3">
        <v>80.0</v>
      </c>
      <c r="R362" s="3">
        <v>150.0</v>
      </c>
      <c r="S362" s="3">
        <v>417.0</v>
      </c>
      <c r="T362" s="3">
        <v>120.0</v>
      </c>
      <c r="U362" s="3">
        <v>80.0</v>
      </c>
      <c r="V362" s="1">
        <v>88.0</v>
      </c>
      <c r="W362" s="1">
        <v>250.0</v>
      </c>
      <c r="X362" s="1">
        <v>264.0</v>
      </c>
      <c r="Y362" s="1">
        <v>161.0</v>
      </c>
      <c r="Z362" s="1">
        <v>69.0</v>
      </c>
      <c r="AA362" s="3"/>
      <c r="AB362" s="1">
        <v>13.0</v>
      </c>
      <c r="AC362" s="1">
        <v>150.0</v>
      </c>
      <c r="AD362" s="1">
        <v>170.0</v>
      </c>
      <c r="AE362" s="1">
        <v>60.0</v>
      </c>
      <c r="AF362" s="1">
        <v>40.0</v>
      </c>
      <c r="AG362" s="1">
        <v>45.0</v>
      </c>
      <c r="AH362" s="1"/>
      <c r="AI362" s="1">
        <v>205.0</v>
      </c>
      <c r="AJ362" s="1">
        <v>60.0</v>
      </c>
      <c r="AK362" s="1">
        <v>100.0</v>
      </c>
      <c r="AL362" s="1">
        <v>175.0</v>
      </c>
      <c r="AM362" s="1">
        <v>130.0</v>
      </c>
      <c r="AN362" s="3">
        <v>47.0</v>
      </c>
      <c r="AO362" s="3">
        <v>160.0</v>
      </c>
      <c r="AP362" s="3">
        <v>70.0</v>
      </c>
      <c r="AQ362" s="3"/>
      <c r="AR362" s="1">
        <v>854.0</v>
      </c>
      <c r="AS362" s="1">
        <v>250.0</v>
      </c>
      <c r="AT362" s="1">
        <v>220.0</v>
      </c>
      <c r="AU362" s="3">
        <v>223.0</v>
      </c>
      <c r="AV362" s="1">
        <v>120.0</v>
      </c>
      <c r="AW362" s="3">
        <v>200.0</v>
      </c>
      <c r="AX362" s="3"/>
      <c r="AY362" s="3">
        <v>142.0</v>
      </c>
      <c r="AZ362" s="1">
        <v>40.0</v>
      </c>
      <c r="BA362" s="1"/>
      <c r="BB362" s="3">
        <v>225.0</v>
      </c>
      <c r="BC362" s="1">
        <v>150.0</v>
      </c>
      <c r="BD362" s="1">
        <v>190.0</v>
      </c>
      <c r="BE362" s="1">
        <v>80.0</v>
      </c>
      <c r="BF362" s="3">
        <v>328.0</v>
      </c>
      <c r="BG362" s="1">
        <v>213.0</v>
      </c>
      <c r="BH362" s="1">
        <v>23.0</v>
      </c>
      <c r="BI362" s="1">
        <v>40.0</v>
      </c>
      <c r="BJ362" s="1">
        <v>278.0</v>
      </c>
      <c r="BK362" s="3"/>
      <c r="BL362" s="1">
        <v>160.0</v>
      </c>
      <c r="BM362" s="1">
        <v>75.0</v>
      </c>
      <c r="BN362" s="32">
        <v>1802.0</v>
      </c>
      <c r="BO362" s="1">
        <v>47.0</v>
      </c>
      <c r="BP362" s="3">
        <v>48.0</v>
      </c>
      <c r="BQ362" s="1">
        <v>188.0</v>
      </c>
      <c r="BR362" s="27">
        <v>68782.0</v>
      </c>
    </row>
    <row r="363">
      <c r="A363" s="25">
        <f>'Equity Price Data'!A364</f>
        <v>45951.66667</v>
      </c>
      <c r="B363" s="34">
        <f>(('PRACTICE Equity Price Data'!B364/'PRACTICE Equity Price Data'!B363)-1)+B362</f>
        <v>0.2761139116</v>
      </c>
      <c r="C363" s="34">
        <f>(('PRACTICE Equity Price Data'!C364/'PRACTICE Equity Price Data'!C363)-1)+C362</f>
        <v>0.3744351729</v>
      </c>
      <c r="D363" s="34">
        <f>(('PRACTICE Equity Price Data'!D364/'PRACTICE Equity Price Data'!D363)-1)+D362</f>
        <v>0.1912616012</v>
      </c>
      <c r="E363" s="34">
        <f>(('PRACTICE Equity Price Data'!E364/'PRACTICE Equity Price Data'!E363)-1)+E362</f>
        <v>0.2249012805</v>
      </c>
      <c r="F363" s="3">
        <v>13.0</v>
      </c>
      <c r="G363" s="3">
        <v>260.0</v>
      </c>
      <c r="H363" s="3">
        <v>110.0</v>
      </c>
      <c r="I363" s="3">
        <v>256.0</v>
      </c>
      <c r="J363" s="3">
        <v>83.0</v>
      </c>
      <c r="K363" s="3">
        <v>188.0</v>
      </c>
      <c r="L363" s="3">
        <v>1000.0</v>
      </c>
      <c r="M363" s="3">
        <v>102.0</v>
      </c>
      <c r="N363" s="3">
        <v>200.0</v>
      </c>
      <c r="O363" s="3">
        <v>121.0</v>
      </c>
      <c r="P363" s="3">
        <v>146.0</v>
      </c>
      <c r="Q363" s="3">
        <v>80.0</v>
      </c>
      <c r="R363" s="3">
        <v>150.0</v>
      </c>
      <c r="S363" s="3">
        <v>417.0</v>
      </c>
      <c r="T363" s="3">
        <v>120.0</v>
      </c>
      <c r="U363" s="3">
        <v>80.0</v>
      </c>
      <c r="V363" s="1">
        <v>88.0</v>
      </c>
      <c r="W363" s="1">
        <v>250.0</v>
      </c>
      <c r="X363" s="1">
        <v>264.0</v>
      </c>
      <c r="Y363" s="1">
        <v>161.0</v>
      </c>
      <c r="Z363" s="1">
        <v>69.0</v>
      </c>
      <c r="AA363" s="3"/>
      <c r="AB363" s="1">
        <v>13.0</v>
      </c>
      <c r="AC363" s="1">
        <v>150.0</v>
      </c>
      <c r="AD363" s="1">
        <v>170.0</v>
      </c>
      <c r="AE363" s="1">
        <v>60.0</v>
      </c>
      <c r="AF363" s="1">
        <v>40.0</v>
      </c>
      <c r="AG363" s="1">
        <v>45.0</v>
      </c>
      <c r="AH363" s="1"/>
      <c r="AI363" s="1">
        <v>205.0</v>
      </c>
      <c r="AJ363" s="1">
        <v>60.0</v>
      </c>
      <c r="AK363" s="1">
        <v>100.0</v>
      </c>
      <c r="AL363" s="1">
        <v>175.0</v>
      </c>
      <c r="AM363" s="1">
        <v>130.0</v>
      </c>
      <c r="AN363" s="3">
        <v>47.0</v>
      </c>
      <c r="AO363" s="3">
        <v>160.0</v>
      </c>
      <c r="AP363" s="3">
        <v>70.0</v>
      </c>
      <c r="AQ363" s="3"/>
      <c r="AR363" s="1">
        <v>854.0</v>
      </c>
      <c r="AS363" s="1">
        <v>250.0</v>
      </c>
      <c r="AT363" s="1">
        <v>220.0</v>
      </c>
      <c r="AU363" s="3">
        <v>223.0</v>
      </c>
      <c r="AV363" s="1">
        <v>120.0</v>
      </c>
      <c r="AW363" s="3">
        <v>200.0</v>
      </c>
      <c r="AX363" s="3"/>
      <c r="AY363" s="3">
        <v>142.0</v>
      </c>
      <c r="AZ363" s="1">
        <v>40.0</v>
      </c>
      <c r="BA363" s="1"/>
      <c r="BB363" s="3">
        <v>225.0</v>
      </c>
      <c r="BC363" s="1">
        <v>150.0</v>
      </c>
      <c r="BD363" s="1">
        <v>190.0</v>
      </c>
      <c r="BE363" s="1">
        <v>80.0</v>
      </c>
      <c r="BF363" s="3">
        <v>328.0</v>
      </c>
      <c r="BG363" s="1">
        <v>213.0</v>
      </c>
      <c r="BH363" s="1">
        <v>23.0</v>
      </c>
      <c r="BI363" s="1">
        <v>40.0</v>
      </c>
      <c r="BJ363" s="1">
        <v>278.0</v>
      </c>
      <c r="BK363" s="3"/>
      <c r="BL363" s="1">
        <v>160.0</v>
      </c>
      <c r="BM363" s="1">
        <v>75.0</v>
      </c>
      <c r="BN363" s="32">
        <v>1802.0</v>
      </c>
      <c r="BO363" s="1">
        <v>47.0</v>
      </c>
      <c r="BP363" s="3">
        <v>48.0</v>
      </c>
      <c r="BQ363" s="1">
        <v>188.0</v>
      </c>
      <c r="BR363" s="27">
        <v>68782.0</v>
      </c>
    </row>
    <row r="364">
      <c r="A364" s="25">
        <f>'Equity Price Data'!A365</f>
        <v>45952.66667</v>
      </c>
      <c r="B364" s="34">
        <f>(('PRACTICE Equity Price Data'!B365/'PRACTICE Equity Price Data'!B364)-1)+B363</f>
        <v>0.2707764013</v>
      </c>
      <c r="C364" s="34">
        <f>(('PRACTICE Equity Price Data'!C365/'PRACTICE Equity Price Data'!C364)-1)+C363</f>
        <v>0.3651438483</v>
      </c>
      <c r="D364" s="34">
        <f>(('PRACTICE Equity Price Data'!D365/'PRACTICE Equity Price Data'!D364)-1)+D363</f>
        <v>0.1841367881</v>
      </c>
      <c r="E364" s="34">
        <f>(('PRACTICE Equity Price Data'!E365/'PRACTICE Equity Price Data'!E364)-1)+E363</f>
        <v>0.2103737469</v>
      </c>
      <c r="F364" s="3">
        <v>13.0</v>
      </c>
      <c r="G364" s="3">
        <v>260.0</v>
      </c>
      <c r="H364" s="3">
        <v>110.0</v>
      </c>
      <c r="I364" s="3">
        <v>256.0</v>
      </c>
      <c r="J364" s="3">
        <v>83.0</v>
      </c>
      <c r="K364" s="3">
        <v>188.0</v>
      </c>
      <c r="L364" s="3">
        <v>1000.0</v>
      </c>
      <c r="M364" s="3">
        <v>102.0</v>
      </c>
      <c r="N364" s="3">
        <v>200.0</v>
      </c>
      <c r="O364" s="3">
        <v>121.0</v>
      </c>
      <c r="P364" s="3">
        <v>146.0</v>
      </c>
      <c r="Q364" s="3">
        <v>80.0</v>
      </c>
      <c r="R364" s="3">
        <v>150.0</v>
      </c>
      <c r="S364" s="3">
        <v>417.0</v>
      </c>
      <c r="T364" s="3">
        <v>120.0</v>
      </c>
      <c r="U364" s="3">
        <v>80.0</v>
      </c>
      <c r="V364" s="1">
        <v>88.0</v>
      </c>
      <c r="W364" s="1">
        <v>250.0</v>
      </c>
      <c r="X364" s="1">
        <v>264.0</v>
      </c>
      <c r="Y364" s="1">
        <v>161.0</v>
      </c>
      <c r="Z364" s="1">
        <v>69.0</v>
      </c>
      <c r="AA364" s="3"/>
      <c r="AB364" s="1">
        <v>13.0</v>
      </c>
      <c r="AC364" s="1">
        <v>150.0</v>
      </c>
      <c r="AD364" s="1">
        <v>170.0</v>
      </c>
      <c r="AE364" s="1">
        <v>60.0</v>
      </c>
      <c r="AF364" s="1">
        <v>40.0</v>
      </c>
      <c r="AG364" s="1">
        <v>45.0</v>
      </c>
      <c r="AH364" s="1"/>
      <c r="AI364" s="1">
        <v>205.0</v>
      </c>
      <c r="AJ364" s="1">
        <v>60.0</v>
      </c>
      <c r="AK364" s="1">
        <v>100.0</v>
      </c>
      <c r="AL364" s="1">
        <v>175.0</v>
      </c>
      <c r="AM364" s="1">
        <v>130.0</v>
      </c>
      <c r="AN364" s="3">
        <v>47.0</v>
      </c>
      <c r="AO364" s="3">
        <v>160.0</v>
      </c>
      <c r="AP364" s="3">
        <v>70.0</v>
      </c>
      <c r="AQ364" s="3"/>
      <c r="AR364" s="1">
        <v>854.0</v>
      </c>
      <c r="AS364" s="1">
        <v>250.0</v>
      </c>
      <c r="AT364" s="1">
        <v>220.0</v>
      </c>
      <c r="AU364" s="3">
        <v>223.0</v>
      </c>
      <c r="AV364" s="1">
        <v>120.0</v>
      </c>
      <c r="AW364" s="3">
        <v>200.0</v>
      </c>
      <c r="AX364" s="3"/>
      <c r="AY364" s="3">
        <v>142.0</v>
      </c>
      <c r="AZ364" s="1">
        <v>40.0</v>
      </c>
      <c r="BA364" s="1"/>
      <c r="BB364" s="3">
        <v>225.0</v>
      </c>
      <c r="BC364" s="1">
        <v>150.0</v>
      </c>
      <c r="BD364" s="1">
        <v>190.0</v>
      </c>
      <c r="BE364" s="1">
        <v>80.0</v>
      </c>
      <c r="BF364" s="3">
        <v>328.0</v>
      </c>
      <c r="BG364" s="1">
        <v>213.0</v>
      </c>
      <c r="BH364" s="1">
        <v>23.0</v>
      </c>
      <c r="BI364" s="1">
        <v>40.0</v>
      </c>
      <c r="BJ364" s="1">
        <v>278.0</v>
      </c>
      <c r="BK364" s="3"/>
      <c r="BL364" s="1">
        <v>160.0</v>
      </c>
      <c r="BM364" s="1">
        <v>75.0</v>
      </c>
      <c r="BN364" s="32">
        <v>1802.0</v>
      </c>
      <c r="BO364" s="1">
        <v>47.0</v>
      </c>
      <c r="BP364" s="3">
        <v>48.0</v>
      </c>
      <c r="BQ364" s="1">
        <v>188.0</v>
      </c>
      <c r="BR364" s="27">
        <v>68782.0</v>
      </c>
    </row>
    <row r="365">
      <c r="A365" s="25">
        <f>'Equity Price Data'!A366</f>
        <v>45953.66667</v>
      </c>
      <c r="B365" s="34">
        <f>(('PRACTICE Equity Price Data'!B366/'PRACTICE Equity Price Data'!B365)-1)+B364</f>
        <v>0.2766037888</v>
      </c>
      <c r="C365" s="34">
        <f>(('PRACTICE Equity Price Data'!C366/'PRACTICE Equity Price Data'!C365)-1)+C364</f>
        <v>0.3740003327</v>
      </c>
      <c r="D365" s="34">
        <f>(('PRACTICE Equity Price Data'!D366/'PRACTICE Equity Price Data'!D365)-1)+D364</f>
        <v>0.1872318457</v>
      </c>
      <c r="E365" s="34">
        <f>(('PRACTICE Equity Price Data'!E366/'PRACTICE Equity Price Data'!E365)-1)+E364</f>
        <v>0.2230636777</v>
      </c>
      <c r="F365" s="3">
        <v>13.0</v>
      </c>
      <c r="G365" s="3">
        <v>260.0</v>
      </c>
      <c r="H365" s="3">
        <v>110.0</v>
      </c>
      <c r="I365" s="3">
        <v>256.0</v>
      </c>
      <c r="J365" s="3">
        <v>83.0</v>
      </c>
      <c r="K365" s="3">
        <v>188.0</v>
      </c>
      <c r="L365" s="3">
        <v>1000.0</v>
      </c>
      <c r="M365" s="3">
        <v>102.0</v>
      </c>
      <c r="N365" s="3">
        <v>200.0</v>
      </c>
      <c r="O365" s="3">
        <v>121.0</v>
      </c>
      <c r="P365" s="3">
        <v>146.0</v>
      </c>
      <c r="Q365" s="3">
        <v>80.0</v>
      </c>
      <c r="R365" s="3">
        <v>150.0</v>
      </c>
      <c r="S365" s="3">
        <v>417.0</v>
      </c>
      <c r="T365" s="3">
        <v>120.0</v>
      </c>
      <c r="U365" s="3">
        <v>80.0</v>
      </c>
      <c r="V365" s="1">
        <v>88.0</v>
      </c>
      <c r="W365" s="1">
        <v>250.0</v>
      </c>
      <c r="X365" s="1">
        <v>264.0</v>
      </c>
      <c r="Y365" s="1">
        <v>161.0</v>
      </c>
      <c r="Z365" s="1">
        <v>69.0</v>
      </c>
      <c r="AA365" s="3"/>
      <c r="AB365" s="1">
        <v>13.0</v>
      </c>
      <c r="AC365" s="1">
        <v>150.0</v>
      </c>
      <c r="AD365" s="1">
        <v>170.0</v>
      </c>
      <c r="AE365" s="1">
        <v>60.0</v>
      </c>
      <c r="AF365" s="1">
        <v>40.0</v>
      </c>
      <c r="AG365" s="1">
        <v>45.0</v>
      </c>
      <c r="AH365" s="1"/>
      <c r="AI365" s="1">
        <v>205.0</v>
      </c>
      <c r="AJ365" s="1">
        <v>60.0</v>
      </c>
      <c r="AK365" s="1">
        <v>100.0</v>
      </c>
      <c r="AL365" s="1">
        <v>175.0</v>
      </c>
      <c r="AM365" s="1">
        <v>130.0</v>
      </c>
      <c r="AN365" s="3">
        <v>47.0</v>
      </c>
      <c r="AO365" s="3">
        <v>160.0</v>
      </c>
      <c r="AP365" s="3">
        <v>70.0</v>
      </c>
      <c r="AQ365" s="3"/>
      <c r="AR365" s="1">
        <v>854.0</v>
      </c>
      <c r="AS365" s="1">
        <v>250.0</v>
      </c>
      <c r="AT365" s="1">
        <v>220.0</v>
      </c>
      <c r="AU365" s="3">
        <v>223.0</v>
      </c>
      <c r="AV365" s="1">
        <v>120.0</v>
      </c>
      <c r="AW365" s="3">
        <v>200.0</v>
      </c>
      <c r="AX365" s="3"/>
      <c r="AY365" s="3">
        <v>142.0</v>
      </c>
      <c r="AZ365" s="1">
        <v>40.0</v>
      </c>
      <c r="BA365" s="1"/>
      <c r="BB365" s="3">
        <v>225.0</v>
      </c>
      <c r="BC365" s="1">
        <v>150.0</v>
      </c>
      <c r="BD365" s="1">
        <v>190.0</v>
      </c>
      <c r="BE365" s="1">
        <v>80.0</v>
      </c>
      <c r="BF365" s="3">
        <v>328.0</v>
      </c>
      <c r="BG365" s="1">
        <v>213.0</v>
      </c>
      <c r="BH365" s="1">
        <v>23.0</v>
      </c>
      <c r="BI365" s="1">
        <v>40.0</v>
      </c>
      <c r="BJ365" s="1">
        <v>278.0</v>
      </c>
      <c r="BK365" s="3"/>
      <c r="BL365" s="1">
        <v>160.0</v>
      </c>
      <c r="BM365" s="1">
        <v>75.0</v>
      </c>
      <c r="BN365" s="32">
        <v>1802.0</v>
      </c>
      <c r="BO365" s="1">
        <v>47.0</v>
      </c>
      <c r="BP365" s="3">
        <v>48.0</v>
      </c>
      <c r="BQ365" s="1">
        <v>188.0</v>
      </c>
      <c r="BR365" s="27">
        <v>68782.0</v>
      </c>
    </row>
    <row r="366">
      <c r="A366" s="25">
        <f>'Equity Price Data'!A367</f>
        <v>45954.66667</v>
      </c>
      <c r="B366" s="34">
        <f>(('PRACTICE Equity Price Data'!B367/'PRACTICE Equity Price Data'!B366)-1)+B365</f>
        <v>0.2845062114</v>
      </c>
      <c r="C366" s="34">
        <f>(('PRACTICE Equity Price Data'!C367/'PRACTICE Equity Price Data'!C366)-1)+C365</f>
        <v>0.3854671749</v>
      </c>
      <c r="D366" s="34">
        <f>(('PRACTICE Equity Price Data'!D367/'PRACTICE Equity Price Data'!D366)-1)+D365</f>
        <v>0.1973423398</v>
      </c>
      <c r="E366" s="34">
        <f>(('PRACTICE Equity Price Data'!E367/'PRACTICE Equity Price Data'!E366)-1)+E365</f>
        <v>0.235473754</v>
      </c>
      <c r="F366" s="3">
        <v>13.0</v>
      </c>
      <c r="G366" s="3">
        <v>260.0</v>
      </c>
      <c r="H366" s="3">
        <v>110.0</v>
      </c>
      <c r="I366" s="3">
        <v>256.0</v>
      </c>
      <c r="J366" s="3">
        <v>83.0</v>
      </c>
      <c r="K366" s="3">
        <v>188.0</v>
      </c>
      <c r="L366" s="3">
        <v>1000.0</v>
      </c>
      <c r="M366" s="3">
        <v>102.0</v>
      </c>
      <c r="N366" s="3">
        <v>200.0</v>
      </c>
      <c r="O366" s="3">
        <v>121.0</v>
      </c>
      <c r="P366" s="3">
        <v>146.0</v>
      </c>
      <c r="Q366" s="3">
        <v>80.0</v>
      </c>
      <c r="R366" s="3">
        <v>150.0</v>
      </c>
      <c r="S366" s="3">
        <v>417.0</v>
      </c>
      <c r="T366" s="3">
        <v>120.0</v>
      </c>
      <c r="U366" s="3">
        <v>80.0</v>
      </c>
      <c r="V366" s="1">
        <v>88.0</v>
      </c>
      <c r="W366" s="1">
        <v>250.0</v>
      </c>
      <c r="X366" s="1">
        <v>264.0</v>
      </c>
      <c r="Y366" s="1">
        <v>161.0</v>
      </c>
      <c r="Z366" s="1">
        <v>69.0</v>
      </c>
      <c r="AA366" s="3"/>
      <c r="AB366" s="1">
        <v>13.0</v>
      </c>
      <c r="AC366" s="1">
        <v>150.0</v>
      </c>
      <c r="AD366" s="1">
        <v>170.0</v>
      </c>
      <c r="AE366" s="1">
        <v>60.0</v>
      </c>
      <c r="AF366" s="1">
        <v>40.0</v>
      </c>
      <c r="AG366" s="1">
        <v>45.0</v>
      </c>
      <c r="AH366" s="1"/>
      <c r="AI366" s="1">
        <v>205.0</v>
      </c>
      <c r="AJ366" s="1">
        <v>60.0</v>
      </c>
      <c r="AK366" s="1">
        <v>100.0</v>
      </c>
      <c r="AL366" s="1">
        <v>175.0</v>
      </c>
      <c r="AM366" s="1">
        <v>130.0</v>
      </c>
      <c r="AN366" s="3">
        <v>47.0</v>
      </c>
      <c r="AO366" s="3">
        <v>160.0</v>
      </c>
      <c r="AP366" s="3">
        <v>70.0</v>
      </c>
      <c r="AQ366" s="3"/>
      <c r="AR366" s="1">
        <v>854.0</v>
      </c>
      <c r="AS366" s="1">
        <v>250.0</v>
      </c>
      <c r="AT366" s="1">
        <v>220.0</v>
      </c>
      <c r="AU366" s="3">
        <v>223.0</v>
      </c>
      <c r="AV366" s="1">
        <v>120.0</v>
      </c>
      <c r="AW366" s="3">
        <v>200.0</v>
      </c>
      <c r="AX366" s="3"/>
      <c r="AY366" s="3">
        <v>142.0</v>
      </c>
      <c r="AZ366" s="1">
        <v>40.0</v>
      </c>
      <c r="BA366" s="1"/>
      <c r="BB366" s="3">
        <v>225.0</v>
      </c>
      <c r="BC366" s="1">
        <v>150.0</v>
      </c>
      <c r="BD366" s="1">
        <v>190.0</v>
      </c>
      <c r="BE366" s="1">
        <v>80.0</v>
      </c>
      <c r="BF366" s="3">
        <v>328.0</v>
      </c>
      <c r="BG366" s="1">
        <v>213.0</v>
      </c>
      <c r="BH366" s="1">
        <v>23.0</v>
      </c>
      <c r="BI366" s="1">
        <v>40.0</v>
      </c>
      <c r="BJ366" s="1">
        <v>278.0</v>
      </c>
      <c r="BK366" s="3"/>
      <c r="BL366" s="1">
        <v>160.0</v>
      </c>
      <c r="BM366" s="1">
        <v>75.0</v>
      </c>
      <c r="BN366" s="32">
        <v>1802.0</v>
      </c>
      <c r="BO366" s="1">
        <v>47.0</v>
      </c>
      <c r="BP366" s="3">
        <v>48.0</v>
      </c>
      <c r="BQ366" s="1">
        <v>188.0</v>
      </c>
      <c r="BR366" s="27">
        <v>68782.0</v>
      </c>
    </row>
    <row r="367">
      <c r="A367" s="25">
        <f>'Equity Price Data'!A368</f>
        <v>45957.66667</v>
      </c>
      <c r="B367" s="34">
        <f>(('PRACTICE Equity Price Data'!B368/'PRACTICE Equity Price Data'!B367)-1)+B366</f>
        <v>0.2967962305</v>
      </c>
      <c r="C367" s="34">
        <f>(('PRACTICE Equity Price Data'!C368/'PRACTICE Equity Price Data'!C367)-1)+C366</f>
        <v>0.4041093824</v>
      </c>
      <c r="D367" s="34">
        <f>(('PRACTICE Equity Price Data'!D368/'PRACTICE Equity Price Data'!D367)-1)+D366</f>
        <v>0.2044910496</v>
      </c>
      <c r="E367" s="34">
        <f>(('PRACTICE Equity Price Data'!E368/'PRACTICE Equity Price Data'!E367)-1)+E366</f>
        <v>0.2382468128</v>
      </c>
      <c r="F367" s="3">
        <v>13.0</v>
      </c>
      <c r="G367" s="3">
        <v>260.0</v>
      </c>
      <c r="H367" s="3">
        <v>110.0</v>
      </c>
      <c r="I367" s="3">
        <v>256.0</v>
      </c>
      <c r="J367" s="3">
        <v>83.0</v>
      </c>
      <c r="K367" s="3">
        <v>188.0</v>
      </c>
      <c r="L367" s="3">
        <v>1000.0</v>
      </c>
      <c r="M367" s="3">
        <v>102.0</v>
      </c>
      <c r="N367" s="3">
        <v>200.0</v>
      </c>
      <c r="O367" s="3">
        <v>121.0</v>
      </c>
      <c r="P367" s="3">
        <v>146.0</v>
      </c>
      <c r="Q367" s="3">
        <v>80.0</v>
      </c>
      <c r="R367" s="3">
        <v>150.0</v>
      </c>
      <c r="S367" s="3">
        <v>417.0</v>
      </c>
      <c r="T367" s="3">
        <v>120.0</v>
      </c>
      <c r="U367" s="3">
        <v>80.0</v>
      </c>
      <c r="V367" s="1">
        <v>88.0</v>
      </c>
      <c r="W367" s="1">
        <v>250.0</v>
      </c>
      <c r="X367" s="1">
        <v>264.0</v>
      </c>
      <c r="Y367" s="1">
        <v>161.0</v>
      </c>
      <c r="Z367" s="1">
        <v>69.0</v>
      </c>
      <c r="AA367" s="3"/>
      <c r="AB367" s="1">
        <v>13.0</v>
      </c>
      <c r="AC367" s="1">
        <v>150.0</v>
      </c>
      <c r="AD367" s="1">
        <v>170.0</v>
      </c>
      <c r="AE367" s="1">
        <v>60.0</v>
      </c>
      <c r="AF367" s="1">
        <v>40.0</v>
      </c>
      <c r="AG367" s="1">
        <v>45.0</v>
      </c>
      <c r="AH367" s="1"/>
      <c r="AI367" s="1">
        <v>205.0</v>
      </c>
      <c r="AJ367" s="1">
        <v>60.0</v>
      </c>
      <c r="AK367" s="1">
        <v>100.0</v>
      </c>
      <c r="AL367" s="1">
        <v>175.0</v>
      </c>
      <c r="AM367" s="1">
        <v>130.0</v>
      </c>
      <c r="AN367" s="3">
        <v>47.0</v>
      </c>
      <c r="AO367" s="3">
        <v>160.0</v>
      </c>
      <c r="AP367" s="3">
        <v>70.0</v>
      </c>
      <c r="AQ367" s="3"/>
      <c r="AR367" s="1">
        <v>854.0</v>
      </c>
      <c r="AS367" s="1">
        <v>250.0</v>
      </c>
      <c r="AT367" s="1">
        <v>220.0</v>
      </c>
      <c r="AU367" s="3">
        <v>223.0</v>
      </c>
      <c r="AV367" s="1">
        <v>120.0</v>
      </c>
      <c r="AW367" s="3">
        <v>200.0</v>
      </c>
      <c r="AX367" s="3"/>
      <c r="AY367" s="3">
        <v>142.0</v>
      </c>
      <c r="AZ367" s="1">
        <v>40.0</v>
      </c>
      <c r="BA367" s="1"/>
      <c r="BB367" s="3">
        <v>225.0</v>
      </c>
      <c r="BC367" s="1">
        <v>150.0</v>
      </c>
      <c r="BD367" s="1">
        <v>190.0</v>
      </c>
      <c r="BE367" s="1">
        <v>80.0</v>
      </c>
      <c r="BF367" s="3">
        <v>328.0</v>
      </c>
      <c r="BG367" s="1">
        <v>213.0</v>
      </c>
      <c r="BH367" s="1">
        <v>23.0</v>
      </c>
      <c r="BI367" s="1">
        <v>40.0</v>
      </c>
      <c r="BJ367" s="1">
        <v>278.0</v>
      </c>
      <c r="BK367" s="3"/>
      <c r="BL367" s="1">
        <v>160.0</v>
      </c>
      <c r="BM367" s="1">
        <v>75.0</v>
      </c>
      <c r="BN367" s="32">
        <v>1802.0</v>
      </c>
      <c r="BO367" s="1">
        <v>47.0</v>
      </c>
      <c r="BP367" s="3">
        <v>48.0</v>
      </c>
      <c r="BQ367" s="1">
        <v>188.0</v>
      </c>
      <c r="BR367" s="27">
        <v>68782.0</v>
      </c>
    </row>
    <row r="368">
      <c r="A368" s="25">
        <f>'Equity Price Data'!A369</f>
        <v>45958.66667</v>
      </c>
      <c r="B368" s="34">
        <f>(('PRACTICE Equity Price Data'!B369/'PRACTICE Equity Price Data'!B368)-1)+B367</f>
        <v>0.2990841772</v>
      </c>
      <c r="C368" s="34">
        <f>(('PRACTICE Equity Price Data'!C369/'PRACTICE Equity Price Data'!C368)-1)+C367</f>
        <v>0.4121487402</v>
      </c>
      <c r="D368" s="34">
        <f>(('PRACTICE Equity Price Data'!D369/'PRACTICE Equity Price Data'!D368)-1)+D367</f>
        <v>0.2078937501</v>
      </c>
      <c r="E368" s="34">
        <f>(('PRACTICE Equity Price Data'!E369/'PRACTICE Equity Price Data'!E368)-1)+E367</f>
        <v>0.2327755459</v>
      </c>
      <c r="F368" s="3">
        <v>13.0</v>
      </c>
      <c r="G368" s="3">
        <v>260.0</v>
      </c>
      <c r="H368" s="3">
        <v>110.0</v>
      </c>
      <c r="I368" s="3">
        <v>256.0</v>
      </c>
      <c r="J368" s="3">
        <v>83.0</v>
      </c>
      <c r="K368" s="3">
        <v>188.0</v>
      </c>
      <c r="L368" s="3">
        <v>1000.0</v>
      </c>
      <c r="M368" s="3">
        <v>102.0</v>
      </c>
      <c r="N368" s="3">
        <v>200.0</v>
      </c>
      <c r="O368" s="3">
        <v>121.0</v>
      </c>
      <c r="P368" s="3">
        <v>146.0</v>
      </c>
      <c r="Q368" s="3">
        <v>80.0</v>
      </c>
      <c r="R368" s="3">
        <v>150.0</v>
      </c>
      <c r="S368" s="3">
        <v>417.0</v>
      </c>
      <c r="T368" s="3">
        <v>120.0</v>
      </c>
      <c r="U368" s="3">
        <v>80.0</v>
      </c>
      <c r="V368" s="1">
        <v>88.0</v>
      </c>
      <c r="W368" s="1">
        <v>250.0</v>
      </c>
      <c r="X368" s="1">
        <v>264.0</v>
      </c>
      <c r="Y368" s="1">
        <v>161.0</v>
      </c>
      <c r="Z368" s="1">
        <v>69.0</v>
      </c>
      <c r="AA368" s="3"/>
      <c r="AB368" s="1">
        <v>13.0</v>
      </c>
      <c r="AC368" s="1">
        <v>150.0</v>
      </c>
      <c r="AD368" s="1">
        <v>170.0</v>
      </c>
      <c r="AE368" s="1">
        <v>60.0</v>
      </c>
      <c r="AF368" s="1">
        <v>40.0</v>
      </c>
      <c r="AG368" s="1">
        <v>45.0</v>
      </c>
      <c r="AH368" s="1"/>
      <c r="AI368" s="1">
        <v>205.0</v>
      </c>
      <c r="AJ368" s="1">
        <v>60.0</v>
      </c>
      <c r="AK368" s="1">
        <v>100.0</v>
      </c>
      <c r="AL368" s="1">
        <v>175.0</v>
      </c>
      <c r="AM368" s="1">
        <v>130.0</v>
      </c>
      <c r="AN368" s="3">
        <v>47.0</v>
      </c>
      <c r="AO368" s="3">
        <v>160.0</v>
      </c>
      <c r="AP368" s="3">
        <v>70.0</v>
      </c>
      <c r="AQ368" s="3"/>
      <c r="AR368" s="1">
        <v>854.0</v>
      </c>
      <c r="AS368" s="1">
        <v>250.0</v>
      </c>
      <c r="AT368" s="1">
        <v>220.0</v>
      </c>
      <c r="AU368" s="3">
        <v>223.0</v>
      </c>
      <c r="AV368" s="1">
        <v>120.0</v>
      </c>
      <c r="AW368" s="3">
        <v>200.0</v>
      </c>
      <c r="AX368" s="3"/>
      <c r="AY368" s="3">
        <v>142.0</v>
      </c>
      <c r="AZ368" s="1">
        <v>40.0</v>
      </c>
      <c r="BA368" s="1"/>
      <c r="BB368" s="3">
        <v>225.0</v>
      </c>
      <c r="BC368" s="1">
        <v>150.0</v>
      </c>
      <c r="BD368" s="1">
        <v>190.0</v>
      </c>
      <c r="BE368" s="1">
        <v>80.0</v>
      </c>
      <c r="BF368" s="3">
        <v>328.0</v>
      </c>
      <c r="BG368" s="1">
        <v>213.0</v>
      </c>
      <c r="BH368" s="1">
        <v>23.0</v>
      </c>
      <c r="BI368" s="1">
        <v>40.0</v>
      </c>
      <c r="BJ368" s="1">
        <v>278.0</v>
      </c>
      <c r="BK368" s="3"/>
      <c r="BL368" s="1">
        <v>160.0</v>
      </c>
      <c r="BM368" s="1">
        <v>75.0</v>
      </c>
      <c r="BN368" s="32">
        <v>1802.0</v>
      </c>
      <c r="BO368" s="1">
        <v>47.0</v>
      </c>
      <c r="BP368" s="3">
        <v>48.0</v>
      </c>
      <c r="BQ368" s="1">
        <v>188.0</v>
      </c>
      <c r="BR368" s="27">
        <v>68782.0</v>
      </c>
    </row>
    <row r="369">
      <c r="A369" s="25">
        <f>'Equity Price Data'!A370</f>
        <v>45959.66667</v>
      </c>
      <c r="B369" s="34">
        <f>(('PRACTICE Equity Price Data'!B370/'PRACTICE Equity Price Data'!B369)-1)+B368</f>
        <v>0.2990406415</v>
      </c>
      <c r="C369" s="34">
        <f>(('PRACTICE Equity Price Data'!C370/'PRACTICE Equity Price Data'!C369)-1)+C368</f>
        <v>0.4176457523</v>
      </c>
      <c r="D369" s="34">
        <f>(('PRACTICE Equity Price Data'!D370/'PRACTICE Equity Price Data'!D369)-1)+D368</f>
        <v>0.2063348387</v>
      </c>
      <c r="E369" s="34">
        <f>(('PRACTICE Equity Price Data'!E370/'PRACTICE Equity Price Data'!E369)-1)+E368</f>
        <v>0.224062722</v>
      </c>
      <c r="F369" s="3">
        <v>13.0</v>
      </c>
      <c r="G369" s="3">
        <v>260.0</v>
      </c>
      <c r="H369" s="3">
        <v>110.0</v>
      </c>
      <c r="I369" s="3">
        <v>256.0</v>
      </c>
      <c r="J369" s="3">
        <v>83.0</v>
      </c>
      <c r="K369" s="3">
        <v>188.0</v>
      </c>
      <c r="L369" s="3">
        <v>1000.0</v>
      </c>
      <c r="M369" s="3">
        <v>102.0</v>
      </c>
      <c r="N369" s="3">
        <v>200.0</v>
      </c>
      <c r="O369" s="3">
        <v>121.0</v>
      </c>
      <c r="P369" s="3">
        <v>146.0</v>
      </c>
      <c r="Q369" s="3">
        <v>80.0</v>
      </c>
      <c r="R369" s="3">
        <v>150.0</v>
      </c>
      <c r="S369" s="3">
        <v>417.0</v>
      </c>
      <c r="T369" s="3">
        <v>120.0</v>
      </c>
      <c r="U369" s="3">
        <v>80.0</v>
      </c>
      <c r="V369" s="1">
        <v>88.0</v>
      </c>
      <c r="W369" s="1">
        <v>250.0</v>
      </c>
      <c r="X369" s="1">
        <v>264.0</v>
      </c>
      <c r="Y369" s="1">
        <v>161.0</v>
      </c>
      <c r="Z369" s="1">
        <v>69.0</v>
      </c>
      <c r="AA369" s="3"/>
      <c r="AB369" s="1">
        <v>13.0</v>
      </c>
      <c r="AC369" s="1">
        <v>150.0</v>
      </c>
      <c r="AD369" s="1">
        <v>170.0</v>
      </c>
      <c r="AE369" s="1">
        <v>60.0</v>
      </c>
      <c r="AF369" s="1">
        <v>40.0</v>
      </c>
      <c r="AG369" s="1">
        <v>45.0</v>
      </c>
      <c r="AH369" s="1"/>
      <c r="AI369" s="1">
        <v>205.0</v>
      </c>
      <c r="AJ369" s="1">
        <v>60.0</v>
      </c>
      <c r="AK369" s="1">
        <v>100.0</v>
      </c>
      <c r="AL369" s="1">
        <v>175.0</v>
      </c>
      <c r="AM369" s="1">
        <v>130.0</v>
      </c>
      <c r="AN369" s="3">
        <v>47.0</v>
      </c>
      <c r="AO369" s="3">
        <v>160.0</v>
      </c>
      <c r="AP369" s="3">
        <v>70.0</v>
      </c>
      <c r="AQ369" s="3"/>
      <c r="AR369" s="1">
        <v>854.0</v>
      </c>
      <c r="AS369" s="1">
        <v>250.0</v>
      </c>
      <c r="AT369" s="1">
        <v>220.0</v>
      </c>
      <c r="AU369" s="3">
        <v>223.0</v>
      </c>
      <c r="AV369" s="1">
        <v>120.0</v>
      </c>
      <c r="AW369" s="3">
        <v>200.0</v>
      </c>
      <c r="AX369" s="3"/>
      <c r="AY369" s="3">
        <v>142.0</v>
      </c>
      <c r="AZ369" s="1">
        <v>40.0</v>
      </c>
      <c r="BA369" s="1"/>
      <c r="BB369" s="3">
        <v>225.0</v>
      </c>
      <c r="BC369" s="1">
        <v>150.0</v>
      </c>
      <c r="BD369" s="1">
        <v>190.0</v>
      </c>
      <c r="BE369" s="1">
        <v>80.0</v>
      </c>
      <c r="BF369" s="3">
        <v>328.0</v>
      </c>
      <c r="BG369" s="1">
        <v>213.0</v>
      </c>
      <c r="BH369" s="1">
        <v>23.0</v>
      </c>
      <c r="BI369" s="1">
        <v>40.0</v>
      </c>
      <c r="BJ369" s="1">
        <v>278.0</v>
      </c>
      <c r="BK369" s="3"/>
      <c r="BL369" s="1">
        <v>160.0</v>
      </c>
      <c r="BM369" s="1">
        <v>75.0</v>
      </c>
      <c r="BN369" s="32">
        <v>1802.0</v>
      </c>
      <c r="BO369" s="1">
        <v>47.0</v>
      </c>
      <c r="BP369" s="3">
        <v>48.0</v>
      </c>
      <c r="BQ369" s="1">
        <v>188.0</v>
      </c>
      <c r="BR369" s="27">
        <v>68782.0</v>
      </c>
    </row>
    <row r="370">
      <c r="A370" s="25">
        <f>'Equity Price Data'!A371</f>
        <v>45960.66667</v>
      </c>
      <c r="B370" s="34">
        <f>(('PRACTICE Equity Price Data'!B371/'PRACTICE Equity Price Data'!B370)-1)+B369</f>
        <v>0.2891358293</v>
      </c>
      <c r="C370" s="34">
        <f>(('PRACTICE Equity Price Data'!C371/'PRACTICE Equity Price Data'!C370)-1)+C369</f>
        <v>0.401896416</v>
      </c>
      <c r="D370" s="34">
        <f>(('PRACTICE Equity Price Data'!D371/'PRACTICE Equity Price Data'!D370)-1)+D369</f>
        <v>0.2040279862</v>
      </c>
      <c r="E370" s="34">
        <f>(('PRACTICE Equity Price Data'!E371/'PRACTICE Equity Price Data'!E370)-1)+E369</f>
        <v>0.2164726044</v>
      </c>
      <c r="F370" s="3">
        <v>13.0</v>
      </c>
      <c r="G370" s="3">
        <v>260.0</v>
      </c>
      <c r="H370" s="3">
        <v>110.0</v>
      </c>
      <c r="I370" s="3">
        <v>256.0</v>
      </c>
      <c r="J370" s="3">
        <v>83.0</v>
      </c>
      <c r="K370" s="3">
        <v>188.0</v>
      </c>
      <c r="L370" s="3">
        <v>1000.0</v>
      </c>
      <c r="M370" s="3">
        <v>102.0</v>
      </c>
      <c r="N370" s="3">
        <v>200.0</v>
      </c>
      <c r="O370" s="3">
        <v>121.0</v>
      </c>
      <c r="P370" s="3">
        <v>146.0</v>
      </c>
      <c r="Q370" s="3">
        <v>80.0</v>
      </c>
      <c r="R370" s="3">
        <v>150.0</v>
      </c>
      <c r="S370" s="3">
        <v>417.0</v>
      </c>
      <c r="T370" s="3">
        <v>120.0</v>
      </c>
      <c r="U370" s="3">
        <v>80.0</v>
      </c>
      <c r="V370" s="1">
        <v>88.0</v>
      </c>
      <c r="W370" s="1">
        <v>250.0</v>
      </c>
      <c r="X370" s="1">
        <v>264.0</v>
      </c>
      <c r="Y370" s="1">
        <v>161.0</v>
      </c>
      <c r="Z370" s="1">
        <v>69.0</v>
      </c>
      <c r="AA370" s="3"/>
      <c r="AB370" s="1">
        <v>13.0</v>
      </c>
      <c r="AC370" s="1">
        <v>150.0</v>
      </c>
      <c r="AD370" s="1">
        <v>170.0</v>
      </c>
      <c r="AE370" s="1">
        <v>60.0</v>
      </c>
      <c r="AF370" s="1">
        <v>40.0</v>
      </c>
      <c r="AG370" s="1">
        <v>45.0</v>
      </c>
      <c r="AH370" s="1"/>
      <c r="AI370" s="1">
        <v>205.0</v>
      </c>
      <c r="AJ370" s="1">
        <v>60.0</v>
      </c>
      <c r="AK370" s="1">
        <v>100.0</v>
      </c>
      <c r="AL370" s="1">
        <v>175.0</v>
      </c>
      <c r="AM370" s="1">
        <v>130.0</v>
      </c>
      <c r="AN370" s="3">
        <v>47.0</v>
      </c>
      <c r="AO370" s="3">
        <v>160.0</v>
      </c>
      <c r="AP370" s="3">
        <v>70.0</v>
      </c>
      <c r="AQ370" s="3"/>
      <c r="AR370" s="1">
        <v>854.0</v>
      </c>
      <c r="AS370" s="1">
        <v>250.0</v>
      </c>
      <c r="AT370" s="1">
        <v>220.0</v>
      </c>
      <c r="AU370" s="3">
        <v>223.0</v>
      </c>
      <c r="AV370" s="1">
        <v>120.0</v>
      </c>
      <c r="AW370" s="3">
        <v>384.0</v>
      </c>
      <c r="AX370" s="3"/>
      <c r="AY370" s="3">
        <v>142.0</v>
      </c>
      <c r="AZ370" s="1">
        <v>40.0</v>
      </c>
      <c r="BA370" s="1"/>
      <c r="BB370" s="3">
        <v>225.0</v>
      </c>
      <c r="BC370" s="1">
        <v>150.0</v>
      </c>
      <c r="BD370" s="1">
        <v>190.0</v>
      </c>
      <c r="BE370" s="1">
        <v>80.0</v>
      </c>
      <c r="BF370" s="3">
        <v>328.0</v>
      </c>
      <c r="BG370" s="1">
        <v>213.0</v>
      </c>
      <c r="BH370" s="1">
        <v>23.0</v>
      </c>
      <c r="BI370" s="1">
        <v>40.0</v>
      </c>
      <c r="BJ370" s="1">
        <v>278.0</v>
      </c>
      <c r="BK370" s="3"/>
      <c r="BL370" s="1">
        <v>160.0</v>
      </c>
      <c r="BM370" s="1">
        <v>75.0</v>
      </c>
      <c r="BN370" s="32">
        <v>1802.0</v>
      </c>
      <c r="BO370" s="1">
        <v>47.0</v>
      </c>
      <c r="BP370" s="3">
        <v>48.0</v>
      </c>
      <c r="BQ370" s="1">
        <v>188.0</v>
      </c>
      <c r="BR370" s="27">
        <v>68782.0</v>
      </c>
    </row>
    <row r="371">
      <c r="A371" s="25">
        <f>'Equity Price Data'!A372</f>
        <v>45961.66667</v>
      </c>
      <c r="B371" s="34">
        <f>(('PRACTICE Equity Price Data'!B372/'PRACTICE Equity Price Data'!B371)-1)+B370</f>
        <v>0.2917536994</v>
      </c>
      <c r="C371" s="34">
        <f>(('PRACTICE Equity Price Data'!C372/'PRACTICE Equity Price Data'!C371)-1)+C370</f>
        <v>0.4079953578</v>
      </c>
      <c r="D371" s="34">
        <f>(('PRACTICE Equity Price Data'!D372/'PRACTICE Equity Price Data'!D371)-1)+D370</f>
        <v>0.2048854816</v>
      </c>
      <c r="E371" s="34">
        <f>(('PRACTICE Equity Price Data'!E372/'PRACTICE Equity Price Data'!E371)-1)+E370</f>
        <v>0.2219187813</v>
      </c>
      <c r="F371" s="3">
        <v>13.0</v>
      </c>
      <c r="G371" s="3">
        <v>260.0</v>
      </c>
      <c r="H371" s="3">
        <v>110.0</v>
      </c>
      <c r="I371" s="3">
        <v>256.0</v>
      </c>
      <c r="J371" s="3">
        <v>83.0</v>
      </c>
      <c r="K371" s="3">
        <v>188.0</v>
      </c>
      <c r="L371" s="3">
        <v>1000.0</v>
      </c>
      <c r="M371" s="3">
        <v>102.0</v>
      </c>
      <c r="N371" s="3">
        <v>200.0</v>
      </c>
      <c r="O371" s="3">
        <v>121.0</v>
      </c>
      <c r="P371" s="3">
        <v>146.0</v>
      </c>
      <c r="Q371" s="3">
        <v>80.0</v>
      </c>
      <c r="R371" s="3">
        <v>150.0</v>
      </c>
      <c r="S371" s="3">
        <v>417.0</v>
      </c>
      <c r="T371" s="3">
        <v>120.0</v>
      </c>
      <c r="U371" s="3">
        <v>80.0</v>
      </c>
      <c r="V371" s="1">
        <v>88.0</v>
      </c>
      <c r="W371" s="1">
        <v>250.0</v>
      </c>
      <c r="X371" s="1">
        <v>264.0</v>
      </c>
      <c r="Y371" s="1">
        <v>161.0</v>
      </c>
      <c r="Z371" s="1">
        <v>69.0</v>
      </c>
      <c r="AA371" s="3"/>
      <c r="AB371" s="1">
        <v>13.0</v>
      </c>
      <c r="AC371" s="1">
        <v>150.0</v>
      </c>
      <c r="AD371" s="1">
        <v>170.0</v>
      </c>
      <c r="AE371" s="1">
        <v>60.0</v>
      </c>
      <c r="AF371" s="1">
        <v>40.0</v>
      </c>
      <c r="AG371" s="1">
        <v>45.0</v>
      </c>
      <c r="AH371" s="1"/>
      <c r="AI371" s="1">
        <v>205.0</v>
      </c>
      <c r="AJ371" s="1">
        <v>60.0</v>
      </c>
      <c r="AK371" s="1">
        <v>100.0</v>
      </c>
      <c r="AL371" s="1">
        <v>175.0</v>
      </c>
      <c r="AM371" s="1">
        <v>130.0</v>
      </c>
      <c r="AN371" s="3">
        <v>47.0</v>
      </c>
      <c r="AO371" s="3">
        <v>160.0</v>
      </c>
      <c r="AP371" s="3">
        <v>70.0</v>
      </c>
      <c r="AQ371" s="3"/>
      <c r="AR371" s="1">
        <v>854.0</v>
      </c>
      <c r="AS371" s="1">
        <v>250.0</v>
      </c>
      <c r="AT371" s="1">
        <v>220.0</v>
      </c>
      <c r="AU371" s="3">
        <v>223.0</v>
      </c>
      <c r="AV371" s="1">
        <v>120.0</v>
      </c>
      <c r="AW371" s="3">
        <v>384.0</v>
      </c>
      <c r="AX371" s="3"/>
      <c r="AY371" s="3">
        <v>142.0</v>
      </c>
      <c r="AZ371" s="1">
        <v>40.0</v>
      </c>
      <c r="BA371" s="1"/>
      <c r="BB371" s="3">
        <v>225.0</v>
      </c>
      <c r="BC371" s="1">
        <v>150.0</v>
      </c>
      <c r="BD371" s="1">
        <v>190.0</v>
      </c>
      <c r="BE371" s="1">
        <v>80.0</v>
      </c>
      <c r="BF371" s="3">
        <v>328.0</v>
      </c>
      <c r="BG371" s="1">
        <v>213.0</v>
      </c>
      <c r="BH371" s="1">
        <v>23.0</v>
      </c>
      <c r="BI371" s="1">
        <v>40.0</v>
      </c>
      <c r="BJ371" s="1">
        <v>278.0</v>
      </c>
      <c r="BK371" s="3"/>
      <c r="BL371" s="1">
        <v>160.0</v>
      </c>
      <c r="BM371" s="1">
        <v>75.0</v>
      </c>
      <c r="BN371" s="32">
        <v>1802.0</v>
      </c>
      <c r="BO371" s="1">
        <v>47.0</v>
      </c>
      <c r="BP371" s="3">
        <v>48.0</v>
      </c>
      <c r="BQ371" s="1">
        <v>188.0</v>
      </c>
      <c r="BR371" s="27">
        <v>68782.0</v>
      </c>
    </row>
    <row r="372">
      <c r="A372" s="25">
        <f>'Equity Price Data'!A373</f>
        <v>45964.66667</v>
      </c>
      <c r="B372" s="34">
        <f>(('PRACTICE Equity Price Data'!B373/'PRACTICE Equity Price Data'!B372)-1)+B371</f>
        <v>0.2934744093</v>
      </c>
      <c r="C372" s="34">
        <f>(('PRACTICE Equity Price Data'!C373/'PRACTICE Equity Price Data'!C372)-1)+C371</f>
        <v>0.4126217092</v>
      </c>
      <c r="D372" s="34">
        <f>(('PRACTICE Equity Price Data'!D373/'PRACTICE Equity Price Data'!D372)-1)+D371</f>
        <v>0.2001298813</v>
      </c>
      <c r="E372" s="34">
        <f>(('PRACTICE Equity Price Data'!E373/'PRACTICE Equity Price Data'!E372)-1)+E371</f>
        <v>0.2186357025</v>
      </c>
      <c r="F372" s="3">
        <v>13.0</v>
      </c>
      <c r="G372" s="3">
        <v>260.0</v>
      </c>
      <c r="H372" s="3">
        <v>110.0</v>
      </c>
      <c r="I372" s="3">
        <v>256.0</v>
      </c>
      <c r="J372" s="3">
        <v>83.0</v>
      </c>
      <c r="K372" s="3">
        <v>188.0</v>
      </c>
      <c r="L372" s="3">
        <v>1000.0</v>
      </c>
      <c r="M372" s="3">
        <v>102.0</v>
      </c>
      <c r="N372" s="3">
        <v>200.0</v>
      </c>
      <c r="O372" s="3">
        <v>121.0</v>
      </c>
      <c r="P372" s="3">
        <v>146.0</v>
      </c>
      <c r="Q372" s="3">
        <v>80.0</v>
      </c>
      <c r="R372" s="3">
        <v>150.0</v>
      </c>
      <c r="S372" s="3">
        <v>417.0</v>
      </c>
      <c r="T372" s="3">
        <v>120.0</v>
      </c>
      <c r="U372" s="3">
        <v>80.0</v>
      </c>
      <c r="V372" s="1">
        <v>88.0</v>
      </c>
      <c r="W372" s="1">
        <v>250.0</v>
      </c>
      <c r="X372" s="1">
        <v>264.0</v>
      </c>
      <c r="Y372" s="1">
        <v>161.0</v>
      </c>
      <c r="Z372" s="1">
        <v>69.0</v>
      </c>
      <c r="AA372" s="3"/>
      <c r="AB372" s="1">
        <v>13.0</v>
      </c>
      <c r="AC372" s="1">
        <v>150.0</v>
      </c>
      <c r="AD372" s="1">
        <v>170.0</v>
      </c>
      <c r="AE372" s="1">
        <v>60.0</v>
      </c>
      <c r="AF372" s="1">
        <v>40.0</v>
      </c>
      <c r="AG372" s="1">
        <v>45.0</v>
      </c>
      <c r="AH372" s="1"/>
      <c r="AI372" s="1">
        <v>205.0</v>
      </c>
      <c r="AJ372" s="1">
        <v>60.0</v>
      </c>
      <c r="AK372" s="1">
        <v>100.0</v>
      </c>
      <c r="AL372" s="1">
        <v>175.0</v>
      </c>
      <c r="AM372" s="1">
        <v>130.0</v>
      </c>
      <c r="AN372" s="3">
        <v>47.0</v>
      </c>
      <c r="AO372" s="3">
        <v>160.0</v>
      </c>
      <c r="AP372" s="3">
        <v>70.0</v>
      </c>
      <c r="AQ372" s="3"/>
      <c r="AR372" s="1">
        <v>854.0</v>
      </c>
      <c r="AS372" s="1">
        <v>250.0</v>
      </c>
      <c r="AT372" s="1">
        <v>220.0</v>
      </c>
      <c r="AU372" s="3">
        <v>223.0</v>
      </c>
      <c r="AV372" s="1">
        <v>120.0</v>
      </c>
      <c r="AW372" s="3">
        <v>384.0</v>
      </c>
      <c r="AX372" s="3"/>
      <c r="AY372" s="3">
        <v>142.0</v>
      </c>
      <c r="AZ372" s="1">
        <v>40.0</v>
      </c>
      <c r="BA372" s="1"/>
      <c r="BB372" s="3">
        <v>225.0</v>
      </c>
      <c r="BC372" s="1">
        <v>150.0</v>
      </c>
      <c r="BD372" s="1">
        <v>190.0</v>
      </c>
      <c r="BE372" s="1">
        <v>80.0</v>
      </c>
      <c r="BF372" s="3">
        <v>328.0</v>
      </c>
      <c r="BG372" s="1">
        <v>213.0</v>
      </c>
      <c r="BH372" s="1">
        <v>23.0</v>
      </c>
      <c r="BI372" s="1">
        <v>40.0</v>
      </c>
      <c r="BJ372" s="1">
        <v>278.0</v>
      </c>
      <c r="BK372" s="3"/>
      <c r="BL372" s="1">
        <v>160.0</v>
      </c>
      <c r="BM372" s="1">
        <v>75.0</v>
      </c>
      <c r="BN372" s="32">
        <v>1802.0</v>
      </c>
      <c r="BO372" s="1">
        <v>47.0</v>
      </c>
      <c r="BP372" s="3">
        <v>48.0</v>
      </c>
      <c r="BQ372" s="1">
        <v>188.0</v>
      </c>
      <c r="BR372" s="27">
        <v>68782.0</v>
      </c>
    </row>
    <row r="373">
      <c r="A373" s="25">
        <f>'Equity Price Data'!A374</f>
        <v>45965.66667</v>
      </c>
      <c r="B373" s="34">
        <f>(('PRACTICE Equity Price Data'!B374/'PRACTICE Equity Price Data'!B373)-1)+B372</f>
        <v>0.2817376387</v>
      </c>
      <c r="C373" s="34">
        <f>(('PRACTICE Equity Price Data'!C374/'PRACTICE Equity Price Data'!C373)-1)+C372</f>
        <v>0.3922279307</v>
      </c>
      <c r="D373" s="34">
        <f>(('PRACTICE Equity Price Data'!D374/'PRACTICE Equity Price Data'!D373)-1)+D372</f>
        <v>0.1948181442</v>
      </c>
      <c r="E373" s="34">
        <f>(('PRACTICE Equity Price Data'!E374/'PRACTICE Equity Price Data'!E373)-1)+E372</f>
        <v>0.2008713413</v>
      </c>
      <c r="F373" s="3">
        <v>13.0</v>
      </c>
      <c r="G373" s="3">
        <v>260.0</v>
      </c>
      <c r="H373" s="3">
        <v>110.0</v>
      </c>
      <c r="I373" s="3">
        <v>256.0</v>
      </c>
      <c r="J373" s="3">
        <v>83.0</v>
      </c>
      <c r="K373" s="3">
        <v>188.0</v>
      </c>
      <c r="L373" s="3">
        <v>1000.0</v>
      </c>
      <c r="M373" s="3">
        <v>102.0</v>
      </c>
      <c r="N373" s="3">
        <v>200.0</v>
      </c>
      <c r="O373" s="3">
        <v>121.0</v>
      </c>
      <c r="P373" s="3">
        <v>146.0</v>
      </c>
      <c r="Q373" s="3">
        <v>80.0</v>
      </c>
      <c r="R373" s="3">
        <v>150.0</v>
      </c>
      <c r="S373" s="3">
        <v>417.0</v>
      </c>
      <c r="T373" s="3">
        <v>120.0</v>
      </c>
      <c r="U373" s="3">
        <v>80.0</v>
      </c>
      <c r="V373" s="1">
        <v>88.0</v>
      </c>
      <c r="W373" s="1">
        <v>250.0</v>
      </c>
      <c r="X373" s="1">
        <v>264.0</v>
      </c>
      <c r="Y373" s="1">
        <v>161.0</v>
      </c>
      <c r="Z373" s="1">
        <v>69.0</v>
      </c>
      <c r="AA373" s="3"/>
      <c r="AB373" s="1">
        <v>13.0</v>
      </c>
      <c r="AC373" s="1">
        <v>150.0</v>
      </c>
      <c r="AD373" s="1">
        <v>170.0</v>
      </c>
      <c r="AE373" s="1">
        <v>60.0</v>
      </c>
      <c r="AF373" s="1">
        <v>40.0</v>
      </c>
      <c r="AG373" s="1">
        <v>45.0</v>
      </c>
      <c r="AH373" s="1"/>
      <c r="AI373" s="1">
        <v>205.0</v>
      </c>
      <c r="AJ373" s="1">
        <v>60.0</v>
      </c>
      <c r="AK373" s="1">
        <v>100.0</v>
      </c>
      <c r="AL373" s="1">
        <v>175.0</v>
      </c>
      <c r="AM373" s="1">
        <v>130.0</v>
      </c>
      <c r="AN373" s="3">
        <v>47.0</v>
      </c>
      <c r="AO373" s="3">
        <v>160.0</v>
      </c>
      <c r="AP373" s="3">
        <v>70.0</v>
      </c>
      <c r="AQ373" s="3"/>
      <c r="AR373" s="1">
        <v>854.0</v>
      </c>
      <c r="AS373" s="1">
        <v>250.0</v>
      </c>
      <c r="AT373" s="1">
        <v>220.0</v>
      </c>
      <c r="AU373" s="3">
        <v>223.0</v>
      </c>
      <c r="AV373" s="1">
        <v>120.0</v>
      </c>
      <c r="AW373" s="3">
        <v>384.0</v>
      </c>
      <c r="AX373" s="3"/>
      <c r="AY373" s="3">
        <v>142.0</v>
      </c>
      <c r="AZ373" s="1">
        <v>40.0</v>
      </c>
      <c r="BA373" s="1"/>
      <c r="BB373" s="3">
        <v>225.0</v>
      </c>
      <c r="BC373" s="1">
        <v>150.0</v>
      </c>
      <c r="BD373" s="1">
        <v>190.0</v>
      </c>
      <c r="BE373" s="1">
        <v>80.0</v>
      </c>
      <c r="BF373" s="3">
        <v>328.0</v>
      </c>
      <c r="BG373" s="1">
        <v>213.0</v>
      </c>
      <c r="BH373" s="1">
        <v>23.0</v>
      </c>
      <c r="BI373" s="1">
        <v>40.0</v>
      </c>
      <c r="BJ373" s="1">
        <v>278.0</v>
      </c>
      <c r="BK373" s="3"/>
      <c r="BL373" s="1">
        <v>160.0</v>
      </c>
      <c r="BM373" s="1">
        <v>75.0</v>
      </c>
      <c r="BN373" s="32">
        <v>1802.0</v>
      </c>
      <c r="BO373" s="1">
        <v>47.0</v>
      </c>
      <c r="BP373" s="3">
        <v>48.0</v>
      </c>
      <c r="BQ373" s="1">
        <v>188.0</v>
      </c>
      <c r="BR373" s="27">
        <v>68782.0</v>
      </c>
    </row>
    <row r="374">
      <c r="A374" s="25">
        <f>'Equity Price Data'!A375</f>
        <v>45966.66667</v>
      </c>
      <c r="B374" s="34">
        <f>(('PRACTICE Equity Price Data'!B375/'PRACTICE Equity Price Data'!B374)-1)+B373</f>
        <v>0.2853911597</v>
      </c>
      <c r="C374" s="34">
        <f>(('PRACTICE Equity Price Data'!C375/'PRACTICE Equity Price Data'!C374)-1)+C373</f>
        <v>0.3987019694</v>
      </c>
      <c r="D374" s="34">
        <f>(('PRACTICE Equity Price Data'!D375/'PRACTICE Equity Price Data'!D374)-1)+D373</f>
        <v>0.1996128527</v>
      </c>
      <c r="E374" s="34">
        <f>(('PRACTICE Equity Price Data'!E375/'PRACTICE Equity Price Data'!E374)-1)+E373</f>
        <v>0.2162956329</v>
      </c>
      <c r="F374" s="3">
        <v>13.0</v>
      </c>
      <c r="G374" s="3">
        <v>260.0</v>
      </c>
      <c r="H374" s="3">
        <v>110.0</v>
      </c>
      <c r="I374" s="3">
        <v>256.0</v>
      </c>
      <c r="J374" s="3">
        <v>83.0</v>
      </c>
      <c r="K374" s="3">
        <v>188.0</v>
      </c>
      <c r="L374" s="3">
        <v>1000.0</v>
      </c>
      <c r="M374" s="3">
        <v>102.0</v>
      </c>
      <c r="N374" s="3">
        <v>200.0</v>
      </c>
      <c r="O374" s="3">
        <v>121.0</v>
      </c>
      <c r="P374" s="3">
        <v>146.0</v>
      </c>
      <c r="Q374" s="3">
        <v>80.0</v>
      </c>
      <c r="R374" s="3">
        <v>150.0</v>
      </c>
      <c r="S374" s="3">
        <v>417.0</v>
      </c>
      <c r="T374" s="3">
        <v>120.0</v>
      </c>
      <c r="U374" s="3">
        <v>80.0</v>
      </c>
      <c r="V374" s="1">
        <v>88.0</v>
      </c>
      <c r="W374" s="1">
        <v>250.0</v>
      </c>
      <c r="X374" s="1">
        <v>264.0</v>
      </c>
      <c r="Y374" s="1">
        <v>161.0</v>
      </c>
      <c r="Z374" s="1">
        <v>69.0</v>
      </c>
      <c r="AA374" s="3"/>
      <c r="AB374" s="1">
        <v>13.0</v>
      </c>
      <c r="AC374" s="1">
        <v>150.0</v>
      </c>
      <c r="AD374" s="1">
        <v>170.0</v>
      </c>
      <c r="AE374" s="1">
        <v>60.0</v>
      </c>
      <c r="AF374" s="1">
        <v>40.0</v>
      </c>
      <c r="AG374" s="1">
        <v>45.0</v>
      </c>
      <c r="AH374" s="1"/>
      <c r="AI374" s="1">
        <v>205.0</v>
      </c>
      <c r="AJ374" s="1">
        <v>60.0</v>
      </c>
      <c r="AK374" s="1">
        <v>100.0</v>
      </c>
      <c r="AL374" s="1">
        <v>175.0</v>
      </c>
      <c r="AM374" s="1">
        <v>130.0</v>
      </c>
      <c r="AN374" s="3">
        <v>47.0</v>
      </c>
      <c r="AO374" s="3">
        <v>160.0</v>
      </c>
      <c r="AP374" s="3">
        <v>70.0</v>
      </c>
      <c r="AQ374" s="3"/>
      <c r="AR374" s="1">
        <v>854.0</v>
      </c>
      <c r="AS374" s="1">
        <v>250.0</v>
      </c>
      <c r="AT374" s="1">
        <v>220.0</v>
      </c>
      <c r="AU374" s="3">
        <v>223.0</v>
      </c>
      <c r="AV374" s="1">
        <v>120.0</v>
      </c>
      <c r="AW374" s="3">
        <v>384.0</v>
      </c>
      <c r="AX374" s="3"/>
      <c r="AY374" s="3">
        <v>142.0</v>
      </c>
      <c r="AZ374" s="1">
        <v>40.0</v>
      </c>
      <c r="BA374" s="1"/>
      <c r="BB374" s="3">
        <v>225.0</v>
      </c>
      <c r="BC374" s="1">
        <v>150.0</v>
      </c>
      <c r="BD374" s="1">
        <v>190.0</v>
      </c>
      <c r="BE374" s="1">
        <v>80.0</v>
      </c>
      <c r="BF374" s="3">
        <v>328.0</v>
      </c>
      <c r="BG374" s="1">
        <v>213.0</v>
      </c>
      <c r="BH374" s="1">
        <v>23.0</v>
      </c>
      <c r="BI374" s="1">
        <v>40.0</v>
      </c>
      <c r="BJ374" s="1">
        <v>278.0</v>
      </c>
      <c r="BK374" s="3"/>
      <c r="BL374" s="1">
        <v>160.0</v>
      </c>
      <c r="BM374" s="1">
        <v>75.0</v>
      </c>
      <c r="BN374" s="32">
        <v>1802.0</v>
      </c>
      <c r="BO374" s="1">
        <v>47.0</v>
      </c>
      <c r="BP374" s="3">
        <v>48.0</v>
      </c>
      <c r="BQ374" s="1">
        <v>188.0</v>
      </c>
      <c r="BR374" s="27">
        <v>68782.0</v>
      </c>
    </row>
    <row r="375">
      <c r="A375" s="25">
        <f>'Equity Price Data'!A376</f>
        <v>45967.66667</v>
      </c>
      <c r="B375" s="34">
        <f>(('PRACTICE Equity Price Data'!B376/'PRACTICE Equity Price Data'!B375)-1)+B374</f>
        <v>0.2742130022</v>
      </c>
      <c r="C375" s="34">
        <f>(('PRACTICE Equity Price Data'!C376/'PRACTICE Equity Price Data'!C375)-1)+C374</f>
        <v>0.3797311697</v>
      </c>
      <c r="D375" s="34">
        <f>(('PRACTICE Equity Price Data'!D376/'PRACTICE Equity Price Data'!D375)-1)+D374</f>
        <v>0.191185637</v>
      </c>
      <c r="E375" s="34">
        <f>(('PRACTICE Equity Price Data'!E376/'PRACTICE Equity Price Data'!E375)-1)+E374</f>
        <v>0.1976489383</v>
      </c>
      <c r="F375" s="3">
        <v>13.0</v>
      </c>
      <c r="G375" s="3">
        <v>260.0</v>
      </c>
      <c r="H375" s="3">
        <v>110.0</v>
      </c>
      <c r="I375" s="3">
        <v>256.0</v>
      </c>
      <c r="J375" s="3">
        <v>83.0</v>
      </c>
      <c r="K375" s="3">
        <v>188.0</v>
      </c>
      <c r="L375" s="3">
        <v>1000.0</v>
      </c>
      <c r="M375" s="3">
        <v>102.0</v>
      </c>
      <c r="N375" s="3">
        <v>200.0</v>
      </c>
      <c r="O375" s="3">
        <v>121.0</v>
      </c>
      <c r="P375" s="3">
        <v>146.0</v>
      </c>
      <c r="Q375" s="3">
        <v>80.0</v>
      </c>
      <c r="R375" s="3">
        <v>150.0</v>
      </c>
      <c r="S375" s="3">
        <v>417.0</v>
      </c>
      <c r="T375" s="3">
        <v>120.0</v>
      </c>
      <c r="U375" s="3">
        <v>80.0</v>
      </c>
      <c r="V375" s="1">
        <v>88.0</v>
      </c>
      <c r="W375" s="1">
        <v>250.0</v>
      </c>
      <c r="X375" s="1">
        <v>264.0</v>
      </c>
      <c r="Y375" s="1">
        <v>161.0</v>
      </c>
      <c r="Z375" s="1">
        <v>69.0</v>
      </c>
      <c r="AA375" s="3"/>
      <c r="AB375" s="1">
        <v>13.0</v>
      </c>
      <c r="AC375" s="1">
        <v>150.0</v>
      </c>
      <c r="AD375" s="1">
        <v>170.0</v>
      </c>
      <c r="AE375" s="1">
        <v>60.0</v>
      </c>
      <c r="AF375" s="1">
        <v>40.0</v>
      </c>
      <c r="AG375" s="1">
        <v>45.0</v>
      </c>
      <c r="AH375" s="1"/>
      <c r="AI375" s="1">
        <v>205.0</v>
      </c>
      <c r="AJ375" s="1">
        <v>60.0</v>
      </c>
      <c r="AK375" s="1">
        <v>100.0</v>
      </c>
      <c r="AL375" s="1">
        <v>175.0</v>
      </c>
      <c r="AM375" s="1">
        <v>130.0</v>
      </c>
      <c r="AN375" s="3">
        <v>47.0</v>
      </c>
      <c r="AO375" s="3">
        <v>160.0</v>
      </c>
      <c r="AP375" s="3">
        <v>70.0</v>
      </c>
      <c r="AQ375" s="3"/>
      <c r="AR375" s="1">
        <v>854.0</v>
      </c>
      <c r="AS375" s="1">
        <v>250.0</v>
      </c>
      <c r="AT375" s="1">
        <v>220.0</v>
      </c>
      <c r="AU375" s="3">
        <v>223.0</v>
      </c>
      <c r="AV375" s="1">
        <v>120.0</v>
      </c>
      <c r="AW375" s="3">
        <v>384.0</v>
      </c>
      <c r="AX375" s="3"/>
      <c r="AY375" s="3">
        <v>142.0</v>
      </c>
      <c r="AZ375" s="1">
        <v>40.0</v>
      </c>
      <c r="BA375" s="1"/>
      <c r="BB375" s="3">
        <v>225.0</v>
      </c>
      <c r="BC375" s="1">
        <v>150.0</v>
      </c>
      <c r="BD375" s="1">
        <v>190.0</v>
      </c>
      <c r="BE375" s="1">
        <v>80.0</v>
      </c>
      <c r="BF375" s="3">
        <v>328.0</v>
      </c>
      <c r="BG375" s="1">
        <v>213.0</v>
      </c>
      <c r="BH375" s="1">
        <v>23.0</v>
      </c>
      <c r="BI375" s="1">
        <v>40.0</v>
      </c>
      <c r="BJ375" s="1">
        <v>278.0</v>
      </c>
      <c r="BK375" s="3"/>
      <c r="BL375" s="1">
        <v>160.0</v>
      </c>
      <c r="BM375" s="1">
        <v>75.0</v>
      </c>
      <c r="BN375" s="32">
        <v>1802.0</v>
      </c>
      <c r="BO375" s="1">
        <v>47.0</v>
      </c>
      <c r="BP375" s="3">
        <v>48.0</v>
      </c>
      <c r="BQ375" s="1">
        <v>188.0</v>
      </c>
      <c r="BR375" s="27">
        <v>68782.0</v>
      </c>
    </row>
    <row r="376">
      <c r="A376" s="25">
        <f>'Equity Price Data'!A377</f>
        <v>45968.66667</v>
      </c>
      <c r="B376" s="34">
        <f>(('PRACTICE Equity Price Data'!B377/'PRACTICE Equity Price Data'!B376)-1)+B375</f>
        <v>0.2754748469</v>
      </c>
      <c r="C376" s="34">
        <f>(('PRACTICE Equity Price Data'!C377/'PRACTICE Equity Price Data'!C376)-1)+C375</f>
        <v>0.3775862047</v>
      </c>
      <c r="D376" s="34">
        <f>(('PRACTICE Equity Price Data'!D377/'PRACTICE Equity Price Data'!D376)-1)+D375</f>
        <v>0.1927801016</v>
      </c>
      <c r="E376" s="34">
        <f>(('PRACTICE Equity Price Data'!E377/'PRACTICE Equity Price Data'!E376)-1)+E375</f>
        <v>0.2034368845</v>
      </c>
      <c r="F376" s="3">
        <v>13.0</v>
      </c>
      <c r="G376" s="3">
        <v>260.0</v>
      </c>
      <c r="H376" s="3">
        <v>110.0</v>
      </c>
      <c r="I376" s="3">
        <v>256.0</v>
      </c>
      <c r="J376" s="3">
        <v>83.0</v>
      </c>
      <c r="K376" s="3">
        <v>188.0</v>
      </c>
      <c r="L376" s="3">
        <v>1000.0</v>
      </c>
      <c r="M376" s="3">
        <v>102.0</v>
      </c>
      <c r="N376" s="3">
        <v>200.0</v>
      </c>
      <c r="O376" s="3">
        <v>121.0</v>
      </c>
      <c r="P376" s="3">
        <v>146.0</v>
      </c>
      <c r="Q376" s="3">
        <v>80.0</v>
      </c>
      <c r="R376" s="3">
        <v>150.0</v>
      </c>
      <c r="S376" s="3">
        <v>417.0</v>
      </c>
      <c r="T376" s="3">
        <v>120.0</v>
      </c>
      <c r="U376" s="3">
        <v>80.0</v>
      </c>
      <c r="V376" s="1">
        <v>88.0</v>
      </c>
      <c r="W376" s="1">
        <v>250.0</v>
      </c>
      <c r="X376" s="1">
        <v>264.0</v>
      </c>
      <c r="Y376" s="1">
        <v>161.0</v>
      </c>
      <c r="Z376" s="1">
        <v>69.0</v>
      </c>
      <c r="AA376" s="3"/>
      <c r="AB376" s="1">
        <v>13.0</v>
      </c>
      <c r="AC376" s="1">
        <v>150.0</v>
      </c>
      <c r="AD376" s="1">
        <v>170.0</v>
      </c>
      <c r="AE376" s="1">
        <v>60.0</v>
      </c>
      <c r="AF376" s="1">
        <v>40.0</v>
      </c>
      <c r="AG376" s="1">
        <v>45.0</v>
      </c>
      <c r="AH376" s="1"/>
      <c r="AI376" s="1">
        <v>205.0</v>
      </c>
      <c r="AJ376" s="1">
        <v>60.0</v>
      </c>
      <c r="AK376" s="1">
        <v>100.0</v>
      </c>
      <c r="AL376" s="1">
        <v>175.0</v>
      </c>
      <c r="AM376" s="1">
        <v>130.0</v>
      </c>
      <c r="AN376" s="3">
        <v>47.0</v>
      </c>
      <c r="AO376" s="3">
        <v>160.0</v>
      </c>
      <c r="AP376" s="3">
        <v>70.0</v>
      </c>
      <c r="AQ376" s="3"/>
      <c r="AR376" s="1">
        <v>854.0</v>
      </c>
      <c r="AS376" s="1">
        <v>250.0</v>
      </c>
      <c r="AT376" s="1">
        <v>220.0</v>
      </c>
      <c r="AU376" s="3">
        <v>223.0</v>
      </c>
      <c r="AV376" s="1">
        <v>120.0</v>
      </c>
      <c r="AW376" s="3">
        <v>384.0</v>
      </c>
      <c r="AX376" s="3"/>
      <c r="AY376" s="3">
        <v>142.0</v>
      </c>
      <c r="AZ376" s="1">
        <v>40.0</v>
      </c>
      <c r="BA376" s="1"/>
      <c r="BB376" s="3">
        <v>225.0</v>
      </c>
      <c r="BC376" s="1">
        <v>150.0</v>
      </c>
      <c r="BD376" s="1">
        <v>190.0</v>
      </c>
      <c r="BE376" s="1">
        <v>80.0</v>
      </c>
      <c r="BF376" s="3">
        <v>328.0</v>
      </c>
      <c r="BG376" s="1">
        <v>213.0</v>
      </c>
      <c r="BH376" s="1">
        <v>23.0</v>
      </c>
      <c r="BI376" s="1">
        <v>40.0</v>
      </c>
      <c r="BJ376" s="1">
        <v>278.0</v>
      </c>
      <c r="BK376" s="3"/>
      <c r="BL376" s="1">
        <v>160.0</v>
      </c>
      <c r="BM376" s="1">
        <v>75.0</v>
      </c>
      <c r="BN376" s="32">
        <v>1802.0</v>
      </c>
      <c r="BO376" s="1">
        <v>47.0</v>
      </c>
      <c r="BP376" s="3">
        <v>48.0</v>
      </c>
      <c r="BQ376" s="1">
        <v>188.0</v>
      </c>
      <c r="BR376" s="27">
        <v>68782.0</v>
      </c>
    </row>
    <row r="377">
      <c r="A377" s="25">
        <f>'Equity Price Data'!A378</f>
        <v>45971.66667</v>
      </c>
      <c r="B377" s="34">
        <f>(('PRACTICE Equity Price Data'!B378/'PRACTICE Equity Price Data'!B377)-1)+B376</f>
        <v>0.2908758099</v>
      </c>
      <c r="C377" s="34">
        <f>(('PRACTICE Equity Price Data'!C378/'PRACTICE Equity Price Data'!C377)-1)+C376</f>
        <v>0.4003047638</v>
      </c>
      <c r="D377" s="34">
        <f>(('PRACTICE Equity Price Data'!D378/'PRACTICE Equity Price Data'!D377)-1)+D376</f>
        <v>0.2008999898</v>
      </c>
      <c r="E377" s="34">
        <f>(('PRACTICE Equity Price Data'!E378/'PRACTICE Equity Price Data'!E377)-1)+E376</f>
        <v>0.2128210559</v>
      </c>
      <c r="F377" s="3">
        <v>13.0</v>
      </c>
      <c r="G377" s="3">
        <v>260.0</v>
      </c>
      <c r="H377" s="3">
        <v>110.0</v>
      </c>
      <c r="I377" s="3">
        <v>256.0</v>
      </c>
      <c r="J377" s="3">
        <v>83.0</v>
      </c>
      <c r="K377" s="3">
        <v>188.0</v>
      </c>
      <c r="L377" s="3">
        <v>1000.0</v>
      </c>
      <c r="M377" s="3">
        <v>102.0</v>
      </c>
      <c r="N377" s="3">
        <v>200.0</v>
      </c>
      <c r="O377" s="3">
        <v>121.0</v>
      </c>
      <c r="P377" s="3">
        <v>146.0</v>
      </c>
      <c r="Q377" s="3">
        <v>80.0</v>
      </c>
      <c r="R377" s="3">
        <v>150.0</v>
      </c>
      <c r="S377" s="3">
        <v>417.0</v>
      </c>
      <c r="T377" s="3">
        <v>120.0</v>
      </c>
      <c r="U377" s="3">
        <v>80.0</v>
      </c>
      <c r="V377" s="1">
        <v>88.0</v>
      </c>
      <c r="W377" s="1">
        <v>250.0</v>
      </c>
      <c r="X377" s="1">
        <v>264.0</v>
      </c>
      <c r="Y377" s="1">
        <v>161.0</v>
      </c>
      <c r="Z377" s="1">
        <v>69.0</v>
      </c>
      <c r="AA377" s="3"/>
      <c r="AB377" s="1">
        <v>13.0</v>
      </c>
      <c r="AC377" s="1">
        <v>150.0</v>
      </c>
      <c r="AD377" s="1">
        <v>170.0</v>
      </c>
      <c r="AE377" s="1">
        <v>60.0</v>
      </c>
      <c r="AF377" s="1">
        <v>40.0</v>
      </c>
      <c r="AG377" s="1">
        <v>45.0</v>
      </c>
      <c r="AH377" s="1"/>
      <c r="AI377" s="1">
        <v>205.0</v>
      </c>
      <c r="AJ377" s="1">
        <v>60.0</v>
      </c>
      <c r="AK377" s="1">
        <v>100.0</v>
      </c>
      <c r="AL377" s="1">
        <v>175.0</v>
      </c>
      <c r="AM377" s="1">
        <v>130.0</v>
      </c>
      <c r="AN377" s="3">
        <v>47.0</v>
      </c>
      <c r="AO377" s="3">
        <v>160.0</v>
      </c>
      <c r="AP377" s="3">
        <v>70.0</v>
      </c>
      <c r="AQ377" s="3"/>
      <c r="AR377" s="1">
        <v>854.0</v>
      </c>
      <c r="AS377" s="1">
        <v>250.0</v>
      </c>
      <c r="AT377" s="1">
        <v>220.0</v>
      </c>
      <c r="AU377" s="3">
        <v>223.0</v>
      </c>
      <c r="AV377" s="1">
        <v>120.0</v>
      </c>
      <c r="AW377" s="3">
        <v>384.0</v>
      </c>
      <c r="AX377" s="3"/>
      <c r="AY377" s="3">
        <v>142.0</v>
      </c>
      <c r="AZ377" s="1">
        <v>40.0</v>
      </c>
      <c r="BA377" s="1"/>
      <c r="BB377" s="3">
        <v>225.0</v>
      </c>
      <c r="BC377" s="1">
        <v>150.0</v>
      </c>
      <c r="BD377" s="1">
        <v>190.0</v>
      </c>
      <c r="BE377" s="1">
        <v>80.0</v>
      </c>
      <c r="BF377" s="3">
        <v>328.0</v>
      </c>
      <c r="BG377" s="1">
        <v>213.0</v>
      </c>
      <c r="BH377" s="1">
        <v>23.0</v>
      </c>
      <c r="BI377" s="1">
        <v>40.0</v>
      </c>
      <c r="BJ377" s="1">
        <v>278.0</v>
      </c>
      <c r="BK377" s="3"/>
      <c r="BL377" s="1">
        <v>160.0</v>
      </c>
      <c r="BM377" s="1">
        <v>75.0</v>
      </c>
      <c r="BN377" s="32">
        <v>1802.0</v>
      </c>
      <c r="BO377" s="1">
        <v>47.0</v>
      </c>
      <c r="BP377" s="3">
        <v>48.0</v>
      </c>
      <c r="BQ377" s="1">
        <v>188.0</v>
      </c>
      <c r="BR377" s="27">
        <v>68782.0</v>
      </c>
    </row>
    <row r="378">
      <c r="A378" s="25">
        <f>'Equity Price Data'!A379</f>
        <v>45972.66667</v>
      </c>
      <c r="B378" s="34">
        <f>(('PRACTICE Equity Price Data'!B379/'PRACTICE Equity Price Data'!B378)-1)+B377</f>
        <v>0.2929512062</v>
      </c>
      <c r="C378" s="34">
        <f>(('PRACTICE Equity Price Data'!C379/'PRACTICE Equity Price Data'!C378)-1)+C377</f>
        <v>0.3978025504</v>
      </c>
      <c r="D378" s="34">
        <f>(('PRACTICE Equity Price Data'!D379/'PRACTICE Equity Price Data'!D378)-1)+D377</f>
        <v>0.2127080155</v>
      </c>
      <c r="E378" s="34">
        <f>(('PRACTICE Equity Price Data'!E379/'PRACTICE Equity Price Data'!E378)-1)+E377</f>
        <v>0.2138920555</v>
      </c>
      <c r="F378" s="3">
        <v>13.0</v>
      </c>
      <c r="G378" s="3">
        <v>260.0</v>
      </c>
      <c r="H378" s="3">
        <v>110.0</v>
      </c>
      <c r="I378" s="3">
        <v>256.0</v>
      </c>
      <c r="J378" s="3">
        <v>83.0</v>
      </c>
      <c r="K378" s="3">
        <v>188.0</v>
      </c>
      <c r="L378" s="3">
        <v>1000.0</v>
      </c>
      <c r="M378" s="3">
        <v>102.0</v>
      </c>
      <c r="N378" s="3">
        <v>200.0</v>
      </c>
      <c r="O378" s="3">
        <v>121.0</v>
      </c>
      <c r="P378" s="3">
        <v>146.0</v>
      </c>
      <c r="Q378" s="3">
        <v>80.0</v>
      </c>
      <c r="R378" s="3">
        <v>150.0</v>
      </c>
      <c r="S378" s="3">
        <v>417.0</v>
      </c>
      <c r="T378" s="3">
        <v>120.0</v>
      </c>
      <c r="U378" s="3">
        <v>80.0</v>
      </c>
      <c r="V378" s="1">
        <v>88.0</v>
      </c>
      <c r="W378" s="1">
        <v>250.0</v>
      </c>
      <c r="X378" s="1">
        <v>264.0</v>
      </c>
      <c r="Y378" s="1">
        <v>161.0</v>
      </c>
      <c r="Z378" s="1">
        <v>69.0</v>
      </c>
      <c r="AA378" s="3"/>
      <c r="AB378" s="1">
        <v>13.0</v>
      </c>
      <c r="AC378" s="1">
        <v>150.0</v>
      </c>
      <c r="AD378" s="1">
        <v>170.0</v>
      </c>
      <c r="AE378" s="1">
        <v>60.0</v>
      </c>
      <c r="AF378" s="1">
        <v>40.0</v>
      </c>
      <c r="AG378" s="1">
        <v>45.0</v>
      </c>
      <c r="AH378" s="1"/>
      <c r="AI378" s="1">
        <v>205.0</v>
      </c>
      <c r="AJ378" s="1">
        <v>60.0</v>
      </c>
      <c r="AK378" s="1">
        <v>100.0</v>
      </c>
      <c r="AL378" s="1">
        <v>175.0</v>
      </c>
      <c r="AM378" s="1">
        <v>130.0</v>
      </c>
      <c r="AN378" s="3">
        <v>47.0</v>
      </c>
      <c r="AO378" s="3">
        <v>160.0</v>
      </c>
      <c r="AP378" s="3">
        <v>70.0</v>
      </c>
      <c r="AQ378" s="3"/>
      <c r="AR378" s="1">
        <v>854.0</v>
      </c>
      <c r="AS378" s="1">
        <v>250.0</v>
      </c>
      <c r="AT378" s="1">
        <v>220.0</v>
      </c>
      <c r="AU378" s="3">
        <v>223.0</v>
      </c>
      <c r="AV378" s="1">
        <v>120.0</v>
      </c>
      <c r="AW378" s="3">
        <v>384.0</v>
      </c>
      <c r="AX378" s="3"/>
      <c r="AY378" s="3">
        <v>142.0</v>
      </c>
      <c r="AZ378" s="1">
        <v>40.0</v>
      </c>
      <c r="BA378" s="1"/>
      <c r="BB378" s="3">
        <v>225.0</v>
      </c>
      <c r="BC378" s="1">
        <v>150.0</v>
      </c>
      <c r="BD378" s="1">
        <v>190.0</v>
      </c>
      <c r="BE378" s="1">
        <v>80.0</v>
      </c>
      <c r="BF378" s="3">
        <v>328.0</v>
      </c>
      <c r="BG378" s="1">
        <v>213.0</v>
      </c>
      <c r="BH378" s="1">
        <v>23.0</v>
      </c>
      <c r="BI378" s="1">
        <v>40.0</v>
      </c>
      <c r="BJ378" s="1">
        <v>278.0</v>
      </c>
      <c r="BK378" s="3"/>
      <c r="BL378" s="1">
        <v>160.0</v>
      </c>
      <c r="BM378" s="1">
        <v>75.0</v>
      </c>
      <c r="BN378" s="32">
        <v>1802.0</v>
      </c>
      <c r="BO378" s="1">
        <v>47.0</v>
      </c>
      <c r="BP378" s="3">
        <v>48.0</v>
      </c>
      <c r="BQ378" s="1">
        <v>188.0</v>
      </c>
      <c r="BR378" s="27">
        <v>68782.0</v>
      </c>
    </row>
    <row r="379">
      <c r="A379" s="25">
        <f>'Equity Price Data'!A380</f>
        <v>45973.66667</v>
      </c>
      <c r="B379" s="34">
        <f>(('PRACTICE Equity Price Data'!B380/'PRACTICE Equity Price Data'!B379)-1)+B378</f>
        <v>0.2935807148</v>
      </c>
      <c r="C379" s="34">
        <f>(('PRACTICE Equity Price Data'!C380/'PRACTICE Equity Price Data'!C379)-1)+C378</f>
        <v>0.3951675065</v>
      </c>
      <c r="D379" s="34">
        <f>(('PRACTICE Equity Price Data'!D380/'PRACTICE Equity Price Data'!D379)-1)+D378</f>
        <v>0.2195278342</v>
      </c>
      <c r="E379" s="34">
        <f>(('PRACTICE Equity Price Data'!E380/'PRACTICE Equity Price Data'!E379)-1)+E378</f>
        <v>0.2108492776</v>
      </c>
      <c r="F379" s="3">
        <v>13.0</v>
      </c>
      <c r="G379" s="3">
        <v>260.0</v>
      </c>
      <c r="H379" s="3">
        <v>110.0</v>
      </c>
      <c r="I379" s="3">
        <v>256.0</v>
      </c>
      <c r="J379" s="3">
        <v>83.0</v>
      </c>
      <c r="K379" s="3">
        <v>188.0</v>
      </c>
      <c r="L379" s="3">
        <v>1000.0</v>
      </c>
      <c r="M379" s="3">
        <v>102.0</v>
      </c>
      <c r="N379" s="3">
        <v>200.0</v>
      </c>
      <c r="O379" s="3">
        <v>121.0</v>
      </c>
      <c r="P379" s="3">
        <v>146.0</v>
      </c>
      <c r="Q379" s="3">
        <v>80.0</v>
      </c>
      <c r="R379" s="3">
        <v>150.0</v>
      </c>
      <c r="S379" s="3">
        <v>417.0</v>
      </c>
      <c r="T379" s="3">
        <v>120.0</v>
      </c>
      <c r="U379" s="3">
        <v>80.0</v>
      </c>
      <c r="V379" s="1">
        <v>88.0</v>
      </c>
      <c r="W379" s="1">
        <v>250.0</v>
      </c>
      <c r="X379" s="1">
        <v>264.0</v>
      </c>
      <c r="Y379" s="1">
        <v>161.0</v>
      </c>
      <c r="Z379" s="1">
        <v>69.0</v>
      </c>
      <c r="AA379" s="3"/>
      <c r="AB379" s="1">
        <v>13.0</v>
      </c>
      <c r="AC379" s="1">
        <v>150.0</v>
      </c>
      <c r="AD379" s="1">
        <v>170.0</v>
      </c>
      <c r="AE379" s="1">
        <v>60.0</v>
      </c>
      <c r="AF379" s="1">
        <v>40.0</v>
      </c>
      <c r="AG379" s="1">
        <v>45.0</v>
      </c>
      <c r="AH379" s="1"/>
      <c r="AI379" s="1">
        <v>205.0</v>
      </c>
      <c r="AJ379" s="1">
        <v>60.0</v>
      </c>
      <c r="AK379" s="1">
        <v>100.0</v>
      </c>
      <c r="AL379" s="1">
        <v>175.0</v>
      </c>
      <c r="AM379" s="1">
        <v>130.0</v>
      </c>
      <c r="AN379" s="3">
        <v>47.0</v>
      </c>
      <c r="AO379" s="3">
        <v>160.0</v>
      </c>
      <c r="AP379" s="3">
        <v>70.0</v>
      </c>
      <c r="AQ379" s="3"/>
      <c r="AR379" s="1">
        <v>854.0</v>
      </c>
      <c r="AS379" s="1">
        <v>250.0</v>
      </c>
      <c r="AT379" s="1">
        <v>220.0</v>
      </c>
      <c r="AU379" s="3">
        <v>223.0</v>
      </c>
      <c r="AV379" s="1">
        <v>120.0</v>
      </c>
      <c r="AW379" s="3">
        <v>384.0</v>
      </c>
      <c r="AX379" s="3"/>
      <c r="AY379" s="3">
        <v>142.0</v>
      </c>
      <c r="AZ379" s="1">
        <v>40.0</v>
      </c>
      <c r="BA379" s="1"/>
      <c r="BB379" s="3">
        <v>225.0</v>
      </c>
      <c r="BC379" s="1">
        <v>150.0</v>
      </c>
      <c r="BD379" s="1">
        <v>190.0</v>
      </c>
      <c r="BE379" s="1">
        <v>80.0</v>
      </c>
      <c r="BF379" s="3">
        <v>328.0</v>
      </c>
      <c r="BG379" s="1">
        <v>213.0</v>
      </c>
      <c r="BH379" s="1">
        <v>23.0</v>
      </c>
      <c r="BI379" s="1">
        <v>40.0</v>
      </c>
      <c r="BJ379" s="1">
        <v>278.0</v>
      </c>
      <c r="BK379" s="3"/>
      <c r="BL379" s="1">
        <v>160.0</v>
      </c>
      <c r="BM379" s="1">
        <v>75.0</v>
      </c>
      <c r="BN379" s="32">
        <v>1802.0</v>
      </c>
      <c r="BO379" s="1">
        <v>47.0</v>
      </c>
      <c r="BP379" s="3">
        <v>48.0</v>
      </c>
      <c r="BQ379" s="1">
        <v>188.0</v>
      </c>
      <c r="BR379" s="27">
        <v>68782.0</v>
      </c>
    </row>
    <row r="380">
      <c r="A380" s="25">
        <f>'Equity Price Data'!A381</f>
        <v>45974.66667</v>
      </c>
      <c r="B380" s="34">
        <f>(('PRACTICE Equity Price Data'!B381/'PRACTICE Equity Price Data'!B380)-1)+B379</f>
        <v>0.2770238145</v>
      </c>
      <c r="C380" s="34">
        <f>(('PRACTICE Equity Price Data'!C381/'PRACTICE Equity Price Data'!C380)-1)+C379</f>
        <v>0.3722635731</v>
      </c>
      <c r="D380" s="34">
        <f>(('PRACTICE Equity Price Data'!D381/'PRACTICE Equity Price Data'!D380)-1)+D379</f>
        <v>0.2029989155</v>
      </c>
      <c r="E380" s="34">
        <f>(('PRACTICE Equity Price Data'!E381/'PRACTICE Equity Price Data'!E380)-1)+E379</f>
        <v>0.1831766809</v>
      </c>
      <c r="F380" s="3">
        <v>13.0</v>
      </c>
      <c r="G380" s="3">
        <v>260.0</v>
      </c>
      <c r="H380" s="3">
        <v>110.0</v>
      </c>
      <c r="I380" s="3">
        <v>256.0</v>
      </c>
      <c r="J380" s="3">
        <v>83.0</v>
      </c>
      <c r="K380" s="3">
        <v>188.0</v>
      </c>
      <c r="L380" s="3">
        <v>1000.0</v>
      </c>
      <c r="M380" s="3">
        <v>102.0</v>
      </c>
      <c r="N380" s="3">
        <v>200.0</v>
      </c>
      <c r="O380" s="3">
        <v>121.0</v>
      </c>
      <c r="P380" s="3">
        <v>146.0</v>
      </c>
      <c r="Q380" s="3">
        <v>80.0</v>
      </c>
      <c r="R380" s="3">
        <v>150.0</v>
      </c>
      <c r="S380" s="3">
        <v>417.0</v>
      </c>
      <c r="T380" s="3">
        <v>120.0</v>
      </c>
      <c r="U380" s="3">
        <v>80.0</v>
      </c>
      <c r="V380" s="1">
        <v>88.0</v>
      </c>
      <c r="W380" s="1">
        <v>250.0</v>
      </c>
      <c r="X380" s="1">
        <v>264.0</v>
      </c>
      <c r="Y380" s="1">
        <v>161.0</v>
      </c>
      <c r="Z380" s="1">
        <v>69.0</v>
      </c>
      <c r="AA380" s="1"/>
      <c r="AB380" s="1">
        <v>13.0</v>
      </c>
      <c r="AC380" s="1">
        <v>150.0</v>
      </c>
      <c r="AD380" s="1">
        <v>170.0</v>
      </c>
      <c r="AE380" s="1">
        <v>60.0</v>
      </c>
      <c r="AF380" s="1">
        <v>40.0</v>
      </c>
      <c r="AG380" s="1">
        <v>45.0</v>
      </c>
      <c r="AH380" s="1"/>
      <c r="AI380" s="1">
        <v>205.0</v>
      </c>
      <c r="AJ380" s="1">
        <v>60.0</v>
      </c>
      <c r="AK380" s="1">
        <v>100.0</v>
      </c>
      <c r="AL380" s="1">
        <v>175.0</v>
      </c>
      <c r="AM380" s="1">
        <v>130.0</v>
      </c>
      <c r="AN380" s="3">
        <v>47.0</v>
      </c>
      <c r="AO380" s="3">
        <v>160.0</v>
      </c>
      <c r="AP380" s="3">
        <v>70.0</v>
      </c>
      <c r="AQ380" s="3"/>
      <c r="AR380" s="1">
        <v>854.0</v>
      </c>
      <c r="AS380" s="1">
        <v>250.0</v>
      </c>
      <c r="AT380" s="1">
        <v>220.0</v>
      </c>
      <c r="AU380" s="3">
        <v>223.0</v>
      </c>
      <c r="AV380" s="1">
        <v>120.0</v>
      </c>
      <c r="AW380" s="3">
        <v>384.0</v>
      </c>
      <c r="AX380" s="3"/>
      <c r="AY380" s="3">
        <v>142.0</v>
      </c>
      <c r="AZ380" s="1">
        <v>40.0</v>
      </c>
      <c r="BA380" s="1"/>
      <c r="BB380" s="3">
        <v>225.0</v>
      </c>
      <c r="BC380" s="1">
        <v>150.0</v>
      </c>
      <c r="BD380" s="1">
        <v>190.0</v>
      </c>
      <c r="BE380" s="1">
        <v>80.0</v>
      </c>
      <c r="BF380" s="3">
        <v>328.0</v>
      </c>
      <c r="BG380" s="1">
        <v>213.0</v>
      </c>
      <c r="BH380" s="1">
        <v>23.0</v>
      </c>
      <c r="BI380" s="1">
        <v>40.0</v>
      </c>
      <c r="BJ380" s="1">
        <v>278.0</v>
      </c>
      <c r="BK380" s="3"/>
      <c r="BL380" s="1">
        <v>160.0</v>
      </c>
      <c r="BM380" s="1">
        <v>75.0</v>
      </c>
      <c r="BN380" s="32">
        <v>1802.0</v>
      </c>
      <c r="BO380" s="1">
        <v>47.0</v>
      </c>
      <c r="BP380" s="3">
        <v>48.0</v>
      </c>
      <c r="BQ380" s="1">
        <v>188.0</v>
      </c>
      <c r="BR380" s="27">
        <v>68782.0</v>
      </c>
    </row>
    <row r="381">
      <c r="A381" s="25">
        <f>'Equity Price Data'!A382</f>
        <v>45975.66667</v>
      </c>
      <c r="B381" s="34">
        <f>(('PRACTICE Equity Price Data'!B382/'PRACTICE Equity Price Data'!B381)-1)+B380</f>
        <v>0.2765221439</v>
      </c>
      <c r="C381" s="34">
        <f>(('PRACTICE Equity Price Data'!C382/'PRACTICE Equity Price Data'!C381)-1)+C380</f>
        <v>0.3735853713</v>
      </c>
      <c r="D381" s="34">
        <f>(('PRACTICE Equity Price Data'!D382/'PRACTICE Equity Price Data'!D381)-1)+D380</f>
        <v>0.1964721952</v>
      </c>
      <c r="E381" s="34">
        <f>(('PRACTICE Equity Price Data'!E382/'PRACTICE Equity Price Data'!E381)-1)+E380</f>
        <v>0.1853798047</v>
      </c>
      <c r="F381" s="3">
        <v>13.0</v>
      </c>
      <c r="G381" s="3">
        <v>260.0</v>
      </c>
      <c r="H381" s="3">
        <v>110.0</v>
      </c>
      <c r="I381" s="3">
        <v>256.0</v>
      </c>
      <c r="J381" s="3">
        <v>83.0</v>
      </c>
      <c r="K381" s="3">
        <v>188.0</v>
      </c>
      <c r="L381" s="3">
        <v>1000.0</v>
      </c>
      <c r="M381" s="3">
        <v>102.0</v>
      </c>
      <c r="N381" s="3">
        <v>200.0</v>
      </c>
      <c r="O381" s="3">
        <v>121.0</v>
      </c>
      <c r="P381" s="3">
        <v>146.0</v>
      </c>
      <c r="Q381" s="3">
        <v>80.0</v>
      </c>
      <c r="R381" s="3">
        <v>150.0</v>
      </c>
      <c r="S381" s="3">
        <v>417.0</v>
      </c>
      <c r="T381" s="3">
        <v>120.0</v>
      </c>
      <c r="U381" s="3">
        <v>80.0</v>
      </c>
      <c r="V381" s="1">
        <v>88.0</v>
      </c>
      <c r="W381" s="1">
        <v>250.0</v>
      </c>
      <c r="X381" s="1">
        <v>264.0</v>
      </c>
      <c r="Y381" s="1">
        <v>161.0</v>
      </c>
      <c r="Z381" s="1">
        <v>69.0</v>
      </c>
      <c r="AA381" s="1"/>
      <c r="AB381" s="1">
        <v>13.0</v>
      </c>
      <c r="AC381" s="1">
        <v>150.0</v>
      </c>
      <c r="AD381" s="1">
        <v>170.0</v>
      </c>
      <c r="AE381" s="1">
        <v>60.0</v>
      </c>
      <c r="AF381" s="1">
        <v>40.0</v>
      </c>
      <c r="AG381" s="1">
        <v>45.0</v>
      </c>
      <c r="AH381" s="1"/>
      <c r="AI381" s="1">
        <v>205.0</v>
      </c>
      <c r="AJ381" s="1">
        <v>60.0</v>
      </c>
      <c r="AK381" s="1">
        <v>100.0</v>
      </c>
      <c r="AL381" s="1">
        <v>175.0</v>
      </c>
      <c r="AM381" s="1">
        <v>130.0</v>
      </c>
      <c r="AN381" s="3">
        <v>47.0</v>
      </c>
      <c r="AO381" s="3">
        <v>160.0</v>
      </c>
      <c r="AP381" s="3">
        <v>70.0</v>
      </c>
      <c r="AQ381" s="3"/>
      <c r="AR381" s="1">
        <v>854.0</v>
      </c>
      <c r="AS381" s="1">
        <v>250.0</v>
      </c>
      <c r="AT381" s="1">
        <v>220.0</v>
      </c>
      <c r="AU381" s="3">
        <v>223.0</v>
      </c>
      <c r="AV381" s="1">
        <v>120.0</v>
      </c>
      <c r="AW381" s="3">
        <v>384.0</v>
      </c>
      <c r="AX381" s="3"/>
      <c r="AY381" s="3">
        <v>142.0</v>
      </c>
      <c r="AZ381" s="1">
        <v>40.0</v>
      </c>
      <c r="BA381" s="1"/>
      <c r="BB381" s="3">
        <v>225.0</v>
      </c>
      <c r="BC381" s="1">
        <v>150.0</v>
      </c>
      <c r="BD381" s="1">
        <v>190.0</v>
      </c>
      <c r="BE381" s="1">
        <v>80.0</v>
      </c>
      <c r="BF381" s="3">
        <v>328.0</v>
      </c>
      <c r="BG381" s="1">
        <v>213.0</v>
      </c>
      <c r="BH381" s="1">
        <v>23.0</v>
      </c>
      <c r="BI381" s="1">
        <v>40.0</v>
      </c>
      <c r="BJ381" s="1">
        <v>278.0</v>
      </c>
      <c r="BK381" s="3"/>
      <c r="BL381" s="1">
        <v>160.0</v>
      </c>
      <c r="BM381" s="1">
        <v>75.0</v>
      </c>
      <c r="BN381" s="32">
        <v>1802.0</v>
      </c>
      <c r="BO381" s="1">
        <v>47.0</v>
      </c>
      <c r="BP381" s="3">
        <v>48.0</v>
      </c>
      <c r="BQ381" s="1">
        <v>188.0</v>
      </c>
      <c r="BR381" s="27">
        <v>68782.0</v>
      </c>
    </row>
    <row r="382">
      <c r="A382" s="25">
        <f>'Equity Price Data'!A383</f>
        <v>45978.66667</v>
      </c>
      <c r="B382" s="34">
        <f>(('PRACTICE Equity Price Data'!B383/'PRACTICE Equity Price Data'!B382)-1)+B381</f>
        <v>0.2673598345</v>
      </c>
      <c r="C382" s="34">
        <f>(('PRACTICE Equity Price Data'!C383/'PRACTICE Equity Price Data'!C382)-1)+C381</f>
        <v>0.3651790377</v>
      </c>
      <c r="D382" s="34">
        <f>(('PRACTICE Equity Price Data'!D383/'PRACTICE Equity Price Data'!D382)-1)+D381</f>
        <v>0.1846531118</v>
      </c>
      <c r="E382" s="34">
        <f>(('PRACTICE Equity Price Data'!E383/'PRACTICE Equity Price Data'!E382)-1)+E381</f>
        <v>0.1657627661</v>
      </c>
      <c r="F382" s="3">
        <v>13.0</v>
      </c>
      <c r="G382" s="3">
        <v>260.0</v>
      </c>
      <c r="H382" s="3">
        <v>110.0</v>
      </c>
      <c r="I382" s="3">
        <v>256.0</v>
      </c>
      <c r="J382" s="3">
        <v>83.0</v>
      </c>
      <c r="K382" s="3">
        <v>188.0</v>
      </c>
      <c r="L382" s="3">
        <v>1000.0</v>
      </c>
      <c r="M382" s="3">
        <v>102.0</v>
      </c>
      <c r="N382" s="3">
        <v>200.0</v>
      </c>
      <c r="O382" s="3">
        <v>121.0</v>
      </c>
      <c r="P382" s="3">
        <v>146.0</v>
      </c>
      <c r="Q382" s="3">
        <v>80.0</v>
      </c>
      <c r="R382" s="3">
        <v>150.0</v>
      </c>
      <c r="S382" s="3">
        <v>417.0</v>
      </c>
      <c r="T382" s="3">
        <v>120.0</v>
      </c>
      <c r="U382" s="3">
        <v>80.0</v>
      </c>
      <c r="V382" s="1">
        <v>88.0</v>
      </c>
      <c r="W382" s="1">
        <v>250.0</v>
      </c>
      <c r="X382" s="1">
        <v>264.0</v>
      </c>
      <c r="Y382" s="1">
        <v>161.0</v>
      </c>
      <c r="Z382" s="1">
        <v>69.0</v>
      </c>
      <c r="AA382" s="1"/>
      <c r="AB382" s="1">
        <v>13.0</v>
      </c>
      <c r="AC382" s="1">
        <v>150.0</v>
      </c>
      <c r="AD382" s="1">
        <v>170.0</v>
      </c>
      <c r="AE382" s="1">
        <v>60.0</v>
      </c>
      <c r="AF382" s="1">
        <v>40.0</v>
      </c>
      <c r="AG382" s="1">
        <v>45.0</v>
      </c>
      <c r="AH382" s="1"/>
      <c r="AI382" s="1">
        <v>205.0</v>
      </c>
      <c r="AJ382" s="1">
        <v>60.0</v>
      </c>
      <c r="AK382" s="1">
        <v>100.0</v>
      </c>
      <c r="AL382" s="1">
        <v>175.0</v>
      </c>
      <c r="AM382" s="1">
        <v>130.0</v>
      </c>
      <c r="AN382" s="3">
        <v>47.0</v>
      </c>
      <c r="AO382" s="3">
        <v>160.0</v>
      </c>
      <c r="AP382" s="3">
        <v>70.0</v>
      </c>
      <c r="AQ382" s="3"/>
      <c r="AR382" s="1">
        <v>854.0</v>
      </c>
      <c r="AS382" s="1">
        <v>250.0</v>
      </c>
      <c r="AT382" s="1">
        <v>220.0</v>
      </c>
      <c r="AU382" s="3">
        <v>223.0</v>
      </c>
      <c r="AV382" s="1">
        <v>120.0</v>
      </c>
      <c r="AW382" s="3">
        <v>384.0</v>
      </c>
      <c r="AX382" s="3"/>
      <c r="AY382" s="3">
        <v>142.0</v>
      </c>
      <c r="AZ382" s="1">
        <v>40.0</v>
      </c>
      <c r="BA382" s="1"/>
      <c r="BB382" s="3">
        <v>225.0</v>
      </c>
      <c r="BC382" s="1">
        <v>150.0</v>
      </c>
      <c r="BD382" s="1">
        <v>190.0</v>
      </c>
      <c r="BE382" s="1">
        <v>80.0</v>
      </c>
      <c r="BF382" s="3">
        <v>328.0</v>
      </c>
      <c r="BG382" s="1">
        <v>213.0</v>
      </c>
      <c r="BH382" s="1">
        <v>23.0</v>
      </c>
      <c r="BI382" s="1">
        <v>40.0</v>
      </c>
      <c r="BJ382" s="1">
        <v>278.0</v>
      </c>
      <c r="BK382" s="3"/>
      <c r="BL382" s="1">
        <v>160.0</v>
      </c>
      <c r="BM382" s="1">
        <v>75.0</v>
      </c>
      <c r="BN382" s="32">
        <v>1802.0</v>
      </c>
      <c r="BO382" s="1">
        <v>47.0</v>
      </c>
      <c r="BP382" s="3">
        <v>48.0</v>
      </c>
      <c r="BQ382" s="1">
        <v>188.0</v>
      </c>
      <c r="BR382" s="27">
        <v>68782.0</v>
      </c>
    </row>
    <row r="383">
      <c r="A383" s="25">
        <f>'Equity Price Data'!A384</f>
        <v>45979.66667</v>
      </c>
      <c r="B383" s="34">
        <f>(('PRACTICE Equity Price Data'!B384/'PRACTICE Equity Price Data'!B383)-1)+B382</f>
        <v>0.2591034473</v>
      </c>
      <c r="C383" s="34">
        <f>(('PRACTICE Equity Price Data'!C384/'PRACTICE Equity Price Data'!C383)-1)+C382</f>
        <v>0.3530586823</v>
      </c>
      <c r="D383" s="34">
        <f>(('PRACTICE Equity Price Data'!D384/'PRACTICE Equity Price Data'!D383)-1)+D382</f>
        <v>0.1739534459</v>
      </c>
      <c r="E383" s="34">
        <f>(('PRACTICE Equity Price Data'!E384/'PRACTICE Equity Price Data'!E383)-1)+E382</f>
        <v>0.1689062115</v>
      </c>
      <c r="F383" s="3">
        <v>13.0</v>
      </c>
      <c r="G383" s="3">
        <v>260.0</v>
      </c>
      <c r="H383" s="3">
        <v>110.0</v>
      </c>
      <c r="I383" s="3">
        <v>256.0</v>
      </c>
      <c r="J383" s="3">
        <v>83.0</v>
      </c>
      <c r="K383" s="3">
        <v>188.0</v>
      </c>
      <c r="L383" s="3">
        <v>1000.0</v>
      </c>
      <c r="M383" s="3">
        <v>102.0</v>
      </c>
      <c r="N383" s="3">
        <v>200.0</v>
      </c>
      <c r="O383" s="3">
        <v>121.0</v>
      </c>
      <c r="P383" s="3">
        <v>146.0</v>
      </c>
      <c r="Q383" s="3">
        <v>80.0</v>
      </c>
      <c r="R383" s="3">
        <v>150.0</v>
      </c>
      <c r="S383" s="3">
        <v>417.0</v>
      </c>
      <c r="T383" s="3">
        <v>120.0</v>
      </c>
      <c r="U383" s="3">
        <v>80.0</v>
      </c>
      <c r="V383" s="1">
        <v>88.0</v>
      </c>
      <c r="W383" s="1">
        <v>250.0</v>
      </c>
      <c r="X383" s="1">
        <v>264.0</v>
      </c>
      <c r="Y383" s="1">
        <v>161.0</v>
      </c>
      <c r="Z383" s="1">
        <v>69.0</v>
      </c>
      <c r="AA383" s="1"/>
      <c r="AB383" s="1">
        <v>13.0</v>
      </c>
      <c r="AC383" s="1">
        <v>150.0</v>
      </c>
      <c r="AD383" s="1">
        <v>170.0</v>
      </c>
      <c r="AE383" s="1">
        <v>60.0</v>
      </c>
      <c r="AF383" s="1">
        <v>40.0</v>
      </c>
      <c r="AG383" s="1">
        <v>45.0</v>
      </c>
      <c r="AH383" s="1"/>
      <c r="AI383" s="1">
        <v>205.0</v>
      </c>
      <c r="AJ383" s="1">
        <v>60.0</v>
      </c>
      <c r="AK383" s="1">
        <v>100.0</v>
      </c>
      <c r="AL383" s="1">
        <v>175.0</v>
      </c>
      <c r="AM383" s="1">
        <v>130.0</v>
      </c>
      <c r="AN383" s="3">
        <v>47.0</v>
      </c>
      <c r="AO383" s="3">
        <v>160.0</v>
      </c>
      <c r="AP383" s="3">
        <v>70.0</v>
      </c>
      <c r="AQ383" s="3"/>
      <c r="AR383" s="1">
        <v>854.0</v>
      </c>
      <c r="AS383" s="1">
        <v>250.0</v>
      </c>
      <c r="AT383" s="1">
        <v>220.0</v>
      </c>
      <c r="AU383" s="3">
        <v>223.0</v>
      </c>
      <c r="AV383" s="1">
        <v>120.0</v>
      </c>
      <c r="AW383" s="3">
        <v>384.0</v>
      </c>
      <c r="AX383" s="3"/>
      <c r="AY383" s="3">
        <v>142.0</v>
      </c>
      <c r="AZ383" s="1">
        <v>40.0</v>
      </c>
      <c r="BA383" s="1"/>
      <c r="BB383" s="3">
        <v>225.0</v>
      </c>
      <c r="BC383" s="1">
        <v>150.0</v>
      </c>
      <c r="BD383" s="1">
        <v>190.0</v>
      </c>
      <c r="BE383" s="1">
        <v>80.0</v>
      </c>
      <c r="BF383" s="3">
        <v>328.0</v>
      </c>
      <c r="BG383" s="1">
        <v>213.0</v>
      </c>
      <c r="BH383" s="1">
        <v>23.0</v>
      </c>
      <c r="BI383" s="1">
        <v>40.0</v>
      </c>
      <c r="BJ383" s="1">
        <v>278.0</v>
      </c>
      <c r="BK383" s="3"/>
      <c r="BL383" s="1">
        <v>160.0</v>
      </c>
      <c r="BM383" s="1">
        <v>75.0</v>
      </c>
      <c r="BN383" s="32">
        <v>1802.0</v>
      </c>
      <c r="BO383" s="1">
        <v>47.0</v>
      </c>
      <c r="BP383" s="3">
        <v>48.0</v>
      </c>
      <c r="BQ383" s="1">
        <v>188.0</v>
      </c>
      <c r="BR383" s="27">
        <v>68782.0</v>
      </c>
    </row>
    <row r="384">
      <c r="A384" s="25">
        <f>'Equity Price Data'!A385</f>
        <v>45980.66667</v>
      </c>
      <c r="B384" s="34">
        <f>(('PRACTICE Equity Price Data'!B385/'PRACTICE Equity Price Data'!B384)-1)+B383</f>
        <v>0.2628572329</v>
      </c>
      <c r="C384" s="34">
        <f>(('PRACTICE Equity Price Data'!C385/'PRACTICE Equity Price Data'!C384)-1)+C383</f>
        <v>0.358915272</v>
      </c>
      <c r="D384" s="34">
        <f>(('PRACTICE Equity Price Data'!D385/'PRACTICE Equity Price Data'!D384)-1)+D383</f>
        <v>0.1749738023</v>
      </c>
      <c r="E384" s="34">
        <f>(('PRACTICE Equity Price Data'!E385/'PRACTICE Equity Price Data'!E384)-1)+E383</f>
        <v>0.1685443153</v>
      </c>
      <c r="F384" s="3">
        <v>13.0</v>
      </c>
      <c r="G384" s="3">
        <v>260.0</v>
      </c>
      <c r="H384" s="3">
        <v>110.0</v>
      </c>
      <c r="I384" s="3">
        <v>256.0</v>
      </c>
      <c r="J384" s="3">
        <v>83.0</v>
      </c>
      <c r="K384" s="3">
        <v>188.0</v>
      </c>
      <c r="L384" s="3">
        <v>1000.0</v>
      </c>
      <c r="M384" s="3">
        <v>102.0</v>
      </c>
      <c r="N384" s="3">
        <v>200.0</v>
      </c>
      <c r="O384" s="3">
        <v>121.0</v>
      </c>
      <c r="P384" s="3">
        <v>146.0</v>
      </c>
      <c r="Q384" s="3">
        <v>80.0</v>
      </c>
      <c r="R384" s="3">
        <v>150.0</v>
      </c>
      <c r="S384" s="3">
        <v>417.0</v>
      </c>
      <c r="T384" s="3">
        <v>120.0</v>
      </c>
      <c r="U384" s="3">
        <v>80.0</v>
      </c>
      <c r="V384" s="1">
        <v>88.0</v>
      </c>
      <c r="W384" s="1">
        <v>250.0</v>
      </c>
      <c r="X384" s="1">
        <v>264.0</v>
      </c>
      <c r="Y384" s="1">
        <v>161.0</v>
      </c>
      <c r="Z384" s="1">
        <v>69.0</v>
      </c>
      <c r="AA384" s="1"/>
      <c r="AB384" s="1">
        <v>13.0</v>
      </c>
      <c r="AC384" s="1">
        <v>150.0</v>
      </c>
      <c r="AD384" s="1">
        <v>170.0</v>
      </c>
      <c r="AE384" s="1">
        <v>60.0</v>
      </c>
      <c r="AF384" s="1">
        <v>40.0</v>
      </c>
      <c r="AG384" s="1">
        <v>45.0</v>
      </c>
      <c r="AH384" s="1"/>
      <c r="AI384" s="1">
        <v>205.0</v>
      </c>
      <c r="AJ384" s="1">
        <v>60.0</v>
      </c>
      <c r="AK384" s="1">
        <v>100.0</v>
      </c>
      <c r="AL384" s="1">
        <v>175.0</v>
      </c>
      <c r="AM384" s="1">
        <v>130.0</v>
      </c>
      <c r="AN384" s="3">
        <v>47.0</v>
      </c>
      <c r="AO384" s="3">
        <v>160.0</v>
      </c>
      <c r="AP384" s="3">
        <v>70.0</v>
      </c>
      <c r="AQ384" s="3"/>
      <c r="AR384" s="1">
        <v>854.0</v>
      </c>
      <c r="AS384" s="1">
        <v>250.0</v>
      </c>
      <c r="AT384" s="1">
        <v>220.0</v>
      </c>
      <c r="AU384" s="3">
        <v>223.0</v>
      </c>
      <c r="AV384" s="1">
        <v>120.0</v>
      </c>
      <c r="AW384" s="3">
        <v>384.0</v>
      </c>
      <c r="AX384" s="3"/>
      <c r="AY384" s="3">
        <v>142.0</v>
      </c>
      <c r="AZ384" s="1">
        <v>40.0</v>
      </c>
      <c r="BA384" s="1"/>
      <c r="BB384" s="3">
        <v>225.0</v>
      </c>
      <c r="BC384" s="1">
        <v>150.0</v>
      </c>
      <c r="BD384" s="1">
        <v>190.0</v>
      </c>
      <c r="BE384" s="1">
        <v>80.0</v>
      </c>
      <c r="BF384" s="3">
        <v>328.0</v>
      </c>
      <c r="BG384" s="1">
        <v>213.0</v>
      </c>
      <c r="BH384" s="1">
        <v>23.0</v>
      </c>
      <c r="BI384" s="1">
        <v>40.0</v>
      </c>
      <c r="BJ384" s="1">
        <v>278.0</v>
      </c>
      <c r="BK384" s="3"/>
      <c r="BL384" s="1">
        <v>160.0</v>
      </c>
      <c r="BM384" s="1">
        <v>75.0</v>
      </c>
      <c r="BN384" s="32">
        <v>1802.0</v>
      </c>
      <c r="BO384" s="1">
        <v>47.0</v>
      </c>
      <c r="BP384" s="3">
        <v>48.0</v>
      </c>
      <c r="BQ384" s="1">
        <v>188.0</v>
      </c>
      <c r="BR384" s="27">
        <v>68782.0</v>
      </c>
    </row>
    <row r="385">
      <c r="A385" s="25">
        <f>'Equity Price Data'!A386</f>
        <v>45981.66667</v>
      </c>
      <c r="B385" s="34">
        <f>(('PRACTICE Equity Price Data'!B386/'PRACTICE Equity Price Data'!B385)-1)+B384</f>
        <v>0.2472900077</v>
      </c>
      <c r="C385" s="34">
        <f>(('PRACTICE Equity Price Data'!C386/'PRACTICE Equity Price Data'!C385)-1)+C384</f>
        <v>0.3373687801</v>
      </c>
      <c r="D385" s="34">
        <f>(('PRACTICE Equity Price Data'!D386/'PRACTICE Equity Price Data'!D385)-1)+D384</f>
        <v>0.1665966825</v>
      </c>
      <c r="E385" s="34">
        <f>(('PRACTICE Equity Price Data'!E386/'PRACTICE Equity Price Data'!E385)-1)+E384</f>
        <v>0.1503237002</v>
      </c>
      <c r="F385" s="3">
        <v>13.0</v>
      </c>
      <c r="G385" s="3">
        <v>260.0</v>
      </c>
      <c r="H385" s="3">
        <v>110.0</v>
      </c>
      <c r="I385" s="3">
        <v>256.0</v>
      </c>
      <c r="J385" s="3">
        <v>83.0</v>
      </c>
      <c r="K385" s="3">
        <v>188.0</v>
      </c>
      <c r="L385" s="3">
        <v>1000.0</v>
      </c>
      <c r="M385" s="3">
        <v>102.0</v>
      </c>
      <c r="N385" s="3">
        <v>200.0</v>
      </c>
      <c r="O385" s="3">
        <v>121.0</v>
      </c>
      <c r="P385" s="3">
        <v>146.0</v>
      </c>
      <c r="Q385" s="3">
        <v>80.0</v>
      </c>
      <c r="R385" s="3">
        <v>150.0</v>
      </c>
      <c r="S385" s="3">
        <v>417.0</v>
      </c>
      <c r="T385" s="3">
        <v>120.0</v>
      </c>
      <c r="U385" s="3">
        <v>80.0</v>
      </c>
      <c r="V385" s="1">
        <v>88.0</v>
      </c>
      <c r="W385" s="1">
        <v>250.0</v>
      </c>
      <c r="X385" s="1">
        <v>264.0</v>
      </c>
      <c r="Y385" s="1">
        <v>161.0</v>
      </c>
      <c r="Z385" s="1">
        <v>69.0</v>
      </c>
      <c r="AA385" s="1"/>
      <c r="AB385" s="1">
        <v>13.0</v>
      </c>
      <c r="AC385" s="1">
        <v>150.0</v>
      </c>
      <c r="AD385" s="1">
        <v>170.0</v>
      </c>
      <c r="AE385" s="1">
        <v>60.0</v>
      </c>
      <c r="AF385" s="1">
        <v>40.0</v>
      </c>
      <c r="AG385" s="1">
        <v>45.0</v>
      </c>
      <c r="AH385" s="1"/>
      <c r="AI385" s="1">
        <v>205.0</v>
      </c>
      <c r="AJ385" s="1">
        <v>60.0</v>
      </c>
      <c r="AK385" s="1">
        <v>100.0</v>
      </c>
      <c r="AL385" s="1">
        <v>175.0</v>
      </c>
      <c r="AM385" s="1">
        <v>130.0</v>
      </c>
      <c r="AN385" s="3">
        <v>47.0</v>
      </c>
      <c r="AO385" s="3">
        <v>160.0</v>
      </c>
      <c r="AP385" s="3">
        <v>70.0</v>
      </c>
      <c r="AQ385" s="3"/>
      <c r="AR385" s="1">
        <v>854.0</v>
      </c>
      <c r="AS385" s="1">
        <v>250.0</v>
      </c>
      <c r="AT385" s="1">
        <v>220.0</v>
      </c>
      <c r="AU385" s="3">
        <v>223.0</v>
      </c>
      <c r="AV385" s="1">
        <v>120.0</v>
      </c>
      <c r="AW385" s="3">
        <v>384.0</v>
      </c>
      <c r="AX385" s="3"/>
      <c r="AY385" s="3">
        <v>142.0</v>
      </c>
      <c r="AZ385" s="1">
        <v>40.0</v>
      </c>
      <c r="BA385" s="1"/>
      <c r="BB385" s="3">
        <v>225.0</v>
      </c>
      <c r="BC385" s="1">
        <v>150.0</v>
      </c>
      <c r="BD385" s="1">
        <v>190.0</v>
      </c>
      <c r="BE385" s="1">
        <v>80.0</v>
      </c>
      <c r="BF385" s="3">
        <v>328.0</v>
      </c>
      <c r="BG385" s="1">
        <v>213.0</v>
      </c>
      <c r="BH385" s="1">
        <v>23.0</v>
      </c>
      <c r="BI385" s="1">
        <v>40.0</v>
      </c>
      <c r="BJ385" s="1">
        <v>278.0</v>
      </c>
      <c r="BK385" s="3"/>
      <c r="BL385" s="1">
        <v>160.0</v>
      </c>
      <c r="BM385" s="1">
        <v>75.0</v>
      </c>
      <c r="BN385" s="32">
        <v>1802.0</v>
      </c>
      <c r="BO385" s="1">
        <v>47.0</v>
      </c>
      <c r="BP385" s="3">
        <v>48.0</v>
      </c>
      <c r="BQ385" s="1">
        <v>188.0</v>
      </c>
      <c r="BR385" s="27">
        <v>68782.0</v>
      </c>
    </row>
    <row r="386">
      <c r="A386" s="25">
        <f>'Equity Price Data'!A387</f>
        <v>45982.66667</v>
      </c>
      <c r="B386" s="34">
        <f>(('PRACTICE Equity Price Data'!B387/'PRACTICE Equity Price Data'!B386)-1)+B385</f>
        <v>0.2571129711</v>
      </c>
      <c r="C386" s="34">
        <f>(('PRACTICE Equity Price Data'!C387/'PRACTICE Equity Price Data'!C386)-1)+C385</f>
        <v>0.3462024407</v>
      </c>
      <c r="D386" s="34">
        <f>(('PRACTICE Equity Price Data'!D387/'PRACTICE Equity Price Data'!D386)-1)+D385</f>
        <v>0.1773753851</v>
      </c>
      <c r="E386" s="34">
        <f>(('PRACTICE Equity Price Data'!E387/'PRACTICE Equity Price Data'!E386)-1)+E385</f>
        <v>0.1782963349</v>
      </c>
      <c r="F386" s="3">
        <v>13.0</v>
      </c>
      <c r="G386" s="3">
        <v>260.0</v>
      </c>
      <c r="H386" s="3">
        <v>110.0</v>
      </c>
      <c r="I386" s="3">
        <v>256.0</v>
      </c>
      <c r="J386" s="3">
        <v>83.0</v>
      </c>
      <c r="K386" s="3">
        <v>188.0</v>
      </c>
      <c r="L386" s="3">
        <v>1000.0</v>
      </c>
      <c r="M386" s="3">
        <v>102.0</v>
      </c>
      <c r="N386" s="3">
        <v>200.0</v>
      </c>
      <c r="O386" s="3">
        <v>121.0</v>
      </c>
      <c r="P386" s="3">
        <v>146.0</v>
      </c>
      <c r="Q386" s="3">
        <v>80.0</v>
      </c>
      <c r="R386" s="3">
        <v>150.0</v>
      </c>
      <c r="S386" s="3">
        <v>417.0</v>
      </c>
      <c r="T386" s="3">
        <v>120.0</v>
      </c>
      <c r="U386" s="3">
        <v>80.0</v>
      </c>
      <c r="V386" s="1">
        <v>88.0</v>
      </c>
      <c r="W386" s="1">
        <v>250.0</v>
      </c>
      <c r="X386" s="1">
        <v>264.0</v>
      </c>
      <c r="Y386" s="1">
        <v>161.0</v>
      </c>
      <c r="Z386" s="1">
        <v>69.0</v>
      </c>
      <c r="AA386" s="1"/>
      <c r="AB386" s="1">
        <v>13.0</v>
      </c>
      <c r="AC386" s="1">
        <v>150.0</v>
      </c>
      <c r="AD386" s="1">
        <v>170.0</v>
      </c>
      <c r="AE386" s="1">
        <v>60.0</v>
      </c>
      <c r="AF386" s="1">
        <v>40.0</v>
      </c>
      <c r="AG386" s="1">
        <v>45.0</v>
      </c>
      <c r="AH386" s="1"/>
      <c r="AI386" s="1">
        <v>205.0</v>
      </c>
      <c r="AJ386" s="1">
        <v>60.0</v>
      </c>
      <c r="AK386" s="1">
        <v>100.0</v>
      </c>
      <c r="AL386" s="1">
        <v>175.0</v>
      </c>
      <c r="AM386" s="1">
        <v>130.0</v>
      </c>
      <c r="AN386" s="3">
        <v>47.0</v>
      </c>
      <c r="AO386" s="3">
        <v>160.0</v>
      </c>
      <c r="AP386" s="3">
        <v>70.0</v>
      </c>
      <c r="AQ386" s="3"/>
      <c r="AR386" s="1">
        <v>854.0</v>
      </c>
      <c r="AS386" s="1">
        <v>250.0</v>
      </c>
      <c r="AT386" s="1">
        <v>220.0</v>
      </c>
      <c r="AU386" s="3">
        <v>223.0</v>
      </c>
      <c r="AV386" s="1">
        <v>120.0</v>
      </c>
      <c r="AW386" s="3">
        <v>384.0</v>
      </c>
      <c r="AX386" s="3"/>
      <c r="AY386" s="3">
        <v>142.0</v>
      </c>
      <c r="AZ386" s="1">
        <v>40.0</v>
      </c>
      <c r="BA386" s="1"/>
      <c r="BB386" s="3">
        <v>225.0</v>
      </c>
      <c r="BC386" s="1">
        <v>150.0</v>
      </c>
      <c r="BD386" s="1">
        <v>190.0</v>
      </c>
      <c r="BE386" s="1">
        <v>80.0</v>
      </c>
      <c r="BF386" s="3">
        <v>328.0</v>
      </c>
      <c r="BG386" s="1">
        <v>213.0</v>
      </c>
      <c r="BH386" s="1">
        <v>23.0</v>
      </c>
      <c r="BI386" s="1">
        <v>40.0</v>
      </c>
      <c r="BJ386" s="1">
        <v>278.0</v>
      </c>
      <c r="BK386" s="3"/>
      <c r="BL386" s="1">
        <v>160.0</v>
      </c>
      <c r="BM386" s="1">
        <v>75.0</v>
      </c>
      <c r="BN386" s="32">
        <v>1802.0</v>
      </c>
      <c r="BO386" s="1">
        <v>47.0</v>
      </c>
      <c r="BP386" s="3">
        <v>48.0</v>
      </c>
      <c r="BQ386" s="1">
        <v>188.0</v>
      </c>
      <c r="BR386" s="27">
        <v>68782.0</v>
      </c>
    </row>
    <row r="387">
      <c r="A387" s="25">
        <f>'Equity Price Data'!A388</f>
        <v>45985.66667</v>
      </c>
      <c r="B387" s="34">
        <f>(('PRACTICE Equity Price Data'!B388/'PRACTICE Equity Price Data'!B387)-1)+B386</f>
        <v>0.2725802064</v>
      </c>
      <c r="C387" s="34">
        <f>(('PRACTICE Equity Price Data'!C388/'PRACTICE Equity Price Data'!C387)-1)+C386</f>
        <v>0.3730927495</v>
      </c>
      <c r="D387" s="34">
        <f>(('PRACTICE Equity Price Data'!D388/'PRACTICE Equity Price Data'!D387)-1)+D386</f>
        <v>0.1817619826</v>
      </c>
      <c r="E387" s="34">
        <f>(('PRACTICE Equity Price Data'!E388/'PRACTICE Equity Price Data'!E387)-1)+E386</f>
        <v>0.1971561376</v>
      </c>
      <c r="F387" s="3">
        <v>13.0</v>
      </c>
      <c r="G387" s="3">
        <v>260.0</v>
      </c>
      <c r="H387" s="3">
        <v>110.0</v>
      </c>
      <c r="I387" s="3">
        <v>256.0</v>
      </c>
      <c r="J387" s="3">
        <v>83.0</v>
      </c>
      <c r="K387" s="3">
        <v>188.0</v>
      </c>
      <c r="L387" s="3">
        <v>1000.0</v>
      </c>
      <c r="M387" s="3">
        <v>102.0</v>
      </c>
      <c r="N387" s="3">
        <v>200.0</v>
      </c>
      <c r="O387" s="3">
        <v>121.0</v>
      </c>
      <c r="P387" s="3">
        <v>146.0</v>
      </c>
      <c r="Q387" s="3">
        <v>80.0</v>
      </c>
      <c r="R387" s="3">
        <v>150.0</v>
      </c>
      <c r="S387" s="3">
        <v>417.0</v>
      </c>
      <c r="T387" s="3">
        <v>120.0</v>
      </c>
      <c r="U387" s="3">
        <v>80.0</v>
      </c>
      <c r="V387" s="1">
        <v>88.0</v>
      </c>
      <c r="W387" s="1">
        <v>250.0</v>
      </c>
      <c r="X387" s="1">
        <v>264.0</v>
      </c>
      <c r="Y387" s="1">
        <v>161.0</v>
      </c>
      <c r="Z387" s="1">
        <v>69.0</v>
      </c>
      <c r="AA387" s="1"/>
      <c r="AB387" s="1">
        <v>13.0</v>
      </c>
      <c r="AC387" s="1">
        <v>150.0</v>
      </c>
      <c r="AD387" s="1">
        <v>170.0</v>
      </c>
      <c r="AE387" s="1">
        <v>60.0</v>
      </c>
      <c r="AF387" s="1">
        <v>40.0</v>
      </c>
      <c r="AG387" s="1">
        <v>45.0</v>
      </c>
      <c r="AH387" s="1"/>
      <c r="AI387" s="1">
        <v>205.0</v>
      </c>
      <c r="AJ387" s="1">
        <v>60.0</v>
      </c>
      <c r="AK387" s="1">
        <v>100.0</v>
      </c>
      <c r="AL387" s="1">
        <v>175.0</v>
      </c>
      <c r="AM387" s="1">
        <v>130.0</v>
      </c>
      <c r="AN387" s="3">
        <v>47.0</v>
      </c>
      <c r="AO387" s="3">
        <v>160.0</v>
      </c>
      <c r="AP387" s="3">
        <v>70.0</v>
      </c>
      <c r="AQ387" s="3"/>
      <c r="AR387" s="1">
        <v>854.0</v>
      </c>
      <c r="AS387" s="1">
        <v>250.0</v>
      </c>
      <c r="AT387" s="1">
        <v>220.0</v>
      </c>
      <c r="AU387" s="3">
        <v>223.0</v>
      </c>
      <c r="AV387" s="1">
        <v>120.0</v>
      </c>
      <c r="AW387" s="3">
        <v>384.0</v>
      </c>
      <c r="AX387" s="3"/>
      <c r="AY387" s="3">
        <v>142.0</v>
      </c>
      <c r="AZ387" s="1">
        <v>40.0</v>
      </c>
      <c r="BA387" s="1"/>
      <c r="BB387" s="3">
        <v>225.0</v>
      </c>
      <c r="BC387" s="1">
        <v>150.0</v>
      </c>
      <c r="BD387" s="1">
        <v>190.0</v>
      </c>
      <c r="BE387" s="1">
        <v>80.0</v>
      </c>
      <c r="BF387" s="3">
        <v>328.0</v>
      </c>
      <c r="BG387" s="1">
        <v>213.0</v>
      </c>
      <c r="BH387" s="1">
        <v>23.0</v>
      </c>
      <c r="BI387" s="1">
        <v>40.0</v>
      </c>
      <c r="BJ387" s="1">
        <v>278.0</v>
      </c>
      <c r="BK387" s="3"/>
      <c r="BL387" s="1">
        <v>160.0</v>
      </c>
      <c r="BM387" s="1">
        <v>75.0</v>
      </c>
      <c r="BN387" s="32">
        <v>1802.0</v>
      </c>
      <c r="BO387" s="1">
        <v>47.0</v>
      </c>
      <c r="BP387" s="3">
        <v>48.0</v>
      </c>
      <c r="BQ387" s="1">
        <v>188.0</v>
      </c>
      <c r="BR387" s="27">
        <v>68782.0</v>
      </c>
    </row>
    <row r="388">
      <c r="A388" s="25">
        <f>'Equity Price Data'!A389</f>
        <v>45986.66667</v>
      </c>
      <c r="B388" s="34">
        <f>(('PRACTICE Equity Price Data'!B389/'PRACTICE Equity Price Data'!B388)-1)+B387</f>
        <v>0.2816419383</v>
      </c>
      <c r="C388" s="34">
        <f>(('PRACTICE Equity Price Data'!C389/'PRACTICE Equity Price Data'!C388)-1)+C387</f>
        <v>0.379807507</v>
      </c>
      <c r="D388" s="34">
        <f>(('PRACTICE Equity Price Data'!D389/'PRACTICE Equity Price Data'!D388)-1)+D387</f>
        <v>0.1960613311</v>
      </c>
      <c r="E388" s="34">
        <f>(('PRACTICE Equity Price Data'!E389/'PRACTICE Equity Price Data'!E388)-1)+E387</f>
        <v>0.2185703895</v>
      </c>
      <c r="F388" s="3">
        <v>13.0</v>
      </c>
      <c r="G388" s="3">
        <v>260.0</v>
      </c>
      <c r="H388" s="3">
        <v>110.0</v>
      </c>
      <c r="I388" s="3">
        <v>256.0</v>
      </c>
      <c r="J388" s="3">
        <v>83.0</v>
      </c>
      <c r="K388" s="3">
        <v>188.0</v>
      </c>
      <c r="L388" s="3">
        <v>1000.0</v>
      </c>
      <c r="M388" s="3">
        <v>102.0</v>
      </c>
      <c r="N388" s="3">
        <v>200.0</v>
      </c>
      <c r="O388" s="3">
        <v>121.0</v>
      </c>
      <c r="P388" s="3">
        <v>146.0</v>
      </c>
      <c r="Q388" s="3">
        <v>80.0</v>
      </c>
      <c r="R388" s="3">
        <v>150.0</v>
      </c>
      <c r="S388" s="3">
        <v>417.0</v>
      </c>
      <c r="T388" s="3">
        <v>120.0</v>
      </c>
      <c r="U388" s="3">
        <v>80.0</v>
      </c>
      <c r="V388" s="1">
        <v>88.0</v>
      </c>
      <c r="W388" s="1">
        <v>250.0</v>
      </c>
      <c r="X388" s="1">
        <v>264.0</v>
      </c>
      <c r="Y388" s="1">
        <v>161.0</v>
      </c>
      <c r="Z388" s="1">
        <v>69.0</v>
      </c>
      <c r="AA388" s="1"/>
      <c r="AB388" s="1">
        <v>13.0</v>
      </c>
      <c r="AC388" s="1">
        <v>150.0</v>
      </c>
      <c r="AD388" s="1">
        <v>170.0</v>
      </c>
      <c r="AE388" s="1">
        <v>60.0</v>
      </c>
      <c r="AF388" s="1">
        <v>40.0</v>
      </c>
      <c r="AG388" s="1">
        <v>45.0</v>
      </c>
      <c r="AH388" s="1"/>
      <c r="AI388" s="1">
        <v>205.0</v>
      </c>
      <c r="AJ388" s="1">
        <v>60.0</v>
      </c>
      <c r="AK388" s="1">
        <v>100.0</v>
      </c>
      <c r="AL388" s="1">
        <v>175.0</v>
      </c>
      <c r="AM388" s="1">
        <v>130.0</v>
      </c>
      <c r="AN388" s="3">
        <v>47.0</v>
      </c>
      <c r="AO388" s="3">
        <v>160.0</v>
      </c>
      <c r="AP388" s="3">
        <v>70.0</v>
      </c>
      <c r="AQ388" s="3"/>
      <c r="AR388" s="1">
        <v>854.0</v>
      </c>
      <c r="AS388" s="1">
        <v>250.0</v>
      </c>
      <c r="AT388" s="1">
        <v>220.0</v>
      </c>
      <c r="AU388" s="3">
        <v>223.0</v>
      </c>
      <c r="AV388" s="1">
        <v>120.0</v>
      </c>
      <c r="AW388" s="3">
        <v>384.0</v>
      </c>
      <c r="AX388" s="3"/>
      <c r="AY388" s="3">
        <v>142.0</v>
      </c>
      <c r="AZ388" s="1">
        <v>40.0</v>
      </c>
      <c r="BA388" s="1"/>
      <c r="BB388" s="3">
        <v>225.0</v>
      </c>
      <c r="BC388" s="1">
        <v>150.0</v>
      </c>
      <c r="BD388" s="1">
        <v>190.0</v>
      </c>
      <c r="BE388" s="1">
        <v>80.0</v>
      </c>
      <c r="BF388" s="3">
        <v>328.0</v>
      </c>
      <c r="BG388" s="1">
        <v>213.0</v>
      </c>
      <c r="BH388" s="1">
        <v>23.0</v>
      </c>
      <c r="BI388" s="1">
        <v>40.0</v>
      </c>
      <c r="BJ388" s="1">
        <v>278.0</v>
      </c>
      <c r="BK388" s="3"/>
      <c r="BL388" s="1">
        <v>160.0</v>
      </c>
      <c r="BM388" s="1">
        <v>75.0</v>
      </c>
      <c r="BN388" s="32">
        <v>1802.0</v>
      </c>
      <c r="BO388" s="1">
        <v>47.0</v>
      </c>
      <c r="BP388" s="3">
        <v>48.0</v>
      </c>
      <c r="BQ388" s="1">
        <v>188.0</v>
      </c>
      <c r="BR388" s="27">
        <v>68782.0</v>
      </c>
    </row>
    <row r="389">
      <c r="A389" s="25">
        <f>'Equity Price Data'!A390</f>
        <v>45987.66667</v>
      </c>
      <c r="B389" s="34">
        <f>(('PRACTICE Equity Price Data'!B390/'PRACTICE Equity Price Data'!B389)-1)+B388</f>
        <v>0.2885486526</v>
      </c>
      <c r="C389" s="34">
        <f>(('PRACTICE Equity Price Data'!C390/'PRACTICE Equity Price Data'!C389)-1)+C388</f>
        <v>0.3880201087</v>
      </c>
      <c r="D389" s="34">
        <f>(('PRACTICE Equity Price Data'!D390/'PRACTICE Equity Price Data'!D389)-1)+D388</f>
        <v>0.2027404573</v>
      </c>
      <c r="E389" s="34">
        <f>(('PRACTICE Equity Price Data'!E390/'PRACTICE Equity Price Data'!E389)-1)+E388</f>
        <v>0.2267375279</v>
      </c>
      <c r="F389" s="3">
        <v>13.0</v>
      </c>
      <c r="G389" s="3">
        <v>260.0</v>
      </c>
      <c r="H389" s="3">
        <v>110.0</v>
      </c>
      <c r="I389" s="3">
        <v>256.0</v>
      </c>
      <c r="J389" s="3">
        <v>83.0</v>
      </c>
      <c r="K389" s="3">
        <v>188.0</v>
      </c>
      <c r="L389" s="3">
        <v>1000.0</v>
      </c>
      <c r="M389" s="3">
        <v>102.0</v>
      </c>
      <c r="N389" s="3">
        <v>200.0</v>
      </c>
      <c r="O389" s="3">
        <v>121.0</v>
      </c>
      <c r="P389" s="3">
        <v>146.0</v>
      </c>
      <c r="Q389" s="3">
        <v>80.0</v>
      </c>
      <c r="R389" s="3">
        <v>150.0</v>
      </c>
      <c r="S389" s="3">
        <v>417.0</v>
      </c>
      <c r="T389" s="3">
        <v>120.0</v>
      </c>
      <c r="U389" s="3">
        <v>80.0</v>
      </c>
      <c r="V389" s="1">
        <v>88.0</v>
      </c>
      <c r="W389" s="1">
        <v>250.0</v>
      </c>
      <c r="X389" s="1">
        <v>264.0</v>
      </c>
      <c r="Y389" s="1">
        <v>161.0</v>
      </c>
      <c r="Z389" s="1">
        <v>69.0</v>
      </c>
      <c r="AA389" s="1"/>
      <c r="AB389" s="1">
        <v>13.0</v>
      </c>
      <c r="AC389" s="1">
        <v>150.0</v>
      </c>
      <c r="AD389" s="1">
        <v>170.0</v>
      </c>
      <c r="AE389" s="1">
        <v>60.0</v>
      </c>
      <c r="AF389" s="1">
        <v>40.0</v>
      </c>
      <c r="AG389" s="1">
        <v>45.0</v>
      </c>
      <c r="AH389" s="1"/>
      <c r="AI389" s="1">
        <v>205.0</v>
      </c>
      <c r="AJ389" s="1">
        <v>60.0</v>
      </c>
      <c r="AK389" s="1">
        <v>100.0</v>
      </c>
      <c r="AL389" s="1">
        <v>175.0</v>
      </c>
      <c r="AM389" s="1">
        <v>130.0</v>
      </c>
      <c r="AN389" s="3">
        <v>47.0</v>
      </c>
      <c r="AO389" s="3">
        <v>160.0</v>
      </c>
      <c r="AP389" s="3">
        <v>70.0</v>
      </c>
      <c r="AQ389" s="3"/>
      <c r="AR389" s="1">
        <v>854.0</v>
      </c>
      <c r="AS389" s="1">
        <v>250.0</v>
      </c>
      <c r="AT389" s="1">
        <v>220.0</v>
      </c>
      <c r="AU389" s="3">
        <v>223.0</v>
      </c>
      <c r="AV389" s="1">
        <v>120.0</v>
      </c>
      <c r="AW389" s="3">
        <v>384.0</v>
      </c>
      <c r="AX389" s="3"/>
      <c r="AY389" s="3">
        <v>142.0</v>
      </c>
      <c r="AZ389" s="1">
        <v>40.0</v>
      </c>
      <c r="BA389" s="1"/>
      <c r="BB389" s="3">
        <v>225.0</v>
      </c>
      <c r="BC389" s="1">
        <v>150.0</v>
      </c>
      <c r="BD389" s="1">
        <v>190.0</v>
      </c>
      <c r="BE389" s="1">
        <v>80.0</v>
      </c>
      <c r="BF389" s="3">
        <v>328.0</v>
      </c>
      <c r="BG389" s="1">
        <v>213.0</v>
      </c>
      <c r="BH389" s="1">
        <v>23.0</v>
      </c>
      <c r="BI389" s="1">
        <v>40.0</v>
      </c>
      <c r="BJ389" s="1">
        <v>278.0</v>
      </c>
      <c r="BK389" s="3"/>
      <c r="BL389" s="1">
        <v>160.0</v>
      </c>
      <c r="BM389" s="1">
        <v>75.0</v>
      </c>
      <c r="BN389" s="32">
        <v>1802.0</v>
      </c>
      <c r="BO389" s="1">
        <v>47.0</v>
      </c>
      <c r="BP389" s="3">
        <v>48.0</v>
      </c>
      <c r="BQ389" s="1">
        <v>188.0</v>
      </c>
      <c r="BR389" s="27">
        <v>68782.0</v>
      </c>
    </row>
    <row r="390">
      <c r="A390" s="25">
        <f>'Equity Price Data'!A391</f>
        <v>45989.54514</v>
      </c>
      <c r="B390" s="34">
        <f>(('PRACTICE Equity Price Data'!B391/'PRACTICE Equity Price Data'!B390)-1)+B389</f>
        <v>0.2939034285</v>
      </c>
      <c r="C390" s="34">
        <f>(('PRACTICE Equity Price Data'!C391/'PRACTICE Equity Price Data'!C390)-1)+C389</f>
        <v>0.3945246108</v>
      </c>
      <c r="D390" s="34">
        <f>(('PRACTICE Equity Price Data'!D391/'PRACTICE Equity Price Data'!D390)-1)+D389</f>
        <v>0.2088403427</v>
      </c>
      <c r="E390" s="34">
        <f>(('PRACTICE Equity Price Data'!E391/'PRACTICE Equity Price Data'!E390)-1)+E389</f>
        <v>0.232493485</v>
      </c>
      <c r="F390" s="3">
        <v>13.0</v>
      </c>
      <c r="G390" s="3">
        <v>260.0</v>
      </c>
      <c r="H390" s="3">
        <v>110.0</v>
      </c>
      <c r="I390" s="3">
        <v>256.0</v>
      </c>
      <c r="J390" s="3">
        <v>83.0</v>
      </c>
      <c r="K390" s="3">
        <v>188.0</v>
      </c>
      <c r="L390" s="3">
        <v>1000.0</v>
      </c>
      <c r="M390" s="3">
        <v>102.0</v>
      </c>
      <c r="N390" s="3">
        <v>200.0</v>
      </c>
      <c r="O390" s="3">
        <v>121.0</v>
      </c>
      <c r="P390" s="3">
        <v>146.0</v>
      </c>
      <c r="Q390" s="3">
        <v>80.0</v>
      </c>
      <c r="R390" s="3">
        <v>150.0</v>
      </c>
      <c r="S390" s="3">
        <v>417.0</v>
      </c>
      <c r="T390" s="3">
        <v>120.0</v>
      </c>
      <c r="U390" s="3">
        <v>80.0</v>
      </c>
      <c r="V390" s="1">
        <v>88.0</v>
      </c>
      <c r="W390" s="1">
        <v>250.0</v>
      </c>
      <c r="X390" s="1">
        <v>264.0</v>
      </c>
      <c r="Y390" s="1">
        <v>161.0</v>
      </c>
      <c r="Z390" s="1">
        <v>69.0</v>
      </c>
      <c r="AA390" s="1"/>
      <c r="AB390" s="1">
        <v>13.0</v>
      </c>
      <c r="AC390" s="1">
        <v>150.0</v>
      </c>
      <c r="AD390" s="1">
        <v>170.0</v>
      </c>
      <c r="AE390" s="1">
        <v>60.0</v>
      </c>
      <c r="AF390" s="1">
        <v>40.0</v>
      </c>
      <c r="AG390" s="1">
        <v>45.0</v>
      </c>
      <c r="AH390" s="1"/>
      <c r="AI390" s="1">
        <v>205.0</v>
      </c>
      <c r="AJ390" s="1">
        <v>60.0</v>
      </c>
      <c r="AK390" s="1">
        <v>100.0</v>
      </c>
      <c r="AL390" s="1">
        <v>175.0</v>
      </c>
      <c r="AM390" s="1">
        <v>130.0</v>
      </c>
      <c r="AN390" s="3">
        <v>47.0</v>
      </c>
      <c r="AO390" s="3">
        <v>160.0</v>
      </c>
      <c r="AP390" s="3">
        <v>70.0</v>
      </c>
      <c r="AQ390" s="3"/>
      <c r="AR390" s="1">
        <v>854.0</v>
      </c>
      <c r="AS390" s="1">
        <v>250.0</v>
      </c>
      <c r="AT390" s="1">
        <v>220.0</v>
      </c>
      <c r="AU390" s="3">
        <v>223.0</v>
      </c>
      <c r="AV390" s="1">
        <v>120.0</v>
      </c>
      <c r="AW390" s="3">
        <v>384.0</v>
      </c>
      <c r="AX390" s="3"/>
      <c r="AY390" s="3">
        <v>142.0</v>
      </c>
      <c r="AZ390" s="1">
        <v>40.0</v>
      </c>
      <c r="BA390" s="1"/>
      <c r="BB390" s="3">
        <v>225.0</v>
      </c>
      <c r="BC390" s="1">
        <v>150.0</v>
      </c>
      <c r="BD390" s="1">
        <v>190.0</v>
      </c>
      <c r="BE390" s="1">
        <v>80.0</v>
      </c>
      <c r="BF390" s="3">
        <v>328.0</v>
      </c>
      <c r="BG390" s="1">
        <v>213.0</v>
      </c>
      <c r="BH390" s="1">
        <v>23.0</v>
      </c>
      <c r="BI390" s="1">
        <v>40.0</v>
      </c>
      <c r="BJ390" s="1">
        <v>278.0</v>
      </c>
      <c r="BK390" s="3"/>
      <c r="BL390" s="1">
        <v>160.0</v>
      </c>
      <c r="BM390" s="1">
        <v>75.0</v>
      </c>
      <c r="BN390" s="32">
        <v>1802.0</v>
      </c>
      <c r="BO390" s="1">
        <v>47.0</v>
      </c>
      <c r="BP390" s="3">
        <v>48.0</v>
      </c>
      <c r="BQ390" s="1">
        <v>188.0</v>
      </c>
      <c r="BR390" s="27">
        <v>68782.0</v>
      </c>
    </row>
    <row r="391">
      <c r="A391" s="25">
        <f>'Equity Price Data'!A392</f>
        <v>45992.66667</v>
      </c>
      <c r="B391" s="34">
        <f>(('PRACTICE Equity Price Data'!B392/'PRACTICE Equity Price Data'!B391)-1)+B390</f>
        <v>0.2885800936</v>
      </c>
      <c r="C391" s="34">
        <f>(('PRACTICE Equity Price Data'!C392/'PRACTICE Equity Price Data'!C391)-1)+C390</f>
        <v>0.3906826528</v>
      </c>
      <c r="D391" s="34">
        <f>(('PRACTICE Equity Price Data'!D392/'PRACTICE Equity Price Data'!D391)-1)+D390</f>
        <v>0.1998897551</v>
      </c>
      <c r="E391" s="34">
        <f>(('PRACTICE Equity Price Data'!E392/'PRACTICE Equity Price Data'!E391)-1)+E390</f>
        <v>0.2199756381</v>
      </c>
      <c r="F391" s="3">
        <v>13.0</v>
      </c>
      <c r="G391" s="3">
        <v>260.0</v>
      </c>
      <c r="H391" s="3">
        <v>110.0</v>
      </c>
      <c r="I391" s="3">
        <v>256.0</v>
      </c>
      <c r="J391" s="3">
        <v>83.0</v>
      </c>
      <c r="K391" s="3">
        <v>188.0</v>
      </c>
      <c r="L391" s="3">
        <v>1000.0</v>
      </c>
      <c r="M391" s="3">
        <v>102.0</v>
      </c>
      <c r="N391" s="3">
        <v>200.0</v>
      </c>
      <c r="O391" s="3">
        <v>121.0</v>
      </c>
      <c r="P391" s="3">
        <v>146.0</v>
      </c>
      <c r="Q391" s="3">
        <v>80.0</v>
      </c>
      <c r="R391" s="3">
        <v>150.0</v>
      </c>
      <c r="S391" s="3">
        <v>417.0</v>
      </c>
      <c r="T391" s="3">
        <v>120.0</v>
      </c>
      <c r="U391" s="3">
        <v>80.0</v>
      </c>
      <c r="V391" s="1">
        <v>88.0</v>
      </c>
      <c r="W391" s="1">
        <v>250.0</v>
      </c>
      <c r="X391" s="1">
        <v>264.0</v>
      </c>
      <c r="Y391" s="1">
        <v>161.0</v>
      </c>
      <c r="Z391" s="1">
        <v>69.0</v>
      </c>
      <c r="AA391" s="1"/>
      <c r="AB391" s="1">
        <v>13.0</v>
      </c>
      <c r="AC391" s="1">
        <v>150.0</v>
      </c>
      <c r="AD391" s="1">
        <v>170.0</v>
      </c>
      <c r="AE391" s="1">
        <v>60.0</v>
      </c>
      <c r="AF391" s="1">
        <v>40.0</v>
      </c>
      <c r="AG391" s="1">
        <v>45.0</v>
      </c>
      <c r="AH391" s="1"/>
      <c r="AI391" s="1">
        <v>205.0</v>
      </c>
      <c r="AJ391" s="1">
        <v>60.0</v>
      </c>
      <c r="AK391" s="1">
        <v>100.0</v>
      </c>
      <c r="AL391" s="1">
        <v>175.0</v>
      </c>
      <c r="AM391" s="1">
        <v>130.0</v>
      </c>
      <c r="AN391" s="3">
        <v>47.0</v>
      </c>
      <c r="AO391" s="3">
        <v>160.0</v>
      </c>
      <c r="AP391" s="3">
        <v>70.0</v>
      </c>
      <c r="AQ391" s="3"/>
      <c r="AR391" s="1">
        <v>854.0</v>
      </c>
      <c r="AS391" s="1">
        <v>250.0</v>
      </c>
      <c r="AT391" s="1">
        <v>220.0</v>
      </c>
      <c r="AU391" s="3">
        <v>223.0</v>
      </c>
      <c r="AV391" s="1">
        <v>120.0</v>
      </c>
      <c r="AW391" s="3">
        <v>384.0</v>
      </c>
      <c r="AX391" s="3"/>
      <c r="AY391" s="3">
        <v>142.0</v>
      </c>
      <c r="AZ391" s="1">
        <v>40.0</v>
      </c>
      <c r="BA391" s="1"/>
      <c r="BB391" s="3">
        <v>225.0</v>
      </c>
      <c r="BC391" s="1">
        <v>150.0</v>
      </c>
      <c r="BD391" s="1">
        <v>190.0</v>
      </c>
      <c r="BE391" s="1">
        <v>80.0</v>
      </c>
      <c r="BF391" s="3">
        <v>328.0</v>
      </c>
      <c r="BG391" s="1">
        <v>213.0</v>
      </c>
      <c r="BH391" s="1">
        <v>23.0</v>
      </c>
      <c r="BI391" s="1">
        <v>40.0</v>
      </c>
      <c r="BJ391" s="1">
        <v>278.0</v>
      </c>
      <c r="BK391" s="3"/>
      <c r="BL391" s="1">
        <v>160.0</v>
      </c>
      <c r="BM391" s="1">
        <v>75.0</v>
      </c>
      <c r="BN391" s="32">
        <v>1802.0</v>
      </c>
      <c r="BO391" s="1">
        <v>47.0</v>
      </c>
      <c r="BP391" s="3">
        <v>48.0</v>
      </c>
      <c r="BQ391" s="1">
        <v>188.0</v>
      </c>
      <c r="BR391" s="27">
        <v>68782.0</v>
      </c>
    </row>
    <row r="392">
      <c r="A392" s="25">
        <f>'Equity Price Data'!A393</f>
        <v>45993.66667</v>
      </c>
      <c r="B392" s="34">
        <f>(('PRACTICE Equity Price Data'!B393/'PRACTICE Equity Price Data'!B392)-1)+B391</f>
        <v>0.2910372944</v>
      </c>
      <c r="C392" s="34">
        <f>(('PRACTICE Equity Price Data'!C393/'PRACTICE Equity Price Data'!C392)-1)+C391</f>
        <v>0.3966007862</v>
      </c>
      <c r="D392" s="34">
        <f>(('PRACTICE Equity Price Data'!D393/'PRACTICE Equity Price Data'!D392)-1)+D391</f>
        <v>0.2038045917</v>
      </c>
      <c r="E392" s="34">
        <f>(('PRACTICE Equity Price Data'!E393/'PRACTICE Equity Price Data'!E392)-1)+E391</f>
        <v>0.2182948841</v>
      </c>
      <c r="F392" s="3">
        <v>13.0</v>
      </c>
      <c r="G392" s="3">
        <v>260.0</v>
      </c>
      <c r="H392" s="3">
        <v>110.0</v>
      </c>
      <c r="I392" s="3">
        <v>256.0</v>
      </c>
      <c r="J392" s="3">
        <v>83.0</v>
      </c>
      <c r="K392" s="3">
        <v>188.0</v>
      </c>
      <c r="L392" s="3">
        <v>1000.0</v>
      </c>
      <c r="M392" s="3">
        <v>102.0</v>
      </c>
      <c r="N392" s="3">
        <v>200.0</v>
      </c>
      <c r="O392" s="3">
        <v>121.0</v>
      </c>
      <c r="P392" s="3">
        <v>146.0</v>
      </c>
      <c r="Q392" s="3">
        <v>80.0</v>
      </c>
      <c r="R392" s="3">
        <v>150.0</v>
      </c>
      <c r="S392" s="3">
        <v>417.0</v>
      </c>
      <c r="T392" s="3">
        <v>120.0</v>
      </c>
      <c r="U392" s="3">
        <v>80.0</v>
      </c>
      <c r="V392" s="1">
        <v>88.0</v>
      </c>
      <c r="W392" s="1">
        <v>250.0</v>
      </c>
      <c r="X392" s="1">
        <v>264.0</v>
      </c>
      <c r="Y392" s="1">
        <v>161.0</v>
      </c>
      <c r="Z392" s="1">
        <v>69.0</v>
      </c>
      <c r="AA392" s="1"/>
      <c r="AB392" s="1">
        <v>13.0</v>
      </c>
      <c r="AC392" s="1">
        <v>150.0</v>
      </c>
      <c r="AD392" s="1">
        <v>170.0</v>
      </c>
      <c r="AE392" s="1">
        <v>60.0</v>
      </c>
      <c r="AF392" s="1">
        <v>40.0</v>
      </c>
      <c r="AG392" s="1">
        <v>45.0</v>
      </c>
      <c r="AH392" s="1"/>
      <c r="AI392" s="1">
        <v>205.0</v>
      </c>
      <c r="AJ392" s="1">
        <v>60.0</v>
      </c>
      <c r="AK392" s="1">
        <v>100.0</v>
      </c>
      <c r="AL392" s="1">
        <v>175.0</v>
      </c>
      <c r="AM392" s="1">
        <v>130.0</v>
      </c>
      <c r="AN392" s="3">
        <v>47.0</v>
      </c>
      <c r="AO392" s="3">
        <v>160.0</v>
      </c>
      <c r="AP392" s="3">
        <v>70.0</v>
      </c>
      <c r="AQ392" s="3"/>
      <c r="AR392" s="1">
        <v>854.0</v>
      </c>
      <c r="AS392" s="1">
        <v>250.0</v>
      </c>
      <c r="AT392" s="1">
        <v>220.0</v>
      </c>
      <c r="AU392" s="3">
        <v>223.0</v>
      </c>
      <c r="AV392" s="1">
        <v>120.0</v>
      </c>
      <c r="AW392" s="3">
        <v>384.0</v>
      </c>
      <c r="AX392" s="3"/>
      <c r="AY392" s="3">
        <v>142.0</v>
      </c>
      <c r="AZ392" s="1">
        <v>40.0</v>
      </c>
      <c r="BA392" s="1"/>
      <c r="BB392" s="3">
        <v>225.0</v>
      </c>
      <c r="BC392" s="1">
        <v>150.0</v>
      </c>
      <c r="BD392" s="1">
        <v>190.0</v>
      </c>
      <c r="BE392" s="1">
        <v>80.0</v>
      </c>
      <c r="BF392" s="3">
        <v>328.0</v>
      </c>
      <c r="BG392" s="1">
        <v>213.0</v>
      </c>
      <c r="BH392" s="1">
        <v>23.0</v>
      </c>
      <c r="BI392" s="1">
        <v>40.0</v>
      </c>
      <c r="BJ392" s="1">
        <v>278.0</v>
      </c>
      <c r="BK392" s="3"/>
      <c r="BL392" s="1">
        <v>160.0</v>
      </c>
      <c r="BM392" s="1">
        <v>75.0</v>
      </c>
      <c r="BN392" s="32">
        <v>1802.0</v>
      </c>
      <c r="BO392" s="1">
        <v>47.0</v>
      </c>
      <c r="BP392" s="3">
        <v>48.0</v>
      </c>
      <c r="BQ392" s="1">
        <v>188.0</v>
      </c>
      <c r="BR392" s="27">
        <v>68782.0</v>
      </c>
    </row>
    <row r="393">
      <c r="A393" s="25">
        <f>'Equity Price Data'!A394</f>
        <v>45994.66667</v>
      </c>
      <c r="B393" s="34">
        <f>(('PRACTICE Equity Price Data'!B394/'PRACTICE Equity Price Data'!B393)-1)+B392</f>
        <v>0.2940170715</v>
      </c>
      <c r="C393" s="34">
        <f>(('PRACTICE Equity Price Data'!C394/'PRACTICE Equity Price Data'!C393)-1)+C392</f>
        <v>0.3983271281</v>
      </c>
      <c r="D393" s="34">
        <f>(('PRACTICE Equity Price Data'!D394/'PRACTICE Equity Price Data'!D393)-1)+D392</f>
        <v>0.2124079544</v>
      </c>
      <c r="E393" s="34">
        <f>(('PRACTICE Equity Price Data'!E394/'PRACTICE Equity Price Data'!E393)-1)+E392</f>
        <v>0.2374268852</v>
      </c>
      <c r="F393" s="3">
        <v>13.0</v>
      </c>
      <c r="G393" s="3">
        <v>260.0</v>
      </c>
      <c r="H393" s="3">
        <v>110.0</v>
      </c>
      <c r="I393" s="3">
        <v>256.0</v>
      </c>
      <c r="J393" s="3">
        <v>83.0</v>
      </c>
      <c r="K393" s="3">
        <v>188.0</v>
      </c>
      <c r="L393" s="3">
        <v>1000.0</v>
      </c>
      <c r="M393" s="3">
        <v>102.0</v>
      </c>
      <c r="N393" s="3">
        <v>200.0</v>
      </c>
      <c r="O393" s="3">
        <v>121.0</v>
      </c>
      <c r="P393" s="3">
        <v>146.0</v>
      </c>
      <c r="Q393" s="3">
        <v>80.0</v>
      </c>
      <c r="R393" s="3">
        <v>150.0</v>
      </c>
      <c r="S393" s="3">
        <v>417.0</v>
      </c>
      <c r="T393" s="3">
        <v>120.0</v>
      </c>
      <c r="U393" s="3">
        <v>80.0</v>
      </c>
      <c r="V393" s="1">
        <v>88.0</v>
      </c>
      <c r="W393" s="1">
        <v>250.0</v>
      </c>
      <c r="X393" s="1">
        <v>264.0</v>
      </c>
      <c r="Y393" s="1">
        <v>161.0</v>
      </c>
      <c r="Z393" s="1">
        <v>69.0</v>
      </c>
      <c r="AA393" s="1"/>
      <c r="AB393" s="1">
        <v>13.0</v>
      </c>
      <c r="AC393" s="1">
        <v>150.0</v>
      </c>
      <c r="AD393" s="1">
        <v>170.0</v>
      </c>
      <c r="AE393" s="1">
        <v>60.0</v>
      </c>
      <c r="AF393" s="1">
        <v>40.0</v>
      </c>
      <c r="AG393" s="1">
        <v>45.0</v>
      </c>
      <c r="AH393" s="1"/>
      <c r="AI393" s="1">
        <v>205.0</v>
      </c>
      <c r="AJ393" s="1">
        <v>60.0</v>
      </c>
      <c r="AK393" s="1">
        <v>100.0</v>
      </c>
      <c r="AL393" s="1">
        <v>175.0</v>
      </c>
      <c r="AM393" s="1">
        <v>130.0</v>
      </c>
      <c r="AN393" s="3">
        <v>47.0</v>
      </c>
      <c r="AO393" s="3">
        <v>160.0</v>
      </c>
      <c r="AP393" s="3">
        <v>70.0</v>
      </c>
      <c r="AQ393" s="3"/>
      <c r="AR393" s="1">
        <v>854.0</v>
      </c>
      <c r="AS393" s="1">
        <v>250.0</v>
      </c>
      <c r="AT393" s="1">
        <v>220.0</v>
      </c>
      <c r="AU393" s="3">
        <v>223.0</v>
      </c>
      <c r="AV393" s="1">
        <v>120.0</v>
      </c>
      <c r="AW393" s="3">
        <v>384.0</v>
      </c>
      <c r="AX393" s="3"/>
      <c r="AY393" s="3">
        <v>142.0</v>
      </c>
      <c r="AZ393" s="1">
        <v>40.0</v>
      </c>
      <c r="BA393" s="1"/>
      <c r="BB393" s="3">
        <v>225.0</v>
      </c>
      <c r="BC393" s="1">
        <v>150.0</v>
      </c>
      <c r="BD393" s="1">
        <v>190.0</v>
      </c>
      <c r="BE393" s="1">
        <v>80.0</v>
      </c>
      <c r="BF393" s="3">
        <v>328.0</v>
      </c>
      <c r="BG393" s="1">
        <v>213.0</v>
      </c>
      <c r="BH393" s="1">
        <v>23.0</v>
      </c>
      <c r="BI393" s="1">
        <v>40.0</v>
      </c>
      <c r="BJ393" s="1">
        <v>278.0</v>
      </c>
      <c r="BK393" s="3"/>
      <c r="BL393" s="1">
        <v>160.0</v>
      </c>
      <c r="BM393" s="1">
        <v>75.0</v>
      </c>
      <c r="BN393" s="32">
        <v>1802.0</v>
      </c>
      <c r="BO393" s="1">
        <v>47.0</v>
      </c>
      <c r="BP393" s="3">
        <v>48.0</v>
      </c>
      <c r="BQ393" s="1">
        <v>188.0</v>
      </c>
      <c r="BR393" s="27">
        <v>68782.0</v>
      </c>
    </row>
    <row r="394">
      <c r="A394" s="25">
        <f>'Equity Price Data'!A395</f>
        <v>45995.66667</v>
      </c>
      <c r="B394" s="34">
        <f>(('PRACTICE Equity Price Data'!B395/'PRACTICE Equity Price Data'!B394)-1)+B393</f>
        <v>0.2950974076</v>
      </c>
      <c r="C394" s="34">
        <f>(('PRACTICE Equity Price Data'!C395/'PRACTICE Equity Price Data'!C394)-1)+C393</f>
        <v>0.4005037208</v>
      </c>
      <c r="D394" s="34">
        <f>(('PRACTICE Equity Price Data'!D395/'PRACTICE Equity Price Data'!D394)-1)+D393</f>
        <v>0.2117404928</v>
      </c>
      <c r="E394" s="34">
        <f>(('PRACTICE Equity Price Data'!E395/'PRACTICE Equity Price Data'!E394)-1)+E393</f>
        <v>0.2449981193</v>
      </c>
      <c r="F394" s="3">
        <v>13.0</v>
      </c>
      <c r="G394" s="3">
        <v>260.0</v>
      </c>
      <c r="H394" s="3">
        <v>110.0</v>
      </c>
      <c r="I394" s="3">
        <v>256.0</v>
      </c>
      <c r="J394" s="3">
        <v>83.0</v>
      </c>
      <c r="K394" s="3">
        <v>188.0</v>
      </c>
      <c r="L394" s="3">
        <v>1000.0</v>
      </c>
      <c r="M394" s="3">
        <v>102.0</v>
      </c>
      <c r="N394" s="3">
        <v>200.0</v>
      </c>
      <c r="O394" s="3">
        <v>121.0</v>
      </c>
      <c r="P394" s="3">
        <v>146.0</v>
      </c>
      <c r="Q394" s="3">
        <v>80.0</v>
      </c>
      <c r="R394" s="3">
        <v>150.0</v>
      </c>
      <c r="S394" s="3">
        <v>417.0</v>
      </c>
      <c r="T394" s="3">
        <v>120.0</v>
      </c>
      <c r="U394" s="3">
        <v>80.0</v>
      </c>
      <c r="V394" s="1">
        <v>88.0</v>
      </c>
      <c r="W394" s="1">
        <v>250.0</v>
      </c>
      <c r="X394" s="1">
        <v>264.0</v>
      </c>
      <c r="Y394" s="1">
        <v>161.0</v>
      </c>
      <c r="Z394" s="1">
        <v>69.0</v>
      </c>
      <c r="AA394" s="1"/>
      <c r="AB394" s="1">
        <v>13.0</v>
      </c>
      <c r="AC394" s="1">
        <v>150.0</v>
      </c>
      <c r="AD394" s="1">
        <v>170.0</v>
      </c>
      <c r="AE394" s="1">
        <v>60.0</v>
      </c>
      <c r="AF394" s="1">
        <v>40.0</v>
      </c>
      <c r="AG394" s="1">
        <v>45.0</v>
      </c>
      <c r="AH394" s="1"/>
      <c r="AI394" s="1">
        <v>205.0</v>
      </c>
      <c r="AJ394" s="1">
        <v>60.0</v>
      </c>
      <c r="AK394" s="1">
        <v>100.0</v>
      </c>
      <c r="AL394" s="1">
        <v>175.0</v>
      </c>
      <c r="AM394" s="1">
        <v>130.0</v>
      </c>
      <c r="AN394" s="3">
        <v>47.0</v>
      </c>
      <c r="AO394" s="3">
        <v>160.0</v>
      </c>
      <c r="AP394" s="3">
        <v>70.0</v>
      </c>
      <c r="AQ394" s="3"/>
      <c r="AR394" s="1">
        <v>854.0</v>
      </c>
      <c r="AS394" s="1">
        <v>250.0</v>
      </c>
      <c r="AT394" s="1">
        <v>220.0</v>
      </c>
      <c r="AU394" s="3">
        <v>223.0</v>
      </c>
      <c r="AV394" s="1">
        <v>120.0</v>
      </c>
      <c r="AW394" s="3">
        <v>384.0</v>
      </c>
      <c r="AX394" s="3"/>
      <c r="AY394" s="3">
        <v>142.0</v>
      </c>
      <c r="AZ394" s="1">
        <v>40.0</v>
      </c>
      <c r="BA394" s="1"/>
      <c r="BB394" s="3">
        <v>225.0</v>
      </c>
      <c r="BC394" s="1">
        <v>150.0</v>
      </c>
      <c r="BD394" s="1">
        <v>190.0</v>
      </c>
      <c r="BE394" s="1">
        <v>80.0</v>
      </c>
      <c r="BF394" s="3">
        <v>328.0</v>
      </c>
      <c r="BG394" s="1">
        <v>213.0</v>
      </c>
      <c r="BH394" s="1">
        <v>23.0</v>
      </c>
      <c r="BI394" s="1">
        <v>40.0</v>
      </c>
      <c r="BJ394" s="1">
        <v>278.0</v>
      </c>
      <c r="BK394" s="3"/>
      <c r="BL394" s="1">
        <v>160.0</v>
      </c>
      <c r="BM394" s="1">
        <v>75.0</v>
      </c>
      <c r="BN394" s="32">
        <v>1802.0</v>
      </c>
      <c r="BO394" s="1">
        <v>47.0</v>
      </c>
      <c r="BP394" s="3">
        <v>48.0</v>
      </c>
      <c r="BQ394" s="1">
        <v>188.0</v>
      </c>
      <c r="BR394" s="27">
        <v>68782.0</v>
      </c>
    </row>
    <row r="395">
      <c r="A395" s="25">
        <f>'Equity Price Data'!A396</f>
        <v>45996.66667</v>
      </c>
      <c r="B395" s="34">
        <f>(('PRACTICE Equity Price Data'!B396/'PRACTICE Equity Price Data'!B395)-1)+B394</f>
        <v>0.2970340807</v>
      </c>
      <c r="C395" s="34">
        <f>(('PRACTICE Equity Price Data'!C396/'PRACTICE Equity Price Data'!C395)-1)+C394</f>
        <v>0.403608999</v>
      </c>
      <c r="D395" s="34">
        <f>(('PRACTICE Equity Price Data'!D396/'PRACTICE Equity Price Data'!D395)-1)+D394</f>
        <v>0.2139149537</v>
      </c>
      <c r="E395" s="34">
        <f>(('PRACTICE Equity Price Data'!E396/'PRACTICE Equity Price Data'!E395)-1)+E394</f>
        <v>0.2411737858</v>
      </c>
      <c r="F395" s="3">
        <v>13.0</v>
      </c>
      <c r="G395" s="3">
        <v>260.0</v>
      </c>
      <c r="H395" s="3">
        <v>110.0</v>
      </c>
      <c r="I395" s="3">
        <v>256.0</v>
      </c>
      <c r="J395" s="3">
        <v>83.0</v>
      </c>
      <c r="K395" s="3">
        <v>188.0</v>
      </c>
      <c r="L395" s="3">
        <v>1000.0</v>
      </c>
      <c r="M395" s="3">
        <v>102.0</v>
      </c>
      <c r="N395" s="3">
        <v>200.0</v>
      </c>
      <c r="O395" s="3">
        <v>121.0</v>
      </c>
      <c r="P395" s="3">
        <v>146.0</v>
      </c>
      <c r="Q395" s="3">
        <v>80.0</v>
      </c>
      <c r="R395" s="3">
        <v>150.0</v>
      </c>
      <c r="S395" s="3">
        <v>417.0</v>
      </c>
      <c r="T395" s="3">
        <v>120.0</v>
      </c>
      <c r="U395" s="3">
        <v>80.0</v>
      </c>
      <c r="V395" s="1">
        <v>88.0</v>
      </c>
      <c r="W395" s="1">
        <v>250.0</v>
      </c>
      <c r="X395" s="1">
        <v>264.0</v>
      </c>
      <c r="Y395" s="1">
        <v>161.0</v>
      </c>
      <c r="Z395" s="1">
        <v>69.0</v>
      </c>
      <c r="AA395" s="1"/>
      <c r="AB395" s="1">
        <v>13.0</v>
      </c>
      <c r="AC395" s="1">
        <v>150.0</v>
      </c>
      <c r="AD395" s="1">
        <v>170.0</v>
      </c>
      <c r="AE395" s="1">
        <v>60.0</v>
      </c>
      <c r="AF395" s="1">
        <v>40.0</v>
      </c>
      <c r="AG395" s="1">
        <v>45.0</v>
      </c>
      <c r="AH395" s="1"/>
      <c r="AI395" s="1">
        <v>205.0</v>
      </c>
      <c r="AJ395" s="1">
        <v>60.0</v>
      </c>
      <c r="AK395" s="1">
        <v>100.0</v>
      </c>
      <c r="AL395" s="1">
        <v>175.0</v>
      </c>
      <c r="AM395" s="1">
        <v>130.0</v>
      </c>
      <c r="AN395" s="3">
        <v>47.0</v>
      </c>
      <c r="AO395" s="3">
        <v>160.0</v>
      </c>
      <c r="AP395" s="3">
        <v>70.0</v>
      </c>
      <c r="AQ395" s="3"/>
      <c r="AR395" s="1">
        <v>854.0</v>
      </c>
      <c r="AS395" s="1">
        <v>250.0</v>
      </c>
      <c r="AT395" s="1">
        <v>220.0</v>
      </c>
      <c r="AU395" s="3">
        <v>223.0</v>
      </c>
      <c r="AV395" s="1">
        <v>120.0</v>
      </c>
      <c r="AW395" s="3">
        <v>384.0</v>
      </c>
      <c r="AX395" s="3"/>
      <c r="AY395" s="3">
        <v>142.0</v>
      </c>
      <c r="AZ395" s="1">
        <v>40.0</v>
      </c>
      <c r="BA395" s="1"/>
      <c r="BB395" s="3">
        <v>225.0</v>
      </c>
      <c r="BC395" s="1">
        <v>150.0</v>
      </c>
      <c r="BD395" s="1">
        <v>190.0</v>
      </c>
      <c r="BE395" s="1">
        <v>80.0</v>
      </c>
      <c r="BF395" s="3">
        <v>328.0</v>
      </c>
      <c r="BG395" s="1">
        <v>213.0</v>
      </c>
      <c r="BH395" s="1">
        <v>23.0</v>
      </c>
      <c r="BI395" s="1">
        <v>40.0</v>
      </c>
      <c r="BJ395" s="1">
        <v>278.0</v>
      </c>
      <c r="BK395" s="3"/>
      <c r="BL395" s="1">
        <v>160.0</v>
      </c>
      <c r="BM395" s="1">
        <v>75.0</v>
      </c>
      <c r="BN395" s="32">
        <v>1802.0</v>
      </c>
      <c r="BO395" s="1">
        <v>47.0</v>
      </c>
      <c r="BP395" s="3">
        <v>48.0</v>
      </c>
      <c r="BQ395" s="1">
        <v>188.0</v>
      </c>
      <c r="BR395" s="27">
        <v>68782.0</v>
      </c>
    </row>
    <row r="396">
      <c r="A396" s="25">
        <f>'Equity Price Data'!A397</f>
        <v>45999.66667</v>
      </c>
      <c r="B396" s="34">
        <f>(('PRACTICE Equity Price Data'!B397/'PRACTICE Equity Price Data'!B396)-1)+B395</f>
        <v>0.2935568451</v>
      </c>
      <c r="C396" s="34">
        <f>(('PRACTICE Equity Price Data'!C397/'PRACTICE Equity Price Data'!C396)-1)+C395</f>
        <v>0.4022420543</v>
      </c>
      <c r="D396" s="34">
        <f>(('PRACTICE Equity Price Data'!D397/'PRACTICE Equity Price Data'!D396)-1)+D395</f>
        <v>0.2094176115</v>
      </c>
      <c r="E396" s="34">
        <f>(('PRACTICE Equity Price Data'!E397/'PRACTICE Equity Price Data'!E396)-1)+E395</f>
        <v>0.2409754895</v>
      </c>
      <c r="F396" s="3">
        <v>13.0</v>
      </c>
      <c r="G396" s="3">
        <v>260.0</v>
      </c>
      <c r="H396" s="3">
        <v>110.0</v>
      </c>
      <c r="I396" s="3">
        <v>256.0</v>
      </c>
      <c r="J396" s="3">
        <v>83.0</v>
      </c>
      <c r="K396" s="3">
        <v>188.0</v>
      </c>
      <c r="L396" s="3">
        <v>1000.0</v>
      </c>
      <c r="M396" s="3">
        <v>102.0</v>
      </c>
      <c r="N396" s="3">
        <v>200.0</v>
      </c>
      <c r="O396" s="3">
        <v>121.0</v>
      </c>
      <c r="P396" s="3">
        <v>146.0</v>
      </c>
      <c r="Q396" s="3">
        <v>80.0</v>
      </c>
      <c r="R396" s="3">
        <v>150.0</v>
      </c>
      <c r="S396" s="3">
        <v>417.0</v>
      </c>
      <c r="T396" s="3">
        <v>120.0</v>
      </c>
      <c r="U396" s="3">
        <v>80.0</v>
      </c>
      <c r="V396" s="1">
        <v>88.0</v>
      </c>
      <c r="W396" s="1">
        <v>250.0</v>
      </c>
      <c r="X396" s="1">
        <v>264.0</v>
      </c>
      <c r="Y396" s="1">
        <v>161.0</v>
      </c>
      <c r="Z396" s="1">
        <v>69.0</v>
      </c>
      <c r="AA396" s="1"/>
      <c r="AB396" s="1">
        <v>13.0</v>
      </c>
      <c r="AC396" s="1">
        <v>150.0</v>
      </c>
      <c r="AD396" s="1">
        <v>170.0</v>
      </c>
      <c r="AE396" s="1">
        <v>60.0</v>
      </c>
      <c r="AF396" s="1">
        <v>40.0</v>
      </c>
      <c r="AG396" s="1">
        <v>45.0</v>
      </c>
      <c r="AH396" s="1"/>
      <c r="AI396" s="1">
        <v>205.0</v>
      </c>
      <c r="AJ396" s="1">
        <v>60.0</v>
      </c>
      <c r="AK396" s="1">
        <v>100.0</v>
      </c>
      <c r="AL396" s="1">
        <v>175.0</v>
      </c>
      <c r="AM396" s="1">
        <v>130.0</v>
      </c>
      <c r="AN396" s="3">
        <v>47.0</v>
      </c>
      <c r="AO396" s="3">
        <v>160.0</v>
      </c>
      <c r="AP396" s="3">
        <v>70.0</v>
      </c>
      <c r="AQ396" s="3"/>
      <c r="AR396" s="1">
        <v>854.0</v>
      </c>
      <c r="AS396" s="1">
        <v>250.0</v>
      </c>
      <c r="AT396" s="1">
        <v>220.0</v>
      </c>
      <c r="AU396" s="3">
        <v>223.0</v>
      </c>
      <c r="AV396" s="1">
        <v>120.0</v>
      </c>
      <c r="AW396" s="3">
        <v>384.0</v>
      </c>
      <c r="AX396" s="3"/>
      <c r="AY396" s="3">
        <v>142.0</v>
      </c>
      <c r="AZ396" s="1">
        <v>40.0</v>
      </c>
      <c r="BA396" s="1"/>
      <c r="BB396" s="3">
        <v>225.0</v>
      </c>
      <c r="BC396" s="1">
        <v>150.0</v>
      </c>
      <c r="BD396" s="1">
        <v>190.0</v>
      </c>
      <c r="BE396" s="1">
        <v>80.0</v>
      </c>
      <c r="BF396" s="3">
        <v>328.0</v>
      </c>
      <c r="BG396" s="1">
        <v>213.0</v>
      </c>
      <c r="BH396" s="1">
        <v>23.0</v>
      </c>
      <c r="BI396" s="1">
        <v>40.0</v>
      </c>
      <c r="BJ396" s="1">
        <v>278.0</v>
      </c>
      <c r="BK396" s="3"/>
      <c r="BL396" s="1">
        <v>160.0</v>
      </c>
      <c r="BM396" s="1">
        <v>75.0</v>
      </c>
      <c r="BN396" s="32">
        <v>1802.0</v>
      </c>
      <c r="BO396" s="1">
        <v>47.0</v>
      </c>
      <c r="BP396" s="3">
        <v>48.0</v>
      </c>
      <c r="BQ396" s="1">
        <v>188.0</v>
      </c>
      <c r="BR396" s="27">
        <v>68782.0</v>
      </c>
    </row>
    <row r="397">
      <c r="A397" s="25">
        <f>'Equity Price Data'!A398</f>
        <v>46000.66667</v>
      </c>
      <c r="B397" s="34">
        <f>(('PRACTICE Equity Price Data'!B398/'PRACTICE Equity Price Data'!B397)-1)+B396</f>
        <v>0.2926804861</v>
      </c>
      <c r="C397" s="34">
        <f>(('PRACTICE Equity Price Data'!C398/'PRACTICE Equity Price Data'!C397)-1)+C396</f>
        <v>0.4035412189</v>
      </c>
      <c r="D397" s="34">
        <f>(('PRACTICE Equity Price Data'!D398/'PRACTICE Equity Price Data'!D397)-1)+D396</f>
        <v>0.2056674534</v>
      </c>
      <c r="E397" s="34">
        <f>(('PRACTICE Equity Price Data'!E398/'PRACTICE Equity Price Data'!E397)-1)+E396</f>
        <v>0.2430619797</v>
      </c>
      <c r="F397" s="3">
        <v>13.0</v>
      </c>
      <c r="G397" s="3">
        <v>260.0</v>
      </c>
      <c r="H397" s="3">
        <v>110.0</v>
      </c>
      <c r="I397" s="3">
        <v>256.0</v>
      </c>
      <c r="J397" s="3">
        <v>83.0</v>
      </c>
      <c r="K397" s="3">
        <v>188.0</v>
      </c>
      <c r="L397" s="3">
        <v>1000.0</v>
      </c>
      <c r="M397" s="3">
        <v>102.0</v>
      </c>
      <c r="N397" s="3">
        <v>200.0</v>
      </c>
      <c r="O397" s="3">
        <v>121.0</v>
      </c>
      <c r="P397" s="3">
        <v>146.0</v>
      </c>
      <c r="Q397" s="3">
        <v>80.0</v>
      </c>
      <c r="R397" s="3">
        <v>150.0</v>
      </c>
      <c r="S397" s="3">
        <v>417.0</v>
      </c>
      <c r="T397" s="3">
        <v>120.0</v>
      </c>
      <c r="U397" s="3">
        <v>80.0</v>
      </c>
      <c r="V397" s="1">
        <v>88.0</v>
      </c>
      <c r="W397" s="1">
        <v>250.0</v>
      </c>
      <c r="X397" s="1">
        <v>264.0</v>
      </c>
      <c r="Y397" s="1">
        <v>161.0</v>
      </c>
      <c r="Z397" s="1">
        <v>69.0</v>
      </c>
      <c r="AA397" s="1"/>
      <c r="AB397" s="1">
        <v>13.0</v>
      </c>
      <c r="AC397" s="1">
        <v>150.0</v>
      </c>
      <c r="AD397" s="1">
        <v>170.0</v>
      </c>
      <c r="AE397" s="1">
        <v>60.0</v>
      </c>
      <c r="AF397" s="1">
        <v>40.0</v>
      </c>
      <c r="AG397" s="1">
        <v>45.0</v>
      </c>
      <c r="AH397" s="1"/>
      <c r="AI397" s="1">
        <v>205.0</v>
      </c>
      <c r="AJ397" s="1">
        <v>60.0</v>
      </c>
      <c r="AK397" s="1">
        <v>100.0</v>
      </c>
      <c r="AL397" s="1">
        <v>175.0</v>
      </c>
      <c r="AM397" s="1">
        <v>130.0</v>
      </c>
      <c r="AN397" s="3">
        <v>47.0</v>
      </c>
      <c r="AO397" s="3">
        <v>160.0</v>
      </c>
      <c r="AP397" s="3">
        <v>70.0</v>
      </c>
      <c r="AQ397" s="3"/>
      <c r="AR397" s="1">
        <v>854.0</v>
      </c>
      <c r="AS397" s="1">
        <v>250.0</v>
      </c>
      <c r="AT397" s="1">
        <v>220.0</v>
      </c>
      <c r="AU397" s="3">
        <v>223.0</v>
      </c>
      <c r="AV397" s="1">
        <v>120.0</v>
      </c>
      <c r="AW397" s="3">
        <v>384.0</v>
      </c>
      <c r="AX397" s="3"/>
      <c r="AY397" s="3">
        <v>142.0</v>
      </c>
      <c r="AZ397" s="1">
        <v>40.0</v>
      </c>
      <c r="BA397" s="1"/>
      <c r="BB397" s="3">
        <v>225.0</v>
      </c>
      <c r="BC397" s="1">
        <v>150.0</v>
      </c>
      <c r="BD397" s="1">
        <v>190.0</v>
      </c>
      <c r="BE397" s="1">
        <v>80.0</v>
      </c>
      <c r="BF397" s="3">
        <v>328.0</v>
      </c>
      <c r="BG397" s="1">
        <v>213.0</v>
      </c>
      <c r="BH397" s="1">
        <v>23.0</v>
      </c>
      <c r="BI397" s="1">
        <v>40.0</v>
      </c>
      <c r="BJ397" s="1">
        <v>278.0</v>
      </c>
      <c r="BK397" s="3"/>
      <c r="BL397" s="1">
        <v>160.0</v>
      </c>
      <c r="BM397" s="1">
        <v>75.0</v>
      </c>
      <c r="BN397" s="32">
        <v>1802.0</v>
      </c>
      <c r="BO397" s="1">
        <v>47.0</v>
      </c>
      <c r="BP397" s="3">
        <v>48.0</v>
      </c>
      <c r="BQ397" s="1">
        <v>188.0</v>
      </c>
      <c r="BR397" s="27">
        <v>68782.0</v>
      </c>
    </row>
    <row r="398">
      <c r="A398" s="25">
        <f>'Equity Price Data'!A399</f>
        <v>46001.66667</v>
      </c>
      <c r="B398" s="34">
        <f>(('PRACTICE Equity Price Data'!B399/'PRACTICE Equity Price Data'!B398)-1)+B397</f>
        <v>0.2994299829</v>
      </c>
      <c r="C398" s="34">
        <f>(('PRACTICE Equity Price Data'!C399/'PRACTICE Equity Price Data'!C398)-1)+C397</f>
        <v>0.4068356025</v>
      </c>
      <c r="D398" s="34">
        <f>(('PRACTICE Equity Price Data'!D399/'PRACTICE Equity Price Data'!D398)-1)+D397</f>
        <v>0.2161270195</v>
      </c>
      <c r="E398" s="34">
        <f>(('PRACTICE Equity Price Data'!E399/'PRACTICE Equity Price Data'!E398)-1)+E397</f>
        <v>0.2562713343</v>
      </c>
      <c r="F398" s="3">
        <v>13.0</v>
      </c>
      <c r="G398" s="3">
        <v>260.0</v>
      </c>
      <c r="H398" s="3">
        <v>110.0</v>
      </c>
      <c r="I398" s="3">
        <v>256.0</v>
      </c>
      <c r="J398" s="3">
        <v>83.0</v>
      </c>
      <c r="K398" s="3">
        <v>188.0</v>
      </c>
      <c r="L398" s="3">
        <v>1000.0</v>
      </c>
      <c r="M398" s="3">
        <v>102.0</v>
      </c>
      <c r="N398" s="3">
        <v>200.0</v>
      </c>
      <c r="O398" s="3">
        <v>121.0</v>
      </c>
      <c r="P398" s="3">
        <v>146.0</v>
      </c>
      <c r="Q398" s="3">
        <v>80.0</v>
      </c>
      <c r="R398" s="3">
        <v>150.0</v>
      </c>
      <c r="S398" s="3">
        <v>417.0</v>
      </c>
      <c r="T398" s="3">
        <v>120.0</v>
      </c>
      <c r="U398" s="3">
        <v>80.0</v>
      </c>
      <c r="V398" s="1">
        <v>88.0</v>
      </c>
      <c r="W398" s="1">
        <v>250.0</v>
      </c>
      <c r="X398" s="1">
        <v>264.0</v>
      </c>
      <c r="Y398" s="1">
        <v>161.0</v>
      </c>
      <c r="Z398" s="1">
        <v>69.0</v>
      </c>
      <c r="AA398" s="1"/>
      <c r="AB398" s="1">
        <v>13.0</v>
      </c>
      <c r="AC398" s="1">
        <v>150.0</v>
      </c>
      <c r="AD398" s="1">
        <v>170.0</v>
      </c>
      <c r="AE398" s="1">
        <v>60.0</v>
      </c>
      <c r="AF398" s="1">
        <v>40.0</v>
      </c>
      <c r="AG398" s="1">
        <v>45.0</v>
      </c>
      <c r="AH398" s="1"/>
      <c r="AI398" s="1">
        <v>205.0</v>
      </c>
      <c r="AJ398" s="1">
        <v>60.0</v>
      </c>
      <c r="AK398" s="1">
        <v>100.0</v>
      </c>
      <c r="AL398" s="1">
        <v>175.0</v>
      </c>
      <c r="AM398" s="1">
        <v>130.0</v>
      </c>
      <c r="AN398" s="3">
        <v>47.0</v>
      </c>
      <c r="AO398" s="3">
        <v>160.0</v>
      </c>
      <c r="AP398" s="3">
        <v>70.0</v>
      </c>
      <c r="AQ398" s="3"/>
      <c r="AR398" s="1">
        <v>854.0</v>
      </c>
      <c r="AS398" s="1">
        <v>250.0</v>
      </c>
      <c r="AT398" s="1">
        <v>220.0</v>
      </c>
      <c r="AU398" s="3">
        <v>223.0</v>
      </c>
      <c r="AV398" s="1">
        <v>120.0</v>
      </c>
      <c r="AW398" s="3">
        <v>384.0</v>
      </c>
      <c r="AX398" s="3"/>
      <c r="AY398" s="3">
        <v>142.0</v>
      </c>
      <c r="AZ398" s="1">
        <v>40.0</v>
      </c>
      <c r="BA398" s="1"/>
      <c r="BB398" s="3">
        <v>225.0</v>
      </c>
      <c r="BC398" s="1">
        <v>150.0</v>
      </c>
      <c r="BD398" s="1">
        <v>190.0</v>
      </c>
      <c r="BE398" s="1">
        <v>80.0</v>
      </c>
      <c r="BF398" s="3">
        <v>328.0</v>
      </c>
      <c r="BG398" s="1">
        <v>213.0</v>
      </c>
      <c r="BH398" s="1">
        <v>23.0</v>
      </c>
      <c r="BI398" s="1">
        <v>40.0</v>
      </c>
      <c r="BJ398" s="1">
        <v>278.0</v>
      </c>
      <c r="BK398" s="3"/>
      <c r="BL398" s="1">
        <v>160.0</v>
      </c>
      <c r="BM398" s="1">
        <v>75.0</v>
      </c>
      <c r="BN398" s="32">
        <v>1802.0</v>
      </c>
      <c r="BO398" s="1">
        <v>47.0</v>
      </c>
      <c r="BP398" s="3">
        <v>48.0</v>
      </c>
      <c r="BQ398" s="1">
        <v>188.0</v>
      </c>
      <c r="BR398" s="27">
        <v>68782.0</v>
      </c>
    </row>
    <row r="399">
      <c r="A399" s="25">
        <f>'Equity Price Data'!A400</f>
        <v>46002.66667</v>
      </c>
      <c r="B399" s="34">
        <f>(('PRACTICE Equity Price Data'!B400/'PRACTICE Equity Price Data'!B399)-1)+B398</f>
        <v>0.3015093593</v>
      </c>
      <c r="C399" s="34">
        <f>(('PRACTICE Equity Price Data'!C400/'PRACTICE Equity Price Data'!C399)-1)+C398</f>
        <v>0.404286368</v>
      </c>
      <c r="D399" s="34">
        <f>(('PRACTICE Equity Price Data'!D400/'PRACTICE Equity Price Data'!D399)-1)+D398</f>
        <v>0.2295745904</v>
      </c>
      <c r="E399" s="34">
        <f>(('PRACTICE Equity Price Data'!E400/'PRACTICE Equity Price Data'!E399)-1)+E398</f>
        <v>0.2683825544</v>
      </c>
      <c r="F399" s="3">
        <v>13.0</v>
      </c>
      <c r="G399" s="3">
        <v>260.0</v>
      </c>
      <c r="H399" s="3">
        <v>110.0</v>
      </c>
      <c r="I399" s="3">
        <v>256.0</v>
      </c>
      <c r="J399" s="3">
        <v>83.0</v>
      </c>
      <c r="K399" s="3">
        <v>188.0</v>
      </c>
      <c r="L399" s="3">
        <v>1000.0</v>
      </c>
      <c r="M399" s="3">
        <v>102.0</v>
      </c>
      <c r="N399" s="3">
        <v>200.0</v>
      </c>
      <c r="O399" s="3">
        <v>121.0</v>
      </c>
      <c r="P399" s="3">
        <v>146.0</v>
      </c>
      <c r="Q399" s="3">
        <v>80.0</v>
      </c>
      <c r="R399" s="3">
        <v>150.0</v>
      </c>
      <c r="S399" s="3">
        <v>417.0</v>
      </c>
      <c r="T399" s="3">
        <v>120.0</v>
      </c>
      <c r="U399" s="3">
        <v>80.0</v>
      </c>
      <c r="V399" s="1">
        <v>88.0</v>
      </c>
      <c r="W399" s="1">
        <v>250.0</v>
      </c>
      <c r="X399" s="1">
        <v>264.0</v>
      </c>
      <c r="Y399" s="1">
        <v>161.0</v>
      </c>
      <c r="Z399" s="1">
        <v>69.0</v>
      </c>
      <c r="AA399" s="1"/>
      <c r="AB399" s="1">
        <v>13.0</v>
      </c>
      <c r="AC399" s="1">
        <v>150.0</v>
      </c>
      <c r="AD399" s="1">
        <v>170.0</v>
      </c>
      <c r="AE399" s="1">
        <v>60.0</v>
      </c>
      <c r="AF399" s="1">
        <v>40.0</v>
      </c>
      <c r="AG399" s="1">
        <v>45.0</v>
      </c>
      <c r="AH399" s="1"/>
      <c r="AI399" s="1">
        <v>205.0</v>
      </c>
      <c r="AJ399" s="1">
        <v>60.0</v>
      </c>
      <c r="AK399" s="1">
        <v>100.0</v>
      </c>
      <c r="AL399" s="1">
        <v>175.0</v>
      </c>
      <c r="AM399" s="1">
        <v>130.0</v>
      </c>
      <c r="AN399" s="3">
        <v>47.0</v>
      </c>
      <c r="AO399" s="3">
        <v>160.0</v>
      </c>
      <c r="AP399" s="3">
        <v>70.0</v>
      </c>
      <c r="AQ399" s="3"/>
      <c r="AR399" s="1">
        <v>854.0</v>
      </c>
      <c r="AS399" s="1">
        <v>250.0</v>
      </c>
      <c r="AT399" s="1">
        <v>220.0</v>
      </c>
      <c r="AU399" s="3">
        <v>223.0</v>
      </c>
      <c r="AV399" s="1">
        <v>120.0</v>
      </c>
      <c r="AW399" s="3">
        <v>384.0</v>
      </c>
      <c r="AX399" s="3"/>
      <c r="AY399" s="3">
        <v>142.0</v>
      </c>
      <c r="AZ399" s="1">
        <v>40.0</v>
      </c>
      <c r="BA399" s="1"/>
      <c r="BB399" s="3">
        <v>225.0</v>
      </c>
      <c r="BC399" s="1">
        <v>150.0</v>
      </c>
      <c r="BD399" s="1">
        <v>190.0</v>
      </c>
      <c r="BE399" s="1">
        <v>80.0</v>
      </c>
      <c r="BF399" s="3">
        <v>328.0</v>
      </c>
      <c r="BG399" s="1">
        <v>213.0</v>
      </c>
      <c r="BH399" s="1">
        <v>23.0</v>
      </c>
      <c r="BI399" s="1">
        <v>40.0</v>
      </c>
      <c r="BJ399" s="1">
        <v>278.0</v>
      </c>
      <c r="BK399" s="3"/>
      <c r="BL399" s="1">
        <v>160.0</v>
      </c>
      <c r="BM399" s="1">
        <v>75.0</v>
      </c>
      <c r="BN399" s="32">
        <v>1802.0</v>
      </c>
      <c r="BO399" s="1">
        <v>47.0</v>
      </c>
      <c r="BP399" s="3">
        <v>48.0</v>
      </c>
      <c r="BQ399" s="1">
        <v>188.0</v>
      </c>
      <c r="BR399" s="27">
        <v>68782.0</v>
      </c>
    </row>
    <row r="400">
      <c r="A400" s="25">
        <f>'Equity Price Data'!A401</f>
        <v>46003.66667</v>
      </c>
      <c r="B400" s="34">
        <f>(('PRACTICE Equity Price Data'!B401/'PRACTICE Equity Price Data'!B400)-1)+B399</f>
        <v>0.2908456874</v>
      </c>
      <c r="C400" s="34">
        <f>(('PRACTICE Equity Price Data'!C401/'PRACTICE Equity Price Data'!C400)-1)+C399</f>
        <v>0.3873883276</v>
      </c>
      <c r="D400" s="34">
        <f>(('PRACTICE Equity Price Data'!D401/'PRACTICE Equity Price Data'!D400)-1)+D399</f>
        <v>0.2245244929</v>
      </c>
      <c r="E400" s="34">
        <f>(('PRACTICE Equity Price Data'!E401/'PRACTICE Equity Price Data'!E400)-1)+E399</f>
        <v>0.2532702835</v>
      </c>
      <c r="F400" s="3">
        <v>13.0</v>
      </c>
      <c r="G400" s="3">
        <v>260.0</v>
      </c>
      <c r="H400" s="3">
        <v>110.0</v>
      </c>
      <c r="I400" s="3">
        <v>256.0</v>
      </c>
      <c r="J400" s="3">
        <v>83.0</v>
      </c>
      <c r="K400" s="3">
        <v>188.0</v>
      </c>
      <c r="L400" s="3">
        <v>1000.0</v>
      </c>
      <c r="M400" s="3">
        <v>102.0</v>
      </c>
      <c r="N400" s="3">
        <v>200.0</v>
      </c>
      <c r="O400" s="3">
        <v>121.0</v>
      </c>
      <c r="P400" s="3">
        <v>146.0</v>
      </c>
      <c r="Q400" s="3">
        <v>80.0</v>
      </c>
      <c r="R400" s="3">
        <v>150.0</v>
      </c>
      <c r="S400" s="3">
        <v>417.0</v>
      </c>
      <c r="T400" s="3">
        <v>120.0</v>
      </c>
      <c r="U400" s="3">
        <v>80.0</v>
      </c>
      <c r="V400" s="1">
        <v>88.0</v>
      </c>
      <c r="W400" s="1">
        <v>250.0</v>
      </c>
      <c r="X400" s="1">
        <v>264.0</v>
      </c>
      <c r="Y400" s="1">
        <v>161.0</v>
      </c>
      <c r="Z400" s="1">
        <v>69.0</v>
      </c>
      <c r="AA400" s="1"/>
      <c r="AB400" s="1">
        <v>13.0</v>
      </c>
      <c r="AC400" s="1">
        <v>150.0</v>
      </c>
      <c r="AD400" s="1">
        <v>170.0</v>
      </c>
      <c r="AE400" s="1">
        <v>60.0</v>
      </c>
      <c r="AF400" s="1">
        <v>40.0</v>
      </c>
      <c r="AG400" s="1">
        <v>45.0</v>
      </c>
      <c r="AH400" s="1"/>
      <c r="AI400" s="1">
        <v>205.0</v>
      </c>
      <c r="AJ400" s="1">
        <v>60.0</v>
      </c>
      <c r="AK400" s="1">
        <v>100.0</v>
      </c>
      <c r="AL400" s="1">
        <v>175.0</v>
      </c>
      <c r="AM400" s="1">
        <v>130.0</v>
      </c>
      <c r="AN400" s="3">
        <v>47.0</v>
      </c>
      <c r="AO400" s="3">
        <v>160.0</v>
      </c>
      <c r="AP400" s="3">
        <v>70.0</v>
      </c>
      <c r="AQ400" s="3"/>
      <c r="AR400" s="1">
        <v>854.0</v>
      </c>
      <c r="AS400" s="1">
        <v>250.0</v>
      </c>
      <c r="AT400" s="1">
        <v>220.0</v>
      </c>
      <c r="AU400" s="3">
        <v>223.0</v>
      </c>
      <c r="AV400" s="1">
        <v>120.0</v>
      </c>
      <c r="AW400" s="3">
        <v>384.0</v>
      </c>
      <c r="AX400" s="3"/>
      <c r="AY400" s="3">
        <v>142.0</v>
      </c>
      <c r="AZ400" s="1">
        <v>40.0</v>
      </c>
      <c r="BA400" s="1"/>
      <c r="BB400" s="3">
        <v>225.0</v>
      </c>
      <c r="BC400" s="1">
        <v>150.0</v>
      </c>
      <c r="BD400" s="1">
        <v>190.0</v>
      </c>
      <c r="BE400" s="1">
        <v>80.0</v>
      </c>
      <c r="BF400" s="3">
        <v>328.0</v>
      </c>
      <c r="BG400" s="1">
        <v>213.0</v>
      </c>
      <c r="BH400" s="1">
        <v>23.0</v>
      </c>
      <c r="BI400" s="1">
        <v>40.0</v>
      </c>
      <c r="BJ400" s="1">
        <v>278.0</v>
      </c>
      <c r="BK400" s="3"/>
      <c r="BL400" s="1">
        <v>160.0</v>
      </c>
      <c r="BM400" s="1">
        <v>75.0</v>
      </c>
      <c r="BN400" s="32">
        <v>1802.0</v>
      </c>
      <c r="BO400" s="1">
        <v>47.0</v>
      </c>
      <c r="BP400" s="3">
        <v>48.0</v>
      </c>
      <c r="BQ400" s="1">
        <v>188.0</v>
      </c>
      <c r="BR400" s="27">
        <v>68782.0</v>
      </c>
    </row>
    <row r="401">
      <c r="A401" s="25">
        <f>'Equity Price Data'!A402</f>
        <v>46006.66667</v>
      </c>
      <c r="B401" s="34">
        <f>(('PRACTICE Equity Price Data'!B402/'PRACTICE Equity Price Data'!B401)-1)+B400</f>
        <v>0.2892491815</v>
      </c>
      <c r="C401" s="34">
        <f>(('PRACTICE Equity Price Data'!C402/'PRACTICE Equity Price Data'!C401)-1)+C400</f>
        <v>0.3814491601</v>
      </c>
      <c r="D401" s="34">
        <f>(('PRACTICE Equity Price Data'!D402/'PRACTICE Equity Price Data'!D401)-1)+D400</f>
        <v>0.2236682884</v>
      </c>
      <c r="E401" s="34">
        <f>(('PRACTICE Equity Price Data'!E402/'PRACTICE Equity Price Data'!E401)-1)+E400</f>
        <v>0.2451220077</v>
      </c>
      <c r="F401" s="3">
        <v>13.0</v>
      </c>
      <c r="G401" s="3">
        <v>260.0</v>
      </c>
      <c r="H401" s="3">
        <v>110.0</v>
      </c>
      <c r="I401" s="3">
        <v>256.0</v>
      </c>
      <c r="J401" s="3">
        <v>83.0</v>
      </c>
      <c r="K401" s="3">
        <v>188.0</v>
      </c>
      <c r="L401" s="3">
        <v>1000.0</v>
      </c>
      <c r="M401" s="3">
        <v>102.0</v>
      </c>
      <c r="N401" s="3">
        <v>200.0</v>
      </c>
      <c r="O401" s="3">
        <v>121.0</v>
      </c>
      <c r="P401" s="3">
        <v>146.0</v>
      </c>
      <c r="Q401" s="3">
        <v>80.0</v>
      </c>
      <c r="R401" s="3">
        <v>150.0</v>
      </c>
      <c r="S401" s="3">
        <v>417.0</v>
      </c>
      <c r="T401" s="3">
        <v>120.0</v>
      </c>
      <c r="U401" s="3">
        <v>80.0</v>
      </c>
      <c r="V401" s="1">
        <v>88.0</v>
      </c>
      <c r="W401" s="1">
        <v>250.0</v>
      </c>
      <c r="X401" s="1">
        <v>264.0</v>
      </c>
      <c r="Y401" s="1">
        <v>161.0</v>
      </c>
      <c r="Z401" s="1">
        <v>69.0</v>
      </c>
      <c r="AA401" s="1"/>
      <c r="AB401" s="1">
        <v>13.0</v>
      </c>
      <c r="AC401" s="1">
        <v>150.0</v>
      </c>
      <c r="AD401" s="1">
        <v>170.0</v>
      </c>
      <c r="AE401" s="1">
        <v>60.0</v>
      </c>
      <c r="AF401" s="1">
        <v>40.0</v>
      </c>
      <c r="AG401" s="1">
        <v>45.0</v>
      </c>
      <c r="AH401" s="1"/>
      <c r="AI401" s="1">
        <v>205.0</v>
      </c>
      <c r="AJ401" s="1">
        <v>60.0</v>
      </c>
      <c r="AK401" s="1">
        <v>100.0</v>
      </c>
      <c r="AL401" s="1">
        <v>175.0</v>
      </c>
      <c r="AM401" s="1">
        <v>130.0</v>
      </c>
      <c r="AN401" s="3">
        <v>47.0</v>
      </c>
      <c r="AO401" s="3">
        <v>160.0</v>
      </c>
      <c r="AP401" s="3">
        <v>70.0</v>
      </c>
      <c r="AQ401" s="3"/>
      <c r="AR401" s="1">
        <v>854.0</v>
      </c>
      <c r="AS401" s="1">
        <v>250.0</v>
      </c>
      <c r="AT401" s="1">
        <v>220.0</v>
      </c>
      <c r="AU401" s="3">
        <v>223.0</v>
      </c>
      <c r="AV401" s="1">
        <v>120.0</v>
      </c>
      <c r="AW401" s="3">
        <v>384.0</v>
      </c>
      <c r="AX401" s="3"/>
      <c r="AY401" s="3">
        <v>142.0</v>
      </c>
      <c r="AZ401" s="1">
        <v>40.0</v>
      </c>
      <c r="BA401" s="1"/>
      <c r="BB401" s="3">
        <v>225.0</v>
      </c>
      <c r="BC401" s="1">
        <v>150.0</v>
      </c>
      <c r="BD401" s="1">
        <v>190.0</v>
      </c>
      <c r="BE401" s="1">
        <v>80.0</v>
      </c>
      <c r="BF401" s="3">
        <v>328.0</v>
      </c>
      <c r="BG401" s="1">
        <v>213.0</v>
      </c>
      <c r="BH401" s="1">
        <v>23.0</v>
      </c>
      <c r="BI401" s="1">
        <v>40.0</v>
      </c>
      <c r="BJ401" s="1">
        <v>278.0</v>
      </c>
      <c r="BK401" s="3"/>
      <c r="BL401" s="1">
        <v>160.0</v>
      </c>
      <c r="BM401" s="1">
        <v>75.0</v>
      </c>
      <c r="BN401" s="32">
        <v>1802.0</v>
      </c>
      <c r="BO401" s="1">
        <v>47.0</v>
      </c>
      <c r="BP401" s="3">
        <v>48.0</v>
      </c>
      <c r="BQ401" s="1">
        <v>188.0</v>
      </c>
      <c r="BR401" s="27">
        <v>68782.0</v>
      </c>
    </row>
    <row r="402">
      <c r="A402" s="25">
        <f>'Equity Price Data'!A403</f>
        <v>46007.66667</v>
      </c>
      <c r="B402" s="34">
        <f>(('PRACTICE Equity Price Data'!B403/'PRACTICE Equity Price Data'!B402)-1)+B401</f>
        <v>0.2868652637</v>
      </c>
      <c r="C402" s="34">
        <f>(('PRACTICE Equity Price Data'!C403/'PRACTICE Equity Price Data'!C402)-1)+C401</f>
        <v>0.3837933089</v>
      </c>
      <c r="D402" s="34">
        <f>(('PRACTICE Equity Price Data'!D403/'PRACTICE Equity Price Data'!D402)-1)+D401</f>
        <v>0.2174245569</v>
      </c>
      <c r="E402" s="34">
        <f>(('PRACTICE Equity Price Data'!E403/'PRACTICE Equity Price Data'!E402)-1)+E401</f>
        <v>0.2406291263</v>
      </c>
      <c r="F402" s="3">
        <v>13.0</v>
      </c>
      <c r="G402" s="3">
        <v>260.0</v>
      </c>
      <c r="H402" s="3">
        <v>110.0</v>
      </c>
      <c r="I402" s="3">
        <v>256.0</v>
      </c>
      <c r="J402" s="3">
        <v>83.0</v>
      </c>
      <c r="K402" s="3">
        <v>188.0</v>
      </c>
      <c r="L402" s="3">
        <v>1000.0</v>
      </c>
      <c r="M402" s="3">
        <v>102.0</v>
      </c>
      <c r="N402" s="3">
        <v>200.0</v>
      </c>
      <c r="O402" s="3">
        <v>121.0</v>
      </c>
      <c r="P402" s="3">
        <v>146.0</v>
      </c>
      <c r="Q402" s="3">
        <v>80.0</v>
      </c>
      <c r="R402" s="3">
        <v>150.0</v>
      </c>
      <c r="S402" s="3">
        <v>417.0</v>
      </c>
      <c r="T402" s="3">
        <v>120.0</v>
      </c>
      <c r="U402" s="3">
        <v>80.0</v>
      </c>
      <c r="V402" s="1">
        <v>88.0</v>
      </c>
      <c r="W402" s="1">
        <v>250.0</v>
      </c>
      <c r="X402" s="1">
        <v>264.0</v>
      </c>
      <c r="Y402" s="1">
        <v>161.0</v>
      </c>
      <c r="Z402" s="1">
        <v>69.0</v>
      </c>
      <c r="AA402" s="1"/>
      <c r="AB402" s="1">
        <v>13.0</v>
      </c>
      <c r="AC402" s="1">
        <v>150.0</v>
      </c>
      <c r="AD402" s="1">
        <v>170.0</v>
      </c>
      <c r="AE402" s="1">
        <v>60.0</v>
      </c>
      <c r="AF402" s="1">
        <v>40.0</v>
      </c>
      <c r="AG402" s="1">
        <v>45.0</v>
      </c>
      <c r="AH402" s="1"/>
      <c r="AI402" s="1">
        <v>205.0</v>
      </c>
      <c r="AJ402" s="1">
        <v>60.0</v>
      </c>
      <c r="AK402" s="1">
        <v>100.0</v>
      </c>
      <c r="AL402" s="1">
        <v>175.0</v>
      </c>
      <c r="AM402" s="1">
        <v>130.0</v>
      </c>
      <c r="AN402" s="3">
        <v>47.0</v>
      </c>
      <c r="AO402" s="3">
        <v>160.0</v>
      </c>
      <c r="AP402" s="3">
        <v>70.0</v>
      </c>
      <c r="AQ402" s="3"/>
      <c r="AR402" s="1">
        <v>854.0</v>
      </c>
      <c r="AS402" s="1">
        <v>250.0</v>
      </c>
      <c r="AT402" s="1">
        <v>220.0</v>
      </c>
      <c r="AU402" s="3">
        <v>223.0</v>
      </c>
      <c r="AV402" s="1">
        <v>120.0</v>
      </c>
      <c r="AW402" s="3">
        <v>384.0</v>
      </c>
      <c r="AX402" s="3"/>
      <c r="AY402" s="3">
        <v>142.0</v>
      </c>
      <c r="AZ402" s="1">
        <v>40.0</v>
      </c>
      <c r="BA402" s="1"/>
      <c r="BB402" s="3">
        <v>225.0</v>
      </c>
      <c r="BC402" s="1">
        <v>150.0</v>
      </c>
      <c r="BD402" s="1">
        <v>190.0</v>
      </c>
      <c r="BE402" s="1">
        <v>80.0</v>
      </c>
      <c r="BF402" s="3">
        <v>328.0</v>
      </c>
      <c r="BG402" s="1">
        <v>213.0</v>
      </c>
      <c r="BH402" s="1">
        <v>23.0</v>
      </c>
      <c r="BI402" s="1">
        <v>40.0</v>
      </c>
      <c r="BJ402" s="1">
        <v>278.0</v>
      </c>
      <c r="BK402" s="3"/>
      <c r="BL402" s="1">
        <v>160.0</v>
      </c>
      <c r="BM402" s="1">
        <v>75.0</v>
      </c>
      <c r="BN402" s="32">
        <v>1802.0</v>
      </c>
      <c r="BO402" s="1">
        <v>47.0</v>
      </c>
      <c r="BP402" s="3">
        <v>48.0</v>
      </c>
      <c r="BQ402" s="1">
        <v>188.0</v>
      </c>
      <c r="BR402" s="27">
        <v>68782.0</v>
      </c>
    </row>
    <row r="403">
      <c r="A403" s="25">
        <f>'Equity Price Data'!A404</f>
        <v>46008.66667</v>
      </c>
      <c r="B403" s="34">
        <f>(('PRACTICE Equity Price Data'!B404/'PRACTICE Equity Price Data'!B403)-1)+B402</f>
        <v>0.2752730598</v>
      </c>
      <c r="C403" s="34">
        <f>(('PRACTICE Equity Price Data'!C404/'PRACTICE Equity Price Data'!C403)-1)+C402</f>
        <v>0.3657009858</v>
      </c>
      <c r="D403" s="34">
        <f>(('PRACTICE Equity Price Data'!D404/'PRACTICE Equity Price Data'!D403)-1)+D402</f>
        <v>0.2126798097</v>
      </c>
      <c r="E403" s="34">
        <f>(('PRACTICE Equity Price Data'!E404/'PRACTICE Equity Price Data'!E403)-1)+E402</f>
        <v>0.2299078942</v>
      </c>
      <c r="F403" s="3">
        <v>13.0</v>
      </c>
      <c r="G403" s="3">
        <v>260.0</v>
      </c>
      <c r="H403" s="3">
        <v>110.0</v>
      </c>
      <c r="I403" s="3">
        <v>256.0</v>
      </c>
      <c r="J403" s="3">
        <v>83.0</v>
      </c>
      <c r="K403" s="3">
        <v>188.0</v>
      </c>
      <c r="L403" s="3">
        <v>1000.0</v>
      </c>
      <c r="M403" s="3">
        <v>102.0</v>
      </c>
      <c r="N403" s="3">
        <v>200.0</v>
      </c>
      <c r="O403" s="3">
        <v>121.0</v>
      </c>
      <c r="P403" s="3">
        <v>146.0</v>
      </c>
      <c r="Q403" s="3">
        <v>80.0</v>
      </c>
      <c r="R403" s="3">
        <v>150.0</v>
      </c>
      <c r="S403" s="3">
        <v>417.0</v>
      </c>
      <c r="T403" s="3">
        <v>120.0</v>
      </c>
      <c r="U403" s="3">
        <v>80.0</v>
      </c>
      <c r="V403" s="1">
        <v>88.0</v>
      </c>
      <c r="W403" s="1">
        <v>250.0</v>
      </c>
      <c r="X403" s="1">
        <v>264.0</v>
      </c>
      <c r="Y403" s="1">
        <v>161.0</v>
      </c>
      <c r="Z403" s="1">
        <v>69.0</v>
      </c>
      <c r="AA403" s="1"/>
      <c r="AB403" s="1">
        <v>13.0</v>
      </c>
      <c r="AC403" s="1">
        <v>150.0</v>
      </c>
      <c r="AD403" s="1">
        <v>170.0</v>
      </c>
      <c r="AE403" s="1">
        <v>60.0</v>
      </c>
      <c r="AF403" s="1">
        <v>40.0</v>
      </c>
      <c r="AG403" s="1">
        <v>45.0</v>
      </c>
      <c r="AH403" s="1"/>
      <c r="AI403" s="1">
        <v>205.0</v>
      </c>
      <c r="AJ403" s="1">
        <v>60.0</v>
      </c>
      <c r="AK403" s="1">
        <v>100.0</v>
      </c>
      <c r="AL403" s="1">
        <v>175.0</v>
      </c>
      <c r="AM403" s="1">
        <v>130.0</v>
      </c>
      <c r="AN403" s="3">
        <v>47.0</v>
      </c>
      <c r="AO403" s="3">
        <v>160.0</v>
      </c>
      <c r="AP403" s="3">
        <v>70.0</v>
      </c>
      <c r="AQ403" s="3"/>
      <c r="AR403" s="1">
        <v>854.0</v>
      </c>
      <c r="AS403" s="1">
        <v>250.0</v>
      </c>
      <c r="AT403" s="1">
        <v>220.0</v>
      </c>
      <c r="AU403" s="3">
        <v>223.0</v>
      </c>
      <c r="AV403" s="1">
        <v>120.0</v>
      </c>
      <c r="AW403" s="3">
        <v>384.0</v>
      </c>
      <c r="AX403" s="3"/>
      <c r="AY403" s="3">
        <v>142.0</v>
      </c>
      <c r="AZ403" s="1">
        <v>40.0</v>
      </c>
      <c r="BA403" s="1"/>
      <c r="BB403" s="3">
        <v>225.0</v>
      </c>
      <c r="BC403" s="1">
        <v>150.0</v>
      </c>
      <c r="BD403" s="1">
        <v>190.0</v>
      </c>
      <c r="BE403" s="1">
        <v>80.0</v>
      </c>
      <c r="BF403" s="3">
        <v>328.0</v>
      </c>
      <c r="BG403" s="1">
        <v>213.0</v>
      </c>
      <c r="BH403" s="1">
        <v>23.0</v>
      </c>
      <c r="BI403" s="1">
        <v>40.0</v>
      </c>
      <c r="BJ403" s="1">
        <v>278.0</v>
      </c>
      <c r="BK403" s="3"/>
      <c r="BL403" s="1">
        <v>160.0</v>
      </c>
      <c r="BM403" s="1">
        <v>75.0</v>
      </c>
      <c r="BN403" s="32">
        <v>1802.0</v>
      </c>
      <c r="BO403" s="1">
        <v>47.0</v>
      </c>
      <c r="BP403" s="3">
        <v>48.0</v>
      </c>
      <c r="BQ403" s="1">
        <v>188.0</v>
      </c>
      <c r="BR403" s="27">
        <v>68782.0</v>
      </c>
    </row>
    <row r="404">
      <c r="A404" s="25">
        <f>'Equity Price Data'!A405</f>
        <v>46009.66667</v>
      </c>
      <c r="B404" s="34">
        <f>(('PRACTICE Equity Price Data'!B405/'PRACTICE Equity Price Data'!B404)-1)+B403</f>
        <v>0.2832073833</v>
      </c>
      <c r="C404" s="34">
        <f>(('PRACTICE Equity Price Data'!C405/'PRACTICE Equity Price Data'!C404)-1)+C403</f>
        <v>0.3794953535</v>
      </c>
      <c r="D404" s="34">
        <f>(('PRACTICE Equity Price Data'!D405/'PRACTICE Equity Price Data'!D404)-1)+D403</f>
        <v>0.214055578</v>
      </c>
      <c r="E404" s="34">
        <f>(('PRACTICE Equity Price Data'!E405/'PRACTICE Equity Price Data'!E404)-1)+E403</f>
        <v>0.2361591732</v>
      </c>
      <c r="F404" s="3">
        <v>13.0</v>
      </c>
      <c r="G404" s="3">
        <v>260.0</v>
      </c>
      <c r="H404" s="3">
        <v>110.0</v>
      </c>
      <c r="I404" s="3">
        <v>256.0</v>
      </c>
      <c r="J404" s="3">
        <v>83.0</v>
      </c>
      <c r="K404" s="3">
        <v>188.0</v>
      </c>
      <c r="L404" s="3">
        <v>1000.0</v>
      </c>
      <c r="M404" s="3">
        <v>102.0</v>
      </c>
      <c r="N404" s="3">
        <v>200.0</v>
      </c>
      <c r="O404" s="3">
        <v>121.0</v>
      </c>
      <c r="P404" s="3">
        <v>146.0</v>
      </c>
      <c r="Q404" s="3">
        <v>80.0</v>
      </c>
      <c r="R404" s="3">
        <v>150.0</v>
      </c>
      <c r="S404" s="3">
        <v>417.0</v>
      </c>
      <c r="T404" s="3">
        <v>120.0</v>
      </c>
      <c r="U404" s="3">
        <v>80.0</v>
      </c>
      <c r="V404" s="1">
        <v>88.0</v>
      </c>
      <c r="W404" s="1">
        <v>250.0</v>
      </c>
      <c r="X404" s="1">
        <v>264.0</v>
      </c>
      <c r="Y404" s="1">
        <v>161.0</v>
      </c>
      <c r="Z404" s="1">
        <v>69.0</v>
      </c>
      <c r="AA404" s="1"/>
      <c r="AB404" s="1">
        <v>13.0</v>
      </c>
      <c r="AC404" s="1">
        <v>150.0</v>
      </c>
      <c r="AD404" s="1">
        <v>170.0</v>
      </c>
      <c r="AE404" s="1">
        <v>60.0</v>
      </c>
      <c r="AF404" s="1">
        <v>40.0</v>
      </c>
      <c r="AG404" s="1">
        <v>45.0</v>
      </c>
      <c r="AH404" s="1"/>
      <c r="AI404" s="1">
        <v>205.0</v>
      </c>
      <c r="AJ404" s="1">
        <v>60.0</v>
      </c>
      <c r="AK404" s="1">
        <v>100.0</v>
      </c>
      <c r="AL404" s="1">
        <v>175.0</v>
      </c>
      <c r="AM404" s="1">
        <v>130.0</v>
      </c>
      <c r="AN404" s="3">
        <v>47.0</v>
      </c>
      <c r="AO404" s="3">
        <v>160.0</v>
      </c>
      <c r="AP404" s="3">
        <v>70.0</v>
      </c>
      <c r="AQ404" s="3"/>
      <c r="AR404" s="1">
        <v>854.0</v>
      </c>
      <c r="AS404" s="1">
        <v>250.0</v>
      </c>
      <c r="AT404" s="1">
        <v>220.0</v>
      </c>
      <c r="AU404" s="3">
        <v>223.0</v>
      </c>
      <c r="AV404" s="1">
        <v>120.0</v>
      </c>
      <c r="AW404" s="3">
        <v>384.0</v>
      </c>
      <c r="AX404" s="3"/>
      <c r="AY404" s="3">
        <v>142.0</v>
      </c>
      <c r="AZ404" s="1">
        <v>40.0</v>
      </c>
      <c r="BA404" s="1"/>
      <c r="BB404" s="3">
        <v>225.0</v>
      </c>
      <c r="BC404" s="1">
        <v>150.0</v>
      </c>
      <c r="BD404" s="1">
        <v>190.0</v>
      </c>
      <c r="BE404" s="1">
        <v>80.0</v>
      </c>
      <c r="BF404" s="3">
        <v>328.0</v>
      </c>
      <c r="BG404" s="1">
        <v>213.0</v>
      </c>
      <c r="BH404" s="1">
        <v>23.0</v>
      </c>
      <c r="BI404" s="1">
        <v>40.0</v>
      </c>
      <c r="BJ404" s="1">
        <v>278.0</v>
      </c>
      <c r="BK404" s="3"/>
      <c r="BL404" s="1">
        <v>160.0</v>
      </c>
      <c r="BM404" s="1">
        <v>75.0</v>
      </c>
      <c r="BN404" s="32">
        <v>1802.0</v>
      </c>
      <c r="BO404" s="1">
        <v>47.0</v>
      </c>
      <c r="BP404" s="3">
        <v>48.0</v>
      </c>
      <c r="BQ404" s="1">
        <v>188.0</v>
      </c>
      <c r="BR404" s="27">
        <v>68782.0</v>
      </c>
    </row>
    <row r="405">
      <c r="A405" s="25">
        <f>'Equity Price Data'!A406</f>
        <v>46010.66667</v>
      </c>
      <c r="B405" s="34">
        <f>(('PRACTICE Equity Price Data'!B406/'PRACTICE Equity Price Data'!B405)-1)+B404</f>
        <v>0.2920254079</v>
      </c>
      <c r="C405" s="34">
        <f>(('PRACTICE Equity Price Data'!C406/'PRACTICE Equity Price Data'!C405)-1)+C404</f>
        <v>0.3925899934</v>
      </c>
      <c r="D405" s="34">
        <f>(('PRACTICE Equity Price Data'!D406/'PRACTICE Equity Price Data'!D405)-1)+D404</f>
        <v>0.2178727405</v>
      </c>
      <c r="E405" s="34">
        <f>(('PRACTICE Equity Price Data'!E406/'PRACTICE Equity Price Data'!E405)-1)+E404</f>
        <v>0.2447521226</v>
      </c>
      <c r="F405" s="3">
        <v>13.0</v>
      </c>
      <c r="G405" s="3">
        <v>260.0</v>
      </c>
      <c r="H405" s="3">
        <v>110.0</v>
      </c>
      <c r="I405" s="3">
        <v>256.0</v>
      </c>
      <c r="J405" s="3">
        <v>83.0</v>
      </c>
      <c r="K405" s="3">
        <v>188.0</v>
      </c>
      <c r="L405" s="3">
        <v>1000.0</v>
      </c>
      <c r="M405" s="3">
        <v>102.0</v>
      </c>
      <c r="N405" s="3">
        <v>200.0</v>
      </c>
      <c r="O405" s="3">
        <v>121.0</v>
      </c>
      <c r="P405" s="3">
        <v>146.0</v>
      </c>
      <c r="Q405" s="3">
        <v>80.0</v>
      </c>
      <c r="R405" s="3">
        <v>150.0</v>
      </c>
      <c r="S405" s="3">
        <v>417.0</v>
      </c>
      <c r="T405" s="3">
        <v>120.0</v>
      </c>
      <c r="U405" s="3">
        <v>80.0</v>
      </c>
      <c r="V405" s="1">
        <v>88.0</v>
      </c>
      <c r="W405" s="1">
        <v>250.0</v>
      </c>
      <c r="X405" s="1">
        <v>264.0</v>
      </c>
      <c r="Y405" s="1">
        <v>161.0</v>
      </c>
      <c r="Z405" s="1">
        <v>69.0</v>
      </c>
      <c r="AA405" s="1"/>
      <c r="AB405" s="1">
        <v>13.0</v>
      </c>
      <c r="AC405" s="1">
        <v>150.0</v>
      </c>
      <c r="AD405" s="1">
        <v>170.0</v>
      </c>
      <c r="AE405" s="1">
        <v>60.0</v>
      </c>
      <c r="AF405" s="1">
        <v>40.0</v>
      </c>
      <c r="AG405" s="1">
        <v>45.0</v>
      </c>
      <c r="AH405" s="1"/>
      <c r="AI405" s="1">
        <v>205.0</v>
      </c>
      <c r="AJ405" s="1">
        <v>60.0</v>
      </c>
      <c r="AK405" s="1">
        <v>100.0</v>
      </c>
      <c r="AL405" s="1">
        <v>175.0</v>
      </c>
      <c r="AM405" s="1">
        <v>130.0</v>
      </c>
      <c r="AN405" s="3">
        <v>47.0</v>
      </c>
      <c r="AO405" s="3">
        <v>160.0</v>
      </c>
      <c r="AP405" s="3">
        <v>70.0</v>
      </c>
      <c r="AQ405" s="3"/>
      <c r="AR405" s="1">
        <v>854.0</v>
      </c>
      <c r="AS405" s="1">
        <v>250.0</v>
      </c>
      <c r="AT405" s="1">
        <v>220.0</v>
      </c>
      <c r="AU405" s="3">
        <v>223.0</v>
      </c>
      <c r="AV405" s="1">
        <v>120.0</v>
      </c>
      <c r="AW405" s="3">
        <v>384.0</v>
      </c>
      <c r="AX405" s="3"/>
      <c r="AY405" s="3">
        <v>142.0</v>
      </c>
      <c r="AZ405" s="1">
        <v>40.0</v>
      </c>
      <c r="BA405" s="1"/>
      <c r="BB405" s="3">
        <v>225.0</v>
      </c>
      <c r="BC405" s="1">
        <v>150.0</v>
      </c>
      <c r="BD405" s="1">
        <v>190.0</v>
      </c>
      <c r="BE405" s="1">
        <v>80.0</v>
      </c>
      <c r="BF405" s="3">
        <v>328.0</v>
      </c>
      <c r="BG405" s="1">
        <v>213.0</v>
      </c>
      <c r="BH405" s="1">
        <v>23.0</v>
      </c>
      <c r="BI405" s="1">
        <v>40.0</v>
      </c>
      <c r="BJ405" s="1">
        <v>278.0</v>
      </c>
      <c r="BK405" s="3"/>
      <c r="BL405" s="1">
        <v>160.0</v>
      </c>
      <c r="BM405" s="1">
        <v>75.0</v>
      </c>
      <c r="BN405" s="32">
        <v>1802.0</v>
      </c>
      <c r="BO405" s="1">
        <v>47.0</v>
      </c>
      <c r="BP405" s="3">
        <v>48.0</v>
      </c>
      <c r="BQ405" s="1">
        <v>188.0</v>
      </c>
      <c r="BR405" s="27">
        <v>68782.0</v>
      </c>
    </row>
    <row r="406">
      <c r="A406" s="25">
        <f>'Equity Price Data'!A407</f>
        <v>46013.66667</v>
      </c>
      <c r="B406" s="34">
        <f>(('PRACTICE Equity Price Data'!B407/'PRACTICE Equity Price Data'!B406)-1)+B405</f>
        <v>0.29846187</v>
      </c>
      <c r="C406" s="34">
        <f>(('PRACTICE Equity Price Data'!C407/'PRACTICE Equity Price Data'!C406)-1)+C405</f>
        <v>0.3977904386</v>
      </c>
      <c r="D406" s="34">
        <f>(('PRACTICE Equity Price Data'!D407/'PRACTICE Equity Price Data'!D406)-1)+D405</f>
        <v>0.2226050666</v>
      </c>
      <c r="E406" s="34">
        <f>(('PRACTICE Equity Price Data'!E407/'PRACTICE Equity Price Data'!E406)-1)+E405</f>
        <v>0.2563595266</v>
      </c>
      <c r="F406" s="3">
        <v>13.0</v>
      </c>
      <c r="G406" s="3">
        <v>260.0</v>
      </c>
      <c r="H406" s="3">
        <v>110.0</v>
      </c>
      <c r="I406" s="3">
        <v>256.0</v>
      </c>
      <c r="J406" s="3">
        <v>83.0</v>
      </c>
      <c r="K406" s="3">
        <v>188.0</v>
      </c>
      <c r="L406" s="3">
        <v>1000.0</v>
      </c>
      <c r="M406" s="3">
        <v>102.0</v>
      </c>
      <c r="N406" s="3">
        <v>200.0</v>
      </c>
      <c r="O406" s="3">
        <v>121.0</v>
      </c>
      <c r="P406" s="3">
        <v>146.0</v>
      </c>
      <c r="Q406" s="3">
        <v>80.0</v>
      </c>
      <c r="R406" s="3">
        <v>150.0</v>
      </c>
      <c r="S406" s="3">
        <v>417.0</v>
      </c>
      <c r="T406" s="3">
        <v>120.0</v>
      </c>
      <c r="U406" s="3">
        <v>80.0</v>
      </c>
      <c r="V406" s="1">
        <v>88.0</v>
      </c>
      <c r="W406" s="1">
        <v>250.0</v>
      </c>
      <c r="X406" s="1">
        <v>264.0</v>
      </c>
      <c r="Y406" s="1">
        <v>161.0</v>
      </c>
      <c r="Z406" s="1">
        <v>69.0</v>
      </c>
      <c r="AA406" s="1"/>
      <c r="AB406" s="1">
        <v>13.0</v>
      </c>
      <c r="AC406" s="1">
        <v>150.0</v>
      </c>
      <c r="AD406" s="1">
        <v>170.0</v>
      </c>
      <c r="AE406" s="1">
        <v>60.0</v>
      </c>
      <c r="AF406" s="1">
        <v>40.0</v>
      </c>
      <c r="AG406" s="1">
        <v>45.0</v>
      </c>
      <c r="AH406" s="1"/>
      <c r="AI406" s="1">
        <v>205.0</v>
      </c>
      <c r="AJ406" s="1">
        <v>60.0</v>
      </c>
      <c r="AK406" s="1">
        <v>100.0</v>
      </c>
      <c r="AL406" s="1">
        <v>175.0</v>
      </c>
      <c r="AM406" s="1">
        <v>130.0</v>
      </c>
      <c r="AN406" s="3">
        <v>47.0</v>
      </c>
      <c r="AO406" s="3">
        <v>160.0</v>
      </c>
      <c r="AP406" s="3">
        <v>70.0</v>
      </c>
      <c r="AQ406" s="3"/>
      <c r="AR406" s="1">
        <v>854.0</v>
      </c>
      <c r="AS406" s="1">
        <v>250.0</v>
      </c>
      <c r="AT406" s="1">
        <v>220.0</v>
      </c>
      <c r="AU406" s="3">
        <v>223.0</v>
      </c>
      <c r="AV406" s="1">
        <v>120.0</v>
      </c>
      <c r="AW406" s="3">
        <v>384.0</v>
      </c>
      <c r="AX406" s="3"/>
      <c r="AY406" s="3">
        <v>142.0</v>
      </c>
      <c r="AZ406" s="1">
        <v>40.0</v>
      </c>
      <c r="BA406" s="1"/>
      <c r="BB406" s="3">
        <v>225.0</v>
      </c>
      <c r="BC406" s="1">
        <v>150.0</v>
      </c>
      <c r="BD406" s="1">
        <v>190.0</v>
      </c>
      <c r="BE406" s="1">
        <v>80.0</v>
      </c>
      <c r="BF406" s="3">
        <v>328.0</v>
      </c>
      <c r="BG406" s="1">
        <v>213.0</v>
      </c>
      <c r="BH406" s="1">
        <v>23.0</v>
      </c>
      <c r="BI406" s="1">
        <v>40.0</v>
      </c>
      <c r="BJ406" s="1">
        <v>278.0</v>
      </c>
      <c r="BK406" s="3"/>
      <c r="BL406" s="1">
        <v>160.0</v>
      </c>
      <c r="BM406" s="1">
        <v>75.0</v>
      </c>
      <c r="BN406" s="32">
        <v>1802.0</v>
      </c>
      <c r="BO406" s="1">
        <v>47.0</v>
      </c>
      <c r="BP406" s="3">
        <v>48.0</v>
      </c>
      <c r="BQ406" s="1">
        <v>188.0</v>
      </c>
      <c r="BR406" s="27">
        <v>68782.0</v>
      </c>
    </row>
    <row r="407">
      <c r="A407" s="25">
        <f>'Equity Price Data'!A408</f>
        <v>46014.66667</v>
      </c>
      <c r="B407" s="34">
        <f>(('PRACTICE Equity Price Data'!B408/'PRACTICE Equity Price Data'!B407)-1)+B406</f>
        <v>0.3030122873</v>
      </c>
      <c r="C407" s="34">
        <f>(('PRACTICE Equity Price Data'!C408/'PRACTICE Equity Price Data'!C407)-1)+C406</f>
        <v>0.403467632</v>
      </c>
      <c r="D407" s="34">
        <f>(('PRACTICE Equity Price Data'!D408/'PRACTICE Equity Price Data'!D407)-1)+D406</f>
        <v>0.2242536519</v>
      </c>
      <c r="E407" s="34">
        <f>(('PRACTICE Equity Price Data'!E408/'PRACTICE Equity Price Data'!E407)-1)+E406</f>
        <v>0.2494578</v>
      </c>
      <c r="F407" s="3">
        <v>13.0</v>
      </c>
      <c r="G407" s="3">
        <v>260.0</v>
      </c>
      <c r="H407" s="3">
        <v>110.0</v>
      </c>
      <c r="I407" s="3">
        <v>256.0</v>
      </c>
      <c r="J407" s="3">
        <v>83.0</v>
      </c>
      <c r="K407" s="3">
        <v>188.0</v>
      </c>
      <c r="L407" s="3">
        <v>1000.0</v>
      </c>
      <c r="M407" s="3">
        <v>102.0</v>
      </c>
      <c r="N407" s="3">
        <v>200.0</v>
      </c>
      <c r="O407" s="3">
        <v>121.0</v>
      </c>
      <c r="P407" s="3">
        <v>146.0</v>
      </c>
      <c r="Q407" s="3">
        <v>80.0</v>
      </c>
      <c r="R407" s="3">
        <v>150.0</v>
      </c>
      <c r="S407" s="3">
        <v>417.0</v>
      </c>
      <c r="T407" s="3">
        <v>120.0</v>
      </c>
      <c r="U407" s="3">
        <v>80.0</v>
      </c>
      <c r="V407" s="1">
        <v>88.0</v>
      </c>
      <c r="W407" s="1">
        <v>250.0</v>
      </c>
      <c r="X407" s="1">
        <v>264.0</v>
      </c>
      <c r="Y407" s="1">
        <v>161.0</v>
      </c>
      <c r="Z407" s="1">
        <v>69.0</v>
      </c>
      <c r="AA407" s="1"/>
      <c r="AB407" s="1">
        <v>13.0</v>
      </c>
      <c r="AC407" s="1">
        <v>150.0</v>
      </c>
      <c r="AD407" s="1">
        <v>170.0</v>
      </c>
      <c r="AE407" s="1">
        <v>60.0</v>
      </c>
      <c r="AF407" s="1">
        <v>40.0</v>
      </c>
      <c r="AG407" s="1">
        <v>45.0</v>
      </c>
      <c r="AH407" s="1"/>
      <c r="AI407" s="1">
        <v>205.0</v>
      </c>
      <c r="AJ407" s="1">
        <v>60.0</v>
      </c>
      <c r="AK407" s="1">
        <v>100.0</v>
      </c>
      <c r="AL407" s="1">
        <v>175.0</v>
      </c>
      <c r="AM407" s="1">
        <v>130.0</v>
      </c>
      <c r="AN407" s="3">
        <v>47.0</v>
      </c>
      <c r="AO407" s="3">
        <v>160.0</v>
      </c>
      <c r="AP407" s="3">
        <v>70.0</v>
      </c>
      <c r="AQ407" s="3"/>
      <c r="AR407" s="1">
        <v>854.0</v>
      </c>
      <c r="AS407" s="1">
        <v>250.0</v>
      </c>
      <c r="AT407" s="1">
        <v>220.0</v>
      </c>
      <c r="AU407" s="3">
        <v>223.0</v>
      </c>
      <c r="AV407" s="1">
        <v>120.0</v>
      </c>
      <c r="AW407" s="3">
        <v>384.0</v>
      </c>
      <c r="AX407" s="3"/>
      <c r="AY407" s="3">
        <v>142.0</v>
      </c>
      <c r="AZ407" s="1">
        <v>40.0</v>
      </c>
      <c r="BA407" s="1"/>
      <c r="BB407" s="3">
        <v>225.0</v>
      </c>
      <c r="BC407" s="1">
        <v>150.0</v>
      </c>
      <c r="BD407" s="1">
        <v>190.0</v>
      </c>
      <c r="BE407" s="1">
        <v>80.0</v>
      </c>
      <c r="BF407" s="3">
        <v>328.0</v>
      </c>
      <c r="BG407" s="1">
        <v>213.0</v>
      </c>
      <c r="BH407" s="1">
        <v>23.0</v>
      </c>
      <c r="BI407" s="1">
        <v>40.0</v>
      </c>
      <c r="BJ407" s="1">
        <v>278.0</v>
      </c>
      <c r="BK407" s="3"/>
      <c r="BL407" s="1">
        <v>160.0</v>
      </c>
      <c r="BM407" s="1">
        <v>75.0</v>
      </c>
      <c r="BN407" s="32">
        <v>1802.0</v>
      </c>
      <c r="BO407" s="1">
        <v>47.0</v>
      </c>
      <c r="BP407" s="3">
        <v>48.0</v>
      </c>
      <c r="BQ407" s="1">
        <v>188.0</v>
      </c>
      <c r="BR407" s="27">
        <v>68782.0</v>
      </c>
    </row>
    <row r="408">
      <c r="A408" s="25">
        <f>'Equity Price Data'!A409</f>
        <v>46015.54514</v>
      </c>
      <c r="B408" s="34">
        <f>(('PRACTICE Equity Price Data'!B409/'PRACTICE Equity Price Data'!B408)-1)+B407</f>
        <v>0.3062338034</v>
      </c>
      <c r="C408" s="34">
        <f>(('PRACTICE Equity Price Data'!C409/'PRACTICE Equity Price Data'!C408)-1)+C407</f>
        <v>0.4056520964</v>
      </c>
      <c r="D408" s="34">
        <f>(('PRACTICE Equity Price Data'!D409/'PRACTICE Equity Price Data'!D408)-1)+D407</f>
        <v>0.230214338</v>
      </c>
      <c r="E408" s="34">
        <f>(('PRACTICE Equity Price Data'!E409/'PRACTICE Equity Price Data'!E408)-1)+E407</f>
        <v>0.2521967498</v>
      </c>
      <c r="F408" s="3">
        <v>13.0</v>
      </c>
      <c r="G408" s="3">
        <v>260.0</v>
      </c>
      <c r="H408" s="3">
        <v>110.0</v>
      </c>
      <c r="I408" s="3">
        <v>256.0</v>
      </c>
      <c r="J408" s="3">
        <v>83.0</v>
      </c>
      <c r="K408" s="3">
        <v>188.0</v>
      </c>
      <c r="L408" s="3">
        <v>1000.0</v>
      </c>
      <c r="M408" s="3">
        <v>102.0</v>
      </c>
      <c r="N408" s="3">
        <v>200.0</v>
      </c>
      <c r="O408" s="3">
        <v>121.0</v>
      </c>
      <c r="P408" s="3">
        <v>146.0</v>
      </c>
      <c r="Q408" s="3">
        <v>80.0</v>
      </c>
      <c r="R408" s="3">
        <v>150.0</v>
      </c>
      <c r="S408" s="3">
        <v>417.0</v>
      </c>
      <c r="T408" s="3">
        <v>120.0</v>
      </c>
      <c r="U408" s="3">
        <v>80.0</v>
      </c>
      <c r="V408" s="1">
        <v>88.0</v>
      </c>
      <c r="W408" s="1">
        <v>250.0</v>
      </c>
      <c r="X408" s="1">
        <v>264.0</v>
      </c>
      <c r="Y408" s="1">
        <v>161.0</v>
      </c>
      <c r="Z408" s="1">
        <v>69.0</v>
      </c>
      <c r="AA408" s="1"/>
      <c r="AB408" s="1">
        <v>13.0</v>
      </c>
      <c r="AC408" s="1">
        <v>150.0</v>
      </c>
      <c r="AD408" s="1">
        <v>170.0</v>
      </c>
      <c r="AE408" s="1">
        <v>60.0</v>
      </c>
      <c r="AF408" s="1">
        <v>40.0</v>
      </c>
      <c r="AG408" s="1">
        <v>45.0</v>
      </c>
      <c r="AH408" s="1"/>
      <c r="AI408" s="1">
        <v>205.0</v>
      </c>
      <c r="AJ408" s="1">
        <v>60.0</v>
      </c>
      <c r="AK408" s="1">
        <v>100.0</v>
      </c>
      <c r="AL408" s="1">
        <v>175.0</v>
      </c>
      <c r="AM408" s="1">
        <v>130.0</v>
      </c>
      <c r="AN408" s="3">
        <v>47.0</v>
      </c>
      <c r="AO408" s="3">
        <v>160.0</v>
      </c>
      <c r="AP408" s="3">
        <v>70.0</v>
      </c>
      <c r="AQ408" s="3"/>
      <c r="AR408" s="1">
        <v>854.0</v>
      </c>
      <c r="AS408" s="1">
        <v>250.0</v>
      </c>
      <c r="AT408" s="1">
        <v>220.0</v>
      </c>
      <c r="AU408" s="3">
        <v>223.0</v>
      </c>
      <c r="AV408" s="1">
        <v>120.0</v>
      </c>
      <c r="AW408" s="3">
        <v>384.0</v>
      </c>
      <c r="AX408" s="3"/>
      <c r="AY408" s="3">
        <v>142.0</v>
      </c>
      <c r="AZ408" s="1">
        <v>40.0</v>
      </c>
      <c r="BA408" s="1"/>
      <c r="BB408" s="3">
        <v>225.0</v>
      </c>
      <c r="BC408" s="1">
        <v>150.0</v>
      </c>
      <c r="BD408" s="1">
        <v>190.0</v>
      </c>
      <c r="BE408" s="1">
        <v>80.0</v>
      </c>
      <c r="BF408" s="3">
        <v>328.0</v>
      </c>
      <c r="BG408" s="1">
        <v>213.0</v>
      </c>
      <c r="BH408" s="1">
        <v>23.0</v>
      </c>
      <c r="BI408" s="1">
        <v>40.0</v>
      </c>
      <c r="BJ408" s="1">
        <v>278.0</v>
      </c>
      <c r="BK408" s="3"/>
      <c r="BL408" s="1">
        <v>160.0</v>
      </c>
      <c r="BM408" s="1">
        <v>75.0</v>
      </c>
      <c r="BN408" s="32">
        <v>1802.0</v>
      </c>
      <c r="BO408" s="1">
        <v>47.0</v>
      </c>
      <c r="BP408" s="3">
        <v>48.0</v>
      </c>
      <c r="BQ408" s="1">
        <v>188.0</v>
      </c>
      <c r="BR408" s="27">
        <v>68782.0</v>
      </c>
    </row>
    <row r="409">
      <c r="A409" s="25">
        <f>'Equity Price Data'!A410</f>
        <v>46017.66667</v>
      </c>
      <c r="B409" s="34">
        <f>(('PRACTICE Equity Price Data'!B410/'PRACTICE Equity Price Data'!B409)-1)+B408</f>
        <v>0.3059294201</v>
      </c>
      <c r="C409" s="34">
        <f>(('PRACTICE Equity Price Data'!C410/'PRACTICE Equity Price Data'!C409)-1)+C408</f>
        <v>0.4047962232</v>
      </c>
      <c r="D409" s="34">
        <f>(('PRACTICE Equity Price Data'!D410/'PRACTICE Equity Price Data'!D409)-1)+D408</f>
        <v>0.229800024</v>
      </c>
      <c r="E409" s="34">
        <f>(('PRACTICE Equity Price Data'!E410/'PRACTICE Equity Price Data'!E409)-1)+E408</f>
        <v>0.2468083789</v>
      </c>
      <c r="F409" s="3">
        <v>13.0</v>
      </c>
      <c r="G409" s="3">
        <v>260.0</v>
      </c>
      <c r="H409" s="3">
        <v>110.0</v>
      </c>
      <c r="I409" s="3">
        <v>256.0</v>
      </c>
      <c r="J409" s="3">
        <v>83.0</v>
      </c>
      <c r="K409" s="3">
        <v>188.0</v>
      </c>
      <c r="L409" s="3">
        <v>1000.0</v>
      </c>
      <c r="M409" s="3">
        <v>102.0</v>
      </c>
      <c r="N409" s="3">
        <v>200.0</v>
      </c>
      <c r="O409" s="3">
        <v>121.0</v>
      </c>
      <c r="P409" s="3">
        <v>146.0</v>
      </c>
      <c r="Q409" s="3">
        <v>80.0</v>
      </c>
      <c r="R409" s="3">
        <v>150.0</v>
      </c>
      <c r="S409" s="3">
        <v>417.0</v>
      </c>
      <c r="T409" s="3">
        <v>120.0</v>
      </c>
      <c r="U409" s="3">
        <v>80.0</v>
      </c>
      <c r="V409" s="1">
        <v>88.0</v>
      </c>
      <c r="W409" s="1">
        <v>250.0</v>
      </c>
      <c r="X409" s="1">
        <v>264.0</v>
      </c>
      <c r="Y409" s="1">
        <v>161.0</v>
      </c>
      <c r="Z409" s="1">
        <v>69.0</v>
      </c>
      <c r="AA409" s="1"/>
      <c r="AB409" s="1">
        <v>13.0</v>
      </c>
      <c r="AC409" s="1">
        <v>150.0</v>
      </c>
      <c r="AD409" s="1">
        <v>170.0</v>
      </c>
      <c r="AE409" s="1">
        <v>60.0</v>
      </c>
      <c r="AF409" s="1">
        <v>40.0</v>
      </c>
      <c r="AG409" s="1">
        <v>45.0</v>
      </c>
      <c r="AH409" s="1"/>
      <c r="AI409" s="1">
        <v>205.0</v>
      </c>
      <c r="AJ409" s="1">
        <v>60.0</v>
      </c>
      <c r="AK409" s="1">
        <v>100.0</v>
      </c>
      <c r="AL409" s="1">
        <v>175.0</v>
      </c>
      <c r="AM409" s="1">
        <v>130.0</v>
      </c>
      <c r="AN409" s="3">
        <v>47.0</v>
      </c>
      <c r="AO409" s="3">
        <v>160.0</v>
      </c>
      <c r="AP409" s="3">
        <v>70.0</v>
      </c>
      <c r="AQ409" s="3"/>
      <c r="AR409" s="1">
        <v>854.0</v>
      </c>
      <c r="AS409" s="1">
        <v>250.0</v>
      </c>
      <c r="AT409" s="1">
        <v>220.0</v>
      </c>
      <c r="AU409" s="3">
        <v>223.0</v>
      </c>
      <c r="AV409" s="1">
        <v>120.0</v>
      </c>
      <c r="AW409" s="3">
        <v>384.0</v>
      </c>
      <c r="AX409" s="3"/>
      <c r="AY409" s="3">
        <v>142.0</v>
      </c>
      <c r="AZ409" s="1">
        <v>40.0</v>
      </c>
      <c r="BA409" s="1"/>
      <c r="BB409" s="3">
        <v>225.0</v>
      </c>
      <c r="BC409" s="1">
        <v>150.0</v>
      </c>
      <c r="BD409" s="1">
        <v>190.0</v>
      </c>
      <c r="BE409" s="1">
        <v>80.0</v>
      </c>
      <c r="BF409" s="3">
        <v>328.0</v>
      </c>
      <c r="BG409" s="1">
        <v>213.0</v>
      </c>
      <c r="BH409" s="1">
        <v>23.0</v>
      </c>
      <c r="BI409" s="1">
        <v>40.0</v>
      </c>
      <c r="BJ409" s="1">
        <v>278.0</v>
      </c>
      <c r="BK409" s="3"/>
      <c r="BL409" s="1">
        <v>160.0</v>
      </c>
      <c r="BM409" s="1">
        <v>75.0</v>
      </c>
      <c r="BN409" s="32">
        <v>1802.0</v>
      </c>
      <c r="BO409" s="1">
        <v>47.0</v>
      </c>
      <c r="BP409" s="3">
        <v>48.0</v>
      </c>
      <c r="BQ409" s="1">
        <v>188.0</v>
      </c>
      <c r="BR409" s="27">
        <v>68782.0</v>
      </c>
    </row>
    <row r="410">
      <c r="A410" s="25">
        <f>'Equity Price Data'!A411</f>
        <v>46020.66667</v>
      </c>
      <c r="B410" s="34">
        <f>(('PRACTICE Equity Price Data'!B411/'PRACTICE Equity Price Data'!B410)-1)+B409</f>
        <v>0.3024373264</v>
      </c>
      <c r="C410" s="34">
        <f>(('PRACTICE Equity Price Data'!C411/'PRACTICE Equity Price Data'!C410)-1)+C409</f>
        <v>0.3997629719</v>
      </c>
      <c r="D410" s="34">
        <f>(('PRACTICE Equity Price Data'!D411/'PRACTICE Equity Price Data'!D410)-1)+D409</f>
        <v>0.224687418</v>
      </c>
      <c r="E410" s="34">
        <f>(('PRACTICE Equity Price Data'!E411/'PRACTICE Equity Price Data'!E410)-1)+E409</f>
        <v>0.2410672619</v>
      </c>
      <c r="F410" s="3">
        <v>13.0</v>
      </c>
      <c r="G410" s="3">
        <v>260.0</v>
      </c>
      <c r="H410" s="3">
        <v>110.0</v>
      </c>
      <c r="I410" s="3">
        <v>256.0</v>
      </c>
      <c r="J410" s="3">
        <v>83.0</v>
      </c>
      <c r="K410" s="3">
        <v>188.0</v>
      </c>
      <c r="L410" s="3">
        <v>1000.0</v>
      </c>
      <c r="M410" s="3">
        <v>102.0</v>
      </c>
      <c r="N410" s="3">
        <v>200.0</v>
      </c>
      <c r="O410" s="3">
        <v>121.0</v>
      </c>
      <c r="P410" s="3">
        <v>146.0</v>
      </c>
      <c r="Q410" s="3">
        <v>80.0</v>
      </c>
      <c r="R410" s="3">
        <v>150.0</v>
      </c>
      <c r="S410" s="3">
        <v>417.0</v>
      </c>
      <c r="T410" s="3">
        <v>120.0</v>
      </c>
      <c r="U410" s="3">
        <v>80.0</v>
      </c>
      <c r="V410" s="1">
        <v>88.0</v>
      </c>
      <c r="W410" s="1">
        <v>250.0</v>
      </c>
      <c r="X410" s="1">
        <v>264.0</v>
      </c>
      <c r="Y410" s="1">
        <v>161.0</v>
      </c>
      <c r="Z410" s="1">
        <v>69.0</v>
      </c>
      <c r="AA410" s="1"/>
      <c r="AB410" s="1">
        <v>13.0</v>
      </c>
      <c r="AC410" s="1">
        <v>150.0</v>
      </c>
      <c r="AD410" s="1">
        <v>170.0</v>
      </c>
      <c r="AE410" s="1">
        <v>60.0</v>
      </c>
      <c r="AF410" s="1">
        <v>40.0</v>
      </c>
      <c r="AG410" s="1">
        <v>45.0</v>
      </c>
      <c r="AH410" s="1"/>
      <c r="AI410" s="1">
        <v>205.0</v>
      </c>
      <c r="AJ410" s="1">
        <v>60.0</v>
      </c>
      <c r="AK410" s="1">
        <v>100.0</v>
      </c>
      <c r="AL410" s="1">
        <v>175.0</v>
      </c>
      <c r="AM410" s="1">
        <v>130.0</v>
      </c>
      <c r="AN410" s="3">
        <v>47.0</v>
      </c>
      <c r="AO410" s="3">
        <v>160.0</v>
      </c>
      <c r="AP410" s="3">
        <v>70.0</v>
      </c>
      <c r="AQ410" s="3"/>
      <c r="AR410" s="1">
        <v>854.0</v>
      </c>
      <c r="AS410" s="1">
        <v>250.0</v>
      </c>
      <c r="AT410" s="1">
        <v>220.0</v>
      </c>
      <c r="AU410" s="3">
        <v>223.0</v>
      </c>
      <c r="AV410" s="1">
        <v>120.0</v>
      </c>
      <c r="AW410" s="3">
        <v>384.0</v>
      </c>
      <c r="AX410" s="3"/>
      <c r="AY410" s="3">
        <v>142.0</v>
      </c>
      <c r="AZ410" s="1">
        <v>40.0</v>
      </c>
      <c r="BA410" s="1"/>
      <c r="BB410" s="3">
        <v>225.0</v>
      </c>
      <c r="BC410" s="1">
        <v>150.0</v>
      </c>
      <c r="BD410" s="1">
        <v>190.0</v>
      </c>
      <c r="BE410" s="1">
        <v>80.0</v>
      </c>
      <c r="BF410" s="3">
        <v>328.0</v>
      </c>
      <c r="BG410" s="1">
        <v>213.0</v>
      </c>
      <c r="BH410" s="1">
        <v>23.0</v>
      </c>
      <c r="BI410" s="1">
        <v>40.0</v>
      </c>
      <c r="BJ410" s="1">
        <v>278.0</v>
      </c>
      <c r="BK410" s="3"/>
      <c r="BL410" s="1">
        <v>160.0</v>
      </c>
      <c r="BM410" s="1">
        <v>75.0</v>
      </c>
      <c r="BN410" s="32">
        <v>1802.0</v>
      </c>
      <c r="BO410" s="1">
        <v>47.0</v>
      </c>
      <c r="BP410" s="3">
        <v>48.0</v>
      </c>
      <c r="BQ410" s="1">
        <v>188.0</v>
      </c>
      <c r="BR410" s="27">
        <v>68782.0</v>
      </c>
    </row>
    <row r="411">
      <c r="A411" s="25">
        <f>'Equity Price Data'!A412</f>
        <v>46021.66667</v>
      </c>
      <c r="B411" s="34">
        <f>(('PRACTICE Equity Price Data'!B412/'PRACTICE Equity Price Data'!B411)-1)+B410</f>
        <v>0.3010616592</v>
      </c>
      <c r="C411" s="34">
        <f>(('PRACTICE Equity Price Data'!C412/'PRACTICE Equity Price Data'!C411)-1)+C410</f>
        <v>0.3974084872</v>
      </c>
      <c r="D411" s="34">
        <f>(('PRACTICE Equity Price Data'!D412/'PRACTICE Equity Price Data'!D411)-1)+D410</f>
        <v>0.2227297989</v>
      </c>
      <c r="E411" s="34">
        <f>(('PRACTICE Equity Price Data'!E412/'PRACTICE Equity Price Data'!E411)-1)+E410</f>
        <v>0.233443641</v>
      </c>
      <c r="F411" s="3">
        <v>13.0</v>
      </c>
      <c r="G411" s="3">
        <v>260.0</v>
      </c>
      <c r="H411" s="3">
        <v>110.0</v>
      </c>
      <c r="I411" s="3">
        <v>256.0</v>
      </c>
      <c r="J411" s="3">
        <v>83.0</v>
      </c>
      <c r="K411" s="3">
        <v>188.0</v>
      </c>
      <c r="L411" s="3">
        <v>1000.0</v>
      </c>
      <c r="M411" s="3">
        <v>102.0</v>
      </c>
      <c r="N411" s="3">
        <v>200.0</v>
      </c>
      <c r="O411" s="3">
        <v>121.0</v>
      </c>
      <c r="P411" s="3">
        <v>146.0</v>
      </c>
      <c r="Q411" s="3">
        <v>80.0</v>
      </c>
      <c r="R411" s="3">
        <v>150.0</v>
      </c>
      <c r="S411" s="3">
        <v>417.0</v>
      </c>
      <c r="T411" s="3">
        <v>120.0</v>
      </c>
      <c r="U411" s="3">
        <v>80.0</v>
      </c>
      <c r="V411" s="1">
        <v>88.0</v>
      </c>
      <c r="W411" s="1">
        <v>250.0</v>
      </c>
      <c r="X411" s="1">
        <v>264.0</v>
      </c>
      <c r="Y411" s="1">
        <v>161.0</v>
      </c>
      <c r="Z411" s="1">
        <v>69.0</v>
      </c>
      <c r="AA411" s="1"/>
      <c r="AB411" s="1">
        <v>13.0</v>
      </c>
      <c r="AC411" s="1">
        <v>150.0</v>
      </c>
      <c r="AD411" s="1">
        <v>170.0</v>
      </c>
      <c r="AE411" s="1">
        <v>60.0</v>
      </c>
      <c r="AF411" s="1">
        <v>40.0</v>
      </c>
      <c r="AG411" s="1">
        <v>45.0</v>
      </c>
      <c r="AH411" s="1"/>
      <c r="AI411" s="1">
        <v>205.0</v>
      </c>
      <c r="AJ411" s="1">
        <v>60.0</v>
      </c>
      <c r="AK411" s="1">
        <v>100.0</v>
      </c>
      <c r="AL411" s="1">
        <v>175.0</v>
      </c>
      <c r="AM411" s="1">
        <v>130.0</v>
      </c>
      <c r="AN411" s="3">
        <v>47.0</v>
      </c>
      <c r="AO411" s="3">
        <v>160.0</v>
      </c>
      <c r="AP411" s="3">
        <v>70.0</v>
      </c>
      <c r="AQ411" s="3"/>
      <c r="AR411" s="1">
        <v>854.0</v>
      </c>
      <c r="AS411" s="1">
        <v>250.0</v>
      </c>
      <c r="AT411" s="1">
        <v>220.0</v>
      </c>
      <c r="AU411" s="3">
        <v>223.0</v>
      </c>
      <c r="AV411" s="1">
        <v>120.0</v>
      </c>
      <c r="AW411" s="3">
        <v>384.0</v>
      </c>
      <c r="AX411" s="3"/>
      <c r="AY411" s="3">
        <v>142.0</v>
      </c>
      <c r="AZ411" s="1">
        <v>40.0</v>
      </c>
      <c r="BA411" s="1"/>
      <c r="BB411" s="3">
        <v>225.0</v>
      </c>
      <c r="BC411" s="1">
        <v>150.0</v>
      </c>
      <c r="BD411" s="1">
        <v>190.0</v>
      </c>
      <c r="BE411" s="1">
        <v>80.0</v>
      </c>
      <c r="BF411" s="3">
        <v>328.0</v>
      </c>
      <c r="BG411" s="1">
        <v>213.0</v>
      </c>
      <c r="BH411" s="1">
        <v>23.0</v>
      </c>
      <c r="BI411" s="1">
        <v>40.0</v>
      </c>
      <c r="BJ411" s="1">
        <v>278.0</v>
      </c>
      <c r="BK411" s="3"/>
      <c r="BL411" s="1">
        <v>160.0</v>
      </c>
      <c r="BM411" s="1">
        <v>75.0</v>
      </c>
      <c r="BN411" s="32">
        <v>1802.0</v>
      </c>
      <c r="BO411" s="1">
        <v>47.0</v>
      </c>
      <c r="BP411" s="3">
        <v>48.0</v>
      </c>
      <c r="BQ411" s="1">
        <v>188.0</v>
      </c>
      <c r="BR411" s="27">
        <v>68782.0</v>
      </c>
    </row>
    <row r="412">
      <c r="A412" s="25">
        <f>'Equity Price Data'!A413</f>
        <v>46022.66667</v>
      </c>
      <c r="B412" s="34">
        <f>(('PRACTICE Equity Price Data'!B413/'PRACTICE Equity Price Data'!B412)-1)+B411</f>
        <v>0.2937040267</v>
      </c>
      <c r="C412" s="34">
        <f>(('PRACTICE Equity Price Data'!C413/'PRACTICE Equity Price Data'!C412)-1)+C411</f>
        <v>0.3898467042</v>
      </c>
      <c r="D412" s="34">
        <f>(('PRACTICE Equity Price Data'!D413/'PRACTICE Equity Price Data'!D412)-1)+D411</f>
        <v>0.2164492848</v>
      </c>
      <c r="E412" s="34">
        <f>(('PRACTICE Equity Price Data'!E413/'PRACTICE Equity Price Data'!E412)-1)+E411</f>
        <v>0.2259734039</v>
      </c>
      <c r="F412" s="3">
        <v>13.0</v>
      </c>
      <c r="G412" s="3">
        <v>260.0</v>
      </c>
      <c r="H412" s="3">
        <v>110.0</v>
      </c>
      <c r="I412" s="3">
        <v>256.0</v>
      </c>
      <c r="J412" s="3">
        <v>83.0</v>
      </c>
      <c r="K412" s="3">
        <v>188.0</v>
      </c>
      <c r="L412" s="3">
        <v>1000.0</v>
      </c>
      <c r="M412" s="3">
        <v>102.0</v>
      </c>
      <c r="N412" s="3">
        <v>200.0</v>
      </c>
      <c r="O412" s="3">
        <v>121.0</v>
      </c>
      <c r="P412" s="3">
        <v>146.0</v>
      </c>
      <c r="Q412" s="3">
        <v>80.0</v>
      </c>
      <c r="R412" s="3">
        <v>150.0</v>
      </c>
      <c r="S412" s="3">
        <v>417.0</v>
      </c>
      <c r="T412" s="3">
        <v>120.0</v>
      </c>
      <c r="U412" s="3">
        <v>80.0</v>
      </c>
      <c r="V412" s="1">
        <v>88.0</v>
      </c>
      <c r="W412" s="1">
        <v>250.0</v>
      </c>
      <c r="X412" s="1">
        <v>264.0</v>
      </c>
      <c r="Y412" s="1">
        <v>161.0</v>
      </c>
      <c r="Z412" s="1">
        <v>69.0</v>
      </c>
      <c r="AA412" s="1"/>
      <c r="AB412" s="1">
        <v>13.0</v>
      </c>
      <c r="AC412" s="1">
        <v>150.0</v>
      </c>
      <c r="AD412" s="1">
        <v>170.0</v>
      </c>
      <c r="AE412" s="1">
        <v>60.0</v>
      </c>
      <c r="AF412" s="1">
        <v>40.0</v>
      </c>
      <c r="AG412" s="1">
        <v>45.0</v>
      </c>
      <c r="AH412" s="1"/>
      <c r="AI412" s="1">
        <v>205.0</v>
      </c>
      <c r="AJ412" s="1">
        <v>60.0</v>
      </c>
      <c r="AK412" s="1">
        <v>100.0</v>
      </c>
      <c r="AL412" s="1">
        <v>175.0</v>
      </c>
      <c r="AM412" s="1">
        <v>130.0</v>
      </c>
      <c r="AN412" s="3">
        <v>47.0</v>
      </c>
      <c r="AO412" s="3">
        <v>160.0</v>
      </c>
      <c r="AP412" s="3">
        <v>70.0</v>
      </c>
      <c r="AQ412" s="3"/>
      <c r="AR412" s="1">
        <v>854.0</v>
      </c>
      <c r="AS412" s="1">
        <v>250.0</v>
      </c>
      <c r="AT412" s="1">
        <v>220.0</v>
      </c>
      <c r="AU412" s="3">
        <v>223.0</v>
      </c>
      <c r="AV412" s="1">
        <v>120.0</v>
      </c>
      <c r="AW412" s="3">
        <v>384.0</v>
      </c>
      <c r="AX412" s="3"/>
      <c r="AY412" s="3">
        <v>142.0</v>
      </c>
      <c r="AZ412" s="1">
        <v>40.0</v>
      </c>
      <c r="BA412" s="1"/>
      <c r="BB412" s="3">
        <v>225.0</v>
      </c>
      <c r="BC412" s="1">
        <v>150.0</v>
      </c>
      <c r="BD412" s="1">
        <v>190.0</v>
      </c>
      <c r="BE412" s="1">
        <v>80.0</v>
      </c>
      <c r="BF412" s="3">
        <v>328.0</v>
      </c>
      <c r="BG412" s="1">
        <v>213.0</v>
      </c>
      <c r="BH412" s="1">
        <v>23.0</v>
      </c>
      <c r="BI412" s="1">
        <v>40.0</v>
      </c>
      <c r="BJ412" s="1">
        <v>278.0</v>
      </c>
      <c r="BK412" s="3"/>
      <c r="BL412" s="1">
        <v>160.0</v>
      </c>
      <c r="BM412" s="1">
        <v>75.0</v>
      </c>
      <c r="BN412" s="32">
        <v>1802.0</v>
      </c>
      <c r="BO412" s="1">
        <v>47.0</v>
      </c>
      <c r="BP412" s="3">
        <v>48.0</v>
      </c>
      <c r="BQ412" s="1">
        <v>188.0</v>
      </c>
      <c r="BR412" s="27">
        <v>68782.0</v>
      </c>
    </row>
    <row r="413">
      <c r="A413" s="25">
        <f>'Equity Price Data'!A414</f>
        <v>46024.66667</v>
      </c>
      <c r="B413" s="34">
        <f>(('PRACTICE Equity Price Data'!B414/'PRACTICE Equity Price Data'!B413)-1)+B412</f>
        <v>0.295598702</v>
      </c>
      <c r="C413" s="34">
        <f>(('PRACTICE Equity Price Data'!C414/'PRACTICE Equity Price Data'!C413)-1)+C412</f>
        <v>0.3895730615</v>
      </c>
      <c r="D413" s="34">
        <f>(('PRACTICE Equity Price Data'!D414/'PRACTICE Equity Price Data'!D413)-1)+D412</f>
        <v>0.2230884475</v>
      </c>
      <c r="E413" s="34">
        <f>(('PRACTICE Equity Price Data'!E414/'PRACTICE Equity Price Data'!E413)-1)+E412</f>
        <v>0.2365741107</v>
      </c>
      <c r="F413" s="3">
        <v>13.0</v>
      </c>
      <c r="G413" s="3">
        <v>260.0</v>
      </c>
      <c r="H413" s="3">
        <v>110.0</v>
      </c>
      <c r="I413" s="3">
        <v>256.0</v>
      </c>
      <c r="J413" s="3">
        <v>83.0</v>
      </c>
      <c r="K413" s="3">
        <v>188.0</v>
      </c>
      <c r="L413" s="3">
        <v>1000.0</v>
      </c>
      <c r="M413" s="3">
        <v>102.0</v>
      </c>
      <c r="N413" s="3">
        <v>200.0</v>
      </c>
      <c r="O413" s="3">
        <v>121.0</v>
      </c>
      <c r="P413" s="3">
        <v>146.0</v>
      </c>
      <c r="Q413" s="3">
        <v>80.0</v>
      </c>
      <c r="R413" s="3">
        <v>150.0</v>
      </c>
      <c r="S413" s="3">
        <v>417.0</v>
      </c>
      <c r="T413" s="3">
        <v>120.0</v>
      </c>
      <c r="U413" s="3">
        <v>80.0</v>
      </c>
      <c r="V413" s="1">
        <v>88.0</v>
      </c>
      <c r="W413" s="1">
        <v>250.0</v>
      </c>
      <c r="X413" s="1">
        <v>264.0</v>
      </c>
      <c r="Y413" s="1">
        <v>161.0</v>
      </c>
      <c r="Z413" s="1">
        <v>69.0</v>
      </c>
      <c r="AA413" s="1"/>
      <c r="AB413" s="1">
        <v>13.0</v>
      </c>
      <c r="AC413" s="1">
        <v>150.0</v>
      </c>
      <c r="AD413" s="1">
        <v>170.0</v>
      </c>
      <c r="AE413" s="1">
        <v>60.0</v>
      </c>
      <c r="AF413" s="1">
        <v>40.0</v>
      </c>
      <c r="AG413" s="1">
        <v>45.0</v>
      </c>
      <c r="AH413" s="1"/>
      <c r="AI413" s="1">
        <v>205.0</v>
      </c>
      <c r="AJ413" s="1">
        <v>60.0</v>
      </c>
      <c r="AK413" s="1">
        <v>100.0</v>
      </c>
      <c r="AL413" s="1">
        <v>175.0</v>
      </c>
      <c r="AM413" s="1">
        <v>130.0</v>
      </c>
      <c r="AN413" s="3">
        <v>47.0</v>
      </c>
      <c r="AO413" s="3">
        <v>160.0</v>
      </c>
      <c r="AP413" s="3">
        <v>70.0</v>
      </c>
      <c r="AQ413" s="3"/>
      <c r="AR413" s="1">
        <v>854.0</v>
      </c>
      <c r="AS413" s="1">
        <v>250.0</v>
      </c>
      <c r="AT413" s="1">
        <v>220.0</v>
      </c>
      <c r="AU413" s="3">
        <v>223.0</v>
      </c>
      <c r="AV413" s="1">
        <v>120.0</v>
      </c>
      <c r="AW413" s="3">
        <v>384.0</v>
      </c>
      <c r="AX413" s="3"/>
      <c r="AY413" s="3">
        <v>142.0</v>
      </c>
      <c r="AZ413" s="1">
        <v>40.0</v>
      </c>
      <c r="BA413" s="1"/>
      <c r="BB413" s="3">
        <v>225.0</v>
      </c>
      <c r="BC413" s="1">
        <v>150.0</v>
      </c>
      <c r="BD413" s="1">
        <v>190.0</v>
      </c>
      <c r="BE413" s="1">
        <v>80.0</v>
      </c>
      <c r="BF413" s="3">
        <v>328.0</v>
      </c>
      <c r="BG413" s="1">
        <v>213.0</v>
      </c>
      <c r="BH413" s="1">
        <v>23.0</v>
      </c>
      <c r="BI413" s="1">
        <v>40.0</v>
      </c>
      <c r="BJ413" s="1">
        <v>278.0</v>
      </c>
      <c r="BK413" s="3"/>
      <c r="BL413" s="1">
        <v>160.0</v>
      </c>
      <c r="BM413" s="1">
        <v>75.0</v>
      </c>
      <c r="BN413" s="32">
        <v>1802.0</v>
      </c>
      <c r="BO413" s="1">
        <v>47.0</v>
      </c>
      <c r="BP413" s="3">
        <v>48.0</v>
      </c>
      <c r="BQ413" s="1">
        <v>188.0</v>
      </c>
      <c r="BR413" s="27">
        <v>68782.0</v>
      </c>
    </row>
    <row r="414">
      <c r="A414" s="25">
        <f>'Equity Price Data'!A415</f>
        <v>46027.66667</v>
      </c>
      <c r="B414" s="34">
        <f>(('PRACTICE Equity Price Data'!B415/'PRACTICE Equity Price Data'!B414)-1)+B413</f>
        <v>0.3019528889</v>
      </c>
      <c r="C414" s="34">
        <f>(('PRACTICE Equity Price Data'!C415/'PRACTICE Equity Price Data'!C414)-1)+C413</f>
        <v>0.396467215</v>
      </c>
      <c r="D414" s="34">
        <f>(('PRACTICE Equity Price Data'!D415/'PRACTICE Equity Price Data'!D414)-1)+D413</f>
        <v>0.23538197</v>
      </c>
      <c r="E414" s="34">
        <f>(('PRACTICE Equity Price Data'!E415/'PRACTICE Equity Price Data'!E414)-1)+E413</f>
        <v>0.2524020683</v>
      </c>
      <c r="F414" s="3">
        <v>13.0</v>
      </c>
      <c r="G414" s="3">
        <v>260.0</v>
      </c>
      <c r="H414" s="3">
        <v>110.0</v>
      </c>
      <c r="I414" s="3">
        <v>256.0</v>
      </c>
      <c r="J414" s="3">
        <v>83.0</v>
      </c>
      <c r="K414" s="3">
        <v>188.0</v>
      </c>
      <c r="L414" s="3">
        <v>1000.0</v>
      </c>
      <c r="M414" s="3">
        <v>102.0</v>
      </c>
      <c r="N414" s="3">
        <v>200.0</v>
      </c>
      <c r="O414" s="3">
        <v>121.0</v>
      </c>
      <c r="P414" s="3">
        <v>146.0</v>
      </c>
      <c r="Q414" s="3">
        <v>80.0</v>
      </c>
      <c r="R414" s="3">
        <v>150.0</v>
      </c>
      <c r="S414" s="3">
        <v>417.0</v>
      </c>
      <c r="T414" s="3">
        <v>120.0</v>
      </c>
      <c r="U414" s="3">
        <v>80.0</v>
      </c>
      <c r="V414" s="1">
        <v>88.0</v>
      </c>
      <c r="W414" s="1">
        <v>250.0</v>
      </c>
      <c r="X414" s="1">
        <v>264.0</v>
      </c>
      <c r="Y414" s="1">
        <v>161.0</v>
      </c>
      <c r="Z414" s="1">
        <v>69.0</v>
      </c>
      <c r="AA414" s="1"/>
      <c r="AB414" s="1">
        <v>13.0</v>
      </c>
      <c r="AC414" s="1">
        <v>150.0</v>
      </c>
      <c r="AD414" s="1">
        <v>170.0</v>
      </c>
      <c r="AE414" s="1">
        <v>60.0</v>
      </c>
      <c r="AF414" s="1">
        <v>40.0</v>
      </c>
      <c r="AG414" s="1">
        <v>45.0</v>
      </c>
      <c r="AH414" s="1"/>
      <c r="AI414" s="1">
        <v>205.0</v>
      </c>
      <c r="AJ414" s="1">
        <v>60.0</v>
      </c>
      <c r="AK414" s="1">
        <v>100.0</v>
      </c>
      <c r="AL414" s="1">
        <v>175.0</v>
      </c>
      <c r="AM414" s="1">
        <v>130.0</v>
      </c>
      <c r="AN414" s="3">
        <v>47.0</v>
      </c>
      <c r="AO414" s="3">
        <v>160.0</v>
      </c>
      <c r="AP414" s="3">
        <v>70.0</v>
      </c>
      <c r="AQ414" s="3"/>
      <c r="AR414" s="1">
        <v>854.0</v>
      </c>
      <c r="AS414" s="1">
        <v>250.0</v>
      </c>
      <c r="AT414" s="1">
        <v>220.0</v>
      </c>
      <c r="AU414" s="3">
        <v>223.0</v>
      </c>
      <c r="AV414" s="1">
        <v>120.0</v>
      </c>
      <c r="AW414" s="3">
        <v>384.0</v>
      </c>
      <c r="AX414" s="3"/>
      <c r="AY414" s="3">
        <v>142.0</v>
      </c>
      <c r="AZ414" s="1">
        <v>40.0</v>
      </c>
      <c r="BA414" s="1"/>
      <c r="BB414" s="3">
        <v>225.0</v>
      </c>
      <c r="BC414" s="1">
        <v>150.0</v>
      </c>
      <c r="BD414" s="1">
        <v>190.0</v>
      </c>
      <c r="BE414" s="1">
        <v>80.0</v>
      </c>
      <c r="BF414" s="3">
        <v>328.0</v>
      </c>
      <c r="BG414" s="1">
        <v>213.0</v>
      </c>
      <c r="BH414" s="1">
        <v>23.0</v>
      </c>
      <c r="BI414" s="1">
        <v>40.0</v>
      </c>
      <c r="BJ414" s="1">
        <v>278.0</v>
      </c>
      <c r="BK414" s="3"/>
      <c r="BL414" s="1">
        <v>160.0</v>
      </c>
      <c r="BM414" s="1">
        <v>75.0</v>
      </c>
      <c r="BN414" s="32">
        <v>1802.0</v>
      </c>
      <c r="BO414" s="1">
        <v>47.0</v>
      </c>
      <c r="BP414" s="3">
        <v>48.0</v>
      </c>
      <c r="BQ414" s="1">
        <v>188.0</v>
      </c>
      <c r="BR414" s="27">
        <v>68782.0</v>
      </c>
    </row>
    <row r="415">
      <c r="A415" s="25">
        <f>'Equity Price Data'!A416</f>
        <v>46028.66667</v>
      </c>
      <c r="B415" s="34">
        <f>(('PRACTICE Equity Price Data'!B416/'PRACTICE Equity Price Data'!B415)-1)+B414</f>
        <v>0.3081495985</v>
      </c>
      <c r="C415" s="34">
        <f>(('PRACTICE Equity Price Data'!C416/'PRACTICE Equity Price Data'!C415)-1)+C414</f>
        <v>0.4029363193</v>
      </c>
      <c r="D415" s="34">
        <f>(('PRACTICE Equity Price Data'!D416/'PRACTICE Equity Price Data'!D415)-1)+D414</f>
        <v>0.2452824991</v>
      </c>
      <c r="E415" s="34">
        <f>(('PRACTICE Equity Price Data'!E416/'PRACTICE Equity Price Data'!E415)-1)+E414</f>
        <v>0.2661309138</v>
      </c>
      <c r="F415" s="3">
        <v>13.0</v>
      </c>
      <c r="G415" s="3">
        <v>260.0</v>
      </c>
      <c r="H415" s="3">
        <v>110.0</v>
      </c>
      <c r="I415" s="3">
        <v>256.0</v>
      </c>
      <c r="J415" s="3">
        <v>83.0</v>
      </c>
      <c r="K415" s="3">
        <v>188.0</v>
      </c>
      <c r="L415" s="3">
        <v>1000.0</v>
      </c>
      <c r="M415" s="3">
        <v>102.0</v>
      </c>
      <c r="N415" s="3">
        <v>200.0</v>
      </c>
      <c r="O415" s="3">
        <v>121.0</v>
      </c>
      <c r="P415" s="3">
        <v>146.0</v>
      </c>
      <c r="Q415" s="3">
        <v>80.0</v>
      </c>
      <c r="R415" s="3">
        <v>150.0</v>
      </c>
      <c r="S415" s="3">
        <v>417.0</v>
      </c>
      <c r="T415" s="3">
        <v>120.0</v>
      </c>
      <c r="U415" s="3">
        <v>80.0</v>
      </c>
      <c r="V415" s="1">
        <v>88.0</v>
      </c>
      <c r="W415" s="1">
        <v>250.0</v>
      </c>
      <c r="X415" s="1">
        <v>264.0</v>
      </c>
      <c r="Y415" s="1">
        <v>161.0</v>
      </c>
      <c r="Z415" s="1">
        <v>69.0</v>
      </c>
      <c r="AA415" s="1"/>
      <c r="AB415" s="1">
        <v>13.0</v>
      </c>
      <c r="AC415" s="1">
        <v>150.0</v>
      </c>
      <c r="AD415" s="1">
        <v>170.0</v>
      </c>
      <c r="AE415" s="1">
        <v>60.0</v>
      </c>
      <c r="AF415" s="1">
        <v>40.0</v>
      </c>
      <c r="AG415" s="1">
        <v>45.0</v>
      </c>
      <c r="AH415" s="1"/>
      <c r="AI415" s="1">
        <v>205.0</v>
      </c>
      <c r="AJ415" s="1">
        <v>60.0</v>
      </c>
      <c r="AK415" s="1">
        <v>100.0</v>
      </c>
      <c r="AL415" s="1">
        <v>175.0</v>
      </c>
      <c r="AM415" s="1">
        <v>130.0</v>
      </c>
      <c r="AN415" s="3">
        <v>47.0</v>
      </c>
      <c r="AO415" s="3">
        <v>160.0</v>
      </c>
      <c r="AP415" s="3">
        <v>70.0</v>
      </c>
      <c r="AQ415" s="3"/>
      <c r="AR415" s="1">
        <v>854.0</v>
      </c>
      <c r="AS415" s="1">
        <v>250.0</v>
      </c>
      <c r="AT415" s="1">
        <v>220.0</v>
      </c>
      <c r="AU415" s="3">
        <v>223.0</v>
      </c>
      <c r="AV415" s="1">
        <v>120.0</v>
      </c>
      <c r="AW415" s="3">
        <v>384.0</v>
      </c>
      <c r="AX415" s="3"/>
      <c r="AY415" s="3">
        <v>142.0</v>
      </c>
      <c r="AZ415" s="1">
        <v>40.0</v>
      </c>
      <c r="BA415" s="1"/>
      <c r="BB415" s="3">
        <v>225.0</v>
      </c>
      <c r="BC415" s="1">
        <v>150.0</v>
      </c>
      <c r="BD415" s="1">
        <v>190.0</v>
      </c>
      <c r="BE415" s="1">
        <v>80.0</v>
      </c>
      <c r="BF415" s="3">
        <v>328.0</v>
      </c>
      <c r="BG415" s="1">
        <v>213.0</v>
      </c>
      <c r="BH415" s="1">
        <v>23.0</v>
      </c>
      <c r="BI415" s="1">
        <v>40.0</v>
      </c>
      <c r="BJ415" s="1">
        <v>278.0</v>
      </c>
      <c r="BK415" s="3"/>
      <c r="BL415" s="1">
        <v>160.0</v>
      </c>
      <c r="BM415" s="1">
        <v>75.0</v>
      </c>
      <c r="BN415" s="32">
        <v>1802.0</v>
      </c>
      <c r="BO415" s="1">
        <v>47.0</v>
      </c>
      <c r="BP415" s="3">
        <v>48.0</v>
      </c>
      <c r="BQ415" s="1">
        <v>188.0</v>
      </c>
      <c r="BR415" s="27">
        <v>68782.0</v>
      </c>
    </row>
    <row r="416">
      <c r="A416" s="25">
        <f>'Equity Price Data'!A417</f>
        <v>46029.66667</v>
      </c>
      <c r="B416" s="34">
        <f>(('PRACTICE Equity Price Data'!B417/'PRACTICE Equity Price Data'!B416)-1)+B415</f>
        <v>0.3047096246</v>
      </c>
      <c r="C416" s="34">
        <f>(('PRACTICE Equity Price Data'!C417/'PRACTICE Equity Price Data'!C416)-1)+C415</f>
        <v>0.4045123049</v>
      </c>
      <c r="D416" s="34">
        <f>(('PRACTICE Equity Price Data'!D417/'PRACTICE Equity Price Data'!D416)-1)+D415</f>
        <v>0.2358611404</v>
      </c>
      <c r="E416" s="34">
        <f>(('PRACTICE Equity Price Data'!E417/'PRACTICE Equity Price Data'!E416)-1)+E415</f>
        <v>0.2632349442</v>
      </c>
      <c r="F416" s="3">
        <v>13.0</v>
      </c>
      <c r="G416" s="3">
        <v>260.0</v>
      </c>
      <c r="H416" s="3">
        <v>110.0</v>
      </c>
      <c r="I416" s="3">
        <v>256.0</v>
      </c>
      <c r="J416" s="3">
        <v>83.0</v>
      </c>
      <c r="K416" s="3">
        <v>188.0</v>
      </c>
      <c r="L416" s="3">
        <v>1000.0</v>
      </c>
      <c r="M416" s="3">
        <v>102.0</v>
      </c>
      <c r="N416" s="3">
        <v>200.0</v>
      </c>
      <c r="O416" s="3">
        <v>121.0</v>
      </c>
      <c r="P416" s="3">
        <v>146.0</v>
      </c>
      <c r="Q416" s="3">
        <v>80.0</v>
      </c>
      <c r="R416" s="3">
        <v>150.0</v>
      </c>
      <c r="S416" s="3">
        <v>417.0</v>
      </c>
      <c r="T416" s="3">
        <v>120.0</v>
      </c>
      <c r="U416" s="3">
        <v>80.0</v>
      </c>
      <c r="V416" s="1">
        <v>88.0</v>
      </c>
      <c r="W416" s="1">
        <v>250.0</v>
      </c>
      <c r="X416" s="1">
        <v>264.0</v>
      </c>
      <c r="Y416" s="1">
        <v>161.0</v>
      </c>
      <c r="Z416" s="1">
        <v>69.0</v>
      </c>
      <c r="AA416" s="1"/>
      <c r="AB416" s="1">
        <v>13.0</v>
      </c>
      <c r="AC416" s="1">
        <v>150.0</v>
      </c>
      <c r="AD416" s="1">
        <v>170.0</v>
      </c>
      <c r="AE416" s="1">
        <v>60.0</v>
      </c>
      <c r="AF416" s="1">
        <v>40.0</v>
      </c>
      <c r="AG416" s="1">
        <v>45.0</v>
      </c>
      <c r="AH416" s="1"/>
      <c r="AI416" s="1">
        <v>205.0</v>
      </c>
      <c r="AJ416" s="1">
        <v>60.0</v>
      </c>
      <c r="AK416" s="1">
        <v>100.0</v>
      </c>
      <c r="AL416" s="1">
        <v>175.0</v>
      </c>
      <c r="AM416" s="1">
        <v>130.0</v>
      </c>
      <c r="AN416" s="3">
        <v>47.0</v>
      </c>
      <c r="AO416" s="3">
        <v>160.0</v>
      </c>
      <c r="AP416" s="3">
        <v>70.0</v>
      </c>
      <c r="AQ416" s="3"/>
      <c r="AR416" s="1">
        <v>854.0</v>
      </c>
      <c r="AS416" s="1">
        <v>250.0</v>
      </c>
      <c r="AT416" s="1">
        <v>220.0</v>
      </c>
      <c r="AU416" s="3">
        <v>223.0</v>
      </c>
      <c r="AV416" s="1">
        <v>120.0</v>
      </c>
      <c r="AW416" s="3">
        <v>384.0</v>
      </c>
      <c r="AX416" s="3"/>
      <c r="AY416" s="3">
        <v>142.0</v>
      </c>
      <c r="AZ416" s="1">
        <v>40.0</v>
      </c>
      <c r="BA416" s="1"/>
      <c r="BB416" s="3">
        <v>225.0</v>
      </c>
      <c r="BC416" s="1">
        <v>150.0</v>
      </c>
      <c r="BD416" s="1">
        <v>190.0</v>
      </c>
      <c r="BE416" s="1">
        <v>80.0</v>
      </c>
      <c r="BF416" s="3">
        <v>328.0</v>
      </c>
      <c r="BG416" s="1">
        <v>213.0</v>
      </c>
      <c r="BH416" s="1">
        <v>23.0</v>
      </c>
      <c r="BI416" s="1">
        <v>40.0</v>
      </c>
      <c r="BJ416" s="1">
        <v>278.0</v>
      </c>
      <c r="BK416" s="3"/>
      <c r="BL416" s="1">
        <v>160.0</v>
      </c>
      <c r="BM416" s="1">
        <v>75.0</v>
      </c>
      <c r="BN416" s="32">
        <v>1802.0</v>
      </c>
      <c r="BO416" s="1">
        <v>47.0</v>
      </c>
      <c r="BP416" s="3">
        <v>48.0</v>
      </c>
      <c r="BQ416" s="1">
        <v>188.0</v>
      </c>
      <c r="BR416" s="27">
        <v>68782.0</v>
      </c>
    </row>
    <row r="417">
      <c r="A417" s="25">
        <f>'Equity Price Data'!A418</f>
        <v>46030.66667</v>
      </c>
      <c r="B417" s="34">
        <f>(('PRACTICE Equity Price Data'!B418/'PRACTICE Equity Price Data'!B417)-1)+B416</f>
        <v>0.3047862039</v>
      </c>
      <c r="C417" s="34">
        <f>(('PRACTICE Equity Price Data'!C418/'PRACTICE Equity Price Data'!C417)-1)+C416</f>
        <v>0.4000915636</v>
      </c>
      <c r="D417" s="34">
        <f>(('PRACTICE Equity Price Data'!D418/'PRACTICE Equity Price Data'!D417)-1)+D416</f>
        <v>0.2413723976</v>
      </c>
      <c r="E417" s="34">
        <f>(('PRACTICE Equity Price Data'!E418/'PRACTICE Equity Price Data'!E417)-1)+E416</f>
        <v>0.2742972175</v>
      </c>
      <c r="F417" s="3">
        <v>13.0</v>
      </c>
      <c r="G417" s="3">
        <v>260.0</v>
      </c>
      <c r="H417" s="3">
        <v>110.0</v>
      </c>
      <c r="I417" s="3">
        <v>256.0</v>
      </c>
      <c r="J417" s="3">
        <v>83.0</v>
      </c>
      <c r="K417" s="3">
        <v>188.0</v>
      </c>
      <c r="L417" s="3">
        <v>1000.0</v>
      </c>
      <c r="M417" s="3">
        <v>102.0</v>
      </c>
      <c r="N417" s="3">
        <v>200.0</v>
      </c>
      <c r="O417" s="3">
        <v>121.0</v>
      </c>
      <c r="P417" s="3">
        <v>146.0</v>
      </c>
      <c r="Q417" s="3">
        <v>80.0</v>
      </c>
      <c r="R417" s="3">
        <v>150.0</v>
      </c>
      <c r="S417" s="3">
        <v>417.0</v>
      </c>
      <c r="T417" s="3">
        <v>120.0</v>
      </c>
      <c r="U417" s="3">
        <v>80.0</v>
      </c>
      <c r="V417" s="1">
        <v>88.0</v>
      </c>
      <c r="W417" s="1">
        <v>250.0</v>
      </c>
      <c r="X417" s="1">
        <v>264.0</v>
      </c>
      <c r="Y417" s="1">
        <v>161.0</v>
      </c>
      <c r="Z417" s="1">
        <v>69.0</v>
      </c>
      <c r="AA417" s="1"/>
      <c r="AB417" s="1">
        <v>13.0</v>
      </c>
      <c r="AC417" s="1">
        <v>150.0</v>
      </c>
      <c r="AD417" s="1">
        <v>170.0</v>
      </c>
      <c r="AE417" s="1">
        <v>60.0</v>
      </c>
      <c r="AF417" s="1">
        <v>40.0</v>
      </c>
      <c r="AG417" s="1">
        <v>45.0</v>
      </c>
      <c r="AH417" s="1"/>
      <c r="AI417" s="1">
        <v>205.0</v>
      </c>
      <c r="AJ417" s="1">
        <v>60.0</v>
      </c>
      <c r="AK417" s="1">
        <v>100.0</v>
      </c>
      <c r="AL417" s="1">
        <v>175.0</v>
      </c>
      <c r="AM417" s="1">
        <v>130.0</v>
      </c>
      <c r="AN417" s="3">
        <v>47.0</v>
      </c>
      <c r="AO417" s="3">
        <v>160.0</v>
      </c>
      <c r="AP417" s="3">
        <v>70.0</v>
      </c>
      <c r="AQ417" s="3"/>
      <c r="AR417" s="1">
        <v>854.0</v>
      </c>
      <c r="AS417" s="1">
        <v>250.0</v>
      </c>
      <c r="AT417" s="1">
        <v>220.0</v>
      </c>
      <c r="AU417" s="3">
        <v>223.0</v>
      </c>
      <c r="AV417" s="1">
        <v>120.0</v>
      </c>
      <c r="AW417" s="3">
        <v>384.0</v>
      </c>
      <c r="AX417" s="3"/>
      <c r="AY417" s="3">
        <v>142.0</v>
      </c>
      <c r="AZ417" s="1">
        <v>40.0</v>
      </c>
      <c r="BA417" s="1"/>
      <c r="BB417" s="3">
        <v>225.0</v>
      </c>
      <c r="BC417" s="1">
        <v>150.0</v>
      </c>
      <c r="BD417" s="1">
        <v>190.0</v>
      </c>
      <c r="BE417" s="1">
        <v>80.0</v>
      </c>
      <c r="BF417" s="3">
        <v>328.0</v>
      </c>
      <c r="BG417" s="1">
        <v>213.0</v>
      </c>
      <c r="BH417" s="1">
        <v>23.0</v>
      </c>
      <c r="BI417" s="1">
        <v>40.0</v>
      </c>
      <c r="BJ417" s="1">
        <v>278.0</v>
      </c>
      <c r="BK417" s="3"/>
      <c r="BL417" s="1">
        <v>160.0</v>
      </c>
      <c r="BM417" s="1">
        <v>75.0</v>
      </c>
      <c r="BN417" s="32">
        <v>1802.0</v>
      </c>
      <c r="BO417" s="1">
        <v>47.0</v>
      </c>
      <c r="BP417" s="3">
        <v>48.0</v>
      </c>
      <c r="BQ417" s="1">
        <v>188.0</v>
      </c>
      <c r="BR417" s="27">
        <v>68782.0</v>
      </c>
    </row>
    <row r="418">
      <c r="A418" s="25">
        <f>'Equity Price Data'!A419</f>
        <v>46031.66667</v>
      </c>
      <c r="B418" s="34">
        <f>(('PRACTICE Equity Price Data'!B419/'PRACTICE Equity Price Data'!B418)-1)+B417</f>
        <v>0.3112617163</v>
      </c>
      <c r="C418" s="34">
        <f>(('PRACTICE Equity Price Data'!C419/'PRACTICE Equity Price Data'!C418)-1)+C417</f>
        <v>0.4082401938</v>
      </c>
      <c r="D418" s="34">
        <f>(('PRACTICE Equity Price Data'!D419/'PRACTICE Equity Price Data'!D418)-1)+D417</f>
        <v>0.2462024928</v>
      </c>
      <c r="E418" s="34">
        <f>(('PRACTICE Equity Price Data'!E419/'PRACTICE Equity Price Data'!E418)-1)+E417</f>
        <v>0.2820970263</v>
      </c>
      <c r="F418" s="3">
        <v>13.0</v>
      </c>
      <c r="G418" s="3">
        <v>260.0</v>
      </c>
      <c r="H418" s="3">
        <v>110.0</v>
      </c>
      <c r="I418" s="3">
        <v>256.0</v>
      </c>
      <c r="J418" s="3">
        <v>83.0</v>
      </c>
      <c r="K418" s="3">
        <v>188.0</v>
      </c>
      <c r="L418" s="3">
        <v>1000.0</v>
      </c>
      <c r="M418" s="3">
        <v>102.0</v>
      </c>
      <c r="N418" s="3">
        <v>200.0</v>
      </c>
      <c r="O418" s="3">
        <v>121.0</v>
      </c>
      <c r="P418" s="3">
        <v>146.0</v>
      </c>
      <c r="Q418" s="3">
        <v>80.0</v>
      </c>
      <c r="R418" s="3">
        <v>150.0</v>
      </c>
      <c r="S418" s="3">
        <v>417.0</v>
      </c>
      <c r="T418" s="3">
        <v>120.0</v>
      </c>
      <c r="U418" s="3">
        <v>80.0</v>
      </c>
      <c r="V418" s="1">
        <v>88.0</v>
      </c>
      <c r="W418" s="1">
        <v>250.0</v>
      </c>
      <c r="X418" s="1">
        <v>264.0</v>
      </c>
      <c r="Y418" s="1">
        <v>161.0</v>
      </c>
      <c r="Z418" s="1">
        <v>69.0</v>
      </c>
      <c r="AA418" s="1"/>
      <c r="AB418" s="1">
        <v>13.0</v>
      </c>
      <c r="AC418" s="1">
        <v>150.0</v>
      </c>
      <c r="AD418" s="1">
        <v>170.0</v>
      </c>
      <c r="AE418" s="1">
        <v>60.0</v>
      </c>
      <c r="AF418" s="1">
        <v>40.0</v>
      </c>
      <c r="AG418" s="1">
        <v>45.0</v>
      </c>
      <c r="AH418" s="1"/>
      <c r="AI418" s="1">
        <v>205.0</v>
      </c>
      <c r="AJ418" s="1">
        <v>60.0</v>
      </c>
      <c r="AK418" s="1">
        <v>100.0</v>
      </c>
      <c r="AL418" s="1">
        <v>175.0</v>
      </c>
      <c r="AM418" s="1">
        <v>130.0</v>
      </c>
      <c r="AN418" s="3">
        <v>47.0</v>
      </c>
      <c r="AO418" s="3">
        <v>160.0</v>
      </c>
      <c r="AP418" s="3">
        <v>70.0</v>
      </c>
      <c r="AQ418" s="3"/>
      <c r="AR418" s="1">
        <v>854.0</v>
      </c>
      <c r="AS418" s="1">
        <v>250.0</v>
      </c>
      <c r="AT418" s="1">
        <v>220.0</v>
      </c>
      <c r="AU418" s="3">
        <v>223.0</v>
      </c>
      <c r="AV418" s="1">
        <v>120.0</v>
      </c>
      <c r="AW418" s="3">
        <v>384.0</v>
      </c>
      <c r="AX418" s="3"/>
      <c r="AY418" s="3">
        <v>142.0</v>
      </c>
      <c r="AZ418" s="1">
        <v>40.0</v>
      </c>
      <c r="BA418" s="1"/>
      <c r="BB418" s="3">
        <v>225.0</v>
      </c>
      <c r="BC418" s="1">
        <v>150.0</v>
      </c>
      <c r="BD418" s="1">
        <v>190.0</v>
      </c>
      <c r="BE418" s="1">
        <v>80.0</v>
      </c>
      <c r="BF418" s="3">
        <v>328.0</v>
      </c>
      <c r="BG418" s="1">
        <v>213.0</v>
      </c>
      <c r="BH418" s="1">
        <v>23.0</v>
      </c>
      <c r="BI418" s="1">
        <v>40.0</v>
      </c>
      <c r="BJ418" s="1">
        <v>278.0</v>
      </c>
      <c r="BK418" s="3"/>
      <c r="BL418" s="1">
        <v>160.0</v>
      </c>
      <c r="BM418" s="1">
        <v>75.0</v>
      </c>
      <c r="BN418" s="32">
        <v>1802.0</v>
      </c>
      <c r="BO418" s="1">
        <v>47.0</v>
      </c>
      <c r="BP418" s="3">
        <v>48.0</v>
      </c>
      <c r="BQ418" s="1">
        <v>188.0</v>
      </c>
      <c r="BR418" s="27">
        <v>68782.0</v>
      </c>
    </row>
    <row r="419">
      <c r="A419" s="25">
        <f>'Equity Price Data'!A420</f>
        <v>46034.66667</v>
      </c>
      <c r="B419" s="34">
        <f>(('PRACTICE Equity Price Data'!B420/'PRACTICE Equity Price Data'!B419)-1)+B418</f>
        <v>0.3108971027</v>
      </c>
      <c r="C419" s="34">
        <f>(('PRACTICE Equity Price Data'!C420/'PRACTICE Equity Price Data'!C419)-1)+C418</f>
        <v>0.4108826287</v>
      </c>
      <c r="D419" s="34">
        <f>(('PRACTICE Equity Price Data'!D420/'PRACTICE Equity Price Data'!D419)-1)+D418</f>
        <v>0.2479423497</v>
      </c>
      <c r="E419" s="34">
        <f>(('PRACTICE Equity Price Data'!E420/'PRACTICE Equity Price Data'!E419)-1)+E418</f>
        <v>0.2864678488</v>
      </c>
      <c r="F419" s="3">
        <v>13.0</v>
      </c>
      <c r="G419" s="3">
        <v>260.0</v>
      </c>
      <c r="H419" s="3">
        <v>110.0</v>
      </c>
      <c r="I419" s="3">
        <v>256.0</v>
      </c>
      <c r="J419" s="3">
        <v>83.0</v>
      </c>
      <c r="K419" s="3">
        <v>188.0</v>
      </c>
      <c r="L419" s="3">
        <v>1000.0</v>
      </c>
      <c r="M419" s="3">
        <v>102.0</v>
      </c>
      <c r="N419" s="3">
        <v>200.0</v>
      </c>
      <c r="O419" s="3">
        <v>121.0</v>
      </c>
      <c r="P419" s="3">
        <v>146.0</v>
      </c>
      <c r="Q419" s="3">
        <v>80.0</v>
      </c>
      <c r="R419" s="3">
        <v>150.0</v>
      </c>
      <c r="S419" s="3">
        <v>417.0</v>
      </c>
      <c r="T419" s="3">
        <v>120.0</v>
      </c>
      <c r="U419" s="3">
        <v>80.0</v>
      </c>
      <c r="V419" s="1">
        <v>88.0</v>
      </c>
      <c r="W419" s="1">
        <v>250.0</v>
      </c>
      <c r="X419" s="1">
        <v>264.0</v>
      </c>
      <c r="Y419" s="1">
        <v>161.0</v>
      </c>
      <c r="Z419" s="1">
        <v>69.0</v>
      </c>
      <c r="AA419" s="1"/>
      <c r="AB419" s="1">
        <v>13.0</v>
      </c>
      <c r="AC419" s="1">
        <v>150.0</v>
      </c>
      <c r="AD419" s="1">
        <v>170.0</v>
      </c>
      <c r="AE419" s="1">
        <v>60.0</v>
      </c>
      <c r="AF419" s="1">
        <v>40.0</v>
      </c>
      <c r="AG419" s="1">
        <v>45.0</v>
      </c>
      <c r="AH419" s="1"/>
      <c r="AI419" s="1">
        <v>205.0</v>
      </c>
      <c r="AJ419" s="1">
        <v>60.0</v>
      </c>
      <c r="AK419" s="1">
        <v>100.0</v>
      </c>
      <c r="AL419" s="1">
        <v>175.0</v>
      </c>
      <c r="AM419" s="1">
        <v>130.0</v>
      </c>
      <c r="AN419" s="3">
        <v>47.0</v>
      </c>
      <c r="AO419" s="3">
        <v>160.0</v>
      </c>
      <c r="AP419" s="3">
        <v>70.0</v>
      </c>
      <c r="AQ419" s="3"/>
      <c r="AR419" s="1">
        <v>854.0</v>
      </c>
      <c r="AS419" s="1">
        <v>250.0</v>
      </c>
      <c r="AT419" s="1">
        <v>220.0</v>
      </c>
      <c r="AU419" s="3">
        <v>223.0</v>
      </c>
      <c r="AV419" s="1">
        <v>120.0</v>
      </c>
      <c r="AW419" s="3">
        <v>384.0</v>
      </c>
      <c r="AX419" s="3"/>
      <c r="AY419" s="3">
        <v>142.0</v>
      </c>
      <c r="AZ419" s="1">
        <v>40.0</v>
      </c>
      <c r="BA419" s="1"/>
      <c r="BB419" s="3">
        <v>225.0</v>
      </c>
      <c r="BC419" s="1">
        <v>150.0</v>
      </c>
      <c r="BD419" s="1">
        <v>190.0</v>
      </c>
      <c r="BE419" s="1">
        <v>80.0</v>
      </c>
      <c r="BF419" s="3">
        <v>328.0</v>
      </c>
      <c r="BG419" s="1">
        <v>213.0</v>
      </c>
      <c r="BH419" s="1">
        <v>23.0</v>
      </c>
      <c r="BI419" s="1">
        <v>40.0</v>
      </c>
      <c r="BJ419" s="1">
        <v>278.0</v>
      </c>
      <c r="BK419" s="3"/>
      <c r="BL419" s="1">
        <v>160.0</v>
      </c>
      <c r="BM419" s="1">
        <v>75.0</v>
      </c>
      <c r="BN419" s="32">
        <v>1802.0</v>
      </c>
      <c r="BO419" s="1">
        <v>47.0</v>
      </c>
      <c r="BP419" s="3">
        <v>48.0</v>
      </c>
      <c r="BQ419" s="1">
        <v>188.0</v>
      </c>
      <c r="BR419" s="27">
        <v>68782.0</v>
      </c>
    </row>
    <row r="420">
      <c r="A420" s="25">
        <f>'Equity Price Data'!A421</f>
        <v>46035.66667</v>
      </c>
      <c r="B420" s="34">
        <f>(('PRACTICE Equity Price Data'!B421/'PRACTICE Equity Price Data'!B420)-1)+B419</f>
        <v>0.3055637617</v>
      </c>
      <c r="C420" s="34">
        <f>(('PRACTICE Equity Price Data'!C421/'PRACTICE Equity Price Data'!C420)-1)+C419</f>
        <v>0.4098701529</v>
      </c>
      <c r="D420" s="34">
        <f>(('PRACTICE Equity Price Data'!D421/'PRACTICE Equity Price Data'!D420)-1)+D419</f>
        <v>0.2399123357</v>
      </c>
      <c r="E420" s="34">
        <f>(('PRACTICE Equity Price Data'!E421/'PRACTICE Equity Price Data'!E420)-1)+E419</f>
        <v>0.2854851839</v>
      </c>
      <c r="F420" s="3">
        <v>13.0</v>
      </c>
      <c r="G420" s="3">
        <v>260.0</v>
      </c>
      <c r="H420" s="3">
        <v>110.0</v>
      </c>
      <c r="I420" s="3">
        <v>256.0</v>
      </c>
      <c r="J420" s="3">
        <v>83.0</v>
      </c>
      <c r="K420" s="3">
        <v>188.0</v>
      </c>
      <c r="L420" s="3">
        <v>1000.0</v>
      </c>
      <c r="M420" s="3">
        <v>102.0</v>
      </c>
      <c r="N420" s="3">
        <v>200.0</v>
      </c>
      <c r="O420" s="3">
        <v>121.0</v>
      </c>
      <c r="P420" s="3">
        <v>146.0</v>
      </c>
      <c r="Q420" s="3">
        <v>80.0</v>
      </c>
      <c r="R420" s="3">
        <v>150.0</v>
      </c>
      <c r="S420" s="3">
        <v>417.0</v>
      </c>
      <c r="T420" s="3">
        <v>120.0</v>
      </c>
      <c r="U420" s="3">
        <v>80.0</v>
      </c>
      <c r="V420" s="1">
        <v>88.0</v>
      </c>
      <c r="W420" s="1">
        <v>250.0</v>
      </c>
      <c r="X420" s="1">
        <v>264.0</v>
      </c>
      <c r="Y420" s="1">
        <v>161.0</v>
      </c>
      <c r="Z420" s="1">
        <v>69.0</v>
      </c>
      <c r="AA420" s="1"/>
      <c r="AB420" s="1">
        <v>13.0</v>
      </c>
      <c r="AC420" s="1">
        <v>150.0</v>
      </c>
      <c r="AD420" s="1">
        <v>170.0</v>
      </c>
      <c r="AE420" s="1">
        <v>60.0</v>
      </c>
      <c r="AF420" s="1">
        <v>40.0</v>
      </c>
      <c r="AG420" s="1">
        <v>45.0</v>
      </c>
      <c r="AH420" s="1"/>
      <c r="AI420" s="1">
        <v>205.0</v>
      </c>
      <c r="AJ420" s="1">
        <v>60.0</v>
      </c>
      <c r="AK420" s="1">
        <v>100.0</v>
      </c>
      <c r="AL420" s="1">
        <v>175.0</v>
      </c>
      <c r="AM420" s="1">
        <v>130.0</v>
      </c>
      <c r="AN420" s="3">
        <v>47.0</v>
      </c>
      <c r="AO420" s="3">
        <v>160.0</v>
      </c>
      <c r="AP420" s="3">
        <v>70.0</v>
      </c>
      <c r="AQ420" s="3"/>
      <c r="AR420" s="1">
        <v>854.0</v>
      </c>
      <c r="AS420" s="1">
        <v>250.0</v>
      </c>
      <c r="AT420" s="1">
        <v>220.0</v>
      </c>
      <c r="AU420" s="3">
        <v>223.0</v>
      </c>
      <c r="AV420" s="1">
        <v>120.0</v>
      </c>
      <c r="AW420" s="3">
        <v>384.0</v>
      </c>
      <c r="AX420" s="3"/>
      <c r="AY420" s="3">
        <v>142.0</v>
      </c>
      <c r="AZ420" s="1">
        <v>40.0</v>
      </c>
      <c r="BA420" s="1"/>
      <c r="BB420" s="3">
        <v>225.0</v>
      </c>
      <c r="BC420" s="1">
        <v>150.0</v>
      </c>
      <c r="BD420" s="1">
        <v>190.0</v>
      </c>
      <c r="BE420" s="1">
        <v>80.0</v>
      </c>
      <c r="BF420" s="3">
        <v>328.0</v>
      </c>
      <c r="BG420" s="1">
        <v>213.0</v>
      </c>
      <c r="BH420" s="1">
        <v>23.0</v>
      </c>
      <c r="BI420" s="1">
        <v>40.0</v>
      </c>
      <c r="BJ420" s="1">
        <v>278.0</v>
      </c>
      <c r="BK420" s="3"/>
      <c r="BL420" s="1">
        <v>160.0</v>
      </c>
      <c r="BM420" s="1">
        <v>75.0</v>
      </c>
      <c r="BN420" s="32">
        <v>1802.0</v>
      </c>
      <c r="BO420" s="1">
        <v>47.0</v>
      </c>
      <c r="BP420" s="3">
        <v>48.0</v>
      </c>
      <c r="BQ420" s="1">
        <v>188.0</v>
      </c>
      <c r="BR420" s="27">
        <v>68782.0</v>
      </c>
    </row>
    <row r="421">
      <c r="A421" s="25">
        <f>'Equity Price Data'!A422</f>
        <v>46036.66667</v>
      </c>
      <c r="B421" s="34">
        <f>(('PRACTICE Equity Price Data'!B422/'PRACTICE Equity Price Data'!B421)-1)+B420</f>
        <v>0.3081436711</v>
      </c>
      <c r="C421" s="34">
        <f>(('PRACTICE Equity Price Data'!C422/'PRACTICE Equity Price Data'!C421)-1)+C420</f>
        <v>0.399827078</v>
      </c>
      <c r="D421" s="34">
        <f>(('PRACTICE Equity Price Data'!D422/'PRACTICE Equity Price Data'!D421)-1)+D420</f>
        <v>0.2390512199</v>
      </c>
      <c r="E421" s="34">
        <f>(('PRACTICE Equity Price Data'!E422/'PRACTICE Equity Price Data'!E421)-1)+E420</f>
        <v>0.2925263142</v>
      </c>
      <c r="F421" s="3">
        <v>13.0</v>
      </c>
      <c r="G421" s="3">
        <v>260.0</v>
      </c>
      <c r="H421" s="3">
        <v>110.0</v>
      </c>
      <c r="I421" s="3">
        <v>256.0</v>
      </c>
      <c r="J421" s="3">
        <v>83.0</v>
      </c>
      <c r="K421" s="3">
        <v>188.0</v>
      </c>
      <c r="L421" s="3">
        <v>1000.0</v>
      </c>
      <c r="M421" s="3">
        <v>102.0</v>
      </c>
      <c r="N421" s="3">
        <v>200.0</v>
      </c>
      <c r="O421" s="3">
        <v>121.0</v>
      </c>
      <c r="P421" s="3">
        <v>146.0</v>
      </c>
      <c r="Q421" s="3">
        <v>80.0</v>
      </c>
      <c r="R421" s="3">
        <v>150.0</v>
      </c>
      <c r="S421" s="3">
        <v>417.0</v>
      </c>
      <c r="T421" s="3">
        <v>120.0</v>
      </c>
      <c r="U421" s="3">
        <v>80.0</v>
      </c>
      <c r="V421" s="1">
        <v>88.0</v>
      </c>
      <c r="W421" s="1">
        <v>250.0</v>
      </c>
      <c r="X421" s="1">
        <v>264.0</v>
      </c>
      <c r="Y421" s="1">
        <v>161.0</v>
      </c>
      <c r="Z421" s="1">
        <v>69.0</v>
      </c>
      <c r="AA421" s="1"/>
      <c r="AB421" s="1">
        <v>13.0</v>
      </c>
      <c r="AC421" s="1">
        <v>150.0</v>
      </c>
      <c r="AD421" s="1">
        <v>170.0</v>
      </c>
      <c r="AE421" s="1">
        <v>60.0</v>
      </c>
      <c r="AF421" s="1">
        <v>40.0</v>
      </c>
      <c r="AG421" s="1">
        <v>45.0</v>
      </c>
      <c r="AH421" s="1"/>
      <c r="AI421" s="1">
        <v>205.0</v>
      </c>
      <c r="AJ421" s="1">
        <v>60.0</v>
      </c>
      <c r="AK421" s="1">
        <v>100.0</v>
      </c>
      <c r="AL421" s="1">
        <v>175.0</v>
      </c>
      <c r="AM421" s="1">
        <v>130.0</v>
      </c>
      <c r="AN421" s="3">
        <v>47.0</v>
      </c>
      <c r="AO421" s="3">
        <v>160.0</v>
      </c>
      <c r="AP421" s="3">
        <v>70.0</v>
      </c>
      <c r="AQ421" s="3"/>
      <c r="AR421" s="1">
        <v>854.0</v>
      </c>
      <c r="AS421" s="1">
        <v>250.0</v>
      </c>
      <c r="AT421" s="1">
        <v>220.0</v>
      </c>
      <c r="AU421" s="3">
        <v>223.0</v>
      </c>
      <c r="AV421" s="1">
        <v>120.0</v>
      </c>
      <c r="AW421" s="3">
        <v>384.0</v>
      </c>
      <c r="AX421" s="3"/>
      <c r="AY421" s="3">
        <v>142.0</v>
      </c>
      <c r="AZ421" s="1">
        <v>40.0</v>
      </c>
      <c r="BA421" s="1"/>
      <c r="BB421" s="3">
        <v>225.0</v>
      </c>
      <c r="BC421" s="1">
        <v>150.0</v>
      </c>
      <c r="BD421" s="1">
        <v>190.0</v>
      </c>
      <c r="BE421" s="1">
        <v>80.0</v>
      </c>
      <c r="BF421" s="3">
        <v>328.0</v>
      </c>
      <c r="BG421" s="1">
        <v>213.0</v>
      </c>
      <c r="BH421" s="1">
        <v>23.0</v>
      </c>
      <c r="BI421" s="1">
        <v>40.0</v>
      </c>
      <c r="BJ421" s="1">
        <v>278.0</v>
      </c>
      <c r="BK421" s="3"/>
      <c r="BL421" s="1">
        <v>160.0</v>
      </c>
      <c r="BM421" s="1">
        <v>75.0</v>
      </c>
      <c r="BN421" s="32">
        <v>1802.0</v>
      </c>
      <c r="BO421" s="1">
        <v>47.0</v>
      </c>
      <c r="BP421" s="3">
        <v>48.0</v>
      </c>
      <c r="BQ421" s="1">
        <v>188.0</v>
      </c>
      <c r="BR421" s="27">
        <v>68782.0</v>
      </c>
    </row>
    <row r="422">
      <c r="A422" s="25">
        <f>'Equity Price Data'!A423</f>
        <v>46037.66667</v>
      </c>
      <c r="B422" s="34">
        <f>(('PRACTICE Equity Price Data'!B423/'PRACTICE Equity Price Data'!B422)-1)+B421</f>
        <v>0.3075014334</v>
      </c>
      <c r="C422" s="34">
        <f>(('PRACTICE Equity Price Data'!C423/'PRACTICE Equity Price Data'!C422)-1)+C421</f>
        <v>0.4023096368</v>
      </c>
      <c r="D422" s="34">
        <f>(('PRACTICE Equity Price Data'!D423/'PRACTICE Equity Price Data'!D422)-1)+D421</f>
        <v>0.2450087419</v>
      </c>
      <c r="E422" s="34">
        <f>(('PRACTICE Equity Price Data'!E423/'PRACTICE Equity Price Data'!E422)-1)+E421</f>
        <v>0.3011700215</v>
      </c>
      <c r="F422" s="3">
        <v>13.0</v>
      </c>
      <c r="G422" s="3">
        <v>260.0</v>
      </c>
      <c r="H422" s="3">
        <v>110.0</v>
      </c>
      <c r="I422" s="3">
        <v>256.0</v>
      </c>
      <c r="J422" s="3">
        <v>83.0</v>
      </c>
      <c r="K422" s="3">
        <v>188.0</v>
      </c>
      <c r="L422" s="3">
        <v>1000.0</v>
      </c>
      <c r="M422" s="3">
        <v>102.0</v>
      </c>
      <c r="N422" s="3">
        <v>200.0</v>
      </c>
      <c r="O422" s="3">
        <v>121.0</v>
      </c>
      <c r="P422" s="3">
        <v>146.0</v>
      </c>
      <c r="Q422" s="3">
        <v>80.0</v>
      </c>
      <c r="R422" s="3">
        <v>150.0</v>
      </c>
      <c r="S422" s="3">
        <v>417.0</v>
      </c>
      <c r="T422" s="3">
        <v>120.0</v>
      </c>
      <c r="U422" s="3">
        <v>80.0</v>
      </c>
      <c r="V422" s="1">
        <v>88.0</v>
      </c>
      <c r="W422" s="1">
        <v>250.0</v>
      </c>
      <c r="X422" s="1">
        <v>264.0</v>
      </c>
      <c r="Y422" s="1">
        <v>161.0</v>
      </c>
      <c r="Z422" s="1">
        <v>69.0</v>
      </c>
      <c r="AA422" s="1"/>
      <c r="AB422" s="1">
        <v>13.0</v>
      </c>
      <c r="AC422" s="1">
        <v>150.0</v>
      </c>
      <c r="AD422" s="1">
        <v>170.0</v>
      </c>
      <c r="AE422" s="1">
        <v>60.0</v>
      </c>
      <c r="AF422" s="1">
        <v>40.0</v>
      </c>
      <c r="AG422" s="1">
        <v>45.0</v>
      </c>
      <c r="AH422" s="1"/>
      <c r="AI422" s="1">
        <v>205.0</v>
      </c>
      <c r="AJ422" s="1">
        <v>60.0</v>
      </c>
      <c r="AK422" s="1">
        <v>100.0</v>
      </c>
      <c r="AL422" s="1">
        <v>175.0</v>
      </c>
      <c r="AM422" s="1">
        <v>130.0</v>
      </c>
      <c r="AN422" s="3">
        <v>47.0</v>
      </c>
      <c r="AO422" s="3">
        <v>160.0</v>
      </c>
      <c r="AP422" s="3">
        <v>70.0</v>
      </c>
      <c r="AQ422" s="3"/>
      <c r="AR422" s="1">
        <v>854.0</v>
      </c>
      <c r="AS422" s="1">
        <v>250.0</v>
      </c>
      <c r="AT422" s="1">
        <v>220.0</v>
      </c>
      <c r="AU422" s="3">
        <v>223.0</v>
      </c>
      <c r="AV422" s="1">
        <v>120.0</v>
      </c>
      <c r="AW422" s="3">
        <v>384.0</v>
      </c>
      <c r="AX422" s="3"/>
      <c r="AY422" s="3">
        <v>142.0</v>
      </c>
      <c r="AZ422" s="1">
        <v>40.0</v>
      </c>
      <c r="BA422" s="1"/>
      <c r="BB422" s="3">
        <v>225.0</v>
      </c>
      <c r="BC422" s="1">
        <v>150.0</v>
      </c>
      <c r="BD422" s="1">
        <v>190.0</v>
      </c>
      <c r="BE422" s="1">
        <v>80.0</v>
      </c>
      <c r="BF422" s="3">
        <v>328.0</v>
      </c>
      <c r="BG422" s="1">
        <v>213.0</v>
      </c>
      <c r="BH422" s="1">
        <v>23.0</v>
      </c>
      <c r="BI422" s="1">
        <v>40.0</v>
      </c>
      <c r="BJ422" s="1">
        <v>278.0</v>
      </c>
      <c r="BK422" s="3"/>
      <c r="BL422" s="1">
        <v>160.0</v>
      </c>
      <c r="BM422" s="1">
        <v>75.0</v>
      </c>
      <c r="BN422" s="32">
        <v>1802.0</v>
      </c>
      <c r="BO422" s="1">
        <v>47.0</v>
      </c>
      <c r="BP422" s="3">
        <v>48.0</v>
      </c>
      <c r="BQ422" s="1">
        <v>188.0</v>
      </c>
      <c r="BR422" s="27">
        <v>68782.0</v>
      </c>
    </row>
    <row r="423">
      <c r="A423" s="25">
        <f>'Equity Price Data'!A424</f>
        <v>46038.66667</v>
      </c>
      <c r="B423" s="34">
        <f>(('PRACTICE Equity Price Data'!B424/'PRACTICE Equity Price Data'!B423)-1)+B422</f>
        <v>0.286874662</v>
      </c>
      <c r="C423" s="34">
        <f>(('PRACTICE Equity Price Data'!C424/'PRACTICE Equity Price Data'!C423)-1)+C422</f>
        <v>0.4016878779</v>
      </c>
      <c r="D423" s="34">
        <f>(('PRACTICE Equity Price Data'!D424/'PRACTICE Equity Price Data'!D423)-1)+D422</f>
        <v>0.2433277973</v>
      </c>
      <c r="E423" s="34">
        <f>(('PRACTICE Equity Price Data'!E424/'PRACTICE Equity Price Data'!E423)-1)+E422</f>
        <v>0.3023590021</v>
      </c>
      <c r="F423" s="3">
        <v>13.0</v>
      </c>
      <c r="G423" s="3">
        <v>260.0</v>
      </c>
      <c r="H423" s="3">
        <v>110.0</v>
      </c>
      <c r="I423" s="3">
        <v>256.0</v>
      </c>
      <c r="J423" s="3">
        <v>83.0</v>
      </c>
      <c r="K423" s="3">
        <v>188.0</v>
      </c>
      <c r="L423" s="3">
        <v>1000.0</v>
      </c>
      <c r="M423" s="3">
        <v>102.0</v>
      </c>
      <c r="N423" s="3">
        <v>200.0</v>
      </c>
      <c r="O423" s="3">
        <v>121.0</v>
      </c>
      <c r="P423" s="3">
        <v>146.0</v>
      </c>
      <c r="Q423" s="3">
        <v>80.0</v>
      </c>
      <c r="R423" s="3">
        <v>150.0</v>
      </c>
      <c r="S423" s="3">
        <v>417.0</v>
      </c>
      <c r="T423" s="3">
        <v>120.0</v>
      </c>
      <c r="U423" s="3">
        <v>80.0</v>
      </c>
      <c r="V423" s="1">
        <v>88.0</v>
      </c>
      <c r="W423" s="1">
        <v>250.0</v>
      </c>
      <c r="X423" s="1">
        <v>264.0</v>
      </c>
      <c r="Y423" s="1">
        <v>161.0</v>
      </c>
      <c r="Z423" s="1">
        <v>69.0</v>
      </c>
      <c r="AA423" s="1"/>
      <c r="AB423" s="1">
        <v>13.0</v>
      </c>
      <c r="AC423" s="1">
        <v>150.0</v>
      </c>
      <c r="AD423" s="1">
        <v>170.0</v>
      </c>
      <c r="AE423" s="1">
        <v>60.0</v>
      </c>
      <c r="AF423" s="1">
        <v>40.0</v>
      </c>
      <c r="AG423" s="1">
        <v>45.0</v>
      </c>
      <c r="AH423" s="1"/>
      <c r="AI423" s="1">
        <v>205.0</v>
      </c>
      <c r="AJ423" s="1">
        <v>60.0</v>
      </c>
      <c r="AK423" s="1">
        <v>100.0</v>
      </c>
      <c r="AL423" s="1">
        <v>175.0</v>
      </c>
      <c r="AM423" s="1">
        <v>130.0</v>
      </c>
      <c r="AN423" s="3">
        <v>47.0</v>
      </c>
      <c r="AO423" s="3">
        <v>160.0</v>
      </c>
      <c r="AP423" s="3">
        <v>70.0</v>
      </c>
      <c r="AQ423" s="3"/>
      <c r="AR423" s="1">
        <v>854.0</v>
      </c>
      <c r="AS423" s="1">
        <v>250.0</v>
      </c>
      <c r="AT423" s="1">
        <v>220.0</v>
      </c>
      <c r="AU423" s="3">
        <v>223.0</v>
      </c>
      <c r="AV423" s="1">
        <v>120.0</v>
      </c>
      <c r="AW423" s="3">
        <v>384.0</v>
      </c>
      <c r="AX423" s="3"/>
      <c r="AY423" s="3">
        <v>142.0</v>
      </c>
      <c r="AZ423" s="1">
        <v>40.0</v>
      </c>
      <c r="BA423" s="1"/>
      <c r="BB423" s="3">
        <v>225.0</v>
      </c>
      <c r="BC423" s="1">
        <v>150.0</v>
      </c>
      <c r="BD423" s="1">
        <v>190.0</v>
      </c>
      <c r="BE423" s="1">
        <v>80.0</v>
      </c>
      <c r="BF423" s="3">
        <v>328.0</v>
      </c>
      <c r="BG423" s="1">
        <v>213.0</v>
      </c>
      <c r="BH423" s="1">
        <v>23.0</v>
      </c>
      <c r="BI423" s="1">
        <v>40.0</v>
      </c>
      <c r="BJ423" s="1">
        <v>278.0</v>
      </c>
      <c r="BK423" s="3"/>
      <c r="BL423" s="1">
        <v>160.0</v>
      </c>
      <c r="BM423" s="1">
        <v>75.0</v>
      </c>
      <c r="BN423" s="32">
        <v>1802.0</v>
      </c>
      <c r="BO423" s="1">
        <v>47.0</v>
      </c>
      <c r="BP423" s="3">
        <v>48.0</v>
      </c>
      <c r="BQ423" s="1">
        <v>188.0</v>
      </c>
      <c r="BR423" s="27">
        <v>68782.0</v>
      </c>
    </row>
    <row r="424">
      <c r="A424" s="25">
        <f>'Equity Price Data'!A425</f>
        <v>46042.66667</v>
      </c>
      <c r="B424" s="34">
        <f>(('PRACTICE Equity Price Data'!B425/'PRACTICE Equity Price Data'!B424)-1)+B423</f>
        <v>0.2984623657</v>
      </c>
      <c r="C424" s="34">
        <f>(('PRACTICE Equity Price Data'!C425/'PRACTICE Equity Price Data'!C424)-1)+C423</f>
        <v>0.3778281843</v>
      </c>
      <c r="D424" s="34">
        <f>(('PRACTICE Equity Price Data'!D425/'PRACTICE Equity Price Data'!D424)-1)+D423</f>
        <v>0.2256869582</v>
      </c>
      <c r="E424" s="34">
        <f>(('PRACTICE Equity Price Data'!E425/'PRACTICE Equity Price Data'!E424)-1)+E423</f>
        <v>0.2902667153</v>
      </c>
      <c r="F424" s="3">
        <v>13.0</v>
      </c>
      <c r="G424" s="3">
        <v>260.0</v>
      </c>
      <c r="H424" s="3">
        <v>110.0</v>
      </c>
      <c r="I424" s="3">
        <v>256.0</v>
      </c>
      <c r="J424" s="3">
        <v>83.0</v>
      </c>
      <c r="K424" s="3">
        <v>188.0</v>
      </c>
      <c r="L424" s="3">
        <v>1000.0</v>
      </c>
      <c r="M424" s="3">
        <v>102.0</v>
      </c>
      <c r="N424" s="3">
        <v>200.0</v>
      </c>
      <c r="O424" s="3">
        <v>121.0</v>
      </c>
      <c r="P424" s="3">
        <v>146.0</v>
      </c>
      <c r="Q424" s="3">
        <v>80.0</v>
      </c>
      <c r="R424" s="3">
        <v>150.0</v>
      </c>
      <c r="S424" s="3">
        <v>417.0</v>
      </c>
      <c r="T424" s="3">
        <v>120.0</v>
      </c>
      <c r="U424" s="3">
        <v>80.0</v>
      </c>
      <c r="V424" s="1">
        <v>88.0</v>
      </c>
      <c r="W424" s="1">
        <v>250.0</v>
      </c>
      <c r="X424" s="1">
        <v>264.0</v>
      </c>
      <c r="Y424" s="1">
        <v>161.0</v>
      </c>
      <c r="Z424" s="1">
        <v>69.0</v>
      </c>
      <c r="AA424" s="1"/>
      <c r="AB424" s="1">
        <v>13.0</v>
      </c>
      <c r="AC424" s="1">
        <v>150.0</v>
      </c>
      <c r="AD424" s="1">
        <v>170.0</v>
      </c>
      <c r="AE424" s="1">
        <v>60.0</v>
      </c>
      <c r="AF424" s="1">
        <v>40.0</v>
      </c>
      <c r="AG424" s="1">
        <v>45.0</v>
      </c>
      <c r="AH424" s="1"/>
      <c r="AI424" s="1">
        <v>205.0</v>
      </c>
      <c r="AJ424" s="1">
        <v>60.0</v>
      </c>
      <c r="AK424" s="1">
        <v>100.0</v>
      </c>
      <c r="AL424" s="1">
        <v>175.0</v>
      </c>
      <c r="AM424" s="1">
        <v>130.0</v>
      </c>
      <c r="AN424" s="3">
        <v>47.0</v>
      </c>
      <c r="AO424" s="3">
        <v>160.0</v>
      </c>
      <c r="AP424" s="3">
        <v>70.0</v>
      </c>
      <c r="AQ424" s="3"/>
      <c r="AR424" s="1">
        <v>854.0</v>
      </c>
      <c r="AS424" s="1">
        <v>250.0</v>
      </c>
      <c r="AT424" s="1">
        <v>220.0</v>
      </c>
      <c r="AU424" s="3">
        <v>223.0</v>
      </c>
      <c r="AV424" s="1">
        <v>120.0</v>
      </c>
      <c r="AW424" s="3">
        <v>384.0</v>
      </c>
      <c r="AX424" s="3"/>
      <c r="AY424" s="3">
        <v>142.0</v>
      </c>
      <c r="AZ424" s="1">
        <v>40.0</v>
      </c>
      <c r="BA424" s="1"/>
      <c r="BB424" s="3">
        <v>225.0</v>
      </c>
      <c r="BC424" s="1">
        <v>150.0</v>
      </c>
      <c r="BD424" s="1">
        <v>190.0</v>
      </c>
      <c r="BE424" s="1">
        <v>80.0</v>
      </c>
      <c r="BF424" s="3">
        <v>328.0</v>
      </c>
      <c r="BG424" s="1">
        <v>213.0</v>
      </c>
      <c r="BH424" s="1">
        <v>23.0</v>
      </c>
      <c r="BI424" s="1">
        <v>40.0</v>
      </c>
      <c r="BJ424" s="1">
        <v>278.0</v>
      </c>
      <c r="BK424" s="3"/>
      <c r="BL424" s="1">
        <v>160.0</v>
      </c>
      <c r="BM424" s="1">
        <v>75.0</v>
      </c>
      <c r="BN424" s="32">
        <v>1802.0</v>
      </c>
      <c r="BO424" s="1">
        <v>47.0</v>
      </c>
      <c r="BP424" s="3">
        <v>48.0</v>
      </c>
      <c r="BQ424" s="1">
        <v>188.0</v>
      </c>
      <c r="BR424" s="27">
        <v>68782.0</v>
      </c>
    </row>
    <row r="425">
      <c r="A425" s="25">
        <f>'Equity Price Data'!A426</f>
        <v>46043.66667</v>
      </c>
      <c r="B425" s="34">
        <f>(('PRACTICE Equity Price Data'!B426/'PRACTICE Equity Price Data'!B425)-1)+B424</f>
        <v>0.3039498709</v>
      </c>
      <c r="C425" s="34">
        <f>(('PRACTICE Equity Price Data'!C426/'PRACTICE Equity Price Data'!C425)-1)+C424</f>
        <v>0.3896128941</v>
      </c>
      <c r="D425" s="34">
        <f>(('PRACTICE Equity Price Data'!D426/'PRACTICE Equity Price Data'!D425)-1)+D424</f>
        <v>0.2378267214</v>
      </c>
      <c r="E425" s="34">
        <f>(('PRACTICE Equity Price Data'!E426/'PRACTICE Equity Price Data'!E425)-1)+E424</f>
        <v>0.3102299717</v>
      </c>
      <c r="F425" s="3">
        <v>13.0</v>
      </c>
      <c r="G425" s="3">
        <v>260.0</v>
      </c>
      <c r="H425" s="3">
        <v>110.0</v>
      </c>
      <c r="I425" s="3">
        <v>256.0</v>
      </c>
      <c r="J425" s="3">
        <v>83.0</v>
      </c>
      <c r="K425" s="3">
        <v>188.0</v>
      </c>
      <c r="L425" s="3">
        <v>1000.0</v>
      </c>
      <c r="M425" s="3">
        <v>102.0</v>
      </c>
      <c r="N425" s="3">
        <v>200.0</v>
      </c>
      <c r="O425" s="3">
        <v>121.0</v>
      </c>
      <c r="P425" s="3">
        <v>146.0</v>
      </c>
      <c r="Q425" s="3">
        <v>80.0</v>
      </c>
      <c r="R425" s="3">
        <v>150.0</v>
      </c>
      <c r="S425" s="3">
        <v>417.0</v>
      </c>
      <c r="T425" s="3">
        <v>120.0</v>
      </c>
      <c r="U425" s="3">
        <v>80.0</v>
      </c>
      <c r="V425" s="1">
        <v>88.0</v>
      </c>
      <c r="W425" s="1">
        <v>250.0</v>
      </c>
      <c r="X425" s="1">
        <v>264.0</v>
      </c>
      <c r="Y425" s="1">
        <v>161.0</v>
      </c>
      <c r="Z425" s="1">
        <v>69.0</v>
      </c>
      <c r="AA425" s="1"/>
      <c r="AB425" s="1">
        <v>13.0</v>
      </c>
      <c r="AC425" s="1">
        <v>150.0</v>
      </c>
      <c r="AD425" s="1">
        <v>170.0</v>
      </c>
      <c r="AE425" s="1">
        <v>60.0</v>
      </c>
      <c r="AF425" s="1">
        <v>40.0</v>
      </c>
      <c r="AG425" s="1">
        <v>45.0</v>
      </c>
      <c r="AH425" s="1"/>
      <c r="AI425" s="1">
        <v>205.0</v>
      </c>
      <c r="AJ425" s="1">
        <v>60.0</v>
      </c>
      <c r="AK425" s="1">
        <v>100.0</v>
      </c>
      <c r="AL425" s="1">
        <v>175.0</v>
      </c>
      <c r="AM425" s="1">
        <v>130.0</v>
      </c>
      <c r="AN425" s="3">
        <v>47.0</v>
      </c>
      <c r="AO425" s="3">
        <v>160.0</v>
      </c>
      <c r="AP425" s="3">
        <v>70.0</v>
      </c>
      <c r="AQ425" s="3"/>
      <c r="AR425" s="1">
        <v>854.0</v>
      </c>
      <c r="AS425" s="1">
        <v>250.0</v>
      </c>
      <c r="AT425" s="1">
        <v>220.0</v>
      </c>
      <c r="AU425" s="3">
        <v>223.0</v>
      </c>
      <c r="AV425" s="1">
        <v>120.0</v>
      </c>
      <c r="AW425" s="3">
        <v>384.0</v>
      </c>
      <c r="AX425" s="3"/>
      <c r="AY425" s="3">
        <v>142.0</v>
      </c>
      <c r="AZ425" s="1">
        <v>40.0</v>
      </c>
      <c r="BA425" s="1"/>
      <c r="BB425" s="3">
        <v>225.0</v>
      </c>
      <c r="BC425" s="1">
        <v>150.0</v>
      </c>
      <c r="BD425" s="1">
        <v>190.0</v>
      </c>
      <c r="BE425" s="1">
        <v>80.0</v>
      </c>
      <c r="BF425" s="3">
        <v>328.0</v>
      </c>
      <c r="BG425" s="1">
        <v>213.0</v>
      </c>
      <c r="BH425" s="1">
        <v>23.0</v>
      </c>
      <c r="BI425" s="1">
        <v>40.0</v>
      </c>
      <c r="BJ425" s="1">
        <v>278.0</v>
      </c>
      <c r="BK425" s="3"/>
      <c r="BL425" s="1">
        <v>160.0</v>
      </c>
      <c r="BM425" s="1">
        <v>75.0</v>
      </c>
      <c r="BN425" s="32">
        <v>1802.0</v>
      </c>
      <c r="BO425" s="1">
        <v>47.0</v>
      </c>
      <c r="BP425" s="3">
        <v>48.0</v>
      </c>
      <c r="BQ425" s="1">
        <v>188.0</v>
      </c>
      <c r="BR425" s="27">
        <v>68782.0</v>
      </c>
    </row>
    <row r="426">
      <c r="A426" s="25">
        <f>'Equity Price Data'!A427</f>
        <v>46044.66667</v>
      </c>
      <c r="B426" s="34">
        <f>(('PRACTICE Equity Price Data'!B427/'PRACTICE Equity Price Data'!B426)-1)+B425</f>
        <v>0.3042767746</v>
      </c>
      <c r="C426" s="34">
        <f>(('PRACTICE Equity Price Data'!C427/'PRACTICE Equity Price Data'!C426)-1)+C425</f>
        <v>0.3987061792</v>
      </c>
      <c r="D426" s="34">
        <f>(('PRACTICE Equity Price Data'!D427/'PRACTICE Equity Price Data'!D426)-1)+D425</f>
        <v>0.2440776854</v>
      </c>
      <c r="E426" s="34">
        <f>(('PRACTICE Equity Price Data'!E427/'PRACTICE Equity Price Data'!E426)-1)+E425</f>
        <v>0.3178647761</v>
      </c>
      <c r="F426" s="3">
        <v>13.0</v>
      </c>
      <c r="G426" s="3">
        <v>260.0</v>
      </c>
      <c r="H426" s="3">
        <v>110.0</v>
      </c>
      <c r="I426" s="3">
        <v>256.0</v>
      </c>
      <c r="J426" s="3">
        <v>83.0</v>
      </c>
      <c r="K426" s="3">
        <v>188.0</v>
      </c>
      <c r="L426" s="3">
        <v>1000.0</v>
      </c>
      <c r="M426" s="3">
        <v>102.0</v>
      </c>
      <c r="N426" s="3">
        <v>200.0</v>
      </c>
      <c r="O426" s="3">
        <v>121.0</v>
      </c>
      <c r="P426" s="3">
        <v>146.0</v>
      </c>
      <c r="Q426" s="3">
        <v>80.0</v>
      </c>
      <c r="R426" s="3">
        <v>150.0</v>
      </c>
      <c r="S426" s="3">
        <v>417.0</v>
      </c>
      <c r="T426" s="3">
        <v>120.0</v>
      </c>
      <c r="U426" s="3">
        <v>80.0</v>
      </c>
      <c r="V426" s="1">
        <v>88.0</v>
      </c>
      <c r="W426" s="1">
        <v>250.0</v>
      </c>
      <c r="X426" s="1">
        <v>264.0</v>
      </c>
      <c r="Y426" s="1">
        <v>161.0</v>
      </c>
      <c r="Z426" s="1">
        <v>69.0</v>
      </c>
      <c r="AA426" s="1"/>
      <c r="AB426" s="1">
        <v>13.0</v>
      </c>
      <c r="AC426" s="1">
        <v>150.0</v>
      </c>
      <c r="AD426" s="1">
        <v>170.0</v>
      </c>
      <c r="AE426" s="1">
        <v>60.0</v>
      </c>
      <c r="AF426" s="1">
        <v>40.0</v>
      </c>
      <c r="AG426" s="1">
        <v>45.0</v>
      </c>
      <c r="AH426" s="1"/>
      <c r="AI426" s="1">
        <v>205.0</v>
      </c>
      <c r="AJ426" s="1">
        <v>60.0</v>
      </c>
      <c r="AK426" s="1">
        <v>100.0</v>
      </c>
      <c r="AL426" s="1">
        <v>175.0</v>
      </c>
      <c r="AM426" s="1">
        <v>130.0</v>
      </c>
      <c r="AN426" s="3">
        <v>47.0</v>
      </c>
      <c r="AO426" s="3">
        <v>160.0</v>
      </c>
      <c r="AP426" s="3">
        <v>70.0</v>
      </c>
      <c r="AQ426" s="3"/>
      <c r="AR426" s="1">
        <v>854.0</v>
      </c>
      <c r="AS426" s="1">
        <v>250.0</v>
      </c>
      <c r="AT426" s="1">
        <v>220.0</v>
      </c>
      <c r="AU426" s="3">
        <v>223.0</v>
      </c>
      <c r="AV426" s="1">
        <v>120.0</v>
      </c>
      <c r="AW426" s="3">
        <v>384.0</v>
      </c>
      <c r="AX426" s="3"/>
      <c r="AY426" s="3">
        <v>142.0</v>
      </c>
      <c r="AZ426" s="1">
        <v>40.0</v>
      </c>
      <c r="BA426" s="1"/>
      <c r="BB426" s="3">
        <v>225.0</v>
      </c>
      <c r="BC426" s="1">
        <v>150.0</v>
      </c>
      <c r="BD426" s="1">
        <v>190.0</v>
      </c>
      <c r="BE426" s="1">
        <v>80.0</v>
      </c>
      <c r="BF426" s="3">
        <v>328.0</v>
      </c>
      <c r="BG426" s="1">
        <v>213.0</v>
      </c>
      <c r="BH426" s="1">
        <v>23.0</v>
      </c>
      <c r="BI426" s="1">
        <v>40.0</v>
      </c>
      <c r="BJ426" s="1">
        <v>278.0</v>
      </c>
      <c r="BK426" s="3"/>
      <c r="BL426" s="1">
        <v>160.0</v>
      </c>
      <c r="BM426" s="1">
        <v>75.0</v>
      </c>
      <c r="BN426" s="32">
        <v>1802.0</v>
      </c>
      <c r="BO426" s="1">
        <v>47.0</v>
      </c>
      <c r="BP426" s="3">
        <v>48.0</v>
      </c>
      <c r="BQ426" s="1">
        <v>188.0</v>
      </c>
      <c r="BR426" s="27">
        <v>68782.0</v>
      </c>
    </row>
    <row r="427">
      <c r="A427" s="25">
        <f>'Equity Price Data'!A428</f>
        <v>46045.66667</v>
      </c>
      <c r="B427" s="34">
        <f>(('PRACTICE Equity Price Data'!B428/'PRACTICE Equity Price Data'!B427)-1)+B426</f>
        <v>0.3092828406</v>
      </c>
      <c r="C427" s="34">
        <f>(('PRACTICE Equity Price Data'!C428/'PRACTICE Equity Price Data'!C427)-1)+C426</f>
        <v>0.4014890749</v>
      </c>
      <c r="D427" s="34">
        <f>(('PRACTICE Equity Price Data'!D428/'PRACTICE Equity Price Data'!D427)-1)+D426</f>
        <v>0.2383005118</v>
      </c>
      <c r="E427" s="34">
        <f>(('PRACTICE Equity Price Data'!E428/'PRACTICE Equity Price Data'!E427)-1)+E426</f>
        <v>0.299617554</v>
      </c>
      <c r="F427" s="3">
        <v>13.0</v>
      </c>
      <c r="G427" s="3">
        <v>260.0</v>
      </c>
      <c r="H427" s="3">
        <v>110.0</v>
      </c>
      <c r="I427" s="3">
        <v>256.0</v>
      </c>
      <c r="J427" s="3">
        <v>83.0</v>
      </c>
      <c r="K427" s="3">
        <v>188.0</v>
      </c>
      <c r="L427" s="3">
        <v>1000.0</v>
      </c>
      <c r="M427" s="3">
        <v>102.0</v>
      </c>
      <c r="N427" s="3">
        <v>200.0</v>
      </c>
      <c r="O427" s="3">
        <v>121.0</v>
      </c>
      <c r="P427" s="3">
        <v>146.0</v>
      </c>
      <c r="Q427" s="3">
        <v>80.0</v>
      </c>
      <c r="R427" s="3">
        <v>150.0</v>
      </c>
      <c r="S427" s="3">
        <v>417.0</v>
      </c>
      <c r="T427" s="3">
        <v>120.0</v>
      </c>
      <c r="U427" s="3">
        <v>80.0</v>
      </c>
      <c r="V427" s="1">
        <v>88.0</v>
      </c>
      <c r="W427" s="1">
        <v>250.0</v>
      </c>
      <c r="X427" s="1">
        <v>264.0</v>
      </c>
      <c r="Y427" s="1">
        <v>161.0</v>
      </c>
      <c r="Z427" s="1">
        <v>69.0</v>
      </c>
      <c r="AA427" s="1"/>
      <c r="AB427" s="1">
        <v>13.0</v>
      </c>
      <c r="AC427" s="1">
        <v>150.0</v>
      </c>
      <c r="AD427" s="1">
        <v>170.0</v>
      </c>
      <c r="AE427" s="1">
        <v>60.0</v>
      </c>
      <c r="AF427" s="1">
        <v>40.0</v>
      </c>
      <c r="AG427" s="1">
        <v>45.0</v>
      </c>
      <c r="AH427" s="1"/>
      <c r="AI427" s="1">
        <v>205.0</v>
      </c>
      <c r="AJ427" s="1">
        <v>60.0</v>
      </c>
      <c r="AK427" s="1">
        <v>100.0</v>
      </c>
      <c r="AL427" s="1">
        <v>175.0</v>
      </c>
      <c r="AM427" s="1">
        <v>130.0</v>
      </c>
      <c r="AN427" s="3">
        <v>47.0</v>
      </c>
      <c r="AO427" s="3">
        <v>160.0</v>
      </c>
      <c r="AP427" s="3">
        <v>70.0</v>
      </c>
      <c r="AQ427" s="3"/>
      <c r="AR427" s="1">
        <v>854.0</v>
      </c>
      <c r="AS427" s="1">
        <v>250.0</v>
      </c>
      <c r="AT427" s="1">
        <v>220.0</v>
      </c>
      <c r="AU427" s="3">
        <v>223.0</v>
      </c>
      <c r="AV427" s="1">
        <v>120.0</v>
      </c>
      <c r="AW427" s="3">
        <v>384.0</v>
      </c>
      <c r="AX427" s="3"/>
      <c r="AY427" s="3">
        <v>142.0</v>
      </c>
      <c r="AZ427" s="1">
        <v>40.0</v>
      </c>
      <c r="BA427" s="1"/>
      <c r="BB427" s="3">
        <v>225.0</v>
      </c>
      <c r="BC427" s="1">
        <v>150.0</v>
      </c>
      <c r="BD427" s="1">
        <v>190.0</v>
      </c>
      <c r="BE427" s="1">
        <v>80.0</v>
      </c>
      <c r="BF427" s="3">
        <v>328.0</v>
      </c>
      <c r="BG427" s="1">
        <v>213.0</v>
      </c>
      <c r="BH427" s="1">
        <v>23.0</v>
      </c>
      <c r="BI427" s="1">
        <v>40.0</v>
      </c>
      <c r="BJ427" s="1">
        <v>278.0</v>
      </c>
      <c r="BK427" s="3"/>
      <c r="BL427" s="1">
        <v>160.0</v>
      </c>
      <c r="BM427" s="1">
        <v>75.0</v>
      </c>
      <c r="BN427" s="32">
        <v>1802.0</v>
      </c>
      <c r="BO427" s="1">
        <v>47.0</v>
      </c>
      <c r="BP427" s="3">
        <v>48.0</v>
      </c>
      <c r="BQ427" s="1">
        <v>188.0</v>
      </c>
      <c r="BR427" s="27">
        <v>68782.0</v>
      </c>
    </row>
    <row r="428">
      <c r="A428" s="25">
        <f>'Equity Price Data'!A429</f>
        <v>46048.66667</v>
      </c>
      <c r="B428" s="34">
        <f>(('PRACTICE Equity Price Data'!B429/'PRACTICE Equity Price Data'!B428)-1)+B427</f>
        <v>0.3133647199</v>
      </c>
      <c r="C428" s="34">
        <f>(('PRACTICE Equity Price Data'!C429/'PRACTICE Equity Price Data'!C428)-1)+C427</f>
        <v>0.4057492756</v>
      </c>
      <c r="D428" s="34">
        <f>(('PRACTICE Equity Price Data'!D429/'PRACTICE Equity Price Data'!D428)-1)+D427</f>
        <v>0.2446894781</v>
      </c>
      <c r="E428" s="34">
        <f>(('PRACTICE Equity Price Data'!E429/'PRACTICE Equity Price Data'!E428)-1)+E427</f>
        <v>0.2960621283</v>
      </c>
      <c r="F428" s="3">
        <v>13.0</v>
      </c>
      <c r="G428" s="3">
        <v>260.0</v>
      </c>
      <c r="H428" s="3">
        <v>110.0</v>
      </c>
      <c r="I428" s="3">
        <v>256.0</v>
      </c>
      <c r="J428" s="3">
        <v>83.0</v>
      </c>
      <c r="K428" s="3">
        <v>188.0</v>
      </c>
      <c r="L428" s="3">
        <v>1000.0</v>
      </c>
      <c r="M428" s="3">
        <v>102.0</v>
      </c>
      <c r="N428" s="3">
        <v>200.0</v>
      </c>
      <c r="O428" s="3">
        <v>121.0</v>
      </c>
      <c r="P428" s="3">
        <v>146.0</v>
      </c>
      <c r="Q428" s="3">
        <v>80.0</v>
      </c>
      <c r="R428" s="3">
        <v>150.0</v>
      </c>
      <c r="S428" s="3">
        <v>417.0</v>
      </c>
      <c r="T428" s="3">
        <v>120.0</v>
      </c>
      <c r="U428" s="3">
        <v>80.0</v>
      </c>
      <c r="V428" s="1">
        <v>88.0</v>
      </c>
      <c r="W428" s="1">
        <v>250.0</v>
      </c>
      <c r="X428" s="1">
        <v>264.0</v>
      </c>
      <c r="Y428" s="1">
        <v>161.0</v>
      </c>
      <c r="Z428" s="1">
        <v>69.0</v>
      </c>
      <c r="AA428" s="1"/>
      <c r="AB428" s="1">
        <v>13.0</v>
      </c>
      <c r="AC428" s="1">
        <v>150.0</v>
      </c>
      <c r="AD428" s="1">
        <v>170.0</v>
      </c>
      <c r="AE428" s="1">
        <v>60.0</v>
      </c>
      <c r="AF428" s="1">
        <v>40.0</v>
      </c>
      <c r="AG428" s="1">
        <v>45.0</v>
      </c>
      <c r="AH428" s="1"/>
      <c r="AI428" s="1">
        <v>205.0</v>
      </c>
      <c r="AJ428" s="1">
        <v>60.0</v>
      </c>
      <c r="AK428" s="1">
        <v>100.0</v>
      </c>
      <c r="AL428" s="1">
        <v>175.0</v>
      </c>
      <c r="AM428" s="1">
        <v>130.0</v>
      </c>
      <c r="AN428" s="3">
        <v>47.0</v>
      </c>
      <c r="AO428" s="3">
        <v>160.0</v>
      </c>
      <c r="AP428" s="3">
        <v>70.0</v>
      </c>
      <c r="AQ428" s="3"/>
      <c r="AR428" s="1">
        <v>854.0</v>
      </c>
      <c r="AS428" s="1">
        <v>250.0</v>
      </c>
      <c r="AT428" s="1">
        <v>220.0</v>
      </c>
      <c r="AU428" s="3">
        <v>223.0</v>
      </c>
      <c r="AV428" s="1">
        <v>120.0</v>
      </c>
      <c r="AW428" s="3">
        <v>384.0</v>
      </c>
      <c r="AX428" s="3"/>
      <c r="AY428" s="3">
        <v>142.0</v>
      </c>
      <c r="AZ428" s="1">
        <v>40.0</v>
      </c>
      <c r="BA428" s="1"/>
      <c r="BB428" s="3">
        <v>225.0</v>
      </c>
      <c r="BC428" s="1">
        <v>150.0</v>
      </c>
      <c r="BD428" s="1">
        <v>190.0</v>
      </c>
      <c r="BE428" s="1">
        <v>80.0</v>
      </c>
      <c r="BF428" s="3">
        <v>328.0</v>
      </c>
      <c r="BG428" s="1">
        <v>213.0</v>
      </c>
      <c r="BH428" s="1">
        <v>23.0</v>
      </c>
      <c r="BI428" s="1">
        <v>40.0</v>
      </c>
      <c r="BJ428" s="1">
        <v>278.0</v>
      </c>
      <c r="BK428" s="3"/>
      <c r="BL428" s="1">
        <v>160.0</v>
      </c>
      <c r="BM428" s="1">
        <v>75.0</v>
      </c>
      <c r="BN428" s="32">
        <v>1802.0</v>
      </c>
      <c r="BO428" s="1">
        <v>47.0</v>
      </c>
      <c r="BP428" s="3">
        <v>48.0</v>
      </c>
      <c r="BQ428" s="1">
        <v>188.0</v>
      </c>
      <c r="BR428" s="27">
        <v>68782.0</v>
      </c>
    </row>
    <row r="429">
      <c r="A429" s="25">
        <f>'Equity Price Data'!A430</f>
        <v>46049.66667</v>
      </c>
      <c r="B429" s="34">
        <f>(('PRACTICE Equity Price Data'!B430/'PRACTICE Equity Price Data'!B429)-1)+B428</f>
        <v>0.3132830416</v>
      </c>
      <c r="C429" s="34">
        <f>(('PRACTICE Equity Price Data'!C430/'PRACTICE Equity Price Data'!C429)-1)+C428</f>
        <v>0.4148902743</v>
      </c>
      <c r="D429" s="34">
        <f>(('PRACTICE Equity Price Data'!D430/'PRACTICE Equity Price Data'!D429)-1)+D428</f>
        <v>0.2364124059</v>
      </c>
      <c r="E429" s="34">
        <f>(('PRACTICE Equity Price Data'!E430/'PRACTICE Equity Price Data'!E429)-1)+E428</f>
        <v>0.2987053133</v>
      </c>
      <c r="F429" s="3">
        <v>13.0</v>
      </c>
      <c r="G429" s="3">
        <v>260.0</v>
      </c>
      <c r="H429" s="3">
        <v>110.0</v>
      </c>
      <c r="I429" s="3">
        <v>256.0</v>
      </c>
      <c r="J429" s="3">
        <v>83.0</v>
      </c>
      <c r="K429" s="3">
        <v>188.0</v>
      </c>
      <c r="L429" s="3">
        <v>1000.0</v>
      </c>
      <c r="M429" s="3">
        <v>102.0</v>
      </c>
      <c r="N429" s="3">
        <v>200.0</v>
      </c>
      <c r="O429" s="3">
        <v>121.0</v>
      </c>
      <c r="P429" s="3">
        <v>146.0</v>
      </c>
      <c r="Q429" s="3">
        <v>80.0</v>
      </c>
      <c r="R429" s="3">
        <v>150.0</v>
      </c>
      <c r="S429" s="3">
        <v>417.0</v>
      </c>
      <c r="T429" s="3">
        <v>120.0</v>
      </c>
      <c r="U429" s="3">
        <v>80.0</v>
      </c>
      <c r="V429" s="1">
        <v>88.0</v>
      </c>
      <c r="W429" s="1">
        <v>250.0</v>
      </c>
      <c r="X429" s="1">
        <v>264.0</v>
      </c>
      <c r="Y429" s="1">
        <v>161.0</v>
      </c>
      <c r="Z429" s="1">
        <v>69.0</v>
      </c>
      <c r="AA429" s="1"/>
      <c r="AB429" s="1">
        <v>13.0</v>
      </c>
      <c r="AC429" s="1">
        <v>150.0</v>
      </c>
      <c r="AD429" s="1">
        <v>170.0</v>
      </c>
      <c r="AE429" s="1">
        <v>60.0</v>
      </c>
      <c r="AF429" s="1">
        <v>40.0</v>
      </c>
      <c r="AG429" s="1">
        <v>45.0</v>
      </c>
      <c r="AH429" s="1"/>
      <c r="AI429" s="1">
        <v>205.0</v>
      </c>
      <c r="AJ429" s="1">
        <v>60.0</v>
      </c>
      <c r="AK429" s="1">
        <v>100.0</v>
      </c>
      <c r="AL429" s="1">
        <v>175.0</v>
      </c>
      <c r="AM429" s="1">
        <v>130.0</v>
      </c>
      <c r="AN429" s="3">
        <v>47.0</v>
      </c>
      <c r="AO429" s="3">
        <v>160.0</v>
      </c>
      <c r="AP429" s="3">
        <v>70.0</v>
      </c>
      <c r="AQ429" s="3"/>
      <c r="AR429" s="1">
        <v>854.0</v>
      </c>
      <c r="AS429" s="1">
        <v>250.0</v>
      </c>
      <c r="AT429" s="1">
        <v>220.0</v>
      </c>
      <c r="AU429" s="3">
        <v>223.0</v>
      </c>
      <c r="AV429" s="1">
        <v>120.0</v>
      </c>
      <c r="AW429" s="3">
        <v>384.0</v>
      </c>
      <c r="AX429" s="3"/>
      <c r="AY429" s="3">
        <v>142.0</v>
      </c>
      <c r="AZ429" s="1">
        <v>40.0</v>
      </c>
      <c r="BA429" s="1"/>
      <c r="BB429" s="3">
        <v>225.0</v>
      </c>
      <c r="BC429" s="1">
        <v>150.0</v>
      </c>
      <c r="BD429" s="1">
        <v>190.0</v>
      </c>
      <c r="BE429" s="1">
        <v>80.0</v>
      </c>
      <c r="BF429" s="3">
        <v>328.0</v>
      </c>
      <c r="BG429" s="1">
        <v>213.0</v>
      </c>
      <c r="BH429" s="1">
        <v>23.0</v>
      </c>
      <c r="BI429" s="1">
        <v>40.0</v>
      </c>
      <c r="BJ429" s="1">
        <v>278.0</v>
      </c>
      <c r="BK429" s="3"/>
      <c r="BL429" s="1">
        <v>160.0</v>
      </c>
      <c r="BM429" s="1">
        <v>75.0</v>
      </c>
      <c r="BN429" s="32">
        <v>1802.0</v>
      </c>
      <c r="BO429" s="1">
        <v>47.0</v>
      </c>
      <c r="BP429" s="3">
        <v>48.0</v>
      </c>
      <c r="BQ429" s="1">
        <v>188.0</v>
      </c>
      <c r="BR429" s="27">
        <v>68782.0</v>
      </c>
    </row>
    <row r="430">
      <c r="A430" s="25">
        <f>'Equity Price Data'!A431</f>
        <v>46050.66667</v>
      </c>
      <c r="B430" s="34">
        <f>(('PRACTICE Equity Price Data'!B431/'PRACTICE Equity Price Data'!B430)-1)+B429</f>
        <v>0.3119904132</v>
      </c>
      <c r="C430" s="34">
        <f>(('PRACTICE Equity Price Data'!C431/'PRACTICE Equity Price Data'!C430)-1)+C429</f>
        <v>0.4165844352</v>
      </c>
      <c r="D430" s="34">
        <f>(('PRACTICE Equity Price Data'!D431/'PRACTICE Equity Price Data'!D430)-1)+D429</f>
        <v>0.2366611641</v>
      </c>
      <c r="E430" s="34">
        <f>(('PRACTICE Equity Price Data'!E431/'PRACTICE Equity Price Data'!E430)-1)+E429</f>
        <v>0.293774125</v>
      </c>
      <c r="F430" s="3">
        <v>13.0</v>
      </c>
      <c r="G430" s="3">
        <v>260.0</v>
      </c>
      <c r="H430" s="3">
        <v>110.0</v>
      </c>
      <c r="I430" s="3">
        <v>256.0</v>
      </c>
      <c r="J430" s="3">
        <v>83.0</v>
      </c>
      <c r="K430" s="3">
        <v>188.0</v>
      </c>
      <c r="L430" s="3">
        <v>1000.0</v>
      </c>
      <c r="M430" s="3">
        <v>102.0</v>
      </c>
      <c r="N430" s="3">
        <v>200.0</v>
      </c>
      <c r="O430" s="3">
        <v>121.0</v>
      </c>
      <c r="P430" s="3">
        <v>146.0</v>
      </c>
      <c r="Q430" s="3">
        <v>80.0</v>
      </c>
      <c r="R430" s="3">
        <v>150.0</v>
      </c>
      <c r="S430" s="3">
        <v>417.0</v>
      </c>
      <c r="T430" s="3">
        <v>120.0</v>
      </c>
      <c r="U430" s="3">
        <v>80.0</v>
      </c>
      <c r="V430" s="1">
        <v>88.0</v>
      </c>
      <c r="W430" s="1">
        <v>250.0</v>
      </c>
      <c r="X430" s="1">
        <v>264.0</v>
      </c>
      <c r="Y430" s="1">
        <v>161.0</v>
      </c>
      <c r="Z430" s="1">
        <v>69.0</v>
      </c>
      <c r="AA430" s="1"/>
      <c r="AB430" s="1">
        <v>13.0</v>
      </c>
      <c r="AC430" s="1">
        <v>150.0</v>
      </c>
      <c r="AD430" s="1">
        <v>170.0</v>
      </c>
      <c r="AE430" s="1">
        <v>60.0</v>
      </c>
      <c r="AF430" s="1">
        <v>40.0</v>
      </c>
      <c r="AG430" s="1">
        <v>45.0</v>
      </c>
      <c r="AH430" s="1"/>
      <c r="AI430" s="1">
        <v>205.0</v>
      </c>
      <c r="AJ430" s="1">
        <v>60.0</v>
      </c>
      <c r="AK430" s="1">
        <v>100.0</v>
      </c>
      <c r="AL430" s="1">
        <v>175.0</v>
      </c>
      <c r="AM430" s="1">
        <v>130.0</v>
      </c>
      <c r="AN430" s="3">
        <v>47.0</v>
      </c>
      <c r="AO430" s="3">
        <v>160.0</v>
      </c>
      <c r="AP430" s="3">
        <v>70.0</v>
      </c>
      <c r="AQ430" s="3"/>
      <c r="AR430" s="1">
        <v>854.0</v>
      </c>
      <c r="AS430" s="1">
        <v>250.0</v>
      </c>
      <c r="AT430" s="1">
        <v>220.0</v>
      </c>
      <c r="AU430" s="3">
        <v>223.0</v>
      </c>
      <c r="AV430" s="1">
        <v>120.0</v>
      </c>
      <c r="AW430" s="3">
        <v>384.0</v>
      </c>
      <c r="AX430" s="3"/>
      <c r="AY430" s="3">
        <v>142.0</v>
      </c>
      <c r="AZ430" s="1">
        <v>40.0</v>
      </c>
      <c r="BA430" s="1"/>
      <c r="BB430" s="3">
        <v>225.0</v>
      </c>
      <c r="BC430" s="1">
        <v>150.0</v>
      </c>
      <c r="BD430" s="1">
        <v>190.0</v>
      </c>
      <c r="BE430" s="1">
        <v>80.0</v>
      </c>
      <c r="BF430" s="3">
        <v>328.0</v>
      </c>
      <c r="BG430" s="1">
        <v>213.0</v>
      </c>
      <c r="BH430" s="1">
        <v>23.0</v>
      </c>
      <c r="BI430" s="1">
        <v>40.0</v>
      </c>
      <c r="BJ430" s="1">
        <v>278.0</v>
      </c>
      <c r="BK430" s="3"/>
      <c r="BL430" s="1">
        <v>160.0</v>
      </c>
      <c r="BM430" s="1">
        <v>75.0</v>
      </c>
      <c r="BN430" s="32">
        <v>1802.0</v>
      </c>
      <c r="BO430" s="1">
        <v>47.0</v>
      </c>
      <c r="BP430" s="3">
        <v>48.0</v>
      </c>
      <c r="BQ430" s="1">
        <v>188.0</v>
      </c>
      <c r="BR430" s="27">
        <v>68782.0</v>
      </c>
    </row>
    <row r="431">
      <c r="A431" s="25">
        <f>'Equity Price Data'!A432</f>
        <v>46051.66667</v>
      </c>
      <c r="B431" s="34">
        <f>(('PRACTICE Equity Price Data'!B432/'PRACTICE Equity Price Data'!B431)-1)+B430</f>
        <v>0.3076885109</v>
      </c>
      <c r="C431" s="34">
        <f>(('PRACTICE Equity Price Data'!C432/'PRACTICE Equity Price Data'!C431)-1)+C430</f>
        <v>0.409361115</v>
      </c>
      <c r="D431" s="34">
        <f>(('PRACTICE Equity Price Data'!D432/'PRACTICE Equity Price Data'!D431)-1)+D430</f>
        <v>0.2378028414</v>
      </c>
      <c r="E431" s="34">
        <f>(('PRACTICE Equity Price Data'!E432/'PRACTICE Equity Price Data'!E431)-1)+E430</f>
        <v>0.294237655</v>
      </c>
      <c r="F431" s="3">
        <v>13.0</v>
      </c>
      <c r="G431" s="3">
        <v>260.0</v>
      </c>
      <c r="H431" s="3">
        <v>110.0</v>
      </c>
      <c r="I431" s="3">
        <v>256.0</v>
      </c>
      <c r="J431" s="3">
        <v>83.0</v>
      </c>
      <c r="K431" s="3">
        <v>188.0</v>
      </c>
      <c r="L431" s="3">
        <v>1000.0</v>
      </c>
      <c r="M431" s="3">
        <v>102.0</v>
      </c>
      <c r="N431" s="3">
        <v>200.0</v>
      </c>
      <c r="O431" s="3">
        <v>121.0</v>
      </c>
      <c r="P431" s="3">
        <v>146.0</v>
      </c>
      <c r="Q431" s="3">
        <v>80.0</v>
      </c>
      <c r="R431" s="3">
        <v>150.0</v>
      </c>
      <c r="S431" s="3">
        <v>417.0</v>
      </c>
      <c r="T431" s="3">
        <v>120.0</v>
      </c>
      <c r="U431" s="3">
        <v>80.0</v>
      </c>
      <c r="V431" s="1">
        <v>88.0</v>
      </c>
      <c r="W431" s="1">
        <v>250.0</v>
      </c>
      <c r="X431" s="1">
        <v>264.0</v>
      </c>
      <c r="Y431" s="1">
        <v>161.0</v>
      </c>
      <c r="Z431" s="1">
        <v>69.0</v>
      </c>
      <c r="AA431" s="1"/>
      <c r="AB431" s="1">
        <v>13.0</v>
      </c>
      <c r="AC431" s="1">
        <v>150.0</v>
      </c>
      <c r="AD431" s="1">
        <v>170.0</v>
      </c>
      <c r="AE431" s="1">
        <v>60.0</v>
      </c>
      <c r="AF431" s="1">
        <v>40.0</v>
      </c>
      <c r="AG431" s="1">
        <v>45.0</v>
      </c>
      <c r="AH431" s="1"/>
      <c r="AI431" s="1">
        <v>205.0</v>
      </c>
      <c r="AJ431" s="1">
        <v>60.0</v>
      </c>
      <c r="AK431" s="1">
        <v>100.0</v>
      </c>
      <c r="AL431" s="1">
        <v>175.0</v>
      </c>
      <c r="AM431" s="1">
        <v>130.0</v>
      </c>
      <c r="AN431" s="3">
        <v>47.0</v>
      </c>
      <c r="AO431" s="3">
        <v>160.0</v>
      </c>
      <c r="AP431" s="3">
        <v>70.0</v>
      </c>
      <c r="AQ431" s="3"/>
      <c r="AR431" s="1">
        <v>854.0</v>
      </c>
      <c r="AS431" s="1">
        <v>250.0</v>
      </c>
      <c r="AT431" s="1">
        <v>220.0</v>
      </c>
      <c r="AU431" s="3">
        <v>223.0</v>
      </c>
      <c r="AV431" s="1">
        <v>120.0</v>
      </c>
      <c r="AW431" s="3">
        <v>384.0</v>
      </c>
      <c r="AX431" s="3"/>
      <c r="AY431" s="3">
        <v>142.0</v>
      </c>
      <c r="AZ431" s="1">
        <v>40.0</v>
      </c>
      <c r="BA431" s="1"/>
      <c r="BB431" s="3">
        <v>225.0</v>
      </c>
      <c r="BC431" s="1">
        <v>150.0</v>
      </c>
      <c r="BD431" s="1">
        <v>190.0</v>
      </c>
      <c r="BE431" s="1">
        <v>80.0</v>
      </c>
      <c r="BF431" s="3">
        <v>328.0</v>
      </c>
      <c r="BG431" s="1">
        <v>213.0</v>
      </c>
      <c r="BH431" s="1">
        <v>23.0</v>
      </c>
      <c r="BI431" s="1">
        <v>40.0</v>
      </c>
      <c r="BJ431" s="1">
        <v>278.0</v>
      </c>
      <c r="BK431" s="3"/>
      <c r="BL431" s="1">
        <v>160.0</v>
      </c>
      <c r="BM431" s="1">
        <v>75.0</v>
      </c>
      <c r="BN431" s="32">
        <v>1802.0</v>
      </c>
      <c r="BO431" s="1">
        <v>47.0</v>
      </c>
      <c r="BP431" s="3">
        <v>48.0</v>
      </c>
      <c r="BQ431" s="1">
        <v>188.0</v>
      </c>
      <c r="BR431" s="27">
        <v>68782.0</v>
      </c>
    </row>
    <row r="432">
      <c r="A432" s="25">
        <f>'Equity Price Data'!A433</f>
        <v>46052.66667</v>
      </c>
      <c r="B432" s="34">
        <f>(('PRACTICE Equity Price Data'!B433/'PRACTICE Equity Price Data'!B432)-1)+B431</f>
        <v>0.3130797544</v>
      </c>
      <c r="C432" s="34">
        <f>(('PRACTICE Equity Price Data'!C433/'PRACTICE Equity Price Data'!C432)-1)+C431</f>
        <v>0.3999332548</v>
      </c>
      <c r="D432" s="34">
        <f>(('PRACTICE Equity Price Data'!D433/'PRACTICE Equity Price Data'!D432)-1)+D431</f>
        <v>0.2341532733</v>
      </c>
      <c r="E432" s="34">
        <f>(('PRACTICE Equity Price Data'!E433/'PRACTICE Equity Price Data'!E432)-1)+E431</f>
        <v>0.2787787469</v>
      </c>
      <c r="F432" s="3">
        <v>13.0</v>
      </c>
      <c r="G432" s="3">
        <v>260.0</v>
      </c>
      <c r="H432" s="3">
        <v>110.0</v>
      </c>
      <c r="I432" s="3">
        <v>256.0</v>
      </c>
      <c r="J432" s="3">
        <v>83.0</v>
      </c>
      <c r="K432" s="3">
        <v>188.0</v>
      </c>
      <c r="L432" s="3">
        <v>1000.0</v>
      </c>
      <c r="M432" s="3">
        <v>102.0</v>
      </c>
      <c r="N432" s="3">
        <v>200.0</v>
      </c>
      <c r="O432" s="3">
        <v>121.0</v>
      </c>
      <c r="P432" s="3">
        <v>146.0</v>
      </c>
      <c r="Q432" s="3">
        <v>80.0</v>
      </c>
      <c r="R432" s="3">
        <v>150.0</v>
      </c>
      <c r="S432" s="3">
        <v>417.0</v>
      </c>
      <c r="T432" s="3">
        <v>120.0</v>
      </c>
      <c r="U432" s="3">
        <v>80.0</v>
      </c>
      <c r="V432" s="1">
        <v>88.0</v>
      </c>
      <c r="W432" s="1">
        <v>250.0</v>
      </c>
      <c r="X432" s="1">
        <v>264.0</v>
      </c>
      <c r="Y432" s="1">
        <v>161.0</v>
      </c>
      <c r="Z432" s="1">
        <v>69.0</v>
      </c>
      <c r="AA432" s="1"/>
      <c r="AB432" s="1">
        <v>13.0</v>
      </c>
      <c r="AC432" s="1">
        <v>150.0</v>
      </c>
      <c r="AD432" s="1">
        <v>170.0</v>
      </c>
      <c r="AE432" s="1">
        <v>60.0</v>
      </c>
      <c r="AF432" s="1">
        <v>40.0</v>
      </c>
      <c r="AG432" s="1">
        <v>45.0</v>
      </c>
      <c r="AH432" s="1"/>
      <c r="AI432" s="1">
        <v>205.0</v>
      </c>
      <c r="AJ432" s="1">
        <v>60.0</v>
      </c>
      <c r="AK432" s="1">
        <v>100.0</v>
      </c>
      <c r="AL432" s="1">
        <v>175.0</v>
      </c>
      <c r="AM432" s="1">
        <v>130.0</v>
      </c>
      <c r="AN432" s="3">
        <v>47.0</v>
      </c>
      <c r="AO432" s="3">
        <v>160.0</v>
      </c>
      <c r="AP432" s="3">
        <v>70.0</v>
      </c>
      <c r="AQ432" s="3"/>
      <c r="AR432" s="1">
        <v>854.0</v>
      </c>
      <c r="AS432" s="1">
        <v>250.0</v>
      </c>
      <c r="AT432" s="1">
        <v>220.0</v>
      </c>
      <c r="AU432" s="3">
        <v>223.0</v>
      </c>
      <c r="AV432" s="1">
        <v>120.0</v>
      </c>
      <c r="AW432" s="3">
        <v>384.0</v>
      </c>
      <c r="AX432" s="3"/>
      <c r="AY432" s="3">
        <v>142.0</v>
      </c>
      <c r="AZ432" s="1">
        <v>40.0</v>
      </c>
      <c r="BA432" s="1"/>
      <c r="BB432" s="3">
        <v>225.0</v>
      </c>
      <c r="BC432" s="1">
        <v>150.0</v>
      </c>
      <c r="BD432" s="1">
        <v>190.0</v>
      </c>
      <c r="BE432" s="1">
        <v>80.0</v>
      </c>
      <c r="BF432" s="3">
        <v>328.0</v>
      </c>
      <c r="BG432" s="1">
        <v>213.0</v>
      </c>
      <c r="BH432" s="1">
        <v>23.0</v>
      </c>
      <c r="BI432" s="1">
        <v>40.0</v>
      </c>
      <c r="BJ432" s="1">
        <v>278.0</v>
      </c>
      <c r="BK432" s="3"/>
      <c r="BL432" s="1">
        <v>160.0</v>
      </c>
      <c r="BM432" s="1">
        <v>75.0</v>
      </c>
      <c r="BN432" s="32">
        <v>1802.0</v>
      </c>
      <c r="BO432" s="1">
        <v>47.0</v>
      </c>
      <c r="BP432" s="3">
        <v>48.0</v>
      </c>
      <c r="BQ432" s="1">
        <v>188.0</v>
      </c>
      <c r="BR432" s="27">
        <v>68782.0</v>
      </c>
    </row>
    <row r="433">
      <c r="A433" s="25">
        <f>'Equity Price Data'!A434</f>
        <v>46055.66667</v>
      </c>
      <c r="B433" s="34">
        <f>(('PRACTICE Equity Price Data'!B434/'PRACTICE Equity Price Data'!B433)-1)+B432</f>
        <v>0.3046757546</v>
      </c>
      <c r="C433" s="34">
        <f>(('PRACTICE Equity Price Data'!C434/'PRACTICE Equity Price Data'!C433)-1)+C432</f>
        <v>0.4054865324</v>
      </c>
      <c r="D433" s="34">
        <f>(('PRACTICE Equity Price Data'!D434/'PRACTICE Equity Price Data'!D433)-1)+D432</f>
        <v>0.2446904788</v>
      </c>
      <c r="E433" s="34">
        <f>(('PRACTICE Equity Price Data'!E434/'PRACTICE Equity Price Data'!E433)-1)+E432</f>
        <v>0.288932779</v>
      </c>
      <c r="F433" s="3">
        <v>13.0</v>
      </c>
      <c r="G433" s="3">
        <v>260.0</v>
      </c>
      <c r="H433" s="3">
        <v>110.0</v>
      </c>
      <c r="I433" s="3">
        <v>256.0</v>
      </c>
      <c r="J433" s="3">
        <v>83.0</v>
      </c>
      <c r="K433" s="3">
        <v>188.0</v>
      </c>
      <c r="L433" s="3">
        <v>1000.0</v>
      </c>
      <c r="M433" s="3">
        <v>102.0</v>
      </c>
      <c r="N433" s="3">
        <v>200.0</v>
      </c>
      <c r="O433" s="3">
        <v>121.0</v>
      </c>
      <c r="P433" s="3">
        <v>146.0</v>
      </c>
      <c r="Q433" s="3">
        <v>80.0</v>
      </c>
      <c r="R433" s="3">
        <v>150.0</v>
      </c>
      <c r="S433" s="3">
        <v>417.0</v>
      </c>
      <c r="T433" s="3">
        <v>120.0</v>
      </c>
      <c r="U433" s="3">
        <v>80.0</v>
      </c>
      <c r="V433" s="1">
        <v>88.0</v>
      </c>
      <c r="W433" s="1">
        <v>250.0</v>
      </c>
      <c r="X433" s="1">
        <v>264.0</v>
      </c>
      <c r="Y433" s="1">
        <v>161.0</v>
      </c>
      <c r="Z433" s="1">
        <v>69.0</v>
      </c>
      <c r="AA433" s="1"/>
      <c r="AB433" s="1">
        <v>13.0</v>
      </c>
      <c r="AC433" s="1">
        <v>150.0</v>
      </c>
      <c r="AD433" s="1">
        <v>170.0</v>
      </c>
      <c r="AE433" s="1">
        <v>60.0</v>
      </c>
      <c r="AF433" s="1">
        <v>40.0</v>
      </c>
      <c r="AG433" s="1">
        <v>45.0</v>
      </c>
      <c r="AH433" s="1"/>
      <c r="AI433" s="1">
        <v>205.0</v>
      </c>
      <c r="AJ433" s="1">
        <v>60.0</v>
      </c>
      <c r="AK433" s="1">
        <v>100.0</v>
      </c>
      <c r="AL433" s="1">
        <v>175.0</v>
      </c>
      <c r="AM433" s="1">
        <v>130.0</v>
      </c>
      <c r="AN433" s="3">
        <v>47.0</v>
      </c>
      <c r="AO433" s="3">
        <v>160.0</v>
      </c>
      <c r="AP433" s="3">
        <v>70.0</v>
      </c>
      <c r="AQ433" s="3"/>
      <c r="AR433" s="1">
        <v>854.0</v>
      </c>
      <c r="AS433" s="1">
        <v>250.0</v>
      </c>
      <c r="AT433" s="1">
        <v>220.0</v>
      </c>
      <c r="AU433" s="3">
        <v>223.0</v>
      </c>
      <c r="AV433" s="1">
        <v>120.0</v>
      </c>
      <c r="AW433" s="3">
        <v>384.0</v>
      </c>
      <c r="AX433" s="3"/>
      <c r="AY433" s="3">
        <v>142.0</v>
      </c>
      <c r="AZ433" s="1">
        <v>40.0</v>
      </c>
      <c r="BA433" s="1"/>
      <c r="BB433" s="3">
        <v>225.0</v>
      </c>
      <c r="BC433" s="1">
        <v>150.0</v>
      </c>
      <c r="BD433" s="1">
        <v>190.0</v>
      </c>
      <c r="BE433" s="1">
        <v>80.0</v>
      </c>
      <c r="BF433" s="3">
        <v>328.0</v>
      </c>
      <c r="BG433" s="1">
        <v>213.0</v>
      </c>
      <c r="BH433" s="1">
        <v>23.0</v>
      </c>
      <c r="BI433" s="1">
        <v>40.0</v>
      </c>
      <c r="BJ433" s="1">
        <v>278.0</v>
      </c>
      <c r="BK433" s="3"/>
      <c r="BL433" s="1">
        <v>160.0</v>
      </c>
      <c r="BM433" s="1">
        <v>75.0</v>
      </c>
      <c r="BN433" s="32">
        <v>1802.0</v>
      </c>
      <c r="BO433" s="1">
        <v>47.0</v>
      </c>
      <c r="BP433" s="3">
        <v>48.0</v>
      </c>
      <c r="BQ433" s="1">
        <v>188.0</v>
      </c>
      <c r="BR433" s="27">
        <v>68782.0</v>
      </c>
    </row>
    <row r="434">
      <c r="A434" s="25">
        <f>'Equity Price Data'!A435</f>
        <v>46056.66667</v>
      </c>
      <c r="B434" s="34">
        <f>(('PRACTICE Equity Price Data'!B435/'PRACTICE Equity Price Data'!B434)-1)+B433</f>
        <v>0.2996033401</v>
      </c>
      <c r="C434" s="34">
        <f>(('PRACTICE Equity Price Data'!C435/'PRACTICE Equity Price Data'!C434)-1)+C433</f>
        <v>0.3912054868</v>
      </c>
      <c r="D434" s="34">
        <f>(('PRACTICE Equity Price Data'!D435/'PRACTICE Equity Price Data'!D434)-1)+D433</f>
        <v>0.2413171152</v>
      </c>
      <c r="E434" s="34">
        <f>(('PRACTICE Equity Price Data'!E435/'PRACTICE Equity Price Data'!E434)-1)+E433</f>
        <v>0.2920460852</v>
      </c>
      <c r="F434" s="3">
        <v>13.0</v>
      </c>
      <c r="G434" s="3">
        <v>260.0</v>
      </c>
      <c r="H434" s="3">
        <v>110.0</v>
      </c>
      <c r="I434" s="3">
        <v>256.0</v>
      </c>
      <c r="J434" s="3">
        <v>83.0</v>
      </c>
      <c r="K434" s="3">
        <v>188.0</v>
      </c>
      <c r="L434" s="3">
        <v>1000.0</v>
      </c>
      <c r="M434" s="3">
        <v>102.0</v>
      </c>
      <c r="N434" s="3">
        <v>200.0</v>
      </c>
      <c r="O434" s="3">
        <v>121.0</v>
      </c>
      <c r="P434" s="3">
        <v>146.0</v>
      </c>
      <c r="Q434" s="3">
        <v>80.0</v>
      </c>
      <c r="R434" s="3">
        <v>150.0</v>
      </c>
      <c r="S434" s="3">
        <v>417.0</v>
      </c>
      <c r="T434" s="3">
        <v>120.0</v>
      </c>
      <c r="U434" s="3">
        <v>80.0</v>
      </c>
      <c r="V434" s="1">
        <v>88.0</v>
      </c>
      <c r="W434" s="1">
        <v>250.0</v>
      </c>
      <c r="X434" s="1">
        <v>264.0</v>
      </c>
      <c r="Y434" s="1">
        <v>161.0</v>
      </c>
      <c r="Z434" s="1">
        <v>69.0</v>
      </c>
      <c r="AA434" s="1"/>
      <c r="AB434" s="1">
        <v>13.0</v>
      </c>
      <c r="AC434" s="1">
        <v>150.0</v>
      </c>
      <c r="AD434" s="1">
        <v>170.0</v>
      </c>
      <c r="AE434" s="1">
        <v>60.0</v>
      </c>
      <c r="AF434" s="1">
        <v>40.0</v>
      </c>
      <c r="AG434" s="1">
        <v>45.0</v>
      </c>
      <c r="AH434" s="1"/>
      <c r="AI434" s="1">
        <v>205.0</v>
      </c>
      <c r="AJ434" s="1">
        <v>60.0</v>
      </c>
      <c r="AK434" s="1">
        <v>100.0</v>
      </c>
      <c r="AL434" s="1">
        <v>175.0</v>
      </c>
      <c r="AM434" s="1">
        <v>130.0</v>
      </c>
      <c r="AN434" s="3">
        <v>47.0</v>
      </c>
      <c r="AO434" s="3">
        <v>160.0</v>
      </c>
      <c r="AP434" s="3">
        <v>70.0</v>
      </c>
      <c r="AQ434" s="3"/>
      <c r="AR434" s="1">
        <v>854.0</v>
      </c>
      <c r="AS434" s="1">
        <v>250.0</v>
      </c>
      <c r="AT434" s="1">
        <v>220.0</v>
      </c>
      <c r="AU434" s="3">
        <v>223.0</v>
      </c>
      <c r="AV434" s="1">
        <v>120.0</v>
      </c>
      <c r="AW434" s="3">
        <v>384.0</v>
      </c>
      <c r="AX434" s="3"/>
      <c r="AY434" s="3">
        <v>142.0</v>
      </c>
      <c r="AZ434" s="1">
        <v>40.0</v>
      </c>
      <c r="BA434" s="1"/>
      <c r="BB434" s="3">
        <v>225.0</v>
      </c>
      <c r="BC434" s="1">
        <v>150.0</v>
      </c>
      <c r="BD434" s="1">
        <v>190.0</v>
      </c>
      <c r="BE434" s="1">
        <v>80.0</v>
      </c>
      <c r="BF434" s="3">
        <v>328.0</v>
      </c>
      <c r="BG434" s="1">
        <v>213.0</v>
      </c>
      <c r="BH434" s="1">
        <v>23.0</v>
      </c>
      <c r="BI434" s="1">
        <v>40.0</v>
      </c>
      <c r="BJ434" s="1">
        <v>278.0</v>
      </c>
      <c r="BK434" s="3"/>
      <c r="BL434" s="1">
        <v>160.0</v>
      </c>
      <c r="BM434" s="1">
        <v>75.0</v>
      </c>
      <c r="BN434" s="32">
        <v>1802.0</v>
      </c>
      <c r="BO434" s="1">
        <v>47.0</v>
      </c>
      <c r="BP434" s="3">
        <v>48.0</v>
      </c>
      <c r="BQ434" s="1">
        <v>188.0</v>
      </c>
      <c r="BR434" s="27">
        <v>68782.0</v>
      </c>
    </row>
    <row r="435">
      <c r="A435" s="25">
        <f>'Equity Price Data'!A436</f>
        <v>46057.66667</v>
      </c>
      <c r="B435" s="34">
        <f>(('PRACTICE Equity Price Data'!B436/'PRACTICE Equity Price Data'!B435)-1)+B434</f>
        <v>0.2873523695</v>
      </c>
      <c r="C435" s="34">
        <f>(('PRACTICE Equity Price Data'!C436/'PRACTICE Equity Price Data'!C435)-1)+C434</f>
        <v>0.3761288523</v>
      </c>
      <c r="D435" s="34">
        <f>(('PRACTICE Equity Price Data'!D436/'PRACTICE Equity Price Data'!D435)-1)+D434</f>
        <v>0.2466035646</v>
      </c>
      <c r="E435" s="34">
        <f>(('PRACTICE Equity Price Data'!E436/'PRACTICE Equity Price Data'!E435)-1)+E434</f>
        <v>0.2830032308</v>
      </c>
      <c r="F435" s="3">
        <v>13.0</v>
      </c>
      <c r="G435" s="3">
        <v>260.0</v>
      </c>
      <c r="H435" s="3">
        <v>110.0</v>
      </c>
      <c r="I435" s="3">
        <v>256.0</v>
      </c>
      <c r="J435" s="3">
        <v>83.0</v>
      </c>
      <c r="K435" s="3">
        <v>188.0</v>
      </c>
      <c r="L435" s="3">
        <v>1000.0</v>
      </c>
      <c r="M435" s="3">
        <v>102.0</v>
      </c>
      <c r="N435" s="3">
        <v>200.0</v>
      </c>
      <c r="O435" s="3">
        <v>121.0</v>
      </c>
      <c r="P435" s="3">
        <v>146.0</v>
      </c>
      <c r="Q435" s="3">
        <v>80.0</v>
      </c>
      <c r="R435" s="3">
        <v>150.0</v>
      </c>
      <c r="S435" s="3">
        <v>417.0</v>
      </c>
      <c r="T435" s="3">
        <v>120.0</v>
      </c>
      <c r="U435" s="3">
        <v>80.0</v>
      </c>
      <c r="V435" s="1">
        <v>88.0</v>
      </c>
      <c r="W435" s="1">
        <v>250.0</v>
      </c>
      <c r="X435" s="1">
        <v>264.0</v>
      </c>
      <c r="Y435" s="1">
        <v>161.0</v>
      </c>
      <c r="Z435" s="1">
        <v>69.0</v>
      </c>
      <c r="AA435" s="1"/>
      <c r="AB435" s="1">
        <v>13.0</v>
      </c>
      <c r="AC435" s="1">
        <v>150.0</v>
      </c>
      <c r="AD435" s="1">
        <v>170.0</v>
      </c>
      <c r="AE435" s="1">
        <v>60.0</v>
      </c>
      <c r="AF435" s="1">
        <v>40.0</v>
      </c>
      <c r="AG435" s="1">
        <v>45.0</v>
      </c>
      <c r="AH435" s="1"/>
      <c r="AI435" s="1">
        <v>205.0</v>
      </c>
      <c r="AJ435" s="1">
        <v>60.0</v>
      </c>
      <c r="AK435" s="1">
        <v>100.0</v>
      </c>
      <c r="AL435" s="1">
        <v>175.0</v>
      </c>
      <c r="AM435" s="1">
        <v>130.0</v>
      </c>
      <c r="AN435" s="3">
        <v>47.0</v>
      </c>
      <c r="AO435" s="3">
        <v>160.0</v>
      </c>
      <c r="AP435" s="3">
        <v>70.0</v>
      </c>
      <c r="AQ435" s="3"/>
      <c r="AR435" s="1">
        <v>854.0</v>
      </c>
      <c r="AS435" s="1">
        <v>250.0</v>
      </c>
      <c r="AT435" s="1">
        <v>220.0</v>
      </c>
      <c r="AU435" s="3">
        <v>223.0</v>
      </c>
      <c r="AV435" s="1">
        <v>120.0</v>
      </c>
      <c r="AW435" s="3">
        <v>384.0</v>
      </c>
      <c r="AX435" s="3"/>
      <c r="AY435" s="3">
        <v>142.0</v>
      </c>
      <c r="AZ435" s="1">
        <v>40.0</v>
      </c>
      <c r="BA435" s="1"/>
      <c r="BB435" s="3">
        <v>225.0</v>
      </c>
      <c r="BC435" s="1">
        <v>150.0</v>
      </c>
      <c r="BD435" s="1">
        <v>190.0</v>
      </c>
      <c r="BE435" s="1">
        <v>80.0</v>
      </c>
      <c r="BF435" s="3">
        <v>328.0</v>
      </c>
      <c r="BG435" s="1">
        <v>213.0</v>
      </c>
      <c r="BH435" s="1">
        <v>23.0</v>
      </c>
      <c r="BI435" s="1">
        <v>40.0</v>
      </c>
      <c r="BJ435" s="1">
        <v>278.0</v>
      </c>
      <c r="BK435" s="3"/>
      <c r="BL435" s="1">
        <v>160.0</v>
      </c>
      <c r="BM435" s="1">
        <v>75.0</v>
      </c>
      <c r="BN435" s="32">
        <v>1802.0</v>
      </c>
      <c r="BO435" s="1">
        <v>47.0</v>
      </c>
      <c r="BP435" s="3">
        <v>48.0</v>
      </c>
      <c r="BQ435" s="1">
        <v>188.0</v>
      </c>
      <c r="BR435" s="27">
        <v>68782.0</v>
      </c>
    </row>
    <row r="436">
      <c r="A436" s="25">
        <f>'Equity Price Data'!A437</f>
        <v>46058.66667</v>
      </c>
      <c r="B436" s="34">
        <f>(('PRACTICE Equity Price Data'!B437/'PRACTICE Equity Price Data'!B436)-1)+B435</f>
        <v>0.3070481803</v>
      </c>
      <c r="C436" s="34">
        <f>(('PRACTICE Equity Price Data'!C437/'PRACTICE Equity Price Data'!C436)-1)+C435</f>
        <v>0.3602372708</v>
      </c>
      <c r="D436" s="34">
        <f>(('PRACTICE Equity Price Data'!D437/'PRACTICE Equity Price Data'!D436)-1)+D435</f>
        <v>0.2346325658</v>
      </c>
      <c r="E436" s="34">
        <f>(('PRACTICE Equity Price Data'!E437/'PRACTICE Equity Price Data'!E436)-1)+E435</f>
        <v>0.2651335007</v>
      </c>
      <c r="F436" s="3">
        <v>13.0</v>
      </c>
      <c r="G436" s="3">
        <v>260.0</v>
      </c>
      <c r="H436" s="3">
        <v>110.0</v>
      </c>
      <c r="I436" s="3">
        <v>256.0</v>
      </c>
      <c r="J436" s="3">
        <v>83.0</v>
      </c>
      <c r="K436" s="3">
        <v>188.0</v>
      </c>
      <c r="L436" s="3">
        <v>1000.0</v>
      </c>
      <c r="M436" s="3">
        <v>102.0</v>
      </c>
      <c r="N436" s="3">
        <v>200.0</v>
      </c>
      <c r="O436" s="3">
        <v>121.0</v>
      </c>
      <c r="P436" s="3">
        <v>146.0</v>
      </c>
      <c r="Q436" s="3">
        <v>80.0</v>
      </c>
      <c r="R436" s="3">
        <v>150.0</v>
      </c>
      <c r="S436" s="3">
        <v>417.0</v>
      </c>
      <c r="T436" s="3">
        <v>120.0</v>
      </c>
      <c r="U436" s="3">
        <v>80.0</v>
      </c>
      <c r="V436" s="1">
        <v>88.0</v>
      </c>
      <c r="W436" s="1">
        <v>250.0</v>
      </c>
      <c r="X436" s="1">
        <v>264.0</v>
      </c>
      <c r="Y436" s="1">
        <v>161.0</v>
      </c>
      <c r="Z436" s="1">
        <v>69.0</v>
      </c>
      <c r="AA436" s="1"/>
      <c r="AB436" s="1">
        <v>13.0</v>
      </c>
      <c r="AC436" s="1">
        <v>150.0</v>
      </c>
      <c r="AD436" s="1">
        <v>170.0</v>
      </c>
      <c r="AE436" s="1">
        <v>60.0</v>
      </c>
      <c r="AF436" s="1">
        <v>40.0</v>
      </c>
      <c r="AG436" s="1">
        <v>45.0</v>
      </c>
      <c r="AH436" s="1"/>
      <c r="AI436" s="1">
        <v>205.0</v>
      </c>
      <c r="AJ436" s="1">
        <v>60.0</v>
      </c>
      <c r="AK436" s="1">
        <v>100.0</v>
      </c>
      <c r="AL436" s="1">
        <v>175.0</v>
      </c>
      <c r="AM436" s="1">
        <v>130.0</v>
      </c>
      <c r="AN436" s="3">
        <v>47.0</v>
      </c>
      <c r="AO436" s="3">
        <v>160.0</v>
      </c>
      <c r="AP436" s="3">
        <v>70.0</v>
      </c>
      <c r="AQ436" s="3"/>
      <c r="AR436" s="1">
        <v>854.0</v>
      </c>
      <c r="AS436" s="1">
        <v>250.0</v>
      </c>
      <c r="AT436" s="1">
        <v>220.0</v>
      </c>
      <c r="AU436" s="3">
        <v>223.0</v>
      </c>
      <c r="AV436" s="1">
        <v>120.0</v>
      </c>
      <c r="AW436" s="3">
        <v>384.0</v>
      </c>
      <c r="AX436" s="3"/>
      <c r="AY436" s="3">
        <v>142.0</v>
      </c>
      <c r="AZ436" s="1">
        <v>40.0</v>
      </c>
      <c r="BA436" s="1"/>
      <c r="BB436" s="3">
        <v>225.0</v>
      </c>
      <c r="BC436" s="1">
        <v>150.0</v>
      </c>
      <c r="BD436" s="1">
        <v>190.0</v>
      </c>
      <c r="BE436" s="1">
        <v>80.0</v>
      </c>
      <c r="BF436" s="3">
        <v>328.0</v>
      </c>
      <c r="BG436" s="1">
        <v>213.0</v>
      </c>
      <c r="BH436" s="1">
        <v>23.0</v>
      </c>
      <c r="BI436" s="1">
        <v>40.0</v>
      </c>
      <c r="BJ436" s="1">
        <v>278.0</v>
      </c>
      <c r="BK436" s="3"/>
      <c r="BL436" s="1">
        <v>160.0</v>
      </c>
      <c r="BM436" s="1">
        <v>75.0</v>
      </c>
      <c r="BN436" s="32">
        <v>1802.0</v>
      </c>
      <c r="BO436" s="1">
        <v>47.0</v>
      </c>
      <c r="BP436" s="3">
        <v>48.0</v>
      </c>
      <c r="BQ436" s="1">
        <v>188.0</v>
      </c>
      <c r="BR436" s="27">
        <v>68782.0</v>
      </c>
    </row>
    <row r="437">
      <c r="A437" s="25">
        <f>'Equity Price Data'!A438</f>
        <v>46059.66667</v>
      </c>
      <c r="B437" s="34">
        <f>(('PRACTICE Equity Price Data'!B438/'PRACTICE Equity Price Data'!B437)-1)+B436</f>
        <v>0.3117392641</v>
      </c>
      <c r="C437" s="34">
        <f>(('PRACTICE Equity Price Data'!C438/'PRACTICE Equity Price Data'!C437)-1)+C436</f>
        <v>0.3820033381</v>
      </c>
      <c r="D437" s="34">
        <f>(('PRACTICE Equity Price Data'!D438/'PRACTICE Equity Price Data'!D437)-1)+D436</f>
        <v>0.2593101693</v>
      </c>
      <c r="E437" s="34">
        <f>(('PRACTICE Equity Price Data'!E438/'PRACTICE Equity Price Data'!E437)-1)+E436</f>
        <v>0.3010926108</v>
      </c>
      <c r="F437" s="3">
        <v>13.0</v>
      </c>
      <c r="G437" s="3">
        <v>260.0</v>
      </c>
      <c r="H437" s="3">
        <v>110.0</v>
      </c>
      <c r="I437" s="3">
        <v>256.0</v>
      </c>
      <c r="J437" s="3">
        <v>83.0</v>
      </c>
      <c r="K437" s="3">
        <v>188.0</v>
      </c>
      <c r="L437" s="3">
        <v>1000.0</v>
      </c>
      <c r="M437" s="3">
        <v>102.0</v>
      </c>
      <c r="N437" s="3">
        <v>200.0</v>
      </c>
      <c r="O437" s="3">
        <v>121.0</v>
      </c>
      <c r="P437" s="3">
        <v>146.0</v>
      </c>
      <c r="Q437" s="3">
        <v>80.0</v>
      </c>
      <c r="R437" s="3">
        <v>150.0</v>
      </c>
      <c r="S437" s="3">
        <v>417.0</v>
      </c>
      <c r="T437" s="3">
        <v>120.0</v>
      </c>
      <c r="U437" s="3">
        <v>80.0</v>
      </c>
      <c r="V437" s="1">
        <v>88.0</v>
      </c>
      <c r="W437" s="1">
        <v>250.0</v>
      </c>
      <c r="X437" s="1">
        <v>264.0</v>
      </c>
      <c r="Y437" s="1">
        <v>161.0</v>
      </c>
      <c r="Z437" s="1">
        <v>69.0</v>
      </c>
      <c r="AA437" s="1"/>
      <c r="AB437" s="1">
        <v>13.0</v>
      </c>
      <c r="AC437" s="1">
        <v>150.0</v>
      </c>
      <c r="AD437" s="1">
        <v>170.0</v>
      </c>
      <c r="AE437" s="1">
        <v>60.0</v>
      </c>
      <c r="AF437" s="1">
        <v>40.0</v>
      </c>
      <c r="AG437" s="1">
        <v>45.0</v>
      </c>
      <c r="AH437" s="1"/>
      <c r="AI437" s="1">
        <v>205.0</v>
      </c>
      <c r="AJ437" s="1">
        <v>60.0</v>
      </c>
      <c r="AK437" s="1">
        <v>100.0</v>
      </c>
      <c r="AL437" s="1">
        <v>175.0</v>
      </c>
      <c r="AM437" s="1">
        <v>130.0</v>
      </c>
      <c r="AN437" s="3">
        <v>47.0</v>
      </c>
      <c r="AO437" s="3">
        <v>160.0</v>
      </c>
      <c r="AP437" s="3">
        <v>70.0</v>
      </c>
      <c r="AQ437" s="3"/>
      <c r="AR437" s="1">
        <v>854.0</v>
      </c>
      <c r="AS437" s="1">
        <v>250.0</v>
      </c>
      <c r="AT437" s="1">
        <v>220.0</v>
      </c>
      <c r="AU437" s="3">
        <v>223.0</v>
      </c>
      <c r="AV437" s="1">
        <v>120.0</v>
      </c>
      <c r="AW437" s="3">
        <v>384.0</v>
      </c>
      <c r="AX437" s="3"/>
      <c r="AY437" s="3">
        <v>142.0</v>
      </c>
      <c r="AZ437" s="1">
        <v>40.0</v>
      </c>
      <c r="BA437" s="1"/>
      <c r="BB437" s="3">
        <v>225.0</v>
      </c>
      <c r="BC437" s="1"/>
      <c r="BD437" s="1">
        <v>190.0</v>
      </c>
      <c r="BE437" s="1">
        <v>80.0</v>
      </c>
      <c r="BF437" s="3">
        <v>328.0</v>
      </c>
      <c r="BG437" s="1">
        <v>213.0</v>
      </c>
      <c r="BH437" s="1">
        <v>23.0</v>
      </c>
      <c r="BI437" s="1">
        <v>40.0</v>
      </c>
      <c r="BJ437" s="1">
        <v>278.0</v>
      </c>
      <c r="BK437" s="3"/>
      <c r="BL437" s="1">
        <v>160.0</v>
      </c>
      <c r="BM437" s="1">
        <v>75.0</v>
      </c>
      <c r="BN437" s="32">
        <v>1802.0</v>
      </c>
      <c r="BO437" s="1">
        <v>47.0</v>
      </c>
      <c r="BP437" s="3">
        <v>48.0</v>
      </c>
      <c r="BQ437" s="1">
        <v>188.0</v>
      </c>
      <c r="BR437" s="28">
        <v>74823.25</v>
      </c>
    </row>
    <row r="438">
      <c r="A438" s="25">
        <f>'Equity Price Data'!A439</f>
        <v>46062.66667</v>
      </c>
      <c r="B438" s="34">
        <f>(('PRACTICE Equity Price Data'!B439/'PRACTICE Equity Price Data'!B438)-1)+B437</f>
        <v>0.3084355175</v>
      </c>
      <c r="C438" s="34">
        <f>(('PRACTICE Equity Price Data'!C439/'PRACTICE Equity Price Data'!C438)-1)+C437</f>
        <v>0.391011115</v>
      </c>
      <c r="D438" s="34">
        <f>(('PRACTICE Equity Price Data'!D439/'PRACTICE Equity Price Data'!D438)-1)+D437</f>
        <v>0.2597132369</v>
      </c>
      <c r="E438" s="34">
        <f>(('PRACTICE Equity Price Data'!E439/'PRACTICE Equity Price Data'!E438)-1)+E437</f>
        <v>0.3080992092</v>
      </c>
      <c r="F438" s="3">
        <v>13.0</v>
      </c>
      <c r="G438" s="3">
        <v>260.0</v>
      </c>
      <c r="H438" s="3">
        <v>110.0</v>
      </c>
      <c r="I438" s="3">
        <v>256.0</v>
      </c>
      <c r="J438" s="3">
        <v>83.0</v>
      </c>
      <c r="K438" s="3">
        <v>188.0</v>
      </c>
      <c r="L438" s="3">
        <v>1000.0</v>
      </c>
      <c r="M438" s="3">
        <v>102.0</v>
      </c>
      <c r="N438" s="3">
        <v>200.0</v>
      </c>
      <c r="O438" s="3">
        <v>121.0</v>
      </c>
      <c r="P438" s="3">
        <v>146.0</v>
      </c>
      <c r="Q438" s="3">
        <v>80.0</v>
      </c>
      <c r="R438" s="3">
        <v>150.0</v>
      </c>
      <c r="S438" s="3">
        <v>417.0</v>
      </c>
      <c r="T438" s="3">
        <v>120.0</v>
      </c>
      <c r="U438" s="3">
        <v>80.0</v>
      </c>
      <c r="V438" s="1">
        <v>88.0</v>
      </c>
      <c r="W438" s="1">
        <v>250.0</v>
      </c>
      <c r="X438" s="1">
        <v>264.0</v>
      </c>
      <c r="Y438" s="1">
        <v>161.0</v>
      </c>
      <c r="Z438" s="1">
        <v>69.0</v>
      </c>
      <c r="AA438" s="1"/>
      <c r="AB438" s="1">
        <v>13.0</v>
      </c>
      <c r="AC438" s="1">
        <v>150.0</v>
      </c>
      <c r="AD438" s="1">
        <v>170.0</v>
      </c>
      <c r="AE438" s="1">
        <v>60.0</v>
      </c>
      <c r="AF438" s="1">
        <v>40.0</v>
      </c>
      <c r="AG438" s="1">
        <v>45.0</v>
      </c>
      <c r="AH438" s="1"/>
      <c r="AI438" s="1">
        <v>205.0</v>
      </c>
      <c r="AJ438" s="1">
        <v>60.0</v>
      </c>
      <c r="AK438" s="1">
        <v>100.0</v>
      </c>
      <c r="AL438" s="1">
        <v>175.0</v>
      </c>
      <c r="AM438" s="1">
        <v>130.0</v>
      </c>
      <c r="AN438" s="3">
        <v>47.0</v>
      </c>
      <c r="AO438" s="3">
        <v>160.0</v>
      </c>
      <c r="AP438" s="3">
        <v>70.0</v>
      </c>
      <c r="AQ438" s="3"/>
      <c r="AR438" s="1">
        <v>854.0</v>
      </c>
      <c r="AS438" s="1">
        <v>250.0</v>
      </c>
      <c r="AT438" s="1">
        <v>220.0</v>
      </c>
      <c r="AU438" s="3">
        <v>223.0</v>
      </c>
      <c r="AV438" s="1">
        <v>120.0</v>
      </c>
      <c r="AW438" s="3">
        <v>384.0</v>
      </c>
      <c r="AX438" s="3"/>
      <c r="AY438" s="3">
        <v>142.0</v>
      </c>
      <c r="AZ438" s="1">
        <v>40.0</v>
      </c>
      <c r="BA438" s="1"/>
      <c r="BB438" s="3">
        <v>225.0</v>
      </c>
      <c r="BC438" s="1"/>
      <c r="BD438" s="1">
        <v>190.0</v>
      </c>
      <c r="BE438" s="1">
        <v>80.0</v>
      </c>
      <c r="BF438" s="3">
        <v>328.0</v>
      </c>
      <c r="BG438" s="1">
        <v>213.0</v>
      </c>
      <c r="BH438" s="1">
        <v>23.0</v>
      </c>
      <c r="BI438" s="1">
        <v>40.0</v>
      </c>
      <c r="BJ438" s="1">
        <v>278.0</v>
      </c>
      <c r="BK438" s="3"/>
      <c r="BL438" s="1">
        <v>160.0</v>
      </c>
      <c r="BM438" s="1">
        <v>75.0</v>
      </c>
      <c r="BN438" s="32">
        <v>1802.0</v>
      </c>
      <c r="BO438" s="1">
        <v>47.0</v>
      </c>
      <c r="BP438" s="3">
        <v>48.0</v>
      </c>
      <c r="BQ438" s="1">
        <v>188.0</v>
      </c>
      <c r="BR438" s="28">
        <v>74823.25</v>
      </c>
    </row>
    <row r="439">
      <c r="A439" s="25">
        <f>'Equity Price Data'!A440</f>
        <v>46063.66667</v>
      </c>
      <c r="B439" s="34">
        <f>(('PRACTICE Equity Price Data'!B440/'PRACTICE Equity Price Data'!B439)-1)+B438</f>
        <v>0.3083865389</v>
      </c>
      <c r="C439" s="34">
        <f>(('PRACTICE Equity Price Data'!C440/'PRACTICE Equity Price Data'!C439)-1)+C438</f>
        <v>0.3851501943</v>
      </c>
      <c r="D439" s="34">
        <f>(('PRACTICE Equity Price Data'!D440/'PRACTICE Equity Price Data'!D439)-1)+D438</f>
        <v>0.2607558038</v>
      </c>
      <c r="E439" s="34">
        <f>(('PRACTICE Equity Price Data'!E440/'PRACTICE Equity Price Data'!E439)-1)+E438</f>
        <v>0.3046481763</v>
      </c>
      <c r="F439" s="3">
        <v>13.0</v>
      </c>
      <c r="G439" s="3">
        <v>260.0</v>
      </c>
      <c r="H439" s="3">
        <v>110.0</v>
      </c>
      <c r="I439" s="3">
        <v>256.0</v>
      </c>
      <c r="J439" s="3">
        <v>83.0</v>
      </c>
      <c r="K439" s="3">
        <v>188.0</v>
      </c>
      <c r="L439" s="3">
        <v>1000.0</v>
      </c>
      <c r="M439" s="3">
        <v>102.0</v>
      </c>
      <c r="N439" s="3">
        <v>200.0</v>
      </c>
      <c r="O439" s="3">
        <v>121.0</v>
      </c>
      <c r="P439" s="3">
        <v>146.0</v>
      </c>
      <c r="Q439" s="3">
        <v>80.0</v>
      </c>
      <c r="R439" s="3">
        <v>150.0</v>
      </c>
      <c r="S439" s="3">
        <v>417.0</v>
      </c>
      <c r="T439" s="3">
        <v>120.0</v>
      </c>
      <c r="U439" s="3">
        <v>80.0</v>
      </c>
      <c r="V439" s="1">
        <v>88.0</v>
      </c>
      <c r="W439" s="1">
        <v>250.0</v>
      </c>
      <c r="X439" s="1">
        <v>264.0</v>
      </c>
      <c r="Y439" s="1">
        <v>161.0</v>
      </c>
      <c r="Z439" s="1">
        <v>69.0</v>
      </c>
      <c r="AA439" s="1"/>
      <c r="AB439" s="1">
        <v>13.0</v>
      </c>
      <c r="AC439" s="1">
        <v>150.0</v>
      </c>
      <c r="AD439" s="1">
        <v>170.0</v>
      </c>
      <c r="AE439" s="1">
        <v>60.0</v>
      </c>
      <c r="AF439" s="1">
        <v>40.0</v>
      </c>
      <c r="AG439" s="1">
        <v>45.0</v>
      </c>
      <c r="AH439" s="1"/>
      <c r="AI439" s="1">
        <v>205.0</v>
      </c>
      <c r="AJ439" s="1">
        <v>60.0</v>
      </c>
      <c r="AK439" s="1">
        <v>100.0</v>
      </c>
      <c r="AL439" s="1">
        <v>175.0</v>
      </c>
      <c r="AM439" s="1">
        <v>130.0</v>
      </c>
      <c r="AN439" s="3">
        <v>47.0</v>
      </c>
      <c r="AO439" s="3">
        <v>160.0</v>
      </c>
      <c r="AP439" s="3">
        <v>70.0</v>
      </c>
      <c r="AQ439" s="3"/>
      <c r="AR439" s="1">
        <v>854.0</v>
      </c>
      <c r="AS439" s="1">
        <v>250.0</v>
      </c>
      <c r="AT439" s="1">
        <v>220.0</v>
      </c>
      <c r="AU439" s="3">
        <v>223.0</v>
      </c>
      <c r="AV439" s="1">
        <v>120.0</v>
      </c>
      <c r="AW439" s="3">
        <v>384.0</v>
      </c>
      <c r="AX439" s="3"/>
      <c r="AY439" s="3">
        <v>142.0</v>
      </c>
      <c r="AZ439" s="1">
        <v>40.0</v>
      </c>
      <c r="BA439" s="1"/>
      <c r="BB439" s="3">
        <v>225.0</v>
      </c>
      <c r="BC439" s="1"/>
      <c r="BD439" s="1">
        <v>190.0</v>
      </c>
      <c r="BE439" s="1">
        <v>80.0</v>
      </c>
      <c r="BF439" s="3">
        <v>328.0</v>
      </c>
      <c r="BG439" s="1">
        <v>213.0</v>
      </c>
      <c r="BH439" s="1">
        <v>23.0</v>
      </c>
      <c r="BI439" s="1">
        <v>40.0</v>
      </c>
      <c r="BJ439" s="1">
        <v>278.0</v>
      </c>
      <c r="BK439" s="3"/>
      <c r="BL439" s="1">
        <v>160.0</v>
      </c>
      <c r="BM439" s="1">
        <v>75.0</v>
      </c>
      <c r="BN439" s="32">
        <v>1802.0</v>
      </c>
      <c r="BO439" s="1">
        <v>47.0</v>
      </c>
      <c r="BP439" s="3">
        <v>48.0</v>
      </c>
      <c r="BQ439" s="1">
        <v>188.0</v>
      </c>
      <c r="BR439" s="28">
        <v>74823.25</v>
      </c>
    </row>
    <row r="440">
      <c r="A440" s="25">
        <f>'Equity Price Data'!A441</f>
        <v>46064.66667</v>
      </c>
      <c r="B440" s="34">
        <f>(('PRACTICE Equity Price Data'!B441/'PRACTICE Equity Price Data'!B440)-1)+B439</f>
        <v>0.292725591</v>
      </c>
      <c r="C440" s="34">
        <f>(('PRACTICE Equity Price Data'!C441/'PRACTICE Equity Price Data'!C440)-1)+C439</f>
        <v>0.3835919194</v>
      </c>
      <c r="D440" s="34">
        <f>(('PRACTICE Equity Price Data'!D441/'PRACTICE Equity Price Data'!D440)-1)+D439</f>
        <v>0.2594260076</v>
      </c>
      <c r="E440" s="34">
        <f>(('PRACTICE Equity Price Data'!E441/'PRACTICE Equity Price Data'!E440)-1)+E439</f>
        <v>0.3008045628</v>
      </c>
      <c r="F440" s="3">
        <v>13.0</v>
      </c>
      <c r="G440" s="3">
        <v>260.0</v>
      </c>
      <c r="H440" s="3">
        <v>110.0</v>
      </c>
      <c r="I440" s="3">
        <v>256.0</v>
      </c>
      <c r="J440" s="3">
        <v>83.0</v>
      </c>
      <c r="K440" s="3">
        <v>188.0</v>
      </c>
      <c r="L440" s="3">
        <v>1000.0</v>
      </c>
      <c r="M440" s="3">
        <v>102.0</v>
      </c>
      <c r="N440" s="3">
        <v>200.0</v>
      </c>
      <c r="O440" s="3">
        <v>121.0</v>
      </c>
      <c r="P440" s="3">
        <v>146.0</v>
      </c>
      <c r="Q440" s="3">
        <v>80.0</v>
      </c>
      <c r="R440" s="3">
        <v>150.0</v>
      </c>
      <c r="S440" s="3">
        <v>417.0</v>
      </c>
      <c r="T440" s="3">
        <v>120.0</v>
      </c>
      <c r="U440" s="3">
        <v>80.0</v>
      </c>
      <c r="V440" s="1">
        <v>88.0</v>
      </c>
      <c r="W440" s="1">
        <v>250.0</v>
      </c>
      <c r="X440" s="1">
        <v>264.0</v>
      </c>
      <c r="Y440" s="1">
        <v>161.0</v>
      </c>
      <c r="Z440" s="1">
        <v>69.0</v>
      </c>
      <c r="AA440" s="1"/>
      <c r="AB440" s="1">
        <v>13.0</v>
      </c>
      <c r="AC440" s="1">
        <v>150.0</v>
      </c>
      <c r="AD440" s="1">
        <v>170.0</v>
      </c>
      <c r="AE440" s="1">
        <v>60.0</v>
      </c>
      <c r="AF440" s="1">
        <v>40.0</v>
      </c>
      <c r="AG440" s="1">
        <v>45.0</v>
      </c>
      <c r="AH440" s="1"/>
      <c r="AI440" s="1">
        <v>205.0</v>
      </c>
      <c r="AJ440" s="1">
        <v>60.0</v>
      </c>
      <c r="AK440" s="1">
        <v>100.0</v>
      </c>
      <c r="AL440" s="1">
        <v>175.0</v>
      </c>
      <c r="AM440" s="1">
        <v>130.0</v>
      </c>
      <c r="AN440" s="3">
        <v>47.0</v>
      </c>
      <c r="AO440" s="3">
        <v>160.0</v>
      </c>
      <c r="AP440" s="3">
        <v>70.0</v>
      </c>
      <c r="AQ440" s="3"/>
      <c r="AR440" s="1">
        <v>854.0</v>
      </c>
      <c r="AS440" s="1">
        <v>250.0</v>
      </c>
      <c r="AT440" s="1">
        <v>220.0</v>
      </c>
      <c r="AU440" s="3">
        <v>223.0</v>
      </c>
      <c r="AV440" s="1">
        <v>120.0</v>
      </c>
      <c r="AW440" s="3">
        <v>384.0</v>
      </c>
      <c r="AX440" s="3"/>
      <c r="AY440" s="3">
        <v>142.0</v>
      </c>
      <c r="AZ440" s="1">
        <v>40.0</v>
      </c>
      <c r="BA440" s="1"/>
      <c r="BB440" s="3">
        <v>225.0</v>
      </c>
      <c r="BC440" s="1"/>
      <c r="BD440" s="1">
        <v>190.0</v>
      </c>
      <c r="BE440" s="1">
        <v>80.0</v>
      </c>
      <c r="BF440" s="3">
        <v>328.0</v>
      </c>
      <c r="BG440" s="1">
        <v>213.0</v>
      </c>
      <c r="BH440" s="1">
        <v>23.0</v>
      </c>
      <c r="BI440" s="1">
        <v>40.0</v>
      </c>
      <c r="BJ440" s="1">
        <v>278.0</v>
      </c>
      <c r="BK440" s="3"/>
      <c r="BL440" s="1">
        <v>160.0</v>
      </c>
      <c r="BM440" s="1">
        <v>75.0</v>
      </c>
      <c r="BN440" s="32">
        <v>1802.0</v>
      </c>
      <c r="BO440" s="1">
        <v>47.0</v>
      </c>
      <c r="BP440" s="3">
        <v>48.0</v>
      </c>
      <c r="BQ440" s="1">
        <v>188.0</v>
      </c>
      <c r="BR440" s="28">
        <v>74823.25</v>
      </c>
    </row>
    <row r="441">
      <c r="A441" s="25">
        <f>'Equity Price Data'!A442</f>
        <v>46065.66667</v>
      </c>
      <c r="B441" s="34">
        <f>(('PRACTICE Equity Price Data'!B442/'PRACTICE Equity Price Data'!B441)-1)+B440</f>
        <v>0.2932246573</v>
      </c>
      <c r="C441" s="34">
        <f>(('PRACTICE Equity Price Data'!C442/'PRACTICE Equity Price Data'!C441)-1)+C440</f>
        <v>0.3632455032</v>
      </c>
      <c r="D441" s="34">
        <f>(('PRACTICE Equity Price Data'!D442/'PRACTICE Equity Price Data'!D441)-1)+D440</f>
        <v>0.2460700359</v>
      </c>
      <c r="E441" s="34">
        <f>(('PRACTICE Equity Price Data'!E442/'PRACTICE Equity Price Data'!E441)-1)+E440</f>
        <v>0.2807106865</v>
      </c>
      <c r="F441" s="3">
        <v>13.0</v>
      </c>
      <c r="G441" s="3">
        <v>260.0</v>
      </c>
      <c r="H441" s="3">
        <v>110.0</v>
      </c>
      <c r="I441" s="3">
        <v>256.0</v>
      </c>
      <c r="J441" s="3">
        <v>83.0</v>
      </c>
      <c r="K441" s="3">
        <v>188.0</v>
      </c>
      <c r="L441" s="3">
        <v>1000.0</v>
      </c>
      <c r="M441" s="3">
        <v>102.0</v>
      </c>
      <c r="N441" s="3">
        <v>200.0</v>
      </c>
      <c r="O441" s="3">
        <v>121.0</v>
      </c>
      <c r="P441" s="3">
        <v>146.0</v>
      </c>
      <c r="Q441" s="3">
        <v>80.0</v>
      </c>
      <c r="R441" s="3">
        <v>150.0</v>
      </c>
      <c r="S441" s="3">
        <v>417.0</v>
      </c>
      <c r="T441" s="3">
        <v>120.0</v>
      </c>
      <c r="U441" s="3">
        <v>80.0</v>
      </c>
      <c r="V441" s="1">
        <v>88.0</v>
      </c>
      <c r="W441" s="1">
        <v>250.0</v>
      </c>
      <c r="X441" s="1">
        <v>264.0</v>
      </c>
      <c r="Y441" s="1">
        <v>161.0</v>
      </c>
      <c r="Z441" s="1">
        <v>69.0</v>
      </c>
      <c r="AA441" s="1"/>
      <c r="AB441" s="1">
        <v>13.0</v>
      </c>
      <c r="AC441" s="1">
        <v>150.0</v>
      </c>
      <c r="AD441" s="1">
        <v>170.0</v>
      </c>
      <c r="AE441" s="1">
        <v>60.0</v>
      </c>
      <c r="AF441" s="1">
        <v>40.0</v>
      </c>
      <c r="AG441" s="1">
        <v>45.0</v>
      </c>
      <c r="AH441" s="1"/>
      <c r="AI441" s="1">
        <v>205.0</v>
      </c>
      <c r="AJ441" s="1">
        <v>60.0</v>
      </c>
      <c r="AK441" s="1">
        <v>100.0</v>
      </c>
      <c r="AL441" s="1">
        <v>175.0</v>
      </c>
      <c r="AM441" s="1">
        <v>130.0</v>
      </c>
      <c r="AN441" s="3">
        <v>47.0</v>
      </c>
      <c r="AO441" s="3">
        <v>160.0</v>
      </c>
      <c r="AP441" s="3">
        <v>70.0</v>
      </c>
      <c r="AQ441" s="3"/>
      <c r="AR441" s="1">
        <v>854.0</v>
      </c>
      <c r="AS441" s="1">
        <v>250.0</v>
      </c>
      <c r="AT441" s="1">
        <v>220.0</v>
      </c>
      <c r="AU441" s="3">
        <v>223.0</v>
      </c>
      <c r="AV441" s="1">
        <v>120.0</v>
      </c>
      <c r="AW441" s="3">
        <v>384.0</v>
      </c>
      <c r="AX441" s="3"/>
      <c r="AY441" s="3">
        <v>142.0</v>
      </c>
      <c r="AZ441" s="1">
        <v>40.0</v>
      </c>
      <c r="BA441" s="1"/>
      <c r="BB441" s="3">
        <v>225.0</v>
      </c>
      <c r="BC441" s="1"/>
      <c r="BD441" s="1">
        <v>190.0</v>
      </c>
      <c r="BE441" s="1">
        <v>80.0</v>
      </c>
      <c r="BF441" s="3">
        <v>328.0</v>
      </c>
      <c r="BG441" s="1">
        <v>213.0</v>
      </c>
      <c r="BH441" s="1">
        <v>23.0</v>
      </c>
      <c r="BI441" s="1">
        <v>40.0</v>
      </c>
      <c r="BJ441" s="1">
        <v>278.0</v>
      </c>
      <c r="BK441" s="3"/>
      <c r="BL441" s="1">
        <v>160.0</v>
      </c>
      <c r="BM441" s="1">
        <v>75.0</v>
      </c>
      <c r="BN441" s="32">
        <v>1802.0</v>
      </c>
      <c r="BO441" s="1">
        <v>47.0</v>
      </c>
      <c r="BP441" s="3">
        <v>48.0</v>
      </c>
      <c r="BQ441" s="1">
        <v>188.0</v>
      </c>
      <c r="BR441" s="28">
        <v>74823.25</v>
      </c>
    </row>
    <row r="442">
      <c r="A442" s="25">
        <f>'Equity Price Data'!A443</f>
        <v>46066.66667</v>
      </c>
      <c r="B442" s="34">
        <f>(('PRACTICE Equity Price Data'!B443/'PRACTICE Equity Price Data'!B442)-1)+B441</f>
        <v>0.2942559365</v>
      </c>
      <c r="C442" s="34">
        <f>(('PRACTICE Equity Price Data'!C443/'PRACTICE Equity Price Data'!C442)-1)+C441</f>
        <v>0.3610115931</v>
      </c>
      <c r="D442" s="34">
        <f>(('PRACTICE Equity Price Data'!D443/'PRACTICE Equity Price Data'!D442)-1)+D441</f>
        <v>0.247059885</v>
      </c>
      <c r="E442" s="34">
        <f>(('PRACTICE Equity Price Data'!E443/'PRACTICE Equity Price Data'!E442)-1)+E441</f>
        <v>0.2925119121</v>
      </c>
      <c r="F442" s="3">
        <v>13.0</v>
      </c>
      <c r="G442" s="3">
        <v>260.0</v>
      </c>
      <c r="H442" s="3">
        <v>110.0</v>
      </c>
      <c r="I442" s="3">
        <v>256.0</v>
      </c>
      <c r="J442" s="3">
        <v>83.0</v>
      </c>
      <c r="K442" s="3">
        <v>188.0</v>
      </c>
      <c r="L442" s="3">
        <v>1000.0</v>
      </c>
      <c r="M442" s="3">
        <v>102.0</v>
      </c>
      <c r="N442" s="3">
        <v>200.0</v>
      </c>
      <c r="O442" s="3">
        <v>121.0</v>
      </c>
      <c r="P442" s="3">
        <v>146.0</v>
      </c>
      <c r="Q442" s="3">
        <v>80.0</v>
      </c>
      <c r="R442" s="3">
        <v>150.0</v>
      </c>
      <c r="S442" s="3">
        <v>417.0</v>
      </c>
      <c r="T442" s="3">
        <v>120.0</v>
      </c>
      <c r="U442" s="3">
        <v>80.0</v>
      </c>
      <c r="V442" s="1">
        <v>88.0</v>
      </c>
      <c r="W442" s="1">
        <v>250.0</v>
      </c>
      <c r="X442" s="1">
        <v>264.0</v>
      </c>
      <c r="Y442" s="1">
        <v>161.0</v>
      </c>
      <c r="Z442" s="1">
        <v>69.0</v>
      </c>
      <c r="AA442" s="1"/>
      <c r="AB442" s="1">
        <v>13.0</v>
      </c>
      <c r="AC442" s="1">
        <v>150.0</v>
      </c>
      <c r="AD442" s="1">
        <v>170.0</v>
      </c>
      <c r="AE442" s="1">
        <v>60.0</v>
      </c>
      <c r="AF442" s="1">
        <v>40.0</v>
      </c>
      <c r="AG442" s="1">
        <v>45.0</v>
      </c>
      <c r="AH442" s="1"/>
      <c r="AI442" s="1">
        <v>205.0</v>
      </c>
      <c r="AJ442" s="1">
        <v>60.0</v>
      </c>
      <c r="AK442" s="1">
        <v>100.0</v>
      </c>
      <c r="AL442" s="1">
        <v>175.0</v>
      </c>
      <c r="AM442" s="1">
        <v>130.0</v>
      </c>
      <c r="AN442" s="3">
        <v>47.0</v>
      </c>
      <c r="AO442" s="3">
        <v>160.0</v>
      </c>
      <c r="AP442" s="3">
        <v>70.0</v>
      </c>
      <c r="AQ442" s="3"/>
      <c r="AR442" s="1">
        <v>854.0</v>
      </c>
      <c r="AS442" s="1">
        <v>250.0</v>
      </c>
      <c r="AT442" s="1">
        <v>220.0</v>
      </c>
      <c r="AU442" s="3">
        <v>223.0</v>
      </c>
      <c r="AV442" s="1">
        <v>120.0</v>
      </c>
      <c r="AW442" s="3">
        <v>384.0</v>
      </c>
      <c r="AX442" s="3"/>
      <c r="AY442" s="3">
        <v>142.0</v>
      </c>
      <c r="AZ442" s="1">
        <v>40.0</v>
      </c>
      <c r="BA442" s="1"/>
      <c r="BB442" s="3">
        <v>225.0</v>
      </c>
      <c r="BC442" s="1"/>
      <c r="BD442" s="1">
        <v>190.0</v>
      </c>
      <c r="BE442" s="1">
        <v>80.0</v>
      </c>
      <c r="BF442" s="3">
        <v>328.0</v>
      </c>
      <c r="BG442" s="1">
        <v>213.0</v>
      </c>
      <c r="BH442" s="1">
        <v>23.0</v>
      </c>
      <c r="BI442" s="1">
        <v>40.0</v>
      </c>
      <c r="BJ442" s="1">
        <v>278.0</v>
      </c>
      <c r="BK442" s="3"/>
      <c r="BL442" s="1">
        <v>160.0</v>
      </c>
      <c r="BM442" s="1">
        <v>75.0</v>
      </c>
      <c r="BN442" s="32">
        <v>1802.0</v>
      </c>
      <c r="BO442" s="1">
        <v>47.0</v>
      </c>
      <c r="BP442" s="3">
        <v>48.0</v>
      </c>
      <c r="BQ442" s="1">
        <v>188.0</v>
      </c>
      <c r="BR442" s="28">
        <v>74823.25</v>
      </c>
    </row>
    <row r="443">
      <c r="A443" s="25">
        <f>'Equity Price Data'!A444</f>
        <v>46070.66667</v>
      </c>
      <c r="B443" s="34">
        <f>(('PRACTICE Equity Price Data'!B444/'PRACTICE Equity Price Data'!B443)-1)+B442</f>
        <v>0.2998220297</v>
      </c>
      <c r="C443" s="34">
        <f>(('PRACTICE Equity Price Data'!C444/'PRACTICE Equity Price Data'!C443)-1)+C442</f>
        <v>0.3624180092</v>
      </c>
      <c r="D443" s="34">
        <f>(('PRACTICE Equity Price Data'!D444/'PRACTICE Equity Price Data'!D443)-1)+D442</f>
        <v>0.2477115899</v>
      </c>
      <c r="E443" s="34">
        <f>(('PRACTICE Equity Price Data'!E444/'PRACTICE Equity Price Data'!E443)-1)+E442</f>
        <v>0.2924703509</v>
      </c>
      <c r="F443" s="3">
        <v>13.0</v>
      </c>
      <c r="G443" s="3">
        <v>260.0</v>
      </c>
      <c r="H443" s="3">
        <v>110.0</v>
      </c>
      <c r="I443" s="3">
        <v>256.0</v>
      </c>
      <c r="J443" s="3">
        <v>83.0</v>
      </c>
      <c r="K443" s="3">
        <v>188.0</v>
      </c>
      <c r="L443" s="3">
        <v>1000.0</v>
      </c>
      <c r="M443" s="3">
        <v>102.0</v>
      </c>
      <c r="N443" s="3">
        <v>200.0</v>
      </c>
      <c r="O443" s="3">
        <v>121.0</v>
      </c>
      <c r="P443" s="3">
        <v>146.0</v>
      </c>
      <c r="Q443" s="3">
        <v>80.0</v>
      </c>
      <c r="R443" s="3">
        <v>150.0</v>
      </c>
      <c r="S443" s="3">
        <v>417.0</v>
      </c>
      <c r="T443" s="3">
        <v>120.0</v>
      </c>
      <c r="U443" s="3">
        <v>80.0</v>
      </c>
      <c r="V443" s="1">
        <v>88.0</v>
      </c>
      <c r="W443" s="1">
        <v>250.0</v>
      </c>
      <c r="X443" s="1">
        <v>264.0</v>
      </c>
      <c r="Y443" s="1">
        <v>161.0</v>
      </c>
      <c r="Z443" s="1">
        <v>69.0</v>
      </c>
      <c r="AA443" s="1"/>
      <c r="AB443" s="1">
        <v>13.0</v>
      </c>
      <c r="AC443" s="1">
        <v>150.0</v>
      </c>
      <c r="AD443" s="1">
        <v>170.0</v>
      </c>
      <c r="AE443" s="1">
        <v>60.0</v>
      </c>
      <c r="AF443" s="1">
        <v>40.0</v>
      </c>
      <c r="AG443" s="1">
        <v>45.0</v>
      </c>
      <c r="AH443" s="1"/>
      <c r="AI443" s="1">
        <v>205.0</v>
      </c>
      <c r="AJ443" s="1">
        <v>60.0</v>
      </c>
      <c r="AK443" s="1">
        <v>100.0</v>
      </c>
      <c r="AL443" s="1">
        <v>175.0</v>
      </c>
      <c r="AM443" s="1">
        <v>130.0</v>
      </c>
      <c r="AN443" s="3">
        <v>47.0</v>
      </c>
      <c r="AO443" s="3">
        <v>160.0</v>
      </c>
      <c r="AP443" s="3">
        <v>70.0</v>
      </c>
      <c r="AQ443" s="3"/>
      <c r="AR443" s="1">
        <v>854.0</v>
      </c>
      <c r="AS443" s="1">
        <v>250.0</v>
      </c>
      <c r="AT443" s="1">
        <v>220.0</v>
      </c>
      <c r="AU443" s="3">
        <v>223.0</v>
      </c>
      <c r="AV443" s="1">
        <v>120.0</v>
      </c>
      <c r="AW443" s="3">
        <v>384.0</v>
      </c>
      <c r="AX443" s="3">
        <v>114.0</v>
      </c>
      <c r="AY443" s="3">
        <v>142.0</v>
      </c>
      <c r="AZ443" s="1">
        <v>40.0</v>
      </c>
      <c r="BA443" s="1"/>
      <c r="BB443" s="3">
        <v>225.0</v>
      </c>
      <c r="BC443" s="1"/>
      <c r="BD443" s="1">
        <v>190.0</v>
      </c>
      <c r="BE443" s="1">
        <v>80.0</v>
      </c>
      <c r="BF443" s="3">
        <v>328.0</v>
      </c>
      <c r="BG443" s="1">
        <v>213.0</v>
      </c>
      <c r="BH443" s="1">
        <v>23.0</v>
      </c>
      <c r="BI443" s="1">
        <v>40.0</v>
      </c>
      <c r="BJ443" s="1">
        <v>278.0</v>
      </c>
      <c r="BK443" s="3"/>
      <c r="BL443" s="1">
        <v>160.0</v>
      </c>
      <c r="BM443" s="1">
        <v>75.0</v>
      </c>
      <c r="BN443" s="32">
        <v>1802.0</v>
      </c>
      <c r="BO443" s="1">
        <v>47.0</v>
      </c>
      <c r="BP443" s="3">
        <v>48.0</v>
      </c>
      <c r="BQ443" s="1">
        <v>188.0</v>
      </c>
      <c r="BR443" s="28">
        <v>74823.25</v>
      </c>
    </row>
    <row r="444">
      <c r="A444" s="25">
        <f>'Equity Price Data'!A445</f>
        <v>46071.66667</v>
      </c>
      <c r="B444" s="34">
        <f>(('PRACTICE Equity Price Data'!B445/'PRACTICE Equity Price Data'!B444)-1)+B443</f>
        <v>0.2969998926</v>
      </c>
      <c r="C444" s="34">
        <f>(('PRACTICE Equity Price Data'!C445/'PRACTICE Equity Price Data'!C444)-1)+C443</f>
        <v>0.3701803022</v>
      </c>
      <c r="D444" s="34">
        <f>(('PRACTICE Equity Price Data'!D445/'PRACTICE Equity Price Data'!D444)-1)+D443</f>
        <v>0.2503253929</v>
      </c>
      <c r="E444" s="34">
        <f>(('PRACTICE Equity Price Data'!E445/'PRACTICE Equity Price Data'!E444)-1)+E443</f>
        <v>0.2970120442</v>
      </c>
      <c r="F444" s="3">
        <v>13.0</v>
      </c>
      <c r="G444" s="3">
        <v>260.0</v>
      </c>
      <c r="H444" s="3">
        <v>110.0</v>
      </c>
      <c r="I444" s="3">
        <v>256.0</v>
      </c>
      <c r="J444" s="3">
        <v>83.0</v>
      </c>
      <c r="K444" s="3">
        <v>188.0</v>
      </c>
      <c r="L444" s="3">
        <v>1000.0</v>
      </c>
      <c r="M444" s="3">
        <v>102.0</v>
      </c>
      <c r="N444" s="3">
        <v>200.0</v>
      </c>
      <c r="O444" s="3">
        <v>121.0</v>
      </c>
      <c r="P444" s="3">
        <v>146.0</v>
      </c>
      <c r="Q444" s="3">
        <v>80.0</v>
      </c>
      <c r="R444" s="3">
        <v>150.0</v>
      </c>
      <c r="S444" s="3">
        <v>417.0</v>
      </c>
      <c r="T444" s="3">
        <v>120.0</v>
      </c>
      <c r="U444" s="3">
        <v>80.0</v>
      </c>
      <c r="V444" s="1">
        <v>88.0</v>
      </c>
      <c r="W444" s="1">
        <v>250.0</v>
      </c>
      <c r="X444" s="1">
        <v>264.0</v>
      </c>
      <c r="Y444" s="1">
        <v>161.0</v>
      </c>
      <c r="Z444" s="1">
        <v>69.0</v>
      </c>
      <c r="AA444" s="1"/>
      <c r="AB444" s="1">
        <v>13.0</v>
      </c>
      <c r="AC444" s="1">
        <v>150.0</v>
      </c>
      <c r="AD444" s="1">
        <v>170.0</v>
      </c>
      <c r="AE444" s="1">
        <v>60.0</v>
      </c>
      <c r="AF444" s="1">
        <v>40.0</v>
      </c>
      <c r="AG444" s="1">
        <v>45.0</v>
      </c>
      <c r="AH444" s="1"/>
      <c r="AI444" s="1">
        <v>205.0</v>
      </c>
      <c r="AJ444" s="1">
        <v>60.0</v>
      </c>
      <c r="AK444" s="1">
        <v>100.0</v>
      </c>
      <c r="AL444" s="1">
        <v>175.0</v>
      </c>
      <c r="AM444" s="1">
        <v>130.0</v>
      </c>
      <c r="AN444" s="3">
        <v>47.0</v>
      </c>
      <c r="AO444" s="3">
        <v>160.0</v>
      </c>
      <c r="AP444" s="3">
        <v>70.0</v>
      </c>
      <c r="AQ444" s="3"/>
      <c r="AR444" s="1">
        <v>854.0</v>
      </c>
      <c r="AS444" s="1">
        <v>250.0</v>
      </c>
      <c r="AT444" s="1">
        <v>220.0</v>
      </c>
      <c r="AU444" s="3">
        <v>223.0</v>
      </c>
      <c r="AV444" s="1">
        <v>120.0</v>
      </c>
      <c r="AW444" s="3">
        <v>384.0</v>
      </c>
      <c r="AX444" s="3">
        <v>114.0</v>
      </c>
      <c r="AY444" s="3">
        <v>142.0</v>
      </c>
      <c r="AZ444" s="1">
        <v>40.0</v>
      </c>
      <c r="BA444" s="1"/>
      <c r="BB444" s="3">
        <v>225.0</v>
      </c>
      <c r="BC444" s="1"/>
      <c r="BD444" s="1">
        <v>190.0</v>
      </c>
      <c r="BE444" s="1">
        <v>80.0</v>
      </c>
      <c r="BF444" s="3">
        <v>328.0</v>
      </c>
      <c r="BG444" s="1">
        <v>213.0</v>
      </c>
      <c r="BH444" s="1">
        <v>23.0</v>
      </c>
      <c r="BI444" s="1">
        <v>40.0</v>
      </c>
      <c r="BJ444" s="1">
        <v>278.0</v>
      </c>
      <c r="BK444" s="3"/>
      <c r="BL444" s="1">
        <v>160.0</v>
      </c>
      <c r="BM444" s="1">
        <v>75.0</v>
      </c>
      <c r="BN444" s="32">
        <v>1802.0</v>
      </c>
      <c r="BO444" s="1">
        <v>47.0</v>
      </c>
      <c r="BP444" s="3">
        <v>48.0</v>
      </c>
      <c r="BQ444" s="1">
        <v>188.0</v>
      </c>
      <c r="BR444" s="28">
        <v>74823.25</v>
      </c>
    </row>
    <row r="445">
      <c r="A445" s="25">
        <f>'Equity Price Data'!A446</f>
        <v>46072.66667</v>
      </c>
      <c r="B445" s="34">
        <f>(('PRACTICE Equity Price Data'!B446/'PRACTICE Equity Price Data'!B445)-1)+B444</f>
        <v>0.3039396716</v>
      </c>
      <c r="C445" s="34">
        <f>(('PRACTICE Equity Price Data'!C446/'PRACTICE Equity Price Data'!C445)-1)+C444</f>
        <v>0.3670638778</v>
      </c>
      <c r="D445" s="34">
        <f>(('PRACTICE Equity Price Data'!D446/'PRACTICE Equity Price Data'!D445)-1)+D444</f>
        <v>0.2449390523</v>
      </c>
      <c r="E445" s="34">
        <f>(('PRACTICE Equity Price Data'!E446/'PRACTICE Equity Price Data'!E445)-1)+E444</f>
        <v>0.2994494081</v>
      </c>
      <c r="F445" s="3">
        <v>13.0</v>
      </c>
      <c r="G445" s="3">
        <v>260.0</v>
      </c>
      <c r="H445" s="3">
        <v>110.0</v>
      </c>
      <c r="I445" s="3">
        <v>256.0</v>
      </c>
      <c r="J445" s="3">
        <v>83.0</v>
      </c>
      <c r="K445" s="3">
        <v>188.0</v>
      </c>
      <c r="L445" s="3">
        <v>1000.0</v>
      </c>
      <c r="M445" s="3">
        <v>102.0</v>
      </c>
      <c r="N445" s="3">
        <v>200.0</v>
      </c>
      <c r="O445" s="3">
        <v>121.0</v>
      </c>
      <c r="P445" s="3">
        <v>146.0</v>
      </c>
      <c r="Q445" s="3">
        <v>80.0</v>
      </c>
      <c r="R445" s="3">
        <v>150.0</v>
      </c>
      <c r="S445" s="3">
        <v>417.0</v>
      </c>
      <c r="T445" s="3">
        <v>120.0</v>
      </c>
      <c r="U445" s="3">
        <v>80.0</v>
      </c>
      <c r="V445" s="1">
        <v>88.0</v>
      </c>
      <c r="W445" s="1">
        <v>250.0</v>
      </c>
      <c r="X445" s="1">
        <v>264.0</v>
      </c>
      <c r="Y445" s="1">
        <v>161.0</v>
      </c>
      <c r="Z445" s="1">
        <v>69.0</v>
      </c>
      <c r="AA445" s="1"/>
      <c r="AB445" s="1">
        <v>13.0</v>
      </c>
      <c r="AC445" s="1">
        <v>150.0</v>
      </c>
      <c r="AD445" s="1">
        <v>170.0</v>
      </c>
      <c r="AE445" s="1">
        <v>60.0</v>
      </c>
      <c r="AF445" s="1">
        <v>40.0</v>
      </c>
      <c r="AG445" s="1">
        <v>45.0</v>
      </c>
      <c r="AH445" s="1"/>
      <c r="AI445" s="1">
        <v>205.0</v>
      </c>
      <c r="AJ445" s="1">
        <v>60.0</v>
      </c>
      <c r="AK445" s="1">
        <v>100.0</v>
      </c>
      <c r="AL445" s="1">
        <v>175.0</v>
      </c>
      <c r="AM445" s="1">
        <v>130.0</v>
      </c>
      <c r="AN445" s="3">
        <v>47.0</v>
      </c>
      <c r="AO445" s="3">
        <v>160.0</v>
      </c>
      <c r="AP445" s="3">
        <v>70.0</v>
      </c>
      <c r="AQ445" s="3"/>
      <c r="AR445" s="1">
        <v>854.0</v>
      </c>
      <c r="AS445" s="1">
        <v>250.0</v>
      </c>
      <c r="AT445" s="1">
        <v>220.0</v>
      </c>
      <c r="AU445" s="3">
        <v>223.0</v>
      </c>
      <c r="AV445" s="1">
        <v>120.0</v>
      </c>
      <c r="AW445" s="3">
        <v>384.0</v>
      </c>
      <c r="AX445" s="3">
        <v>114.0</v>
      </c>
      <c r="AY445" s="3">
        <v>142.0</v>
      </c>
      <c r="AZ445" s="1">
        <v>40.0</v>
      </c>
      <c r="BA445" s="1"/>
      <c r="BB445" s="3">
        <v>225.0</v>
      </c>
      <c r="BC445" s="1"/>
      <c r="BD445" s="1">
        <v>190.0</v>
      </c>
      <c r="BE445" s="1">
        <v>80.0</v>
      </c>
      <c r="BF445" s="3">
        <v>328.0</v>
      </c>
      <c r="BG445" s="1">
        <v>213.0</v>
      </c>
      <c r="BH445" s="1">
        <v>23.0</v>
      </c>
      <c r="BI445" s="1">
        <v>40.0</v>
      </c>
      <c r="BJ445" s="1">
        <v>278.0</v>
      </c>
      <c r="BK445" s="3"/>
      <c r="BL445" s="1">
        <v>160.0</v>
      </c>
      <c r="BM445" s="1">
        <v>75.0</v>
      </c>
      <c r="BN445" s="32">
        <v>1802.0</v>
      </c>
      <c r="BO445" s="1">
        <v>47.0</v>
      </c>
      <c r="BP445" s="3">
        <v>48.0</v>
      </c>
      <c r="BQ445" s="1">
        <v>188.0</v>
      </c>
      <c r="BR445" s="28">
        <v>74823.25</v>
      </c>
    </row>
    <row r="446">
      <c r="A446" s="25">
        <f>'Equity Price Data'!A447</f>
        <v>46073.66667</v>
      </c>
      <c r="B446" s="34">
        <f>(('PRACTICE Equity Price Data'!B447/'PRACTICE Equity Price Data'!B446)-1)+B445</f>
        <v>0.2935539858</v>
      </c>
      <c r="C446" s="34">
        <f>(('PRACTICE Equity Price Data'!C447/'PRACTICE Equity Price Data'!C446)-1)+C445</f>
        <v>0.3760284072</v>
      </c>
      <c r="D446" s="34">
        <f>(('PRACTICE Equity Price Data'!D447/'PRACTICE Equity Price Data'!D446)-1)+D445</f>
        <v>0.2496117774</v>
      </c>
      <c r="E446" s="34">
        <f>(('PRACTICE Equity Price Data'!E447/'PRACTICE Equity Price Data'!E446)-1)+E445</f>
        <v>0.2989578675</v>
      </c>
      <c r="F446" s="3">
        <v>13.0</v>
      </c>
      <c r="G446" s="3">
        <v>260.0</v>
      </c>
      <c r="H446" s="3">
        <v>110.0</v>
      </c>
      <c r="I446" s="3">
        <v>256.0</v>
      </c>
      <c r="J446" s="3">
        <v>83.0</v>
      </c>
      <c r="K446" s="3">
        <v>188.0</v>
      </c>
      <c r="L446" s="3">
        <v>1000.0</v>
      </c>
      <c r="M446" s="3">
        <v>102.0</v>
      </c>
      <c r="N446" s="3">
        <v>200.0</v>
      </c>
      <c r="O446" s="3">
        <v>121.0</v>
      </c>
      <c r="P446" s="3">
        <v>146.0</v>
      </c>
      <c r="Q446" s="3">
        <v>80.0</v>
      </c>
      <c r="R446" s="3">
        <v>150.0</v>
      </c>
      <c r="S446" s="3">
        <v>417.0</v>
      </c>
      <c r="T446" s="3">
        <v>120.0</v>
      </c>
      <c r="U446" s="3">
        <v>80.0</v>
      </c>
      <c r="V446" s="1">
        <v>88.0</v>
      </c>
      <c r="W446" s="1">
        <v>250.0</v>
      </c>
      <c r="X446" s="1">
        <v>264.0</v>
      </c>
      <c r="Y446" s="1">
        <v>161.0</v>
      </c>
      <c r="Z446" s="1">
        <v>69.0</v>
      </c>
      <c r="AA446" s="1"/>
      <c r="AB446" s="1">
        <v>13.0</v>
      </c>
      <c r="AC446" s="1">
        <v>150.0</v>
      </c>
      <c r="AD446" s="1">
        <v>170.0</v>
      </c>
      <c r="AE446" s="1">
        <v>60.0</v>
      </c>
      <c r="AF446" s="1">
        <v>40.0</v>
      </c>
      <c r="AG446" s="1">
        <v>45.0</v>
      </c>
      <c r="AH446" s="1"/>
      <c r="AI446" s="1">
        <v>205.0</v>
      </c>
      <c r="AJ446" s="1">
        <v>60.0</v>
      </c>
      <c r="AK446" s="1">
        <v>100.0</v>
      </c>
      <c r="AL446" s="1">
        <v>175.0</v>
      </c>
      <c r="AM446" s="1">
        <v>130.0</v>
      </c>
      <c r="AN446" s="3">
        <v>47.0</v>
      </c>
      <c r="AO446" s="3">
        <v>160.0</v>
      </c>
      <c r="AP446" s="3">
        <v>70.0</v>
      </c>
      <c r="AQ446" s="3"/>
      <c r="AR446" s="1">
        <v>854.0</v>
      </c>
      <c r="AS446" s="1">
        <v>250.0</v>
      </c>
      <c r="AT446" s="1">
        <v>220.0</v>
      </c>
      <c r="AU446" s="3">
        <v>223.0</v>
      </c>
      <c r="AV446" s="1">
        <v>120.0</v>
      </c>
      <c r="AW446" s="3">
        <v>384.0</v>
      </c>
      <c r="AX446" s="3">
        <v>114.0</v>
      </c>
      <c r="AY446" s="3">
        <v>142.0</v>
      </c>
      <c r="AZ446" s="1">
        <v>40.0</v>
      </c>
      <c r="BA446" s="1"/>
      <c r="BB446" s="3">
        <v>225.0</v>
      </c>
      <c r="BC446" s="1"/>
      <c r="BD446" s="1">
        <v>190.0</v>
      </c>
      <c r="BE446" s="1">
        <v>80.0</v>
      </c>
      <c r="BF446" s="3">
        <v>328.0</v>
      </c>
      <c r="BG446" s="1">
        <v>213.0</v>
      </c>
      <c r="BH446" s="1">
        <v>23.0</v>
      </c>
      <c r="BI446" s="1">
        <v>40.0</v>
      </c>
      <c r="BJ446" s="1">
        <v>278.0</v>
      </c>
      <c r="BK446" s="3"/>
      <c r="BL446" s="1">
        <v>160.0</v>
      </c>
      <c r="BM446" s="1">
        <v>75.0</v>
      </c>
      <c r="BN446" s="32">
        <v>1802.0</v>
      </c>
      <c r="BO446" s="1">
        <v>47.0</v>
      </c>
      <c r="BP446" s="3">
        <v>48.0</v>
      </c>
      <c r="BQ446" s="1">
        <v>188.0</v>
      </c>
      <c r="BR446" s="28">
        <v>74823.25</v>
      </c>
    </row>
    <row r="447">
      <c r="A447" s="25">
        <f>'Equity Price Data'!A448</f>
        <v>46076.66667</v>
      </c>
      <c r="B447" s="34">
        <f>(('PRACTICE Equity Price Data'!B448/'PRACTICE Equity Price Data'!B447)-1)+B446</f>
        <v>-0.7064460142</v>
      </c>
      <c r="C447" s="34">
        <f>(('PRACTICE Equity Price Data'!C448/'PRACTICE Equity Price Data'!C447)-1)+C446</f>
        <v>0.3647202184</v>
      </c>
      <c r="D447" s="34">
        <f>(('PRACTICE Equity Price Data'!D448/'PRACTICE Equity Price Data'!D447)-1)+D446</f>
        <v>0.233049683</v>
      </c>
      <c r="E447" s="34">
        <f>(('PRACTICE Equity Price Data'!E448/'PRACTICE Equity Price Data'!E447)-1)+E446</f>
        <v>0.2828942286</v>
      </c>
      <c r="F447" s="3">
        <v>13.0</v>
      </c>
      <c r="G447" s="3">
        <v>260.0</v>
      </c>
      <c r="H447" s="3">
        <v>110.0</v>
      </c>
      <c r="I447" s="3">
        <v>256.0</v>
      </c>
      <c r="J447" s="3">
        <v>83.0</v>
      </c>
      <c r="K447" s="3">
        <v>188.0</v>
      </c>
      <c r="L447" s="3">
        <v>1000.0</v>
      </c>
      <c r="M447" s="3">
        <v>102.0</v>
      </c>
      <c r="N447" s="3">
        <v>200.0</v>
      </c>
      <c r="O447" s="3">
        <v>121.0</v>
      </c>
      <c r="P447" s="3">
        <v>146.0</v>
      </c>
      <c r="Q447" s="3">
        <v>80.0</v>
      </c>
      <c r="R447" s="3">
        <v>150.0</v>
      </c>
      <c r="S447" s="3">
        <v>417.0</v>
      </c>
      <c r="T447" s="3">
        <v>120.0</v>
      </c>
      <c r="U447" s="3">
        <v>80.0</v>
      </c>
      <c r="V447" s="1">
        <v>88.0</v>
      </c>
      <c r="W447" s="1">
        <v>250.0</v>
      </c>
      <c r="X447" s="1">
        <v>264.0</v>
      </c>
      <c r="Y447" s="1">
        <v>161.0</v>
      </c>
      <c r="Z447" s="1">
        <v>69.0</v>
      </c>
      <c r="AA447" s="1"/>
      <c r="AB447" s="1">
        <v>13.0</v>
      </c>
      <c r="AC447" s="1">
        <v>150.0</v>
      </c>
      <c r="AD447" s="1">
        <v>170.0</v>
      </c>
      <c r="AE447" s="1">
        <v>60.0</v>
      </c>
      <c r="AF447" s="1">
        <v>40.0</v>
      </c>
      <c r="AG447" s="1">
        <v>45.0</v>
      </c>
      <c r="AH447" s="1"/>
      <c r="AI447" s="1">
        <v>205.0</v>
      </c>
      <c r="AJ447" s="1">
        <v>60.0</v>
      </c>
      <c r="AK447" s="1">
        <v>100.0</v>
      </c>
      <c r="AL447" s="1">
        <v>175.0</v>
      </c>
      <c r="AM447" s="1">
        <v>130.0</v>
      </c>
      <c r="AN447" s="3">
        <v>47.0</v>
      </c>
      <c r="AO447" s="3">
        <v>160.0</v>
      </c>
      <c r="AP447" s="3">
        <v>70.0</v>
      </c>
      <c r="AQ447" s="3"/>
      <c r="AR447" s="1">
        <v>854.0</v>
      </c>
      <c r="AS447" s="1">
        <v>250.0</v>
      </c>
      <c r="AT447" s="1">
        <v>220.0</v>
      </c>
      <c r="AU447" s="3">
        <v>223.0</v>
      </c>
      <c r="AV447" s="1">
        <v>120.0</v>
      </c>
      <c r="AW447" s="3">
        <v>384.0</v>
      </c>
      <c r="AX447" s="3">
        <v>114.0</v>
      </c>
      <c r="AY447" s="3">
        <v>142.0</v>
      </c>
      <c r="AZ447" s="1">
        <v>40.0</v>
      </c>
      <c r="BA447" s="1"/>
      <c r="BB447" s="3">
        <v>225.0</v>
      </c>
      <c r="BC447" s="1"/>
      <c r="BD447" s="1">
        <v>190.0</v>
      </c>
      <c r="BE447" s="1">
        <v>80.0</v>
      </c>
      <c r="BF447" s="3">
        <v>328.0</v>
      </c>
      <c r="BG447" s="1">
        <v>213.0</v>
      </c>
      <c r="BH447" s="1">
        <v>23.0</v>
      </c>
      <c r="BI447" s="1">
        <v>40.0</v>
      </c>
      <c r="BJ447" s="1">
        <v>278.0</v>
      </c>
      <c r="BK447" s="3"/>
      <c r="BL447" s="1">
        <v>160.0</v>
      </c>
      <c r="BM447" s="1">
        <v>75.0</v>
      </c>
      <c r="BN447" s="32">
        <v>1802.0</v>
      </c>
      <c r="BO447" s="1">
        <v>47.0</v>
      </c>
      <c r="BP447" s="3">
        <v>48.0</v>
      </c>
      <c r="BQ447" s="1">
        <v>188.0</v>
      </c>
      <c r="BR447" s="28">
        <v>74823.25</v>
      </c>
    </row>
    <row r="448">
      <c r="A448" s="25">
        <f>'Equity Price Data'!A449</f>
        <v>46077.66667</v>
      </c>
      <c r="B448" s="34" t="str">
        <f>(('PRACTICE Equity Price Data'!B449/'PRACTICE Equity Price Data'!B448)-1)+B447</f>
        <v>#DIV/0!</v>
      </c>
      <c r="C448" s="34">
        <f>(('PRACTICE Equity Price Data'!C449/'PRACTICE Equity Price Data'!C448)-1)+C447</f>
        <v>0.3751682309</v>
      </c>
      <c r="D448" s="34">
        <f>(('PRACTICE Equity Price Data'!D449/'PRACTICE Equity Price Data'!D448)-1)+D447</f>
        <v>-0.766950317</v>
      </c>
      <c r="E448" s="34">
        <f>(('PRACTICE Equity Price Data'!E449/'PRACTICE Equity Price Data'!E448)-1)+E447</f>
        <v>0.2948515424</v>
      </c>
      <c r="F448" s="3">
        <v>13.0</v>
      </c>
      <c r="G448" s="3">
        <v>260.0</v>
      </c>
      <c r="H448" s="3">
        <v>110.0</v>
      </c>
      <c r="I448" s="3">
        <v>256.0</v>
      </c>
      <c r="J448" s="3">
        <v>83.0</v>
      </c>
      <c r="K448" s="3">
        <v>188.0</v>
      </c>
      <c r="L448" s="3">
        <v>1000.0</v>
      </c>
      <c r="M448" s="3">
        <v>102.0</v>
      </c>
      <c r="N448" s="3">
        <v>200.0</v>
      </c>
      <c r="O448" s="3">
        <v>121.0</v>
      </c>
      <c r="P448" s="3">
        <v>146.0</v>
      </c>
      <c r="Q448" s="3">
        <v>80.0</v>
      </c>
      <c r="R448" s="3">
        <v>150.0</v>
      </c>
      <c r="S448" s="3">
        <v>417.0</v>
      </c>
      <c r="T448" s="3">
        <v>120.0</v>
      </c>
      <c r="U448" s="3">
        <v>80.0</v>
      </c>
      <c r="V448" s="1">
        <v>88.0</v>
      </c>
      <c r="W448" s="1">
        <v>250.0</v>
      </c>
      <c r="X448" s="1">
        <v>264.0</v>
      </c>
      <c r="Y448" s="1">
        <v>161.0</v>
      </c>
      <c r="Z448" s="1">
        <v>69.0</v>
      </c>
      <c r="AA448" s="1"/>
      <c r="AB448" s="1">
        <v>13.0</v>
      </c>
      <c r="AC448" s="1">
        <v>150.0</v>
      </c>
      <c r="AD448" s="1">
        <v>170.0</v>
      </c>
      <c r="AE448" s="1">
        <v>60.0</v>
      </c>
      <c r="AF448" s="1">
        <v>40.0</v>
      </c>
      <c r="AG448" s="1">
        <v>45.0</v>
      </c>
      <c r="AH448" s="1"/>
      <c r="AI448" s="1">
        <v>205.0</v>
      </c>
      <c r="AJ448" s="1">
        <v>60.0</v>
      </c>
      <c r="AK448" s="1">
        <v>100.0</v>
      </c>
      <c r="AL448" s="1">
        <v>175.0</v>
      </c>
      <c r="AM448" s="1">
        <v>130.0</v>
      </c>
      <c r="AN448" s="3">
        <v>47.0</v>
      </c>
      <c r="AO448" s="3">
        <v>160.0</v>
      </c>
      <c r="AP448" s="3">
        <v>70.0</v>
      </c>
      <c r="AQ448" s="3"/>
      <c r="AR448" s="1">
        <v>854.0</v>
      </c>
      <c r="AS448" s="1">
        <v>250.0</v>
      </c>
      <c r="AT448" s="1">
        <v>220.0</v>
      </c>
      <c r="AU448" s="3">
        <v>223.0</v>
      </c>
      <c r="AV448" s="1">
        <v>120.0</v>
      </c>
      <c r="AW448" s="3">
        <v>384.0</v>
      </c>
      <c r="AX448" s="3">
        <v>114.0</v>
      </c>
      <c r="AY448" s="3">
        <v>142.0</v>
      </c>
      <c r="AZ448" s="1">
        <v>40.0</v>
      </c>
      <c r="BA448" s="1"/>
      <c r="BB448" s="3">
        <v>225.0</v>
      </c>
      <c r="BC448" s="1"/>
      <c r="BD448" s="1">
        <v>190.0</v>
      </c>
      <c r="BE448" s="1">
        <v>80.0</v>
      </c>
      <c r="BF448" s="3">
        <v>328.0</v>
      </c>
      <c r="BG448" s="1">
        <v>213.0</v>
      </c>
      <c r="BH448" s="1">
        <v>23.0</v>
      </c>
      <c r="BI448" s="1">
        <v>40.0</v>
      </c>
      <c r="BJ448" s="1">
        <v>278.0</v>
      </c>
      <c r="BK448" s="3"/>
      <c r="BL448" s="1">
        <v>160.0</v>
      </c>
      <c r="BM448" s="1">
        <v>75.0</v>
      </c>
      <c r="BN448" s="32">
        <v>1802.0</v>
      </c>
      <c r="BO448" s="1">
        <v>47.0</v>
      </c>
      <c r="BP448" s="3">
        <v>48.0</v>
      </c>
      <c r="BQ448" s="1">
        <v>188.0</v>
      </c>
      <c r="BR448" s="28">
        <v>74823.25</v>
      </c>
    </row>
    <row r="449">
      <c r="A449" s="25" t="str">
        <f>'Equity Price Data'!A450</f>
        <v/>
      </c>
      <c r="B449" s="34" t="str">
        <f>(('PRACTICE Equity Price Data'!B450/'PRACTICE Equity Price Data'!B449)-1)+B448</f>
        <v>#DIV/0!</v>
      </c>
      <c r="C449" s="34">
        <f>(('PRACTICE Equity Price Data'!C450/'PRACTICE Equity Price Data'!C449)-1)+C448</f>
        <v>-0.6248317691</v>
      </c>
      <c r="D449" s="34" t="str">
        <f>(('PRACTICE Equity Price Data'!D450/'PRACTICE Equity Price Data'!D449)-1)+D448</f>
        <v>#DIV/0!</v>
      </c>
      <c r="E449" s="34">
        <f>(('PRACTICE Equity Price Data'!E450/'PRACTICE Equity Price Data'!E449)-1)+E448</f>
        <v>-0.7051484576</v>
      </c>
      <c r="F449" s="3">
        <v>13.0</v>
      </c>
      <c r="G449" s="3">
        <v>260.0</v>
      </c>
      <c r="H449" s="3">
        <v>110.0</v>
      </c>
      <c r="I449" s="3">
        <v>256.0</v>
      </c>
      <c r="J449" s="3">
        <v>83.0</v>
      </c>
      <c r="K449" s="3">
        <v>188.0</v>
      </c>
      <c r="L449" s="3">
        <v>1000.0</v>
      </c>
      <c r="M449" s="3">
        <v>102.0</v>
      </c>
      <c r="N449" s="3">
        <v>200.0</v>
      </c>
      <c r="O449" s="3">
        <v>121.0</v>
      </c>
      <c r="P449" s="3">
        <v>146.0</v>
      </c>
      <c r="Q449" s="3">
        <v>80.0</v>
      </c>
      <c r="R449" s="3">
        <v>150.0</v>
      </c>
      <c r="S449" s="3">
        <v>417.0</v>
      </c>
      <c r="T449" s="3">
        <v>120.0</v>
      </c>
      <c r="U449" s="3">
        <v>80.0</v>
      </c>
      <c r="V449" s="1">
        <v>88.0</v>
      </c>
      <c r="W449" s="1">
        <v>250.0</v>
      </c>
      <c r="X449" s="1">
        <v>264.0</v>
      </c>
      <c r="Y449" s="1">
        <v>161.0</v>
      </c>
      <c r="Z449" s="1">
        <v>69.0</v>
      </c>
      <c r="AA449" s="1"/>
      <c r="AB449" s="1">
        <v>13.0</v>
      </c>
      <c r="AC449" s="1">
        <v>150.0</v>
      </c>
      <c r="AD449" s="1">
        <v>170.0</v>
      </c>
      <c r="AE449" s="1">
        <v>60.0</v>
      </c>
      <c r="AF449" s="1">
        <v>40.0</v>
      </c>
      <c r="AG449" s="1">
        <v>45.0</v>
      </c>
      <c r="AH449" s="1"/>
      <c r="AI449" s="1">
        <v>205.0</v>
      </c>
      <c r="AJ449" s="1">
        <v>60.0</v>
      </c>
      <c r="AK449" s="1">
        <v>100.0</v>
      </c>
      <c r="AL449" s="1">
        <v>175.0</v>
      </c>
      <c r="AM449" s="1">
        <v>130.0</v>
      </c>
      <c r="AN449" s="3">
        <v>47.0</v>
      </c>
      <c r="AO449" s="3">
        <v>160.0</v>
      </c>
      <c r="AP449" s="3">
        <v>70.0</v>
      </c>
      <c r="AQ449" s="3"/>
      <c r="AR449" s="1">
        <v>854.0</v>
      </c>
      <c r="AS449" s="1">
        <v>250.0</v>
      </c>
      <c r="AT449" s="1">
        <v>220.0</v>
      </c>
      <c r="AU449" s="3">
        <v>223.0</v>
      </c>
      <c r="AV449" s="1">
        <v>120.0</v>
      </c>
      <c r="AW449" s="3">
        <v>384.0</v>
      </c>
      <c r="AX449" s="3">
        <v>114.0</v>
      </c>
      <c r="AY449" s="3">
        <v>142.0</v>
      </c>
      <c r="AZ449" s="1">
        <v>40.0</v>
      </c>
      <c r="BA449" s="1"/>
      <c r="BB449" s="3">
        <v>225.0</v>
      </c>
      <c r="BC449" s="1"/>
      <c r="BD449" s="1">
        <v>190.0</v>
      </c>
      <c r="BE449" s="1">
        <v>80.0</v>
      </c>
      <c r="BF449" s="3">
        <v>328.0</v>
      </c>
      <c r="BG449" s="1">
        <v>213.0</v>
      </c>
      <c r="BH449" s="1">
        <v>23.0</v>
      </c>
      <c r="BI449" s="1">
        <v>40.0</v>
      </c>
      <c r="BJ449" s="1">
        <v>278.0</v>
      </c>
      <c r="BK449" s="3"/>
      <c r="BL449" s="1">
        <v>160.0</v>
      </c>
      <c r="BM449" s="1">
        <v>75.0</v>
      </c>
      <c r="BN449" s="32">
        <v>1802.0</v>
      </c>
      <c r="BO449" s="1">
        <v>47.0</v>
      </c>
      <c r="BP449" s="3">
        <v>48.0</v>
      </c>
      <c r="BQ449" s="1">
        <v>188.0</v>
      </c>
      <c r="BR449" s="28">
        <v>74823.25</v>
      </c>
    </row>
    <row r="450">
      <c r="A450" s="25" t="str">
        <f>'Equity Price Data'!A451</f>
        <v/>
      </c>
      <c r="B450" s="34" t="str">
        <f>(('PRACTICE Equity Price Data'!B451/'PRACTICE Equity Price Data'!B450)-1)+B449</f>
        <v>#DIV/0!</v>
      </c>
      <c r="C450" s="34" t="str">
        <f>(('PRACTICE Equity Price Data'!C451/'PRACTICE Equity Price Data'!C450)-1)+C449</f>
        <v>#DIV/0!</v>
      </c>
      <c r="D450" s="34" t="str">
        <f>(('PRACTICE Equity Price Data'!D451/'PRACTICE Equity Price Data'!D450)-1)+D449</f>
        <v>#DIV/0!</v>
      </c>
      <c r="E450" s="34" t="str">
        <f>(('PRACTICE Equity Price Data'!E451/'PRACTICE Equity Price Data'!E450)-1)+E449</f>
        <v>#DIV/0!</v>
      </c>
      <c r="F450" s="3">
        <v>13.0</v>
      </c>
      <c r="G450" s="3">
        <v>260.0</v>
      </c>
      <c r="H450" s="3">
        <v>110.0</v>
      </c>
      <c r="I450" s="3">
        <v>256.0</v>
      </c>
      <c r="J450" s="3">
        <v>83.0</v>
      </c>
      <c r="K450" s="3">
        <v>188.0</v>
      </c>
      <c r="L450" s="3">
        <v>1000.0</v>
      </c>
      <c r="M450" s="3">
        <v>102.0</v>
      </c>
      <c r="N450" s="3">
        <v>200.0</v>
      </c>
      <c r="O450" s="3">
        <v>121.0</v>
      </c>
      <c r="P450" s="3">
        <v>146.0</v>
      </c>
      <c r="Q450" s="3">
        <v>80.0</v>
      </c>
      <c r="R450" s="3">
        <v>150.0</v>
      </c>
      <c r="S450" s="3">
        <v>417.0</v>
      </c>
      <c r="T450" s="3">
        <v>120.0</v>
      </c>
      <c r="U450" s="3">
        <v>80.0</v>
      </c>
      <c r="V450" s="1">
        <v>88.0</v>
      </c>
      <c r="W450" s="1">
        <v>250.0</v>
      </c>
      <c r="X450" s="1">
        <v>264.0</v>
      </c>
      <c r="Y450" s="1">
        <v>161.0</v>
      </c>
      <c r="Z450" s="1">
        <v>69.0</v>
      </c>
      <c r="AA450" s="1"/>
      <c r="AB450" s="1">
        <v>13.0</v>
      </c>
      <c r="AC450" s="1">
        <v>150.0</v>
      </c>
      <c r="AD450" s="1">
        <v>170.0</v>
      </c>
      <c r="AE450" s="1">
        <v>60.0</v>
      </c>
      <c r="AF450" s="1">
        <v>40.0</v>
      </c>
      <c r="AG450" s="1">
        <v>45.0</v>
      </c>
      <c r="AH450" s="1"/>
      <c r="AI450" s="1">
        <v>205.0</v>
      </c>
      <c r="AJ450" s="1">
        <v>60.0</v>
      </c>
      <c r="AK450" s="1">
        <v>100.0</v>
      </c>
      <c r="AL450" s="1">
        <v>175.0</v>
      </c>
      <c r="AM450" s="1">
        <v>130.0</v>
      </c>
      <c r="AN450" s="3">
        <v>47.0</v>
      </c>
      <c r="AO450" s="3">
        <v>160.0</v>
      </c>
      <c r="AP450" s="3">
        <v>70.0</v>
      </c>
      <c r="AQ450" s="3"/>
      <c r="AR450" s="1">
        <v>854.0</v>
      </c>
      <c r="AS450" s="1">
        <v>250.0</v>
      </c>
      <c r="AT450" s="1">
        <v>220.0</v>
      </c>
      <c r="AU450" s="3">
        <v>223.0</v>
      </c>
      <c r="AV450" s="1">
        <v>120.0</v>
      </c>
      <c r="AW450" s="3">
        <v>384.0</v>
      </c>
      <c r="AX450" s="3">
        <v>114.0</v>
      </c>
      <c r="AY450" s="3">
        <v>142.0</v>
      </c>
      <c r="AZ450" s="1">
        <v>40.0</v>
      </c>
      <c r="BA450" s="1"/>
      <c r="BB450" s="3">
        <v>225.0</v>
      </c>
      <c r="BC450" s="1"/>
      <c r="BD450" s="1">
        <v>190.0</v>
      </c>
      <c r="BE450" s="1">
        <v>80.0</v>
      </c>
      <c r="BF450" s="3">
        <v>328.0</v>
      </c>
      <c r="BG450" s="1">
        <v>213.0</v>
      </c>
      <c r="BH450" s="1">
        <v>23.0</v>
      </c>
      <c r="BI450" s="1">
        <v>40.0</v>
      </c>
      <c r="BJ450" s="1">
        <v>278.0</v>
      </c>
      <c r="BK450" s="3"/>
      <c r="BL450" s="1">
        <v>160.0</v>
      </c>
      <c r="BM450" s="1">
        <v>75.0</v>
      </c>
      <c r="BN450" s="32">
        <v>1802.0</v>
      </c>
      <c r="BO450" s="1">
        <v>47.0</v>
      </c>
      <c r="BP450" s="3">
        <v>48.0</v>
      </c>
      <c r="BQ450" s="1">
        <v>188.0</v>
      </c>
      <c r="BR450" s="28">
        <v>74823.25</v>
      </c>
    </row>
    <row r="451">
      <c r="A451" s="25" t="str">
        <f>'Equity Price Data'!A452</f>
        <v/>
      </c>
      <c r="B451" s="34" t="str">
        <f>(('PRACTICE Equity Price Data'!B452/'PRACTICE Equity Price Data'!B451)-1)+B450</f>
        <v>#DIV/0!</v>
      </c>
      <c r="C451" s="34" t="str">
        <f>(('PRACTICE Equity Price Data'!C452/'PRACTICE Equity Price Data'!C451)-1)+C450</f>
        <v>#DIV/0!</v>
      </c>
      <c r="D451" s="34" t="str">
        <f>(('PRACTICE Equity Price Data'!D452/'PRACTICE Equity Price Data'!D451)-1)+D450</f>
        <v>#DIV/0!</v>
      </c>
      <c r="E451" s="34" t="str">
        <f>(('PRACTICE Equity Price Data'!E452/'PRACTICE Equity Price Data'!E451)-1)+E450</f>
        <v>#DIV/0!</v>
      </c>
      <c r="F451" s="3">
        <v>13.0</v>
      </c>
      <c r="G451" s="3">
        <v>260.0</v>
      </c>
      <c r="H451" s="3">
        <v>110.0</v>
      </c>
      <c r="I451" s="3">
        <v>256.0</v>
      </c>
      <c r="J451" s="3">
        <v>83.0</v>
      </c>
      <c r="K451" s="3">
        <v>188.0</v>
      </c>
      <c r="L451" s="3">
        <v>1000.0</v>
      </c>
      <c r="M451" s="3">
        <v>102.0</v>
      </c>
      <c r="N451" s="3">
        <v>200.0</v>
      </c>
      <c r="O451" s="3">
        <v>121.0</v>
      </c>
      <c r="P451" s="3">
        <v>146.0</v>
      </c>
      <c r="Q451" s="3">
        <v>80.0</v>
      </c>
      <c r="R451" s="3">
        <v>150.0</v>
      </c>
      <c r="S451" s="3">
        <v>417.0</v>
      </c>
      <c r="T451" s="3">
        <v>120.0</v>
      </c>
      <c r="U451" s="3">
        <v>80.0</v>
      </c>
      <c r="V451" s="1">
        <v>88.0</v>
      </c>
      <c r="W451" s="1">
        <v>250.0</v>
      </c>
      <c r="X451" s="1">
        <v>264.0</v>
      </c>
      <c r="Y451" s="1">
        <v>161.0</v>
      </c>
      <c r="Z451" s="1">
        <v>69.0</v>
      </c>
      <c r="AA451" s="1"/>
      <c r="AB451" s="1">
        <v>13.0</v>
      </c>
      <c r="AC451" s="1">
        <v>150.0</v>
      </c>
      <c r="AD451" s="1">
        <v>170.0</v>
      </c>
      <c r="AE451" s="1">
        <v>60.0</v>
      </c>
      <c r="AF451" s="1">
        <v>40.0</v>
      </c>
      <c r="AG451" s="1">
        <v>45.0</v>
      </c>
      <c r="AH451" s="1"/>
      <c r="AI451" s="1">
        <v>205.0</v>
      </c>
      <c r="AJ451" s="1">
        <v>60.0</v>
      </c>
      <c r="AK451" s="1">
        <v>100.0</v>
      </c>
      <c r="AL451" s="1">
        <v>175.0</v>
      </c>
      <c r="AM451" s="1">
        <v>130.0</v>
      </c>
      <c r="AN451" s="3">
        <v>47.0</v>
      </c>
      <c r="AO451" s="3">
        <v>160.0</v>
      </c>
      <c r="AP451" s="3">
        <v>70.0</v>
      </c>
      <c r="AQ451" s="3"/>
      <c r="AR451" s="1">
        <v>854.0</v>
      </c>
      <c r="AS451" s="1">
        <v>250.0</v>
      </c>
      <c r="AT451" s="1">
        <v>220.0</v>
      </c>
      <c r="AU451" s="3">
        <v>223.0</v>
      </c>
      <c r="AV451" s="1">
        <v>120.0</v>
      </c>
      <c r="AW451" s="3">
        <v>384.0</v>
      </c>
      <c r="AX451" s="3">
        <v>114.0</v>
      </c>
      <c r="AY451" s="3">
        <v>142.0</v>
      </c>
      <c r="AZ451" s="1">
        <v>40.0</v>
      </c>
      <c r="BA451" s="1"/>
      <c r="BB451" s="3">
        <v>225.0</v>
      </c>
      <c r="BC451" s="1"/>
      <c r="BD451" s="1">
        <v>190.0</v>
      </c>
      <c r="BE451" s="1">
        <v>80.0</v>
      </c>
      <c r="BF451" s="3">
        <v>328.0</v>
      </c>
      <c r="BG451" s="1">
        <v>213.0</v>
      </c>
      <c r="BH451" s="1">
        <v>23.0</v>
      </c>
      <c r="BI451" s="1">
        <v>40.0</v>
      </c>
      <c r="BJ451" s="1">
        <v>278.0</v>
      </c>
      <c r="BK451" s="3"/>
      <c r="BL451" s="1">
        <v>160.0</v>
      </c>
      <c r="BM451" s="1">
        <v>75.0</v>
      </c>
      <c r="BN451" s="32">
        <v>1802.0</v>
      </c>
      <c r="BO451" s="1">
        <v>47.0</v>
      </c>
      <c r="BP451" s="3">
        <v>48.0</v>
      </c>
      <c r="BQ451" s="1">
        <v>188.0</v>
      </c>
      <c r="BR451" s="28">
        <v>74823.25</v>
      </c>
    </row>
    <row r="452">
      <c r="A452" s="25" t="str">
        <f>'Equity Price Data'!A453</f>
        <v/>
      </c>
      <c r="B452" s="34" t="str">
        <f>(('PRACTICE Equity Price Data'!B453/'PRACTICE Equity Price Data'!B452)-1)+B451</f>
        <v>#DIV/0!</v>
      </c>
      <c r="C452" s="34" t="str">
        <f>(('PRACTICE Equity Price Data'!C453/'PRACTICE Equity Price Data'!C452)-1)+C451</f>
        <v>#DIV/0!</v>
      </c>
      <c r="D452" s="34" t="str">
        <f>(('PRACTICE Equity Price Data'!D453/'PRACTICE Equity Price Data'!D452)-1)+D451</f>
        <v>#DIV/0!</v>
      </c>
      <c r="E452" s="34" t="str">
        <f>(('PRACTICE Equity Price Data'!E453/'PRACTICE Equity Price Data'!E452)-1)+E451</f>
        <v>#DIV/0!</v>
      </c>
      <c r="F452" s="3">
        <v>13.0</v>
      </c>
      <c r="G452" s="3">
        <v>260.0</v>
      </c>
      <c r="H452" s="3">
        <v>110.0</v>
      </c>
      <c r="I452" s="3">
        <v>256.0</v>
      </c>
      <c r="J452" s="3">
        <v>83.0</v>
      </c>
      <c r="K452" s="3">
        <v>188.0</v>
      </c>
      <c r="L452" s="3">
        <v>1000.0</v>
      </c>
      <c r="M452" s="3">
        <v>102.0</v>
      </c>
      <c r="N452" s="3">
        <v>200.0</v>
      </c>
      <c r="O452" s="3">
        <v>121.0</v>
      </c>
      <c r="P452" s="3">
        <v>146.0</v>
      </c>
      <c r="Q452" s="3">
        <v>80.0</v>
      </c>
      <c r="R452" s="3">
        <v>150.0</v>
      </c>
      <c r="S452" s="3">
        <v>417.0</v>
      </c>
      <c r="T452" s="3">
        <v>120.0</v>
      </c>
      <c r="U452" s="3">
        <v>80.0</v>
      </c>
      <c r="V452" s="1">
        <v>88.0</v>
      </c>
      <c r="W452" s="1">
        <v>250.0</v>
      </c>
      <c r="X452" s="1">
        <v>264.0</v>
      </c>
      <c r="Y452" s="1">
        <v>161.0</v>
      </c>
      <c r="Z452" s="1">
        <v>69.0</v>
      </c>
      <c r="AA452" s="1"/>
      <c r="AB452" s="1">
        <v>13.0</v>
      </c>
      <c r="AC452" s="1">
        <v>150.0</v>
      </c>
      <c r="AD452" s="1">
        <v>170.0</v>
      </c>
      <c r="AE452" s="1">
        <v>60.0</v>
      </c>
      <c r="AF452" s="1">
        <v>40.0</v>
      </c>
      <c r="AG452" s="1">
        <v>45.0</v>
      </c>
      <c r="AH452" s="1"/>
      <c r="AI452" s="1">
        <v>205.0</v>
      </c>
      <c r="AJ452" s="1">
        <v>60.0</v>
      </c>
      <c r="AK452" s="1">
        <v>100.0</v>
      </c>
      <c r="AL452" s="1">
        <v>175.0</v>
      </c>
      <c r="AM452" s="1">
        <v>130.0</v>
      </c>
      <c r="AN452" s="3">
        <v>47.0</v>
      </c>
      <c r="AO452" s="3">
        <v>160.0</v>
      </c>
      <c r="AP452" s="3">
        <v>70.0</v>
      </c>
      <c r="AQ452" s="3"/>
      <c r="AR452" s="1">
        <v>854.0</v>
      </c>
      <c r="AS452" s="1">
        <v>250.0</v>
      </c>
      <c r="AT452" s="1">
        <v>220.0</v>
      </c>
      <c r="AU452" s="3">
        <v>223.0</v>
      </c>
      <c r="AV452" s="1">
        <v>120.0</v>
      </c>
      <c r="AW452" s="3">
        <v>384.0</v>
      </c>
      <c r="AX452" s="3">
        <v>114.0</v>
      </c>
      <c r="AY452" s="3">
        <v>142.0</v>
      </c>
      <c r="AZ452" s="1">
        <v>40.0</v>
      </c>
      <c r="BA452" s="1"/>
      <c r="BB452" s="3">
        <v>225.0</v>
      </c>
      <c r="BC452" s="1"/>
      <c r="BD452" s="1">
        <v>190.0</v>
      </c>
      <c r="BE452" s="1">
        <v>80.0</v>
      </c>
      <c r="BF452" s="3">
        <v>328.0</v>
      </c>
      <c r="BG452" s="1">
        <v>213.0</v>
      </c>
      <c r="BH452" s="1">
        <v>23.0</v>
      </c>
      <c r="BI452" s="1">
        <v>40.0</v>
      </c>
      <c r="BJ452" s="1">
        <v>278.0</v>
      </c>
      <c r="BK452" s="3"/>
      <c r="BL452" s="1">
        <v>160.0</v>
      </c>
      <c r="BM452" s="1">
        <v>75.0</v>
      </c>
      <c r="BN452" s="32">
        <v>1802.0</v>
      </c>
      <c r="BO452" s="1">
        <v>47.0</v>
      </c>
      <c r="BP452" s="3">
        <v>48.0</v>
      </c>
      <c r="BQ452" s="1">
        <v>188.0</v>
      </c>
      <c r="BR452" s="28">
        <v>74823.25</v>
      </c>
    </row>
    <row r="453">
      <c r="A453" s="25" t="str">
        <f>'Equity Price Data'!A454</f>
        <v/>
      </c>
      <c r="B453" s="34" t="str">
        <f>(('PRACTICE Equity Price Data'!B454/'PRACTICE Equity Price Data'!B453)-1)+B452</f>
        <v>#DIV/0!</v>
      </c>
      <c r="C453" s="34" t="str">
        <f>(('PRACTICE Equity Price Data'!C454/'PRACTICE Equity Price Data'!C453)-1)+C452</f>
        <v>#DIV/0!</v>
      </c>
      <c r="D453" s="34" t="str">
        <f>(('PRACTICE Equity Price Data'!D454/'PRACTICE Equity Price Data'!D453)-1)+D452</f>
        <v>#DIV/0!</v>
      </c>
      <c r="E453" s="34" t="str">
        <f>(('PRACTICE Equity Price Data'!E454/'PRACTICE Equity Price Data'!E453)-1)+E452</f>
        <v>#DIV/0!</v>
      </c>
      <c r="F453" s="3">
        <v>13.0</v>
      </c>
      <c r="G453" s="3">
        <v>260.0</v>
      </c>
      <c r="H453" s="3">
        <v>110.0</v>
      </c>
      <c r="I453" s="3">
        <v>256.0</v>
      </c>
      <c r="J453" s="3">
        <v>83.0</v>
      </c>
      <c r="K453" s="3">
        <v>188.0</v>
      </c>
      <c r="L453" s="3">
        <v>1000.0</v>
      </c>
      <c r="M453" s="3">
        <v>102.0</v>
      </c>
      <c r="N453" s="3">
        <v>200.0</v>
      </c>
      <c r="O453" s="3">
        <v>121.0</v>
      </c>
      <c r="P453" s="3">
        <v>146.0</v>
      </c>
      <c r="Q453" s="3">
        <v>80.0</v>
      </c>
      <c r="R453" s="3">
        <v>150.0</v>
      </c>
      <c r="S453" s="3">
        <v>417.0</v>
      </c>
      <c r="T453" s="3">
        <v>120.0</v>
      </c>
      <c r="U453" s="3">
        <v>80.0</v>
      </c>
      <c r="V453" s="1">
        <v>88.0</v>
      </c>
      <c r="W453" s="1">
        <v>250.0</v>
      </c>
      <c r="X453" s="1">
        <v>264.0</v>
      </c>
      <c r="Y453" s="1">
        <v>161.0</v>
      </c>
      <c r="Z453" s="1">
        <v>69.0</v>
      </c>
      <c r="AA453" s="1"/>
      <c r="AB453" s="1">
        <v>13.0</v>
      </c>
      <c r="AC453" s="1">
        <v>150.0</v>
      </c>
      <c r="AD453" s="1">
        <v>170.0</v>
      </c>
      <c r="AE453" s="1">
        <v>60.0</v>
      </c>
      <c r="AF453" s="1">
        <v>40.0</v>
      </c>
      <c r="AG453" s="1">
        <v>45.0</v>
      </c>
      <c r="AH453" s="1"/>
      <c r="AI453" s="1">
        <v>205.0</v>
      </c>
      <c r="AJ453" s="1">
        <v>60.0</v>
      </c>
      <c r="AK453" s="1">
        <v>100.0</v>
      </c>
      <c r="AL453" s="1">
        <v>175.0</v>
      </c>
      <c r="AM453" s="1">
        <v>130.0</v>
      </c>
      <c r="AN453" s="3">
        <v>47.0</v>
      </c>
      <c r="AO453" s="3">
        <v>160.0</v>
      </c>
      <c r="AP453" s="3">
        <v>70.0</v>
      </c>
      <c r="AQ453" s="3"/>
      <c r="AR453" s="1">
        <v>854.0</v>
      </c>
      <c r="AS453" s="1">
        <v>250.0</v>
      </c>
      <c r="AT453" s="1">
        <v>220.0</v>
      </c>
      <c r="AU453" s="3">
        <v>223.0</v>
      </c>
      <c r="AV453" s="1">
        <v>120.0</v>
      </c>
      <c r="AW453" s="3">
        <v>384.0</v>
      </c>
      <c r="AX453" s="3">
        <v>114.0</v>
      </c>
      <c r="AY453" s="3">
        <v>142.0</v>
      </c>
      <c r="AZ453" s="1">
        <v>40.0</v>
      </c>
      <c r="BA453" s="1"/>
      <c r="BB453" s="3">
        <v>225.0</v>
      </c>
      <c r="BC453" s="1"/>
      <c r="BD453" s="1">
        <v>190.0</v>
      </c>
      <c r="BE453" s="1">
        <v>80.0</v>
      </c>
      <c r="BF453" s="3">
        <v>328.0</v>
      </c>
      <c r="BG453" s="1">
        <v>213.0</v>
      </c>
      <c r="BH453" s="1">
        <v>23.0</v>
      </c>
      <c r="BI453" s="1">
        <v>40.0</v>
      </c>
      <c r="BJ453" s="1">
        <v>278.0</v>
      </c>
      <c r="BK453" s="3"/>
      <c r="BL453" s="1">
        <v>160.0</v>
      </c>
      <c r="BM453" s="1">
        <v>75.0</v>
      </c>
      <c r="BN453" s="32">
        <v>1802.0</v>
      </c>
      <c r="BO453" s="1">
        <v>47.0</v>
      </c>
      <c r="BP453" s="3">
        <v>48.0</v>
      </c>
      <c r="BQ453" s="1">
        <v>188.0</v>
      </c>
      <c r="BR453" s="28">
        <v>74823.25</v>
      </c>
    </row>
    <row r="454">
      <c r="A454" s="25" t="str">
        <f>'Equity Price Data'!A455</f>
        <v/>
      </c>
      <c r="B454" s="34" t="str">
        <f>(('PRACTICE Equity Price Data'!B455/'PRACTICE Equity Price Data'!B454)-1)+B453</f>
        <v>#DIV/0!</v>
      </c>
      <c r="C454" s="34" t="str">
        <f>(('PRACTICE Equity Price Data'!C455/'PRACTICE Equity Price Data'!C454)-1)+C453</f>
        <v>#DIV/0!</v>
      </c>
      <c r="D454" s="34" t="str">
        <f>(('PRACTICE Equity Price Data'!D455/'PRACTICE Equity Price Data'!D454)-1)+D453</f>
        <v>#DIV/0!</v>
      </c>
      <c r="E454" s="34" t="str">
        <f>(('PRACTICE Equity Price Data'!E455/'PRACTICE Equity Price Data'!E454)-1)+E453</f>
        <v>#DIV/0!</v>
      </c>
      <c r="F454" s="3">
        <v>13.0</v>
      </c>
      <c r="G454" s="3">
        <v>260.0</v>
      </c>
      <c r="H454" s="3">
        <v>110.0</v>
      </c>
      <c r="I454" s="3">
        <v>256.0</v>
      </c>
      <c r="J454" s="3">
        <v>83.0</v>
      </c>
      <c r="K454" s="3">
        <v>188.0</v>
      </c>
      <c r="L454" s="3">
        <v>1000.0</v>
      </c>
      <c r="M454" s="3">
        <v>102.0</v>
      </c>
      <c r="N454" s="3">
        <v>200.0</v>
      </c>
      <c r="O454" s="3">
        <v>121.0</v>
      </c>
      <c r="P454" s="3">
        <v>146.0</v>
      </c>
      <c r="Q454" s="3">
        <v>80.0</v>
      </c>
      <c r="R454" s="3">
        <v>150.0</v>
      </c>
      <c r="S454" s="3">
        <v>417.0</v>
      </c>
      <c r="T454" s="3">
        <v>120.0</v>
      </c>
      <c r="U454" s="3">
        <v>80.0</v>
      </c>
      <c r="V454" s="1">
        <v>88.0</v>
      </c>
      <c r="W454" s="1">
        <v>250.0</v>
      </c>
      <c r="X454" s="1">
        <v>264.0</v>
      </c>
      <c r="Y454" s="1">
        <v>161.0</v>
      </c>
      <c r="Z454" s="1">
        <v>69.0</v>
      </c>
      <c r="AA454" s="1"/>
      <c r="AB454" s="1">
        <v>13.0</v>
      </c>
      <c r="AC454" s="1">
        <v>150.0</v>
      </c>
      <c r="AD454" s="1">
        <v>170.0</v>
      </c>
      <c r="AE454" s="1">
        <v>60.0</v>
      </c>
      <c r="AF454" s="1">
        <v>40.0</v>
      </c>
      <c r="AG454" s="1">
        <v>45.0</v>
      </c>
      <c r="AH454" s="1"/>
      <c r="AI454" s="1">
        <v>205.0</v>
      </c>
      <c r="AJ454" s="1">
        <v>60.0</v>
      </c>
      <c r="AK454" s="1">
        <v>100.0</v>
      </c>
      <c r="AL454" s="1">
        <v>175.0</v>
      </c>
      <c r="AM454" s="1">
        <v>130.0</v>
      </c>
      <c r="AN454" s="3">
        <v>47.0</v>
      </c>
      <c r="AO454" s="3">
        <v>160.0</v>
      </c>
      <c r="AP454" s="3">
        <v>70.0</v>
      </c>
      <c r="AQ454" s="3"/>
      <c r="AR454" s="1">
        <v>854.0</v>
      </c>
      <c r="AS454" s="1">
        <v>250.0</v>
      </c>
      <c r="AT454" s="1">
        <v>220.0</v>
      </c>
      <c r="AU454" s="3">
        <v>223.0</v>
      </c>
      <c r="AV454" s="1">
        <v>120.0</v>
      </c>
      <c r="AW454" s="3">
        <v>384.0</v>
      </c>
      <c r="AX454" s="3">
        <v>114.0</v>
      </c>
      <c r="AY454" s="3">
        <v>142.0</v>
      </c>
      <c r="AZ454" s="1">
        <v>40.0</v>
      </c>
      <c r="BA454" s="1"/>
      <c r="BB454" s="3">
        <v>225.0</v>
      </c>
      <c r="BC454" s="1"/>
      <c r="BD454" s="1">
        <v>190.0</v>
      </c>
      <c r="BE454" s="1">
        <v>80.0</v>
      </c>
      <c r="BF454" s="3">
        <v>328.0</v>
      </c>
      <c r="BG454" s="1">
        <v>213.0</v>
      </c>
      <c r="BH454" s="1">
        <v>23.0</v>
      </c>
      <c r="BI454" s="1">
        <v>40.0</v>
      </c>
      <c r="BJ454" s="1">
        <v>278.0</v>
      </c>
      <c r="BK454" s="3"/>
      <c r="BL454" s="1">
        <v>160.0</v>
      </c>
      <c r="BM454" s="1">
        <v>75.0</v>
      </c>
      <c r="BN454" s="32">
        <v>1802.0</v>
      </c>
      <c r="BO454" s="1">
        <v>47.0</v>
      </c>
      <c r="BP454" s="3">
        <v>48.0</v>
      </c>
      <c r="BQ454" s="1">
        <v>188.0</v>
      </c>
      <c r="BR454" s="28">
        <v>74823.25</v>
      </c>
    </row>
    <row r="455">
      <c r="A455" s="25" t="str">
        <f>'Equity Price Data'!A456</f>
        <v/>
      </c>
      <c r="B455" s="34" t="str">
        <f>(('PRACTICE Equity Price Data'!B456/'PRACTICE Equity Price Data'!B455)-1)+B454</f>
        <v>#DIV/0!</v>
      </c>
      <c r="C455" s="34" t="str">
        <f>(('PRACTICE Equity Price Data'!C456/'PRACTICE Equity Price Data'!C455)-1)+C454</f>
        <v>#DIV/0!</v>
      </c>
      <c r="D455" s="34" t="str">
        <f>(('PRACTICE Equity Price Data'!D456/'PRACTICE Equity Price Data'!D455)-1)+D454</f>
        <v>#DIV/0!</v>
      </c>
      <c r="E455" s="34" t="str">
        <f>(('PRACTICE Equity Price Data'!E456/'PRACTICE Equity Price Data'!E455)-1)+E454</f>
        <v>#DIV/0!</v>
      </c>
      <c r="F455" s="3">
        <v>13.0</v>
      </c>
      <c r="G455" s="3">
        <v>260.0</v>
      </c>
      <c r="H455" s="3">
        <v>110.0</v>
      </c>
      <c r="I455" s="3">
        <v>256.0</v>
      </c>
      <c r="J455" s="3">
        <v>83.0</v>
      </c>
      <c r="K455" s="3">
        <v>188.0</v>
      </c>
      <c r="L455" s="3">
        <v>1000.0</v>
      </c>
      <c r="M455" s="3">
        <v>102.0</v>
      </c>
      <c r="N455" s="3">
        <v>200.0</v>
      </c>
      <c r="O455" s="3">
        <v>121.0</v>
      </c>
      <c r="P455" s="3">
        <v>146.0</v>
      </c>
      <c r="Q455" s="3">
        <v>80.0</v>
      </c>
      <c r="R455" s="3">
        <v>150.0</v>
      </c>
      <c r="S455" s="3">
        <v>417.0</v>
      </c>
      <c r="T455" s="3">
        <v>120.0</v>
      </c>
      <c r="U455" s="3">
        <v>80.0</v>
      </c>
      <c r="V455" s="1">
        <v>88.0</v>
      </c>
      <c r="W455" s="1">
        <v>250.0</v>
      </c>
      <c r="X455" s="1">
        <v>264.0</v>
      </c>
      <c r="Y455" s="1">
        <v>161.0</v>
      </c>
      <c r="Z455" s="1">
        <v>69.0</v>
      </c>
      <c r="AA455" s="1"/>
      <c r="AB455" s="1">
        <v>13.0</v>
      </c>
      <c r="AC455" s="1">
        <v>150.0</v>
      </c>
      <c r="AD455" s="1">
        <v>170.0</v>
      </c>
      <c r="AE455" s="1">
        <v>60.0</v>
      </c>
      <c r="AF455" s="1">
        <v>40.0</v>
      </c>
      <c r="AG455" s="1">
        <v>45.0</v>
      </c>
      <c r="AH455" s="1"/>
      <c r="AI455" s="1">
        <v>205.0</v>
      </c>
      <c r="AJ455" s="1">
        <v>60.0</v>
      </c>
      <c r="AK455" s="1">
        <v>100.0</v>
      </c>
      <c r="AL455" s="1">
        <v>175.0</v>
      </c>
      <c r="AM455" s="1">
        <v>130.0</v>
      </c>
      <c r="AN455" s="3">
        <v>47.0</v>
      </c>
      <c r="AO455" s="3">
        <v>160.0</v>
      </c>
      <c r="AP455" s="3">
        <v>70.0</v>
      </c>
      <c r="AQ455" s="3"/>
      <c r="AR455" s="1">
        <v>854.0</v>
      </c>
      <c r="AS455" s="1">
        <v>250.0</v>
      </c>
      <c r="AT455" s="1">
        <v>220.0</v>
      </c>
      <c r="AU455" s="3">
        <v>223.0</v>
      </c>
      <c r="AV455" s="1">
        <v>120.0</v>
      </c>
      <c r="AW455" s="3">
        <v>384.0</v>
      </c>
      <c r="AX455" s="3">
        <v>114.0</v>
      </c>
      <c r="AY455" s="3">
        <v>142.0</v>
      </c>
      <c r="AZ455" s="1">
        <v>40.0</v>
      </c>
      <c r="BA455" s="1"/>
      <c r="BB455" s="3">
        <v>225.0</v>
      </c>
      <c r="BC455" s="1"/>
      <c r="BD455" s="1">
        <v>190.0</v>
      </c>
      <c r="BE455" s="1">
        <v>80.0</v>
      </c>
      <c r="BF455" s="3">
        <v>328.0</v>
      </c>
      <c r="BG455" s="1">
        <v>213.0</v>
      </c>
      <c r="BH455" s="1">
        <v>23.0</v>
      </c>
      <c r="BI455" s="1">
        <v>40.0</v>
      </c>
      <c r="BJ455" s="1">
        <v>278.0</v>
      </c>
      <c r="BK455" s="3"/>
      <c r="BL455" s="1">
        <v>160.0</v>
      </c>
      <c r="BM455" s="1">
        <v>75.0</v>
      </c>
      <c r="BN455" s="32">
        <v>1802.0</v>
      </c>
      <c r="BO455" s="1">
        <v>47.0</v>
      </c>
      <c r="BP455" s="3">
        <v>48.0</v>
      </c>
      <c r="BQ455" s="1">
        <v>188.0</v>
      </c>
      <c r="BR455" s="28">
        <v>74823.25</v>
      </c>
    </row>
    <row r="456">
      <c r="A456" s="25" t="str">
        <f>'Equity Price Data'!A457</f>
        <v/>
      </c>
      <c r="B456" s="34" t="str">
        <f>(('PRACTICE Equity Price Data'!B457/'PRACTICE Equity Price Data'!B456)-1)+B455</f>
        <v>#DIV/0!</v>
      </c>
      <c r="C456" s="34" t="str">
        <f>(('PRACTICE Equity Price Data'!C457/'PRACTICE Equity Price Data'!C456)-1)+C455</f>
        <v>#DIV/0!</v>
      </c>
      <c r="D456" s="34" t="str">
        <f>(('PRACTICE Equity Price Data'!D457/'PRACTICE Equity Price Data'!D456)-1)+D455</f>
        <v>#DIV/0!</v>
      </c>
      <c r="E456" s="34" t="str">
        <f>(('PRACTICE Equity Price Data'!E457/'PRACTICE Equity Price Data'!E456)-1)+E455</f>
        <v>#DIV/0!</v>
      </c>
      <c r="F456" s="3">
        <v>13.0</v>
      </c>
      <c r="G456" s="3">
        <v>260.0</v>
      </c>
      <c r="H456" s="3">
        <v>110.0</v>
      </c>
      <c r="I456" s="3">
        <v>256.0</v>
      </c>
      <c r="J456" s="3">
        <v>83.0</v>
      </c>
      <c r="K456" s="3">
        <v>188.0</v>
      </c>
      <c r="L456" s="3">
        <v>1000.0</v>
      </c>
      <c r="M456" s="3">
        <v>102.0</v>
      </c>
      <c r="N456" s="3">
        <v>200.0</v>
      </c>
      <c r="O456" s="3">
        <v>121.0</v>
      </c>
      <c r="P456" s="3">
        <v>146.0</v>
      </c>
      <c r="Q456" s="3">
        <v>80.0</v>
      </c>
      <c r="R456" s="3">
        <v>150.0</v>
      </c>
      <c r="S456" s="3">
        <v>417.0</v>
      </c>
      <c r="T456" s="3">
        <v>120.0</v>
      </c>
      <c r="U456" s="3">
        <v>80.0</v>
      </c>
      <c r="V456" s="1">
        <v>88.0</v>
      </c>
      <c r="W456" s="1">
        <v>250.0</v>
      </c>
      <c r="X456" s="1">
        <v>264.0</v>
      </c>
      <c r="Y456" s="1">
        <v>161.0</v>
      </c>
      <c r="Z456" s="1">
        <v>69.0</v>
      </c>
      <c r="AA456" s="1"/>
      <c r="AB456" s="1">
        <v>13.0</v>
      </c>
      <c r="AC456" s="1">
        <v>150.0</v>
      </c>
      <c r="AD456" s="1">
        <v>170.0</v>
      </c>
      <c r="AE456" s="1">
        <v>60.0</v>
      </c>
      <c r="AF456" s="1">
        <v>40.0</v>
      </c>
      <c r="AG456" s="1">
        <v>45.0</v>
      </c>
      <c r="AH456" s="1"/>
      <c r="AI456" s="1">
        <v>205.0</v>
      </c>
      <c r="AJ456" s="1">
        <v>60.0</v>
      </c>
      <c r="AK456" s="1">
        <v>100.0</v>
      </c>
      <c r="AL456" s="1">
        <v>175.0</v>
      </c>
      <c r="AM456" s="1">
        <v>130.0</v>
      </c>
      <c r="AN456" s="3">
        <v>47.0</v>
      </c>
      <c r="AO456" s="3">
        <v>160.0</v>
      </c>
      <c r="AP456" s="3">
        <v>70.0</v>
      </c>
      <c r="AQ456" s="3"/>
      <c r="AR456" s="1">
        <v>854.0</v>
      </c>
      <c r="AS456" s="1">
        <v>250.0</v>
      </c>
      <c r="AT456" s="1">
        <v>220.0</v>
      </c>
      <c r="AU456" s="3">
        <v>223.0</v>
      </c>
      <c r="AV456" s="1">
        <v>120.0</v>
      </c>
      <c r="AW456" s="3">
        <v>384.0</v>
      </c>
      <c r="AX456" s="3">
        <v>114.0</v>
      </c>
      <c r="AY456" s="3">
        <v>142.0</v>
      </c>
      <c r="AZ456" s="1">
        <v>40.0</v>
      </c>
      <c r="BA456" s="1"/>
      <c r="BB456" s="3">
        <v>225.0</v>
      </c>
      <c r="BC456" s="1"/>
      <c r="BD456" s="1">
        <v>190.0</v>
      </c>
      <c r="BE456" s="1">
        <v>80.0</v>
      </c>
      <c r="BF456" s="3">
        <v>328.0</v>
      </c>
      <c r="BG456" s="1">
        <v>213.0</v>
      </c>
      <c r="BH456" s="1">
        <v>23.0</v>
      </c>
      <c r="BI456" s="1">
        <v>40.0</v>
      </c>
      <c r="BJ456" s="1">
        <v>278.0</v>
      </c>
      <c r="BK456" s="3"/>
      <c r="BL456" s="1">
        <v>160.0</v>
      </c>
      <c r="BM456" s="1">
        <v>75.0</v>
      </c>
      <c r="BN456" s="32">
        <v>1802.0</v>
      </c>
      <c r="BO456" s="1">
        <v>47.0</v>
      </c>
      <c r="BP456" s="3">
        <v>48.0</v>
      </c>
      <c r="BQ456" s="1">
        <v>188.0</v>
      </c>
      <c r="BR456" s="28">
        <v>74823.25</v>
      </c>
    </row>
    <row r="457">
      <c r="A457" s="25" t="str">
        <f>'Equity Price Data'!A458</f>
        <v/>
      </c>
      <c r="B457" s="34" t="str">
        <f>(('PRACTICE Equity Price Data'!B458/'PRACTICE Equity Price Data'!B457)-1)+B456</f>
        <v>#DIV/0!</v>
      </c>
      <c r="C457" s="34" t="str">
        <f>(('PRACTICE Equity Price Data'!C458/'PRACTICE Equity Price Data'!C457)-1)+C456</f>
        <v>#DIV/0!</v>
      </c>
      <c r="D457" s="34" t="str">
        <f>(('PRACTICE Equity Price Data'!D458/'PRACTICE Equity Price Data'!D457)-1)+D456</f>
        <v>#DIV/0!</v>
      </c>
      <c r="E457" s="34" t="str">
        <f>(('PRACTICE Equity Price Data'!E458/'PRACTICE Equity Price Data'!E457)-1)+E456</f>
        <v>#DIV/0!</v>
      </c>
      <c r="F457" s="3">
        <v>13.0</v>
      </c>
      <c r="G457" s="3">
        <v>260.0</v>
      </c>
      <c r="H457" s="3">
        <v>110.0</v>
      </c>
      <c r="I457" s="3">
        <v>256.0</v>
      </c>
      <c r="J457" s="3">
        <v>83.0</v>
      </c>
      <c r="K457" s="3">
        <v>188.0</v>
      </c>
      <c r="L457" s="3">
        <v>1000.0</v>
      </c>
      <c r="M457" s="3">
        <v>102.0</v>
      </c>
      <c r="N457" s="3">
        <v>200.0</v>
      </c>
      <c r="O457" s="3">
        <v>121.0</v>
      </c>
      <c r="P457" s="3">
        <v>146.0</v>
      </c>
      <c r="Q457" s="3">
        <v>80.0</v>
      </c>
      <c r="R457" s="3">
        <v>150.0</v>
      </c>
      <c r="S457" s="3">
        <v>417.0</v>
      </c>
      <c r="T457" s="3">
        <v>120.0</v>
      </c>
      <c r="U457" s="3">
        <v>80.0</v>
      </c>
      <c r="V457" s="1">
        <v>88.0</v>
      </c>
      <c r="W457" s="1">
        <v>250.0</v>
      </c>
      <c r="X457" s="1">
        <v>264.0</v>
      </c>
      <c r="Y457" s="1">
        <v>161.0</v>
      </c>
      <c r="Z457" s="1">
        <v>69.0</v>
      </c>
      <c r="AA457" s="1"/>
      <c r="AB457" s="1">
        <v>13.0</v>
      </c>
      <c r="AC457" s="1">
        <v>150.0</v>
      </c>
      <c r="AD457" s="1">
        <v>170.0</v>
      </c>
      <c r="AE457" s="1">
        <v>60.0</v>
      </c>
      <c r="AF457" s="1">
        <v>40.0</v>
      </c>
      <c r="AG457" s="1">
        <v>45.0</v>
      </c>
      <c r="AH457" s="1"/>
      <c r="AI457" s="1">
        <v>205.0</v>
      </c>
      <c r="AJ457" s="1">
        <v>60.0</v>
      </c>
      <c r="AK457" s="1">
        <v>100.0</v>
      </c>
      <c r="AL457" s="1">
        <v>175.0</v>
      </c>
      <c r="AM457" s="1">
        <v>130.0</v>
      </c>
      <c r="AN457" s="3">
        <v>47.0</v>
      </c>
      <c r="AO457" s="3">
        <v>160.0</v>
      </c>
      <c r="AP457" s="3">
        <v>70.0</v>
      </c>
      <c r="AQ457" s="3"/>
      <c r="AR457" s="1">
        <v>854.0</v>
      </c>
      <c r="AS457" s="1">
        <v>250.0</v>
      </c>
      <c r="AT457" s="1">
        <v>220.0</v>
      </c>
      <c r="AU457" s="3">
        <v>223.0</v>
      </c>
      <c r="AV457" s="1">
        <v>120.0</v>
      </c>
      <c r="AW457" s="3">
        <v>384.0</v>
      </c>
      <c r="AX457" s="3">
        <v>114.0</v>
      </c>
      <c r="AY457" s="3">
        <v>142.0</v>
      </c>
      <c r="AZ457" s="1">
        <v>40.0</v>
      </c>
      <c r="BA457" s="1"/>
      <c r="BB457" s="3">
        <v>225.0</v>
      </c>
      <c r="BC457" s="1"/>
      <c r="BD457" s="1">
        <v>190.0</v>
      </c>
      <c r="BE457" s="1">
        <v>80.0</v>
      </c>
      <c r="BF457" s="3">
        <v>328.0</v>
      </c>
      <c r="BG457" s="1">
        <v>213.0</v>
      </c>
      <c r="BH457" s="1">
        <v>23.0</v>
      </c>
      <c r="BI457" s="1">
        <v>40.0</v>
      </c>
      <c r="BJ457" s="1">
        <v>278.0</v>
      </c>
      <c r="BK457" s="3"/>
      <c r="BL457" s="1">
        <v>160.0</v>
      </c>
      <c r="BM457" s="1">
        <v>75.0</v>
      </c>
      <c r="BN457" s="32">
        <v>1802.0</v>
      </c>
      <c r="BO457" s="1">
        <v>47.0</v>
      </c>
      <c r="BP457" s="3">
        <v>48.0</v>
      </c>
      <c r="BQ457" s="1">
        <v>188.0</v>
      </c>
      <c r="BR457" s="28">
        <v>74823.25</v>
      </c>
    </row>
    <row r="458">
      <c r="A458" s="25" t="str">
        <f>'Equity Price Data'!A459</f>
        <v/>
      </c>
      <c r="B458" s="34" t="str">
        <f>(('PRACTICE Equity Price Data'!B459/'PRACTICE Equity Price Data'!B458)-1)+B457</f>
        <v>#DIV/0!</v>
      </c>
      <c r="C458" s="34" t="str">
        <f>(('PRACTICE Equity Price Data'!C459/'PRACTICE Equity Price Data'!C458)-1)+C457</f>
        <v>#DIV/0!</v>
      </c>
      <c r="D458" s="34" t="str">
        <f>(('PRACTICE Equity Price Data'!D459/'PRACTICE Equity Price Data'!D458)-1)+D457</f>
        <v>#DIV/0!</v>
      </c>
      <c r="E458" s="34" t="str">
        <f>(('PRACTICE Equity Price Data'!E459/'PRACTICE Equity Price Data'!E458)-1)+E457</f>
        <v>#DIV/0!</v>
      </c>
      <c r="F458" s="3">
        <v>13.0</v>
      </c>
      <c r="G458" s="3">
        <v>260.0</v>
      </c>
      <c r="H458" s="3">
        <v>110.0</v>
      </c>
      <c r="I458" s="3">
        <v>256.0</v>
      </c>
      <c r="J458" s="3">
        <v>83.0</v>
      </c>
      <c r="K458" s="3">
        <v>188.0</v>
      </c>
      <c r="L458" s="3">
        <v>1000.0</v>
      </c>
      <c r="M458" s="3">
        <v>102.0</v>
      </c>
      <c r="N458" s="3">
        <v>200.0</v>
      </c>
      <c r="O458" s="3">
        <v>121.0</v>
      </c>
      <c r="P458" s="3">
        <v>146.0</v>
      </c>
      <c r="Q458" s="3">
        <v>80.0</v>
      </c>
      <c r="R458" s="3">
        <v>150.0</v>
      </c>
      <c r="S458" s="3">
        <v>417.0</v>
      </c>
      <c r="T458" s="3">
        <v>120.0</v>
      </c>
      <c r="U458" s="3">
        <v>80.0</v>
      </c>
      <c r="V458" s="1">
        <v>88.0</v>
      </c>
      <c r="W458" s="1">
        <v>250.0</v>
      </c>
      <c r="X458" s="1">
        <v>264.0</v>
      </c>
      <c r="Y458" s="1">
        <v>161.0</v>
      </c>
      <c r="Z458" s="1">
        <v>69.0</v>
      </c>
      <c r="AA458" s="1"/>
      <c r="AB458" s="1">
        <v>13.0</v>
      </c>
      <c r="AC458" s="1">
        <v>150.0</v>
      </c>
      <c r="AD458" s="1">
        <v>170.0</v>
      </c>
      <c r="AE458" s="1">
        <v>60.0</v>
      </c>
      <c r="AF458" s="1">
        <v>40.0</v>
      </c>
      <c r="AG458" s="1">
        <v>45.0</v>
      </c>
      <c r="AH458" s="1"/>
      <c r="AI458" s="1">
        <v>205.0</v>
      </c>
      <c r="AJ458" s="1">
        <v>60.0</v>
      </c>
      <c r="AK458" s="1">
        <v>100.0</v>
      </c>
      <c r="AL458" s="1">
        <v>175.0</v>
      </c>
      <c r="AM458" s="1">
        <v>130.0</v>
      </c>
      <c r="AN458" s="3">
        <v>47.0</v>
      </c>
      <c r="AO458" s="3">
        <v>160.0</v>
      </c>
      <c r="AP458" s="3">
        <v>70.0</v>
      </c>
      <c r="AQ458" s="3"/>
      <c r="AR458" s="1">
        <v>854.0</v>
      </c>
      <c r="AS458" s="1">
        <v>250.0</v>
      </c>
      <c r="AT458" s="1">
        <v>220.0</v>
      </c>
      <c r="AU458" s="3">
        <v>223.0</v>
      </c>
      <c r="AV458" s="1">
        <v>120.0</v>
      </c>
      <c r="AW458" s="3">
        <v>384.0</v>
      </c>
      <c r="AX458" s="3">
        <v>114.0</v>
      </c>
      <c r="AY458" s="3">
        <v>142.0</v>
      </c>
      <c r="AZ458" s="1">
        <v>40.0</v>
      </c>
      <c r="BA458" s="1"/>
      <c r="BB458" s="3">
        <v>225.0</v>
      </c>
      <c r="BC458" s="1"/>
      <c r="BD458" s="1">
        <v>190.0</v>
      </c>
      <c r="BE458" s="1">
        <v>80.0</v>
      </c>
      <c r="BF458" s="3">
        <v>328.0</v>
      </c>
      <c r="BG458" s="1">
        <v>213.0</v>
      </c>
      <c r="BH458" s="1">
        <v>23.0</v>
      </c>
      <c r="BI458" s="1">
        <v>40.0</v>
      </c>
      <c r="BJ458" s="1">
        <v>278.0</v>
      </c>
      <c r="BK458" s="3"/>
      <c r="BL458" s="1">
        <v>160.0</v>
      </c>
      <c r="BM458" s="1">
        <v>75.0</v>
      </c>
      <c r="BN458" s="32">
        <v>1802.0</v>
      </c>
      <c r="BO458" s="1">
        <v>47.0</v>
      </c>
      <c r="BP458" s="3">
        <v>48.0</v>
      </c>
      <c r="BQ458" s="1">
        <v>188.0</v>
      </c>
      <c r="BR458" s="28">
        <v>74823.25</v>
      </c>
    </row>
    <row r="459">
      <c r="A459" s="25" t="str">
        <f>'Equity Price Data'!A460</f>
        <v/>
      </c>
      <c r="B459" s="34" t="str">
        <f>(('PRACTICE Equity Price Data'!B460/'PRACTICE Equity Price Data'!B459)-1)+B458</f>
        <v>#DIV/0!</v>
      </c>
      <c r="C459" s="34" t="str">
        <f>(('PRACTICE Equity Price Data'!C460/'PRACTICE Equity Price Data'!C459)-1)+C458</f>
        <v>#DIV/0!</v>
      </c>
      <c r="D459" s="34" t="str">
        <f>(('PRACTICE Equity Price Data'!D460/'PRACTICE Equity Price Data'!D459)-1)+D458</f>
        <v>#DIV/0!</v>
      </c>
      <c r="E459" s="34" t="str">
        <f>(('PRACTICE Equity Price Data'!E460/'PRACTICE Equity Price Data'!E459)-1)+E458</f>
        <v>#DIV/0!</v>
      </c>
      <c r="F459" s="3">
        <v>13.0</v>
      </c>
      <c r="G459" s="3">
        <v>260.0</v>
      </c>
      <c r="H459" s="3">
        <v>110.0</v>
      </c>
      <c r="I459" s="3">
        <v>256.0</v>
      </c>
      <c r="J459" s="3">
        <v>83.0</v>
      </c>
      <c r="K459" s="3">
        <v>188.0</v>
      </c>
      <c r="L459" s="3">
        <v>1000.0</v>
      </c>
      <c r="M459" s="3">
        <v>102.0</v>
      </c>
      <c r="N459" s="3">
        <v>200.0</v>
      </c>
      <c r="O459" s="3">
        <v>121.0</v>
      </c>
      <c r="P459" s="3">
        <v>146.0</v>
      </c>
      <c r="Q459" s="3">
        <v>80.0</v>
      </c>
      <c r="R459" s="3">
        <v>150.0</v>
      </c>
      <c r="S459" s="3">
        <v>417.0</v>
      </c>
      <c r="T459" s="3">
        <v>120.0</v>
      </c>
      <c r="U459" s="3">
        <v>80.0</v>
      </c>
      <c r="V459" s="1">
        <v>88.0</v>
      </c>
      <c r="W459" s="1">
        <v>250.0</v>
      </c>
      <c r="X459" s="1">
        <v>264.0</v>
      </c>
      <c r="Y459" s="1">
        <v>161.0</v>
      </c>
      <c r="Z459" s="1">
        <v>69.0</v>
      </c>
      <c r="AA459" s="1"/>
      <c r="AB459" s="1">
        <v>13.0</v>
      </c>
      <c r="AC459" s="1">
        <v>150.0</v>
      </c>
      <c r="AD459" s="1">
        <v>170.0</v>
      </c>
      <c r="AE459" s="1">
        <v>60.0</v>
      </c>
      <c r="AF459" s="1">
        <v>40.0</v>
      </c>
      <c r="AG459" s="1">
        <v>45.0</v>
      </c>
      <c r="AH459" s="1"/>
      <c r="AI459" s="1">
        <v>205.0</v>
      </c>
      <c r="AJ459" s="1">
        <v>60.0</v>
      </c>
      <c r="AK459" s="1">
        <v>100.0</v>
      </c>
      <c r="AL459" s="1">
        <v>175.0</v>
      </c>
      <c r="AM459" s="1">
        <v>130.0</v>
      </c>
      <c r="AN459" s="3">
        <v>47.0</v>
      </c>
      <c r="AO459" s="3">
        <v>160.0</v>
      </c>
      <c r="AP459" s="3">
        <v>70.0</v>
      </c>
      <c r="AQ459" s="3"/>
      <c r="AR459" s="1">
        <v>854.0</v>
      </c>
      <c r="AS459" s="1">
        <v>250.0</v>
      </c>
      <c r="AT459" s="1">
        <v>220.0</v>
      </c>
      <c r="AU459" s="3">
        <v>223.0</v>
      </c>
      <c r="AV459" s="1">
        <v>120.0</v>
      </c>
      <c r="AW459" s="3">
        <v>384.0</v>
      </c>
      <c r="AX459" s="3">
        <v>114.0</v>
      </c>
      <c r="AY459" s="3">
        <v>142.0</v>
      </c>
      <c r="AZ459" s="1">
        <v>40.0</v>
      </c>
      <c r="BA459" s="1"/>
      <c r="BB459" s="3">
        <v>225.0</v>
      </c>
      <c r="BC459" s="1"/>
      <c r="BD459" s="1">
        <v>190.0</v>
      </c>
      <c r="BE459" s="1">
        <v>80.0</v>
      </c>
      <c r="BF459" s="3">
        <v>328.0</v>
      </c>
      <c r="BG459" s="1">
        <v>213.0</v>
      </c>
      <c r="BH459" s="1">
        <v>23.0</v>
      </c>
      <c r="BI459" s="1">
        <v>40.0</v>
      </c>
      <c r="BJ459" s="1">
        <v>278.0</v>
      </c>
      <c r="BK459" s="3"/>
      <c r="BL459" s="1">
        <v>160.0</v>
      </c>
      <c r="BM459" s="1">
        <v>75.0</v>
      </c>
      <c r="BN459" s="32">
        <v>1802.0</v>
      </c>
      <c r="BO459" s="1">
        <v>47.0</v>
      </c>
      <c r="BP459" s="3">
        <v>48.0</v>
      </c>
      <c r="BQ459" s="1">
        <v>188.0</v>
      </c>
      <c r="BR459" s="28">
        <v>74823.25</v>
      </c>
    </row>
    <row r="460">
      <c r="A460" s="25" t="str">
        <f>'Equity Price Data'!A461</f>
        <v/>
      </c>
      <c r="B460" s="34" t="str">
        <f>(('PRACTICE Equity Price Data'!B461/'PRACTICE Equity Price Data'!B460)-1)+B459</f>
        <v>#DIV/0!</v>
      </c>
      <c r="C460" s="34" t="str">
        <f>(('PRACTICE Equity Price Data'!C461/'PRACTICE Equity Price Data'!C460)-1)+C459</f>
        <v>#DIV/0!</v>
      </c>
      <c r="D460" s="34" t="str">
        <f>(('PRACTICE Equity Price Data'!D461/'PRACTICE Equity Price Data'!D460)-1)+D459</f>
        <v>#DIV/0!</v>
      </c>
      <c r="E460" s="34" t="str">
        <f>(('PRACTICE Equity Price Data'!E461/'PRACTICE Equity Price Data'!E460)-1)+E459</f>
        <v>#DIV/0!</v>
      </c>
      <c r="F460" s="3">
        <v>13.0</v>
      </c>
      <c r="G460" s="3">
        <v>260.0</v>
      </c>
      <c r="H460" s="3">
        <v>110.0</v>
      </c>
      <c r="I460" s="3">
        <v>256.0</v>
      </c>
      <c r="J460" s="3">
        <v>83.0</v>
      </c>
      <c r="K460" s="3">
        <v>188.0</v>
      </c>
      <c r="L460" s="3">
        <v>1000.0</v>
      </c>
      <c r="M460" s="3">
        <v>102.0</v>
      </c>
      <c r="N460" s="3">
        <v>200.0</v>
      </c>
      <c r="O460" s="3">
        <v>121.0</v>
      </c>
      <c r="P460" s="3">
        <v>146.0</v>
      </c>
      <c r="Q460" s="3">
        <v>80.0</v>
      </c>
      <c r="R460" s="3">
        <v>150.0</v>
      </c>
      <c r="S460" s="3">
        <v>417.0</v>
      </c>
      <c r="T460" s="3">
        <v>120.0</v>
      </c>
      <c r="U460" s="3">
        <v>80.0</v>
      </c>
      <c r="V460" s="1">
        <v>88.0</v>
      </c>
      <c r="W460" s="1">
        <v>250.0</v>
      </c>
      <c r="X460" s="1">
        <v>264.0</v>
      </c>
      <c r="Y460" s="1">
        <v>161.0</v>
      </c>
      <c r="Z460" s="1">
        <v>69.0</v>
      </c>
      <c r="AA460" s="1"/>
      <c r="AB460" s="1">
        <v>13.0</v>
      </c>
      <c r="AC460" s="1">
        <v>150.0</v>
      </c>
      <c r="AD460" s="1">
        <v>170.0</v>
      </c>
      <c r="AE460" s="1">
        <v>60.0</v>
      </c>
      <c r="AF460" s="1">
        <v>40.0</v>
      </c>
      <c r="AG460" s="1">
        <v>45.0</v>
      </c>
      <c r="AH460" s="1"/>
      <c r="AI460" s="1">
        <v>205.0</v>
      </c>
      <c r="AJ460" s="1">
        <v>60.0</v>
      </c>
      <c r="AK460" s="1">
        <v>100.0</v>
      </c>
      <c r="AL460" s="1">
        <v>175.0</v>
      </c>
      <c r="AM460" s="1">
        <v>130.0</v>
      </c>
      <c r="AN460" s="3">
        <v>47.0</v>
      </c>
      <c r="AO460" s="3">
        <v>160.0</v>
      </c>
      <c r="AP460" s="3">
        <v>70.0</v>
      </c>
      <c r="AQ460" s="3"/>
      <c r="AR460" s="1">
        <v>854.0</v>
      </c>
      <c r="AS460" s="1">
        <v>250.0</v>
      </c>
      <c r="AT460" s="1">
        <v>220.0</v>
      </c>
      <c r="AU460" s="3">
        <v>223.0</v>
      </c>
      <c r="AV460" s="1">
        <v>120.0</v>
      </c>
      <c r="AW460" s="3">
        <v>384.0</v>
      </c>
      <c r="AX460" s="3">
        <v>114.0</v>
      </c>
      <c r="AY460" s="3">
        <v>142.0</v>
      </c>
      <c r="AZ460" s="1">
        <v>40.0</v>
      </c>
      <c r="BA460" s="1"/>
      <c r="BB460" s="3">
        <v>225.0</v>
      </c>
      <c r="BC460" s="1"/>
      <c r="BD460" s="1">
        <v>190.0</v>
      </c>
      <c r="BE460" s="1">
        <v>80.0</v>
      </c>
      <c r="BF460" s="3">
        <v>328.0</v>
      </c>
      <c r="BG460" s="1">
        <v>213.0</v>
      </c>
      <c r="BH460" s="1">
        <v>23.0</v>
      </c>
      <c r="BI460" s="1">
        <v>40.0</v>
      </c>
      <c r="BJ460" s="1">
        <v>278.0</v>
      </c>
      <c r="BK460" s="3"/>
      <c r="BL460" s="1">
        <v>160.0</v>
      </c>
      <c r="BM460" s="1">
        <v>75.0</v>
      </c>
      <c r="BN460" s="32">
        <v>1802.0</v>
      </c>
      <c r="BO460" s="1">
        <v>47.0</v>
      </c>
      <c r="BP460" s="3">
        <v>48.0</v>
      </c>
      <c r="BQ460" s="1">
        <v>188.0</v>
      </c>
      <c r="BR460" s="28">
        <v>74823.25</v>
      </c>
    </row>
    <row r="461">
      <c r="A461" s="25" t="str">
        <f>'Equity Price Data'!A462</f>
        <v/>
      </c>
      <c r="B461" s="34" t="str">
        <f>(('PRACTICE Equity Price Data'!B462/'PRACTICE Equity Price Data'!B461)-1)+B460</f>
        <v>#DIV/0!</v>
      </c>
      <c r="C461" s="34" t="str">
        <f>(('PRACTICE Equity Price Data'!C462/'PRACTICE Equity Price Data'!C461)-1)+C460</f>
        <v>#DIV/0!</v>
      </c>
      <c r="D461" s="34" t="str">
        <f>(('PRACTICE Equity Price Data'!D462/'PRACTICE Equity Price Data'!D461)-1)+D460</f>
        <v>#DIV/0!</v>
      </c>
      <c r="E461" s="34" t="str">
        <f>(('PRACTICE Equity Price Data'!E462/'PRACTICE Equity Price Data'!E461)-1)+E460</f>
        <v>#DIV/0!</v>
      </c>
      <c r="F461" s="3">
        <v>13.0</v>
      </c>
      <c r="G461" s="3">
        <v>260.0</v>
      </c>
      <c r="H461" s="3">
        <v>110.0</v>
      </c>
      <c r="I461" s="3">
        <v>256.0</v>
      </c>
      <c r="J461" s="3">
        <v>83.0</v>
      </c>
      <c r="K461" s="3">
        <v>188.0</v>
      </c>
      <c r="L461" s="3">
        <v>1000.0</v>
      </c>
      <c r="M461" s="3">
        <v>102.0</v>
      </c>
      <c r="N461" s="3">
        <v>200.0</v>
      </c>
      <c r="O461" s="3">
        <v>121.0</v>
      </c>
      <c r="P461" s="3">
        <v>146.0</v>
      </c>
      <c r="Q461" s="3">
        <v>80.0</v>
      </c>
      <c r="R461" s="3">
        <v>150.0</v>
      </c>
      <c r="S461" s="3">
        <v>417.0</v>
      </c>
      <c r="T461" s="3">
        <v>120.0</v>
      </c>
      <c r="U461" s="3">
        <v>80.0</v>
      </c>
      <c r="V461" s="1">
        <v>88.0</v>
      </c>
      <c r="W461" s="1">
        <v>250.0</v>
      </c>
      <c r="X461" s="1">
        <v>264.0</v>
      </c>
      <c r="Y461" s="1">
        <v>161.0</v>
      </c>
      <c r="Z461" s="1">
        <v>69.0</v>
      </c>
      <c r="AA461" s="1"/>
      <c r="AB461" s="1">
        <v>13.0</v>
      </c>
      <c r="AC461" s="1">
        <v>150.0</v>
      </c>
      <c r="AD461" s="1">
        <v>170.0</v>
      </c>
      <c r="AE461" s="1">
        <v>60.0</v>
      </c>
      <c r="AF461" s="1">
        <v>40.0</v>
      </c>
      <c r="AG461" s="1">
        <v>45.0</v>
      </c>
      <c r="AH461" s="1"/>
      <c r="AI461" s="1">
        <v>205.0</v>
      </c>
      <c r="AJ461" s="1">
        <v>60.0</v>
      </c>
      <c r="AK461" s="1">
        <v>100.0</v>
      </c>
      <c r="AL461" s="1">
        <v>175.0</v>
      </c>
      <c r="AM461" s="1">
        <v>130.0</v>
      </c>
      <c r="AN461" s="3">
        <v>47.0</v>
      </c>
      <c r="AO461" s="3">
        <v>160.0</v>
      </c>
      <c r="AP461" s="3">
        <v>70.0</v>
      </c>
      <c r="AQ461" s="3"/>
      <c r="AR461" s="1">
        <v>854.0</v>
      </c>
      <c r="AS461" s="1">
        <v>250.0</v>
      </c>
      <c r="AT461" s="1">
        <v>220.0</v>
      </c>
      <c r="AU461" s="3">
        <v>223.0</v>
      </c>
      <c r="AV461" s="1">
        <v>120.0</v>
      </c>
      <c r="AW461" s="3">
        <v>384.0</v>
      </c>
      <c r="AX461" s="3">
        <v>114.0</v>
      </c>
      <c r="AY461" s="3">
        <v>142.0</v>
      </c>
      <c r="AZ461" s="1">
        <v>40.0</v>
      </c>
      <c r="BA461" s="1"/>
      <c r="BB461" s="3">
        <v>225.0</v>
      </c>
      <c r="BC461" s="1"/>
      <c r="BD461" s="1">
        <v>190.0</v>
      </c>
      <c r="BE461" s="1">
        <v>80.0</v>
      </c>
      <c r="BF461" s="3">
        <v>328.0</v>
      </c>
      <c r="BG461" s="1">
        <v>213.0</v>
      </c>
      <c r="BH461" s="1">
        <v>23.0</v>
      </c>
      <c r="BI461" s="1">
        <v>40.0</v>
      </c>
      <c r="BJ461" s="1">
        <v>278.0</v>
      </c>
      <c r="BK461" s="3"/>
      <c r="BL461" s="1">
        <v>160.0</v>
      </c>
      <c r="BM461" s="1">
        <v>75.0</v>
      </c>
      <c r="BN461" s="32">
        <v>1802.0</v>
      </c>
      <c r="BO461" s="1">
        <v>47.0</v>
      </c>
      <c r="BP461" s="3">
        <v>48.0</v>
      </c>
      <c r="BQ461" s="1">
        <v>188.0</v>
      </c>
      <c r="BR461" s="28">
        <v>74823.25</v>
      </c>
    </row>
    <row r="462">
      <c r="A462" s="25" t="str">
        <f>'Equity Price Data'!A463</f>
        <v/>
      </c>
      <c r="B462" s="34" t="str">
        <f>(('PRACTICE Equity Price Data'!B463/'PRACTICE Equity Price Data'!B462)-1)+B461</f>
        <v>#DIV/0!</v>
      </c>
      <c r="C462" s="34" t="str">
        <f>(('PRACTICE Equity Price Data'!C463/'PRACTICE Equity Price Data'!C462)-1)+C461</f>
        <v>#DIV/0!</v>
      </c>
      <c r="D462" s="34" t="str">
        <f>(('PRACTICE Equity Price Data'!D463/'PRACTICE Equity Price Data'!D462)-1)+D461</f>
        <v>#DIV/0!</v>
      </c>
      <c r="E462" s="34" t="str">
        <f>(('PRACTICE Equity Price Data'!E463/'PRACTICE Equity Price Data'!E462)-1)+E461</f>
        <v>#DIV/0!</v>
      </c>
      <c r="F462" s="3">
        <v>13.0</v>
      </c>
      <c r="G462" s="3">
        <v>260.0</v>
      </c>
      <c r="H462" s="3">
        <v>110.0</v>
      </c>
      <c r="I462" s="3">
        <v>256.0</v>
      </c>
      <c r="J462" s="3">
        <v>83.0</v>
      </c>
      <c r="K462" s="3">
        <v>188.0</v>
      </c>
      <c r="L462" s="3">
        <v>1000.0</v>
      </c>
      <c r="M462" s="3">
        <v>102.0</v>
      </c>
      <c r="N462" s="3">
        <v>200.0</v>
      </c>
      <c r="O462" s="3">
        <v>121.0</v>
      </c>
      <c r="P462" s="3">
        <v>146.0</v>
      </c>
      <c r="Q462" s="3">
        <v>80.0</v>
      </c>
      <c r="R462" s="3">
        <v>150.0</v>
      </c>
      <c r="S462" s="3">
        <v>417.0</v>
      </c>
      <c r="T462" s="3">
        <v>120.0</v>
      </c>
      <c r="U462" s="3">
        <v>80.0</v>
      </c>
      <c r="V462" s="1">
        <v>88.0</v>
      </c>
      <c r="W462" s="1">
        <v>250.0</v>
      </c>
      <c r="X462" s="1">
        <v>264.0</v>
      </c>
      <c r="Y462" s="1">
        <v>161.0</v>
      </c>
      <c r="Z462" s="1">
        <v>69.0</v>
      </c>
      <c r="AA462" s="1"/>
      <c r="AB462" s="1">
        <v>13.0</v>
      </c>
      <c r="AC462" s="1">
        <v>150.0</v>
      </c>
      <c r="AD462" s="1">
        <v>170.0</v>
      </c>
      <c r="AE462" s="1">
        <v>60.0</v>
      </c>
      <c r="AF462" s="1">
        <v>40.0</v>
      </c>
      <c r="AG462" s="1">
        <v>45.0</v>
      </c>
      <c r="AH462" s="1"/>
      <c r="AI462" s="1">
        <v>205.0</v>
      </c>
      <c r="AJ462" s="1">
        <v>60.0</v>
      </c>
      <c r="AK462" s="1">
        <v>100.0</v>
      </c>
      <c r="AL462" s="1">
        <v>175.0</v>
      </c>
      <c r="AM462" s="1">
        <v>130.0</v>
      </c>
      <c r="AN462" s="3">
        <v>47.0</v>
      </c>
      <c r="AO462" s="3">
        <v>160.0</v>
      </c>
      <c r="AP462" s="3">
        <v>70.0</v>
      </c>
      <c r="AQ462" s="3"/>
      <c r="AR462" s="1">
        <v>854.0</v>
      </c>
      <c r="AS462" s="1">
        <v>250.0</v>
      </c>
      <c r="AT462" s="1">
        <v>220.0</v>
      </c>
      <c r="AU462" s="3">
        <v>223.0</v>
      </c>
      <c r="AV462" s="1">
        <v>120.0</v>
      </c>
      <c r="AW462" s="3">
        <v>384.0</v>
      </c>
      <c r="AX462" s="3">
        <v>114.0</v>
      </c>
      <c r="AY462" s="3">
        <v>142.0</v>
      </c>
      <c r="AZ462" s="1">
        <v>40.0</v>
      </c>
      <c r="BA462" s="1"/>
      <c r="BB462" s="3">
        <v>225.0</v>
      </c>
      <c r="BC462" s="1"/>
      <c r="BD462" s="1">
        <v>190.0</v>
      </c>
      <c r="BE462" s="1">
        <v>80.0</v>
      </c>
      <c r="BF462" s="3">
        <v>328.0</v>
      </c>
      <c r="BG462" s="1">
        <v>213.0</v>
      </c>
      <c r="BH462" s="1">
        <v>23.0</v>
      </c>
      <c r="BI462" s="1">
        <v>40.0</v>
      </c>
      <c r="BJ462" s="1">
        <v>278.0</v>
      </c>
      <c r="BK462" s="3"/>
      <c r="BL462" s="1">
        <v>160.0</v>
      </c>
      <c r="BM462" s="1">
        <v>75.0</v>
      </c>
      <c r="BN462" s="32">
        <v>1802.0</v>
      </c>
      <c r="BO462" s="1">
        <v>47.0</v>
      </c>
      <c r="BP462" s="3">
        <v>48.0</v>
      </c>
      <c r="BQ462" s="1">
        <v>188.0</v>
      </c>
      <c r="BR462" s="28">
        <v>74823.25</v>
      </c>
    </row>
    <row r="463">
      <c r="A463" s="25" t="str">
        <f>'Equity Price Data'!A464</f>
        <v/>
      </c>
      <c r="B463" s="34" t="str">
        <f>(('PRACTICE Equity Price Data'!B464/'PRACTICE Equity Price Data'!B463)-1)+B462</f>
        <v>#DIV/0!</v>
      </c>
      <c r="C463" s="34" t="str">
        <f>(('PRACTICE Equity Price Data'!C464/'PRACTICE Equity Price Data'!C463)-1)+C462</f>
        <v>#DIV/0!</v>
      </c>
      <c r="D463" s="34" t="str">
        <f>(('PRACTICE Equity Price Data'!D464/'PRACTICE Equity Price Data'!D463)-1)+D462</f>
        <v>#DIV/0!</v>
      </c>
      <c r="E463" s="34" t="str">
        <f>(('PRACTICE Equity Price Data'!E464/'PRACTICE Equity Price Data'!E463)-1)+E462</f>
        <v>#DIV/0!</v>
      </c>
      <c r="F463" s="3">
        <v>13.0</v>
      </c>
      <c r="G463" s="3">
        <v>260.0</v>
      </c>
      <c r="H463" s="3">
        <v>110.0</v>
      </c>
      <c r="I463" s="3">
        <v>256.0</v>
      </c>
      <c r="J463" s="3">
        <v>83.0</v>
      </c>
      <c r="K463" s="3">
        <v>188.0</v>
      </c>
      <c r="L463" s="3">
        <v>1000.0</v>
      </c>
      <c r="M463" s="3">
        <v>102.0</v>
      </c>
      <c r="N463" s="3">
        <v>200.0</v>
      </c>
      <c r="O463" s="3">
        <v>121.0</v>
      </c>
      <c r="P463" s="3">
        <v>146.0</v>
      </c>
      <c r="Q463" s="3">
        <v>80.0</v>
      </c>
      <c r="R463" s="3">
        <v>150.0</v>
      </c>
      <c r="S463" s="3">
        <v>417.0</v>
      </c>
      <c r="T463" s="3">
        <v>120.0</v>
      </c>
      <c r="U463" s="3">
        <v>80.0</v>
      </c>
      <c r="V463" s="1">
        <v>88.0</v>
      </c>
      <c r="W463" s="1">
        <v>250.0</v>
      </c>
      <c r="X463" s="1">
        <v>264.0</v>
      </c>
      <c r="Y463" s="1">
        <v>161.0</v>
      </c>
      <c r="Z463" s="1">
        <v>69.0</v>
      </c>
      <c r="AA463" s="1"/>
      <c r="AB463" s="1">
        <v>13.0</v>
      </c>
      <c r="AC463" s="1">
        <v>150.0</v>
      </c>
      <c r="AD463" s="1">
        <v>170.0</v>
      </c>
      <c r="AE463" s="1">
        <v>60.0</v>
      </c>
      <c r="AF463" s="1">
        <v>40.0</v>
      </c>
      <c r="AG463" s="1">
        <v>45.0</v>
      </c>
      <c r="AH463" s="1"/>
      <c r="AI463" s="1">
        <v>205.0</v>
      </c>
      <c r="AJ463" s="1">
        <v>60.0</v>
      </c>
      <c r="AK463" s="1">
        <v>100.0</v>
      </c>
      <c r="AL463" s="1">
        <v>175.0</v>
      </c>
      <c r="AM463" s="1">
        <v>130.0</v>
      </c>
      <c r="AN463" s="3">
        <v>47.0</v>
      </c>
      <c r="AO463" s="3">
        <v>160.0</v>
      </c>
      <c r="AP463" s="3">
        <v>70.0</v>
      </c>
      <c r="AQ463" s="3"/>
      <c r="AR463" s="1">
        <v>854.0</v>
      </c>
      <c r="AS463" s="1">
        <v>250.0</v>
      </c>
      <c r="AT463" s="1">
        <v>220.0</v>
      </c>
      <c r="AU463" s="3">
        <v>223.0</v>
      </c>
      <c r="AV463" s="1">
        <v>120.0</v>
      </c>
      <c r="AW463" s="3">
        <v>384.0</v>
      </c>
      <c r="AX463" s="3">
        <v>114.0</v>
      </c>
      <c r="AY463" s="3">
        <v>142.0</v>
      </c>
      <c r="AZ463" s="1">
        <v>40.0</v>
      </c>
      <c r="BA463" s="1"/>
      <c r="BB463" s="3">
        <v>225.0</v>
      </c>
      <c r="BC463" s="1"/>
      <c r="BD463" s="1">
        <v>190.0</v>
      </c>
      <c r="BE463" s="1">
        <v>80.0</v>
      </c>
      <c r="BF463" s="3">
        <v>328.0</v>
      </c>
      <c r="BG463" s="1">
        <v>213.0</v>
      </c>
      <c r="BH463" s="1">
        <v>23.0</v>
      </c>
      <c r="BI463" s="1">
        <v>40.0</v>
      </c>
      <c r="BJ463" s="1">
        <v>278.0</v>
      </c>
      <c r="BK463" s="3"/>
      <c r="BL463" s="1">
        <v>160.0</v>
      </c>
      <c r="BM463" s="1">
        <v>75.0</v>
      </c>
      <c r="BN463" s="32">
        <v>1802.0</v>
      </c>
      <c r="BO463" s="1">
        <v>47.0</v>
      </c>
      <c r="BP463" s="3">
        <v>48.0</v>
      </c>
      <c r="BQ463" s="1">
        <v>188.0</v>
      </c>
      <c r="BR463" s="28">
        <v>74823.25</v>
      </c>
    </row>
    <row r="464">
      <c r="A464" s="25" t="str">
        <f>'Equity Price Data'!A465</f>
        <v/>
      </c>
      <c r="B464" s="34" t="str">
        <f>(('PRACTICE Equity Price Data'!B465/'PRACTICE Equity Price Data'!B464)-1)+B463</f>
        <v>#DIV/0!</v>
      </c>
      <c r="C464" s="34" t="str">
        <f>(('PRACTICE Equity Price Data'!C465/'PRACTICE Equity Price Data'!C464)-1)+C463</f>
        <v>#DIV/0!</v>
      </c>
      <c r="D464" s="34" t="str">
        <f>(('PRACTICE Equity Price Data'!D465/'PRACTICE Equity Price Data'!D464)-1)+D463</f>
        <v>#DIV/0!</v>
      </c>
      <c r="E464" s="34" t="str">
        <f>(('PRACTICE Equity Price Data'!E465/'PRACTICE Equity Price Data'!E464)-1)+E463</f>
        <v>#DIV/0!</v>
      </c>
      <c r="F464" s="3">
        <v>13.0</v>
      </c>
      <c r="G464" s="3">
        <v>260.0</v>
      </c>
      <c r="H464" s="3">
        <v>110.0</v>
      </c>
      <c r="I464" s="3">
        <v>256.0</v>
      </c>
      <c r="J464" s="3">
        <v>83.0</v>
      </c>
      <c r="K464" s="3">
        <v>188.0</v>
      </c>
      <c r="L464" s="3">
        <v>1000.0</v>
      </c>
      <c r="M464" s="3">
        <v>102.0</v>
      </c>
      <c r="N464" s="3">
        <v>200.0</v>
      </c>
      <c r="O464" s="3">
        <v>121.0</v>
      </c>
      <c r="P464" s="3">
        <v>146.0</v>
      </c>
      <c r="Q464" s="3">
        <v>80.0</v>
      </c>
      <c r="R464" s="3">
        <v>150.0</v>
      </c>
      <c r="S464" s="3">
        <v>417.0</v>
      </c>
      <c r="T464" s="3">
        <v>120.0</v>
      </c>
      <c r="U464" s="3">
        <v>80.0</v>
      </c>
      <c r="V464" s="1">
        <v>88.0</v>
      </c>
      <c r="W464" s="1">
        <v>250.0</v>
      </c>
      <c r="X464" s="1">
        <v>264.0</v>
      </c>
      <c r="Y464" s="1">
        <v>161.0</v>
      </c>
      <c r="Z464" s="1">
        <v>69.0</v>
      </c>
      <c r="AA464" s="1"/>
      <c r="AB464" s="1">
        <v>13.0</v>
      </c>
      <c r="AC464" s="1">
        <v>150.0</v>
      </c>
      <c r="AD464" s="1">
        <v>170.0</v>
      </c>
      <c r="AE464" s="1">
        <v>60.0</v>
      </c>
      <c r="AF464" s="1">
        <v>40.0</v>
      </c>
      <c r="AG464" s="1">
        <v>45.0</v>
      </c>
      <c r="AH464" s="1"/>
      <c r="AI464" s="1">
        <v>205.0</v>
      </c>
      <c r="AJ464" s="1">
        <v>60.0</v>
      </c>
      <c r="AK464" s="1">
        <v>100.0</v>
      </c>
      <c r="AL464" s="1">
        <v>175.0</v>
      </c>
      <c r="AM464" s="1">
        <v>130.0</v>
      </c>
      <c r="AN464" s="3">
        <v>47.0</v>
      </c>
      <c r="AO464" s="3">
        <v>160.0</v>
      </c>
      <c r="AP464" s="3">
        <v>70.0</v>
      </c>
      <c r="AQ464" s="3"/>
      <c r="AR464" s="1">
        <v>854.0</v>
      </c>
      <c r="AS464" s="1">
        <v>250.0</v>
      </c>
      <c r="AT464" s="1">
        <v>220.0</v>
      </c>
      <c r="AU464" s="3">
        <v>223.0</v>
      </c>
      <c r="AV464" s="1">
        <v>120.0</v>
      </c>
      <c r="AW464" s="3">
        <v>384.0</v>
      </c>
      <c r="AX464" s="3">
        <v>114.0</v>
      </c>
      <c r="AY464" s="3">
        <v>142.0</v>
      </c>
      <c r="AZ464" s="1">
        <v>40.0</v>
      </c>
      <c r="BA464" s="1"/>
      <c r="BB464" s="3">
        <v>225.0</v>
      </c>
      <c r="BC464" s="1"/>
      <c r="BD464" s="1">
        <v>190.0</v>
      </c>
      <c r="BE464" s="1">
        <v>80.0</v>
      </c>
      <c r="BF464" s="3">
        <v>328.0</v>
      </c>
      <c r="BG464" s="1">
        <v>213.0</v>
      </c>
      <c r="BH464" s="1">
        <v>23.0</v>
      </c>
      <c r="BI464" s="1">
        <v>40.0</v>
      </c>
      <c r="BJ464" s="1">
        <v>278.0</v>
      </c>
      <c r="BK464" s="3"/>
      <c r="BL464" s="1">
        <v>160.0</v>
      </c>
      <c r="BM464" s="1">
        <v>75.0</v>
      </c>
      <c r="BN464" s="32">
        <v>1802.0</v>
      </c>
      <c r="BO464" s="1">
        <v>47.0</v>
      </c>
      <c r="BP464" s="3">
        <v>48.0</v>
      </c>
      <c r="BQ464" s="1">
        <v>188.0</v>
      </c>
      <c r="BR464" s="28">
        <v>74823.25</v>
      </c>
    </row>
    <row r="465">
      <c r="A465" s="25" t="str">
        <f>'Equity Price Data'!A466</f>
        <v/>
      </c>
      <c r="B465" s="34" t="str">
        <f>(('PRACTICE Equity Price Data'!B466/'PRACTICE Equity Price Data'!B465)-1)+B464</f>
        <v>#DIV/0!</v>
      </c>
      <c r="C465" s="34" t="str">
        <f>(('PRACTICE Equity Price Data'!C466/'PRACTICE Equity Price Data'!C465)-1)+C464</f>
        <v>#DIV/0!</v>
      </c>
      <c r="D465" s="34" t="str">
        <f>(('PRACTICE Equity Price Data'!D466/'PRACTICE Equity Price Data'!D465)-1)+D464</f>
        <v>#DIV/0!</v>
      </c>
      <c r="E465" s="34" t="str">
        <f>(('PRACTICE Equity Price Data'!E466/'PRACTICE Equity Price Data'!E465)-1)+E464</f>
        <v>#DIV/0!</v>
      </c>
      <c r="F465" s="3">
        <v>13.0</v>
      </c>
      <c r="G465" s="3">
        <v>260.0</v>
      </c>
      <c r="H465" s="3">
        <v>110.0</v>
      </c>
      <c r="I465" s="3">
        <v>256.0</v>
      </c>
      <c r="J465" s="3">
        <v>83.0</v>
      </c>
      <c r="K465" s="3">
        <v>188.0</v>
      </c>
      <c r="L465" s="3">
        <v>1000.0</v>
      </c>
      <c r="M465" s="3">
        <v>102.0</v>
      </c>
      <c r="N465" s="3">
        <v>200.0</v>
      </c>
      <c r="O465" s="3">
        <v>121.0</v>
      </c>
      <c r="P465" s="3">
        <v>146.0</v>
      </c>
      <c r="Q465" s="3">
        <v>80.0</v>
      </c>
      <c r="R465" s="3">
        <v>150.0</v>
      </c>
      <c r="S465" s="3">
        <v>417.0</v>
      </c>
      <c r="T465" s="3">
        <v>120.0</v>
      </c>
      <c r="U465" s="3">
        <v>80.0</v>
      </c>
      <c r="V465" s="1">
        <v>88.0</v>
      </c>
      <c r="W465" s="1">
        <v>250.0</v>
      </c>
      <c r="X465" s="1">
        <v>264.0</v>
      </c>
      <c r="Y465" s="1">
        <v>161.0</v>
      </c>
      <c r="Z465" s="1">
        <v>69.0</v>
      </c>
      <c r="AA465" s="1"/>
      <c r="AB465" s="1">
        <v>13.0</v>
      </c>
      <c r="AC465" s="1">
        <v>150.0</v>
      </c>
      <c r="AD465" s="1">
        <v>170.0</v>
      </c>
      <c r="AE465" s="1">
        <v>60.0</v>
      </c>
      <c r="AF465" s="1">
        <v>40.0</v>
      </c>
      <c r="AG465" s="1">
        <v>45.0</v>
      </c>
      <c r="AH465" s="1"/>
      <c r="AI465" s="1">
        <v>205.0</v>
      </c>
      <c r="AJ465" s="1">
        <v>60.0</v>
      </c>
      <c r="AK465" s="1">
        <v>100.0</v>
      </c>
      <c r="AL465" s="1">
        <v>175.0</v>
      </c>
      <c r="AM465" s="1">
        <v>130.0</v>
      </c>
      <c r="AN465" s="3">
        <v>47.0</v>
      </c>
      <c r="AO465" s="3">
        <v>160.0</v>
      </c>
      <c r="AP465" s="3">
        <v>70.0</v>
      </c>
      <c r="AQ465" s="3"/>
      <c r="AR465" s="1">
        <v>854.0</v>
      </c>
      <c r="AS465" s="1">
        <v>250.0</v>
      </c>
      <c r="AT465" s="1">
        <v>220.0</v>
      </c>
      <c r="AU465" s="3">
        <v>223.0</v>
      </c>
      <c r="AV465" s="1">
        <v>120.0</v>
      </c>
      <c r="AW465" s="3">
        <v>384.0</v>
      </c>
      <c r="AX465" s="3">
        <v>114.0</v>
      </c>
      <c r="AY465" s="3">
        <v>142.0</v>
      </c>
      <c r="AZ465" s="1">
        <v>40.0</v>
      </c>
      <c r="BA465" s="1"/>
      <c r="BB465" s="3">
        <v>225.0</v>
      </c>
      <c r="BC465" s="1"/>
      <c r="BD465" s="1">
        <v>190.0</v>
      </c>
      <c r="BE465" s="1">
        <v>80.0</v>
      </c>
      <c r="BF465" s="3">
        <v>328.0</v>
      </c>
      <c r="BG465" s="1">
        <v>213.0</v>
      </c>
      <c r="BH465" s="1">
        <v>23.0</v>
      </c>
      <c r="BI465" s="1">
        <v>40.0</v>
      </c>
      <c r="BJ465" s="1">
        <v>278.0</v>
      </c>
      <c r="BK465" s="3"/>
      <c r="BL465" s="1">
        <v>160.0</v>
      </c>
      <c r="BM465" s="1">
        <v>75.0</v>
      </c>
      <c r="BN465" s="32">
        <v>1802.0</v>
      </c>
      <c r="BO465" s="1">
        <v>47.0</v>
      </c>
      <c r="BP465" s="3">
        <v>48.0</v>
      </c>
      <c r="BQ465" s="1">
        <v>188.0</v>
      </c>
      <c r="BR465" s="28">
        <v>74823.25</v>
      </c>
    </row>
    <row r="466">
      <c r="A466" s="25" t="str">
        <f>'Equity Price Data'!A467</f>
        <v/>
      </c>
      <c r="B466" s="34" t="str">
        <f>(('PRACTICE Equity Price Data'!B467/'PRACTICE Equity Price Data'!B466)-1)+B465</f>
        <v>#DIV/0!</v>
      </c>
      <c r="C466" s="34" t="str">
        <f>(('PRACTICE Equity Price Data'!C467/'PRACTICE Equity Price Data'!C466)-1)+C465</f>
        <v>#DIV/0!</v>
      </c>
      <c r="D466" s="34" t="str">
        <f>(('PRACTICE Equity Price Data'!D467/'PRACTICE Equity Price Data'!D466)-1)+D465</f>
        <v>#DIV/0!</v>
      </c>
      <c r="E466" s="34" t="str">
        <f>(('PRACTICE Equity Price Data'!E467/'PRACTICE Equity Price Data'!E466)-1)+E465</f>
        <v>#DIV/0!</v>
      </c>
      <c r="F466" s="3">
        <v>13.0</v>
      </c>
      <c r="G466" s="3">
        <v>260.0</v>
      </c>
      <c r="H466" s="3">
        <v>110.0</v>
      </c>
      <c r="I466" s="3">
        <v>256.0</v>
      </c>
      <c r="J466" s="3">
        <v>83.0</v>
      </c>
      <c r="K466" s="3">
        <v>188.0</v>
      </c>
      <c r="L466" s="3">
        <v>1000.0</v>
      </c>
      <c r="M466" s="3">
        <v>102.0</v>
      </c>
      <c r="N466" s="3">
        <v>200.0</v>
      </c>
      <c r="O466" s="3">
        <v>121.0</v>
      </c>
      <c r="P466" s="3">
        <v>146.0</v>
      </c>
      <c r="Q466" s="3">
        <v>80.0</v>
      </c>
      <c r="R466" s="3">
        <v>150.0</v>
      </c>
      <c r="S466" s="3">
        <v>417.0</v>
      </c>
      <c r="T466" s="3">
        <v>120.0</v>
      </c>
      <c r="U466" s="3">
        <v>80.0</v>
      </c>
      <c r="V466" s="1">
        <v>88.0</v>
      </c>
      <c r="W466" s="1">
        <v>250.0</v>
      </c>
      <c r="X466" s="1">
        <v>264.0</v>
      </c>
      <c r="Y466" s="1">
        <v>161.0</v>
      </c>
      <c r="Z466" s="1">
        <v>69.0</v>
      </c>
      <c r="AA466" s="1"/>
      <c r="AB466" s="1">
        <v>13.0</v>
      </c>
      <c r="AC466" s="1">
        <v>150.0</v>
      </c>
      <c r="AD466" s="1">
        <v>170.0</v>
      </c>
      <c r="AE466" s="1">
        <v>60.0</v>
      </c>
      <c r="AF466" s="1">
        <v>40.0</v>
      </c>
      <c r="AG466" s="1">
        <v>45.0</v>
      </c>
      <c r="AH466" s="1"/>
      <c r="AI466" s="1">
        <v>205.0</v>
      </c>
      <c r="AJ466" s="1">
        <v>60.0</v>
      </c>
      <c r="AK466" s="1">
        <v>100.0</v>
      </c>
      <c r="AL466" s="1">
        <v>175.0</v>
      </c>
      <c r="AM466" s="1">
        <v>130.0</v>
      </c>
      <c r="AN466" s="3">
        <v>47.0</v>
      </c>
      <c r="AO466" s="3">
        <v>160.0</v>
      </c>
      <c r="AP466" s="3">
        <v>70.0</v>
      </c>
      <c r="AQ466" s="3"/>
      <c r="AR466" s="1">
        <v>854.0</v>
      </c>
      <c r="AS466" s="1">
        <v>250.0</v>
      </c>
      <c r="AT466" s="1">
        <v>220.0</v>
      </c>
      <c r="AU466" s="3">
        <v>223.0</v>
      </c>
      <c r="AV466" s="1">
        <v>120.0</v>
      </c>
      <c r="AW466" s="3">
        <v>384.0</v>
      </c>
      <c r="AX466" s="3">
        <v>114.0</v>
      </c>
      <c r="AY466" s="3">
        <v>142.0</v>
      </c>
      <c r="AZ466" s="1">
        <v>40.0</v>
      </c>
      <c r="BA466" s="1"/>
      <c r="BB466" s="3">
        <v>225.0</v>
      </c>
      <c r="BC466" s="1"/>
      <c r="BD466" s="1">
        <v>190.0</v>
      </c>
      <c r="BE466" s="1">
        <v>80.0</v>
      </c>
      <c r="BF466" s="3">
        <v>328.0</v>
      </c>
      <c r="BG466" s="1">
        <v>213.0</v>
      </c>
      <c r="BH466" s="1">
        <v>23.0</v>
      </c>
      <c r="BI466" s="1">
        <v>40.0</v>
      </c>
      <c r="BJ466" s="1">
        <v>278.0</v>
      </c>
      <c r="BK466" s="3"/>
      <c r="BL466" s="1">
        <v>160.0</v>
      </c>
      <c r="BM466" s="1">
        <v>75.0</v>
      </c>
      <c r="BN466" s="32">
        <v>1802.0</v>
      </c>
      <c r="BO466" s="1">
        <v>47.0</v>
      </c>
      <c r="BP466" s="3">
        <v>48.0</v>
      </c>
      <c r="BQ466" s="1">
        <v>188.0</v>
      </c>
      <c r="BR466" s="28">
        <v>74823.25</v>
      </c>
    </row>
    <row r="467">
      <c r="A467" s="25" t="str">
        <f>'Equity Price Data'!A468</f>
        <v/>
      </c>
      <c r="B467" s="34" t="str">
        <f>(('PRACTICE Equity Price Data'!B468/'PRACTICE Equity Price Data'!B467)-1)+B466</f>
        <v>#DIV/0!</v>
      </c>
      <c r="C467" s="34" t="str">
        <f>(('PRACTICE Equity Price Data'!C468/'PRACTICE Equity Price Data'!C467)-1)+C466</f>
        <v>#DIV/0!</v>
      </c>
      <c r="D467" s="34" t="str">
        <f>(('PRACTICE Equity Price Data'!D468/'PRACTICE Equity Price Data'!D467)-1)+D466</f>
        <v>#DIV/0!</v>
      </c>
      <c r="E467" s="34" t="str">
        <f>(('PRACTICE Equity Price Data'!E468/'PRACTICE Equity Price Data'!E467)-1)+E466</f>
        <v>#DIV/0!</v>
      </c>
      <c r="F467" s="3">
        <v>13.0</v>
      </c>
      <c r="G467" s="3">
        <v>260.0</v>
      </c>
      <c r="H467" s="3">
        <v>110.0</v>
      </c>
      <c r="I467" s="3">
        <v>256.0</v>
      </c>
      <c r="J467" s="3">
        <v>83.0</v>
      </c>
      <c r="K467" s="3">
        <v>188.0</v>
      </c>
      <c r="L467" s="3">
        <v>1000.0</v>
      </c>
      <c r="M467" s="3">
        <v>102.0</v>
      </c>
      <c r="N467" s="3">
        <v>200.0</v>
      </c>
      <c r="O467" s="3">
        <v>121.0</v>
      </c>
      <c r="P467" s="3">
        <v>146.0</v>
      </c>
      <c r="Q467" s="3">
        <v>80.0</v>
      </c>
      <c r="R467" s="3">
        <v>150.0</v>
      </c>
      <c r="S467" s="3">
        <v>417.0</v>
      </c>
      <c r="T467" s="3">
        <v>120.0</v>
      </c>
      <c r="U467" s="3">
        <v>80.0</v>
      </c>
      <c r="V467" s="1">
        <v>88.0</v>
      </c>
      <c r="W467" s="1">
        <v>250.0</v>
      </c>
      <c r="X467" s="1">
        <v>264.0</v>
      </c>
      <c r="Y467" s="1">
        <v>161.0</v>
      </c>
      <c r="Z467" s="1">
        <v>69.0</v>
      </c>
      <c r="AA467" s="1"/>
      <c r="AB467" s="1">
        <v>13.0</v>
      </c>
      <c r="AC467" s="1">
        <v>150.0</v>
      </c>
      <c r="AD467" s="1">
        <v>170.0</v>
      </c>
      <c r="AE467" s="1">
        <v>60.0</v>
      </c>
      <c r="AF467" s="1">
        <v>40.0</v>
      </c>
      <c r="AG467" s="1">
        <v>45.0</v>
      </c>
      <c r="AH467" s="1"/>
      <c r="AI467" s="1">
        <v>205.0</v>
      </c>
      <c r="AJ467" s="1">
        <v>60.0</v>
      </c>
      <c r="AK467" s="1">
        <v>100.0</v>
      </c>
      <c r="AL467" s="1">
        <v>175.0</v>
      </c>
      <c r="AM467" s="1">
        <v>130.0</v>
      </c>
      <c r="AN467" s="3">
        <v>47.0</v>
      </c>
      <c r="AO467" s="3">
        <v>160.0</v>
      </c>
      <c r="AP467" s="3">
        <v>70.0</v>
      </c>
      <c r="AQ467" s="3"/>
      <c r="AR467" s="1">
        <v>854.0</v>
      </c>
      <c r="AS467" s="1">
        <v>250.0</v>
      </c>
      <c r="AT467" s="1">
        <v>220.0</v>
      </c>
      <c r="AU467" s="3">
        <v>223.0</v>
      </c>
      <c r="AV467" s="1">
        <v>120.0</v>
      </c>
      <c r="AW467" s="3">
        <v>384.0</v>
      </c>
      <c r="AX467" s="3">
        <v>114.0</v>
      </c>
      <c r="AY467" s="3">
        <v>142.0</v>
      </c>
      <c r="AZ467" s="1">
        <v>40.0</v>
      </c>
      <c r="BA467" s="1"/>
      <c r="BB467" s="3">
        <v>225.0</v>
      </c>
      <c r="BC467" s="1"/>
      <c r="BD467" s="1">
        <v>190.0</v>
      </c>
      <c r="BE467" s="1">
        <v>80.0</v>
      </c>
      <c r="BF467" s="3">
        <v>328.0</v>
      </c>
      <c r="BG467" s="1">
        <v>213.0</v>
      </c>
      <c r="BH467" s="1">
        <v>23.0</v>
      </c>
      <c r="BI467" s="1">
        <v>40.0</v>
      </c>
      <c r="BJ467" s="1">
        <v>278.0</v>
      </c>
      <c r="BK467" s="3"/>
      <c r="BL467" s="1">
        <v>160.0</v>
      </c>
      <c r="BM467" s="1">
        <v>75.0</v>
      </c>
      <c r="BN467" s="32">
        <v>1802.0</v>
      </c>
      <c r="BO467" s="1">
        <v>47.0</v>
      </c>
      <c r="BP467" s="3">
        <v>48.0</v>
      </c>
      <c r="BQ467" s="1">
        <v>188.0</v>
      </c>
      <c r="BR467" s="28">
        <v>74823.25</v>
      </c>
    </row>
    <row r="468">
      <c r="A468" s="25" t="str">
        <f>'Equity Price Data'!A469</f>
        <v/>
      </c>
      <c r="B468" s="34" t="str">
        <f>(('PRACTICE Equity Price Data'!B469/'PRACTICE Equity Price Data'!B468)-1)+B467</f>
        <v>#DIV/0!</v>
      </c>
      <c r="C468" s="34" t="str">
        <f>(('PRACTICE Equity Price Data'!C469/'PRACTICE Equity Price Data'!C468)-1)+C467</f>
        <v>#DIV/0!</v>
      </c>
      <c r="D468" s="34" t="str">
        <f>(('PRACTICE Equity Price Data'!D469/'PRACTICE Equity Price Data'!D468)-1)+D467</f>
        <v>#DIV/0!</v>
      </c>
      <c r="E468" s="34" t="str">
        <f>(('PRACTICE Equity Price Data'!E469/'PRACTICE Equity Price Data'!E468)-1)+E467</f>
        <v>#DIV/0!</v>
      </c>
      <c r="F468" s="3">
        <v>13.0</v>
      </c>
      <c r="G468" s="3">
        <v>260.0</v>
      </c>
      <c r="H468" s="3">
        <v>110.0</v>
      </c>
      <c r="I468" s="3">
        <v>256.0</v>
      </c>
      <c r="J468" s="3">
        <v>83.0</v>
      </c>
      <c r="K468" s="3">
        <v>188.0</v>
      </c>
      <c r="L468" s="3">
        <v>1000.0</v>
      </c>
      <c r="M468" s="3">
        <v>102.0</v>
      </c>
      <c r="N468" s="3">
        <v>200.0</v>
      </c>
      <c r="O468" s="3">
        <v>121.0</v>
      </c>
      <c r="P468" s="3">
        <v>146.0</v>
      </c>
      <c r="Q468" s="3">
        <v>80.0</v>
      </c>
      <c r="R468" s="3">
        <v>150.0</v>
      </c>
      <c r="S468" s="3">
        <v>417.0</v>
      </c>
      <c r="T468" s="3">
        <v>120.0</v>
      </c>
      <c r="U468" s="3">
        <v>80.0</v>
      </c>
      <c r="V468" s="1">
        <v>88.0</v>
      </c>
      <c r="W468" s="1">
        <v>250.0</v>
      </c>
      <c r="X468" s="1">
        <v>264.0</v>
      </c>
      <c r="Y468" s="1">
        <v>161.0</v>
      </c>
      <c r="Z468" s="1">
        <v>69.0</v>
      </c>
      <c r="AA468" s="1"/>
      <c r="AB468" s="1">
        <v>13.0</v>
      </c>
      <c r="AC468" s="1">
        <v>150.0</v>
      </c>
      <c r="AD468" s="1">
        <v>170.0</v>
      </c>
      <c r="AE468" s="1">
        <v>60.0</v>
      </c>
      <c r="AF468" s="1">
        <v>40.0</v>
      </c>
      <c r="AG468" s="1">
        <v>45.0</v>
      </c>
      <c r="AH468" s="1"/>
      <c r="AI468" s="1">
        <v>205.0</v>
      </c>
      <c r="AJ468" s="1">
        <v>60.0</v>
      </c>
      <c r="AK468" s="1">
        <v>100.0</v>
      </c>
      <c r="AL468" s="1">
        <v>175.0</v>
      </c>
      <c r="AM468" s="1">
        <v>130.0</v>
      </c>
      <c r="AN468" s="3">
        <v>47.0</v>
      </c>
      <c r="AO468" s="3">
        <v>160.0</v>
      </c>
      <c r="AP468" s="3">
        <v>70.0</v>
      </c>
      <c r="AQ468" s="3"/>
      <c r="AR468" s="1">
        <v>854.0</v>
      </c>
      <c r="AS468" s="1">
        <v>250.0</v>
      </c>
      <c r="AT468" s="1">
        <v>220.0</v>
      </c>
      <c r="AU468" s="3">
        <v>223.0</v>
      </c>
      <c r="AV468" s="1">
        <v>120.0</v>
      </c>
      <c r="AW468" s="3">
        <v>384.0</v>
      </c>
      <c r="AX468" s="3">
        <v>114.0</v>
      </c>
      <c r="AY468" s="3">
        <v>142.0</v>
      </c>
      <c r="AZ468" s="1">
        <v>40.0</v>
      </c>
      <c r="BA468" s="1"/>
      <c r="BB468" s="3">
        <v>225.0</v>
      </c>
      <c r="BC468" s="1"/>
      <c r="BD468" s="1">
        <v>190.0</v>
      </c>
      <c r="BE468" s="1">
        <v>80.0</v>
      </c>
      <c r="BF468" s="3">
        <v>328.0</v>
      </c>
      <c r="BG468" s="1">
        <v>213.0</v>
      </c>
      <c r="BH468" s="1">
        <v>23.0</v>
      </c>
      <c r="BI468" s="1">
        <v>40.0</v>
      </c>
      <c r="BJ468" s="1">
        <v>278.0</v>
      </c>
      <c r="BK468" s="3"/>
      <c r="BL468" s="1">
        <v>160.0</v>
      </c>
      <c r="BM468" s="1">
        <v>75.0</v>
      </c>
      <c r="BN468" s="32">
        <v>1802.0</v>
      </c>
      <c r="BO468" s="1">
        <v>47.0</v>
      </c>
      <c r="BP468" s="3">
        <v>48.0</v>
      </c>
      <c r="BQ468" s="1">
        <v>188.0</v>
      </c>
      <c r="BR468" s="28">
        <v>74823.25</v>
      </c>
    </row>
    <row r="469">
      <c r="A469" s="25" t="str">
        <f>'Equity Price Data'!A470</f>
        <v/>
      </c>
      <c r="B469" s="34" t="str">
        <f>(('PRACTICE Equity Price Data'!B470/'PRACTICE Equity Price Data'!B469)-1)+B468</f>
        <v>#DIV/0!</v>
      </c>
      <c r="C469" s="34" t="str">
        <f>(('PRACTICE Equity Price Data'!C470/'PRACTICE Equity Price Data'!C469)-1)+C468</f>
        <v>#DIV/0!</v>
      </c>
      <c r="D469" s="34" t="str">
        <f>(('PRACTICE Equity Price Data'!D470/'PRACTICE Equity Price Data'!D469)-1)+D468</f>
        <v>#DIV/0!</v>
      </c>
      <c r="E469" s="34" t="str">
        <f>(('PRACTICE Equity Price Data'!E470/'PRACTICE Equity Price Data'!E469)-1)+E468</f>
        <v>#DIV/0!</v>
      </c>
      <c r="F469" s="3">
        <v>13.0</v>
      </c>
      <c r="G469" s="3">
        <v>260.0</v>
      </c>
      <c r="H469" s="3">
        <v>110.0</v>
      </c>
      <c r="I469" s="3">
        <v>256.0</v>
      </c>
      <c r="J469" s="3">
        <v>83.0</v>
      </c>
      <c r="K469" s="3">
        <v>188.0</v>
      </c>
      <c r="L469" s="3">
        <v>1000.0</v>
      </c>
      <c r="M469" s="3">
        <v>102.0</v>
      </c>
      <c r="N469" s="3">
        <v>200.0</v>
      </c>
      <c r="O469" s="3">
        <v>121.0</v>
      </c>
      <c r="P469" s="3">
        <v>146.0</v>
      </c>
      <c r="Q469" s="3">
        <v>80.0</v>
      </c>
      <c r="R469" s="3">
        <v>150.0</v>
      </c>
      <c r="S469" s="3">
        <v>417.0</v>
      </c>
      <c r="T469" s="3">
        <v>120.0</v>
      </c>
      <c r="U469" s="3">
        <v>80.0</v>
      </c>
      <c r="V469" s="1">
        <v>88.0</v>
      </c>
      <c r="W469" s="1">
        <v>250.0</v>
      </c>
      <c r="X469" s="1">
        <v>264.0</v>
      </c>
      <c r="Y469" s="1">
        <v>161.0</v>
      </c>
      <c r="Z469" s="1">
        <v>69.0</v>
      </c>
      <c r="AA469" s="1"/>
      <c r="AB469" s="1">
        <v>13.0</v>
      </c>
      <c r="AC469" s="1">
        <v>150.0</v>
      </c>
      <c r="AD469" s="1">
        <v>170.0</v>
      </c>
      <c r="AE469" s="1">
        <v>60.0</v>
      </c>
      <c r="AF469" s="1">
        <v>40.0</v>
      </c>
      <c r="AG469" s="1">
        <v>45.0</v>
      </c>
      <c r="AH469" s="1"/>
      <c r="AI469" s="1">
        <v>205.0</v>
      </c>
      <c r="AJ469" s="1">
        <v>60.0</v>
      </c>
      <c r="AK469" s="1">
        <v>100.0</v>
      </c>
      <c r="AL469" s="1">
        <v>175.0</v>
      </c>
      <c r="AM469" s="1">
        <v>130.0</v>
      </c>
      <c r="AN469" s="3">
        <v>47.0</v>
      </c>
      <c r="AO469" s="3">
        <v>160.0</v>
      </c>
      <c r="AP469" s="3">
        <v>70.0</v>
      </c>
      <c r="AQ469" s="3"/>
      <c r="AR469" s="1">
        <v>854.0</v>
      </c>
      <c r="AS469" s="1">
        <v>250.0</v>
      </c>
      <c r="AT469" s="1">
        <v>220.0</v>
      </c>
      <c r="AU469" s="3">
        <v>223.0</v>
      </c>
      <c r="AV469" s="1">
        <v>120.0</v>
      </c>
      <c r="AW469" s="3">
        <v>384.0</v>
      </c>
      <c r="AX469" s="3">
        <v>114.0</v>
      </c>
      <c r="AY469" s="3">
        <v>142.0</v>
      </c>
      <c r="AZ469" s="1">
        <v>40.0</v>
      </c>
      <c r="BA469" s="1"/>
      <c r="BB469" s="3">
        <v>225.0</v>
      </c>
      <c r="BC469" s="1"/>
      <c r="BD469" s="1">
        <v>190.0</v>
      </c>
      <c r="BE469" s="1">
        <v>80.0</v>
      </c>
      <c r="BF469" s="3">
        <v>328.0</v>
      </c>
      <c r="BG469" s="1">
        <v>213.0</v>
      </c>
      <c r="BH469" s="1">
        <v>23.0</v>
      </c>
      <c r="BI469" s="1">
        <v>40.0</v>
      </c>
      <c r="BJ469" s="1">
        <v>278.0</v>
      </c>
      <c r="BK469" s="3"/>
      <c r="BL469" s="1">
        <v>160.0</v>
      </c>
      <c r="BM469" s="1">
        <v>75.0</v>
      </c>
      <c r="BN469" s="32">
        <v>1802.0</v>
      </c>
      <c r="BO469" s="1">
        <v>47.0</v>
      </c>
      <c r="BP469" s="3">
        <v>48.0</v>
      </c>
      <c r="BQ469" s="1">
        <v>188.0</v>
      </c>
      <c r="BR469" s="28">
        <v>74823.25</v>
      </c>
    </row>
    <row r="470">
      <c r="A470" s="25" t="str">
        <f>'Equity Price Data'!A471</f>
        <v/>
      </c>
      <c r="B470" s="34" t="str">
        <f>(('PRACTICE Equity Price Data'!B471/'PRACTICE Equity Price Data'!B470)-1)+B469</f>
        <v>#DIV/0!</v>
      </c>
      <c r="C470" s="34" t="str">
        <f>(('PRACTICE Equity Price Data'!C471/'PRACTICE Equity Price Data'!C470)-1)+C469</f>
        <v>#DIV/0!</v>
      </c>
      <c r="D470" s="34" t="str">
        <f>(('PRACTICE Equity Price Data'!D471/'PRACTICE Equity Price Data'!D470)-1)+D469</f>
        <v>#DIV/0!</v>
      </c>
      <c r="E470" s="34" t="str">
        <f>(('PRACTICE Equity Price Data'!E471/'PRACTICE Equity Price Data'!E470)-1)+E469</f>
        <v>#DIV/0!</v>
      </c>
      <c r="F470" s="3">
        <v>13.0</v>
      </c>
      <c r="G470" s="3">
        <v>260.0</v>
      </c>
      <c r="H470" s="3">
        <v>110.0</v>
      </c>
      <c r="I470" s="3">
        <v>256.0</v>
      </c>
      <c r="J470" s="3">
        <v>83.0</v>
      </c>
      <c r="K470" s="3">
        <v>188.0</v>
      </c>
      <c r="L470" s="3">
        <v>1000.0</v>
      </c>
      <c r="M470" s="3">
        <v>102.0</v>
      </c>
      <c r="N470" s="3">
        <v>200.0</v>
      </c>
      <c r="O470" s="3">
        <v>121.0</v>
      </c>
      <c r="P470" s="3">
        <v>146.0</v>
      </c>
      <c r="Q470" s="3">
        <v>80.0</v>
      </c>
      <c r="R470" s="3">
        <v>150.0</v>
      </c>
      <c r="S470" s="3">
        <v>417.0</v>
      </c>
      <c r="T470" s="3">
        <v>120.0</v>
      </c>
      <c r="U470" s="3">
        <v>80.0</v>
      </c>
      <c r="V470" s="1">
        <v>88.0</v>
      </c>
      <c r="W470" s="1">
        <v>250.0</v>
      </c>
      <c r="X470" s="1">
        <v>264.0</v>
      </c>
      <c r="Y470" s="1">
        <v>161.0</v>
      </c>
      <c r="Z470" s="1">
        <v>69.0</v>
      </c>
      <c r="AA470" s="1"/>
      <c r="AB470" s="1">
        <v>13.0</v>
      </c>
      <c r="AC470" s="1">
        <v>150.0</v>
      </c>
      <c r="AD470" s="1">
        <v>170.0</v>
      </c>
      <c r="AE470" s="1">
        <v>60.0</v>
      </c>
      <c r="AF470" s="1">
        <v>40.0</v>
      </c>
      <c r="AG470" s="1">
        <v>45.0</v>
      </c>
      <c r="AH470" s="1"/>
      <c r="AI470" s="1">
        <v>205.0</v>
      </c>
      <c r="AJ470" s="1">
        <v>60.0</v>
      </c>
      <c r="AK470" s="1">
        <v>100.0</v>
      </c>
      <c r="AL470" s="1">
        <v>175.0</v>
      </c>
      <c r="AM470" s="1">
        <v>130.0</v>
      </c>
      <c r="AN470" s="3">
        <v>47.0</v>
      </c>
      <c r="AO470" s="3">
        <v>160.0</v>
      </c>
      <c r="AP470" s="3">
        <v>70.0</v>
      </c>
      <c r="AQ470" s="3"/>
      <c r="AR470" s="1">
        <v>854.0</v>
      </c>
      <c r="AS470" s="1">
        <v>250.0</v>
      </c>
      <c r="AT470" s="1">
        <v>220.0</v>
      </c>
      <c r="AU470" s="3">
        <v>223.0</v>
      </c>
      <c r="AV470" s="1">
        <v>120.0</v>
      </c>
      <c r="AW470" s="3">
        <v>384.0</v>
      </c>
      <c r="AX470" s="3">
        <v>114.0</v>
      </c>
      <c r="AY470" s="3">
        <v>142.0</v>
      </c>
      <c r="AZ470" s="1">
        <v>40.0</v>
      </c>
      <c r="BA470" s="1"/>
      <c r="BB470" s="3">
        <v>225.0</v>
      </c>
      <c r="BC470" s="1"/>
      <c r="BD470" s="1">
        <v>190.0</v>
      </c>
      <c r="BE470" s="1">
        <v>80.0</v>
      </c>
      <c r="BF470" s="3">
        <v>328.0</v>
      </c>
      <c r="BG470" s="1">
        <v>213.0</v>
      </c>
      <c r="BH470" s="1">
        <v>23.0</v>
      </c>
      <c r="BI470" s="1">
        <v>40.0</v>
      </c>
      <c r="BJ470" s="1">
        <v>278.0</v>
      </c>
      <c r="BK470" s="3"/>
      <c r="BL470" s="1">
        <v>160.0</v>
      </c>
      <c r="BM470" s="1">
        <v>75.0</v>
      </c>
      <c r="BN470" s="32">
        <v>1802.0</v>
      </c>
      <c r="BO470" s="1">
        <v>47.0</v>
      </c>
      <c r="BP470" s="3">
        <v>48.0</v>
      </c>
      <c r="BQ470" s="1">
        <v>188.0</v>
      </c>
      <c r="BR470" s="28">
        <v>74823.25</v>
      </c>
    </row>
    <row r="471">
      <c r="A471" s="25" t="str">
        <f>'Equity Price Data'!A472</f>
        <v/>
      </c>
      <c r="B471" s="34" t="str">
        <f>(('PRACTICE Equity Price Data'!B472/'PRACTICE Equity Price Data'!B471)-1)+B470</f>
        <v>#DIV/0!</v>
      </c>
      <c r="C471" s="34" t="str">
        <f>(('PRACTICE Equity Price Data'!C472/'PRACTICE Equity Price Data'!C471)-1)+C470</f>
        <v>#DIV/0!</v>
      </c>
      <c r="D471" s="34" t="str">
        <f>(('PRACTICE Equity Price Data'!D472/'PRACTICE Equity Price Data'!D471)-1)+D470</f>
        <v>#DIV/0!</v>
      </c>
      <c r="E471" s="34" t="str">
        <f>(('PRACTICE Equity Price Data'!E472/'PRACTICE Equity Price Data'!E471)-1)+E470</f>
        <v>#DIV/0!</v>
      </c>
      <c r="F471" s="3">
        <v>13.0</v>
      </c>
      <c r="G471" s="3">
        <v>260.0</v>
      </c>
      <c r="H471" s="3">
        <v>110.0</v>
      </c>
      <c r="I471" s="3">
        <v>256.0</v>
      </c>
      <c r="J471" s="3">
        <v>83.0</v>
      </c>
      <c r="K471" s="3">
        <v>188.0</v>
      </c>
      <c r="L471" s="3">
        <v>1000.0</v>
      </c>
      <c r="M471" s="3">
        <v>102.0</v>
      </c>
      <c r="N471" s="3">
        <v>200.0</v>
      </c>
      <c r="O471" s="3">
        <v>121.0</v>
      </c>
      <c r="P471" s="3">
        <v>146.0</v>
      </c>
      <c r="Q471" s="3">
        <v>80.0</v>
      </c>
      <c r="R471" s="3">
        <v>150.0</v>
      </c>
      <c r="S471" s="3">
        <v>417.0</v>
      </c>
      <c r="T471" s="3">
        <v>120.0</v>
      </c>
      <c r="U471" s="3">
        <v>80.0</v>
      </c>
      <c r="V471" s="1">
        <v>88.0</v>
      </c>
      <c r="W471" s="1">
        <v>250.0</v>
      </c>
      <c r="X471" s="1">
        <v>264.0</v>
      </c>
      <c r="Y471" s="1">
        <v>161.0</v>
      </c>
      <c r="Z471" s="1">
        <v>69.0</v>
      </c>
      <c r="AA471" s="1"/>
      <c r="AB471" s="1">
        <v>13.0</v>
      </c>
      <c r="AC471" s="1">
        <v>150.0</v>
      </c>
      <c r="AD471" s="1">
        <v>170.0</v>
      </c>
      <c r="AE471" s="1">
        <v>60.0</v>
      </c>
      <c r="AF471" s="1">
        <v>40.0</v>
      </c>
      <c r="AG471" s="1">
        <v>45.0</v>
      </c>
      <c r="AH471" s="1"/>
      <c r="AI471" s="1">
        <v>205.0</v>
      </c>
      <c r="AJ471" s="1">
        <v>60.0</v>
      </c>
      <c r="AK471" s="1">
        <v>100.0</v>
      </c>
      <c r="AL471" s="1">
        <v>175.0</v>
      </c>
      <c r="AM471" s="1">
        <v>130.0</v>
      </c>
      <c r="AN471" s="3">
        <v>47.0</v>
      </c>
      <c r="AO471" s="3">
        <v>160.0</v>
      </c>
      <c r="AP471" s="3">
        <v>70.0</v>
      </c>
      <c r="AQ471" s="3"/>
      <c r="AR471" s="1">
        <v>854.0</v>
      </c>
      <c r="AS471" s="1">
        <v>250.0</v>
      </c>
      <c r="AT471" s="1">
        <v>220.0</v>
      </c>
      <c r="AU471" s="3">
        <v>223.0</v>
      </c>
      <c r="AV471" s="1">
        <v>120.0</v>
      </c>
      <c r="AW471" s="3">
        <v>384.0</v>
      </c>
      <c r="AX471" s="3">
        <v>114.0</v>
      </c>
      <c r="AY471" s="3">
        <v>142.0</v>
      </c>
      <c r="AZ471" s="1">
        <v>40.0</v>
      </c>
      <c r="BA471" s="1"/>
      <c r="BB471" s="3">
        <v>225.0</v>
      </c>
      <c r="BC471" s="1"/>
      <c r="BD471" s="1">
        <v>190.0</v>
      </c>
      <c r="BE471" s="1">
        <v>80.0</v>
      </c>
      <c r="BF471" s="3">
        <v>328.0</v>
      </c>
      <c r="BG471" s="1">
        <v>213.0</v>
      </c>
      <c r="BH471" s="1">
        <v>23.0</v>
      </c>
      <c r="BI471" s="1">
        <v>40.0</v>
      </c>
      <c r="BJ471" s="1">
        <v>278.0</v>
      </c>
      <c r="BK471" s="3"/>
      <c r="BL471" s="1">
        <v>160.0</v>
      </c>
      <c r="BM471" s="1">
        <v>75.0</v>
      </c>
      <c r="BN471" s="32">
        <v>1802.0</v>
      </c>
      <c r="BO471" s="1">
        <v>47.0</v>
      </c>
      <c r="BP471" s="3">
        <v>48.0</v>
      </c>
      <c r="BQ471" s="1">
        <v>188.0</v>
      </c>
      <c r="BR471" s="28">
        <v>74823.25</v>
      </c>
    </row>
    <row r="472">
      <c r="A472" s="25" t="str">
        <f>'Equity Price Data'!A473</f>
        <v/>
      </c>
      <c r="B472" s="34" t="str">
        <f>(('PRACTICE Equity Price Data'!B473/'PRACTICE Equity Price Data'!B472)-1)+B471</f>
        <v>#DIV/0!</v>
      </c>
      <c r="C472" s="34" t="str">
        <f>(('PRACTICE Equity Price Data'!C473/'PRACTICE Equity Price Data'!C472)-1)+C471</f>
        <v>#DIV/0!</v>
      </c>
      <c r="D472" s="34" t="str">
        <f>(('PRACTICE Equity Price Data'!D473/'PRACTICE Equity Price Data'!D472)-1)+D471</f>
        <v>#DIV/0!</v>
      </c>
      <c r="E472" s="34" t="str">
        <f>(('PRACTICE Equity Price Data'!E473/'PRACTICE Equity Price Data'!E472)-1)+E471</f>
        <v>#DIV/0!</v>
      </c>
      <c r="F472" s="3">
        <v>13.0</v>
      </c>
      <c r="G472" s="3">
        <v>260.0</v>
      </c>
      <c r="H472" s="3">
        <v>110.0</v>
      </c>
      <c r="I472" s="3">
        <v>256.0</v>
      </c>
      <c r="J472" s="3">
        <v>83.0</v>
      </c>
      <c r="K472" s="3">
        <v>188.0</v>
      </c>
      <c r="L472" s="3">
        <v>1000.0</v>
      </c>
      <c r="M472" s="3">
        <v>102.0</v>
      </c>
      <c r="N472" s="3">
        <v>200.0</v>
      </c>
      <c r="O472" s="3">
        <v>121.0</v>
      </c>
      <c r="P472" s="3">
        <v>146.0</v>
      </c>
      <c r="Q472" s="3">
        <v>80.0</v>
      </c>
      <c r="R472" s="3">
        <v>150.0</v>
      </c>
      <c r="S472" s="3">
        <v>417.0</v>
      </c>
      <c r="T472" s="3">
        <v>120.0</v>
      </c>
      <c r="U472" s="3">
        <v>80.0</v>
      </c>
      <c r="V472" s="1">
        <v>88.0</v>
      </c>
      <c r="W472" s="1">
        <v>250.0</v>
      </c>
      <c r="X472" s="1">
        <v>264.0</v>
      </c>
      <c r="Y472" s="1">
        <v>161.0</v>
      </c>
      <c r="Z472" s="1">
        <v>69.0</v>
      </c>
      <c r="AA472" s="1"/>
      <c r="AB472" s="1">
        <v>13.0</v>
      </c>
      <c r="AC472" s="1">
        <v>150.0</v>
      </c>
      <c r="AD472" s="1">
        <v>170.0</v>
      </c>
      <c r="AE472" s="1">
        <v>60.0</v>
      </c>
      <c r="AF472" s="1">
        <v>40.0</v>
      </c>
      <c r="AG472" s="1">
        <v>45.0</v>
      </c>
      <c r="AH472" s="1"/>
      <c r="AI472" s="1">
        <v>205.0</v>
      </c>
      <c r="AJ472" s="1">
        <v>60.0</v>
      </c>
      <c r="AK472" s="1">
        <v>100.0</v>
      </c>
      <c r="AL472" s="1">
        <v>175.0</v>
      </c>
      <c r="AM472" s="1">
        <v>130.0</v>
      </c>
      <c r="AN472" s="3">
        <v>47.0</v>
      </c>
      <c r="AO472" s="3">
        <v>160.0</v>
      </c>
      <c r="AP472" s="3">
        <v>70.0</v>
      </c>
      <c r="AQ472" s="3"/>
      <c r="AR472" s="1">
        <v>854.0</v>
      </c>
      <c r="AS472" s="1">
        <v>250.0</v>
      </c>
      <c r="AT472" s="1">
        <v>220.0</v>
      </c>
      <c r="AU472" s="3">
        <v>223.0</v>
      </c>
      <c r="AV472" s="1">
        <v>120.0</v>
      </c>
      <c r="AW472" s="3">
        <v>384.0</v>
      </c>
      <c r="AX472" s="3">
        <v>114.0</v>
      </c>
      <c r="AY472" s="3">
        <v>142.0</v>
      </c>
      <c r="AZ472" s="1">
        <v>40.0</v>
      </c>
      <c r="BA472" s="1"/>
      <c r="BB472" s="3">
        <v>225.0</v>
      </c>
      <c r="BC472" s="1"/>
      <c r="BD472" s="1">
        <v>190.0</v>
      </c>
      <c r="BE472" s="1">
        <v>80.0</v>
      </c>
      <c r="BF472" s="3">
        <v>328.0</v>
      </c>
      <c r="BG472" s="1">
        <v>213.0</v>
      </c>
      <c r="BH472" s="1">
        <v>23.0</v>
      </c>
      <c r="BI472" s="1">
        <v>40.0</v>
      </c>
      <c r="BJ472" s="1">
        <v>278.0</v>
      </c>
      <c r="BK472" s="3"/>
      <c r="BL472" s="1">
        <v>160.0</v>
      </c>
      <c r="BM472" s="1">
        <v>75.0</v>
      </c>
      <c r="BN472" s="32">
        <v>1802.0</v>
      </c>
      <c r="BO472" s="1">
        <v>47.0</v>
      </c>
      <c r="BP472" s="3">
        <v>48.0</v>
      </c>
      <c r="BQ472" s="1">
        <v>188.0</v>
      </c>
      <c r="BR472" s="28">
        <v>74823.25</v>
      </c>
    </row>
    <row r="473">
      <c r="A473" s="25" t="str">
        <f>'Equity Price Data'!A474</f>
        <v/>
      </c>
      <c r="B473" s="34" t="str">
        <f>(('PRACTICE Equity Price Data'!B474/'PRACTICE Equity Price Data'!B473)-1)+B472</f>
        <v>#DIV/0!</v>
      </c>
      <c r="C473" s="34" t="str">
        <f>(('PRACTICE Equity Price Data'!C474/'PRACTICE Equity Price Data'!C473)-1)+C472</f>
        <v>#DIV/0!</v>
      </c>
      <c r="D473" s="34" t="str">
        <f>(('PRACTICE Equity Price Data'!D474/'PRACTICE Equity Price Data'!D473)-1)+D472</f>
        <v>#DIV/0!</v>
      </c>
      <c r="E473" s="34" t="str">
        <f>(('PRACTICE Equity Price Data'!E474/'PRACTICE Equity Price Data'!E473)-1)+E472</f>
        <v>#DIV/0!</v>
      </c>
      <c r="F473" s="3">
        <v>13.0</v>
      </c>
      <c r="G473" s="3">
        <v>260.0</v>
      </c>
      <c r="H473" s="3">
        <v>110.0</v>
      </c>
      <c r="I473" s="3">
        <v>256.0</v>
      </c>
      <c r="J473" s="3">
        <v>83.0</v>
      </c>
      <c r="K473" s="3">
        <v>188.0</v>
      </c>
      <c r="L473" s="3">
        <v>1000.0</v>
      </c>
      <c r="M473" s="3">
        <v>102.0</v>
      </c>
      <c r="N473" s="3">
        <v>200.0</v>
      </c>
      <c r="O473" s="3">
        <v>121.0</v>
      </c>
      <c r="P473" s="3">
        <v>146.0</v>
      </c>
      <c r="Q473" s="3">
        <v>80.0</v>
      </c>
      <c r="R473" s="3">
        <v>150.0</v>
      </c>
      <c r="S473" s="3">
        <v>417.0</v>
      </c>
      <c r="T473" s="3">
        <v>120.0</v>
      </c>
      <c r="U473" s="3">
        <v>80.0</v>
      </c>
      <c r="V473" s="1">
        <v>88.0</v>
      </c>
      <c r="W473" s="1">
        <v>250.0</v>
      </c>
      <c r="X473" s="1">
        <v>264.0</v>
      </c>
      <c r="Y473" s="1">
        <v>161.0</v>
      </c>
      <c r="Z473" s="1">
        <v>69.0</v>
      </c>
      <c r="AA473" s="1"/>
      <c r="AB473" s="1">
        <v>13.0</v>
      </c>
      <c r="AC473" s="1">
        <v>150.0</v>
      </c>
      <c r="AD473" s="1">
        <v>170.0</v>
      </c>
      <c r="AE473" s="1">
        <v>60.0</v>
      </c>
      <c r="AF473" s="1">
        <v>40.0</v>
      </c>
      <c r="AG473" s="1">
        <v>45.0</v>
      </c>
      <c r="AH473" s="1"/>
      <c r="AI473" s="1">
        <v>205.0</v>
      </c>
      <c r="AJ473" s="1">
        <v>60.0</v>
      </c>
      <c r="AK473" s="1">
        <v>100.0</v>
      </c>
      <c r="AL473" s="1">
        <v>175.0</v>
      </c>
      <c r="AM473" s="1">
        <v>130.0</v>
      </c>
      <c r="AN473" s="3">
        <v>47.0</v>
      </c>
      <c r="AO473" s="3">
        <v>160.0</v>
      </c>
      <c r="AP473" s="3">
        <v>70.0</v>
      </c>
      <c r="AQ473" s="3"/>
      <c r="AR473" s="1">
        <v>854.0</v>
      </c>
      <c r="AS473" s="1">
        <v>250.0</v>
      </c>
      <c r="AT473" s="1">
        <v>220.0</v>
      </c>
      <c r="AU473" s="3">
        <v>223.0</v>
      </c>
      <c r="AV473" s="1">
        <v>120.0</v>
      </c>
      <c r="AW473" s="3">
        <v>384.0</v>
      </c>
      <c r="AX473" s="3">
        <v>114.0</v>
      </c>
      <c r="AY473" s="3">
        <v>142.0</v>
      </c>
      <c r="AZ473" s="1">
        <v>40.0</v>
      </c>
      <c r="BA473" s="1"/>
      <c r="BB473" s="3">
        <v>225.0</v>
      </c>
      <c r="BC473" s="1"/>
      <c r="BD473" s="1">
        <v>190.0</v>
      </c>
      <c r="BE473" s="1">
        <v>80.0</v>
      </c>
      <c r="BF473" s="3">
        <v>328.0</v>
      </c>
      <c r="BG473" s="1">
        <v>213.0</v>
      </c>
      <c r="BH473" s="1">
        <v>23.0</v>
      </c>
      <c r="BI473" s="1">
        <v>40.0</v>
      </c>
      <c r="BJ473" s="1">
        <v>278.0</v>
      </c>
      <c r="BK473" s="3"/>
      <c r="BL473" s="1">
        <v>160.0</v>
      </c>
      <c r="BM473" s="1">
        <v>75.0</v>
      </c>
      <c r="BN473" s="32">
        <v>1802.0</v>
      </c>
      <c r="BO473" s="1">
        <v>47.0</v>
      </c>
      <c r="BP473" s="3">
        <v>48.0</v>
      </c>
      <c r="BQ473" s="1">
        <v>188.0</v>
      </c>
      <c r="BR473" s="28">
        <v>74823.25</v>
      </c>
    </row>
    <row r="474">
      <c r="A474" s="25" t="str">
        <f>'Equity Price Data'!A475</f>
        <v/>
      </c>
      <c r="B474" s="34" t="str">
        <f>(('PRACTICE Equity Price Data'!B475/'PRACTICE Equity Price Data'!B474)-1)+B473</f>
        <v>#DIV/0!</v>
      </c>
      <c r="C474" s="34" t="str">
        <f>(('PRACTICE Equity Price Data'!C475/'PRACTICE Equity Price Data'!C474)-1)+C473</f>
        <v>#DIV/0!</v>
      </c>
      <c r="D474" s="34" t="str">
        <f>(('PRACTICE Equity Price Data'!D475/'PRACTICE Equity Price Data'!D474)-1)+D473</f>
        <v>#DIV/0!</v>
      </c>
      <c r="E474" s="34" t="str">
        <f>(('PRACTICE Equity Price Data'!E475/'PRACTICE Equity Price Data'!E474)-1)+E473</f>
        <v>#DIV/0!</v>
      </c>
      <c r="F474" s="3">
        <v>13.0</v>
      </c>
      <c r="G474" s="3">
        <v>260.0</v>
      </c>
      <c r="H474" s="3">
        <v>110.0</v>
      </c>
      <c r="I474" s="3">
        <v>256.0</v>
      </c>
      <c r="J474" s="3">
        <v>83.0</v>
      </c>
      <c r="K474" s="3">
        <v>188.0</v>
      </c>
      <c r="L474" s="3">
        <v>1000.0</v>
      </c>
      <c r="M474" s="3">
        <v>102.0</v>
      </c>
      <c r="N474" s="3">
        <v>200.0</v>
      </c>
      <c r="O474" s="3">
        <v>121.0</v>
      </c>
      <c r="P474" s="3">
        <v>146.0</v>
      </c>
      <c r="Q474" s="3">
        <v>80.0</v>
      </c>
      <c r="R474" s="3">
        <v>150.0</v>
      </c>
      <c r="S474" s="3">
        <v>417.0</v>
      </c>
      <c r="T474" s="3">
        <v>120.0</v>
      </c>
      <c r="U474" s="3">
        <v>80.0</v>
      </c>
      <c r="V474" s="1">
        <v>88.0</v>
      </c>
      <c r="W474" s="1">
        <v>250.0</v>
      </c>
      <c r="X474" s="1">
        <v>264.0</v>
      </c>
      <c r="Y474" s="1">
        <v>161.0</v>
      </c>
      <c r="Z474" s="1">
        <v>69.0</v>
      </c>
      <c r="AA474" s="1"/>
      <c r="AB474" s="1">
        <v>13.0</v>
      </c>
      <c r="AC474" s="1">
        <v>150.0</v>
      </c>
      <c r="AD474" s="1">
        <v>170.0</v>
      </c>
      <c r="AE474" s="1">
        <v>60.0</v>
      </c>
      <c r="AF474" s="1">
        <v>40.0</v>
      </c>
      <c r="AG474" s="1">
        <v>45.0</v>
      </c>
      <c r="AH474" s="1"/>
      <c r="AI474" s="1">
        <v>205.0</v>
      </c>
      <c r="AJ474" s="1">
        <v>60.0</v>
      </c>
      <c r="AK474" s="1">
        <v>100.0</v>
      </c>
      <c r="AL474" s="1">
        <v>175.0</v>
      </c>
      <c r="AM474" s="1">
        <v>130.0</v>
      </c>
      <c r="AN474" s="3">
        <v>47.0</v>
      </c>
      <c r="AO474" s="3">
        <v>160.0</v>
      </c>
      <c r="AP474" s="3">
        <v>70.0</v>
      </c>
      <c r="AQ474" s="3"/>
      <c r="AR474" s="1">
        <v>854.0</v>
      </c>
      <c r="AS474" s="1">
        <v>250.0</v>
      </c>
      <c r="AT474" s="1">
        <v>220.0</v>
      </c>
      <c r="AU474" s="3">
        <v>223.0</v>
      </c>
      <c r="AV474" s="1">
        <v>120.0</v>
      </c>
      <c r="AW474" s="3">
        <v>384.0</v>
      </c>
      <c r="AX474" s="3">
        <v>114.0</v>
      </c>
      <c r="AY474" s="3">
        <v>142.0</v>
      </c>
      <c r="AZ474" s="1">
        <v>40.0</v>
      </c>
      <c r="BA474" s="1"/>
      <c r="BB474" s="3">
        <v>225.0</v>
      </c>
      <c r="BC474" s="1"/>
      <c r="BD474" s="1">
        <v>190.0</v>
      </c>
      <c r="BE474" s="1">
        <v>80.0</v>
      </c>
      <c r="BF474" s="3">
        <v>328.0</v>
      </c>
      <c r="BG474" s="1">
        <v>213.0</v>
      </c>
      <c r="BH474" s="1">
        <v>23.0</v>
      </c>
      <c r="BI474" s="1">
        <v>40.0</v>
      </c>
      <c r="BJ474" s="1">
        <v>278.0</v>
      </c>
      <c r="BK474" s="3"/>
      <c r="BL474" s="1">
        <v>160.0</v>
      </c>
      <c r="BM474" s="1">
        <v>75.0</v>
      </c>
      <c r="BN474" s="32">
        <v>1802.0</v>
      </c>
      <c r="BO474" s="1">
        <v>47.0</v>
      </c>
      <c r="BP474" s="3">
        <v>48.0</v>
      </c>
      <c r="BQ474" s="1">
        <v>188.0</v>
      </c>
      <c r="BR474" s="28">
        <v>74823.25</v>
      </c>
    </row>
    <row r="475">
      <c r="A475" s="25" t="str">
        <f>'Equity Price Data'!A476</f>
        <v/>
      </c>
      <c r="B475" s="34" t="str">
        <f>(('PRACTICE Equity Price Data'!B476/'PRACTICE Equity Price Data'!B475)-1)+B474</f>
        <v>#DIV/0!</v>
      </c>
      <c r="C475" s="34" t="str">
        <f>(('PRACTICE Equity Price Data'!C476/'PRACTICE Equity Price Data'!C475)-1)+C474</f>
        <v>#DIV/0!</v>
      </c>
      <c r="D475" s="34" t="str">
        <f>(('PRACTICE Equity Price Data'!D476/'PRACTICE Equity Price Data'!D475)-1)+D474</f>
        <v>#DIV/0!</v>
      </c>
      <c r="E475" s="34" t="str">
        <f>(('PRACTICE Equity Price Data'!E476/'PRACTICE Equity Price Data'!E475)-1)+E474</f>
        <v>#DIV/0!</v>
      </c>
      <c r="F475" s="3">
        <v>13.0</v>
      </c>
      <c r="G475" s="3">
        <v>260.0</v>
      </c>
      <c r="H475" s="3">
        <v>110.0</v>
      </c>
      <c r="I475" s="3">
        <v>256.0</v>
      </c>
      <c r="J475" s="3">
        <v>83.0</v>
      </c>
      <c r="K475" s="3">
        <v>188.0</v>
      </c>
      <c r="L475" s="3">
        <v>1000.0</v>
      </c>
      <c r="M475" s="3">
        <v>102.0</v>
      </c>
      <c r="N475" s="3">
        <v>200.0</v>
      </c>
      <c r="O475" s="3">
        <v>121.0</v>
      </c>
      <c r="P475" s="3">
        <v>146.0</v>
      </c>
      <c r="Q475" s="3">
        <v>80.0</v>
      </c>
      <c r="R475" s="3">
        <v>150.0</v>
      </c>
      <c r="S475" s="3">
        <v>417.0</v>
      </c>
      <c r="T475" s="3">
        <v>120.0</v>
      </c>
      <c r="U475" s="3">
        <v>80.0</v>
      </c>
      <c r="V475" s="1">
        <v>88.0</v>
      </c>
      <c r="W475" s="1">
        <v>250.0</v>
      </c>
      <c r="X475" s="1">
        <v>264.0</v>
      </c>
      <c r="Y475" s="1">
        <v>161.0</v>
      </c>
      <c r="Z475" s="1">
        <v>69.0</v>
      </c>
      <c r="AA475" s="1"/>
      <c r="AB475" s="1">
        <v>13.0</v>
      </c>
      <c r="AC475" s="1">
        <v>150.0</v>
      </c>
      <c r="AD475" s="1">
        <v>170.0</v>
      </c>
      <c r="AE475" s="1">
        <v>60.0</v>
      </c>
      <c r="AF475" s="1">
        <v>40.0</v>
      </c>
      <c r="AG475" s="1">
        <v>45.0</v>
      </c>
      <c r="AH475" s="1"/>
      <c r="AI475" s="1">
        <v>205.0</v>
      </c>
      <c r="AJ475" s="1">
        <v>60.0</v>
      </c>
      <c r="AK475" s="1">
        <v>100.0</v>
      </c>
      <c r="AL475" s="1">
        <v>175.0</v>
      </c>
      <c r="AM475" s="1">
        <v>130.0</v>
      </c>
      <c r="AN475" s="3">
        <v>47.0</v>
      </c>
      <c r="AO475" s="3">
        <v>160.0</v>
      </c>
      <c r="AP475" s="3">
        <v>70.0</v>
      </c>
      <c r="AQ475" s="3"/>
      <c r="AR475" s="1">
        <v>854.0</v>
      </c>
      <c r="AS475" s="1">
        <v>250.0</v>
      </c>
      <c r="AT475" s="1">
        <v>220.0</v>
      </c>
      <c r="AU475" s="3">
        <v>223.0</v>
      </c>
      <c r="AV475" s="1">
        <v>120.0</v>
      </c>
      <c r="AW475" s="3">
        <v>384.0</v>
      </c>
      <c r="AX475" s="3">
        <v>114.0</v>
      </c>
      <c r="AY475" s="3">
        <v>142.0</v>
      </c>
      <c r="AZ475" s="1">
        <v>40.0</v>
      </c>
      <c r="BA475" s="1"/>
      <c r="BB475" s="3">
        <v>225.0</v>
      </c>
      <c r="BC475" s="1"/>
      <c r="BD475" s="1">
        <v>190.0</v>
      </c>
      <c r="BE475" s="1">
        <v>80.0</v>
      </c>
      <c r="BF475" s="3">
        <v>328.0</v>
      </c>
      <c r="BG475" s="1">
        <v>213.0</v>
      </c>
      <c r="BH475" s="1">
        <v>23.0</v>
      </c>
      <c r="BI475" s="1">
        <v>40.0</v>
      </c>
      <c r="BJ475" s="1">
        <v>278.0</v>
      </c>
      <c r="BK475" s="3"/>
      <c r="BL475" s="1">
        <v>160.0</v>
      </c>
      <c r="BM475" s="1">
        <v>75.0</v>
      </c>
      <c r="BN475" s="32">
        <v>1802.0</v>
      </c>
      <c r="BO475" s="1">
        <v>47.0</v>
      </c>
      <c r="BP475" s="3">
        <v>48.0</v>
      </c>
      <c r="BQ475" s="1">
        <v>188.0</v>
      </c>
      <c r="BR475" s="28">
        <v>74823.25</v>
      </c>
    </row>
    <row r="476">
      <c r="A476" s="25" t="str">
        <f>'Equity Price Data'!A477</f>
        <v/>
      </c>
      <c r="B476" s="34" t="str">
        <f>(('PRACTICE Equity Price Data'!B477/'PRACTICE Equity Price Data'!B476)-1)+B475</f>
        <v>#DIV/0!</v>
      </c>
      <c r="C476" s="34" t="str">
        <f>(('PRACTICE Equity Price Data'!C477/'PRACTICE Equity Price Data'!C476)-1)+C475</f>
        <v>#DIV/0!</v>
      </c>
      <c r="D476" s="34" t="str">
        <f>(('PRACTICE Equity Price Data'!D477/'PRACTICE Equity Price Data'!D476)-1)+D475</f>
        <v>#DIV/0!</v>
      </c>
      <c r="E476" s="34" t="str">
        <f>(('PRACTICE Equity Price Data'!E477/'PRACTICE Equity Price Data'!E476)-1)+E475</f>
        <v>#DIV/0!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32"/>
      <c r="BO476" s="1"/>
      <c r="BP476" s="1"/>
      <c r="BQ476" s="1"/>
      <c r="BR476" s="35"/>
    </row>
    <row r="477">
      <c r="A477" s="25" t="str">
        <f>'Equity Price Data'!A478</f>
        <v/>
      </c>
      <c r="B477" s="34" t="str">
        <f>(('PRACTICE Equity Price Data'!B478/'PRACTICE Equity Price Data'!B477)-1)+B476</f>
        <v>#DIV/0!</v>
      </c>
      <c r="C477" s="34" t="str">
        <f>(('PRACTICE Equity Price Data'!C478/'PRACTICE Equity Price Data'!C477)-1)+C476</f>
        <v>#DIV/0!</v>
      </c>
      <c r="D477" s="34" t="str">
        <f>(('PRACTICE Equity Price Data'!D478/'PRACTICE Equity Price Data'!D477)-1)+D476</f>
        <v>#DIV/0!</v>
      </c>
      <c r="E477" s="34" t="str">
        <f>(('PRACTICE Equity Price Data'!E478/'PRACTICE Equity Price Data'!E477)-1)+E476</f>
        <v>#DIV/0!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32"/>
      <c r="BO477" s="1"/>
      <c r="BP477" s="1"/>
      <c r="BQ477" s="1"/>
      <c r="BR477" s="35"/>
    </row>
    <row r="478">
      <c r="A478" s="25" t="str">
        <f>'Equity Price Data'!A479</f>
        <v/>
      </c>
      <c r="B478" s="34" t="str">
        <f>(('PRACTICE Equity Price Data'!B479/'PRACTICE Equity Price Data'!B478)-1)+B477</f>
        <v>#DIV/0!</v>
      </c>
      <c r="C478" s="34" t="str">
        <f>(('PRACTICE Equity Price Data'!C479/'PRACTICE Equity Price Data'!C478)-1)+C477</f>
        <v>#DIV/0!</v>
      </c>
      <c r="D478" s="34" t="str">
        <f>(('PRACTICE Equity Price Data'!D479/'PRACTICE Equity Price Data'!D478)-1)+D477</f>
        <v>#DIV/0!</v>
      </c>
      <c r="E478" s="34" t="str">
        <f>(('PRACTICE Equity Price Data'!E479/'PRACTICE Equity Price Data'!E478)-1)+E477</f>
        <v>#DIV/0!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32"/>
      <c r="BO478" s="1"/>
      <c r="BP478" s="1"/>
      <c r="BQ478" s="1"/>
      <c r="BR478" s="35"/>
    </row>
    <row r="479">
      <c r="A479" s="25" t="str">
        <f>'Equity Price Data'!A480</f>
        <v/>
      </c>
      <c r="B479" s="34" t="str">
        <f>(('PRACTICE Equity Price Data'!B480/'PRACTICE Equity Price Data'!B479)-1)+B478</f>
        <v>#DIV/0!</v>
      </c>
      <c r="C479" s="34" t="str">
        <f>(('PRACTICE Equity Price Data'!C480/'PRACTICE Equity Price Data'!C479)-1)+C478</f>
        <v>#DIV/0!</v>
      </c>
      <c r="D479" s="34" t="str">
        <f>(('PRACTICE Equity Price Data'!D480/'PRACTICE Equity Price Data'!D479)-1)+D478</f>
        <v>#DIV/0!</v>
      </c>
      <c r="E479" s="34" t="str">
        <f>(('PRACTICE Equity Price Data'!E480/'PRACTICE Equity Price Data'!E479)-1)+E478</f>
        <v>#DIV/0!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32"/>
      <c r="BO479" s="1"/>
      <c r="BP479" s="1"/>
      <c r="BQ479" s="1"/>
      <c r="BR479" s="35"/>
    </row>
    <row r="480">
      <c r="A480" s="25" t="str">
        <f>'Equity Price Data'!A481</f>
        <v/>
      </c>
      <c r="B480" s="34" t="str">
        <f>(('PRACTICE Equity Price Data'!B481/'PRACTICE Equity Price Data'!B480)-1)+B479</f>
        <v>#DIV/0!</v>
      </c>
      <c r="C480" s="34" t="str">
        <f>(('PRACTICE Equity Price Data'!C481/'PRACTICE Equity Price Data'!C480)-1)+C479</f>
        <v>#DIV/0!</v>
      </c>
      <c r="D480" s="34" t="str">
        <f>(('PRACTICE Equity Price Data'!D481/'PRACTICE Equity Price Data'!D480)-1)+D479</f>
        <v>#DIV/0!</v>
      </c>
      <c r="E480" s="34" t="str">
        <f>(('PRACTICE Equity Price Data'!E481/'PRACTICE Equity Price Data'!E480)-1)+E479</f>
        <v>#DIV/0!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32"/>
      <c r="BO480" s="1"/>
      <c r="BP480" s="1"/>
      <c r="BQ480" s="1"/>
      <c r="BR480" s="35"/>
    </row>
    <row r="481">
      <c r="A481" s="25" t="str">
        <f>'Equity Price Data'!A482</f>
        <v/>
      </c>
      <c r="B481" s="34" t="str">
        <f>(('PRACTICE Equity Price Data'!B482/'PRACTICE Equity Price Data'!B481)-1)+B480</f>
        <v>#DIV/0!</v>
      </c>
      <c r="C481" s="34" t="str">
        <f>(('PRACTICE Equity Price Data'!C482/'PRACTICE Equity Price Data'!C481)-1)+C480</f>
        <v>#DIV/0!</v>
      </c>
      <c r="D481" s="34" t="str">
        <f>(('PRACTICE Equity Price Data'!D482/'PRACTICE Equity Price Data'!D481)-1)+D480</f>
        <v>#DIV/0!</v>
      </c>
      <c r="E481" s="34" t="str">
        <f>(('PRACTICE Equity Price Data'!E482/'PRACTICE Equity Price Data'!E481)-1)+E480</f>
        <v>#DIV/0!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32"/>
      <c r="BO481" s="1"/>
      <c r="BP481" s="1"/>
      <c r="BQ481" s="1"/>
      <c r="BR481" s="35"/>
    </row>
    <row r="482">
      <c r="A482" s="25" t="str">
        <f>'Equity Price Data'!A483</f>
        <v/>
      </c>
      <c r="B482" s="34" t="str">
        <f>(('PRACTICE Equity Price Data'!B483/'PRACTICE Equity Price Data'!B482)-1)+B481</f>
        <v>#DIV/0!</v>
      </c>
      <c r="C482" s="34" t="str">
        <f>(('PRACTICE Equity Price Data'!C483/'PRACTICE Equity Price Data'!C482)-1)+C481</f>
        <v>#DIV/0!</v>
      </c>
      <c r="D482" s="34" t="str">
        <f>(('PRACTICE Equity Price Data'!D483/'PRACTICE Equity Price Data'!D482)-1)+D481</f>
        <v>#DIV/0!</v>
      </c>
      <c r="E482" s="34" t="str">
        <f>(('PRACTICE Equity Price Data'!E483/'PRACTICE Equity Price Data'!E482)-1)+E481</f>
        <v>#DIV/0!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32"/>
      <c r="BO482" s="1"/>
      <c r="BP482" s="1"/>
      <c r="BQ482" s="1"/>
      <c r="BR482" s="35"/>
    </row>
    <row r="483">
      <c r="A483" s="25" t="str">
        <f>'Equity Price Data'!A484</f>
        <v/>
      </c>
      <c r="B483" s="34" t="str">
        <f>(('PRACTICE Equity Price Data'!B484/'PRACTICE Equity Price Data'!B483)-1)+B482</f>
        <v>#DIV/0!</v>
      </c>
      <c r="C483" s="34" t="str">
        <f>(('PRACTICE Equity Price Data'!C484/'PRACTICE Equity Price Data'!C483)-1)+C482</f>
        <v>#DIV/0!</v>
      </c>
      <c r="D483" s="34" t="str">
        <f>(('PRACTICE Equity Price Data'!D484/'PRACTICE Equity Price Data'!D483)-1)+D482</f>
        <v>#DIV/0!</v>
      </c>
      <c r="E483" s="34" t="str">
        <f>(('PRACTICE Equity Price Data'!E484/'PRACTICE Equity Price Data'!E483)-1)+E482</f>
        <v>#DIV/0!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32"/>
      <c r="BO483" s="1"/>
      <c r="BP483" s="1"/>
      <c r="BQ483" s="1"/>
      <c r="BR483" s="35"/>
    </row>
    <row r="484">
      <c r="A484" s="25" t="str">
        <f>'Equity Price Data'!A485</f>
        <v/>
      </c>
      <c r="B484" s="34" t="str">
        <f>(('PRACTICE Equity Price Data'!B485/'PRACTICE Equity Price Data'!B484)-1)+B483</f>
        <v>#DIV/0!</v>
      </c>
      <c r="C484" s="34" t="str">
        <f>(('PRACTICE Equity Price Data'!C485/'PRACTICE Equity Price Data'!C484)-1)+C483</f>
        <v>#DIV/0!</v>
      </c>
      <c r="D484" s="34" t="str">
        <f>(('PRACTICE Equity Price Data'!D485/'PRACTICE Equity Price Data'!D484)-1)+D483</f>
        <v>#DIV/0!</v>
      </c>
      <c r="E484" s="34" t="str">
        <f>(('PRACTICE Equity Price Data'!E485/'PRACTICE Equity Price Data'!E484)-1)+E483</f>
        <v>#DIV/0!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32"/>
      <c r="BO484" s="1"/>
      <c r="BP484" s="1"/>
      <c r="BQ484" s="1"/>
      <c r="BR484" s="35"/>
    </row>
    <row r="485">
      <c r="A485" s="25" t="str">
        <f>'Equity Price Data'!A486</f>
        <v/>
      </c>
      <c r="B485" s="34" t="str">
        <f>(('PRACTICE Equity Price Data'!B486/'PRACTICE Equity Price Data'!B485)-1)+B484</f>
        <v>#DIV/0!</v>
      </c>
      <c r="C485" s="34" t="str">
        <f>(('PRACTICE Equity Price Data'!C486/'PRACTICE Equity Price Data'!C485)-1)+C484</f>
        <v>#DIV/0!</v>
      </c>
      <c r="D485" s="34" t="str">
        <f>(('PRACTICE Equity Price Data'!D486/'PRACTICE Equity Price Data'!D485)-1)+D484</f>
        <v>#DIV/0!</v>
      </c>
      <c r="E485" s="34" t="str">
        <f>(('PRACTICE Equity Price Data'!E486/'PRACTICE Equity Price Data'!E485)-1)+E484</f>
        <v>#DIV/0!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32"/>
      <c r="BO485" s="1"/>
      <c r="BP485" s="1"/>
      <c r="BQ485" s="1"/>
      <c r="BR485" s="35"/>
    </row>
    <row r="486">
      <c r="A486" s="25" t="str">
        <f>'Equity Price Data'!A487</f>
        <v/>
      </c>
      <c r="B486" s="34" t="str">
        <f>(('PRACTICE Equity Price Data'!B487/'PRACTICE Equity Price Data'!B486)-1)+B485</f>
        <v>#DIV/0!</v>
      </c>
      <c r="C486" s="34" t="str">
        <f>(('PRACTICE Equity Price Data'!C487/'PRACTICE Equity Price Data'!C486)-1)+C485</f>
        <v>#DIV/0!</v>
      </c>
      <c r="D486" s="34" t="str">
        <f>(('PRACTICE Equity Price Data'!D487/'PRACTICE Equity Price Data'!D486)-1)+D485</f>
        <v>#DIV/0!</v>
      </c>
      <c r="E486" s="34" t="str">
        <f>(('PRACTICE Equity Price Data'!E487/'PRACTICE Equity Price Data'!E486)-1)+E485</f>
        <v>#DIV/0!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32"/>
      <c r="BO486" s="1"/>
      <c r="BP486" s="1"/>
      <c r="BQ486" s="1"/>
      <c r="BR486" s="35"/>
    </row>
    <row r="487">
      <c r="A487" s="25" t="str">
        <f>'Equity Price Data'!A488</f>
        <v/>
      </c>
      <c r="B487" s="34" t="str">
        <f>(('PRACTICE Equity Price Data'!B488/'PRACTICE Equity Price Data'!B487)-1)+B486</f>
        <v>#DIV/0!</v>
      </c>
      <c r="C487" s="34" t="str">
        <f>(('PRACTICE Equity Price Data'!C488/'PRACTICE Equity Price Data'!C487)-1)+C486</f>
        <v>#DIV/0!</v>
      </c>
      <c r="D487" s="34" t="str">
        <f>(('PRACTICE Equity Price Data'!D488/'PRACTICE Equity Price Data'!D487)-1)+D486</f>
        <v>#DIV/0!</v>
      </c>
      <c r="E487" s="34" t="str">
        <f>(('PRACTICE Equity Price Data'!E488/'PRACTICE Equity Price Data'!E487)-1)+E486</f>
        <v>#DIV/0!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32"/>
      <c r="BO487" s="1"/>
      <c r="BP487" s="1"/>
      <c r="BQ487" s="1"/>
      <c r="BR487" s="35"/>
    </row>
    <row r="488">
      <c r="A488" s="25" t="str">
        <f>'Equity Price Data'!A489</f>
        <v/>
      </c>
      <c r="B488" s="34" t="str">
        <f>(('PRACTICE Equity Price Data'!B489/'PRACTICE Equity Price Data'!B488)-1)+B487</f>
        <v>#DIV/0!</v>
      </c>
      <c r="C488" s="34" t="str">
        <f>(('PRACTICE Equity Price Data'!C489/'PRACTICE Equity Price Data'!C488)-1)+C487</f>
        <v>#DIV/0!</v>
      </c>
      <c r="D488" s="34" t="str">
        <f>(('PRACTICE Equity Price Data'!D489/'PRACTICE Equity Price Data'!D488)-1)+D487</f>
        <v>#DIV/0!</v>
      </c>
      <c r="E488" s="34" t="str">
        <f>(('PRACTICE Equity Price Data'!E489/'PRACTICE Equity Price Data'!E488)-1)+E487</f>
        <v>#DIV/0!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32"/>
      <c r="BO488" s="1"/>
      <c r="BP488" s="1"/>
      <c r="BQ488" s="1"/>
      <c r="BR488" s="35"/>
    </row>
    <row r="489">
      <c r="A489" s="25" t="str">
        <f>'Equity Price Data'!A490</f>
        <v/>
      </c>
      <c r="B489" s="34" t="str">
        <f>(('PRACTICE Equity Price Data'!B490/'PRACTICE Equity Price Data'!B489)-1)+B488</f>
        <v>#DIV/0!</v>
      </c>
      <c r="C489" s="34" t="str">
        <f>(('PRACTICE Equity Price Data'!C490/'PRACTICE Equity Price Data'!C489)-1)+C488</f>
        <v>#DIV/0!</v>
      </c>
      <c r="D489" s="34" t="str">
        <f>(('PRACTICE Equity Price Data'!D490/'PRACTICE Equity Price Data'!D489)-1)+D488</f>
        <v>#DIV/0!</v>
      </c>
      <c r="E489" s="34" t="str">
        <f>(('PRACTICE Equity Price Data'!E490/'PRACTICE Equity Price Data'!E489)-1)+E488</f>
        <v>#DIV/0!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32"/>
      <c r="BO489" s="1"/>
      <c r="BP489" s="1"/>
      <c r="BQ489" s="1"/>
      <c r="BR489" s="35"/>
    </row>
    <row r="490">
      <c r="A490" s="25" t="str">
        <f>'Equity Price Data'!A491</f>
        <v/>
      </c>
      <c r="B490" s="34" t="str">
        <f>(('PRACTICE Equity Price Data'!B491/'PRACTICE Equity Price Data'!B490)-1)+B489</f>
        <v>#DIV/0!</v>
      </c>
      <c r="C490" s="34" t="str">
        <f>(('PRACTICE Equity Price Data'!C491/'PRACTICE Equity Price Data'!C490)-1)+C489</f>
        <v>#DIV/0!</v>
      </c>
      <c r="D490" s="34" t="str">
        <f>(('PRACTICE Equity Price Data'!D491/'PRACTICE Equity Price Data'!D490)-1)+D489</f>
        <v>#DIV/0!</v>
      </c>
      <c r="E490" s="34" t="str">
        <f>(('PRACTICE Equity Price Data'!E491/'PRACTICE Equity Price Data'!E490)-1)+E489</f>
        <v>#DIV/0!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32"/>
      <c r="BO490" s="1"/>
      <c r="BP490" s="1"/>
      <c r="BQ490" s="1"/>
      <c r="BR490" s="35"/>
    </row>
    <row r="491">
      <c r="A491" s="25" t="str">
        <f>'Equity Price Data'!A492</f>
        <v/>
      </c>
      <c r="B491" s="34" t="str">
        <f>(('PRACTICE Equity Price Data'!B492/'PRACTICE Equity Price Data'!B491)-1)+B490</f>
        <v>#DIV/0!</v>
      </c>
      <c r="C491" s="34" t="str">
        <f>(('PRACTICE Equity Price Data'!C492/'PRACTICE Equity Price Data'!C491)-1)+C490</f>
        <v>#DIV/0!</v>
      </c>
      <c r="D491" s="34" t="str">
        <f>(('PRACTICE Equity Price Data'!D492/'PRACTICE Equity Price Data'!D491)-1)+D490</f>
        <v>#DIV/0!</v>
      </c>
      <c r="E491" s="34" t="str">
        <f>(('PRACTICE Equity Price Data'!E492/'PRACTICE Equity Price Data'!E491)-1)+E490</f>
        <v>#DIV/0!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32"/>
      <c r="BO491" s="1"/>
      <c r="BP491" s="1"/>
      <c r="BQ491" s="1"/>
      <c r="BR491" s="35"/>
    </row>
    <row r="492">
      <c r="A492" s="25" t="str">
        <f>'Equity Price Data'!A493</f>
        <v/>
      </c>
      <c r="B492" s="34" t="str">
        <f>(('PRACTICE Equity Price Data'!B493/'PRACTICE Equity Price Data'!B492)-1)+B491</f>
        <v>#DIV/0!</v>
      </c>
      <c r="C492" s="34" t="str">
        <f>(('PRACTICE Equity Price Data'!C493/'PRACTICE Equity Price Data'!C492)-1)+C491</f>
        <v>#DIV/0!</v>
      </c>
      <c r="D492" s="34" t="str">
        <f>(('PRACTICE Equity Price Data'!D493/'PRACTICE Equity Price Data'!D492)-1)+D491</f>
        <v>#DIV/0!</v>
      </c>
      <c r="E492" s="34" t="str">
        <f>(('PRACTICE Equity Price Data'!E493/'PRACTICE Equity Price Data'!E492)-1)+E491</f>
        <v>#DIV/0!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32"/>
      <c r="BO492" s="1"/>
      <c r="BP492" s="1"/>
      <c r="BQ492" s="1"/>
      <c r="BR492" s="35"/>
    </row>
    <row r="493">
      <c r="A493" s="25" t="str">
        <f>'Equity Price Data'!A494</f>
        <v/>
      </c>
      <c r="B493" s="34" t="str">
        <f>(('PRACTICE Equity Price Data'!B494/'PRACTICE Equity Price Data'!B493)-1)+B492</f>
        <v>#DIV/0!</v>
      </c>
      <c r="C493" s="34" t="str">
        <f>(('PRACTICE Equity Price Data'!C494/'PRACTICE Equity Price Data'!C493)-1)+C492</f>
        <v>#DIV/0!</v>
      </c>
      <c r="D493" s="34" t="str">
        <f>(('PRACTICE Equity Price Data'!D494/'PRACTICE Equity Price Data'!D493)-1)+D492</f>
        <v>#DIV/0!</v>
      </c>
      <c r="E493" s="34" t="str">
        <f>(('PRACTICE Equity Price Data'!E494/'PRACTICE Equity Price Data'!E493)-1)+E492</f>
        <v>#DIV/0!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32"/>
      <c r="BO493" s="1"/>
      <c r="BP493" s="1"/>
      <c r="BQ493" s="1"/>
      <c r="BR493" s="35"/>
    </row>
    <row r="494">
      <c r="A494" s="25" t="str">
        <f>'Equity Price Data'!A495</f>
        <v/>
      </c>
      <c r="B494" s="34" t="str">
        <f>(('PRACTICE Equity Price Data'!B495/'PRACTICE Equity Price Data'!B494)-1)+B493</f>
        <v>#DIV/0!</v>
      </c>
      <c r="C494" s="34" t="str">
        <f>(('PRACTICE Equity Price Data'!C495/'PRACTICE Equity Price Data'!C494)-1)+C493</f>
        <v>#DIV/0!</v>
      </c>
      <c r="D494" s="34" t="str">
        <f>(('PRACTICE Equity Price Data'!D495/'PRACTICE Equity Price Data'!D494)-1)+D493</f>
        <v>#DIV/0!</v>
      </c>
      <c r="E494" s="34" t="str">
        <f>(('PRACTICE Equity Price Data'!E495/'PRACTICE Equity Price Data'!E494)-1)+E493</f>
        <v>#DIV/0!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32"/>
      <c r="BO494" s="1"/>
      <c r="BP494" s="1"/>
      <c r="BQ494" s="1"/>
      <c r="BR494" s="35"/>
    </row>
    <row r="495">
      <c r="A495" s="25" t="str">
        <f>'Equity Price Data'!A496</f>
        <v/>
      </c>
      <c r="B495" s="34" t="str">
        <f>(('PRACTICE Equity Price Data'!B496/'PRACTICE Equity Price Data'!B495)-1)+B494</f>
        <v>#DIV/0!</v>
      </c>
      <c r="C495" s="34" t="str">
        <f>(('PRACTICE Equity Price Data'!C496/'PRACTICE Equity Price Data'!C495)-1)+C494</f>
        <v>#DIV/0!</v>
      </c>
      <c r="D495" s="34" t="str">
        <f>(('PRACTICE Equity Price Data'!D496/'PRACTICE Equity Price Data'!D495)-1)+D494</f>
        <v>#DIV/0!</v>
      </c>
      <c r="E495" s="34" t="str">
        <f>(('PRACTICE Equity Price Data'!E496/'PRACTICE Equity Price Data'!E495)-1)+E494</f>
        <v>#DIV/0!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32"/>
      <c r="BO495" s="1"/>
      <c r="BP495" s="1"/>
      <c r="BQ495" s="1"/>
      <c r="BR495" s="35"/>
    </row>
    <row r="496">
      <c r="A496" s="25" t="str">
        <f>'Equity Price Data'!A497</f>
        <v/>
      </c>
      <c r="B496" s="34" t="str">
        <f>(('PRACTICE Equity Price Data'!B497/'PRACTICE Equity Price Data'!B496)-1)+B495</f>
        <v>#DIV/0!</v>
      </c>
      <c r="C496" s="34" t="str">
        <f>(('PRACTICE Equity Price Data'!C497/'PRACTICE Equity Price Data'!C496)-1)+C495</f>
        <v>#DIV/0!</v>
      </c>
      <c r="D496" s="34" t="str">
        <f>(('PRACTICE Equity Price Data'!D497/'PRACTICE Equity Price Data'!D496)-1)+D495</f>
        <v>#DIV/0!</v>
      </c>
      <c r="E496" s="34" t="str">
        <f>(('PRACTICE Equity Price Data'!E497/'PRACTICE Equity Price Data'!E496)-1)+E495</f>
        <v>#DIV/0!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32"/>
      <c r="BO496" s="1"/>
      <c r="BP496" s="1"/>
      <c r="BQ496" s="1"/>
      <c r="BR496" s="35"/>
    </row>
    <row r="497">
      <c r="A497" s="25" t="str">
        <f>'Equity Price Data'!A498</f>
        <v/>
      </c>
      <c r="B497" s="34" t="str">
        <f>(('PRACTICE Equity Price Data'!B498/'PRACTICE Equity Price Data'!B497)-1)+B496</f>
        <v>#DIV/0!</v>
      </c>
      <c r="C497" s="34" t="str">
        <f>(('PRACTICE Equity Price Data'!C498/'PRACTICE Equity Price Data'!C497)-1)+C496</f>
        <v>#DIV/0!</v>
      </c>
      <c r="D497" s="34" t="str">
        <f>(('PRACTICE Equity Price Data'!D498/'PRACTICE Equity Price Data'!D497)-1)+D496</f>
        <v>#DIV/0!</v>
      </c>
      <c r="E497" s="34" t="str">
        <f>(('PRACTICE Equity Price Data'!E498/'PRACTICE Equity Price Data'!E497)-1)+E496</f>
        <v>#DIV/0!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32"/>
      <c r="BO497" s="1"/>
      <c r="BP497" s="1"/>
      <c r="BQ497" s="1"/>
      <c r="BR497" s="35"/>
    </row>
    <row r="498">
      <c r="A498" s="25" t="str">
        <f>'Equity Price Data'!A499</f>
        <v/>
      </c>
      <c r="B498" s="34" t="str">
        <f>(('PRACTICE Equity Price Data'!B499/'PRACTICE Equity Price Data'!B498)-1)+B497</f>
        <v>#DIV/0!</v>
      </c>
      <c r="C498" s="34" t="str">
        <f>(('PRACTICE Equity Price Data'!C499/'PRACTICE Equity Price Data'!C498)-1)+C497</f>
        <v>#DIV/0!</v>
      </c>
      <c r="D498" s="34" t="str">
        <f>(('PRACTICE Equity Price Data'!D499/'PRACTICE Equity Price Data'!D498)-1)+D497</f>
        <v>#DIV/0!</v>
      </c>
      <c r="E498" s="34" t="str">
        <f>(('PRACTICE Equity Price Data'!E499/'PRACTICE Equity Price Data'!E498)-1)+E497</f>
        <v>#DIV/0!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32"/>
      <c r="BO498" s="1"/>
      <c r="BP498" s="1"/>
      <c r="BQ498" s="1"/>
      <c r="BR498" s="35"/>
    </row>
    <row r="499">
      <c r="A499" s="25" t="str">
        <f>'Equity Price Data'!A500</f>
        <v/>
      </c>
      <c r="B499" s="34" t="str">
        <f>(('PRACTICE Equity Price Data'!B500/'PRACTICE Equity Price Data'!B499)-1)+B498</f>
        <v>#DIV/0!</v>
      </c>
      <c r="C499" s="34" t="str">
        <f>(('PRACTICE Equity Price Data'!C500/'PRACTICE Equity Price Data'!C499)-1)+C498</f>
        <v>#DIV/0!</v>
      </c>
      <c r="D499" s="34" t="str">
        <f>(('PRACTICE Equity Price Data'!D500/'PRACTICE Equity Price Data'!D499)-1)+D498</f>
        <v>#DIV/0!</v>
      </c>
      <c r="E499" s="34" t="str">
        <f>(('PRACTICE Equity Price Data'!E500/'PRACTICE Equity Price Data'!E499)-1)+E498</f>
        <v>#DIV/0!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32"/>
      <c r="BO499" s="1"/>
      <c r="BP499" s="1"/>
      <c r="BQ499" s="1"/>
      <c r="BR499" s="35"/>
    </row>
    <row r="500">
      <c r="A500" s="25" t="str">
        <f>'Equity Price Data'!A501</f>
        <v/>
      </c>
      <c r="B500" s="34" t="str">
        <f>(('PRACTICE Equity Price Data'!B501/'PRACTICE Equity Price Data'!B500)-1)+B499</f>
        <v>#DIV/0!</v>
      </c>
      <c r="C500" s="34" t="str">
        <f>(('PRACTICE Equity Price Data'!C501/'PRACTICE Equity Price Data'!C500)-1)+C499</f>
        <v>#DIV/0!</v>
      </c>
      <c r="D500" s="34" t="str">
        <f>(('PRACTICE Equity Price Data'!D501/'PRACTICE Equity Price Data'!D500)-1)+D499</f>
        <v>#DIV/0!</v>
      </c>
      <c r="E500" s="34" t="str">
        <f>(('PRACTICE Equity Price Data'!E501/'PRACTICE Equity Price Data'!E500)-1)+E499</f>
        <v>#DIV/0!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32"/>
      <c r="BO500" s="1"/>
      <c r="BP500" s="1"/>
      <c r="BQ500" s="1"/>
      <c r="BR500" s="35"/>
    </row>
    <row r="501">
      <c r="A501" s="25" t="str">
        <f>'Equity Price Data'!A502</f>
        <v/>
      </c>
      <c r="B501" s="34" t="str">
        <f>(('PRACTICE Equity Price Data'!B502/'PRACTICE Equity Price Data'!B501)-1)+B500</f>
        <v>#DIV/0!</v>
      </c>
      <c r="C501" s="34" t="str">
        <f>(('PRACTICE Equity Price Data'!C502/'PRACTICE Equity Price Data'!C501)-1)+C500</f>
        <v>#DIV/0!</v>
      </c>
      <c r="D501" s="34" t="str">
        <f>(('PRACTICE Equity Price Data'!D502/'PRACTICE Equity Price Data'!D501)-1)+D500</f>
        <v>#DIV/0!</v>
      </c>
      <c r="E501" s="34" t="str">
        <f>(('PRACTICE Equity Price Data'!E502/'PRACTICE Equity Price Data'!E501)-1)+E500</f>
        <v>#DIV/0!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32"/>
      <c r="BO501" s="1"/>
      <c r="BP501" s="1"/>
      <c r="BQ501" s="1"/>
      <c r="BR501" s="35"/>
    </row>
    <row r="502">
      <c r="A502" s="25" t="str">
        <f>'Equity Price Data'!A503</f>
        <v/>
      </c>
      <c r="B502" s="34" t="str">
        <f>(('PRACTICE Equity Price Data'!B503/'PRACTICE Equity Price Data'!B502)-1)+B501</f>
        <v>#DIV/0!</v>
      </c>
      <c r="C502" s="34" t="str">
        <f>(('PRACTICE Equity Price Data'!C503/'PRACTICE Equity Price Data'!C502)-1)+C501</f>
        <v>#DIV/0!</v>
      </c>
      <c r="D502" s="34" t="str">
        <f>(('PRACTICE Equity Price Data'!D503/'PRACTICE Equity Price Data'!D502)-1)+D501</f>
        <v>#DIV/0!</v>
      </c>
      <c r="E502" s="34" t="str">
        <f>(('PRACTICE Equity Price Data'!E503/'PRACTICE Equity Price Data'!E502)-1)+E501</f>
        <v>#DIV/0!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32"/>
      <c r="BO502" s="1"/>
      <c r="BP502" s="1"/>
      <c r="BQ502" s="1"/>
      <c r="BR502" s="35"/>
    </row>
    <row r="503">
      <c r="A503" s="25" t="str">
        <f>'Equity Price Data'!A504</f>
        <v/>
      </c>
      <c r="B503" s="34" t="str">
        <f>(('PRACTICE Equity Price Data'!B504/'PRACTICE Equity Price Data'!B503)-1)+B502</f>
        <v>#DIV/0!</v>
      </c>
      <c r="C503" s="34" t="str">
        <f>(('PRACTICE Equity Price Data'!C504/'PRACTICE Equity Price Data'!C503)-1)+C502</f>
        <v>#DIV/0!</v>
      </c>
      <c r="D503" s="34" t="str">
        <f>(('PRACTICE Equity Price Data'!D504/'PRACTICE Equity Price Data'!D503)-1)+D502</f>
        <v>#DIV/0!</v>
      </c>
      <c r="E503" s="34" t="str">
        <f>(('PRACTICE Equity Price Data'!E504/'PRACTICE Equity Price Data'!E503)-1)+E502</f>
        <v>#DIV/0!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32"/>
      <c r="BO503" s="1"/>
      <c r="BP503" s="1"/>
      <c r="BQ503" s="1"/>
      <c r="BR503" s="35"/>
    </row>
    <row r="504">
      <c r="A504" s="25" t="str">
        <f>'Equity Price Data'!A505</f>
        <v/>
      </c>
      <c r="B504" s="34" t="str">
        <f>(('PRACTICE Equity Price Data'!B505/'PRACTICE Equity Price Data'!B504)-1)+B503</f>
        <v>#DIV/0!</v>
      </c>
      <c r="C504" s="34" t="str">
        <f>(('PRACTICE Equity Price Data'!C505/'PRACTICE Equity Price Data'!C504)-1)+C503</f>
        <v>#DIV/0!</v>
      </c>
      <c r="D504" s="34" t="str">
        <f>(('PRACTICE Equity Price Data'!D505/'PRACTICE Equity Price Data'!D504)-1)+D503</f>
        <v>#DIV/0!</v>
      </c>
      <c r="E504" s="34" t="str">
        <f>(('PRACTICE Equity Price Data'!E505/'PRACTICE Equity Price Data'!E504)-1)+E503</f>
        <v>#DIV/0!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32"/>
      <c r="BO504" s="1"/>
      <c r="BP504" s="1"/>
      <c r="BQ504" s="1"/>
      <c r="BR504" s="35"/>
    </row>
    <row r="505">
      <c r="A505" s="25" t="str">
        <f>'Equity Price Data'!A506</f>
        <v/>
      </c>
      <c r="B505" s="34" t="str">
        <f>(('PRACTICE Equity Price Data'!B506/'PRACTICE Equity Price Data'!B505)-1)+B504</f>
        <v>#DIV/0!</v>
      </c>
      <c r="C505" s="34" t="str">
        <f>(('PRACTICE Equity Price Data'!C506/'PRACTICE Equity Price Data'!C505)-1)+C504</f>
        <v>#DIV/0!</v>
      </c>
      <c r="D505" s="34" t="str">
        <f>(('PRACTICE Equity Price Data'!D506/'PRACTICE Equity Price Data'!D505)-1)+D504</f>
        <v>#DIV/0!</v>
      </c>
      <c r="E505" s="34" t="str">
        <f>(('PRACTICE Equity Price Data'!E506/'PRACTICE Equity Price Data'!E505)-1)+E504</f>
        <v>#DIV/0!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32"/>
      <c r="BO505" s="1"/>
      <c r="BP505" s="1"/>
      <c r="BQ505" s="1"/>
      <c r="BR505" s="35"/>
    </row>
    <row r="506">
      <c r="A506" s="25" t="str">
        <f>'Equity Price Data'!A507</f>
        <v/>
      </c>
      <c r="B506" s="34" t="str">
        <f>(('PRACTICE Equity Price Data'!B507/'PRACTICE Equity Price Data'!B506)-1)+B505</f>
        <v>#DIV/0!</v>
      </c>
      <c r="C506" s="34" t="str">
        <f>(('PRACTICE Equity Price Data'!C507/'PRACTICE Equity Price Data'!C506)-1)+C505</f>
        <v>#DIV/0!</v>
      </c>
      <c r="D506" s="34" t="str">
        <f>(('PRACTICE Equity Price Data'!D507/'PRACTICE Equity Price Data'!D506)-1)+D505</f>
        <v>#DIV/0!</v>
      </c>
      <c r="E506" s="34" t="str">
        <f>(('PRACTICE Equity Price Data'!E507/'PRACTICE Equity Price Data'!E506)-1)+E505</f>
        <v>#DIV/0!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32"/>
      <c r="BO506" s="1"/>
      <c r="BP506" s="1"/>
      <c r="BQ506" s="1"/>
      <c r="BR506" s="35"/>
    </row>
    <row r="507">
      <c r="A507" s="25" t="str">
        <f>'Equity Price Data'!A508</f>
        <v/>
      </c>
      <c r="B507" s="34" t="str">
        <f>(('PRACTICE Equity Price Data'!B508/'PRACTICE Equity Price Data'!B507)-1)+B506</f>
        <v>#DIV/0!</v>
      </c>
      <c r="C507" s="34" t="str">
        <f>(('PRACTICE Equity Price Data'!C508/'PRACTICE Equity Price Data'!C507)-1)+C506</f>
        <v>#DIV/0!</v>
      </c>
      <c r="D507" s="34" t="str">
        <f>(('PRACTICE Equity Price Data'!D508/'PRACTICE Equity Price Data'!D507)-1)+D506</f>
        <v>#DIV/0!</v>
      </c>
      <c r="E507" s="34" t="str">
        <f>(('PRACTICE Equity Price Data'!E508/'PRACTICE Equity Price Data'!E507)-1)+E506</f>
        <v>#DIV/0!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32"/>
      <c r="BO507" s="1"/>
      <c r="BP507" s="1"/>
      <c r="BQ507" s="1"/>
      <c r="BR507" s="35"/>
    </row>
    <row r="508">
      <c r="A508" s="25" t="str">
        <f>'Equity Price Data'!A509</f>
        <v/>
      </c>
      <c r="B508" s="34" t="str">
        <f>(('PRACTICE Equity Price Data'!B509/'PRACTICE Equity Price Data'!B508)-1)+B507</f>
        <v>#DIV/0!</v>
      </c>
      <c r="C508" s="34" t="str">
        <f>(('PRACTICE Equity Price Data'!C509/'PRACTICE Equity Price Data'!C508)-1)+C507</f>
        <v>#DIV/0!</v>
      </c>
      <c r="D508" s="34" t="str">
        <f>(('PRACTICE Equity Price Data'!D509/'PRACTICE Equity Price Data'!D508)-1)+D507</f>
        <v>#DIV/0!</v>
      </c>
      <c r="E508" s="34" t="str">
        <f>(('PRACTICE Equity Price Data'!E509/'PRACTICE Equity Price Data'!E508)-1)+E507</f>
        <v>#DIV/0!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32"/>
      <c r="BO508" s="1"/>
      <c r="BP508" s="1"/>
      <c r="BQ508" s="1"/>
      <c r="BR508" s="35"/>
    </row>
    <row r="509">
      <c r="A509" s="25" t="str">
        <f>'Equity Price Data'!A510</f>
        <v/>
      </c>
      <c r="B509" s="34" t="str">
        <f>(('PRACTICE Equity Price Data'!B510/'PRACTICE Equity Price Data'!B509)-1)+B508</f>
        <v>#DIV/0!</v>
      </c>
      <c r="C509" s="34" t="str">
        <f>(('PRACTICE Equity Price Data'!C510/'PRACTICE Equity Price Data'!C509)-1)+C508</f>
        <v>#DIV/0!</v>
      </c>
      <c r="D509" s="34" t="str">
        <f>(('PRACTICE Equity Price Data'!D510/'PRACTICE Equity Price Data'!D509)-1)+D508</f>
        <v>#DIV/0!</v>
      </c>
      <c r="E509" s="34" t="str">
        <f>(('PRACTICE Equity Price Data'!E510/'PRACTICE Equity Price Data'!E509)-1)+E508</f>
        <v>#DIV/0!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32"/>
      <c r="BO509" s="1"/>
      <c r="BP509" s="1"/>
      <c r="BQ509" s="1"/>
      <c r="BR509" s="35"/>
    </row>
    <row r="510">
      <c r="A510" s="25" t="str">
        <f>'Equity Price Data'!A511</f>
        <v/>
      </c>
      <c r="B510" s="34" t="str">
        <f>(('PRACTICE Equity Price Data'!B511/'PRACTICE Equity Price Data'!B510)-1)+B509</f>
        <v>#DIV/0!</v>
      </c>
      <c r="C510" s="34" t="str">
        <f>(('PRACTICE Equity Price Data'!C511/'PRACTICE Equity Price Data'!C510)-1)+C509</f>
        <v>#DIV/0!</v>
      </c>
      <c r="D510" s="34" t="str">
        <f>(('PRACTICE Equity Price Data'!D511/'PRACTICE Equity Price Data'!D510)-1)+D509</f>
        <v>#DIV/0!</v>
      </c>
      <c r="E510" s="34" t="str">
        <f>(('PRACTICE Equity Price Data'!E511/'PRACTICE Equity Price Data'!E510)-1)+E509</f>
        <v>#DIV/0!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32"/>
      <c r="BO510" s="1"/>
      <c r="BP510" s="1"/>
      <c r="BQ510" s="1"/>
      <c r="BR510" s="35"/>
    </row>
    <row r="511">
      <c r="A511" s="25" t="str">
        <f>'Equity Price Data'!A512</f>
        <v/>
      </c>
      <c r="B511" s="34" t="str">
        <f>(('PRACTICE Equity Price Data'!B512/'PRACTICE Equity Price Data'!B511)-1)+B510</f>
        <v>#DIV/0!</v>
      </c>
      <c r="C511" s="34" t="str">
        <f>(('PRACTICE Equity Price Data'!C512/'PRACTICE Equity Price Data'!C511)-1)+C510</f>
        <v>#DIV/0!</v>
      </c>
      <c r="D511" s="34" t="str">
        <f>(('PRACTICE Equity Price Data'!D512/'PRACTICE Equity Price Data'!D511)-1)+D510</f>
        <v>#DIV/0!</v>
      </c>
      <c r="E511" s="34" t="str">
        <f>(('PRACTICE Equity Price Data'!E512/'PRACTICE Equity Price Data'!E511)-1)+E510</f>
        <v>#DIV/0!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32"/>
      <c r="BO511" s="1"/>
      <c r="BP511" s="1"/>
      <c r="BQ511" s="1"/>
      <c r="BR511" s="35"/>
    </row>
    <row r="512">
      <c r="A512" s="25" t="str">
        <f>'Equity Price Data'!A513</f>
        <v/>
      </c>
      <c r="B512" s="34" t="str">
        <f>(('PRACTICE Equity Price Data'!B513/'PRACTICE Equity Price Data'!B512)-1)+B511</f>
        <v>#DIV/0!</v>
      </c>
      <c r="C512" s="34" t="str">
        <f>(('PRACTICE Equity Price Data'!C513/'PRACTICE Equity Price Data'!C512)-1)+C511</f>
        <v>#DIV/0!</v>
      </c>
      <c r="D512" s="34" t="str">
        <f>(('PRACTICE Equity Price Data'!D513/'PRACTICE Equity Price Data'!D512)-1)+D511</f>
        <v>#DIV/0!</v>
      </c>
      <c r="E512" s="34" t="str">
        <f>(('PRACTICE Equity Price Data'!E513/'PRACTICE Equity Price Data'!E512)-1)+E511</f>
        <v>#DIV/0!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32"/>
      <c r="BO512" s="1"/>
      <c r="BP512" s="1"/>
      <c r="BQ512" s="1"/>
      <c r="BR512" s="35"/>
    </row>
    <row r="513">
      <c r="A513" s="25" t="str">
        <f>'Equity Price Data'!A514</f>
        <v/>
      </c>
      <c r="B513" s="34" t="str">
        <f>(('PRACTICE Equity Price Data'!B514/'PRACTICE Equity Price Data'!B513)-1)+B512</f>
        <v>#DIV/0!</v>
      </c>
      <c r="C513" s="34" t="str">
        <f>(('PRACTICE Equity Price Data'!C514/'PRACTICE Equity Price Data'!C513)-1)+C512</f>
        <v>#DIV/0!</v>
      </c>
      <c r="D513" s="34" t="str">
        <f>(('PRACTICE Equity Price Data'!D514/'PRACTICE Equity Price Data'!D513)-1)+D512</f>
        <v>#DIV/0!</v>
      </c>
      <c r="E513" s="34" t="str">
        <f>(('PRACTICE Equity Price Data'!E514/'PRACTICE Equity Price Data'!E513)-1)+E512</f>
        <v>#DIV/0!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32"/>
      <c r="BO513" s="1"/>
      <c r="BP513" s="1"/>
      <c r="BQ513" s="1"/>
      <c r="BR513" s="35"/>
    </row>
    <row r="514">
      <c r="A514" s="25" t="str">
        <f>'Equity Price Data'!A515</f>
        <v/>
      </c>
      <c r="B514" s="34" t="str">
        <f>(('PRACTICE Equity Price Data'!B515/'PRACTICE Equity Price Data'!B514)-1)+B513</f>
        <v>#DIV/0!</v>
      </c>
      <c r="C514" s="34" t="str">
        <f>(('PRACTICE Equity Price Data'!C515/'PRACTICE Equity Price Data'!C514)-1)+C513</f>
        <v>#DIV/0!</v>
      </c>
      <c r="D514" s="34" t="str">
        <f>(('PRACTICE Equity Price Data'!D515/'PRACTICE Equity Price Data'!D514)-1)+D513</f>
        <v>#DIV/0!</v>
      </c>
      <c r="E514" s="34" t="str">
        <f>(('PRACTICE Equity Price Data'!E515/'PRACTICE Equity Price Data'!E514)-1)+E513</f>
        <v>#DIV/0!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32"/>
      <c r="BO514" s="1"/>
      <c r="BP514" s="1"/>
      <c r="BQ514" s="1"/>
      <c r="BR514" s="35"/>
    </row>
    <row r="515">
      <c r="A515" s="25" t="str">
        <f>'Equity Price Data'!A516</f>
        <v/>
      </c>
      <c r="B515" s="34" t="str">
        <f>(('PRACTICE Equity Price Data'!B516/'PRACTICE Equity Price Data'!B515)-1)+B514</f>
        <v>#DIV/0!</v>
      </c>
      <c r="C515" s="34" t="str">
        <f>(('PRACTICE Equity Price Data'!C516/'PRACTICE Equity Price Data'!C515)-1)+C514</f>
        <v>#DIV/0!</v>
      </c>
      <c r="D515" s="34" t="str">
        <f>(('PRACTICE Equity Price Data'!D516/'PRACTICE Equity Price Data'!D515)-1)+D514</f>
        <v>#DIV/0!</v>
      </c>
      <c r="E515" s="34" t="str">
        <f>(('PRACTICE Equity Price Data'!E516/'PRACTICE Equity Price Data'!E515)-1)+E514</f>
        <v>#DIV/0!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32"/>
      <c r="BO515" s="1"/>
      <c r="BP515" s="1"/>
      <c r="BQ515" s="1"/>
      <c r="BR515" s="35"/>
    </row>
    <row r="516">
      <c r="A516" s="25" t="str">
        <f>'Equity Price Data'!A517</f>
        <v/>
      </c>
      <c r="B516" s="34" t="str">
        <f>(('PRACTICE Equity Price Data'!B517/'PRACTICE Equity Price Data'!B516)-1)+B515</f>
        <v>#DIV/0!</v>
      </c>
      <c r="C516" s="34" t="str">
        <f>(('PRACTICE Equity Price Data'!C517/'PRACTICE Equity Price Data'!C516)-1)+C515</f>
        <v>#DIV/0!</v>
      </c>
      <c r="D516" s="34" t="str">
        <f>(('PRACTICE Equity Price Data'!D517/'PRACTICE Equity Price Data'!D516)-1)+D515</f>
        <v>#DIV/0!</v>
      </c>
      <c r="E516" s="34" t="str">
        <f>(('PRACTICE Equity Price Data'!E517/'PRACTICE Equity Price Data'!E516)-1)+E515</f>
        <v>#DIV/0!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32"/>
      <c r="BO516" s="1"/>
      <c r="BP516" s="1"/>
      <c r="BQ516" s="1"/>
      <c r="BR516" s="35"/>
    </row>
    <row r="517">
      <c r="A517" s="25" t="str">
        <f>'Equity Price Data'!A518</f>
        <v/>
      </c>
      <c r="B517" s="34" t="str">
        <f>(('PRACTICE Equity Price Data'!B518/'PRACTICE Equity Price Data'!B517)-1)+B516</f>
        <v>#DIV/0!</v>
      </c>
      <c r="C517" s="34" t="str">
        <f>(('PRACTICE Equity Price Data'!C518/'PRACTICE Equity Price Data'!C517)-1)+C516</f>
        <v>#DIV/0!</v>
      </c>
      <c r="D517" s="34" t="str">
        <f>(('PRACTICE Equity Price Data'!D518/'PRACTICE Equity Price Data'!D517)-1)+D516</f>
        <v>#DIV/0!</v>
      </c>
      <c r="E517" s="34" t="str">
        <f>(('PRACTICE Equity Price Data'!E518/'PRACTICE Equity Price Data'!E517)-1)+E516</f>
        <v>#DIV/0!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32"/>
      <c r="BO517" s="1"/>
      <c r="BP517" s="1"/>
      <c r="BQ517" s="1"/>
      <c r="BR517" s="35"/>
    </row>
    <row r="518">
      <c r="A518" s="25" t="str">
        <f>'Equity Price Data'!A519</f>
        <v/>
      </c>
      <c r="B518" s="34" t="str">
        <f>(('PRACTICE Equity Price Data'!B519/'PRACTICE Equity Price Data'!B518)-1)+B517</f>
        <v>#DIV/0!</v>
      </c>
      <c r="C518" s="34" t="str">
        <f>(('PRACTICE Equity Price Data'!C519/'PRACTICE Equity Price Data'!C518)-1)+C517</f>
        <v>#DIV/0!</v>
      </c>
      <c r="D518" s="34" t="str">
        <f>(('PRACTICE Equity Price Data'!D519/'PRACTICE Equity Price Data'!D518)-1)+D517</f>
        <v>#DIV/0!</v>
      </c>
      <c r="E518" s="34" t="str">
        <f>(('PRACTICE Equity Price Data'!E519/'PRACTICE Equity Price Data'!E518)-1)+E517</f>
        <v>#DIV/0!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32"/>
      <c r="BO518" s="1"/>
      <c r="BP518" s="1"/>
      <c r="BQ518" s="1"/>
      <c r="BR518" s="35"/>
    </row>
    <row r="519">
      <c r="A519" s="25" t="str">
        <f>'Equity Price Data'!A520</f>
        <v/>
      </c>
      <c r="B519" s="34" t="str">
        <f>(('PRACTICE Equity Price Data'!B520/'PRACTICE Equity Price Data'!B519)-1)+B518</f>
        <v>#DIV/0!</v>
      </c>
      <c r="C519" s="34" t="str">
        <f>(('PRACTICE Equity Price Data'!C520/'PRACTICE Equity Price Data'!C519)-1)+C518</f>
        <v>#DIV/0!</v>
      </c>
      <c r="D519" s="34" t="str">
        <f>(('PRACTICE Equity Price Data'!D520/'PRACTICE Equity Price Data'!D519)-1)+D518</f>
        <v>#DIV/0!</v>
      </c>
      <c r="E519" s="34" t="str">
        <f>(('PRACTICE Equity Price Data'!E520/'PRACTICE Equity Price Data'!E519)-1)+E518</f>
        <v>#DIV/0!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32"/>
      <c r="BO519" s="1"/>
      <c r="BP519" s="1"/>
      <c r="BQ519" s="1"/>
      <c r="BR519" s="35"/>
    </row>
    <row r="520">
      <c r="A520" s="25" t="str">
        <f>'Equity Price Data'!A521</f>
        <v/>
      </c>
      <c r="B520" s="34" t="str">
        <f>(('PRACTICE Equity Price Data'!B521/'PRACTICE Equity Price Data'!B520)-1)+B519</f>
        <v>#DIV/0!</v>
      </c>
      <c r="C520" s="34" t="str">
        <f>(('PRACTICE Equity Price Data'!C521/'PRACTICE Equity Price Data'!C520)-1)+C519</f>
        <v>#DIV/0!</v>
      </c>
      <c r="D520" s="34" t="str">
        <f>(('PRACTICE Equity Price Data'!D521/'PRACTICE Equity Price Data'!D520)-1)+D519</f>
        <v>#DIV/0!</v>
      </c>
      <c r="E520" s="34" t="str">
        <f>(('PRACTICE Equity Price Data'!E521/'PRACTICE Equity Price Data'!E520)-1)+E519</f>
        <v>#DIV/0!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32"/>
      <c r="BO520" s="1"/>
      <c r="BP520" s="1"/>
      <c r="BQ520" s="1"/>
      <c r="BR520" s="35"/>
    </row>
    <row r="521">
      <c r="A521" s="25" t="str">
        <f>'Equity Price Data'!A522</f>
        <v/>
      </c>
      <c r="B521" s="34" t="str">
        <f>(('PRACTICE Equity Price Data'!B522/'PRACTICE Equity Price Data'!B521)-1)+B520</f>
        <v>#DIV/0!</v>
      </c>
      <c r="C521" s="34" t="str">
        <f>(('PRACTICE Equity Price Data'!C522/'PRACTICE Equity Price Data'!C521)-1)+C520</f>
        <v>#DIV/0!</v>
      </c>
      <c r="D521" s="34" t="str">
        <f>(('PRACTICE Equity Price Data'!D522/'PRACTICE Equity Price Data'!D521)-1)+D520</f>
        <v>#DIV/0!</v>
      </c>
      <c r="E521" s="34" t="str">
        <f>(('PRACTICE Equity Price Data'!E522/'PRACTICE Equity Price Data'!E521)-1)+E520</f>
        <v>#DIV/0!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32"/>
      <c r="BO521" s="1"/>
      <c r="BP521" s="1"/>
      <c r="BQ521" s="1"/>
      <c r="BR521" s="35"/>
    </row>
    <row r="522">
      <c r="A522" s="25" t="str">
        <f>'Equity Price Data'!A523</f>
        <v/>
      </c>
      <c r="B522" s="34" t="str">
        <f>(('PRACTICE Equity Price Data'!B523/'PRACTICE Equity Price Data'!B522)-1)+B521</f>
        <v>#DIV/0!</v>
      </c>
      <c r="C522" s="34" t="str">
        <f>(('PRACTICE Equity Price Data'!C523/'PRACTICE Equity Price Data'!C522)-1)+C521</f>
        <v>#DIV/0!</v>
      </c>
      <c r="D522" s="34" t="str">
        <f>(('PRACTICE Equity Price Data'!D523/'PRACTICE Equity Price Data'!D522)-1)+D521</f>
        <v>#DIV/0!</v>
      </c>
      <c r="E522" s="34" t="str">
        <f>(('PRACTICE Equity Price Data'!E523/'PRACTICE Equity Price Data'!E522)-1)+E521</f>
        <v>#DIV/0!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32"/>
      <c r="BO522" s="1"/>
      <c r="BP522" s="1"/>
      <c r="BQ522" s="1"/>
      <c r="BR522" s="35"/>
    </row>
    <row r="523">
      <c r="A523" s="25" t="str">
        <f>'Equity Price Data'!A524</f>
        <v/>
      </c>
      <c r="B523" s="34" t="str">
        <f>(('PRACTICE Equity Price Data'!B524/'PRACTICE Equity Price Data'!B523)-1)+B522</f>
        <v>#DIV/0!</v>
      </c>
      <c r="C523" s="34" t="str">
        <f>(('PRACTICE Equity Price Data'!C524/'PRACTICE Equity Price Data'!C523)-1)+C522</f>
        <v>#DIV/0!</v>
      </c>
      <c r="D523" s="34" t="str">
        <f>(('PRACTICE Equity Price Data'!D524/'PRACTICE Equity Price Data'!D523)-1)+D522</f>
        <v>#DIV/0!</v>
      </c>
      <c r="E523" s="34" t="str">
        <f>(('PRACTICE Equity Price Data'!E524/'PRACTICE Equity Price Data'!E523)-1)+E522</f>
        <v>#DIV/0!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32"/>
      <c r="BO523" s="1"/>
      <c r="BP523" s="1"/>
      <c r="BQ523" s="1"/>
      <c r="BR523" s="35"/>
    </row>
    <row r="524">
      <c r="A524" s="25" t="str">
        <f>'Equity Price Data'!A525</f>
        <v/>
      </c>
      <c r="B524" s="34" t="str">
        <f>(('PRACTICE Equity Price Data'!B525/'PRACTICE Equity Price Data'!B524)-1)+B523</f>
        <v>#DIV/0!</v>
      </c>
      <c r="C524" s="34" t="str">
        <f>(('PRACTICE Equity Price Data'!C525/'PRACTICE Equity Price Data'!C524)-1)+C523</f>
        <v>#DIV/0!</v>
      </c>
      <c r="D524" s="34" t="str">
        <f>(('PRACTICE Equity Price Data'!D525/'PRACTICE Equity Price Data'!D524)-1)+D523</f>
        <v>#DIV/0!</v>
      </c>
      <c r="E524" s="34" t="str">
        <f>(('PRACTICE Equity Price Data'!E525/'PRACTICE Equity Price Data'!E524)-1)+E523</f>
        <v>#DIV/0!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32"/>
      <c r="BO524" s="1"/>
      <c r="BP524" s="1"/>
      <c r="BQ524" s="1"/>
      <c r="BR524" s="35"/>
    </row>
    <row r="525">
      <c r="A525" s="25" t="str">
        <f>'Equity Price Data'!A526</f>
        <v/>
      </c>
      <c r="B525" s="34" t="str">
        <f>(('PRACTICE Equity Price Data'!B526/'PRACTICE Equity Price Data'!B525)-1)+B524</f>
        <v>#DIV/0!</v>
      </c>
      <c r="C525" s="34" t="str">
        <f>(('PRACTICE Equity Price Data'!C526/'PRACTICE Equity Price Data'!C525)-1)+C524</f>
        <v>#DIV/0!</v>
      </c>
      <c r="D525" s="34" t="str">
        <f>(('PRACTICE Equity Price Data'!D526/'PRACTICE Equity Price Data'!D525)-1)+D524</f>
        <v>#DIV/0!</v>
      </c>
      <c r="E525" s="34" t="str">
        <f>(('PRACTICE Equity Price Data'!E526/'PRACTICE Equity Price Data'!E525)-1)+E524</f>
        <v>#DIV/0!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32"/>
      <c r="BO525" s="1"/>
      <c r="BP525" s="1"/>
      <c r="BQ525" s="1"/>
      <c r="BR525" s="35"/>
    </row>
    <row r="526">
      <c r="A526" s="25" t="str">
        <f>'Equity Price Data'!A527</f>
        <v/>
      </c>
      <c r="B526" s="34" t="str">
        <f>(('PRACTICE Equity Price Data'!B527/'PRACTICE Equity Price Data'!B526)-1)+B525</f>
        <v>#DIV/0!</v>
      </c>
      <c r="C526" s="34" t="str">
        <f>(('PRACTICE Equity Price Data'!C527/'PRACTICE Equity Price Data'!C526)-1)+C525</f>
        <v>#DIV/0!</v>
      </c>
      <c r="D526" s="34" t="str">
        <f>(('PRACTICE Equity Price Data'!D527/'PRACTICE Equity Price Data'!D526)-1)+D525</f>
        <v>#DIV/0!</v>
      </c>
      <c r="E526" s="34" t="str">
        <f>(('PRACTICE Equity Price Data'!E527/'PRACTICE Equity Price Data'!E526)-1)+E525</f>
        <v>#DIV/0!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32"/>
      <c r="BO526" s="1"/>
      <c r="BP526" s="1"/>
      <c r="BQ526" s="1"/>
      <c r="BR526" s="35"/>
    </row>
    <row r="527">
      <c r="A527" s="25" t="str">
        <f>'Equity Price Data'!A528</f>
        <v/>
      </c>
      <c r="B527" s="34" t="str">
        <f>(('PRACTICE Equity Price Data'!B528/'PRACTICE Equity Price Data'!B527)-1)+B526</f>
        <v>#DIV/0!</v>
      </c>
      <c r="C527" s="34" t="str">
        <f>(('PRACTICE Equity Price Data'!C528/'PRACTICE Equity Price Data'!C527)-1)+C526</f>
        <v>#DIV/0!</v>
      </c>
      <c r="D527" s="34" t="str">
        <f>(('PRACTICE Equity Price Data'!D528/'PRACTICE Equity Price Data'!D527)-1)+D526</f>
        <v>#DIV/0!</v>
      </c>
      <c r="E527" s="34" t="str">
        <f>(('PRACTICE Equity Price Data'!E528/'PRACTICE Equity Price Data'!E527)-1)+E526</f>
        <v>#DIV/0!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32"/>
      <c r="BO527" s="1"/>
      <c r="BP527" s="1"/>
      <c r="BQ527" s="1"/>
      <c r="BR527" s="35"/>
    </row>
    <row r="528">
      <c r="A528" s="25" t="str">
        <f>'Equity Price Data'!A529</f>
        <v/>
      </c>
      <c r="B528" s="34" t="str">
        <f>(('PRACTICE Equity Price Data'!B529/'PRACTICE Equity Price Data'!B528)-1)+B527</f>
        <v>#DIV/0!</v>
      </c>
      <c r="C528" s="34" t="str">
        <f>(('PRACTICE Equity Price Data'!C529/'PRACTICE Equity Price Data'!C528)-1)+C527</f>
        <v>#DIV/0!</v>
      </c>
      <c r="D528" s="34" t="str">
        <f>(('PRACTICE Equity Price Data'!D529/'PRACTICE Equity Price Data'!D528)-1)+D527</f>
        <v>#DIV/0!</v>
      </c>
      <c r="E528" s="34" t="str">
        <f>(('PRACTICE Equity Price Data'!E529/'PRACTICE Equity Price Data'!E528)-1)+E527</f>
        <v>#DIV/0!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32"/>
      <c r="BO528" s="1"/>
      <c r="BP528" s="1"/>
      <c r="BQ528" s="1"/>
      <c r="BR528" s="35"/>
    </row>
    <row r="529">
      <c r="A529" s="25" t="str">
        <f>'Equity Price Data'!A530</f>
        <v/>
      </c>
      <c r="B529" s="34" t="str">
        <f>(('PRACTICE Equity Price Data'!B530/'PRACTICE Equity Price Data'!B529)-1)+B528</f>
        <v>#DIV/0!</v>
      </c>
      <c r="C529" s="34" t="str">
        <f>(('PRACTICE Equity Price Data'!C530/'PRACTICE Equity Price Data'!C529)-1)+C528</f>
        <v>#DIV/0!</v>
      </c>
      <c r="D529" s="34" t="str">
        <f>(('PRACTICE Equity Price Data'!D530/'PRACTICE Equity Price Data'!D529)-1)+D528</f>
        <v>#DIV/0!</v>
      </c>
      <c r="E529" s="34" t="str">
        <f>(('PRACTICE Equity Price Data'!E530/'PRACTICE Equity Price Data'!E529)-1)+E528</f>
        <v>#DIV/0!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32"/>
      <c r="BO529" s="1"/>
      <c r="BP529" s="1"/>
      <c r="BQ529" s="1"/>
      <c r="BR529" s="35"/>
    </row>
    <row r="530">
      <c r="A530" s="25" t="str">
        <f>'Equity Price Data'!A531</f>
        <v/>
      </c>
      <c r="B530" s="34" t="str">
        <f>(('PRACTICE Equity Price Data'!B531/'PRACTICE Equity Price Data'!B530)-1)+B529</f>
        <v>#DIV/0!</v>
      </c>
      <c r="C530" s="34" t="str">
        <f>(('PRACTICE Equity Price Data'!C531/'PRACTICE Equity Price Data'!C530)-1)+C529</f>
        <v>#DIV/0!</v>
      </c>
      <c r="D530" s="34" t="str">
        <f>(('PRACTICE Equity Price Data'!D531/'PRACTICE Equity Price Data'!D530)-1)+D529</f>
        <v>#DIV/0!</v>
      </c>
      <c r="E530" s="34" t="str">
        <f>(('PRACTICE Equity Price Data'!E531/'PRACTICE Equity Price Data'!E530)-1)+E529</f>
        <v>#DIV/0!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32"/>
      <c r="BO530" s="1"/>
      <c r="BP530" s="1"/>
      <c r="BQ530" s="1"/>
      <c r="BR530" s="35"/>
    </row>
    <row r="531">
      <c r="A531" s="25" t="str">
        <f>'Equity Price Data'!A532</f>
        <v/>
      </c>
      <c r="B531" s="34" t="str">
        <f>(('PRACTICE Equity Price Data'!B532/'PRACTICE Equity Price Data'!B531)-1)+B530</f>
        <v>#DIV/0!</v>
      </c>
      <c r="C531" s="34" t="str">
        <f>(('PRACTICE Equity Price Data'!C532/'PRACTICE Equity Price Data'!C531)-1)+C530</f>
        <v>#DIV/0!</v>
      </c>
      <c r="D531" s="34" t="str">
        <f>(('PRACTICE Equity Price Data'!D532/'PRACTICE Equity Price Data'!D531)-1)+D530</f>
        <v>#DIV/0!</v>
      </c>
      <c r="E531" s="34" t="str">
        <f>(('PRACTICE Equity Price Data'!E532/'PRACTICE Equity Price Data'!E531)-1)+E530</f>
        <v>#DIV/0!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32"/>
      <c r="BO531" s="1"/>
      <c r="BP531" s="1"/>
      <c r="BQ531" s="1"/>
      <c r="BR531" s="35"/>
    </row>
    <row r="532">
      <c r="A532" s="25" t="str">
        <f>'Equity Price Data'!A533</f>
        <v/>
      </c>
      <c r="B532" s="34" t="str">
        <f>(('PRACTICE Equity Price Data'!B533/'PRACTICE Equity Price Data'!B532)-1)+B531</f>
        <v>#DIV/0!</v>
      </c>
      <c r="C532" s="34" t="str">
        <f>(('PRACTICE Equity Price Data'!C533/'PRACTICE Equity Price Data'!C532)-1)+C531</f>
        <v>#DIV/0!</v>
      </c>
      <c r="D532" s="34" t="str">
        <f>(('PRACTICE Equity Price Data'!D533/'PRACTICE Equity Price Data'!D532)-1)+D531</f>
        <v>#DIV/0!</v>
      </c>
      <c r="E532" s="34" t="str">
        <f>(('PRACTICE Equity Price Data'!E533/'PRACTICE Equity Price Data'!E532)-1)+E531</f>
        <v>#DIV/0!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32"/>
      <c r="BO532" s="1"/>
      <c r="BP532" s="1"/>
      <c r="BQ532" s="1"/>
      <c r="BR532" s="35"/>
    </row>
    <row r="533">
      <c r="A533" s="25" t="str">
        <f>'Equity Price Data'!A534</f>
        <v/>
      </c>
      <c r="B533" s="34" t="str">
        <f>(('PRACTICE Equity Price Data'!B534/'PRACTICE Equity Price Data'!B533)-1)+B532</f>
        <v>#DIV/0!</v>
      </c>
      <c r="C533" s="34" t="str">
        <f>(('PRACTICE Equity Price Data'!C534/'PRACTICE Equity Price Data'!C533)-1)+C532</f>
        <v>#DIV/0!</v>
      </c>
      <c r="D533" s="34" t="str">
        <f>(('PRACTICE Equity Price Data'!D534/'PRACTICE Equity Price Data'!D533)-1)+D532</f>
        <v>#DIV/0!</v>
      </c>
      <c r="E533" s="34" t="str">
        <f>(('PRACTICE Equity Price Data'!E534/'PRACTICE Equity Price Data'!E533)-1)+E532</f>
        <v>#DIV/0!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32"/>
      <c r="BO533" s="1"/>
      <c r="BP533" s="1"/>
      <c r="BQ533" s="1"/>
      <c r="BR533" s="35"/>
    </row>
    <row r="534">
      <c r="A534" s="25" t="str">
        <f>'Equity Price Data'!A535</f>
        <v/>
      </c>
      <c r="B534" s="34" t="str">
        <f>(('PRACTICE Equity Price Data'!B535/'PRACTICE Equity Price Data'!B534)-1)+B533</f>
        <v>#DIV/0!</v>
      </c>
      <c r="C534" s="34" t="str">
        <f>(('PRACTICE Equity Price Data'!C535/'PRACTICE Equity Price Data'!C534)-1)+C533</f>
        <v>#DIV/0!</v>
      </c>
      <c r="D534" s="34" t="str">
        <f>(('PRACTICE Equity Price Data'!D535/'PRACTICE Equity Price Data'!D534)-1)+D533</f>
        <v>#DIV/0!</v>
      </c>
      <c r="E534" s="34" t="str">
        <f>(('PRACTICE Equity Price Data'!E535/'PRACTICE Equity Price Data'!E534)-1)+E533</f>
        <v>#DIV/0!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32"/>
      <c r="BO534" s="1"/>
      <c r="BP534" s="1"/>
      <c r="BQ534" s="1"/>
      <c r="BR534" s="35"/>
    </row>
    <row r="535">
      <c r="A535" s="25" t="str">
        <f>'Equity Price Data'!A536</f>
        <v/>
      </c>
      <c r="B535" s="34" t="str">
        <f>(('PRACTICE Equity Price Data'!B536/'PRACTICE Equity Price Data'!B535)-1)+B534</f>
        <v>#DIV/0!</v>
      </c>
      <c r="C535" s="34" t="str">
        <f>(('PRACTICE Equity Price Data'!C536/'PRACTICE Equity Price Data'!C535)-1)+C534</f>
        <v>#DIV/0!</v>
      </c>
      <c r="D535" s="34" t="str">
        <f>(('PRACTICE Equity Price Data'!D536/'PRACTICE Equity Price Data'!D535)-1)+D534</f>
        <v>#DIV/0!</v>
      </c>
      <c r="E535" s="34" t="str">
        <f>(('PRACTICE Equity Price Data'!E536/'PRACTICE Equity Price Data'!E535)-1)+E534</f>
        <v>#DIV/0!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35"/>
    </row>
    <row r="536">
      <c r="A536" s="25" t="str">
        <f>'Equity Price Data'!A537</f>
        <v/>
      </c>
      <c r="B536" s="34" t="str">
        <f>(('PRACTICE Equity Price Data'!B537/'PRACTICE Equity Price Data'!B536)-1)+B535</f>
        <v>#DIV/0!</v>
      </c>
      <c r="C536" s="34" t="str">
        <f>(('PRACTICE Equity Price Data'!C537/'PRACTICE Equity Price Data'!C536)-1)+C535</f>
        <v>#DIV/0!</v>
      </c>
      <c r="D536" s="34" t="str">
        <f>(('PRACTICE Equity Price Data'!D537/'PRACTICE Equity Price Data'!D536)-1)+D535</f>
        <v>#DIV/0!</v>
      </c>
      <c r="E536" s="34" t="str">
        <f>(('PRACTICE Equity Price Data'!E537/'PRACTICE Equity Price Data'!E536)-1)+E535</f>
        <v>#DIV/0!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35"/>
    </row>
    <row r="537">
      <c r="A537" s="25" t="str">
        <f>'Equity Price Data'!A538</f>
        <v/>
      </c>
      <c r="B537" s="34" t="str">
        <f>(('PRACTICE Equity Price Data'!B538/'PRACTICE Equity Price Data'!B537)-1)+B536</f>
        <v>#DIV/0!</v>
      </c>
      <c r="C537" s="34" t="str">
        <f>(('PRACTICE Equity Price Data'!C538/'PRACTICE Equity Price Data'!C537)-1)+C536</f>
        <v>#DIV/0!</v>
      </c>
      <c r="D537" s="34" t="str">
        <f>(('PRACTICE Equity Price Data'!D538/'PRACTICE Equity Price Data'!D537)-1)+D536</f>
        <v>#DIV/0!</v>
      </c>
      <c r="E537" s="34" t="str">
        <f>(('PRACTICE Equity Price Data'!E538/'PRACTICE Equity Price Data'!E537)-1)+E536</f>
        <v>#DIV/0!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35"/>
    </row>
    <row r="538">
      <c r="A538" s="25" t="str">
        <f>'Equity Price Data'!A539</f>
        <v/>
      </c>
      <c r="B538" s="34" t="str">
        <f>(('PRACTICE Equity Price Data'!B539/'PRACTICE Equity Price Data'!B538)-1)+B537</f>
        <v>#DIV/0!</v>
      </c>
      <c r="C538" s="34" t="str">
        <f>(('PRACTICE Equity Price Data'!C539/'PRACTICE Equity Price Data'!C538)-1)+C537</f>
        <v>#DIV/0!</v>
      </c>
      <c r="D538" s="34" t="str">
        <f>(('PRACTICE Equity Price Data'!D539/'PRACTICE Equity Price Data'!D538)-1)+D537</f>
        <v>#DIV/0!</v>
      </c>
      <c r="E538" s="34" t="str">
        <f>(('PRACTICE Equity Price Data'!E539/'PRACTICE Equity Price Data'!E538)-1)+E537</f>
        <v>#DIV/0!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35"/>
    </row>
    <row r="539">
      <c r="A539" s="25" t="str">
        <f>'Equity Price Data'!A540</f>
        <v/>
      </c>
      <c r="B539" s="34" t="str">
        <f>(('PRACTICE Equity Price Data'!B540/'PRACTICE Equity Price Data'!B539)-1)+B538</f>
        <v>#DIV/0!</v>
      </c>
      <c r="C539" s="34" t="str">
        <f>(('PRACTICE Equity Price Data'!C540/'PRACTICE Equity Price Data'!C539)-1)+C538</f>
        <v>#DIV/0!</v>
      </c>
      <c r="D539" s="34" t="str">
        <f>(('PRACTICE Equity Price Data'!D540/'PRACTICE Equity Price Data'!D539)-1)+D538</f>
        <v>#DIV/0!</v>
      </c>
      <c r="E539" s="34" t="str">
        <f>(('PRACTICE Equity Price Data'!E540/'PRACTICE Equity Price Data'!E539)-1)+E538</f>
        <v>#DIV/0!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35"/>
    </row>
    <row r="540">
      <c r="A540" s="25" t="str">
        <f>'Equity Price Data'!A541</f>
        <v/>
      </c>
      <c r="B540" s="34" t="str">
        <f>(('PRACTICE Equity Price Data'!B541/'PRACTICE Equity Price Data'!B540)-1)+B539</f>
        <v>#DIV/0!</v>
      </c>
      <c r="C540" s="34" t="str">
        <f>(('PRACTICE Equity Price Data'!C541/'PRACTICE Equity Price Data'!C540)-1)+C539</f>
        <v>#DIV/0!</v>
      </c>
      <c r="D540" s="34" t="str">
        <f>(('PRACTICE Equity Price Data'!D541/'PRACTICE Equity Price Data'!D540)-1)+D539</f>
        <v>#DIV/0!</v>
      </c>
      <c r="E540" s="34" t="str">
        <f>(('PRACTICE Equity Price Data'!E541/'PRACTICE Equity Price Data'!E540)-1)+E539</f>
        <v>#DIV/0!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35"/>
    </row>
    <row r="541">
      <c r="A541" s="25" t="str">
        <f>'Equity Price Data'!A542</f>
        <v/>
      </c>
      <c r="B541" s="34" t="str">
        <f>(('PRACTICE Equity Price Data'!B542/'PRACTICE Equity Price Data'!B541)-1)+B540</f>
        <v>#DIV/0!</v>
      </c>
      <c r="C541" s="34" t="str">
        <f>(('PRACTICE Equity Price Data'!C542/'PRACTICE Equity Price Data'!C541)-1)+C540</f>
        <v>#DIV/0!</v>
      </c>
      <c r="D541" s="34" t="str">
        <f>(('PRACTICE Equity Price Data'!D542/'PRACTICE Equity Price Data'!D541)-1)+D540</f>
        <v>#DIV/0!</v>
      </c>
      <c r="E541" s="34" t="str">
        <f>(('PRACTICE Equity Price Data'!E542/'PRACTICE Equity Price Data'!E541)-1)+E540</f>
        <v>#DIV/0!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35"/>
    </row>
    <row r="542">
      <c r="A542" s="25" t="str">
        <f>'Equity Price Data'!A543</f>
        <v/>
      </c>
      <c r="B542" s="34" t="str">
        <f>(('PRACTICE Equity Price Data'!B543/'PRACTICE Equity Price Data'!B542)-1)+B541</f>
        <v>#DIV/0!</v>
      </c>
      <c r="C542" s="34" t="str">
        <f>(('PRACTICE Equity Price Data'!C543/'PRACTICE Equity Price Data'!C542)-1)+C541</f>
        <v>#DIV/0!</v>
      </c>
      <c r="D542" s="34" t="str">
        <f>(('PRACTICE Equity Price Data'!D543/'PRACTICE Equity Price Data'!D542)-1)+D541</f>
        <v>#DIV/0!</v>
      </c>
      <c r="E542" s="34" t="str">
        <f>(('PRACTICE Equity Price Data'!E543/'PRACTICE Equity Price Data'!E542)-1)+E541</f>
        <v>#DIV/0!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35"/>
    </row>
    <row r="543">
      <c r="A543" s="25" t="str">
        <f>'Equity Price Data'!A544</f>
        <v/>
      </c>
      <c r="B543" s="34" t="str">
        <f>(('PRACTICE Equity Price Data'!B544/'PRACTICE Equity Price Data'!B543)-1)+B542</f>
        <v>#DIV/0!</v>
      </c>
      <c r="C543" s="34" t="str">
        <f>(('PRACTICE Equity Price Data'!C544/'PRACTICE Equity Price Data'!C543)-1)+C542</f>
        <v>#DIV/0!</v>
      </c>
      <c r="D543" s="34" t="str">
        <f>(('PRACTICE Equity Price Data'!D544/'PRACTICE Equity Price Data'!D543)-1)+D542</f>
        <v>#DIV/0!</v>
      </c>
      <c r="E543" s="34" t="str">
        <f>(('PRACTICE Equity Price Data'!E544/'PRACTICE Equity Price Data'!E543)-1)+E542</f>
        <v>#DIV/0!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35"/>
    </row>
    <row r="544">
      <c r="A544" s="25" t="str">
        <f>'Equity Price Data'!A545</f>
        <v/>
      </c>
      <c r="B544" s="34" t="str">
        <f>(('PRACTICE Equity Price Data'!B545/'PRACTICE Equity Price Data'!B544)-1)+B543</f>
        <v>#DIV/0!</v>
      </c>
      <c r="C544" s="34" t="str">
        <f>(('PRACTICE Equity Price Data'!C545/'PRACTICE Equity Price Data'!C544)-1)+C543</f>
        <v>#DIV/0!</v>
      </c>
      <c r="D544" s="34" t="str">
        <f>(('PRACTICE Equity Price Data'!D545/'PRACTICE Equity Price Data'!D544)-1)+D543</f>
        <v>#DIV/0!</v>
      </c>
      <c r="E544" s="34" t="str">
        <f>(('PRACTICE Equity Price Data'!E545/'PRACTICE Equity Price Data'!E544)-1)+E543</f>
        <v>#DIV/0!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35"/>
    </row>
    <row r="545">
      <c r="A545" s="25" t="str">
        <f>'Equity Price Data'!A546</f>
        <v/>
      </c>
      <c r="B545" s="34" t="str">
        <f>(('PRACTICE Equity Price Data'!B546/'PRACTICE Equity Price Data'!B545)-1)+B544</f>
        <v>#DIV/0!</v>
      </c>
      <c r="C545" s="34" t="str">
        <f>(('PRACTICE Equity Price Data'!C546/'PRACTICE Equity Price Data'!C545)-1)+C544</f>
        <v>#DIV/0!</v>
      </c>
      <c r="D545" s="34" t="str">
        <f>(('PRACTICE Equity Price Data'!D546/'PRACTICE Equity Price Data'!D545)-1)+D544</f>
        <v>#DIV/0!</v>
      </c>
      <c r="E545" s="34" t="str">
        <f>(('PRACTICE Equity Price Data'!E546/'PRACTICE Equity Price Data'!E545)-1)+E544</f>
        <v>#DIV/0!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35"/>
    </row>
    <row r="546">
      <c r="A546" s="25" t="str">
        <f>'Equity Price Data'!A547</f>
        <v/>
      </c>
      <c r="B546" s="34" t="str">
        <f>(('PRACTICE Equity Price Data'!B547/'PRACTICE Equity Price Data'!B546)-1)+B545</f>
        <v>#DIV/0!</v>
      </c>
      <c r="C546" s="34" t="str">
        <f>(('PRACTICE Equity Price Data'!C547/'PRACTICE Equity Price Data'!C546)-1)+C545</f>
        <v>#DIV/0!</v>
      </c>
      <c r="D546" s="34" t="str">
        <f>(('PRACTICE Equity Price Data'!D547/'PRACTICE Equity Price Data'!D546)-1)+D545</f>
        <v>#DIV/0!</v>
      </c>
      <c r="E546" s="34" t="str">
        <f>(('PRACTICE Equity Price Data'!E547/'PRACTICE Equity Price Data'!E546)-1)+E545</f>
        <v>#DIV/0!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35"/>
    </row>
    <row r="547">
      <c r="A547" s="25" t="str">
        <f>'Equity Price Data'!A548</f>
        <v/>
      </c>
      <c r="B547" s="34" t="str">
        <f>(('PRACTICE Equity Price Data'!B548/'PRACTICE Equity Price Data'!B547)-1)+B546</f>
        <v>#DIV/0!</v>
      </c>
      <c r="C547" s="34" t="str">
        <f>(('PRACTICE Equity Price Data'!C548/'PRACTICE Equity Price Data'!C547)-1)+C546</f>
        <v>#DIV/0!</v>
      </c>
      <c r="D547" s="34" t="str">
        <f>(('PRACTICE Equity Price Data'!D548/'PRACTICE Equity Price Data'!D547)-1)+D546</f>
        <v>#DIV/0!</v>
      </c>
      <c r="E547" s="34" t="str">
        <f>(('PRACTICE Equity Price Data'!E548/'PRACTICE Equity Price Data'!E547)-1)+E546</f>
        <v>#DIV/0!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35"/>
    </row>
    <row r="548">
      <c r="A548" s="25" t="str">
        <f>'Equity Price Data'!A549</f>
        <v/>
      </c>
      <c r="B548" s="34" t="str">
        <f>(('PRACTICE Equity Price Data'!B549/'PRACTICE Equity Price Data'!B548)-1)+B547</f>
        <v>#DIV/0!</v>
      </c>
      <c r="C548" s="34" t="str">
        <f>(('PRACTICE Equity Price Data'!C549/'PRACTICE Equity Price Data'!C548)-1)+C547</f>
        <v>#DIV/0!</v>
      </c>
      <c r="D548" s="34" t="str">
        <f>(('PRACTICE Equity Price Data'!D549/'PRACTICE Equity Price Data'!D548)-1)+D547</f>
        <v>#DIV/0!</v>
      </c>
      <c r="E548" s="34" t="str">
        <f>(('PRACTICE Equity Price Data'!E549/'PRACTICE Equity Price Data'!E548)-1)+E547</f>
        <v>#DIV/0!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35"/>
    </row>
    <row r="549">
      <c r="A549" s="25" t="str">
        <f>'Equity Price Data'!A550</f>
        <v/>
      </c>
      <c r="B549" s="34" t="str">
        <f>(('PRACTICE Equity Price Data'!B550/'PRACTICE Equity Price Data'!B549)-1)+B548</f>
        <v>#DIV/0!</v>
      </c>
      <c r="C549" s="34" t="str">
        <f>(('PRACTICE Equity Price Data'!C550/'PRACTICE Equity Price Data'!C549)-1)+C548</f>
        <v>#DIV/0!</v>
      </c>
      <c r="D549" s="34" t="str">
        <f>(('PRACTICE Equity Price Data'!D550/'PRACTICE Equity Price Data'!D549)-1)+D548</f>
        <v>#DIV/0!</v>
      </c>
      <c r="E549" s="34" t="str">
        <f>(('PRACTICE Equity Price Data'!E550/'PRACTICE Equity Price Data'!E549)-1)+E548</f>
        <v>#DIV/0!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35"/>
    </row>
    <row r="550">
      <c r="A550" s="25" t="str">
        <f>'Equity Price Data'!A551</f>
        <v/>
      </c>
      <c r="B550" s="34" t="str">
        <f>(('PRACTICE Equity Price Data'!B551/'PRACTICE Equity Price Data'!B550)-1)+B549</f>
        <v>#DIV/0!</v>
      </c>
      <c r="C550" s="34" t="str">
        <f>(('PRACTICE Equity Price Data'!C551/'PRACTICE Equity Price Data'!C550)-1)+C549</f>
        <v>#DIV/0!</v>
      </c>
      <c r="D550" s="34" t="str">
        <f>(('PRACTICE Equity Price Data'!D551/'PRACTICE Equity Price Data'!D550)-1)+D549</f>
        <v>#DIV/0!</v>
      </c>
      <c r="E550" s="34" t="str">
        <f>(('PRACTICE Equity Price Data'!E551/'PRACTICE Equity Price Data'!E550)-1)+E549</f>
        <v>#DIV/0!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35"/>
    </row>
    <row r="551">
      <c r="A551" s="25" t="str">
        <f>'Equity Price Data'!A552</f>
        <v/>
      </c>
      <c r="B551" s="34" t="str">
        <f>(('PRACTICE Equity Price Data'!B552/'PRACTICE Equity Price Data'!B551)-1)+B550</f>
        <v>#DIV/0!</v>
      </c>
      <c r="C551" s="34" t="str">
        <f>(('PRACTICE Equity Price Data'!C552/'PRACTICE Equity Price Data'!C551)-1)+C550</f>
        <v>#DIV/0!</v>
      </c>
      <c r="D551" s="34" t="str">
        <f>(('PRACTICE Equity Price Data'!D552/'PRACTICE Equity Price Data'!D551)-1)+D550</f>
        <v>#DIV/0!</v>
      </c>
      <c r="E551" s="34" t="str">
        <f>(('PRACTICE Equity Price Data'!E552/'PRACTICE Equity Price Data'!E551)-1)+E550</f>
        <v>#DIV/0!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35"/>
    </row>
    <row r="552">
      <c r="A552" s="25" t="str">
        <f>'Equity Price Data'!A553</f>
        <v/>
      </c>
      <c r="B552" s="34" t="str">
        <f>(('PRACTICE Equity Price Data'!B553/'PRACTICE Equity Price Data'!B552)-1)+B551</f>
        <v>#DIV/0!</v>
      </c>
      <c r="C552" s="34" t="str">
        <f>(('PRACTICE Equity Price Data'!C553/'PRACTICE Equity Price Data'!C552)-1)+C551</f>
        <v>#DIV/0!</v>
      </c>
      <c r="D552" s="34" t="str">
        <f>(('PRACTICE Equity Price Data'!D553/'PRACTICE Equity Price Data'!D552)-1)+D551</f>
        <v>#DIV/0!</v>
      </c>
      <c r="E552" s="34" t="str">
        <f>(('PRACTICE Equity Price Data'!E553/'PRACTICE Equity Price Data'!E552)-1)+E551</f>
        <v>#DIV/0!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35"/>
    </row>
    <row r="553">
      <c r="A553" s="25" t="str">
        <f>'Equity Price Data'!A554</f>
        <v/>
      </c>
      <c r="B553" s="34" t="str">
        <f>(('PRACTICE Equity Price Data'!B554/'PRACTICE Equity Price Data'!B553)-1)+B552</f>
        <v>#DIV/0!</v>
      </c>
      <c r="C553" s="34" t="str">
        <f>(('PRACTICE Equity Price Data'!C554/'PRACTICE Equity Price Data'!C553)-1)+C552</f>
        <v>#DIV/0!</v>
      </c>
      <c r="D553" s="34" t="str">
        <f>(('PRACTICE Equity Price Data'!D554/'PRACTICE Equity Price Data'!D553)-1)+D552</f>
        <v>#DIV/0!</v>
      </c>
      <c r="E553" s="34" t="str">
        <f>(('PRACTICE Equity Price Data'!E554/'PRACTICE Equity Price Data'!E553)-1)+E552</f>
        <v>#DIV/0!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35"/>
    </row>
    <row r="554">
      <c r="A554" s="25" t="str">
        <f>'Equity Price Data'!A555</f>
        <v/>
      </c>
      <c r="B554" s="34" t="str">
        <f>(('PRACTICE Equity Price Data'!B555/'PRACTICE Equity Price Data'!B554)-1)+B553</f>
        <v>#DIV/0!</v>
      </c>
      <c r="C554" s="34" t="str">
        <f>(('PRACTICE Equity Price Data'!C555/'PRACTICE Equity Price Data'!C554)-1)+C553</f>
        <v>#DIV/0!</v>
      </c>
      <c r="D554" s="34" t="str">
        <f>(('PRACTICE Equity Price Data'!D555/'PRACTICE Equity Price Data'!D554)-1)+D553</f>
        <v>#DIV/0!</v>
      </c>
      <c r="E554" s="34" t="str">
        <f>(('PRACTICE Equity Price Data'!E555/'PRACTICE Equity Price Data'!E554)-1)+E553</f>
        <v>#DIV/0!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35"/>
    </row>
    <row r="555">
      <c r="A555" s="25" t="str">
        <f>'Equity Price Data'!A556</f>
        <v/>
      </c>
      <c r="B555" s="34" t="str">
        <f>(('PRACTICE Equity Price Data'!B556/'PRACTICE Equity Price Data'!B555)-1)+B554</f>
        <v>#DIV/0!</v>
      </c>
      <c r="C555" s="34" t="str">
        <f>(('PRACTICE Equity Price Data'!C556/'PRACTICE Equity Price Data'!C555)-1)+C554</f>
        <v>#DIV/0!</v>
      </c>
      <c r="D555" s="34" t="str">
        <f>(('PRACTICE Equity Price Data'!D556/'PRACTICE Equity Price Data'!D555)-1)+D554</f>
        <v>#DIV/0!</v>
      </c>
      <c r="E555" s="34" t="str">
        <f>(('PRACTICE Equity Price Data'!E556/'PRACTICE Equity Price Data'!E555)-1)+E554</f>
        <v>#DIV/0!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35"/>
    </row>
    <row r="556">
      <c r="A556" s="25" t="str">
        <f>'Equity Price Data'!A557</f>
        <v/>
      </c>
      <c r="B556" s="34" t="str">
        <f>(('PRACTICE Equity Price Data'!B557/'PRACTICE Equity Price Data'!B556)-1)+B555</f>
        <v>#DIV/0!</v>
      </c>
      <c r="C556" s="34" t="str">
        <f>(('PRACTICE Equity Price Data'!C557/'PRACTICE Equity Price Data'!C556)-1)+C555</f>
        <v>#DIV/0!</v>
      </c>
      <c r="D556" s="34" t="str">
        <f>(('PRACTICE Equity Price Data'!D557/'PRACTICE Equity Price Data'!D556)-1)+D555</f>
        <v>#DIV/0!</v>
      </c>
      <c r="E556" s="34" t="str">
        <f>(('PRACTICE Equity Price Data'!E557/'PRACTICE Equity Price Data'!E556)-1)+E555</f>
        <v>#DIV/0!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35"/>
    </row>
    <row r="557">
      <c r="A557" s="25" t="str">
        <f>'Equity Price Data'!A558</f>
        <v/>
      </c>
      <c r="B557" s="34" t="str">
        <f>(('PRACTICE Equity Price Data'!B558/'PRACTICE Equity Price Data'!B557)-1)+B556</f>
        <v>#DIV/0!</v>
      </c>
      <c r="C557" s="34" t="str">
        <f>(('PRACTICE Equity Price Data'!C558/'PRACTICE Equity Price Data'!C557)-1)+C556</f>
        <v>#DIV/0!</v>
      </c>
      <c r="D557" s="34" t="str">
        <f>(('PRACTICE Equity Price Data'!D558/'PRACTICE Equity Price Data'!D557)-1)+D556</f>
        <v>#DIV/0!</v>
      </c>
      <c r="E557" s="34" t="str">
        <f>(('PRACTICE Equity Price Data'!E558/'PRACTICE Equity Price Data'!E557)-1)+E556</f>
        <v>#DIV/0!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35"/>
    </row>
    <row r="558">
      <c r="A558" s="25" t="str">
        <f>'Equity Price Data'!A559</f>
        <v/>
      </c>
      <c r="B558" s="34" t="str">
        <f>(('PRACTICE Equity Price Data'!B559/'PRACTICE Equity Price Data'!B558)-1)+B557</f>
        <v>#DIV/0!</v>
      </c>
      <c r="C558" s="34" t="str">
        <f>(('PRACTICE Equity Price Data'!C559/'PRACTICE Equity Price Data'!C558)-1)+C557</f>
        <v>#DIV/0!</v>
      </c>
      <c r="D558" s="34" t="str">
        <f>(('PRACTICE Equity Price Data'!D559/'PRACTICE Equity Price Data'!D558)-1)+D557</f>
        <v>#DIV/0!</v>
      </c>
      <c r="E558" s="34" t="str">
        <f>(('PRACTICE Equity Price Data'!E559/'PRACTICE Equity Price Data'!E558)-1)+E557</f>
        <v>#DIV/0!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35"/>
    </row>
    <row r="559">
      <c r="A559" s="25" t="str">
        <f>'Equity Price Data'!A560</f>
        <v/>
      </c>
      <c r="B559" s="34" t="str">
        <f>(('PRACTICE Equity Price Data'!B560/'PRACTICE Equity Price Data'!B559)-1)+B558</f>
        <v>#DIV/0!</v>
      </c>
      <c r="C559" s="34" t="str">
        <f>(('PRACTICE Equity Price Data'!C560/'PRACTICE Equity Price Data'!C559)-1)+C558</f>
        <v>#DIV/0!</v>
      </c>
      <c r="D559" s="34" t="str">
        <f>(('PRACTICE Equity Price Data'!D560/'PRACTICE Equity Price Data'!D559)-1)+D558</f>
        <v>#DIV/0!</v>
      </c>
      <c r="E559" s="34" t="str">
        <f>(('PRACTICE Equity Price Data'!E560/'PRACTICE Equity Price Data'!E559)-1)+E558</f>
        <v>#DIV/0!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35"/>
    </row>
    <row r="560">
      <c r="A560" s="25" t="str">
        <f>'Equity Price Data'!A561</f>
        <v/>
      </c>
      <c r="B560" s="34" t="str">
        <f>(('PRACTICE Equity Price Data'!B561/'PRACTICE Equity Price Data'!B560)-1)+B559</f>
        <v>#DIV/0!</v>
      </c>
      <c r="C560" s="34" t="str">
        <f>(('PRACTICE Equity Price Data'!C561/'PRACTICE Equity Price Data'!C560)-1)+C559</f>
        <v>#DIV/0!</v>
      </c>
      <c r="D560" s="34" t="str">
        <f>(('PRACTICE Equity Price Data'!D561/'PRACTICE Equity Price Data'!D560)-1)+D559</f>
        <v>#DIV/0!</v>
      </c>
      <c r="E560" s="34" t="str">
        <f>(('PRACTICE Equity Price Data'!E561/'PRACTICE Equity Price Data'!E560)-1)+E559</f>
        <v>#DIV/0!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35"/>
    </row>
    <row r="561">
      <c r="A561" s="25" t="str">
        <f>'Equity Price Data'!A562</f>
        <v/>
      </c>
      <c r="B561" s="34" t="str">
        <f>(('PRACTICE Equity Price Data'!B562/'PRACTICE Equity Price Data'!B561)-1)+B560</f>
        <v>#DIV/0!</v>
      </c>
      <c r="C561" s="34" t="str">
        <f>(('PRACTICE Equity Price Data'!C562/'PRACTICE Equity Price Data'!C561)-1)+C560</f>
        <v>#DIV/0!</v>
      </c>
      <c r="D561" s="34" t="str">
        <f>(('PRACTICE Equity Price Data'!D562/'PRACTICE Equity Price Data'!D561)-1)+D560</f>
        <v>#DIV/0!</v>
      </c>
      <c r="E561" s="34" t="str">
        <f>(('PRACTICE Equity Price Data'!E562/'PRACTICE Equity Price Data'!E561)-1)+E560</f>
        <v>#DIV/0!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35"/>
    </row>
    <row r="562">
      <c r="A562" s="25" t="str">
        <f>'Equity Price Data'!A563</f>
        <v/>
      </c>
      <c r="B562" s="34" t="str">
        <f>(('PRACTICE Equity Price Data'!B563/'PRACTICE Equity Price Data'!B562)-1)+B561</f>
        <v>#DIV/0!</v>
      </c>
      <c r="C562" s="34" t="str">
        <f>(('PRACTICE Equity Price Data'!C563/'PRACTICE Equity Price Data'!C562)-1)+C561</f>
        <v>#DIV/0!</v>
      </c>
      <c r="D562" s="34" t="str">
        <f>(('PRACTICE Equity Price Data'!D563/'PRACTICE Equity Price Data'!D562)-1)+D561</f>
        <v>#DIV/0!</v>
      </c>
      <c r="E562" s="34" t="str">
        <f>(('PRACTICE Equity Price Data'!E563/'PRACTICE Equity Price Data'!E562)-1)+E561</f>
        <v>#DIV/0!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35"/>
    </row>
    <row r="563">
      <c r="A563" s="25" t="str">
        <f>'Equity Price Data'!A564</f>
        <v/>
      </c>
      <c r="B563" s="34" t="str">
        <f>(('PRACTICE Equity Price Data'!B564/'PRACTICE Equity Price Data'!B563)-1)+B562</f>
        <v>#DIV/0!</v>
      </c>
      <c r="C563" s="34" t="str">
        <f>(('PRACTICE Equity Price Data'!C564/'PRACTICE Equity Price Data'!C563)-1)+C562</f>
        <v>#DIV/0!</v>
      </c>
      <c r="D563" s="34" t="str">
        <f>(('PRACTICE Equity Price Data'!D564/'PRACTICE Equity Price Data'!D563)-1)+D562</f>
        <v>#DIV/0!</v>
      </c>
      <c r="E563" s="34" t="str">
        <f>(('PRACTICE Equity Price Data'!E564/'PRACTICE Equity Price Data'!E563)-1)+E562</f>
        <v>#DIV/0!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35"/>
    </row>
    <row r="564">
      <c r="A564" s="25" t="str">
        <f>'Equity Price Data'!A565</f>
        <v/>
      </c>
      <c r="B564" s="34" t="str">
        <f>(('PRACTICE Equity Price Data'!B565/'PRACTICE Equity Price Data'!B564)-1)+B563</f>
        <v>#DIV/0!</v>
      </c>
      <c r="C564" s="34" t="str">
        <f>(('PRACTICE Equity Price Data'!C565/'PRACTICE Equity Price Data'!C564)-1)+C563</f>
        <v>#DIV/0!</v>
      </c>
      <c r="D564" s="34" t="str">
        <f>(('PRACTICE Equity Price Data'!D565/'PRACTICE Equity Price Data'!D564)-1)+D563</f>
        <v>#DIV/0!</v>
      </c>
      <c r="E564" s="34" t="str">
        <f>(('PRACTICE Equity Price Data'!E565/'PRACTICE Equity Price Data'!E564)-1)+E563</f>
        <v>#DIV/0!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35"/>
    </row>
    <row r="565">
      <c r="A565" s="25" t="str">
        <f>'Equity Price Data'!A566</f>
        <v/>
      </c>
      <c r="B565" s="34" t="str">
        <f>(('PRACTICE Equity Price Data'!B566/'PRACTICE Equity Price Data'!B565)-1)+B564</f>
        <v>#DIV/0!</v>
      </c>
      <c r="C565" s="34" t="str">
        <f>(('PRACTICE Equity Price Data'!C566/'PRACTICE Equity Price Data'!C565)-1)+C564</f>
        <v>#DIV/0!</v>
      </c>
      <c r="D565" s="34" t="str">
        <f>(('PRACTICE Equity Price Data'!D566/'PRACTICE Equity Price Data'!D565)-1)+D564</f>
        <v>#DIV/0!</v>
      </c>
      <c r="E565" s="34" t="str">
        <f>(('PRACTICE Equity Price Data'!E566/'PRACTICE Equity Price Data'!E565)-1)+E564</f>
        <v>#DIV/0!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35"/>
    </row>
    <row r="566">
      <c r="A566" s="25" t="str">
        <f>'Equity Price Data'!A567</f>
        <v/>
      </c>
      <c r="B566" s="34" t="str">
        <f>(('PRACTICE Equity Price Data'!B567/'PRACTICE Equity Price Data'!B566)-1)+B565</f>
        <v>#DIV/0!</v>
      </c>
      <c r="C566" s="34" t="str">
        <f>(('PRACTICE Equity Price Data'!C567/'PRACTICE Equity Price Data'!C566)-1)+C565</f>
        <v>#DIV/0!</v>
      </c>
      <c r="D566" s="34" t="str">
        <f>(('PRACTICE Equity Price Data'!D567/'PRACTICE Equity Price Data'!D566)-1)+D565</f>
        <v>#DIV/0!</v>
      </c>
      <c r="E566" s="34" t="str">
        <f>(('PRACTICE Equity Price Data'!E567/'PRACTICE Equity Price Data'!E566)-1)+E565</f>
        <v>#DIV/0!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35"/>
    </row>
    <row r="567">
      <c r="A567" s="25" t="str">
        <f>'Equity Price Data'!A568</f>
        <v/>
      </c>
      <c r="B567" s="34" t="str">
        <f>(('PRACTICE Equity Price Data'!B568/'PRACTICE Equity Price Data'!B567)-1)+B566</f>
        <v>#DIV/0!</v>
      </c>
      <c r="C567" s="34" t="str">
        <f>(('PRACTICE Equity Price Data'!C568/'PRACTICE Equity Price Data'!C567)-1)+C566</f>
        <v>#DIV/0!</v>
      </c>
      <c r="D567" s="34" t="str">
        <f>(('PRACTICE Equity Price Data'!D568/'PRACTICE Equity Price Data'!D567)-1)+D566</f>
        <v>#DIV/0!</v>
      </c>
      <c r="E567" s="34" t="str">
        <f>(('PRACTICE Equity Price Data'!E568/'PRACTICE Equity Price Data'!E567)-1)+E566</f>
        <v>#DIV/0!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35"/>
    </row>
    <row r="568">
      <c r="A568" s="25" t="str">
        <f>'Equity Price Data'!A569</f>
        <v/>
      </c>
      <c r="B568" s="34" t="str">
        <f>(('PRACTICE Equity Price Data'!B569/'PRACTICE Equity Price Data'!B568)-1)+B567</f>
        <v>#DIV/0!</v>
      </c>
      <c r="C568" s="34" t="str">
        <f>(('PRACTICE Equity Price Data'!C569/'PRACTICE Equity Price Data'!C568)-1)+C567</f>
        <v>#DIV/0!</v>
      </c>
      <c r="D568" s="34" t="str">
        <f>(('PRACTICE Equity Price Data'!D569/'PRACTICE Equity Price Data'!D568)-1)+D567</f>
        <v>#DIV/0!</v>
      </c>
      <c r="E568" s="34" t="str">
        <f>(('PRACTICE Equity Price Data'!E569/'PRACTICE Equity Price Data'!E568)-1)+E567</f>
        <v>#DIV/0!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35"/>
    </row>
    <row r="569">
      <c r="A569" s="25" t="str">
        <f>'Equity Price Data'!A570</f>
        <v/>
      </c>
      <c r="B569" s="34" t="str">
        <f>(('PRACTICE Equity Price Data'!B570/'PRACTICE Equity Price Data'!B569)-1)+B568</f>
        <v>#DIV/0!</v>
      </c>
      <c r="C569" s="34" t="str">
        <f>(('PRACTICE Equity Price Data'!C570/'PRACTICE Equity Price Data'!C569)-1)+C568</f>
        <v>#DIV/0!</v>
      </c>
      <c r="D569" s="34" t="str">
        <f>(('PRACTICE Equity Price Data'!D570/'PRACTICE Equity Price Data'!D569)-1)+D568</f>
        <v>#DIV/0!</v>
      </c>
      <c r="E569" s="34" t="str">
        <f>(('PRACTICE Equity Price Data'!E570/'PRACTICE Equity Price Data'!E569)-1)+E568</f>
        <v>#DIV/0!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35"/>
    </row>
    <row r="570">
      <c r="A570" s="25" t="str">
        <f>'Equity Price Data'!A571</f>
        <v/>
      </c>
      <c r="B570" s="34" t="str">
        <f>(('PRACTICE Equity Price Data'!B571/'PRACTICE Equity Price Data'!B570)-1)+B569</f>
        <v>#DIV/0!</v>
      </c>
      <c r="C570" s="34" t="str">
        <f>(('PRACTICE Equity Price Data'!C571/'PRACTICE Equity Price Data'!C570)-1)+C569</f>
        <v>#DIV/0!</v>
      </c>
      <c r="D570" s="34" t="str">
        <f>(('PRACTICE Equity Price Data'!D571/'PRACTICE Equity Price Data'!D570)-1)+D569</f>
        <v>#DIV/0!</v>
      </c>
      <c r="E570" s="34" t="str">
        <f>(('PRACTICE Equity Price Data'!E571/'PRACTICE Equity Price Data'!E570)-1)+E569</f>
        <v>#DIV/0!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35"/>
    </row>
    <row r="571">
      <c r="A571" s="25" t="str">
        <f>'Equity Price Data'!A572</f>
        <v/>
      </c>
      <c r="B571" s="34" t="str">
        <f>(('PRACTICE Equity Price Data'!B572/'PRACTICE Equity Price Data'!B571)-1)+B570</f>
        <v>#DIV/0!</v>
      </c>
      <c r="C571" s="34" t="str">
        <f>(('PRACTICE Equity Price Data'!C572/'PRACTICE Equity Price Data'!C571)-1)+C570</f>
        <v>#DIV/0!</v>
      </c>
      <c r="D571" s="34" t="str">
        <f>(('PRACTICE Equity Price Data'!D572/'PRACTICE Equity Price Data'!D571)-1)+D570</f>
        <v>#DIV/0!</v>
      </c>
      <c r="E571" s="34" t="str">
        <f>(('PRACTICE Equity Price Data'!E572/'PRACTICE Equity Price Data'!E571)-1)+E570</f>
        <v>#DIV/0!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35"/>
    </row>
    <row r="572">
      <c r="A572" s="25" t="str">
        <f>'Equity Price Data'!A573</f>
        <v/>
      </c>
      <c r="B572" s="34" t="str">
        <f>(('PRACTICE Equity Price Data'!B573/'PRACTICE Equity Price Data'!B572)-1)+B571</f>
        <v>#DIV/0!</v>
      </c>
      <c r="C572" s="34" t="str">
        <f>(('PRACTICE Equity Price Data'!C573/'PRACTICE Equity Price Data'!C572)-1)+C571</f>
        <v>#DIV/0!</v>
      </c>
      <c r="D572" s="34" t="str">
        <f>(('PRACTICE Equity Price Data'!D573/'PRACTICE Equity Price Data'!D572)-1)+D571</f>
        <v>#DIV/0!</v>
      </c>
      <c r="E572" s="34" t="str">
        <f>(('PRACTICE Equity Price Data'!E573/'PRACTICE Equity Price Data'!E572)-1)+E571</f>
        <v>#DIV/0!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35"/>
    </row>
    <row r="573">
      <c r="A573" s="25" t="str">
        <f>'Equity Price Data'!A574</f>
        <v/>
      </c>
      <c r="B573" s="34" t="str">
        <f>(('PRACTICE Equity Price Data'!B574/'PRACTICE Equity Price Data'!B573)-1)+B572</f>
        <v>#DIV/0!</v>
      </c>
      <c r="C573" s="34" t="str">
        <f>(('PRACTICE Equity Price Data'!C574/'PRACTICE Equity Price Data'!C573)-1)+C572</f>
        <v>#DIV/0!</v>
      </c>
      <c r="D573" s="34" t="str">
        <f>(('PRACTICE Equity Price Data'!D574/'PRACTICE Equity Price Data'!D573)-1)+D572</f>
        <v>#DIV/0!</v>
      </c>
      <c r="E573" s="34" t="str">
        <f>(('PRACTICE Equity Price Data'!E574/'PRACTICE Equity Price Data'!E573)-1)+E572</f>
        <v>#DIV/0!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35"/>
    </row>
    <row r="574">
      <c r="A574" s="25" t="str">
        <f>'Equity Price Data'!A575</f>
        <v/>
      </c>
      <c r="B574" s="34" t="str">
        <f>(('PRACTICE Equity Price Data'!B575/'PRACTICE Equity Price Data'!B574)-1)+B573</f>
        <v>#DIV/0!</v>
      </c>
      <c r="C574" s="34" t="str">
        <f>(('PRACTICE Equity Price Data'!C575/'PRACTICE Equity Price Data'!C574)-1)+C573</f>
        <v>#DIV/0!</v>
      </c>
      <c r="D574" s="34" t="str">
        <f>(('PRACTICE Equity Price Data'!D575/'PRACTICE Equity Price Data'!D574)-1)+D573</f>
        <v>#DIV/0!</v>
      </c>
      <c r="E574" s="34" t="str">
        <f>(('PRACTICE Equity Price Data'!E575/'PRACTICE Equity Price Data'!E574)-1)+E573</f>
        <v>#DIV/0!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35"/>
    </row>
    <row r="575">
      <c r="A575" s="25" t="str">
        <f>'Equity Price Data'!A576</f>
        <v/>
      </c>
      <c r="B575" s="34" t="str">
        <f>(('PRACTICE Equity Price Data'!B576/'PRACTICE Equity Price Data'!B575)-1)+B574</f>
        <v>#DIV/0!</v>
      </c>
      <c r="C575" s="34" t="str">
        <f>(('PRACTICE Equity Price Data'!C576/'PRACTICE Equity Price Data'!C575)-1)+C574</f>
        <v>#DIV/0!</v>
      </c>
      <c r="D575" s="34" t="str">
        <f>(('PRACTICE Equity Price Data'!D576/'PRACTICE Equity Price Data'!D575)-1)+D574</f>
        <v>#DIV/0!</v>
      </c>
      <c r="E575" s="34" t="str">
        <f>(('PRACTICE Equity Price Data'!E576/'PRACTICE Equity Price Data'!E575)-1)+E574</f>
        <v>#DIV/0!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35"/>
    </row>
    <row r="576">
      <c r="A576" s="25" t="str">
        <f>'Equity Price Data'!A577</f>
        <v/>
      </c>
      <c r="B576" s="34" t="str">
        <f>(('PRACTICE Equity Price Data'!B577/'PRACTICE Equity Price Data'!B576)-1)+B575</f>
        <v>#DIV/0!</v>
      </c>
      <c r="C576" s="34" t="str">
        <f>(('PRACTICE Equity Price Data'!C577/'PRACTICE Equity Price Data'!C576)-1)+C575</f>
        <v>#DIV/0!</v>
      </c>
      <c r="D576" s="34" t="str">
        <f>(('PRACTICE Equity Price Data'!D577/'PRACTICE Equity Price Data'!D576)-1)+D575</f>
        <v>#DIV/0!</v>
      </c>
      <c r="E576" s="34" t="str">
        <f>(('PRACTICE Equity Price Data'!E577/'PRACTICE Equity Price Data'!E576)-1)+E575</f>
        <v>#DIV/0!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35"/>
    </row>
    <row r="577">
      <c r="A577" s="25" t="str">
        <f>'Equity Price Data'!A578</f>
        <v/>
      </c>
      <c r="B577" s="34" t="str">
        <f>(('PRACTICE Equity Price Data'!B578/'PRACTICE Equity Price Data'!B577)-1)+B576</f>
        <v>#DIV/0!</v>
      </c>
      <c r="C577" s="34" t="str">
        <f>(('PRACTICE Equity Price Data'!C578/'PRACTICE Equity Price Data'!C577)-1)+C576</f>
        <v>#DIV/0!</v>
      </c>
      <c r="D577" s="34" t="str">
        <f>(('PRACTICE Equity Price Data'!D578/'PRACTICE Equity Price Data'!D577)-1)+D576</f>
        <v>#DIV/0!</v>
      </c>
      <c r="E577" s="34" t="str">
        <f>(('PRACTICE Equity Price Data'!E578/'PRACTICE Equity Price Data'!E577)-1)+E576</f>
        <v>#DIV/0!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35"/>
    </row>
    <row r="578">
      <c r="A578" s="25" t="str">
        <f>'Equity Price Data'!A579</f>
        <v/>
      </c>
      <c r="B578" s="34" t="str">
        <f>(('PRACTICE Equity Price Data'!B579/'PRACTICE Equity Price Data'!B578)-1)+B577</f>
        <v>#DIV/0!</v>
      </c>
      <c r="C578" s="34" t="str">
        <f>(('PRACTICE Equity Price Data'!C579/'PRACTICE Equity Price Data'!C578)-1)+C577</f>
        <v>#DIV/0!</v>
      </c>
      <c r="D578" s="34" t="str">
        <f>(('PRACTICE Equity Price Data'!D579/'PRACTICE Equity Price Data'!D578)-1)+D577</f>
        <v>#DIV/0!</v>
      </c>
      <c r="E578" s="34" t="str">
        <f>(('PRACTICE Equity Price Data'!E579/'PRACTICE Equity Price Data'!E578)-1)+E577</f>
        <v>#DIV/0!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35"/>
    </row>
    <row r="579">
      <c r="A579" s="25" t="str">
        <f>'Equity Price Data'!A580</f>
        <v/>
      </c>
      <c r="B579" s="34" t="str">
        <f>(('PRACTICE Equity Price Data'!B580/'PRACTICE Equity Price Data'!B579)-1)+B578</f>
        <v>#DIV/0!</v>
      </c>
      <c r="C579" s="34" t="str">
        <f>(('PRACTICE Equity Price Data'!C580/'PRACTICE Equity Price Data'!C579)-1)+C578</f>
        <v>#DIV/0!</v>
      </c>
      <c r="D579" s="34" t="str">
        <f>(('PRACTICE Equity Price Data'!D580/'PRACTICE Equity Price Data'!D579)-1)+D578</f>
        <v>#DIV/0!</v>
      </c>
      <c r="E579" s="34" t="str">
        <f>(('PRACTICE Equity Price Data'!E580/'PRACTICE Equity Price Data'!E579)-1)+E578</f>
        <v>#DIV/0!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35"/>
    </row>
    <row r="580">
      <c r="A580" s="25" t="str">
        <f>'Equity Price Data'!A581</f>
        <v/>
      </c>
      <c r="B580" s="34" t="str">
        <f>(('PRACTICE Equity Price Data'!B581/'PRACTICE Equity Price Data'!B580)-1)+B579</f>
        <v>#DIV/0!</v>
      </c>
      <c r="C580" s="34" t="str">
        <f>(('PRACTICE Equity Price Data'!C581/'PRACTICE Equity Price Data'!C580)-1)+C579</f>
        <v>#DIV/0!</v>
      </c>
      <c r="D580" s="34" t="str">
        <f>(('PRACTICE Equity Price Data'!D581/'PRACTICE Equity Price Data'!D580)-1)+D579</f>
        <v>#DIV/0!</v>
      </c>
      <c r="E580" s="34" t="str">
        <f>(('PRACTICE Equity Price Data'!E581/'PRACTICE Equity Price Data'!E580)-1)+E579</f>
        <v>#DIV/0!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35"/>
    </row>
    <row r="581">
      <c r="A581" s="25" t="str">
        <f>'Equity Price Data'!A582</f>
        <v/>
      </c>
      <c r="B581" s="34" t="str">
        <f>(('PRACTICE Equity Price Data'!B582/'PRACTICE Equity Price Data'!B581)-1)+B580</f>
        <v>#DIV/0!</v>
      </c>
      <c r="C581" s="34" t="str">
        <f>(('PRACTICE Equity Price Data'!C582/'PRACTICE Equity Price Data'!C581)-1)+C580</f>
        <v>#DIV/0!</v>
      </c>
      <c r="D581" s="34" t="str">
        <f>(('PRACTICE Equity Price Data'!D582/'PRACTICE Equity Price Data'!D581)-1)+D580</f>
        <v>#DIV/0!</v>
      </c>
      <c r="E581" s="34" t="str">
        <f>(('PRACTICE Equity Price Data'!E582/'PRACTICE Equity Price Data'!E581)-1)+E580</f>
        <v>#DIV/0!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35"/>
    </row>
    <row r="582">
      <c r="A582" s="25" t="str">
        <f>'Equity Price Data'!A583</f>
        <v/>
      </c>
      <c r="B582" s="34" t="str">
        <f>(('PRACTICE Equity Price Data'!B583/'PRACTICE Equity Price Data'!B582)-1)+B581</f>
        <v>#DIV/0!</v>
      </c>
      <c r="C582" s="34" t="str">
        <f>(('PRACTICE Equity Price Data'!C583/'PRACTICE Equity Price Data'!C582)-1)+C581</f>
        <v>#DIV/0!</v>
      </c>
      <c r="D582" s="34" t="str">
        <f>(('PRACTICE Equity Price Data'!D583/'PRACTICE Equity Price Data'!D582)-1)+D581</f>
        <v>#DIV/0!</v>
      </c>
      <c r="E582" s="34" t="str">
        <f>(('PRACTICE Equity Price Data'!E583/'PRACTICE Equity Price Data'!E582)-1)+E581</f>
        <v>#DIV/0!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35"/>
    </row>
    <row r="583">
      <c r="A583" s="25" t="str">
        <f>'Equity Price Data'!A584</f>
        <v/>
      </c>
      <c r="B583" s="34" t="str">
        <f>(('PRACTICE Equity Price Data'!B584/'PRACTICE Equity Price Data'!B583)-1)+B582</f>
        <v>#DIV/0!</v>
      </c>
      <c r="C583" s="34" t="str">
        <f>(('PRACTICE Equity Price Data'!C584/'PRACTICE Equity Price Data'!C583)-1)+C582</f>
        <v>#DIV/0!</v>
      </c>
      <c r="D583" s="34" t="str">
        <f>(('PRACTICE Equity Price Data'!D584/'PRACTICE Equity Price Data'!D583)-1)+D582</f>
        <v>#DIV/0!</v>
      </c>
      <c r="E583" s="34" t="str">
        <f>(('PRACTICE Equity Price Data'!E584/'PRACTICE Equity Price Data'!E583)-1)+E582</f>
        <v>#DIV/0!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35"/>
    </row>
    <row r="584">
      <c r="A584" s="25" t="str">
        <f>'Equity Price Data'!A585</f>
        <v/>
      </c>
      <c r="B584" s="34" t="str">
        <f>(('PRACTICE Equity Price Data'!B585/'PRACTICE Equity Price Data'!B584)-1)+B583</f>
        <v>#DIV/0!</v>
      </c>
      <c r="C584" s="34" t="str">
        <f>(('PRACTICE Equity Price Data'!C585/'PRACTICE Equity Price Data'!C584)-1)+C583</f>
        <v>#DIV/0!</v>
      </c>
      <c r="D584" s="34" t="str">
        <f>(('PRACTICE Equity Price Data'!D585/'PRACTICE Equity Price Data'!D584)-1)+D583</f>
        <v>#DIV/0!</v>
      </c>
      <c r="E584" s="34" t="str">
        <f>(('PRACTICE Equity Price Data'!E585/'PRACTICE Equity Price Data'!E584)-1)+E583</f>
        <v>#DIV/0!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35"/>
    </row>
    <row r="585">
      <c r="A585" s="25" t="str">
        <f>'Equity Price Data'!A586</f>
        <v/>
      </c>
      <c r="B585" s="34" t="str">
        <f>(('PRACTICE Equity Price Data'!B586/'PRACTICE Equity Price Data'!B585)-1)+B584</f>
        <v>#DIV/0!</v>
      </c>
      <c r="C585" s="34" t="str">
        <f>(('PRACTICE Equity Price Data'!C586/'PRACTICE Equity Price Data'!C585)-1)+C584</f>
        <v>#DIV/0!</v>
      </c>
      <c r="D585" s="34" t="str">
        <f>(('PRACTICE Equity Price Data'!D586/'PRACTICE Equity Price Data'!D585)-1)+D584</f>
        <v>#DIV/0!</v>
      </c>
      <c r="E585" s="34" t="str">
        <f>(('PRACTICE Equity Price Data'!E586/'PRACTICE Equity Price Data'!E585)-1)+E584</f>
        <v>#DIV/0!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35"/>
    </row>
    <row r="586">
      <c r="A586" s="25" t="str">
        <f>'Equity Price Data'!A587</f>
        <v/>
      </c>
      <c r="B586" s="34" t="str">
        <f>(('PRACTICE Equity Price Data'!B587/'PRACTICE Equity Price Data'!B586)-1)+B585</f>
        <v>#DIV/0!</v>
      </c>
      <c r="C586" s="34" t="str">
        <f>(('PRACTICE Equity Price Data'!C587/'PRACTICE Equity Price Data'!C586)-1)+C585</f>
        <v>#DIV/0!</v>
      </c>
      <c r="D586" s="34" t="str">
        <f>(('PRACTICE Equity Price Data'!D587/'PRACTICE Equity Price Data'!D586)-1)+D585</f>
        <v>#DIV/0!</v>
      </c>
      <c r="E586" s="34" t="str">
        <f>(('PRACTICE Equity Price Data'!E587/'PRACTICE Equity Price Data'!E586)-1)+E585</f>
        <v>#DIV/0!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35"/>
    </row>
    <row r="587">
      <c r="A587" s="25" t="str">
        <f>'Equity Price Data'!A588</f>
        <v/>
      </c>
      <c r="B587" s="34" t="str">
        <f>(('PRACTICE Equity Price Data'!B588/'PRACTICE Equity Price Data'!B587)-1)+B586</f>
        <v>#DIV/0!</v>
      </c>
      <c r="C587" s="34" t="str">
        <f>(('PRACTICE Equity Price Data'!C588/'PRACTICE Equity Price Data'!C587)-1)+C586</f>
        <v>#DIV/0!</v>
      </c>
      <c r="D587" s="34" t="str">
        <f>(('PRACTICE Equity Price Data'!D588/'PRACTICE Equity Price Data'!D587)-1)+D586</f>
        <v>#DIV/0!</v>
      </c>
      <c r="E587" s="34" t="str">
        <f>(('PRACTICE Equity Price Data'!E588/'PRACTICE Equity Price Data'!E587)-1)+E586</f>
        <v>#DIV/0!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35"/>
    </row>
    <row r="588">
      <c r="A588" s="25" t="str">
        <f>'Equity Price Data'!A589</f>
        <v/>
      </c>
      <c r="B588" s="34" t="str">
        <f>(('PRACTICE Equity Price Data'!B589/'PRACTICE Equity Price Data'!B588)-1)+B587</f>
        <v>#DIV/0!</v>
      </c>
      <c r="C588" s="34" t="str">
        <f>(('PRACTICE Equity Price Data'!C589/'PRACTICE Equity Price Data'!C588)-1)+C587</f>
        <v>#DIV/0!</v>
      </c>
      <c r="D588" s="34" t="str">
        <f>(('PRACTICE Equity Price Data'!D589/'PRACTICE Equity Price Data'!D588)-1)+D587</f>
        <v>#DIV/0!</v>
      </c>
      <c r="E588" s="34" t="str">
        <f>(('PRACTICE Equity Price Data'!E589/'PRACTICE Equity Price Data'!E588)-1)+E587</f>
        <v>#DIV/0!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35"/>
    </row>
    <row r="589">
      <c r="A589" s="25" t="str">
        <f>'Equity Price Data'!A590</f>
        <v/>
      </c>
      <c r="B589" s="34" t="str">
        <f>(('PRACTICE Equity Price Data'!B590/'PRACTICE Equity Price Data'!B589)-1)+B588</f>
        <v>#DIV/0!</v>
      </c>
      <c r="C589" s="34" t="str">
        <f>(('PRACTICE Equity Price Data'!C590/'PRACTICE Equity Price Data'!C589)-1)+C588</f>
        <v>#DIV/0!</v>
      </c>
      <c r="D589" s="34" t="str">
        <f>(('PRACTICE Equity Price Data'!D590/'PRACTICE Equity Price Data'!D589)-1)+D588</f>
        <v>#DIV/0!</v>
      </c>
      <c r="E589" s="34" t="str">
        <f>(('PRACTICE Equity Price Data'!E590/'PRACTICE Equity Price Data'!E589)-1)+E588</f>
        <v>#DIV/0!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35"/>
    </row>
    <row r="590">
      <c r="A590" s="25" t="str">
        <f>'Equity Price Data'!A591</f>
        <v/>
      </c>
      <c r="B590" s="34" t="str">
        <f>(('PRACTICE Equity Price Data'!B591/'PRACTICE Equity Price Data'!B590)-1)+B589</f>
        <v>#DIV/0!</v>
      </c>
      <c r="C590" s="34" t="str">
        <f>(('PRACTICE Equity Price Data'!C591/'PRACTICE Equity Price Data'!C590)-1)+C589</f>
        <v>#DIV/0!</v>
      </c>
      <c r="D590" s="34" t="str">
        <f>(('PRACTICE Equity Price Data'!D591/'PRACTICE Equity Price Data'!D590)-1)+D589</f>
        <v>#DIV/0!</v>
      </c>
      <c r="E590" s="34" t="str">
        <f>(('PRACTICE Equity Price Data'!E591/'PRACTICE Equity Price Data'!E590)-1)+E589</f>
        <v>#DIV/0!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35"/>
    </row>
    <row r="591">
      <c r="A591" s="25" t="str">
        <f>'Equity Price Data'!A592</f>
        <v/>
      </c>
      <c r="B591" s="34" t="str">
        <f>(('PRACTICE Equity Price Data'!B592/'PRACTICE Equity Price Data'!B591)-1)+B590</f>
        <v>#DIV/0!</v>
      </c>
      <c r="C591" s="34" t="str">
        <f>(('PRACTICE Equity Price Data'!C592/'PRACTICE Equity Price Data'!C591)-1)+C590</f>
        <v>#DIV/0!</v>
      </c>
      <c r="D591" s="34" t="str">
        <f>(('PRACTICE Equity Price Data'!D592/'PRACTICE Equity Price Data'!D591)-1)+D590</f>
        <v>#DIV/0!</v>
      </c>
      <c r="E591" s="34" t="str">
        <f>(('PRACTICE Equity Price Data'!E592/'PRACTICE Equity Price Data'!E591)-1)+E590</f>
        <v>#DIV/0!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35"/>
    </row>
    <row r="592">
      <c r="A592" s="25" t="str">
        <f>'Equity Price Data'!A593</f>
        <v/>
      </c>
      <c r="B592" s="34" t="str">
        <f>(('PRACTICE Equity Price Data'!B593/'PRACTICE Equity Price Data'!B592)-1)+B591</f>
        <v>#DIV/0!</v>
      </c>
      <c r="C592" s="34" t="str">
        <f>(('PRACTICE Equity Price Data'!C593/'PRACTICE Equity Price Data'!C592)-1)+C591</f>
        <v>#DIV/0!</v>
      </c>
      <c r="D592" s="34" t="str">
        <f>(('PRACTICE Equity Price Data'!D593/'PRACTICE Equity Price Data'!D592)-1)+D591</f>
        <v>#DIV/0!</v>
      </c>
      <c r="E592" s="34" t="str">
        <f>(('PRACTICE Equity Price Data'!E593/'PRACTICE Equity Price Data'!E592)-1)+E591</f>
        <v>#DIV/0!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35"/>
    </row>
    <row r="593">
      <c r="A593" s="25" t="str">
        <f>'Equity Price Data'!A594</f>
        <v/>
      </c>
      <c r="B593" s="34" t="str">
        <f>(('PRACTICE Equity Price Data'!B594/'PRACTICE Equity Price Data'!B593)-1)+B592</f>
        <v>#DIV/0!</v>
      </c>
      <c r="C593" s="34" t="str">
        <f>(('PRACTICE Equity Price Data'!C594/'PRACTICE Equity Price Data'!C593)-1)+C592</f>
        <v>#DIV/0!</v>
      </c>
      <c r="D593" s="34" t="str">
        <f>(('PRACTICE Equity Price Data'!D594/'PRACTICE Equity Price Data'!D593)-1)+D592</f>
        <v>#DIV/0!</v>
      </c>
      <c r="E593" s="34" t="str">
        <f>(('PRACTICE Equity Price Data'!E594/'PRACTICE Equity Price Data'!E593)-1)+E592</f>
        <v>#DIV/0!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35"/>
    </row>
    <row r="594">
      <c r="A594" s="25" t="str">
        <f>'Equity Price Data'!A595</f>
        <v/>
      </c>
      <c r="B594" s="34" t="str">
        <f>(('PRACTICE Equity Price Data'!B595/'PRACTICE Equity Price Data'!B594)-1)+B593</f>
        <v>#DIV/0!</v>
      </c>
      <c r="C594" s="34" t="str">
        <f>(('PRACTICE Equity Price Data'!C595/'PRACTICE Equity Price Data'!C594)-1)+C593</f>
        <v>#DIV/0!</v>
      </c>
      <c r="D594" s="34" t="str">
        <f>(('PRACTICE Equity Price Data'!D595/'PRACTICE Equity Price Data'!D594)-1)+D593</f>
        <v>#DIV/0!</v>
      </c>
      <c r="E594" s="34" t="str">
        <f>(('PRACTICE Equity Price Data'!E595/'PRACTICE Equity Price Data'!E594)-1)+E593</f>
        <v>#DIV/0!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35"/>
    </row>
    <row r="595">
      <c r="A595" s="25" t="str">
        <f>'Equity Price Data'!A596</f>
        <v/>
      </c>
      <c r="B595" s="34" t="str">
        <f>(('PRACTICE Equity Price Data'!B596/'PRACTICE Equity Price Data'!B595)-1)+B594</f>
        <v>#DIV/0!</v>
      </c>
      <c r="C595" s="34" t="str">
        <f>(('PRACTICE Equity Price Data'!C596/'PRACTICE Equity Price Data'!C595)-1)+C594</f>
        <v>#DIV/0!</v>
      </c>
      <c r="D595" s="34" t="str">
        <f>(('PRACTICE Equity Price Data'!D596/'PRACTICE Equity Price Data'!D595)-1)+D594</f>
        <v>#DIV/0!</v>
      </c>
      <c r="E595" s="34" t="str">
        <f>(('PRACTICE Equity Price Data'!E596/'PRACTICE Equity Price Data'!E595)-1)+E594</f>
        <v>#DIV/0!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35"/>
    </row>
    <row r="596">
      <c r="A596" s="25" t="str">
        <f>'Equity Price Data'!A597</f>
        <v/>
      </c>
      <c r="B596" s="34" t="str">
        <f>(('PRACTICE Equity Price Data'!B597/'PRACTICE Equity Price Data'!B596)-1)+B595</f>
        <v>#DIV/0!</v>
      </c>
      <c r="C596" s="34" t="str">
        <f>(('PRACTICE Equity Price Data'!C597/'PRACTICE Equity Price Data'!C596)-1)+C595</f>
        <v>#DIV/0!</v>
      </c>
      <c r="D596" s="34" t="str">
        <f>(('PRACTICE Equity Price Data'!D597/'PRACTICE Equity Price Data'!D596)-1)+D595</f>
        <v>#DIV/0!</v>
      </c>
      <c r="E596" s="34" t="str">
        <f>(('PRACTICE Equity Price Data'!E597/'PRACTICE Equity Price Data'!E596)-1)+E595</f>
        <v>#DIV/0!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35"/>
    </row>
    <row r="597">
      <c r="A597" s="25" t="str">
        <f>'Equity Price Data'!A598</f>
        <v/>
      </c>
      <c r="B597" s="34" t="str">
        <f>(('PRACTICE Equity Price Data'!B598/'PRACTICE Equity Price Data'!B597)-1)+B596</f>
        <v>#DIV/0!</v>
      </c>
      <c r="C597" s="34" t="str">
        <f>(('PRACTICE Equity Price Data'!C598/'PRACTICE Equity Price Data'!C597)-1)+C596</f>
        <v>#DIV/0!</v>
      </c>
      <c r="D597" s="34" t="str">
        <f>(('PRACTICE Equity Price Data'!D598/'PRACTICE Equity Price Data'!D597)-1)+D596</f>
        <v>#DIV/0!</v>
      </c>
      <c r="E597" s="34" t="str">
        <f>(('PRACTICE Equity Price Data'!E598/'PRACTICE Equity Price Data'!E597)-1)+E596</f>
        <v>#DIV/0!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35"/>
    </row>
    <row r="598">
      <c r="A598" s="25" t="str">
        <f>'Equity Price Data'!A599</f>
        <v/>
      </c>
      <c r="B598" s="34" t="str">
        <f>(('PRACTICE Equity Price Data'!B599/'PRACTICE Equity Price Data'!B598)-1)+B597</f>
        <v>#DIV/0!</v>
      </c>
      <c r="C598" s="34" t="str">
        <f>(('PRACTICE Equity Price Data'!C599/'PRACTICE Equity Price Data'!C598)-1)+C597</f>
        <v>#DIV/0!</v>
      </c>
      <c r="D598" s="34" t="str">
        <f>(('PRACTICE Equity Price Data'!D599/'PRACTICE Equity Price Data'!D598)-1)+D597</f>
        <v>#DIV/0!</v>
      </c>
      <c r="E598" s="34" t="str">
        <f>(('PRACTICE Equity Price Data'!E599/'PRACTICE Equity Price Data'!E598)-1)+E597</f>
        <v>#DIV/0!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35"/>
    </row>
    <row r="599">
      <c r="A599" s="25" t="str">
        <f>'Equity Price Data'!A600</f>
        <v/>
      </c>
      <c r="B599" s="34" t="str">
        <f>(('PRACTICE Equity Price Data'!B600/'PRACTICE Equity Price Data'!B599)-1)+B598</f>
        <v>#DIV/0!</v>
      </c>
      <c r="C599" s="34" t="str">
        <f>(('PRACTICE Equity Price Data'!C600/'PRACTICE Equity Price Data'!C599)-1)+C598</f>
        <v>#DIV/0!</v>
      </c>
      <c r="D599" s="34" t="str">
        <f>(('PRACTICE Equity Price Data'!D600/'PRACTICE Equity Price Data'!D599)-1)+D598</f>
        <v>#DIV/0!</v>
      </c>
      <c r="E599" s="34" t="str">
        <f>(('PRACTICE Equity Price Data'!E600/'PRACTICE Equity Price Data'!E599)-1)+E598</f>
        <v>#DIV/0!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35"/>
    </row>
    <row r="600">
      <c r="A600" s="25" t="str">
        <f>'Equity Price Data'!A601</f>
        <v/>
      </c>
      <c r="B600" s="34" t="str">
        <f>(('PRACTICE Equity Price Data'!B601/'PRACTICE Equity Price Data'!B600)-1)+B599</f>
        <v>#DIV/0!</v>
      </c>
      <c r="C600" s="34" t="str">
        <f>(('PRACTICE Equity Price Data'!C601/'PRACTICE Equity Price Data'!C600)-1)+C599</f>
        <v>#DIV/0!</v>
      </c>
      <c r="D600" s="34" t="str">
        <f>(('PRACTICE Equity Price Data'!D601/'PRACTICE Equity Price Data'!D600)-1)+D599</f>
        <v>#DIV/0!</v>
      </c>
      <c r="E600" s="34" t="str">
        <f>(('PRACTICE Equity Price Data'!E601/'PRACTICE Equity Price Data'!E600)-1)+E599</f>
        <v>#DIV/0!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35"/>
    </row>
    <row r="601">
      <c r="A601" s="25"/>
      <c r="B601" s="31"/>
      <c r="C601" s="31"/>
      <c r="D601" s="31"/>
      <c r="E601" s="3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35"/>
    </row>
    <row r="602">
      <c r="A602" s="25"/>
      <c r="B602" s="31"/>
      <c r="C602" s="31"/>
      <c r="D602" s="31"/>
      <c r="E602" s="3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35"/>
    </row>
    <row r="603">
      <c r="A603" s="25"/>
      <c r="B603" s="31"/>
      <c r="C603" s="31"/>
      <c r="D603" s="31"/>
      <c r="E603" s="3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35"/>
    </row>
    <row r="604">
      <c r="A604" s="25"/>
      <c r="B604" s="31"/>
      <c r="C604" s="31"/>
      <c r="D604" s="31"/>
      <c r="E604" s="3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35"/>
    </row>
    <row r="605">
      <c r="A605" s="25"/>
      <c r="B605" s="31"/>
      <c r="C605" s="31"/>
      <c r="D605" s="31"/>
      <c r="E605" s="3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35"/>
    </row>
    <row r="606">
      <c r="A606" s="25"/>
      <c r="B606" s="31"/>
      <c r="C606" s="31"/>
      <c r="D606" s="31"/>
      <c r="E606" s="3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35"/>
    </row>
    <row r="607">
      <c r="A607" s="25"/>
      <c r="B607" s="31"/>
      <c r="C607" s="31"/>
      <c r="D607" s="31"/>
      <c r="E607" s="3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35"/>
    </row>
    <row r="608">
      <c r="A608" s="25"/>
      <c r="B608" s="31"/>
      <c r="C608" s="31"/>
      <c r="D608" s="31"/>
      <c r="E608" s="3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35"/>
    </row>
    <row r="609">
      <c r="A609" s="25"/>
      <c r="B609" s="31"/>
      <c r="C609" s="31"/>
      <c r="D609" s="31"/>
      <c r="E609" s="3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35"/>
    </row>
    <row r="610">
      <c r="A610" s="25"/>
      <c r="B610" s="31"/>
      <c r="C610" s="31"/>
      <c r="D610" s="31"/>
      <c r="E610" s="3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35"/>
    </row>
    <row r="611">
      <c r="A611" s="25"/>
      <c r="B611" s="31"/>
      <c r="C611" s="31"/>
      <c r="D611" s="31"/>
      <c r="E611" s="3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35"/>
    </row>
    <row r="612">
      <c r="A612" s="25"/>
      <c r="B612" s="31"/>
      <c r="C612" s="31"/>
      <c r="D612" s="31"/>
      <c r="E612" s="3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35"/>
    </row>
    <row r="613">
      <c r="A613" s="25"/>
      <c r="B613" s="31"/>
      <c r="C613" s="31"/>
      <c r="D613" s="31"/>
      <c r="E613" s="3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35"/>
    </row>
    <row r="614">
      <c r="A614" s="25"/>
      <c r="B614" s="31"/>
      <c r="C614" s="31"/>
      <c r="D614" s="31"/>
      <c r="E614" s="3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35"/>
    </row>
    <row r="615">
      <c r="A615" s="25"/>
      <c r="B615" s="31"/>
      <c r="C615" s="31"/>
      <c r="D615" s="31"/>
      <c r="E615" s="3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35"/>
    </row>
    <row r="616">
      <c r="A616" s="25"/>
      <c r="B616" s="31"/>
      <c r="C616" s="31"/>
      <c r="D616" s="31"/>
      <c r="E616" s="3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35"/>
    </row>
    <row r="617">
      <c r="A617" s="25"/>
      <c r="B617" s="31"/>
      <c r="C617" s="31"/>
      <c r="D617" s="31"/>
      <c r="E617" s="3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35"/>
    </row>
    <row r="618">
      <c r="A618" s="25"/>
      <c r="B618" s="31"/>
      <c r="C618" s="31"/>
      <c r="D618" s="31"/>
      <c r="E618" s="3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35"/>
    </row>
    <row r="619">
      <c r="A619" s="25"/>
      <c r="B619" s="31"/>
      <c r="C619" s="31"/>
      <c r="D619" s="31"/>
      <c r="E619" s="3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35"/>
    </row>
    <row r="620">
      <c r="A620" s="25"/>
      <c r="B620" s="31"/>
      <c r="C620" s="31"/>
      <c r="D620" s="31"/>
      <c r="E620" s="3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35"/>
    </row>
    <row r="621">
      <c r="A621" s="25"/>
      <c r="B621" s="31"/>
      <c r="C621" s="31"/>
      <c r="D621" s="31"/>
      <c r="E621" s="3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35"/>
    </row>
    <row r="622">
      <c r="A622" s="25"/>
      <c r="B622" s="31"/>
      <c r="C622" s="31"/>
      <c r="D622" s="31"/>
      <c r="E622" s="3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35"/>
    </row>
    <row r="623">
      <c r="A623" s="25"/>
      <c r="B623" s="31"/>
      <c r="C623" s="31"/>
      <c r="D623" s="31"/>
      <c r="E623" s="3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35"/>
    </row>
    <row r="624">
      <c r="A624" s="25"/>
      <c r="B624" s="31"/>
      <c r="C624" s="31"/>
      <c r="D624" s="31"/>
      <c r="E624" s="3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35"/>
    </row>
    <row r="625">
      <c r="A625" s="25"/>
      <c r="B625" s="31"/>
      <c r="C625" s="31"/>
      <c r="D625" s="31"/>
      <c r="E625" s="3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35"/>
    </row>
    <row r="626">
      <c r="A626" s="25"/>
      <c r="B626" s="31"/>
      <c r="C626" s="31"/>
      <c r="D626" s="31"/>
      <c r="E626" s="3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35"/>
    </row>
    <row r="627">
      <c r="A627" s="25"/>
      <c r="B627" s="31"/>
      <c r="C627" s="31"/>
      <c r="D627" s="31"/>
      <c r="E627" s="3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35"/>
    </row>
    <row r="628">
      <c r="A628" s="25"/>
      <c r="B628" s="31"/>
      <c r="C628" s="31"/>
      <c r="D628" s="31"/>
      <c r="E628" s="3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35"/>
    </row>
    <row r="629">
      <c r="A629" s="25"/>
      <c r="B629" s="31"/>
      <c r="C629" s="31"/>
      <c r="D629" s="31"/>
      <c r="E629" s="3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35"/>
    </row>
    <row r="630">
      <c r="A630" s="25"/>
      <c r="B630" s="31"/>
      <c r="C630" s="31"/>
      <c r="D630" s="31"/>
      <c r="E630" s="3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35"/>
    </row>
    <row r="631">
      <c r="A631" s="25"/>
      <c r="B631" s="31"/>
      <c r="C631" s="31"/>
      <c r="D631" s="31"/>
      <c r="E631" s="3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35"/>
    </row>
    <row r="632">
      <c r="A632" s="25"/>
      <c r="B632" s="31"/>
      <c r="C632" s="31"/>
      <c r="D632" s="31"/>
      <c r="E632" s="3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35"/>
    </row>
    <row r="633">
      <c r="A633" s="25"/>
      <c r="B633" s="31"/>
      <c r="C633" s="31"/>
      <c r="D633" s="31"/>
      <c r="E633" s="3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35"/>
    </row>
    <row r="634">
      <c r="A634" s="25"/>
      <c r="B634" s="31"/>
      <c r="C634" s="31"/>
      <c r="D634" s="31"/>
      <c r="E634" s="3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35"/>
    </row>
    <row r="635">
      <c r="A635" s="25"/>
      <c r="B635" s="31"/>
      <c r="C635" s="31"/>
      <c r="D635" s="31"/>
      <c r="E635" s="3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35"/>
    </row>
    <row r="636">
      <c r="A636" s="25"/>
      <c r="B636" s="31"/>
      <c r="C636" s="31"/>
      <c r="D636" s="31"/>
      <c r="E636" s="3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35"/>
    </row>
    <row r="637">
      <c r="A637" s="25"/>
      <c r="B637" s="31"/>
      <c r="C637" s="31"/>
      <c r="D637" s="31"/>
      <c r="E637" s="3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35"/>
    </row>
    <row r="638">
      <c r="A638" s="25"/>
      <c r="B638" s="31"/>
      <c r="C638" s="31"/>
      <c r="D638" s="31"/>
      <c r="E638" s="3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35"/>
    </row>
    <row r="639">
      <c r="A639" s="25"/>
      <c r="B639" s="31"/>
      <c r="C639" s="31"/>
      <c r="D639" s="31"/>
      <c r="E639" s="3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35"/>
    </row>
    <row r="640">
      <c r="A640" s="25"/>
      <c r="B640" s="31"/>
      <c r="C640" s="31"/>
      <c r="D640" s="31"/>
      <c r="E640" s="3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35"/>
    </row>
    <row r="641">
      <c r="A641" s="25"/>
      <c r="B641" s="31"/>
      <c r="C641" s="31"/>
      <c r="D641" s="31"/>
      <c r="E641" s="3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35"/>
    </row>
    <row r="642">
      <c r="A642" s="25"/>
      <c r="B642" s="31"/>
      <c r="C642" s="31"/>
      <c r="D642" s="31"/>
      <c r="E642" s="3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35"/>
    </row>
    <row r="643">
      <c r="A643" s="25"/>
      <c r="B643" s="31"/>
      <c r="C643" s="31"/>
      <c r="D643" s="31"/>
      <c r="E643" s="3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35"/>
    </row>
    <row r="644">
      <c r="A644" s="25"/>
      <c r="B644" s="31"/>
      <c r="C644" s="31"/>
      <c r="D644" s="31"/>
      <c r="E644" s="3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35"/>
    </row>
    <row r="645">
      <c r="A645" s="25"/>
      <c r="B645" s="31"/>
      <c r="C645" s="31"/>
      <c r="D645" s="31"/>
      <c r="E645" s="3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35"/>
    </row>
    <row r="646">
      <c r="A646" s="25"/>
      <c r="B646" s="31"/>
      <c r="C646" s="31"/>
      <c r="D646" s="31"/>
      <c r="E646" s="3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35"/>
    </row>
    <row r="647">
      <c r="A647" s="25"/>
      <c r="B647" s="31"/>
      <c r="C647" s="31"/>
      <c r="D647" s="31"/>
      <c r="E647" s="3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35"/>
    </row>
    <row r="648">
      <c r="A648" s="25"/>
      <c r="B648" s="31"/>
      <c r="C648" s="31"/>
      <c r="D648" s="31"/>
      <c r="E648" s="3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35"/>
    </row>
    <row r="649">
      <c r="A649" s="25"/>
      <c r="B649" s="31"/>
      <c r="C649" s="31"/>
      <c r="D649" s="31"/>
      <c r="E649" s="3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35"/>
    </row>
    <row r="650">
      <c r="A650" s="25"/>
      <c r="B650" s="31"/>
      <c r="C650" s="31"/>
      <c r="D650" s="31"/>
      <c r="E650" s="3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35"/>
    </row>
    <row r="651">
      <c r="A651" s="25"/>
      <c r="B651" s="31"/>
      <c r="C651" s="31"/>
      <c r="D651" s="31"/>
      <c r="E651" s="3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35"/>
    </row>
    <row r="652">
      <c r="A652" s="25"/>
      <c r="B652" s="31"/>
      <c r="C652" s="31"/>
      <c r="D652" s="31"/>
      <c r="E652" s="3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35"/>
    </row>
    <row r="653">
      <c r="A653" s="25"/>
      <c r="B653" s="31"/>
      <c r="C653" s="31"/>
      <c r="D653" s="31"/>
      <c r="E653" s="3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35"/>
    </row>
    <row r="654">
      <c r="A654" s="25"/>
      <c r="B654" s="31"/>
      <c r="C654" s="31"/>
      <c r="D654" s="31"/>
      <c r="E654" s="3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35"/>
    </row>
    <row r="655">
      <c r="A655" s="25"/>
      <c r="B655" s="31"/>
      <c r="C655" s="31"/>
      <c r="D655" s="31"/>
      <c r="E655" s="3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35"/>
    </row>
    <row r="656">
      <c r="A656" s="25"/>
      <c r="B656" s="31"/>
      <c r="C656" s="31"/>
      <c r="D656" s="31"/>
      <c r="E656" s="3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35"/>
    </row>
    <row r="657">
      <c r="A657" s="25"/>
      <c r="B657" s="31"/>
      <c r="C657" s="31"/>
      <c r="D657" s="31"/>
      <c r="E657" s="3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35"/>
    </row>
    <row r="658">
      <c r="A658" s="25"/>
      <c r="B658" s="31"/>
      <c r="C658" s="31"/>
      <c r="D658" s="31"/>
      <c r="E658" s="3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35"/>
    </row>
    <row r="659">
      <c r="A659" s="25"/>
      <c r="B659" s="31"/>
      <c r="C659" s="31"/>
      <c r="D659" s="31"/>
      <c r="E659" s="3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35"/>
    </row>
    <row r="660">
      <c r="A660" s="25"/>
      <c r="B660" s="31"/>
      <c r="C660" s="31"/>
      <c r="D660" s="31"/>
      <c r="E660" s="3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35"/>
    </row>
    <row r="661">
      <c r="A661" s="25"/>
      <c r="B661" s="31"/>
      <c r="C661" s="31"/>
      <c r="D661" s="31"/>
      <c r="E661" s="3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35"/>
    </row>
    <row r="662">
      <c r="A662" s="25"/>
      <c r="B662" s="31"/>
      <c r="C662" s="31"/>
      <c r="D662" s="31"/>
      <c r="E662" s="3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35"/>
    </row>
    <row r="663">
      <c r="A663" s="25"/>
      <c r="B663" s="31"/>
      <c r="C663" s="31"/>
      <c r="D663" s="31"/>
      <c r="E663" s="3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35"/>
    </row>
    <row r="664">
      <c r="A664" s="25"/>
      <c r="B664" s="31"/>
      <c r="C664" s="31"/>
      <c r="D664" s="31"/>
      <c r="E664" s="3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35"/>
    </row>
    <row r="665">
      <c r="A665" s="25"/>
      <c r="B665" s="31"/>
      <c r="C665" s="31"/>
      <c r="D665" s="31"/>
      <c r="E665" s="3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35"/>
    </row>
    <row r="666">
      <c r="A666" s="25"/>
      <c r="B666" s="31"/>
      <c r="C666" s="31"/>
      <c r="D666" s="31"/>
      <c r="E666" s="3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35"/>
    </row>
    <row r="667">
      <c r="A667" s="25"/>
      <c r="B667" s="31"/>
      <c r="C667" s="31"/>
      <c r="D667" s="31"/>
      <c r="E667" s="3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35"/>
    </row>
    <row r="668">
      <c r="A668" s="25"/>
      <c r="B668" s="31"/>
      <c r="C668" s="31"/>
      <c r="D668" s="31"/>
      <c r="E668" s="3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35"/>
    </row>
    <row r="669">
      <c r="A669" s="25"/>
      <c r="B669" s="31"/>
      <c r="C669" s="31"/>
      <c r="D669" s="31"/>
      <c r="E669" s="3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35"/>
    </row>
    <row r="670">
      <c r="A670" s="25"/>
      <c r="B670" s="31"/>
      <c r="C670" s="31"/>
      <c r="D670" s="31"/>
      <c r="E670" s="3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35"/>
    </row>
    <row r="671">
      <c r="A671" s="25"/>
      <c r="B671" s="31"/>
      <c r="C671" s="31"/>
      <c r="D671" s="31"/>
      <c r="E671" s="3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35"/>
    </row>
    <row r="672">
      <c r="A672" s="25"/>
      <c r="B672" s="31"/>
      <c r="C672" s="31"/>
      <c r="D672" s="31"/>
      <c r="E672" s="3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35"/>
    </row>
    <row r="673">
      <c r="A673" s="25"/>
      <c r="B673" s="31"/>
      <c r="C673" s="31"/>
      <c r="D673" s="31"/>
      <c r="E673" s="3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35"/>
    </row>
    <row r="674">
      <c r="A674" s="25"/>
      <c r="B674" s="31"/>
      <c r="C674" s="31"/>
      <c r="D674" s="31"/>
      <c r="E674" s="3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35"/>
    </row>
    <row r="675">
      <c r="A675" s="25"/>
      <c r="B675" s="31"/>
      <c r="C675" s="31"/>
      <c r="D675" s="31"/>
      <c r="E675" s="3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35"/>
    </row>
    <row r="676">
      <c r="A676" s="25"/>
      <c r="B676" s="31"/>
      <c r="C676" s="31"/>
      <c r="D676" s="31"/>
      <c r="E676" s="3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35"/>
    </row>
    <row r="677">
      <c r="A677" s="25"/>
      <c r="B677" s="31"/>
      <c r="C677" s="31"/>
      <c r="D677" s="31"/>
      <c r="E677" s="3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35"/>
    </row>
    <row r="678">
      <c r="A678" s="25"/>
      <c r="B678" s="31"/>
      <c r="C678" s="31"/>
      <c r="D678" s="31"/>
      <c r="E678" s="3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35"/>
    </row>
    <row r="679">
      <c r="A679" s="25"/>
      <c r="B679" s="31"/>
      <c r="C679" s="31"/>
      <c r="D679" s="31"/>
      <c r="E679" s="3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35"/>
    </row>
    <row r="680">
      <c r="A680" s="25"/>
      <c r="B680" s="31"/>
      <c r="C680" s="31"/>
      <c r="D680" s="31"/>
      <c r="E680" s="3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35"/>
    </row>
    <row r="681">
      <c r="A681" s="25"/>
      <c r="B681" s="31"/>
      <c r="C681" s="31"/>
      <c r="D681" s="31"/>
      <c r="E681" s="3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35"/>
    </row>
    <row r="682">
      <c r="A682" s="25"/>
      <c r="B682" s="31"/>
      <c r="C682" s="31"/>
      <c r="D682" s="31"/>
      <c r="E682" s="3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35"/>
    </row>
    <row r="683">
      <c r="A683" s="25"/>
      <c r="B683" s="31"/>
      <c r="C683" s="31"/>
      <c r="D683" s="31"/>
      <c r="E683" s="3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35"/>
    </row>
    <row r="684">
      <c r="A684" s="25"/>
      <c r="B684" s="31"/>
      <c r="C684" s="31"/>
      <c r="D684" s="31"/>
      <c r="E684" s="3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35"/>
    </row>
    <row r="685">
      <c r="A685" s="25"/>
      <c r="B685" s="31"/>
      <c r="C685" s="31"/>
      <c r="D685" s="31"/>
      <c r="E685" s="3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35"/>
    </row>
    <row r="686">
      <c r="A686" s="25"/>
      <c r="B686" s="31"/>
      <c r="C686" s="31"/>
      <c r="D686" s="31"/>
      <c r="E686" s="3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35"/>
    </row>
    <row r="687">
      <c r="A687" s="25"/>
      <c r="B687" s="31"/>
      <c r="C687" s="31"/>
      <c r="D687" s="31"/>
      <c r="E687" s="3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35"/>
    </row>
    <row r="688">
      <c r="A688" s="25"/>
      <c r="B688" s="31"/>
      <c r="C688" s="31"/>
      <c r="D688" s="31"/>
      <c r="E688" s="3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35"/>
    </row>
    <row r="689">
      <c r="A689" s="25"/>
      <c r="B689" s="31"/>
      <c r="C689" s="31"/>
      <c r="D689" s="31"/>
      <c r="E689" s="3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35"/>
    </row>
    <row r="690">
      <c r="A690" s="25"/>
      <c r="B690" s="31"/>
      <c r="C690" s="31"/>
      <c r="D690" s="31"/>
      <c r="E690" s="3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35"/>
    </row>
    <row r="691">
      <c r="A691" s="25"/>
      <c r="B691" s="31"/>
      <c r="C691" s="31"/>
      <c r="D691" s="31"/>
      <c r="E691" s="3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35"/>
    </row>
    <row r="692">
      <c r="A692" s="25"/>
      <c r="B692" s="31"/>
      <c r="C692" s="31"/>
      <c r="D692" s="31"/>
      <c r="E692" s="3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35"/>
    </row>
    <row r="693">
      <c r="A693" s="25"/>
      <c r="B693" s="31"/>
      <c r="C693" s="31"/>
      <c r="D693" s="31"/>
      <c r="E693" s="3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35"/>
    </row>
    <row r="694">
      <c r="A694" s="25"/>
      <c r="B694" s="31"/>
      <c r="C694" s="31"/>
      <c r="D694" s="31"/>
      <c r="E694" s="3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35"/>
    </row>
    <row r="695">
      <c r="A695" s="25"/>
      <c r="B695" s="31"/>
      <c r="C695" s="31"/>
      <c r="D695" s="31"/>
      <c r="E695" s="3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35"/>
    </row>
    <row r="696">
      <c r="A696" s="25"/>
      <c r="B696" s="31"/>
      <c r="C696" s="31"/>
      <c r="D696" s="31"/>
      <c r="E696" s="3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35"/>
    </row>
    <row r="697">
      <c r="A697" s="25"/>
      <c r="B697" s="31"/>
      <c r="C697" s="31"/>
      <c r="D697" s="31"/>
      <c r="E697" s="3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35"/>
    </row>
    <row r="698">
      <c r="A698" s="25"/>
      <c r="B698" s="31"/>
      <c r="C698" s="31"/>
      <c r="D698" s="31"/>
      <c r="E698" s="3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35"/>
    </row>
    <row r="699">
      <c r="A699" s="25"/>
      <c r="B699" s="31"/>
      <c r="C699" s="31"/>
      <c r="D699" s="31"/>
      <c r="E699" s="3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35"/>
    </row>
    <row r="700">
      <c r="A700" s="25"/>
      <c r="B700" s="31"/>
      <c r="C700" s="31"/>
      <c r="D700" s="31"/>
      <c r="E700" s="3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35"/>
    </row>
    <row r="701">
      <c r="A701" s="25"/>
      <c r="B701" s="31"/>
      <c r="C701" s="31"/>
      <c r="D701" s="31"/>
      <c r="E701" s="3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35"/>
    </row>
    <row r="702">
      <c r="A702" s="25"/>
      <c r="B702" s="31"/>
      <c r="C702" s="31"/>
      <c r="D702" s="31"/>
      <c r="E702" s="3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35"/>
    </row>
    <row r="703">
      <c r="A703" s="25"/>
      <c r="B703" s="31"/>
      <c r="C703" s="31"/>
      <c r="D703" s="31"/>
      <c r="E703" s="3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35"/>
    </row>
    <row r="704">
      <c r="A704" s="25"/>
      <c r="B704" s="31"/>
      <c r="C704" s="31"/>
      <c r="D704" s="31"/>
      <c r="E704" s="3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35"/>
    </row>
    <row r="705">
      <c r="A705" s="25"/>
      <c r="B705" s="31"/>
      <c r="C705" s="31"/>
      <c r="D705" s="31"/>
      <c r="E705" s="3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35"/>
    </row>
    <row r="706">
      <c r="A706" s="25"/>
      <c r="B706" s="31"/>
      <c r="C706" s="31"/>
      <c r="D706" s="31"/>
      <c r="E706" s="3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35"/>
    </row>
    <row r="707">
      <c r="A707" s="25"/>
      <c r="B707" s="31"/>
      <c r="C707" s="31"/>
      <c r="D707" s="31"/>
      <c r="E707" s="3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35"/>
    </row>
    <row r="708">
      <c r="A708" s="25"/>
      <c r="B708" s="31"/>
      <c r="C708" s="31"/>
      <c r="D708" s="31"/>
      <c r="E708" s="3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35"/>
    </row>
    <row r="709">
      <c r="A709" s="25"/>
      <c r="B709" s="31"/>
      <c r="C709" s="31"/>
      <c r="D709" s="31"/>
      <c r="E709" s="3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35"/>
    </row>
    <row r="710">
      <c r="A710" s="25"/>
      <c r="B710" s="31"/>
      <c r="C710" s="31"/>
      <c r="D710" s="31"/>
      <c r="E710" s="3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35"/>
    </row>
    <row r="711">
      <c r="A711" s="25"/>
      <c r="B711" s="31"/>
      <c r="C711" s="31"/>
      <c r="D711" s="31"/>
      <c r="E711" s="3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35"/>
    </row>
    <row r="712">
      <c r="A712" s="25"/>
      <c r="B712" s="31"/>
      <c r="C712" s="31"/>
      <c r="D712" s="31"/>
      <c r="E712" s="3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35"/>
    </row>
    <row r="713">
      <c r="A713" s="25"/>
      <c r="B713" s="31"/>
      <c r="C713" s="31"/>
      <c r="D713" s="31"/>
      <c r="E713" s="3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35"/>
    </row>
    <row r="714">
      <c r="A714" s="25"/>
      <c r="B714" s="31"/>
      <c r="C714" s="31"/>
      <c r="D714" s="31"/>
      <c r="E714" s="3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35"/>
    </row>
    <row r="715">
      <c r="A715" s="25"/>
      <c r="B715" s="31"/>
      <c r="C715" s="31"/>
      <c r="D715" s="31"/>
      <c r="E715" s="3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35"/>
    </row>
    <row r="716">
      <c r="A716" s="25"/>
      <c r="B716" s="31"/>
      <c r="C716" s="31"/>
      <c r="D716" s="31"/>
      <c r="E716" s="3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35"/>
    </row>
    <row r="717">
      <c r="A717" s="25"/>
      <c r="B717" s="31"/>
      <c r="C717" s="31"/>
      <c r="D717" s="31"/>
      <c r="E717" s="3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35"/>
    </row>
    <row r="718">
      <c r="A718" s="25"/>
      <c r="B718" s="31"/>
      <c r="C718" s="31"/>
      <c r="D718" s="31"/>
      <c r="E718" s="3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35"/>
    </row>
    <row r="719">
      <c r="A719" s="25"/>
      <c r="B719" s="31"/>
      <c r="C719" s="31"/>
      <c r="D719" s="31"/>
      <c r="E719" s="3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35"/>
    </row>
    <row r="720">
      <c r="A720" s="25"/>
      <c r="B720" s="31"/>
      <c r="C720" s="31"/>
      <c r="D720" s="31"/>
      <c r="E720" s="3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35"/>
    </row>
    <row r="721">
      <c r="A721" s="25"/>
      <c r="B721" s="31"/>
      <c r="C721" s="31"/>
      <c r="D721" s="31"/>
      <c r="E721" s="3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35"/>
    </row>
    <row r="722">
      <c r="A722" s="25"/>
      <c r="B722" s="31"/>
      <c r="C722" s="31"/>
      <c r="D722" s="31"/>
      <c r="E722" s="3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35"/>
    </row>
    <row r="723">
      <c r="A723" s="25"/>
      <c r="B723" s="31"/>
      <c r="C723" s="31"/>
      <c r="D723" s="31"/>
      <c r="E723" s="3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35"/>
    </row>
    <row r="724">
      <c r="A724" s="25"/>
      <c r="B724" s="31"/>
      <c r="C724" s="31"/>
      <c r="D724" s="31"/>
      <c r="E724" s="3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35"/>
    </row>
    <row r="725">
      <c r="A725" s="25"/>
      <c r="B725" s="31"/>
      <c r="C725" s="31"/>
      <c r="D725" s="31"/>
      <c r="E725" s="3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35"/>
    </row>
    <row r="726">
      <c r="A726" s="25"/>
      <c r="B726" s="31"/>
      <c r="C726" s="31"/>
      <c r="D726" s="31"/>
      <c r="E726" s="3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35"/>
    </row>
    <row r="727">
      <c r="A727" s="25"/>
      <c r="B727" s="31"/>
      <c r="C727" s="31"/>
      <c r="D727" s="31"/>
      <c r="E727" s="3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35"/>
    </row>
    <row r="728">
      <c r="A728" s="25"/>
      <c r="B728" s="31"/>
      <c r="C728" s="31"/>
      <c r="D728" s="31"/>
      <c r="E728" s="3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35"/>
    </row>
    <row r="729">
      <c r="A729" s="25"/>
      <c r="B729" s="31"/>
      <c r="C729" s="31"/>
      <c r="D729" s="31"/>
      <c r="E729" s="3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35"/>
    </row>
    <row r="730">
      <c r="A730" s="25"/>
      <c r="B730" s="31"/>
      <c r="C730" s="31"/>
      <c r="D730" s="31"/>
      <c r="E730" s="3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35"/>
    </row>
    <row r="731">
      <c r="A731" s="25"/>
      <c r="B731" s="31"/>
      <c r="C731" s="31"/>
      <c r="D731" s="31"/>
      <c r="E731" s="3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35"/>
    </row>
    <row r="732">
      <c r="A732" s="25"/>
      <c r="B732" s="31"/>
      <c r="C732" s="31"/>
      <c r="D732" s="31"/>
      <c r="E732" s="3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35"/>
    </row>
    <row r="733">
      <c r="A733" s="25"/>
      <c r="B733" s="31"/>
      <c r="C733" s="31"/>
      <c r="D733" s="31"/>
      <c r="E733" s="3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35"/>
    </row>
    <row r="734">
      <c r="A734" s="25"/>
      <c r="B734" s="31"/>
      <c r="C734" s="31"/>
      <c r="D734" s="31"/>
      <c r="E734" s="3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35"/>
    </row>
    <row r="735">
      <c r="A735" s="25"/>
      <c r="B735" s="31"/>
      <c r="C735" s="31"/>
      <c r="D735" s="31"/>
      <c r="E735" s="3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35"/>
    </row>
    <row r="736">
      <c r="A736" s="25"/>
      <c r="B736" s="31"/>
      <c r="C736" s="31"/>
      <c r="D736" s="31"/>
      <c r="E736" s="3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35"/>
    </row>
    <row r="737">
      <c r="A737" s="25"/>
      <c r="B737" s="31"/>
      <c r="C737" s="31"/>
      <c r="D737" s="31"/>
      <c r="E737" s="3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35"/>
    </row>
    <row r="738">
      <c r="A738" s="25"/>
      <c r="B738" s="31"/>
      <c r="C738" s="31"/>
      <c r="D738" s="31"/>
      <c r="E738" s="3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35"/>
    </row>
    <row r="739">
      <c r="A739" s="25"/>
      <c r="B739" s="31"/>
      <c r="C739" s="31"/>
      <c r="D739" s="31"/>
      <c r="E739" s="3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35"/>
    </row>
    <row r="740">
      <c r="A740" s="25"/>
      <c r="B740" s="31"/>
      <c r="C740" s="31"/>
      <c r="D740" s="31"/>
      <c r="E740" s="3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35"/>
    </row>
    <row r="741">
      <c r="A741" s="25"/>
      <c r="B741" s="31"/>
      <c r="C741" s="31"/>
      <c r="D741" s="31"/>
      <c r="E741" s="3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35"/>
    </row>
    <row r="742">
      <c r="A742" s="25"/>
      <c r="B742" s="31"/>
      <c r="C742" s="31"/>
      <c r="D742" s="31"/>
      <c r="E742" s="3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35"/>
    </row>
    <row r="743">
      <c r="A743" s="25"/>
      <c r="B743" s="31"/>
      <c r="C743" s="31"/>
      <c r="D743" s="31"/>
      <c r="E743" s="3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35"/>
    </row>
    <row r="744">
      <c r="A744" s="25"/>
      <c r="B744" s="31"/>
      <c r="C744" s="31"/>
      <c r="D744" s="31"/>
      <c r="E744" s="3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35"/>
    </row>
    <row r="745">
      <c r="A745" s="25"/>
      <c r="B745" s="31"/>
      <c r="C745" s="31"/>
      <c r="D745" s="31"/>
      <c r="E745" s="3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35"/>
    </row>
    <row r="746">
      <c r="A746" s="25"/>
      <c r="B746" s="31"/>
      <c r="C746" s="31"/>
      <c r="D746" s="31"/>
      <c r="E746" s="3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35"/>
    </row>
    <row r="747">
      <c r="A747" s="25"/>
      <c r="B747" s="31"/>
      <c r="C747" s="31"/>
      <c r="D747" s="31"/>
      <c r="E747" s="3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35"/>
    </row>
    <row r="748">
      <c r="A748" s="25"/>
      <c r="B748" s="31"/>
      <c r="C748" s="31"/>
      <c r="D748" s="31"/>
      <c r="E748" s="3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35"/>
    </row>
    <row r="749">
      <c r="A749" s="25"/>
      <c r="B749" s="31"/>
      <c r="C749" s="31"/>
      <c r="D749" s="31"/>
      <c r="E749" s="3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35"/>
    </row>
    <row r="750">
      <c r="A750" s="25"/>
      <c r="B750" s="31"/>
      <c r="C750" s="31"/>
      <c r="D750" s="31"/>
      <c r="E750" s="3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35"/>
    </row>
    <row r="751">
      <c r="A751" s="25"/>
      <c r="B751" s="31"/>
      <c r="C751" s="31"/>
      <c r="D751" s="31"/>
      <c r="E751" s="3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35"/>
    </row>
    <row r="752">
      <c r="A752" s="25"/>
      <c r="B752" s="31"/>
      <c r="C752" s="31"/>
      <c r="D752" s="31"/>
      <c r="E752" s="3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35"/>
    </row>
    <row r="753">
      <c r="A753" s="25"/>
      <c r="B753" s="31"/>
      <c r="C753" s="31"/>
      <c r="D753" s="31"/>
      <c r="E753" s="3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35"/>
    </row>
    <row r="754">
      <c r="A754" s="25"/>
      <c r="B754" s="31"/>
      <c r="C754" s="31"/>
      <c r="D754" s="31"/>
      <c r="E754" s="3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35"/>
    </row>
    <row r="755">
      <c r="A755" s="25"/>
      <c r="B755" s="31"/>
      <c r="C755" s="31"/>
      <c r="D755" s="31"/>
      <c r="E755" s="3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35"/>
    </row>
    <row r="756">
      <c r="A756" s="25"/>
      <c r="B756" s="31"/>
      <c r="C756" s="31"/>
      <c r="D756" s="31"/>
      <c r="E756" s="3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35"/>
    </row>
    <row r="757">
      <c r="A757" s="25"/>
      <c r="B757" s="31"/>
      <c r="C757" s="31"/>
      <c r="D757" s="31"/>
      <c r="E757" s="3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35"/>
    </row>
    <row r="758">
      <c r="A758" s="25"/>
      <c r="B758" s="31"/>
      <c r="C758" s="31"/>
      <c r="D758" s="31"/>
      <c r="E758" s="3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35"/>
    </row>
    <row r="759">
      <c r="A759" s="25"/>
      <c r="B759" s="31"/>
      <c r="C759" s="31"/>
      <c r="D759" s="31"/>
      <c r="E759" s="3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35"/>
    </row>
    <row r="760">
      <c r="A760" s="25"/>
      <c r="B760" s="31"/>
      <c r="C760" s="31"/>
      <c r="D760" s="31"/>
      <c r="E760" s="3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35"/>
    </row>
    <row r="761">
      <c r="A761" s="25"/>
      <c r="B761" s="31"/>
      <c r="C761" s="31"/>
      <c r="D761" s="31"/>
      <c r="E761" s="3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35"/>
    </row>
    <row r="762">
      <c r="A762" s="25"/>
      <c r="B762" s="31"/>
      <c r="C762" s="31"/>
      <c r="D762" s="31"/>
      <c r="E762" s="3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35"/>
    </row>
    <row r="763">
      <c r="A763" s="25"/>
      <c r="B763" s="31"/>
      <c r="C763" s="31"/>
      <c r="D763" s="31"/>
      <c r="E763" s="3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35"/>
    </row>
    <row r="764">
      <c r="A764" s="25"/>
      <c r="B764" s="31"/>
      <c r="C764" s="31"/>
      <c r="D764" s="31"/>
      <c r="E764" s="3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35"/>
    </row>
    <row r="765">
      <c r="A765" s="25"/>
      <c r="B765" s="31"/>
      <c r="C765" s="31"/>
      <c r="D765" s="31"/>
      <c r="E765" s="3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35"/>
    </row>
    <row r="766">
      <c r="A766" s="25"/>
      <c r="B766" s="31"/>
      <c r="C766" s="31"/>
      <c r="D766" s="31"/>
      <c r="E766" s="3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35"/>
    </row>
    <row r="767">
      <c r="A767" s="25"/>
      <c r="B767" s="31"/>
      <c r="C767" s="31"/>
      <c r="D767" s="31"/>
      <c r="E767" s="3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35"/>
    </row>
    <row r="768">
      <c r="A768" s="25"/>
      <c r="B768" s="31"/>
      <c r="C768" s="31"/>
      <c r="D768" s="31"/>
      <c r="E768" s="3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35"/>
    </row>
    <row r="769">
      <c r="A769" s="25"/>
      <c r="B769" s="31"/>
      <c r="C769" s="31"/>
      <c r="D769" s="31"/>
      <c r="E769" s="3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35"/>
    </row>
    <row r="770">
      <c r="A770" s="25"/>
      <c r="B770" s="31"/>
      <c r="C770" s="31"/>
      <c r="D770" s="31"/>
      <c r="E770" s="3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35"/>
    </row>
    <row r="771">
      <c r="A771" s="25"/>
      <c r="B771" s="31"/>
      <c r="C771" s="31"/>
      <c r="D771" s="31"/>
      <c r="E771" s="3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35"/>
    </row>
    <row r="772">
      <c r="A772" s="25"/>
      <c r="B772" s="31"/>
      <c r="C772" s="31"/>
      <c r="D772" s="31"/>
      <c r="E772" s="3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35"/>
    </row>
    <row r="773">
      <c r="A773" s="25"/>
      <c r="B773" s="31"/>
      <c r="C773" s="31"/>
      <c r="D773" s="31"/>
      <c r="E773" s="3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35"/>
    </row>
    <row r="774">
      <c r="A774" s="25"/>
      <c r="B774" s="31"/>
      <c r="C774" s="31"/>
      <c r="D774" s="31"/>
      <c r="E774" s="3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35"/>
    </row>
    <row r="775">
      <c r="A775" s="25"/>
      <c r="B775" s="31"/>
      <c r="C775" s="31"/>
      <c r="D775" s="31"/>
      <c r="E775" s="3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35"/>
    </row>
    <row r="776">
      <c r="A776" s="25"/>
      <c r="B776" s="31"/>
      <c r="C776" s="31"/>
      <c r="D776" s="31"/>
      <c r="E776" s="3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35"/>
    </row>
    <row r="777">
      <c r="A777" s="25"/>
      <c r="B777" s="31"/>
      <c r="C777" s="31"/>
      <c r="D777" s="31"/>
      <c r="E777" s="3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35"/>
    </row>
    <row r="778">
      <c r="A778" s="25"/>
      <c r="B778" s="31"/>
      <c r="C778" s="31"/>
      <c r="D778" s="31"/>
      <c r="E778" s="3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35"/>
    </row>
    <row r="779">
      <c r="A779" s="25"/>
      <c r="B779" s="31"/>
      <c r="C779" s="31"/>
      <c r="D779" s="31"/>
      <c r="E779" s="3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35"/>
    </row>
    <row r="780">
      <c r="A780" s="25"/>
      <c r="B780" s="31"/>
      <c r="C780" s="31"/>
      <c r="D780" s="31"/>
      <c r="E780" s="3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35"/>
    </row>
    <row r="781">
      <c r="A781" s="25"/>
      <c r="B781" s="31"/>
      <c r="C781" s="31"/>
      <c r="D781" s="31"/>
      <c r="E781" s="3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35"/>
    </row>
    <row r="782">
      <c r="A782" s="25"/>
      <c r="B782" s="31"/>
      <c r="C782" s="31"/>
      <c r="D782" s="31"/>
      <c r="E782" s="3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35"/>
    </row>
    <row r="783">
      <c r="A783" s="25"/>
      <c r="B783" s="31"/>
      <c r="C783" s="31"/>
      <c r="D783" s="31"/>
      <c r="E783" s="3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35"/>
    </row>
    <row r="784">
      <c r="A784" s="25"/>
      <c r="B784" s="31"/>
      <c r="C784" s="31"/>
      <c r="D784" s="31"/>
      <c r="E784" s="3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35"/>
    </row>
    <row r="785">
      <c r="A785" s="25"/>
      <c r="B785" s="31"/>
      <c r="C785" s="31"/>
      <c r="D785" s="31"/>
      <c r="E785" s="3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35"/>
    </row>
    <row r="786">
      <c r="A786" s="25"/>
      <c r="B786" s="31"/>
      <c r="C786" s="31"/>
      <c r="D786" s="31"/>
      <c r="E786" s="3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35"/>
    </row>
    <row r="787">
      <c r="A787" s="25"/>
      <c r="B787" s="31"/>
      <c r="C787" s="31"/>
      <c r="D787" s="31"/>
      <c r="E787" s="3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35"/>
    </row>
    <row r="788">
      <c r="A788" s="25"/>
      <c r="B788" s="31"/>
      <c r="C788" s="31"/>
      <c r="D788" s="31"/>
      <c r="E788" s="3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35"/>
    </row>
    <row r="789">
      <c r="A789" s="25"/>
      <c r="B789" s="31"/>
      <c r="C789" s="31"/>
      <c r="D789" s="31"/>
      <c r="E789" s="3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35"/>
    </row>
    <row r="790">
      <c r="A790" s="25"/>
      <c r="B790" s="31"/>
      <c r="C790" s="31"/>
      <c r="D790" s="31"/>
      <c r="E790" s="3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35"/>
    </row>
    <row r="791">
      <c r="A791" s="25"/>
      <c r="B791" s="31"/>
      <c r="C791" s="31"/>
      <c r="D791" s="31"/>
      <c r="E791" s="3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35"/>
    </row>
    <row r="792">
      <c r="A792" s="25"/>
      <c r="B792" s="31"/>
      <c r="C792" s="31"/>
      <c r="D792" s="31"/>
      <c r="E792" s="3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35"/>
    </row>
    <row r="793">
      <c r="A793" s="25"/>
      <c r="B793" s="31"/>
      <c r="C793" s="31"/>
      <c r="D793" s="31"/>
      <c r="E793" s="3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35"/>
    </row>
    <row r="794">
      <c r="A794" s="25"/>
      <c r="B794" s="31"/>
      <c r="C794" s="31"/>
      <c r="D794" s="31"/>
      <c r="E794" s="3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35"/>
    </row>
    <row r="795">
      <c r="A795" s="25"/>
      <c r="B795" s="31"/>
      <c r="C795" s="31"/>
      <c r="D795" s="31"/>
      <c r="E795" s="3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35"/>
    </row>
    <row r="796">
      <c r="A796" s="25"/>
      <c r="B796" s="31"/>
      <c r="C796" s="31"/>
      <c r="D796" s="31"/>
      <c r="E796" s="3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35"/>
    </row>
    <row r="797">
      <c r="A797" s="25"/>
      <c r="B797" s="31"/>
      <c r="C797" s="31"/>
      <c r="D797" s="31"/>
      <c r="E797" s="3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35"/>
    </row>
    <row r="798">
      <c r="A798" s="25"/>
      <c r="B798" s="31"/>
      <c r="C798" s="31"/>
      <c r="D798" s="31"/>
      <c r="E798" s="3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35"/>
    </row>
    <row r="799">
      <c r="A799" s="25"/>
      <c r="B799" s="31"/>
      <c r="C799" s="31"/>
      <c r="D799" s="31"/>
      <c r="E799" s="3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35"/>
    </row>
    <row r="800">
      <c r="A800" s="25"/>
      <c r="B800" s="31"/>
      <c r="C800" s="31"/>
      <c r="D800" s="31"/>
      <c r="E800" s="3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35"/>
    </row>
    <row r="801">
      <c r="A801" s="25"/>
      <c r="B801" s="31"/>
      <c r="C801" s="31"/>
      <c r="D801" s="31"/>
      <c r="E801" s="3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35"/>
    </row>
    <row r="802">
      <c r="A802" s="25"/>
      <c r="B802" s="31"/>
      <c r="C802" s="31"/>
      <c r="D802" s="31"/>
      <c r="E802" s="3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35"/>
    </row>
    <row r="803">
      <c r="A803" s="25"/>
      <c r="B803" s="31"/>
      <c r="C803" s="31"/>
      <c r="D803" s="31"/>
      <c r="E803" s="3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35"/>
    </row>
    <row r="804">
      <c r="A804" s="25"/>
      <c r="B804" s="31"/>
      <c r="C804" s="31"/>
      <c r="D804" s="31"/>
      <c r="E804" s="3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35"/>
    </row>
    <row r="805">
      <c r="A805" s="25"/>
      <c r="B805" s="31"/>
      <c r="C805" s="31"/>
      <c r="D805" s="31"/>
      <c r="E805" s="3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35"/>
    </row>
    <row r="806">
      <c r="A806" s="25"/>
      <c r="B806" s="31"/>
      <c r="C806" s="31"/>
      <c r="D806" s="31"/>
      <c r="E806" s="3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35"/>
    </row>
    <row r="807">
      <c r="A807" s="25"/>
      <c r="B807" s="31"/>
      <c r="C807" s="31"/>
      <c r="D807" s="31"/>
      <c r="E807" s="3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35"/>
    </row>
    <row r="808">
      <c r="A808" s="25"/>
      <c r="B808" s="31"/>
      <c r="C808" s="31"/>
      <c r="D808" s="31"/>
      <c r="E808" s="3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35"/>
    </row>
    <row r="809">
      <c r="A809" s="25"/>
      <c r="B809" s="31"/>
      <c r="C809" s="31"/>
      <c r="D809" s="31"/>
      <c r="E809" s="3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35"/>
    </row>
    <row r="810">
      <c r="A810" s="25"/>
      <c r="B810" s="31"/>
      <c r="C810" s="31"/>
      <c r="D810" s="31"/>
      <c r="E810" s="3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35"/>
    </row>
    <row r="811">
      <c r="A811" s="25"/>
      <c r="B811" s="31"/>
      <c r="C811" s="31"/>
      <c r="D811" s="31"/>
      <c r="E811" s="3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35"/>
    </row>
    <row r="812">
      <c r="A812" s="25"/>
      <c r="B812" s="31"/>
      <c r="C812" s="31"/>
      <c r="D812" s="31"/>
      <c r="E812" s="3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35"/>
    </row>
    <row r="813">
      <c r="A813" s="25"/>
      <c r="B813" s="31"/>
      <c r="C813" s="31"/>
      <c r="D813" s="31"/>
      <c r="E813" s="3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35"/>
    </row>
    <row r="814">
      <c r="A814" s="25"/>
      <c r="B814" s="31"/>
      <c r="C814" s="31"/>
      <c r="D814" s="31"/>
      <c r="E814" s="3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35"/>
    </row>
    <row r="815">
      <c r="A815" s="25"/>
      <c r="B815" s="31"/>
      <c r="C815" s="31"/>
      <c r="D815" s="31"/>
      <c r="E815" s="3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35"/>
    </row>
    <row r="816">
      <c r="A816" s="25"/>
      <c r="B816" s="31"/>
      <c r="C816" s="31"/>
      <c r="D816" s="31"/>
      <c r="E816" s="3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35"/>
    </row>
    <row r="817">
      <c r="A817" s="25"/>
      <c r="B817" s="31"/>
      <c r="C817" s="31"/>
      <c r="D817" s="31"/>
      <c r="E817" s="3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35"/>
    </row>
    <row r="818">
      <c r="A818" s="25"/>
      <c r="B818" s="31"/>
      <c r="C818" s="31"/>
      <c r="D818" s="31"/>
      <c r="E818" s="3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35"/>
    </row>
    <row r="819">
      <c r="A819" s="25"/>
      <c r="B819" s="31"/>
      <c r="C819" s="31"/>
      <c r="D819" s="31"/>
      <c r="E819" s="3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35"/>
    </row>
    <row r="820">
      <c r="A820" s="25"/>
      <c r="B820" s="31"/>
      <c r="C820" s="31"/>
      <c r="D820" s="31"/>
      <c r="E820" s="3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35"/>
    </row>
    <row r="821">
      <c r="A821" s="25"/>
      <c r="B821" s="31"/>
      <c r="C821" s="31"/>
      <c r="D821" s="31"/>
      <c r="E821" s="3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35"/>
    </row>
    <row r="822">
      <c r="A822" s="25"/>
      <c r="B822" s="31"/>
      <c r="C822" s="31"/>
      <c r="D822" s="31"/>
      <c r="E822" s="3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35"/>
    </row>
    <row r="823">
      <c r="A823" s="25"/>
      <c r="B823" s="31"/>
      <c r="C823" s="31"/>
      <c r="D823" s="31"/>
      <c r="E823" s="3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35"/>
    </row>
    <row r="824">
      <c r="A824" s="25"/>
      <c r="B824" s="31"/>
      <c r="C824" s="31"/>
      <c r="D824" s="31"/>
      <c r="E824" s="3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35"/>
    </row>
    <row r="825">
      <c r="A825" s="25"/>
      <c r="B825" s="31"/>
      <c r="C825" s="31"/>
      <c r="D825" s="31"/>
      <c r="E825" s="3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35"/>
    </row>
    <row r="826">
      <c r="A826" s="25"/>
      <c r="B826" s="31"/>
      <c r="C826" s="31"/>
      <c r="D826" s="31"/>
      <c r="E826" s="3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35"/>
    </row>
    <row r="827">
      <c r="A827" s="25"/>
      <c r="B827" s="31"/>
      <c r="C827" s="31"/>
      <c r="D827" s="31"/>
      <c r="E827" s="3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35"/>
    </row>
    <row r="828">
      <c r="A828" s="25"/>
      <c r="B828" s="31"/>
      <c r="C828" s="31"/>
      <c r="D828" s="31"/>
      <c r="E828" s="3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35"/>
    </row>
    <row r="829">
      <c r="A829" s="25"/>
      <c r="B829" s="31"/>
      <c r="C829" s="31"/>
      <c r="D829" s="31"/>
      <c r="E829" s="3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35"/>
    </row>
    <row r="830">
      <c r="A830" s="25"/>
      <c r="B830" s="31"/>
      <c r="C830" s="31"/>
      <c r="D830" s="31"/>
      <c r="E830" s="3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35"/>
    </row>
    <row r="831">
      <c r="A831" s="25"/>
      <c r="B831" s="31"/>
      <c r="C831" s="31"/>
      <c r="D831" s="31"/>
      <c r="E831" s="3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35"/>
    </row>
    <row r="832">
      <c r="A832" s="25"/>
      <c r="B832" s="31"/>
      <c r="C832" s="31"/>
      <c r="D832" s="31"/>
      <c r="E832" s="3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35"/>
    </row>
    <row r="833">
      <c r="A833" s="25"/>
      <c r="B833" s="31"/>
      <c r="C833" s="31"/>
      <c r="D833" s="31"/>
      <c r="E833" s="3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35"/>
    </row>
    <row r="834">
      <c r="A834" s="25"/>
      <c r="B834" s="31"/>
      <c r="C834" s="31"/>
      <c r="D834" s="31"/>
      <c r="E834" s="3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35"/>
    </row>
    <row r="835">
      <c r="A835" s="25"/>
      <c r="B835" s="31"/>
      <c r="C835" s="31"/>
      <c r="D835" s="31"/>
      <c r="E835" s="3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35"/>
    </row>
    <row r="836">
      <c r="A836" s="25"/>
      <c r="B836" s="31"/>
      <c r="C836" s="31"/>
      <c r="D836" s="31"/>
      <c r="E836" s="3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35"/>
    </row>
    <row r="837">
      <c r="A837" s="25"/>
      <c r="B837" s="31"/>
      <c r="C837" s="31"/>
      <c r="D837" s="31"/>
      <c r="E837" s="3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35"/>
    </row>
    <row r="838">
      <c r="A838" s="25"/>
      <c r="B838" s="31"/>
      <c r="C838" s="31"/>
      <c r="D838" s="31"/>
      <c r="E838" s="3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35"/>
    </row>
    <row r="839">
      <c r="A839" s="25"/>
      <c r="B839" s="31"/>
      <c r="C839" s="31"/>
      <c r="D839" s="31"/>
      <c r="E839" s="3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35"/>
    </row>
    <row r="840">
      <c r="A840" s="25"/>
      <c r="B840" s="31"/>
      <c r="C840" s="31"/>
      <c r="D840" s="31"/>
      <c r="E840" s="3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35"/>
    </row>
    <row r="841">
      <c r="A841" s="25"/>
      <c r="B841" s="31"/>
      <c r="C841" s="31"/>
      <c r="D841" s="31"/>
      <c r="E841" s="3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35"/>
    </row>
    <row r="842">
      <c r="A842" s="25"/>
      <c r="B842" s="31"/>
      <c r="C842" s="31"/>
      <c r="D842" s="31"/>
      <c r="E842" s="3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35"/>
    </row>
    <row r="843">
      <c r="A843" s="25"/>
      <c r="B843" s="31"/>
      <c r="C843" s="31"/>
      <c r="D843" s="31"/>
      <c r="E843" s="3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35"/>
    </row>
    <row r="844">
      <c r="A844" s="25"/>
      <c r="B844" s="31"/>
      <c r="C844" s="31"/>
      <c r="D844" s="31"/>
      <c r="E844" s="3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35"/>
    </row>
    <row r="845">
      <c r="A845" s="25"/>
      <c r="B845" s="31"/>
      <c r="C845" s="31"/>
      <c r="D845" s="31"/>
      <c r="E845" s="3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35"/>
    </row>
    <row r="846">
      <c r="A846" s="25"/>
      <c r="B846" s="31"/>
      <c r="C846" s="31"/>
      <c r="D846" s="31"/>
      <c r="E846" s="3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35"/>
    </row>
    <row r="847">
      <c r="A847" s="25"/>
      <c r="B847" s="31"/>
      <c r="C847" s="31"/>
      <c r="D847" s="31"/>
      <c r="E847" s="3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35"/>
    </row>
    <row r="848">
      <c r="A848" s="25"/>
      <c r="B848" s="31"/>
      <c r="C848" s="31"/>
      <c r="D848" s="31"/>
      <c r="E848" s="3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35"/>
    </row>
    <row r="849">
      <c r="A849" s="25"/>
      <c r="B849" s="31"/>
      <c r="C849" s="31"/>
      <c r="D849" s="31"/>
      <c r="E849" s="3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35"/>
    </row>
    <row r="850">
      <c r="A850" s="25"/>
      <c r="B850" s="31"/>
      <c r="C850" s="31"/>
      <c r="D850" s="31"/>
      <c r="E850" s="3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35"/>
    </row>
    <row r="851">
      <c r="A851" s="1"/>
      <c r="B851" s="31"/>
      <c r="C851" s="31"/>
      <c r="D851" s="31"/>
      <c r="E851" s="3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35"/>
    </row>
    <row r="852">
      <c r="A852" s="1"/>
      <c r="B852" s="31"/>
      <c r="C852" s="31"/>
      <c r="D852" s="31"/>
      <c r="E852" s="3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35"/>
    </row>
    <row r="853">
      <c r="A853" s="1"/>
      <c r="B853" s="31"/>
      <c r="C853" s="31"/>
      <c r="D853" s="31"/>
      <c r="E853" s="3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35"/>
    </row>
    <row r="854">
      <c r="A854" s="1"/>
      <c r="B854" s="31"/>
      <c r="C854" s="31"/>
      <c r="D854" s="31"/>
      <c r="E854" s="3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35"/>
    </row>
    <row r="855">
      <c r="A855" s="1"/>
      <c r="B855" s="31"/>
      <c r="C855" s="31"/>
      <c r="D855" s="31"/>
      <c r="E855" s="3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35"/>
    </row>
    <row r="856">
      <c r="A856" s="1"/>
      <c r="B856" s="31"/>
      <c r="C856" s="31"/>
      <c r="D856" s="31"/>
      <c r="E856" s="3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35"/>
    </row>
    <row r="857">
      <c r="A857" s="1"/>
      <c r="B857" s="31"/>
      <c r="C857" s="31"/>
      <c r="D857" s="31"/>
      <c r="E857" s="3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35"/>
    </row>
    <row r="858">
      <c r="A858" s="1"/>
      <c r="B858" s="31"/>
      <c r="C858" s="31"/>
      <c r="D858" s="31"/>
      <c r="E858" s="3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35"/>
    </row>
    <row r="859">
      <c r="A859" s="1"/>
      <c r="B859" s="31"/>
      <c r="C859" s="31"/>
      <c r="D859" s="31"/>
      <c r="E859" s="3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35"/>
    </row>
    <row r="860">
      <c r="A860" s="1"/>
      <c r="B860" s="31"/>
      <c r="C860" s="31"/>
      <c r="D860" s="31"/>
      <c r="E860" s="3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35"/>
    </row>
    <row r="861">
      <c r="A861" s="1"/>
      <c r="B861" s="31"/>
      <c r="C861" s="31"/>
      <c r="D861" s="31"/>
      <c r="E861" s="3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35"/>
    </row>
    <row r="862">
      <c r="A862" s="1"/>
      <c r="B862" s="31"/>
      <c r="C862" s="31"/>
      <c r="D862" s="31"/>
      <c r="E862" s="3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35"/>
    </row>
    <row r="863">
      <c r="A863" s="1"/>
      <c r="B863" s="31"/>
      <c r="C863" s="31"/>
      <c r="D863" s="31"/>
      <c r="E863" s="3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35"/>
    </row>
    <row r="864">
      <c r="A864" s="1"/>
      <c r="B864" s="31"/>
      <c r="C864" s="31"/>
      <c r="D864" s="31"/>
      <c r="E864" s="3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35"/>
    </row>
    <row r="865">
      <c r="A865" s="1"/>
      <c r="B865" s="31"/>
      <c r="C865" s="31"/>
      <c r="D865" s="31"/>
      <c r="E865" s="3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35"/>
    </row>
    <row r="866">
      <c r="A866" s="1"/>
      <c r="B866" s="31"/>
      <c r="C866" s="31"/>
      <c r="D866" s="31"/>
      <c r="E866" s="3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35"/>
    </row>
    <row r="867">
      <c r="A867" s="1"/>
      <c r="B867" s="31"/>
      <c r="C867" s="31"/>
      <c r="D867" s="31"/>
      <c r="E867" s="3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35"/>
    </row>
    <row r="868">
      <c r="A868" s="1"/>
      <c r="B868" s="31"/>
      <c r="C868" s="31"/>
      <c r="D868" s="31"/>
      <c r="E868" s="3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35"/>
    </row>
    <row r="869">
      <c r="A869" s="1"/>
      <c r="B869" s="31"/>
      <c r="C869" s="31"/>
      <c r="D869" s="31"/>
      <c r="E869" s="3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35"/>
    </row>
    <row r="870">
      <c r="A870" s="1"/>
      <c r="B870" s="31"/>
      <c r="C870" s="31"/>
      <c r="D870" s="31"/>
      <c r="E870" s="3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35"/>
    </row>
    <row r="871">
      <c r="A871" s="1"/>
      <c r="B871" s="31"/>
      <c r="C871" s="31"/>
      <c r="D871" s="31"/>
      <c r="E871" s="3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35"/>
    </row>
    <row r="872">
      <c r="A872" s="1"/>
      <c r="B872" s="31"/>
      <c r="C872" s="31"/>
      <c r="D872" s="31"/>
      <c r="E872" s="3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35"/>
    </row>
    <row r="873">
      <c r="A873" s="1"/>
      <c r="B873" s="31"/>
      <c r="C873" s="31"/>
      <c r="D873" s="31"/>
      <c r="E873" s="3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35"/>
    </row>
    <row r="874">
      <c r="A874" s="1"/>
      <c r="B874" s="31"/>
      <c r="C874" s="31"/>
      <c r="D874" s="31"/>
      <c r="E874" s="3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35"/>
    </row>
    <row r="875">
      <c r="A875" s="1"/>
      <c r="B875" s="31"/>
      <c r="C875" s="31"/>
      <c r="D875" s="31"/>
      <c r="E875" s="3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35"/>
    </row>
    <row r="876">
      <c r="A876" s="1"/>
      <c r="B876" s="31"/>
      <c r="C876" s="31"/>
      <c r="D876" s="31"/>
      <c r="E876" s="3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35"/>
    </row>
    <row r="877">
      <c r="A877" s="1"/>
      <c r="B877" s="31"/>
      <c r="C877" s="31"/>
      <c r="D877" s="31"/>
      <c r="E877" s="3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35"/>
    </row>
    <row r="878">
      <c r="A878" s="1"/>
      <c r="B878" s="31"/>
      <c r="C878" s="31"/>
      <c r="D878" s="31"/>
      <c r="E878" s="3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35"/>
    </row>
    <row r="879">
      <c r="A879" s="1"/>
      <c r="B879" s="31"/>
      <c r="C879" s="31"/>
      <c r="D879" s="31"/>
      <c r="E879" s="3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35"/>
    </row>
    <row r="880">
      <c r="A880" s="1"/>
      <c r="B880" s="31"/>
      <c r="C880" s="31"/>
      <c r="D880" s="31"/>
      <c r="E880" s="3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35"/>
    </row>
    <row r="881">
      <c r="A881" s="1"/>
      <c r="B881" s="31"/>
      <c r="C881" s="31"/>
      <c r="D881" s="31"/>
      <c r="E881" s="3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35"/>
    </row>
    <row r="882">
      <c r="A882" s="1"/>
      <c r="B882" s="31"/>
      <c r="C882" s="31"/>
      <c r="D882" s="31"/>
      <c r="E882" s="3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35"/>
    </row>
    <row r="883">
      <c r="A883" s="1"/>
      <c r="B883" s="31"/>
      <c r="C883" s="31"/>
      <c r="D883" s="31"/>
      <c r="E883" s="3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35"/>
    </row>
    <row r="884">
      <c r="A884" s="1"/>
      <c r="B884" s="31"/>
      <c r="C884" s="31"/>
      <c r="D884" s="31"/>
      <c r="E884" s="3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35"/>
    </row>
    <row r="885">
      <c r="A885" s="1"/>
      <c r="B885" s="31"/>
      <c r="C885" s="31"/>
      <c r="D885" s="31"/>
      <c r="E885" s="3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35"/>
    </row>
    <row r="886">
      <c r="A886" s="1"/>
      <c r="B886" s="31"/>
      <c r="C886" s="31"/>
      <c r="D886" s="31"/>
      <c r="E886" s="3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35"/>
    </row>
    <row r="887">
      <c r="A887" s="1"/>
      <c r="B887" s="31"/>
      <c r="C887" s="31"/>
      <c r="D887" s="31"/>
      <c r="E887" s="3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35"/>
    </row>
    <row r="888">
      <c r="A888" s="1"/>
      <c r="B888" s="31"/>
      <c r="C888" s="31"/>
      <c r="D888" s="31"/>
      <c r="E888" s="3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35"/>
    </row>
    <row r="889">
      <c r="A889" s="1"/>
      <c r="B889" s="31"/>
      <c r="C889" s="31"/>
      <c r="D889" s="31"/>
      <c r="E889" s="3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35"/>
    </row>
    <row r="890">
      <c r="A890" s="1"/>
      <c r="B890" s="31"/>
      <c r="C890" s="31"/>
      <c r="D890" s="31"/>
      <c r="E890" s="3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35"/>
    </row>
    <row r="891">
      <c r="A891" s="1"/>
      <c r="B891" s="31"/>
      <c r="C891" s="31"/>
      <c r="D891" s="31"/>
      <c r="E891" s="3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35"/>
    </row>
    <row r="892">
      <c r="A892" s="1"/>
      <c r="B892" s="31"/>
      <c r="C892" s="31"/>
      <c r="D892" s="31"/>
      <c r="E892" s="3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35"/>
    </row>
    <row r="893">
      <c r="A893" s="1"/>
      <c r="B893" s="31"/>
      <c r="C893" s="31"/>
      <c r="D893" s="31"/>
      <c r="E893" s="3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35"/>
    </row>
    <row r="894">
      <c r="A894" s="1"/>
      <c r="B894" s="31"/>
      <c r="C894" s="31"/>
      <c r="D894" s="31"/>
      <c r="E894" s="3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35"/>
    </row>
    <row r="895">
      <c r="A895" s="1"/>
      <c r="B895" s="31"/>
      <c r="C895" s="31"/>
      <c r="D895" s="31"/>
      <c r="E895" s="3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35"/>
    </row>
    <row r="896">
      <c r="A896" s="1"/>
      <c r="B896" s="31"/>
      <c r="C896" s="31"/>
      <c r="D896" s="31"/>
      <c r="E896" s="3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35"/>
    </row>
    <row r="897">
      <c r="A897" s="1"/>
      <c r="B897" s="31"/>
      <c r="C897" s="31"/>
      <c r="D897" s="31"/>
      <c r="E897" s="3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35"/>
    </row>
    <row r="898">
      <c r="A898" s="1"/>
      <c r="B898" s="31"/>
      <c r="C898" s="31"/>
      <c r="D898" s="31"/>
      <c r="E898" s="3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35"/>
    </row>
    <row r="899">
      <c r="A899" s="1"/>
      <c r="B899" s="31"/>
      <c r="C899" s="31"/>
      <c r="D899" s="31"/>
      <c r="E899" s="3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35"/>
    </row>
    <row r="900">
      <c r="A900" s="1"/>
      <c r="B900" s="31"/>
      <c r="C900" s="31"/>
      <c r="D900" s="31"/>
      <c r="E900" s="3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35"/>
    </row>
    <row r="901">
      <c r="A901" s="1"/>
      <c r="B901" s="31"/>
      <c r="C901" s="31"/>
      <c r="D901" s="31"/>
      <c r="E901" s="3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35"/>
    </row>
    <row r="902">
      <c r="A902" s="1"/>
      <c r="B902" s="31"/>
      <c r="C902" s="31"/>
      <c r="D902" s="31"/>
      <c r="E902" s="3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35"/>
    </row>
    <row r="903">
      <c r="A903" s="1"/>
      <c r="B903" s="31"/>
      <c r="C903" s="31"/>
      <c r="D903" s="31"/>
      <c r="E903" s="3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35"/>
    </row>
    <row r="904">
      <c r="A904" s="1"/>
      <c r="B904" s="31"/>
      <c r="C904" s="31"/>
      <c r="D904" s="31"/>
      <c r="E904" s="3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35"/>
    </row>
    <row r="905">
      <c r="A905" s="1"/>
      <c r="B905" s="31"/>
      <c r="C905" s="31"/>
      <c r="D905" s="31"/>
      <c r="E905" s="3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35"/>
    </row>
    <row r="906">
      <c r="A906" s="1"/>
      <c r="B906" s="31"/>
      <c r="C906" s="31"/>
      <c r="D906" s="31"/>
      <c r="E906" s="3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35"/>
    </row>
    <row r="907">
      <c r="A907" s="1"/>
      <c r="B907" s="31"/>
      <c r="C907" s="31"/>
      <c r="D907" s="31"/>
      <c r="E907" s="3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35"/>
    </row>
    <row r="908">
      <c r="A908" s="1"/>
      <c r="B908" s="31"/>
      <c r="C908" s="31"/>
      <c r="D908" s="31"/>
      <c r="E908" s="3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35"/>
    </row>
    <row r="909">
      <c r="A909" s="1"/>
      <c r="B909" s="31"/>
      <c r="C909" s="31"/>
      <c r="D909" s="31"/>
      <c r="E909" s="3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35"/>
    </row>
    <row r="910">
      <c r="A910" s="1"/>
      <c r="B910" s="31"/>
      <c r="C910" s="31"/>
      <c r="D910" s="31"/>
      <c r="E910" s="3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35"/>
    </row>
    <row r="911">
      <c r="A911" s="1"/>
      <c r="B911" s="31"/>
      <c r="C911" s="31"/>
      <c r="D911" s="31"/>
      <c r="E911" s="3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35"/>
    </row>
    <row r="912">
      <c r="A912" s="1"/>
      <c r="B912" s="31"/>
      <c r="C912" s="31"/>
      <c r="D912" s="31"/>
      <c r="E912" s="3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35"/>
    </row>
    <row r="913">
      <c r="A913" s="1"/>
      <c r="B913" s="31"/>
      <c r="C913" s="31"/>
      <c r="D913" s="31"/>
      <c r="E913" s="3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35"/>
    </row>
    <row r="914">
      <c r="A914" s="1"/>
      <c r="B914" s="31"/>
      <c r="C914" s="31"/>
      <c r="D914" s="31"/>
      <c r="E914" s="3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35"/>
    </row>
    <row r="915">
      <c r="A915" s="1"/>
      <c r="B915" s="31"/>
      <c r="C915" s="31"/>
      <c r="D915" s="31"/>
      <c r="E915" s="3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35"/>
    </row>
    <row r="916">
      <c r="A916" s="1"/>
      <c r="B916" s="31"/>
      <c r="C916" s="31"/>
      <c r="D916" s="31"/>
      <c r="E916" s="3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35"/>
    </row>
    <row r="917">
      <c r="A917" s="1"/>
      <c r="B917" s="31"/>
      <c r="C917" s="31"/>
      <c r="D917" s="31"/>
      <c r="E917" s="3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35"/>
    </row>
    <row r="918">
      <c r="A918" s="1"/>
      <c r="B918" s="31"/>
      <c r="C918" s="31"/>
      <c r="D918" s="31"/>
      <c r="E918" s="3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35"/>
    </row>
    <row r="919">
      <c r="A919" s="1"/>
      <c r="B919" s="31"/>
      <c r="C919" s="31"/>
      <c r="D919" s="31"/>
      <c r="E919" s="3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35"/>
    </row>
    <row r="920">
      <c r="A920" s="1"/>
      <c r="B920" s="31"/>
      <c r="C920" s="31"/>
      <c r="D920" s="31"/>
      <c r="E920" s="3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35"/>
    </row>
    <row r="921">
      <c r="A921" s="1"/>
      <c r="B921" s="31"/>
      <c r="C921" s="31"/>
      <c r="D921" s="31"/>
      <c r="E921" s="3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35"/>
    </row>
    <row r="922">
      <c r="A922" s="1"/>
      <c r="B922" s="31"/>
      <c r="C922" s="31"/>
      <c r="D922" s="31"/>
      <c r="E922" s="3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35"/>
    </row>
    <row r="923">
      <c r="A923" s="1"/>
      <c r="B923" s="31"/>
      <c r="C923" s="31"/>
      <c r="D923" s="31"/>
      <c r="E923" s="3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35"/>
    </row>
    <row r="924">
      <c r="A924" s="1"/>
      <c r="B924" s="31"/>
      <c r="C924" s="31"/>
      <c r="D924" s="31"/>
      <c r="E924" s="3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35"/>
    </row>
    <row r="925">
      <c r="A925" s="1"/>
      <c r="B925" s="31"/>
      <c r="C925" s="31"/>
      <c r="D925" s="31"/>
      <c r="E925" s="3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35"/>
    </row>
    <row r="926">
      <c r="A926" s="1"/>
      <c r="B926" s="31"/>
      <c r="C926" s="31"/>
      <c r="D926" s="31"/>
      <c r="E926" s="3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35"/>
    </row>
    <row r="927">
      <c r="A927" s="1"/>
      <c r="B927" s="31"/>
      <c r="C927" s="31"/>
      <c r="D927" s="31"/>
      <c r="E927" s="3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35"/>
    </row>
    <row r="928">
      <c r="A928" s="1"/>
      <c r="B928" s="31"/>
      <c r="C928" s="31"/>
      <c r="D928" s="31"/>
      <c r="E928" s="3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35"/>
    </row>
    <row r="929">
      <c r="A929" s="1"/>
      <c r="B929" s="31"/>
      <c r="C929" s="31"/>
      <c r="D929" s="31"/>
      <c r="E929" s="3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35"/>
    </row>
    <row r="930">
      <c r="A930" s="1"/>
      <c r="B930" s="31"/>
      <c r="C930" s="31"/>
      <c r="D930" s="31"/>
      <c r="E930" s="3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35"/>
    </row>
    <row r="931">
      <c r="A931" s="1"/>
      <c r="B931" s="31"/>
      <c r="C931" s="31"/>
      <c r="D931" s="31"/>
      <c r="E931" s="3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35"/>
    </row>
    <row r="932">
      <c r="A932" s="1"/>
      <c r="B932" s="31"/>
      <c r="C932" s="31"/>
      <c r="D932" s="31"/>
      <c r="E932" s="3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35"/>
    </row>
    <row r="933">
      <c r="A933" s="1"/>
      <c r="B933" s="31"/>
      <c r="C933" s="31"/>
      <c r="D933" s="31"/>
      <c r="E933" s="3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35"/>
    </row>
    <row r="934">
      <c r="A934" s="1"/>
      <c r="B934" s="31"/>
      <c r="C934" s="31"/>
      <c r="D934" s="31"/>
      <c r="E934" s="3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35"/>
    </row>
    <row r="935">
      <c r="A935" s="1"/>
      <c r="B935" s="31"/>
      <c r="C935" s="31"/>
      <c r="D935" s="31"/>
      <c r="E935" s="3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35"/>
    </row>
    <row r="936">
      <c r="A936" s="1"/>
      <c r="B936" s="31"/>
      <c r="C936" s="31"/>
      <c r="D936" s="31"/>
      <c r="E936" s="3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35"/>
    </row>
    <row r="937">
      <c r="A937" s="1"/>
      <c r="B937" s="31"/>
      <c r="C937" s="31"/>
      <c r="D937" s="31"/>
      <c r="E937" s="3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35"/>
    </row>
    <row r="938">
      <c r="A938" s="1"/>
      <c r="B938" s="31"/>
      <c r="C938" s="31"/>
      <c r="D938" s="31"/>
      <c r="E938" s="3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35"/>
    </row>
    <row r="939">
      <c r="A939" s="1"/>
      <c r="B939" s="31"/>
      <c r="C939" s="31"/>
      <c r="D939" s="31"/>
      <c r="E939" s="3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35"/>
    </row>
    <row r="940">
      <c r="A940" s="1"/>
      <c r="B940" s="31"/>
      <c r="C940" s="31"/>
      <c r="D940" s="31"/>
      <c r="E940" s="3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35"/>
    </row>
    <row r="941">
      <c r="A941" s="1"/>
      <c r="B941" s="31"/>
      <c r="C941" s="31"/>
      <c r="D941" s="31"/>
      <c r="E941" s="3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35"/>
    </row>
    <row r="942">
      <c r="A942" s="1"/>
      <c r="B942" s="31"/>
      <c r="C942" s="31"/>
      <c r="D942" s="31"/>
      <c r="E942" s="3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35"/>
    </row>
    <row r="943">
      <c r="A943" s="1"/>
      <c r="B943" s="31"/>
      <c r="C943" s="31"/>
      <c r="D943" s="31"/>
      <c r="E943" s="3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35"/>
    </row>
    <row r="944">
      <c r="A944" s="1"/>
      <c r="B944" s="31"/>
      <c r="C944" s="31"/>
      <c r="D944" s="31"/>
      <c r="E944" s="3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35"/>
    </row>
    <row r="945">
      <c r="A945" s="1"/>
      <c r="B945" s="31"/>
      <c r="C945" s="31"/>
      <c r="D945" s="31"/>
      <c r="E945" s="3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35"/>
    </row>
    <row r="946">
      <c r="A946" s="1"/>
      <c r="B946" s="31"/>
      <c r="C946" s="31"/>
      <c r="D946" s="31"/>
      <c r="E946" s="3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35"/>
    </row>
    <row r="947">
      <c r="A947" s="1"/>
      <c r="B947" s="31"/>
      <c r="C947" s="31"/>
      <c r="D947" s="31"/>
      <c r="E947" s="3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35"/>
    </row>
    <row r="948">
      <c r="A948" s="1"/>
      <c r="B948" s="31"/>
      <c r="C948" s="31"/>
      <c r="D948" s="31"/>
      <c r="E948" s="3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35"/>
    </row>
    <row r="949">
      <c r="A949" s="1"/>
      <c r="B949" s="31"/>
      <c r="C949" s="31"/>
      <c r="D949" s="31"/>
      <c r="E949" s="3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35"/>
    </row>
    <row r="950">
      <c r="A950" s="1"/>
      <c r="B950" s="31"/>
      <c r="C950" s="31"/>
      <c r="D950" s="31"/>
      <c r="E950" s="3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35"/>
    </row>
    <row r="951">
      <c r="A951" s="1"/>
      <c r="B951" s="31"/>
      <c r="C951" s="31"/>
      <c r="D951" s="31"/>
      <c r="E951" s="3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35"/>
    </row>
    <row r="952">
      <c r="A952" s="1"/>
      <c r="B952" s="31"/>
      <c r="C952" s="31"/>
      <c r="D952" s="31"/>
      <c r="E952" s="3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35"/>
    </row>
    <row r="953">
      <c r="A953" s="1"/>
      <c r="B953" s="31"/>
      <c r="C953" s="31"/>
      <c r="D953" s="31"/>
      <c r="E953" s="3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35"/>
    </row>
    <row r="954">
      <c r="A954" s="1"/>
      <c r="B954" s="31"/>
      <c r="C954" s="31"/>
      <c r="D954" s="31"/>
      <c r="E954" s="3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35"/>
    </row>
    <row r="955">
      <c r="A955" s="1"/>
      <c r="B955" s="31"/>
      <c r="C955" s="31"/>
      <c r="D955" s="31"/>
      <c r="E955" s="3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35"/>
    </row>
    <row r="956">
      <c r="A956" s="1"/>
      <c r="B956" s="31"/>
      <c r="C956" s="31"/>
      <c r="D956" s="31"/>
      <c r="E956" s="3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35"/>
    </row>
    <row r="957">
      <c r="A957" s="1"/>
      <c r="B957" s="31"/>
      <c r="C957" s="31"/>
      <c r="D957" s="31"/>
      <c r="E957" s="3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35"/>
    </row>
    <row r="958">
      <c r="A958" s="1"/>
      <c r="B958" s="31"/>
      <c r="C958" s="31"/>
      <c r="D958" s="31"/>
      <c r="E958" s="3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35"/>
    </row>
    <row r="959">
      <c r="A959" s="1"/>
      <c r="B959" s="31"/>
      <c r="C959" s="31"/>
      <c r="D959" s="31"/>
      <c r="E959" s="3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35"/>
    </row>
    <row r="960">
      <c r="A960" s="1"/>
      <c r="B960" s="31"/>
      <c r="C960" s="31"/>
      <c r="D960" s="31"/>
      <c r="E960" s="3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35"/>
    </row>
    <row r="961">
      <c r="A961" s="1"/>
      <c r="B961" s="31"/>
      <c r="C961" s="31"/>
      <c r="D961" s="31"/>
      <c r="E961" s="3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35"/>
    </row>
    <row r="962">
      <c r="A962" s="1"/>
      <c r="B962" s="31"/>
      <c r="C962" s="31"/>
      <c r="D962" s="31"/>
      <c r="E962" s="3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35"/>
    </row>
    <row r="963">
      <c r="A963" s="1"/>
      <c r="B963" s="31"/>
      <c r="C963" s="31"/>
      <c r="D963" s="31"/>
      <c r="E963" s="3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35"/>
    </row>
    <row r="964">
      <c r="A964" s="1"/>
      <c r="B964" s="31"/>
      <c r="C964" s="31"/>
      <c r="D964" s="31"/>
      <c r="E964" s="3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35"/>
    </row>
    <row r="965">
      <c r="A965" s="1"/>
      <c r="B965" s="31"/>
      <c r="C965" s="31"/>
      <c r="D965" s="31"/>
      <c r="E965" s="3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35"/>
    </row>
    <row r="966">
      <c r="A966" s="1"/>
      <c r="B966" s="31"/>
      <c r="C966" s="31"/>
      <c r="D966" s="31"/>
      <c r="E966" s="3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35"/>
    </row>
    <row r="967">
      <c r="A967" s="1"/>
      <c r="B967" s="31"/>
      <c r="C967" s="31"/>
      <c r="D967" s="31"/>
      <c r="E967" s="3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35"/>
    </row>
    <row r="968">
      <c r="A968" s="1"/>
      <c r="B968" s="31"/>
      <c r="C968" s="31"/>
      <c r="D968" s="31"/>
      <c r="E968" s="3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35"/>
    </row>
    <row r="969">
      <c r="A969" s="1"/>
      <c r="B969" s="31"/>
      <c r="C969" s="31"/>
      <c r="D969" s="31"/>
      <c r="E969" s="3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35"/>
    </row>
    <row r="970">
      <c r="A970" s="1"/>
      <c r="B970" s="31"/>
      <c r="C970" s="31"/>
      <c r="D970" s="31"/>
      <c r="E970" s="3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35"/>
    </row>
    <row r="971">
      <c r="A971" s="1"/>
      <c r="B971" s="31"/>
      <c r="C971" s="31"/>
      <c r="D971" s="31"/>
      <c r="E971" s="3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35"/>
    </row>
    <row r="972">
      <c r="A972" s="1"/>
      <c r="B972" s="31"/>
      <c r="C972" s="31"/>
      <c r="D972" s="31"/>
      <c r="E972" s="3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35"/>
    </row>
    <row r="973">
      <c r="A973" s="1"/>
      <c r="B973" s="31"/>
      <c r="C973" s="31"/>
      <c r="D973" s="31"/>
      <c r="E973" s="3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35"/>
    </row>
    <row r="974">
      <c r="A974" s="1"/>
      <c r="B974" s="31"/>
      <c r="C974" s="31"/>
      <c r="D974" s="31"/>
      <c r="E974" s="3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35"/>
    </row>
    <row r="975">
      <c r="A975" s="1"/>
      <c r="B975" s="31"/>
      <c r="C975" s="31"/>
      <c r="D975" s="31"/>
      <c r="E975" s="3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35"/>
    </row>
    <row r="976">
      <c r="A976" s="1"/>
      <c r="B976" s="31"/>
      <c r="C976" s="31"/>
      <c r="D976" s="31"/>
      <c r="E976" s="3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35"/>
    </row>
    <row r="977">
      <c r="A977" s="1"/>
      <c r="B977" s="31"/>
      <c r="C977" s="31"/>
      <c r="D977" s="31"/>
      <c r="E977" s="3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35"/>
    </row>
    <row r="978">
      <c r="A978" s="1"/>
      <c r="B978" s="31"/>
      <c r="C978" s="31"/>
      <c r="D978" s="31"/>
      <c r="E978" s="3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35"/>
    </row>
    <row r="979">
      <c r="A979" s="1"/>
      <c r="B979" s="31"/>
      <c r="C979" s="31"/>
      <c r="D979" s="31"/>
      <c r="E979" s="3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35"/>
    </row>
    <row r="980">
      <c r="A980" s="1"/>
      <c r="B980" s="31"/>
      <c r="C980" s="31"/>
      <c r="D980" s="31"/>
      <c r="E980" s="3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35"/>
    </row>
    <row r="981">
      <c r="A981" s="1"/>
      <c r="B981" s="31"/>
      <c r="C981" s="31"/>
      <c r="D981" s="31"/>
      <c r="E981" s="3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35"/>
    </row>
    <row r="982">
      <c r="A982" s="1"/>
      <c r="B982" s="31"/>
      <c r="C982" s="31"/>
      <c r="D982" s="31"/>
      <c r="E982" s="3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35"/>
    </row>
    <row r="983">
      <c r="A983" s="1"/>
      <c r="B983" s="31"/>
      <c r="C983" s="31"/>
      <c r="D983" s="31"/>
      <c r="E983" s="3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35"/>
    </row>
    <row r="984">
      <c r="A984" s="1"/>
      <c r="B984" s="31"/>
      <c r="C984" s="31"/>
      <c r="D984" s="31"/>
      <c r="E984" s="3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35"/>
    </row>
    <row r="985">
      <c r="A985" s="1"/>
      <c r="B985" s="31"/>
      <c r="C985" s="31"/>
      <c r="D985" s="31"/>
      <c r="E985" s="3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35"/>
    </row>
    <row r="986">
      <c r="A986" s="1"/>
      <c r="B986" s="31"/>
      <c r="C986" s="31"/>
      <c r="D986" s="31"/>
      <c r="E986" s="3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35"/>
    </row>
    <row r="987">
      <c r="A987" s="1"/>
      <c r="B987" s="31"/>
      <c r="C987" s="31"/>
      <c r="D987" s="31"/>
      <c r="E987" s="3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35"/>
    </row>
    <row r="988">
      <c r="A988" s="1"/>
      <c r="B988" s="31"/>
      <c r="C988" s="31"/>
      <c r="D988" s="31"/>
      <c r="E988" s="3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35"/>
    </row>
    <row r="989">
      <c r="A989" s="1"/>
      <c r="B989" s="31"/>
      <c r="C989" s="31"/>
      <c r="D989" s="31"/>
      <c r="E989" s="3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35"/>
    </row>
    <row r="990">
      <c r="A990" s="1"/>
      <c r="B990" s="31"/>
      <c r="C990" s="31"/>
      <c r="D990" s="31"/>
      <c r="E990" s="3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35"/>
    </row>
    <row r="991">
      <c r="A991" s="1"/>
      <c r="B991" s="31"/>
      <c r="C991" s="31"/>
      <c r="D991" s="31"/>
      <c r="E991" s="3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35"/>
    </row>
    <row r="992">
      <c r="A992" s="1"/>
      <c r="B992" s="31"/>
      <c r="C992" s="31"/>
      <c r="D992" s="31"/>
      <c r="E992" s="3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35"/>
    </row>
    <row r="993">
      <c r="A993" s="1"/>
      <c r="B993" s="31"/>
      <c r="C993" s="31"/>
      <c r="D993" s="31"/>
      <c r="E993" s="3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35"/>
    </row>
    <row r="994">
      <c r="A994" s="1"/>
      <c r="B994" s="31"/>
      <c r="C994" s="31"/>
      <c r="D994" s="31"/>
      <c r="E994" s="3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35"/>
    </row>
    <row r="995">
      <c r="A995" s="1"/>
      <c r="B995" s="31"/>
      <c r="C995" s="31"/>
      <c r="D995" s="31"/>
      <c r="E995" s="3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35"/>
    </row>
    <row r="996">
      <c r="A996" s="1"/>
      <c r="B996" s="31"/>
      <c r="C996" s="31"/>
      <c r="D996" s="31"/>
      <c r="E996" s="3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35"/>
    </row>
    <row r="997">
      <c r="A997" s="1"/>
      <c r="B997" s="31"/>
      <c r="C997" s="31"/>
      <c r="D997" s="31"/>
      <c r="E997" s="3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35"/>
    </row>
    <row r="998">
      <c r="A998" s="1"/>
      <c r="B998" s="31"/>
      <c r="C998" s="31"/>
      <c r="D998" s="31"/>
      <c r="E998" s="3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35"/>
    </row>
    <row r="999">
      <c r="A999" s="1"/>
      <c r="B999" s="31"/>
      <c r="C999" s="31"/>
      <c r="D999" s="31"/>
      <c r="E999" s="3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35"/>
    </row>
    <row r="1000">
      <c r="A1000" s="1"/>
      <c r="B1000" s="31"/>
      <c r="C1000" s="31"/>
      <c r="D1000" s="31"/>
      <c r="E1000" s="3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5" t="s">
        <v>105</v>
      </c>
      <c r="B1" s="24" t="s">
        <v>107</v>
      </c>
      <c r="C1" s="24" t="s">
        <v>92</v>
      </c>
      <c r="D1" s="24" t="s">
        <v>93</v>
      </c>
      <c r="E1" s="24" t="s">
        <v>94</v>
      </c>
      <c r="F1" s="24" t="s">
        <v>95</v>
      </c>
      <c r="G1" s="15" t="s">
        <v>108</v>
      </c>
      <c r="H1" s="15" t="s">
        <v>109</v>
      </c>
      <c r="I1" s="3" t="s">
        <v>33</v>
      </c>
      <c r="J1" s="3" t="s">
        <v>34</v>
      </c>
      <c r="K1" s="3" t="s">
        <v>35</v>
      </c>
      <c r="L1" s="3" t="s">
        <v>36</v>
      </c>
      <c r="M1" s="1" t="s">
        <v>37</v>
      </c>
      <c r="N1" s="1" t="s">
        <v>38</v>
      </c>
      <c r="O1" s="1" t="s">
        <v>39</v>
      </c>
      <c r="P1" s="3" t="s">
        <v>40</v>
      </c>
      <c r="Q1" s="1" t="s">
        <v>41</v>
      </c>
      <c r="R1" s="1" t="s">
        <v>96</v>
      </c>
      <c r="S1" s="3" t="s">
        <v>42</v>
      </c>
      <c r="T1" s="1" t="s">
        <v>44</v>
      </c>
      <c r="U1" s="1" t="s">
        <v>46</v>
      </c>
      <c r="V1" s="3" t="s">
        <v>43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97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98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3" t="s">
        <v>65</v>
      </c>
      <c r="AR1" s="1" t="s">
        <v>66</v>
      </c>
      <c r="AS1" s="1" t="s">
        <v>67</v>
      </c>
      <c r="AT1" s="1" t="s">
        <v>99</v>
      </c>
      <c r="AU1" s="1" t="s">
        <v>68</v>
      </c>
      <c r="AV1" s="1" t="s">
        <v>69</v>
      </c>
      <c r="AW1" s="1" t="s">
        <v>70</v>
      </c>
      <c r="AX1" s="3" t="s">
        <v>72</v>
      </c>
      <c r="AY1" s="1" t="s">
        <v>71</v>
      </c>
      <c r="AZ1" s="1" t="s">
        <v>73</v>
      </c>
      <c r="BA1" s="3" t="s">
        <v>74</v>
      </c>
      <c r="BB1" s="1" t="s">
        <v>75</v>
      </c>
      <c r="BC1" s="1" t="s">
        <v>76</v>
      </c>
      <c r="BD1" s="3" t="s">
        <v>100</v>
      </c>
      <c r="BE1" s="3" t="s">
        <v>77</v>
      </c>
      <c r="BF1" s="1" t="s">
        <v>101</v>
      </c>
      <c r="BG1" s="1" t="s">
        <v>78</v>
      </c>
      <c r="BH1" s="1" t="s">
        <v>80</v>
      </c>
      <c r="BI1" s="3" t="s">
        <v>79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102</v>
      </c>
      <c r="BO1" s="1" t="s">
        <v>85</v>
      </c>
      <c r="BP1" s="1" t="s">
        <v>86</v>
      </c>
      <c r="BQ1" s="36" t="s">
        <v>87</v>
      </c>
      <c r="BR1" s="1" t="s">
        <v>88</v>
      </c>
      <c r="BS1" s="3" t="s">
        <v>90</v>
      </c>
      <c r="BT1" s="1" t="s">
        <v>89</v>
      </c>
      <c r="BU1" s="3" t="s">
        <v>103</v>
      </c>
    </row>
    <row r="2">
      <c r="A2" s="37" t="str">
        <f>IFERROR(__xludf.DUMMYFUNCTION("INDEX(GOOGLEFINANCE(I$1, ""price"", DATE(2024,5,13), TODAY(), ""DAILY""), ,1)"),"Date")</f>
        <v>Date</v>
      </c>
      <c r="B2" s="38" t="s">
        <v>104</v>
      </c>
      <c r="C2" s="38" t="str">
        <f>IFERROR(__xludf.DUMMYFUNCTION("INDEX(GOOGLEFINANCE(C$1, ""price"", DATE(2024,5,13), TODAY(), ""DAILY""), ,2)"),"Close")</f>
        <v>Close</v>
      </c>
      <c r="D2" s="38" t="str">
        <f>IFERROR(__xludf.DUMMYFUNCTION("INDEX(GOOGLEFINANCE(D$1, ""price"", DATE(2024,5,13), TODAY(), ""DAILY""), ,2)"),"Close")</f>
        <v>Close</v>
      </c>
      <c r="E2" s="38" t="str">
        <f>IFERROR(__xludf.DUMMYFUNCTION("INDEX(GOOGLEFINANCE(E$1, ""price"", DATE(2024,5,13), TODAY(), ""DAILY""), ,2)"),"Close")</f>
        <v>Close</v>
      </c>
      <c r="F2" s="38" t="str">
        <f>IFERROR(__xludf.DUMMYFUNCTION("INDEX(GOOGLEFINANCE(F$1, ""price"", DATE(2024,5,13), TODAY(), ""DAILY""), ,2)"),"Close")</f>
        <v>Close</v>
      </c>
      <c r="G2" s="38" t="str">
        <f>IFERROR(__xludf.DUMMYFUNCTION("INDEX(GOOGLEFINANCE(G$1, ""price"", DATE(2024,5,13), TODAY(), ""DAILY""), ,2)"),"Close")</f>
        <v>Close</v>
      </c>
      <c r="H2" s="38" t="str">
        <f>IFERROR(__xludf.DUMMYFUNCTION("INDEX(GOOGLEFINANCE(H$1, ""price"", DATE(2024,5,13), TODAY(), ""DAILY""), ,2)"),"Close")</f>
        <v>Close</v>
      </c>
      <c r="I2" s="39" t="str">
        <f>IFERROR(__xludf.DUMMYFUNCTION("INDEX(GOOGLEFINANCE(I$1, ""price"", DATE(2024,5,13), TODAY(), ""DAILY""), ,2)"),"Close")</f>
        <v>Close</v>
      </c>
      <c r="J2" s="39" t="str">
        <f>IFERROR(__xludf.DUMMYFUNCTION("INDEX(GOOGLEFINANCE(J$1, ""price"", DATE(2024,5,13), TODAY(), ""DAILY""), ,2)"),"Close")</f>
        <v>Close</v>
      </c>
      <c r="K2" s="39" t="str">
        <f>IFERROR(__xludf.DUMMYFUNCTION("INDEX(GOOGLEFINANCE(K$1, ""price"", DATE(2024,5,13), TODAY(), ""DAILY""), ,2)"),"Close")</f>
        <v>Close</v>
      </c>
      <c r="L2" s="39" t="str">
        <f>IFERROR(__xludf.DUMMYFUNCTION("INDEX(GOOGLEFINANCE(L$1, ""price"", DATE(2024,5,13), TODAY(), ""DAILY""), ,2)"),"Close")</f>
        <v>Close</v>
      </c>
      <c r="M2" s="39" t="str">
        <f>IFERROR(__xludf.DUMMYFUNCTION("INDEX(GOOGLEFINANCE(M$1, ""price"", DATE(2024,5,13), TODAY(), ""DAILY""), ,2)"),"Close")</f>
        <v>Close</v>
      </c>
      <c r="N2" s="39" t="str">
        <f>IFERROR(__xludf.DUMMYFUNCTION("INDEX(GOOGLEFINANCE(N$1, ""price"", DATE(2024,5,13), TODAY(), ""DAILY""), ,2)"),"Close")</f>
        <v>Close</v>
      </c>
      <c r="O2" s="39" t="str">
        <f>IFERROR(__xludf.DUMMYFUNCTION("INDEX(GOOGLEFINANCE(O$1, ""price"", DATE(2024,5,13), TODAY(), ""DAILY""), ,2)"),"Close")</f>
        <v>Close</v>
      </c>
      <c r="P2" s="39" t="str">
        <f>IFERROR(__xludf.DUMMYFUNCTION("INDEX(GOOGLEFINANCE(P$1, ""price"", DATE(2024,5,13), TODAY(), ""DAILY""), ,2)"),"Close")</f>
        <v>Close</v>
      </c>
      <c r="Q2" s="39" t="str">
        <f>IFERROR(__xludf.DUMMYFUNCTION("INDEX(GOOGLEFINANCE(Q$1, ""price"", DATE(2024,5,13), TODAY(), ""DAILY""), ,2)"),"Close")</f>
        <v>Close</v>
      </c>
      <c r="R2" s="39" t="str">
        <f>IFERROR(__xludf.DUMMYFUNCTION("INDEX(GOOGLEFINANCE(R$1, ""price"", DATE(2024,5,13), TODAY(), ""DAILY""), ,2)"),"Close")</f>
        <v>Close</v>
      </c>
      <c r="S2" s="39" t="str">
        <f>IFERROR(__xludf.DUMMYFUNCTION("INDEX(GOOGLEFINANCE(S$1, ""price"", DATE(2024,5,13), TODAY(), ""DAILY""), ,2)"),"Close")</f>
        <v>Close</v>
      </c>
      <c r="T2" s="39" t="str">
        <f>IFERROR(__xludf.DUMMYFUNCTION("INDEX(GOOGLEFINANCE(T$1, ""price"", DATE(2024,5,13), TODAY(), ""DAILY""), ,2)"),"Close")</f>
        <v>Close</v>
      </c>
      <c r="U2" s="39" t="str">
        <f>IFERROR(__xludf.DUMMYFUNCTION("INDEX(GOOGLEFINANCE(U$1, ""price"", DATE(2024,5,13), TODAY(), ""DAILY""), ,2)"),"Close")</f>
        <v>Close</v>
      </c>
      <c r="V2" s="39" t="str">
        <f>IFERROR(__xludf.DUMMYFUNCTION("INDEX(GOOGLEFINANCE(V$1, ""price"", DATE(2024,5,13), TODAY(), ""DAILY""), ,2)"),"Close")</f>
        <v>Close</v>
      </c>
      <c r="W2" s="39" t="str">
        <f>IFERROR(__xludf.DUMMYFUNCTION("INDEX(GOOGLEFINANCE(W$1, ""price"", DATE(2024,5,13), TODAY(), ""DAILY""), ,2)"),"Close")</f>
        <v>Close</v>
      </c>
      <c r="X2" s="39" t="str">
        <f>IFERROR(__xludf.DUMMYFUNCTION("INDEX(GOOGLEFINANCE(X$1, ""price"", DATE(2024,5,13), TODAY(), ""DAILY""), ,2)"),"Close")</f>
        <v>Close</v>
      </c>
      <c r="Y2" s="39" t="str">
        <f>IFERROR(__xludf.DUMMYFUNCTION("INDEX(GOOGLEFINANCE(Y$1, ""price"", DATE(2024,5,13), TODAY(), ""DAILY""), ,2)"),"Close")</f>
        <v>Close</v>
      </c>
      <c r="Z2" s="39" t="str">
        <f>IFERROR(__xludf.DUMMYFUNCTION("INDEX(GOOGLEFINANCE(Z$1, ""price"", DATE(2024,5,13), TODAY(), ""DAILY""), ,2)"),"Close")</f>
        <v>Close</v>
      </c>
      <c r="AA2" s="39" t="str">
        <f>IFERROR(__xludf.DUMMYFUNCTION("INDEX(GOOGLEFINANCE(AA$1, ""price"", DATE(2024,5,13), TODAY(), ""DAILY""), ,2)"),"Close")</f>
        <v>Close</v>
      </c>
      <c r="AB2" s="39" t="str">
        <f>IFERROR(__xludf.DUMMYFUNCTION("INDEX(GOOGLEFINANCE(AB$1, ""price"", DATE(2024,5,13), TODAY(), ""DAILY""), ,2)"),"Close")</f>
        <v>Close</v>
      </c>
      <c r="AC2" s="39" t="str">
        <f>IFERROR(__xludf.DUMMYFUNCTION("INDEX(GOOGLEFINANCE(AC$1, ""price"", DATE(2024,5,13), TODAY(), ""DAILY""), ,2)"),"Close")</f>
        <v>Close</v>
      </c>
      <c r="AD2" s="39" t="str">
        <f>IFERROR(__xludf.DUMMYFUNCTION("INDEX(GOOGLEFINANCE(AD$1, ""price"", DATE(2024,5,13), TODAY(), ""DAILY""), ,2)"),"Close")</f>
        <v>Close</v>
      </c>
      <c r="AE2" s="39" t="str">
        <f>IFERROR(__xludf.DUMMYFUNCTION("INDEX(GOOGLEFINANCE(AE$1, ""price"", DATE(2024,5,13), TODAY(), ""DAILY""), ,2)"),"Close")</f>
        <v>Close</v>
      </c>
      <c r="AF2" s="39" t="str">
        <f>IFERROR(__xludf.DUMMYFUNCTION("INDEX(GOOGLEFINANCE(AF$1, ""price"", DATE(2024,5,13), TODAY(), ""DAILY""), ,2)"),"Close")</f>
        <v>Close</v>
      </c>
      <c r="AG2" s="39" t="str">
        <f>IFERROR(__xludf.DUMMYFUNCTION("INDEX(GOOGLEFINANCE(AG$1, ""price"", DATE(2024,5,13), TODAY(), ""DAILY""), ,2)"),"Close")</f>
        <v>Close</v>
      </c>
      <c r="AH2" s="39" t="str">
        <f>IFERROR(__xludf.DUMMYFUNCTION("INDEX(GOOGLEFINANCE(AH$1, ""price"", DATE(2024,5,13), TODAY(), ""DAILY""), ,2)"),"Close")</f>
        <v>Close</v>
      </c>
      <c r="AI2" s="39" t="str">
        <f>IFERROR(__xludf.DUMMYFUNCTION("INDEX(GOOGLEFINANCE(AI$1, ""price"", DATE(2024,5,13), TODAY(), ""DAILY""), ,2)"),"Close")</f>
        <v>Close</v>
      </c>
      <c r="AJ2" s="39" t="str">
        <f>IFERROR(__xludf.DUMMYFUNCTION("INDEX(GOOGLEFINANCE(AJ$1, ""price"", DATE(2024,5,13), TODAY(), ""DAILY""), ,2)"),"Close")</f>
        <v>Close</v>
      </c>
      <c r="AK2" s="39" t="str">
        <f>IFERROR(__xludf.DUMMYFUNCTION("INDEX(GOOGLEFINANCE(AK$1, ""price"", DATE(2024,5,13), TODAY(), ""DAILY""), ,2)"),"Close")</f>
        <v>Close</v>
      </c>
      <c r="AL2" s="39" t="str">
        <f>IFERROR(__xludf.DUMMYFUNCTION("INDEX(GOOGLEFINANCE(AL$1, ""price"", DATE(2024,5,13), TODAY(), ""DAILY""), ,2)"),"Close")</f>
        <v>Close</v>
      </c>
      <c r="AM2" s="39" t="str">
        <f>IFERROR(__xludf.DUMMYFUNCTION("INDEX(GOOGLEFINANCE(AM$1, ""price"", DATE(2024,5,13), TODAY(), ""DAILY""), ,2)"),"Close")</f>
        <v>Close</v>
      </c>
      <c r="AN2" s="39" t="str">
        <f>IFERROR(__xludf.DUMMYFUNCTION("INDEX(GOOGLEFINANCE(AN$1, ""price"", DATE(2024,5,13), TODAY(), ""DAILY""), ,2)"),"Close")</f>
        <v>Close</v>
      </c>
      <c r="AO2" s="39" t="str">
        <f>IFERROR(__xludf.DUMMYFUNCTION("INDEX(GOOGLEFINANCE(AO$1, ""price"", DATE(2024,5,13), TODAY(), ""DAILY""), ,2)"),"Close")</f>
        <v>Close</v>
      </c>
      <c r="AP2" s="39" t="str">
        <f>IFERROR(__xludf.DUMMYFUNCTION("INDEX(GOOGLEFINANCE(AP$1, ""price"", DATE(2024,5,13), TODAY(), ""DAILY""), ,2)"),"Close")</f>
        <v>Close</v>
      </c>
      <c r="AQ2" s="39" t="str">
        <f>IFERROR(__xludf.DUMMYFUNCTION("INDEX(GOOGLEFINANCE(AQ$1, ""price"", DATE(2024,5,13), TODAY(), ""DAILY""), ,2)"),"Close")</f>
        <v>Close</v>
      </c>
      <c r="AR2" s="39" t="str">
        <f>IFERROR(__xludf.DUMMYFUNCTION("INDEX(GOOGLEFINANCE(AR$1, ""price"", DATE(2024,5,13), TODAY(), ""DAILY""), ,2)"),"Close")</f>
        <v>Close</v>
      </c>
      <c r="AS2" s="39" t="str">
        <f>IFERROR(__xludf.DUMMYFUNCTION("INDEX(GOOGLEFINANCE(AS$1, ""price"", DATE(2024,5,13), TODAY(), ""DAILY""), ,2)"),"Close")</f>
        <v>Close</v>
      </c>
      <c r="AT2" s="39" t="str">
        <f>IFERROR(__xludf.DUMMYFUNCTION("INDEX(GOOGLEFINANCE(AT$1, ""price"", DATE(2024,5,13), TODAY(), ""DAILY""), ,2)"),"Close")</f>
        <v>Close</v>
      </c>
      <c r="AU2" s="39" t="str">
        <f>IFERROR(__xludf.DUMMYFUNCTION("INDEX(GOOGLEFINANCE(AU$1, ""price"", DATE(2024,5,13), TODAY(), ""DAILY""), ,2)"),"Close")</f>
        <v>Close</v>
      </c>
      <c r="AV2" s="39" t="str">
        <f>IFERROR(__xludf.DUMMYFUNCTION("INDEX(GOOGLEFINANCE(AV$1, ""price"", DATE(2024,5,13), TODAY(), ""DAILY""), ,2)"),"Close")</f>
        <v>Close</v>
      </c>
      <c r="AW2" s="39" t="str">
        <f>IFERROR(__xludf.DUMMYFUNCTION("INDEX(GOOGLEFINANCE(AW$1, ""price"", DATE(2024,5,13), TODAY(), ""DAILY""), ,2)"),"Close")</f>
        <v>Close</v>
      </c>
      <c r="AX2" s="39" t="str">
        <f>IFERROR(__xludf.DUMMYFUNCTION("INDEX(GOOGLEFINANCE(AX$1, ""price"", DATE(2024,5,13), TODAY(), ""DAILY""), ,2)"),"Close")</f>
        <v>Close</v>
      </c>
      <c r="AY2" s="39" t="str">
        <f>IFERROR(__xludf.DUMMYFUNCTION("INDEX(GOOGLEFINANCE(AY$1, ""price"", DATE(2024,5,13), TODAY(), ""DAILY""), ,2)"),"Close")</f>
        <v>Close</v>
      </c>
      <c r="AZ2" s="39" t="str">
        <f>IFERROR(__xludf.DUMMYFUNCTION("INDEX(GOOGLEFINANCE(AZ$1, ""price"", DATE(2024,5,13), TODAY(), ""DAILY""), ,2)"),"Close")</f>
        <v>Close</v>
      </c>
      <c r="BA2" s="39" t="str">
        <f>IFERROR(__xludf.DUMMYFUNCTION("INDEX(GOOGLEFINANCE(BA$1, ""price"", DATE(2024,5,13), TODAY(), ""DAILY""), ,2)"),"Close")</f>
        <v>Close</v>
      </c>
      <c r="BB2" s="39" t="str">
        <f>IFERROR(__xludf.DUMMYFUNCTION("INDEX(GOOGLEFINANCE(BB$1, ""price"", DATE(2024,5,13), TODAY(), ""DAILY""), ,2)"),"Close")</f>
        <v>Close</v>
      </c>
      <c r="BC2" s="39" t="str">
        <f>IFERROR(__xludf.DUMMYFUNCTION("INDEX(GOOGLEFINANCE(BC$1, ""price"", DATE(2024,5,13), TODAY(), ""DAILY""), ,2)"),"Close")</f>
        <v>Close</v>
      </c>
      <c r="BD2" s="39" t="str">
        <f>IFERROR(__xludf.DUMMYFUNCTION("INDEX(GOOGLEFINANCE(BD$1, ""price"", DATE(2024,5,13), TODAY(), ""DAILY""), ,2)"),"Close")</f>
        <v>Close</v>
      </c>
      <c r="BE2" s="39" t="str">
        <f>IFERROR(__xludf.DUMMYFUNCTION("INDEX(GOOGLEFINANCE(BE$1, ""price"", DATE(2024,5,13), TODAY(), ""DAILY""), ,2)"),"Close")</f>
        <v>Close</v>
      </c>
      <c r="BF2" s="39" t="str">
        <f>IFERROR(__xludf.DUMMYFUNCTION("INDEX(GOOGLEFINANCE(BF$1, ""price"", DATE(2024,5,13), TODAY(), ""DAILY""), ,2)"),"Close")</f>
        <v>Close</v>
      </c>
      <c r="BG2" s="39" t="str">
        <f>IFERROR(__xludf.DUMMYFUNCTION("INDEX(GOOGLEFINANCE(BG$1, ""price"", DATE(2024,5,13), TODAY(), ""DAILY""), ,2)"),"Close")</f>
        <v>Close</v>
      </c>
      <c r="BH2" s="39" t="str">
        <f>IFERROR(__xludf.DUMMYFUNCTION("INDEX(GOOGLEFINANCE(BH$1, ""price"", DATE(2024,5,13), TODAY(), ""DAILY""), ,2)"),"Close")</f>
        <v>Close</v>
      </c>
      <c r="BI2" s="39" t="str">
        <f>IFERROR(__xludf.DUMMYFUNCTION("INDEX(GOOGLEFINANCE(BI$1, ""price"", DATE(2024,5,13), TODAY(), ""DAILY""), ,2)"),"Close")</f>
        <v>Close</v>
      </c>
      <c r="BJ2" s="39" t="str">
        <f>IFERROR(__xludf.DUMMYFUNCTION("INDEX(GOOGLEFINANCE(BJ$1, ""price"", DATE(2024,5,13), TODAY(), ""DAILY""), ,2)"),"Close")</f>
        <v>Close</v>
      </c>
      <c r="BK2" s="39" t="str">
        <f>IFERROR(__xludf.DUMMYFUNCTION("INDEX(GOOGLEFINANCE(BK$1, ""price"", DATE(2024,5,13), TODAY(), ""DAILY""), ,2)"),"Close")</f>
        <v>Close</v>
      </c>
      <c r="BL2" s="39" t="str">
        <f>IFERROR(__xludf.DUMMYFUNCTION("INDEX(GOOGLEFINANCE(BL$1, ""price"", DATE(2024,5,13), TODAY(), ""DAILY""), ,2)"),"Close")</f>
        <v>Close</v>
      </c>
      <c r="BM2" s="39" t="str">
        <f>IFERROR(__xludf.DUMMYFUNCTION("INDEX(GOOGLEFINANCE(BM$1, ""price"", DATE(2024,5,13), TODAY(), ""DAILY""), ,2)"),"Close")</f>
        <v>Close</v>
      </c>
      <c r="BN2" s="39" t="str">
        <f>IFERROR(__xludf.DUMMYFUNCTION("INDEX(GOOGLEFINANCE(BN$1, ""price"", DATE(2024,5,13), TODAY(), ""DAILY""), ,2)"),"Close")</f>
        <v>Close</v>
      </c>
      <c r="BO2" s="39" t="str">
        <f>IFERROR(__xludf.DUMMYFUNCTION("INDEX(GOOGLEFINANCE(BO$1, ""price"", DATE(2024,5,13), TODAY(), ""DAILY""), ,2)"),"Close")</f>
        <v>Close</v>
      </c>
      <c r="BP2" s="39" t="str">
        <f>IFERROR(__xludf.DUMMYFUNCTION("INDEX(GOOGLEFINANCE(BP$1, ""price"", DATE(2024,5,13), TODAY(), ""DAILY""), ,2)"),"Close")</f>
        <v>Close</v>
      </c>
      <c r="BQ2" s="40" t="str">
        <f>IFERROR(__xludf.DUMMYFUNCTION("INDEX(GOOGLEFINANCE(BQ$1, ""price"", DATE(2024,5,13), TODAY(), ""DAILY""), ,2)"),"Close")</f>
        <v>Close</v>
      </c>
      <c r="BR2" s="39" t="str">
        <f>IFERROR(__xludf.DUMMYFUNCTION("INDEX(GOOGLEFINANCE(BR$1, ""price"", DATE(2024,5,13), TODAY(), ""DAILY""), ,2)"),"Close")</f>
        <v>Close</v>
      </c>
      <c r="BS2" s="39" t="str">
        <f>IFERROR(__xludf.DUMMYFUNCTION("INDEX(GOOGLEFINANCE(BS$1, ""price"", DATE(2024,5,13), TODAY(), ""DAILY""), ,2)"),"Close")</f>
        <v>Close</v>
      </c>
      <c r="BT2" s="39" t="str">
        <f>IFERROR(__xludf.DUMMYFUNCTION("INDEX(GOOGLEFINANCE(BT$1, ""price"", DATE(2024,5,13), TODAY(), ""DAILY""), ,2)"),"Close")</f>
        <v>Close</v>
      </c>
      <c r="BU2" s="39" t="s">
        <v>45</v>
      </c>
    </row>
    <row r="3">
      <c r="A3" s="25">
        <f>IFERROR(__xludf.DUMMYFUNCTION("""COMPUTED_VALUE"""),45425.66666666667)</f>
        <v>45425.66667</v>
      </c>
      <c r="B3" s="29">
        <f>'Master Scratch Work'!B2</f>
        <v>1217012.88</v>
      </c>
      <c r="C3" s="15">
        <f>IFERROR(__xludf.DUMMYFUNCTION("""COMPUTED_VALUE"""),5221.42)</f>
        <v>5221.42</v>
      </c>
      <c r="D3" s="15">
        <f>IFERROR(__xludf.DUMMYFUNCTION("""COMPUTED_VALUE"""),16388.24)</f>
        <v>16388.24</v>
      </c>
      <c r="E3" s="15">
        <f>IFERROR(__xludf.DUMMYFUNCTION("""COMPUTED_VALUE"""),39431.51)</f>
        <v>39431.51</v>
      </c>
      <c r="F3" s="15">
        <f>IFERROR(__xludf.DUMMYFUNCTION("""COMPUTED_VALUE"""),2062.12)</f>
        <v>2062.12</v>
      </c>
      <c r="G3" s="3">
        <f>IFERROR(__xludf.DUMMYFUNCTION("""COMPUTED_VALUE"""),520.91)</f>
        <v>520.91</v>
      </c>
      <c r="H3" s="3">
        <f>IFERROR(__xludf.DUMMYFUNCTION("""COMPUTED_VALUE"""),443.08)</f>
        <v>443.08</v>
      </c>
      <c r="I3" s="3">
        <f>IFERROR(__xludf.DUMMYFUNCTION("""COMPUTED_VALUE"""),483.11)</f>
        <v>483.11</v>
      </c>
      <c r="J3" s="3">
        <f>IFERROR(__xludf.DUMMYFUNCTION("""COMPUTED_VALUE"""),186.57)</f>
        <v>186.57</v>
      </c>
      <c r="K3" s="3">
        <f>IFERROR(__xludf.DUMMYFUNCTION("""COMPUTED_VALUE"""),133.78)</f>
        <v>133.78</v>
      </c>
      <c r="L3" s="3">
        <f>IFERROR(__xludf.DUMMYFUNCTION("""COMPUTED_VALUE"""),186.28)</f>
        <v>186.28</v>
      </c>
      <c r="M3" s="3">
        <f>IFERROR(__xludf.DUMMYFUNCTION("""COMPUTED_VALUE"""),206.63)</f>
        <v>206.63</v>
      </c>
      <c r="N3" s="3">
        <f>IFERROR(__xludf.DUMMYFUNCTION("""COMPUTED_VALUE"""),57.85)</f>
        <v>57.85</v>
      </c>
      <c r="O3" s="3">
        <f>IFERROR(__xludf.DUMMYFUNCTION("""COMPUTED_VALUE"""),10.84)</f>
        <v>10.84</v>
      </c>
      <c r="P3" s="3">
        <f>IFERROR(__xludf.DUMMYFUNCTION("""COMPUTED_VALUE"""),411.22)</f>
        <v>411.22</v>
      </c>
      <c r="Q3" s="3">
        <f>IFERROR(__xludf.DUMMYFUNCTION("""COMPUTED_VALUE"""),57.18)</f>
        <v>57.18</v>
      </c>
      <c r="R3" s="3">
        <f>IFERROR(__xludf.DUMMYFUNCTION("""COMPUTED_VALUE"""),225.34)</f>
        <v>225.34</v>
      </c>
      <c r="S3" s="3">
        <f>IFERROR(__xludf.DUMMYFUNCTION("""COMPUTED_VALUE"""),72.81)</f>
        <v>72.81</v>
      </c>
      <c r="T3" s="3">
        <f>IFERROR(__xludf.DUMMYFUNCTION("""COMPUTED_VALUE"""),64.33)</f>
        <v>64.33</v>
      </c>
      <c r="U3" s="3">
        <f>IFERROR(__xludf.DUMMYFUNCTION("""COMPUTED_VALUE"""),356.68)</f>
        <v>356.68</v>
      </c>
      <c r="V3" s="3">
        <f>IFERROR(__xludf.DUMMYFUNCTION("""COMPUTED_VALUE"""),48.98)</f>
        <v>48.98</v>
      </c>
      <c r="W3" s="3">
        <f>IFERROR(__xludf.DUMMYFUNCTION("""COMPUTED_VALUE"""),150.03)</f>
        <v>150.03</v>
      </c>
      <c r="X3" s="3">
        <f>IFERROR(__xludf.DUMMYFUNCTION("""COMPUTED_VALUE"""),164.53)</f>
        <v>164.53</v>
      </c>
      <c r="Y3" s="1">
        <f>IFERROR(__xludf.DUMMYFUNCTION("""COMPUTED_VALUE"""),349.14)</f>
        <v>349.14</v>
      </c>
      <c r="Z3" s="1">
        <f>IFERROR(__xludf.DUMMYFUNCTION("""COMPUTED_VALUE"""),35.94)</f>
        <v>35.94</v>
      </c>
      <c r="AA3" s="1">
        <f>IFERROR(__xludf.DUMMYFUNCTION("""COMPUTED_VALUE"""),63.58)</f>
        <v>63.58</v>
      </c>
      <c r="AB3" s="1">
        <f>IFERROR(__xludf.DUMMYFUNCTION("""COMPUTED_VALUE"""),97.64)</f>
        <v>97.64</v>
      </c>
      <c r="AC3" s="1">
        <f>IFERROR(__xludf.DUMMYFUNCTION("""COMPUTED_VALUE"""),143.09)</f>
        <v>143.09</v>
      </c>
      <c r="AD3" s="3">
        <f>IFERROR(__xludf.DUMMYFUNCTION("""COMPUTED_VALUE"""),120.2)</f>
        <v>120.2</v>
      </c>
      <c r="AE3" s="1">
        <f>IFERROR(__xludf.DUMMYFUNCTION("""COMPUTED_VALUE"""),510.24)</f>
        <v>510.24</v>
      </c>
      <c r="AF3" s="1">
        <f>IFERROR(__xludf.DUMMYFUNCTION("""COMPUTED_VALUE"""),51.99)</f>
        <v>51.99</v>
      </c>
      <c r="AG3" s="1">
        <f>IFERROR(__xludf.DUMMYFUNCTION("""COMPUTED_VALUE"""),117.91)</f>
        <v>117.91</v>
      </c>
      <c r="AH3" s="3">
        <f>IFERROR(__xludf.DUMMYFUNCTION("""COMPUTED_VALUE"""),266.89)</f>
        <v>266.89</v>
      </c>
      <c r="AI3" s="1">
        <f>IFERROR(__xludf.DUMMYFUNCTION("""COMPUTED_VALUE"""),405.73)</f>
        <v>405.73</v>
      </c>
      <c r="AJ3" s="1">
        <f>IFERROR(__xludf.DUMMYFUNCTION("""COMPUTED_VALUE"""),293.53)</f>
        <v>293.53</v>
      </c>
      <c r="AK3" s="3">
        <f>IFERROR(__xludf.DUMMYFUNCTION("""COMPUTED_VALUE"""),45.17)</f>
        <v>45.17</v>
      </c>
      <c r="AL3" s="1">
        <f>IFERROR(__xludf.DUMMYFUNCTION("""COMPUTED_VALUE"""),67.54)</f>
        <v>67.54</v>
      </c>
      <c r="AM3" s="1">
        <f>IFERROR(__xludf.DUMMYFUNCTION("""COMPUTED_VALUE"""),453.56)</f>
        <v>453.56</v>
      </c>
      <c r="AN3" s="1">
        <f>IFERROR(__xludf.DUMMYFUNCTION("""COMPUTED_VALUE"""),340.96)</f>
        <v>340.96</v>
      </c>
      <c r="AO3" s="1">
        <f>IFERROR(__xludf.DUMMYFUNCTION("""COMPUTED_VALUE"""),87.33)</f>
        <v>87.33</v>
      </c>
      <c r="AP3" s="1">
        <f>IFERROR(__xludf.DUMMYFUNCTION("""COMPUTED_VALUE"""),133.74)</f>
        <v>133.74</v>
      </c>
      <c r="AQ3" s="1">
        <f>IFERROR(__xludf.DUMMYFUNCTION("""COMPUTED_VALUE"""),380.88)</f>
        <v>380.88</v>
      </c>
      <c r="AR3" s="3">
        <f>IFERROR(__xludf.DUMMYFUNCTION("""COMPUTED_VALUE"""),198.73)</f>
        <v>198.73</v>
      </c>
      <c r="AS3" s="3">
        <f>IFERROR(__xludf.DUMMYFUNCTION("""COMPUTED_VALUE"""),470.56)</f>
        <v>470.56</v>
      </c>
      <c r="AT3" s="3">
        <f>IFERROR(__xludf.DUMMYFUNCTION("""COMPUTED_VALUE"""),347.16)</f>
        <v>347.16</v>
      </c>
      <c r="AU3" s="1">
        <f>IFERROR(__xludf.DUMMYFUNCTION("""COMPUTED_VALUE"""),25.69)</f>
        <v>25.69</v>
      </c>
      <c r="AV3" s="1">
        <f>IFERROR(__xludf.DUMMYFUNCTION("""COMPUTED_VALUE"""),83.52)</f>
        <v>83.52</v>
      </c>
      <c r="AW3" s="1">
        <f>IFERROR(__xludf.DUMMYFUNCTION("""COMPUTED_VALUE"""),72.41)</f>
        <v>72.41</v>
      </c>
      <c r="AX3" s="1">
        <f>IFERROR(__xludf.DUMMYFUNCTION("""COMPUTED_VALUE"""),16.35)</f>
        <v>16.35</v>
      </c>
      <c r="AY3" s="1">
        <f>IFERROR(__xludf.DUMMYFUNCTION("""COMPUTED_VALUE"""),413.72)</f>
        <v>413.72</v>
      </c>
      <c r="AZ3" s="3">
        <f>IFERROR(__xludf.DUMMYFUNCTION("""COMPUTED_VALUE"""),74.58)</f>
        <v>74.58</v>
      </c>
      <c r="BA3" s="3">
        <f>IFERROR(__xludf.DUMMYFUNCTION("""COMPUTED_VALUE"""),82.46)</f>
        <v>82.46</v>
      </c>
      <c r="BB3" s="3">
        <f>IFERROR(__xludf.DUMMYFUNCTION("""COMPUTED_VALUE"""),90.4)</f>
        <v>90.4</v>
      </c>
      <c r="BC3" s="1">
        <f>IFERROR(__xludf.DUMMYFUNCTION("""COMPUTED_VALUE"""),96.59)</f>
        <v>96.59</v>
      </c>
      <c r="BD3" s="1">
        <f>IFERROR(__xludf.DUMMYFUNCTION("""COMPUTED_VALUE"""),30.69)</f>
        <v>30.69</v>
      </c>
      <c r="BE3" s="1">
        <f>IFERROR(__xludf.DUMMYFUNCTION("""COMPUTED_VALUE"""),20.94)</f>
        <v>20.94</v>
      </c>
      <c r="BF3" s="1">
        <f>IFERROR(__xludf.DUMMYFUNCTION("""COMPUTED_VALUE"""),63.95)</f>
        <v>63.95</v>
      </c>
      <c r="BG3" s="1">
        <f>IFERROR(__xludf.DUMMYFUNCTION("""COMPUTED_VALUE"""),28.44)</f>
        <v>28.44</v>
      </c>
      <c r="BH3" s="1">
        <f>IFERROR(__xludf.DUMMYFUNCTION("""COMPUTED_VALUE"""),105.8)</f>
        <v>105.8</v>
      </c>
      <c r="BI3" s="1">
        <f>IFERROR(__xludf.DUMMYFUNCTION("""COMPUTED_VALUE"""),37.17)</f>
        <v>37.17</v>
      </c>
      <c r="BJ3" s="1">
        <f>IFERROR(__xludf.DUMMYFUNCTION("""COMPUTED_VALUE"""),163.35)</f>
        <v>163.35</v>
      </c>
      <c r="BK3" s="1">
        <f>IFERROR(__xludf.DUMMYFUNCTION("""COMPUTED_VALUE"""),590.7)</f>
        <v>590.7</v>
      </c>
      <c r="BL3" s="1">
        <f>IFERROR(__xludf.DUMMYFUNCTION("""COMPUTED_VALUE"""),215.64)</f>
        <v>215.64</v>
      </c>
      <c r="BM3" s="1">
        <f>IFERROR(__xludf.DUMMYFUNCTION("""COMPUTED_VALUE"""),132.04)</f>
        <v>132.04</v>
      </c>
      <c r="BN3" s="3">
        <f>IFERROR(__xludf.DUMMYFUNCTION("""COMPUTED_VALUE"""),6.78)</f>
        <v>6.78</v>
      </c>
      <c r="BO3" s="1">
        <f>IFERROR(__xludf.DUMMYFUNCTION("""COMPUTED_VALUE"""),245.68)</f>
        <v>245.68</v>
      </c>
      <c r="BP3" s="1">
        <f>IFERROR(__xludf.DUMMYFUNCTION("""COMPUTED_VALUE"""),511.74)</f>
        <v>511.74</v>
      </c>
      <c r="BQ3" s="36">
        <f>IFERROR(__xludf.DUMMYFUNCTION("""COMPUTED_VALUE"""),48.05)</f>
        <v>48.05</v>
      </c>
      <c r="BR3" s="1">
        <f>IFERROR(__xludf.DUMMYFUNCTION("""COMPUTED_VALUE"""),11.36)</f>
        <v>11.36</v>
      </c>
      <c r="BS3" s="1">
        <f>IFERROR(__xludf.DUMMYFUNCTION("""COMPUTED_VALUE"""),210.82)</f>
        <v>210.82</v>
      </c>
      <c r="BT3" s="1">
        <f>IFERROR(__xludf.DUMMYFUNCTION("""COMPUTED_VALUE"""),105.83)</f>
        <v>105.83</v>
      </c>
      <c r="BU3" s="3">
        <v>1.0</v>
      </c>
    </row>
    <row r="4">
      <c r="A4" s="25">
        <f>IFERROR(__xludf.DUMMYFUNCTION("""COMPUTED_VALUE"""),45426.66666666667)</f>
        <v>45426.66667</v>
      </c>
      <c r="B4" s="29">
        <f>'Master Scratch Work'!B3</f>
        <v>1220014.57</v>
      </c>
      <c r="C4" s="15">
        <f>IFERROR(__xludf.DUMMYFUNCTION("""COMPUTED_VALUE"""),5246.68)</f>
        <v>5246.68</v>
      </c>
      <c r="D4" s="15">
        <f>IFERROR(__xludf.DUMMYFUNCTION("""COMPUTED_VALUE"""),16511.18)</f>
        <v>16511.18</v>
      </c>
      <c r="E4" s="15">
        <f>IFERROR(__xludf.DUMMYFUNCTION("""COMPUTED_VALUE"""),39558.11)</f>
        <v>39558.11</v>
      </c>
      <c r="F4" s="15">
        <f>IFERROR(__xludf.DUMMYFUNCTION("""COMPUTED_VALUE"""),2085.69)</f>
        <v>2085.69</v>
      </c>
      <c r="G4" s="3">
        <f>IFERROR(__xludf.DUMMYFUNCTION("""COMPUTED_VALUE"""),523.3)</f>
        <v>523.3</v>
      </c>
      <c r="H4" s="3">
        <f>IFERROR(__xludf.DUMMYFUNCTION("""COMPUTED_VALUE"""),445.93)</f>
        <v>445.93</v>
      </c>
      <c r="I4" s="3">
        <f>IFERROR(__xludf.DUMMYFUNCTION("""COMPUTED_VALUE"""),475.95)</f>
        <v>475.95</v>
      </c>
      <c r="J4" s="3">
        <f>IFERROR(__xludf.DUMMYFUNCTION("""COMPUTED_VALUE"""),187.07)</f>
        <v>187.07</v>
      </c>
      <c r="K4" s="3">
        <f>IFERROR(__xludf.DUMMYFUNCTION("""COMPUTED_VALUE"""),133.13)</f>
        <v>133.13</v>
      </c>
      <c r="L4" s="3">
        <f>IFERROR(__xludf.DUMMYFUNCTION("""COMPUTED_VALUE"""),187.43)</f>
        <v>187.43</v>
      </c>
      <c r="M4" s="3">
        <f>IFERROR(__xludf.DUMMYFUNCTION("""COMPUTED_VALUE"""),209.82)</f>
        <v>209.82</v>
      </c>
      <c r="N4" s="3">
        <f>IFERROR(__xludf.DUMMYFUNCTION("""COMPUTED_VALUE"""),58.35)</f>
        <v>58.35</v>
      </c>
      <c r="O4" s="3">
        <f>IFERROR(__xludf.DUMMYFUNCTION("""COMPUTED_VALUE"""),11.04)</f>
        <v>11.04</v>
      </c>
      <c r="P4" s="3">
        <f>IFERROR(__xludf.DUMMYFUNCTION("""COMPUTED_VALUE"""),410.24)</f>
        <v>410.24</v>
      </c>
      <c r="Q4" s="3">
        <f>IFERROR(__xludf.DUMMYFUNCTION("""COMPUTED_VALUE"""),58.79)</f>
        <v>58.79</v>
      </c>
      <c r="R4" s="3">
        <f>IFERROR(__xludf.DUMMYFUNCTION("""COMPUTED_VALUE"""),226.88)</f>
        <v>226.88</v>
      </c>
      <c r="S4" s="3">
        <f>IFERROR(__xludf.DUMMYFUNCTION("""COMPUTED_VALUE"""),73.49)</f>
        <v>73.49</v>
      </c>
      <c r="T4" s="3">
        <f>IFERROR(__xludf.DUMMYFUNCTION("""COMPUTED_VALUE"""),64.96)</f>
        <v>64.96</v>
      </c>
      <c r="U4" s="3">
        <f>IFERROR(__xludf.DUMMYFUNCTION("""COMPUTED_VALUE"""),358.18)</f>
        <v>358.18</v>
      </c>
      <c r="V4" s="3">
        <f>IFERROR(__xludf.DUMMYFUNCTION("""COMPUTED_VALUE"""),49.98)</f>
        <v>49.98</v>
      </c>
      <c r="W4" s="3">
        <f>IFERROR(__xludf.DUMMYFUNCTION("""COMPUTED_VALUE"""),148.91)</f>
        <v>148.91</v>
      </c>
      <c r="X4" s="3">
        <f>IFERROR(__xludf.DUMMYFUNCTION("""COMPUTED_VALUE"""),163.61)</f>
        <v>163.61</v>
      </c>
      <c r="Y4" s="1">
        <f>IFERROR(__xludf.DUMMYFUNCTION("""COMPUTED_VALUE"""),346.42)</f>
        <v>346.42</v>
      </c>
      <c r="Z4" s="1">
        <f>IFERROR(__xludf.DUMMYFUNCTION("""COMPUTED_VALUE"""),36.43)</f>
        <v>36.43</v>
      </c>
      <c r="AA4" s="1">
        <f>IFERROR(__xludf.DUMMYFUNCTION("""COMPUTED_VALUE"""),63.1)</f>
        <v>63.1</v>
      </c>
      <c r="AB4" s="1">
        <f>IFERROR(__xludf.DUMMYFUNCTION("""COMPUTED_VALUE"""),96.64)</f>
        <v>96.64</v>
      </c>
      <c r="AC4" s="1">
        <f>IFERROR(__xludf.DUMMYFUNCTION("""COMPUTED_VALUE"""),141.86)</f>
        <v>141.86</v>
      </c>
      <c r="AD4" s="3">
        <f>IFERROR(__xludf.DUMMYFUNCTION("""COMPUTED_VALUE"""),118.88)</f>
        <v>118.88</v>
      </c>
      <c r="AE4" s="1">
        <f>IFERROR(__xludf.DUMMYFUNCTION("""COMPUTED_VALUE"""),510.71)</f>
        <v>510.71</v>
      </c>
      <c r="AF4" s="1">
        <f>IFERROR(__xludf.DUMMYFUNCTION("""COMPUTED_VALUE"""),52.1)</f>
        <v>52.1</v>
      </c>
      <c r="AG4" s="1">
        <f>IFERROR(__xludf.DUMMYFUNCTION("""COMPUTED_VALUE"""),117.67)</f>
        <v>117.67</v>
      </c>
      <c r="AH4" s="3">
        <f>IFERROR(__xludf.DUMMYFUNCTION("""COMPUTED_VALUE"""),259.04)</f>
        <v>259.04</v>
      </c>
      <c r="AI4" s="1">
        <f>IFERROR(__xludf.DUMMYFUNCTION("""COMPUTED_VALUE"""),411.02)</f>
        <v>411.02</v>
      </c>
      <c r="AJ4" s="1">
        <f>IFERROR(__xludf.DUMMYFUNCTION("""COMPUTED_VALUE"""),294.06)</f>
        <v>294.06</v>
      </c>
      <c r="AK4" s="3">
        <f>IFERROR(__xludf.DUMMYFUNCTION("""COMPUTED_VALUE"""),45.03)</f>
        <v>45.03</v>
      </c>
      <c r="AL4" s="1">
        <f>IFERROR(__xludf.DUMMYFUNCTION("""COMPUTED_VALUE"""),67.65)</f>
        <v>67.65</v>
      </c>
      <c r="AM4" s="1">
        <f>IFERROR(__xludf.DUMMYFUNCTION("""COMPUTED_VALUE"""),458.47)</f>
        <v>458.47</v>
      </c>
      <c r="AN4" s="1">
        <f>IFERROR(__xludf.DUMMYFUNCTION("""COMPUTED_VALUE"""),340.5)</f>
        <v>340.5</v>
      </c>
      <c r="AO4" s="1">
        <f>IFERROR(__xludf.DUMMYFUNCTION("""COMPUTED_VALUE"""),87.12)</f>
        <v>87.12</v>
      </c>
      <c r="AP4" s="1">
        <f>IFERROR(__xludf.DUMMYFUNCTION("""COMPUTED_VALUE"""),134.39)</f>
        <v>134.39</v>
      </c>
      <c r="AQ4" s="1">
        <f>IFERROR(__xludf.DUMMYFUNCTION("""COMPUTED_VALUE"""),384.19)</f>
        <v>384.19</v>
      </c>
      <c r="AR4" s="3">
        <f>IFERROR(__xludf.DUMMYFUNCTION("""COMPUTED_VALUE"""),201.51)</f>
        <v>201.51</v>
      </c>
      <c r="AS4" s="3">
        <f>IFERROR(__xludf.DUMMYFUNCTION("""COMPUTED_VALUE"""),467.18)</f>
        <v>467.18</v>
      </c>
      <c r="AT4" s="3">
        <f>IFERROR(__xludf.DUMMYFUNCTION("""COMPUTED_VALUE"""),352.35)</f>
        <v>352.35</v>
      </c>
      <c r="AU4" s="1">
        <f>IFERROR(__xludf.DUMMYFUNCTION("""COMPUTED_VALUE"""),26.01)</f>
        <v>26.01</v>
      </c>
      <c r="AV4" s="1">
        <f>IFERROR(__xludf.DUMMYFUNCTION("""COMPUTED_VALUE"""),84.3)</f>
        <v>84.3</v>
      </c>
      <c r="AW4" s="1">
        <f>IFERROR(__xludf.DUMMYFUNCTION("""COMPUTED_VALUE"""),73.31)</f>
        <v>73.31</v>
      </c>
      <c r="AX4" s="1">
        <f>IFERROR(__xludf.DUMMYFUNCTION("""COMPUTED_VALUE"""),18.42)</f>
        <v>18.42</v>
      </c>
      <c r="AY4" s="1">
        <f>IFERROR(__xludf.DUMMYFUNCTION("""COMPUTED_VALUE"""),416.56)</f>
        <v>416.56</v>
      </c>
      <c r="AZ4" s="3">
        <f>IFERROR(__xludf.DUMMYFUNCTION("""COMPUTED_VALUE"""),75.42)</f>
        <v>75.42</v>
      </c>
      <c r="BA4" s="3">
        <f>IFERROR(__xludf.DUMMYFUNCTION("""COMPUTED_VALUE"""),82.08)</f>
        <v>82.08</v>
      </c>
      <c r="BB4" s="3">
        <f>IFERROR(__xludf.DUMMYFUNCTION("""COMPUTED_VALUE"""),91.36)</f>
        <v>91.36</v>
      </c>
      <c r="BC4" s="1">
        <f>IFERROR(__xludf.DUMMYFUNCTION("""COMPUTED_VALUE"""),97.07)</f>
        <v>97.07</v>
      </c>
      <c r="BD4" s="1">
        <f>IFERROR(__xludf.DUMMYFUNCTION("""COMPUTED_VALUE"""),36.3)</f>
        <v>36.3</v>
      </c>
      <c r="BE4" s="1">
        <f>IFERROR(__xludf.DUMMYFUNCTION("""COMPUTED_VALUE"""),21.44)</f>
        <v>21.44</v>
      </c>
      <c r="BF4" s="1">
        <f>IFERROR(__xludf.DUMMYFUNCTION("""COMPUTED_VALUE"""),64.58)</f>
        <v>64.58</v>
      </c>
      <c r="BG4" s="1">
        <f>IFERROR(__xludf.DUMMYFUNCTION("""COMPUTED_VALUE"""),28.38)</f>
        <v>28.38</v>
      </c>
      <c r="BH4" s="1">
        <f>IFERROR(__xludf.DUMMYFUNCTION("""COMPUTED_VALUE"""),105.7)</f>
        <v>105.7</v>
      </c>
      <c r="BI4" s="1">
        <f>IFERROR(__xludf.DUMMYFUNCTION("""COMPUTED_VALUE"""),37.38)</f>
        <v>37.38</v>
      </c>
      <c r="BJ4" s="1">
        <f>IFERROR(__xludf.DUMMYFUNCTION("""COMPUTED_VALUE"""),162.41)</f>
        <v>162.41</v>
      </c>
      <c r="BK4" s="1">
        <f>IFERROR(__xludf.DUMMYFUNCTION("""COMPUTED_VALUE"""),594.8)</f>
        <v>594.8</v>
      </c>
      <c r="BL4" s="1">
        <f>IFERROR(__xludf.DUMMYFUNCTION("""COMPUTED_VALUE"""),217.12)</f>
        <v>217.12</v>
      </c>
      <c r="BM4" s="1">
        <f>IFERROR(__xludf.DUMMYFUNCTION("""COMPUTED_VALUE"""),132.44)</f>
        <v>132.44</v>
      </c>
      <c r="BN4" s="3">
        <f>IFERROR(__xludf.DUMMYFUNCTION("""COMPUTED_VALUE"""),6.83)</f>
        <v>6.83</v>
      </c>
      <c r="BO4" s="1">
        <f>IFERROR(__xludf.DUMMYFUNCTION("""COMPUTED_VALUE"""),244.94)</f>
        <v>244.94</v>
      </c>
      <c r="BP4" s="1">
        <f>IFERROR(__xludf.DUMMYFUNCTION("""COMPUTED_VALUE"""),513.88)</f>
        <v>513.88</v>
      </c>
      <c r="BQ4" s="36">
        <f>IFERROR(__xludf.DUMMYFUNCTION("""COMPUTED_VALUE"""),48.09)</f>
        <v>48.09</v>
      </c>
      <c r="BR4" s="1">
        <f>IFERROR(__xludf.DUMMYFUNCTION("""COMPUTED_VALUE"""),11.14)</f>
        <v>11.14</v>
      </c>
      <c r="BS4" s="1">
        <f>IFERROR(__xludf.DUMMYFUNCTION("""COMPUTED_VALUE"""),209.86)</f>
        <v>209.86</v>
      </c>
      <c r="BT4" s="1">
        <f>IFERROR(__xludf.DUMMYFUNCTION("""COMPUTED_VALUE"""),105.35)</f>
        <v>105.35</v>
      </c>
      <c r="BU4" s="3">
        <v>1.0</v>
      </c>
    </row>
    <row r="5">
      <c r="A5" s="25">
        <f>IFERROR(__xludf.DUMMYFUNCTION("""COMPUTED_VALUE"""),45427.66666666667)</f>
        <v>45427.66667</v>
      </c>
      <c r="B5" s="29">
        <f>'Master Scratch Work'!B4</f>
        <v>1229156.24</v>
      </c>
      <c r="C5" s="15">
        <f>IFERROR(__xludf.DUMMYFUNCTION("""COMPUTED_VALUE"""),5308.15)</f>
        <v>5308.15</v>
      </c>
      <c r="D5" s="15">
        <f>IFERROR(__xludf.DUMMYFUNCTION("""COMPUTED_VALUE"""),16742.39)</f>
        <v>16742.39</v>
      </c>
      <c r="E5" s="15">
        <f>IFERROR(__xludf.DUMMYFUNCTION("""COMPUTED_VALUE"""),39908.0)</f>
        <v>39908</v>
      </c>
      <c r="F5" s="15">
        <f>IFERROR(__xludf.DUMMYFUNCTION("""COMPUTED_VALUE"""),2109.46)</f>
        <v>2109.46</v>
      </c>
      <c r="G5" s="3">
        <f>IFERROR(__xludf.DUMMYFUNCTION("""COMPUTED_VALUE"""),529.78)</f>
        <v>529.78</v>
      </c>
      <c r="H5" s="3">
        <f>IFERROR(__xludf.DUMMYFUNCTION("""COMPUTED_VALUE"""),452.9)</f>
        <v>452.9</v>
      </c>
      <c r="I5" s="3">
        <f>IFERROR(__xludf.DUMMYFUNCTION("""COMPUTED_VALUE"""),485.35)</f>
        <v>485.35</v>
      </c>
      <c r="J5" s="3">
        <f>IFERROR(__xludf.DUMMYFUNCTION("""COMPUTED_VALUE"""),185.99)</f>
        <v>185.99</v>
      </c>
      <c r="K5" s="3">
        <f>IFERROR(__xludf.DUMMYFUNCTION("""COMPUTED_VALUE"""),133.75)</f>
        <v>133.75</v>
      </c>
      <c r="L5" s="3">
        <f>IFERROR(__xludf.DUMMYFUNCTION("""COMPUTED_VALUE"""),189.72)</f>
        <v>189.72</v>
      </c>
      <c r="M5" s="3">
        <f>IFERROR(__xludf.DUMMYFUNCTION("""COMPUTED_VALUE"""),217.49)</f>
        <v>217.49</v>
      </c>
      <c r="N5" s="3">
        <f>IFERROR(__xludf.DUMMYFUNCTION("""COMPUTED_VALUE"""),58.8)</f>
        <v>58.8</v>
      </c>
      <c r="O5" s="3">
        <f>IFERROR(__xludf.DUMMYFUNCTION("""COMPUTED_VALUE"""),10.94)</f>
        <v>10.94</v>
      </c>
      <c r="P5" s="3">
        <f>IFERROR(__xludf.DUMMYFUNCTION("""COMPUTED_VALUE"""),412.76)</f>
        <v>412.76</v>
      </c>
      <c r="Q5" s="3">
        <f>IFERROR(__xludf.DUMMYFUNCTION("""COMPUTED_VALUE"""),59.27)</f>
        <v>59.27</v>
      </c>
      <c r="R5" s="3">
        <f>IFERROR(__xludf.DUMMYFUNCTION("""COMPUTED_VALUE"""),235.32)</f>
        <v>235.32</v>
      </c>
      <c r="S5" s="3">
        <f>IFERROR(__xludf.DUMMYFUNCTION("""COMPUTED_VALUE"""),74.45)</f>
        <v>74.45</v>
      </c>
      <c r="T5" s="3">
        <f>IFERROR(__xludf.DUMMYFUNCTION("""COMPUTED_VALUE"""),65.8)</f>
        <v>65.8</v>
      </c>
      <c r="U5" s="3">
        <f>IFERROR(__xludf.DUMMYFUNCTION("""COMPUTED_VALUE"""),360.04)</f>
        <v>360.04</v>
      </c>
      <c r="V5" s="3">
        <f>IFERROR(__xludf.DUMMYFUNCTION("""COMPUTED_VALUE"""),49.97)</f>
        <v>49.97</v>
      </c>
      <c r="W5" s="3">
        <f>IFERROR(__xludf.DUMMYFUNCTION("""COMPUTED_VALUE"""),149.0)</f>
        <v>149</v>
      </c>
      <c r="X5" s="3">
        <f>IFERROR(__xludf.DUMMYFUNCTION("""COMPUTED_VALUE"""),163.05)</f>
        <v>163.05</v>
      </c>
      <c r="Y5" s="1">
        <f>IFERROR(__xludf.DUMMYFUNCTION("""COMPUTED_VALUE"""),343.28)</f>
        <v>343.28</v>
      </c>
      <c r="Z5" s="1">
        <f>IFERROR(__xludf.DUMMYFUNCTION("""COMPUTED_VALUE"""),36.84)</f>
        <v>36.84</v>
      </c>
      <c r="AA5" s="1">
        <f>IFERROR(__xludf.DUMMYFUNCTION("""COMPUTED_VALUE"""),63.13)</f>
        <v>63.13</v>
      </c>
      <c r="AB5" s="1">
        <f>IFERROR(__xludf.DUMMYFUNCTION("""COMPUTED_VALUE"""),96.91)</f>
        <v>96.91</v>
      </c>
      <c r="AC5" s="1">
        <f>IFERROR(__xludf.DUMMYFUNCTION("""COMPUTED_VALUE"""),144.64)</f>
        <v>144.64</v>
      </c>
      <c r="AD5" s="3">
        <f>IFERROR(__xludf.DUMMYFUNCTION("""COMPUTED_VALUE"""),118.8)</f>
        <v>118.8</v>
      </c>
      <c r="AE5" s="1">
        <f>IFERROR(__xludf.DUMMYFUNCTION("""COMPUTED_VALUE"""),517.68)</f>
        <v>517.68</v>
      </c>
      <c r="AF5" s="1">
        <f>IFERROR(__xludf.DUMMYFUNCTION("""COMPUTED_VALUE"""),52.42)</f>
        <v>52.42</v>
      </c>
      <c r="AG5" s="1">
        <f>IFERROR(__xludf.DUMMYFUNCTION("""COMPUTED_VALUE"""),118.58)</f>
        <v>118.58</v>
      </c>
      <c r="AH5" s="3">
        <f>IFERROR(__xludf.DUMMYFUNCTION("""COMPUTED_VALUE"""),259.32)</f>
        <v>259.32</v>
      </c>
      <c r="AI5" s="1">
        <f>IFERROR(__xludf.DUMMYFUNCTION("""COMPUTED_VALUE"""),417.21)</f>
        <v>417.21</v>
      </c>
      <c r="AJ5" s="1">
        <f>IFERROR(__xludf.DUMMYFUNCTION("""COMPUTED_VALUE"""),294.59)</f>
        <v>294.59</v>
      </c>
      <c r="AK5" s="3">
        <f>IFERROR(__xludf.DUMMYFUNCTION("""COMPUTED_VALUE"""),45.49)</f>
        <v>45.49</v>
      </c>
      <c r="AL5" s="1">
        <f>IFERROR(__xludf.DUMMYFUNCTION("""COMPUTED_VALUE"""),67.01)</f>
        <v>67.01</v>
      </c>
      <c r="AM5" s="1">
        <f>IFERROR(__xludf.DUMMYFUNCTION("""COMPUTED_VALUE"""),466.09)</f>
        <v>466.09</v>
      </c>
      <c r="AN5" s="1">
        <f>IFERROR(__xludf.DUMMYFUNCTION("""COMPUTED_VALUE"""),348.67)</f>
        <v>348.67</v>
      </c>
      <c r="AO5" s="1">
        <f>IFERROR(__xludf.DUMMYFUNCTION("""COMPUTED_VALUE"""),86.6)</f>
        <v>86.6</v>
      </c>
      <c r="AP5" s="1">
        <f>IFERROR(__xludf.DUMMYFUNCTION("""COMPUTED_VALUE"""),137.87)</f>
        <v>137.87</v>
      </c>
      <c r="AQ5" s="1">
        <f>IFERROR(__xludf.DUMMYFUNCTION("""COMPUTED_VALUE"""),399.39)</f>
        <v>399.39</v>
      </c>
      <c r="AR5" s="3">
        <f>IFERROR(__xludf.DUMMYFUNCTION("""COMPUTED_VALUE"""),202.11)</f>
        <v>202.11</v>
      </c>
      <c r="AS5" s="3">
        <f>IFERROR(__xludf.DUMMYFUNCTION("""COMPUTED_VALUE"""),464.08)</f>
        <v>464.08</v>
      </c>
      <c r="AT5" s="3">
        <f>IFERROR(__xludf.DUMMYFUNCTION("""COMPUTED_VALUE"""),346.85)</f>
        <v>346.85</v>
      </c>
      <c r="AU5" s="1">
        <f>IFERROR(__xludf.DUMMYFUNCTION("""COMPUTED_VALUE"""),26.15)</f>
        <v>26.15</v>
      </c>
      <c r="AV5" s="1">
        <f>IFERROR(__xludf.DUMMYFUNCTION("""COMPUTED_VALUE"""),84.72)</f>
        <v>84.72</v>
      </c>
      <c r="AW5" s="1">
        <f>IFERROR(__xludf.DUMMYFUNCTION("""COMPUTED_VALUE"""),73.13)</f>
        <v>73.13</v>
      </c>
      <c r="AX5" s="1">
        <f>IFERROR(__xludf.DUMMYFUNCTION("""COMPUTED_VALUE"""),17.93)</f>
        <v>17.93</v>
      </c>
      <c r="AY5" s="1">
        <f>IFERROR(__xludf.DUMMYFUNCTION("""COMPUTED_VALUE"""),423.08)</f>
        <v>423.08</v>
      </c>
      <c r="AZ5" s="3">
        <f>IFERROR(__xludf.DUMMYFUNCTION("""COMPUTED_VALUE"""),77.05)</f>
        <v>77.05</v>
      </c>
      <c r="BA5" s="3">
        <f>IFERROR(__xludf.DUMMYFUNCTION("""COMPUTED_VALUE"""),84.49)</f>
        <v>84.49</v>
      </c>
      <c r="BB5" s="3">
        <f>IFERROR(__xludf.DUMMYFUNCTION("""COMPUTED_VALUE"""),94.63)</f>
        <v>94.63</v>
      </c>
      <c r="BC5" s="1">
        <f>IFERROR(__xludf.DUMMYFUNCTION("""COMPUTED_VALUE"""),97.27)</f>
        <v>97.27</v>
      </c>
      <c r="BD5" s="1">
        <f>IFERROR(__xludf.DUMMYFUNCTION("""COMPUTED_VALUE"""),36.42)</f>
        <v>36.42</v>
      </c>
      <c r="BE5" s="1">
        <f>IFERROR(__xludf.DUMMYFUNCTION("""COMPUTED_VALUE"""),21.67)</f>
        <v>21.67</v>
      </c>
      <c r="BF5" s="1">
        <f>IFERROR(__xludf.DUMMYFUNCTION("""COMPUTED_VALUE"""),63.9)</f>
        <v>63.9</v>
      </c>
      <c r="BG5" s="1">
        <f>IFERROR(__xludf.DUMMYFUNCTION("""COMPUTED_VALUE"""),28.82)</f>
        <v>28.82</v>
      </c>
      <c r="BH5" s="1">
        <f>IFERROR(__xludf.DUMMYFUNCTION("""COMPUTED_VALUE"""),105.35)</f>
        <v>105.35</v>
      </c>
      <c r="BI5" s="1">
        <f>IFERROR(__xludf.DUMMYFUNCTION("""COMPUTED_VALUE"""),39.39)</f>
        <v>39.39</v>
      </c>
      <c r="BJ5" s="1">
        <f>IFERROR(__xludf.DUMMYFUNCTION("""COMPUTED_VALUE"""),162.68)</f>
        <v>162.68</v>
      </c>
      <c r="BK5" s="1">
        <f>IFERROR(__xludf.DUMMYFUNCTION("""COMPUTED_VALUE"""),599.02)</f>
        <v>599.02</v>
      </c>
      <c r="BL5" s="1">
        <f>IFERROR(__xludf.DUMMYFUNCTION("""COMPUTED_VALUE"""),219.55)</f>
        <v>219.55</v>
      </c>
      <c r="BM5" s="1">
        <f>IFERROR(__xludf.DUMMYFUNCTION("""COMPUTED_VALUE"""),136.14)</f>
        <v>136.14</v>
      </c>
      <c r="BN5" s="3">
        <f>IFERROR(__xludf.DUMMYFUNCTION("""COMPUTED_VALUE"""),6.8)</f>
        <v>6.8</v>
      </c>
      <c r="BO5" s="1">
        <f>IFERROR(__xludf.DUMMYFUNCTION("""COMPUTED_VALUE"""),246.54)</f>
        <v>246.54</v>
      </c>
      <c r="BP5" s="1">
        <f>IFERROR(__xludf.DUMMYFUNCTION("""COMPUTED_VALUE"""),517.55)</f>
        <v>517.55</v>
      </c>
      <c r="BQ5" s="36">
        <f>IFERROR(__xludf.DUMMYFUNCTION("""COMPUTED_VALUE"""),48.16)</f>
        <v>48.16</v>
      </c>
      <c r="BR5" s="1">
        <f>IFERROR(__xludf.DUMMYFUNCTION("""COMPUTED_VALUE"""),11.07)</f>
        <v>11.07</v>
      </c>
      <c r="BS5" s="1">
        <f>IFERROR(__xludf.DUMMYFUNCTION("""COMPUTED_VALUE"""),209.0)</f>
        <v>209</v>
      </c>
      <c r="BT5" s="1">
        <f>IFERROR(__xludf.DUMMYFUNCTION("""COMPUTED_VALUE"""),102.77)</f>
        <v>102.77</v>
      </c>
      <c r="BU5" s="3">
        <v>1.0</v>
      </c>
    </row>
    <row r="6">
      <c r="A6" s="25">
        <f>IFERROR(__xludf.DUMMYFUNCTION("""COMPUTED_VALUE"""),45428.66666666667)</f>
        <v>45428.66667</v>
      </c>
      <c r="B6" s="29">
        <f>'Master Scratch Work'!B5</f>
        <v>1226060.75</v>
      </c>
      <c r="C6" s="15">
        <f>IFERROR(__xludf.DUMMYFUNCTION("""COMPUTED_VALUE"""),5297.1)</f>
        <v>5297.1</v>
      </c>
      <c r="D6" s="15">
        <f>IFERROR(__xludf.DUMMYFUNCTION("""COMPUTED_VALUE"""),16698.32)</f>
        <v>16698.32</v>
      </c>
      <c r="E6" s="15">
        <f>IFERROR(__xludf.DUMMYFUNCTION("""COMPUTED_VALUE"""),39869.38)</f>
        <v>39869.38</v>
      </c>
      <c r="F6" s="15">
        <f>IFERROR(__xludf.DUMMYFUNCTION("""COMPUTED_VALUE"""),2096.25)</f>
        <v>2096.25</v>
      </c>
      <c r="G6" s="3">
        <f>IFERROR(__xludf.DUMMYFUNCTION("""COMPUTED_VALUE"""),528.69)</f>
        <v>528.69</v>
      </c>
      <c r="H6" s="3">
        <f>IFERROR(__xludf.DUMMYFUNCTION("""COMPUTED_VALUE"""),451.98)</f>
        <v>451.98</v>
      </c>
      <c r="I6" s="3">
        <f>IFERROR(__xludf.DUMMYFUNCTION("""COMPUTED_VALUE"""),482.88)</f>
        <v>482.88</v>
      </c>
      <c r="J6" s="3">
        <f>IFERROR(__xludf.DUMMYFUNCTION("""COMPUTED_VALUE"""),183.63)</f>
        <v>183.63</v>
      </c>
      <c r="K6" s="3">
        <f>IFERROR(__xludf.DUMMYFUNCTION("""COMPUTED_VALUE"""),134.27)</f>
        <v>134.27</v>
      </c>
      <c r="L6" s="3">
        <f>IFERROR(__xludf.DUMMYFUNCTION("""COMPUTED_VALUE"""),189.84)</f>
        <v>189.84</v>
      </c>
      <c r="M6" s="3">
        <f>IFERROR(__xludf.DUMMYFUNCTION("""COMPUTED_VALUE"""),214.03)</f>
        <v>214.03</v>
      </c>
      <c r="N6" s="3">
        <f>IFERROR(__xludf.DUMMYFUNCTION("""COMPUTED_VALUE"""),58.77)</f>
        <v>58.77</v>
      </c>
      <c r="O6" s="3">
        <f>IFERROR(__xludf.DUMMYFUNCTION("""COMPUTED_VALUE"""),10.94)</f>
        <v>10.94</v>
      </c>
      <c r="P6" s="3">
        <f>IFERROR(__xludf.DUMMYFUNCTION("""COMPUTED_VALUE"""),413.12)</f>
        <v>413.12</v>
      </c>
      <c r="Q6" s="3">
        <f>IFERROR(__xludf.DUMMYFUNCTION("""COMPUTED_VALUE"""),60.02)</f>
        <v>60.02</v>
      </c>
      <c r="R6" s="3">
        <f>IFERROR(__xludf.DUMMYFUNCTION("""COMPUTED_VALUE"""),230.04)</f>
        <v>230.04</v>
      </c>
      <c r="S6" s="3">
        <f>IFERROR(__xludf.DUMMYFUNCTION("""COMPUTED_VALUE"""),74.55)</f>
        <v>74.55</v>
      </c>
      <c r="T6" s="3">
        <f>IFERROR(__xludf.DUMMYFUNCTION("""COMPUTED_VALUE"""),65.0)</f>
        <v>65</v>
      </c>
      <c r="U6" s="3">
        <f>IFERROR(__xludf.DUMMYFUNCTION("""COMPUTED_VALUE"""),350.72)</f>
        <v>350.72</v>
      </c>
      <c r="V6" s="3">
        <f>IFERROR(__xludf.DUMMYFUNCTION("""COMPUTED_VALUE"""),49.83)</f>
        <v>49.83</v>
      </c>
      <c r="W6" s="3">
        <f>IFERROR(__xludf.DUMMYFUNCTION("""COMPUTED_VALUE"""),151.1)</f>
        <v>151.1</v>
      </c>
      <c r="X6" s="3">
        <f>IFERROR(__xludf.DUMMYFUNCTION("""COMPUTED_VALUE"""),161.09)</f>
        <v>161.09</v>
      </c>
      <c r="Y6" s="1">
        <f>IFERROR(__xludf.DUMMYFUNCTION("""COMPUTED_VALUE"""),339.26)</f>
        <v>339.26</v>
      </c>
      <c r="Z6" s="1">
        <f>IFERROR(__xludf.DUMMYFUNCTION("""COMPUTED_VALUE"""),36.52)</f>
        <v>36.52</v>
      </c>
      <c r="AA6" s="1">
        <f>IFERROR(__xludf.DUMMYFUNCTION("""COMPUTED_VALUE"""),63.32)</f>
        <v>63.32</v>
      </c>
      <c r="AB6" s="1">
        <f>IFERROR(__xludf.DUMMYFUNCTION("""COMPUTED_VALUE"""),96.91)</f>
        <v>96.91</v>
      </c>
      <c r="AC6" s="1">
        <f>IFERROR(__xludf.DUMMYFUNCTION("""COMPUTED_VALUE"""),144.94)</f>
        <v>144.94</v>
      </c>
      <c r="AD6" s="3">
        <f>IFERROR(__xludf.DUMMYFUNCTION("""COMPUTED_VALUE"""),121.3)</f>
        <v>121.3</v>
      </c>
      <c r="AE6" s="1">
        <f>IFERROR(__xludf.DUMMYFUNCTION("""COMPUTED_VALUE"""),513.3)</f>
        <v>513.3</v>
      </c>
      <c r="AF6" s="1">
        <f>IFERROR(__xludf.DUMMYFUNCTION("""COMPUTED_VALUE"""),52.7)</f>
        <v>52.7</v>
      </c>
      <c r="AG6" s="1">
        <f>IFERROR(__xludf.DUMMYFUNCTION("""COMPUTED_VALUE"""),117.87)</f>
        <v>117.87</v>
      </c>
      <c r="AH6" s="3">
        <f>IFERROR(__xludf.DUMMYFUNCTION("""COMPUTED_VALUE"""),258.78)</f>
        <v>258.78</v>
      </c>
      <c r="AI6" s="1">
        <f>IFERROR(__xludf.DUMMYFUNCTION("""COMPUTED_VALUE"""),419.57)</f>
        <v>419.57</v>
      </c>
      <c r="AJ6" s="1">
        <f>IFERROR(__xludf.DUMMYFUNCTION("""COMPUTED_VALUE"""),295.75)</f>
        <v>295.75</v>
      </c>
      <c r="AK6" s="3">
        <f>IFERROR(__xludf.DUMMYFUNCTION("""COMPUTED_VALUE"""),45.87)</f>
        <v>45.87</v>
      </c>
      <c r="AL6" s="1">
        <f>IFERROR(__xludf.DUMMYFUNCTION("""COMPUTED_VALUE"""),67.86)</f>
        <v>67.86</v>
      </c>
      <c r="AM6" s="1">
        <f>IFERROR(__xludf.DUMMYFUNCTION("""COMPUTED_VALUE"""),464.52)</f>
        <v>464.52</v>
      </c>
      <c r="AN6" s="1">
        <f>IFERROR(__xludf.DUMMYFUNCTION("""COMPUTED_VALUE"""),342.73)</f>
        <v>342.73</v>
      </c>
      <c r="AO6" s="1">
        <f>IFERROR(__xludf.DUMMYFUNCTION("""COMPUTED_VALUE"""),87.72)</f>
        <v>87.72</v>
      </c>
      <c r="AP6" s="1">
        <f>IFERROR(__xludf.DUMMYFUNCTION("""COMPUTED_VALUE"""),137.11)</f>
        <v>137.11</v>
      </c>
      <c r="AQ6" s="1">
        <f>IFERROR(__xludf.DUMMYFUNCTION("""COMPUTED_VALUE"""),396.43)</f>
        <v>396.43</v>
      </c>
      <c r="AR6" s="3">
        <f>IFERROR(__xludf.DUMMYFUNCTION("""COMPUTED_VALUE"""),202.47)</f>
        <v>202.47</v>
      </c>
      <c r="AS6" s="3">
        <f>IFERROR(__xludf.DUMMYFUNCTION("""COMPUTED_VALUE"""),464.83)</f>
        <v>464.83</v>
      </c>
      <c r="AT6" s="3">
        <f>IFERROR(__xludf.DUMMYFUNCTION("""COMPUTED_VALUE"""),338.28)</f>
        <v>338.28</v>
      </c>
      <c r="AU6" s="1">
        <f>IFERROR(__xludf.DUMMYFUNCTION("""COMPUTED_VALUE"""),26.39)</f>
        <v>26.39</v>
      </c>
      <c r="AV6" s="1">
        <f>IFERROR(__xludf.DUMMYFUNCTION("""COMPUTED_VALUE"""),85.64)</f>
        <v>85.64</v>
      </c>
      <c r="AW6" s="1">
        <f>IFERROR(__xludf.DUMMYFUNCTION("""COMPUTED_VALUE"""),73.47)</f>
        <v>73.47</v>
      </c>
      <c r="AX6" s="1">
        <f>IFERROR(__xludf.DUMMYFUNCTION("""COMPUTED_VALUE"""),18.08)</f>
        <v>18.08</v>
      </c>
      <c r="AY6" s="1">
        <f>IFERROR(__xludf.DUMMYFUNCTION("""COMPUTED_VALUE"""),420.99)</f>
        <v>420.99</v>
      </c>
      <c r="AZ6" s="3">
        <f>IFERROR(__xludf.DUMMYFUNCTION("""COMPUTED_VALUE"""),76.41)</f>
        <v>76.41</v>
      </c>
      <c r="BA6" s="3">
        <f>IFERROR(__xludf.DUMMYFUNCTION("""COMPUTED_VALUE"""),82.93)</f>
        <v>82.93</v>
      </c>
      <c r="BB6" s="3">
        <f>IFERROR(__xludf.DUMMYFUNCTION("""COMPUTED_VALUE"""),94.36)</f>
        <v>94.36</v>
      </c>
      <c r="BC6" s="1">
        <f>IFERROR(__xludf.DUMMYFUNCTION("""COMPUTED_VALUE"""),96.56)</f>
        <v>96.56</v>
      </c>
      <c r="BD6" s="1">
        <f>IFERROR(__xludf.DUMMYFUNCTION("""COMPUTED_VALUE"""),36.64)</f>
        <v>36.64</v>
      </c>
      <c r="BE6" s="1">
        <f>IFERROR(__xludf.DUMMYFUNCTION("""COMPUTED_VALUE"""),21.65)</f>
        <v>21.65</v>
      </c>
      <c r="BF6" s="1">
        <f>IFERROR(__xludf.DUMMYFUNCTION("""COMPUTED_VALUE"""),64.1)</f>
        <v>64.1</v>
      </c>
      <c r="BG6" s="1">
        <f>IFERROR(__xludf.DUMMYFUNCTION("""COMPUTED_VALUE"""),28.92)</f>
        <v>28.92</v>
      </c>
      <c r="BH6" s="1">
        <f>IFERROR(__xludf.DUMMYFUNCTION("""COMPUTED_VALUE"""),104.24)</f>
        <v>104.24</v>
      </c>
      <c r="BI6" s="1">
        <f>IFERROR(__xludf.DUMMYFUNCTION("""COMPUTED_VALUE"""),38.99)</f>
        <v>38.99</v>
      </c>
      <c r="BJ6" s="1">
        <f>IFERROR(__xludf.DUMMYFUNCTION("""COMPUTED_VALUE"""),163.58)</f>
        <v>163.58</v>
      </c>
      <c r="BK6" s="1">
        <f>IFERROR(__xludf.DUMMYFUNCTION("""COMPUTED_VALUE"""),597.15)</f>
        <v>597.15</v>
      </c>
      <c r="BL6" s="1">
        <f>IFERROR(__xludf.DUMMYFUNCTION("""COMPUTED_VALUE"""),215.63)</f>
        <v>215.63</v>
      </c>
      <c r="BM6" s="1">
        <f>IFERROR(__xludf.DUMMYFUNCTION("""COMPUTED_VALUE"""),134.93)</f>
        <v>134.93</v>
      </c>
      <c r="BN6" s="3">
        <f>IFERROR(__xludf.DUMMYFUNCTION("""COMPUTED_VALUE"""),6.71)</f>
        <v>6.71</v>
      </c>
      <c r="BO6" s="1">
        <f>IFERROR(__xludf.DUMMYFUNCTION("""COMPUTED_VALUE"""),245.9)</f>
        <v>245.9</v>
      </c>
      <c r="BP6" s="1">
        <f>IFERROR(__xludf.DUMMYFUNCTION("""COMPUTED_VALUE"""),521.27)</f>
        <v>521.27</v>
      </c>
      <c r="BQ6" s="36">
        <f>IFERROR(__xludf.DUMMYFUNCTION("""COMPUTED_VALUE"""),48.16)</f>
        <v>48.16</v>
      </c>
      <c r="BR6" s="1">
        <f>IFERROR(__xludf.DUMMYFUNCTION("""COMPUTED_VALUE"""),11.02)</f>
        <v>11.02</v>
      </c>
      <c r="BS6" s="1">
        <f>IFERROR(__xludf.DUMMYFUNCTION("""COMPUTED_VALUE"""),212.2)</f>
        <v>212.2</v>
      </c>
      <c r="BT6" s="1">
        <f>IFERROR(__xludf.DUMMYFUNCTION("""COMPUTED_VALUE"""),103.37)</f>
        <v>103.37</v>
      </c>
      <c r="BU6" s="3">
        <v>1.0</v>
      </c>
    </row>
    <row r="7">
      <c r="A7" s="25">
        <f>IFERROR(__xludf.DUMMYFUNCTION("""COMPUTED_VALUE"""),45429.66666666667)</f>
        <v>45429.66667</v>
      </c>
      <c r="B7" s="29">
        <f>'Master Scratch Work'!B6</f>
        <v>1228786.54</v>
      </c>
      <c r="C7" s="15">
        <f>IFERROR(__xludf.DUMMYFUNCTION("""COMPUTED_VALUE"""),5303.27)</f>
        <v>5303.27</v>
      </c>
      <c r="D7" s="15">
        <f>IFERROR(__xludf.DUMMYFUNCTION("""COMPUTED_VALUE"""),16685.97)</f>
        <v>16685.97</v>
      </c>
      <c r="E7" s="15">
        <f>IFERROR(__xludf.DUMMYFUNCTION("""COMPUTED_VALUE"""),40003.59)</f>
        <v>40003.59</v>
      </c>
      <c r="F7" s="15">
        <f>IFERROR(__xludf.DUMMYFUNCTION("""COMPUTED_VALUE"""),2095.72)</f>
        <v>2095.72</v>
      </c>
      <c r="G7" s="3">
        <f>IFERROR(__xludf.DUMMYFUNCTION("""COMPUTED_VALUE"""),529.45)</f>
        <v>529.45</v>
      </c>
      <c r="H7" s="3">
        <f>IFERROR(__xludf.DUMMYFUNCTION("""COMPUTED_VALUE"""),451.76)</f>
        <v>451.76</v>
      </c>
      <c r="I7" s="3">
        <f>IFERROR(__xludf.DUMMYFUNCTION("""COMPUTED_VALUE"""),483.43)</f>
        <v>483.43</v>
      </c>
      <c r="J7" s="3">
        <f>IFERROR(__xludf.DUMMYFUNCTION("""COMPUTED_VALUE"""),184.7)</f>
        <v>184.7</v>
      </c>
      <c r="K7" s="3">
        <f>IFERROR(__xludf.DUMMYFUNCTION("""COMPUTED_VALUE"""),133.76)</f>
        <v>133.76</v>
      </c>
      <c r="L7" s="3">
        <f>IFERROR(__xludf.DUMMYFUNCTION("""COMPUTED_VALUE"""),189.87)</f>
        <v>189.87</v>
      </c>
      <c r="M7" s="3">
        <f>IFERROR(__xludf.DUMMYFUNCTION("""COMPUTED_VALUE"""),212.08)</f>
        <v>212.08</v>
      </c>
      <c r="N7" s="3">
        <f>IFERROR(__xludf.DUMMYFUNCTION("""COMPUTED_VALUE"""),59.5)</f>
        <v>59.5</v>
      </c>
      <c r="O7" s="3">
        <f>IFERROR(__xludf.DUMMYFUNCTION("""COMPUTED_VALUE"""),11.12)</f>
        <v>11.12</v>
      </c>
      <c r="P7" s="3">
        <f>IFERROR(__xludf.DUMMYFUNCTION("""COMPUTED_VALUE"""),416.94)</f>
        <v>416.94</v>
      </c>
      <c r="Q7" s="3">
        <f>IFERROR(__xludf.DUMMYFUNCTION("""COMPUTED_VALUE"""),61.47)</f>
        <v>61.47</v>
      </c>
      <c r="R7" s="3">
        <f>IFERROR(__xludf.DUMMYFUNCTION("""COMPUTED_VALUE"""),230.57)</f>
        <v>230.57</v>
      </c>
      <c r="S7" s="3">
        <f>IFERROR(__xludf.DUMMYFUNCTION("""COMPUTED_VALUE"""),74.65)</f>
        <v>74.65</v>
      </c>
      <c r="T7" s="3">
        <f>IFERROR(__xludf.DUMMYFUNCTION("""COMPUTED_VALUE"""),65.23)</f>
        <v>65.23</v>
      </c>
      <c r="U7" s="3">
        <f>IFERROR(__xludf.DUMMYFUNCTION("""COMPUTED_VALUE"""),356.27)</f>
        <v>356.27</v>
      </c>
      <c r="V7" s="3">
        <f>IFERROR(__xludf.DUMMYFUNCTION("""COMPUTED_VALUE"""),53.05)</f>
        <v>53.05</v>
      </c>
      <c r="W7" s="3">
        <f>IFERROR(__xludf.DUMMYFUNCTION("""COMPUTED_VALUE"""),151.13)</f>
        <v>151.13</v>
      </c>
      <c r="X7" s="3">
        <f>IFERROR(__xludf.DUMMYFUNCTION("""COMPUTED_VALUE"""),162.67)</f>
        <v>162.67</v>
      </c>
      <c r="Y7" s="1">
        <f>IFERROR(__xludf.DUMMYFUNCTION("""COMPUTED_VALUE"""),338.71)</f>
        <v>338.71</v>
      </c>
      <c r="Z7" s="1">
        <f>IFERROR(__xludf.DUMMYFUNCTION("""COMPUTED_VALUE"""),37.16)</f>
        <v>37.16</v>
      </c>
      <c r="AA7" s="1">
        <f>IFERROR(__xludf.DUMMYFUNCTION("""COMPUTED_VALUE"""),63.03)</f>
        <v>63.03</v>
      </c>
      <c r="AB7" s="1">
        <f>IFERROR(__xludf.DUMMYFUNCTION("""COMPUTED_VALUE"""),97.1)</f>
        <v>97.1</v>
      </c>
      <c r="AC7" s="1">
        <f>IFERROR(__xludf.DUMMYFUNCTION("""COMPUTED_VALUE"""),143.83)</f>
        <v>143.83</v>
      </c>
      <c r="AD7" s="3">
        <f>IFERROR(__xludf.DUMMYFUNCTION("""COMPUTED_VALUE"""),117.31)</f>
        <v>117.31</v>
      </c>
      <c r="AE7" s="1">
        <f>IFERROR(__xludf.DUMMYFUNCTION("""COMPUTED_VALUE"""),513.03)</f>
        <v>513.03</v>
      </c>
      <c r="AF7" s="1">
        <f>IFERROR(__xludf.DUMMYFUNCTION("""COMPUTED_VALUE"""),51.48)</f>
        <v>51.48</v>
      </c>
      <c r="AG7" s="1">
        <f>IFERROR(__xludf.DUMMYFUNCTION("""COMPUTED_VALUE"""),119.64)</f>
        <v>119.64</v>
      </c>
      <c r="AH7" s="3">
        <f>IFERROR(__xludf.DUMMYFUNCTION("""COMPUTED_VALUE"""),257.25)</f>
        <v>257.25</v>
      </c>
      <c r="AI7" s="1">
        <f>IFERROR(__xludf.DUMMYFUNCTION("""COMPUTED_VALUE"""),422.3)</f>
        <v>422.3</v>
      </c>
      <c r="AJ7" s="1">
        <f>IFERROR(__xludf.DUMMYFUNCTION("""COMPUTED_VALUE"""),299.02)</f>
        <v>299.02</v>
      </c>
      <c r="AK7" s="3">
        <f>IFERROR(__xludf.DUMMYFUNCTION("""COMPUTED_VALUE"""),45.76)</f>
        <v>45.76</v>
      </c>
      <c r="AL7" s="1">
        <f>IFERROR(__xludf.DUMMYFUNCTION("""COMPUTED_VALUE"""),67.72)</f>
        <v>67.72</v>
      </c>
      <c r="AM7" s="1">
        <f>IFERROR(__xludf.DUMMYFUNCTION("""COMPUTED_VALUE"""),467.72)</f>
        <v>467.72</v>
      </c>
      <c r="AN7" s="1">
        <f>IFERROR(__xludf.DUMMYFUNCTION("""COMPUTED_VALUE"""),344.21)</f>
        <v>344.21</v>
      </c>
      <c r="AO7" s="1">
        <f>IFERROR(__xludf.DUMMYFUNCTION("""COMPUTED_VALUE"""),87.66)</f>
        <v>87.66</v>
      </c>
      <c r="AP7" s="1">
        <f>IFERROR(__xludf.DUMMYFUNCTION("""COMPUTED_VALUE"""),138.4)</f>
        <v>138.4</v>
      </c>
      <c r="AQ7" s="1">
        <f>IFERROR(__xludf.DUMMYFUNCTION("""COMPUTED_VALUE"""),398.82)</f>
        <v>398.82</v>
      </c>
      <c r="AR7" s="3">
        <f>IFERROR(__xludf.DUMMYFUNCTION("""COMPUTED_VALUE"""),204.79)</f>
        <v>204.79</v>
      </c>
      <c r="AS7" s="3">
        <f>IFERROR(__xludf.DUMMYFUNCTION("""COMPUTED_VALUE"""),466.2)</f>
        <v>466.2</v>
      </c>
      <c r="AT7" s="3">
        <f>IFERROR(__xludf.DUMMYFUNCTION("""COMPUTED_VALUE"""),334.95)</f>
        <v>334.95</v>
      </c>
      <c r="AU7" s="1">
        <f>IFERROR(__xludf.DUMMYFUNCTION("""COMPUTED_VALUE"""),26.69)</f>
        <v>26.69</v>
      </c>
      <c r="AV7" s="1">
        <f>IFERROR(__xludf.DUMMYFUNCTION("""COMPUTED_VALUE"""),85.92)</f>
        <v>85.92</v>
      </c>
      <c r="AW7" s="1">
        <f>IFERROR(__xludf.DUMMYFUNCTION("""COMPUTED_VALUE"""),74.22)</f>
        <v>74.22</v>
      </c>
      <c r="AX7" s="1">
        <f>IFERROR(__xludf.DUMMYFUNCTION("""COMPUTED_VALUE"""),18.25)</f>
        <v>18.25</v>
      </c>
      <c r="AY7" s="1">
        <f>IFERROR(__xludf.DUMMYFUNCTION("""COMPUTED_VALUE"""),420.21)</f>
        <v>420.21</v>
      </c>
      <c r="AZ7" s="3">
        <f>IFERROR(__xludf.DUMMYFUNCTION("""COMPUTED_VALUE"""),76.09)</f>
        <v>76.09</v>
      </c>
      <c r="BA7" s="3">
        <f>IFERROR(__xludf.DUMMYFUNCTION("""COMPUTED_VALUE"""),82.3)</f>
        <v>82.3</v>
      </c>
      <c r="BB7" s="3">
        <f>IFERROR(__xludf.DUMMYFUNCTION("""COMPUTED_VALUE"""),92.48)</f>
        <v>92.48</v>
      </c>
      <c r="BC7" s="1">
        <f>IFERROR(__xludf.DUMMYFUNCTION("""COMPUTED_VALUE"""),96.79)</f>
        <v>96.79</v>
      </c>
      <c r="BD7" s="1">
        <f>IFERROR(__xludf.DUMMYFUNCTION("""COMPUTED_VALUE"""),38.12)</f>
        <v>38.12</v>
      </c>
      <c r="BE7" s="1">
        <f>IFERROR(__xludf.DUMMYFUNCTION("""COMPUTED_VALUE"""),21.76)</f>
        <v>21.76</v>
      </c>
      <c r="BF7" s="1">
        <f>IFERROR(__xludf.DUMMYFUNCTION("""COMPUTED_VALUE"""),64.48)</f>
        <v>64.48</v>
      </c>
      <c r="BG7" s="1">
        <f>IFERROR(__xludf.DUMMYFUNCTION("""COMPUTED_VALUE"""),28.64)</f>
        <v>28.64</v>
      </c>
      <c r="BH7" s="1">
        <f>IFERROR(__xludf.DUMMYFUNCTION("""COMPUTED_VALUE"""),104.18)</f>
        <v>104.18</v>
      </c>
      <c r="BI7" s="1">
        <f>IFERROR(__xludf.DUMMYFUNCTION("""COMPUTED_VALUE"""),39.41)</f>
        <v>39.41</v>
      </c>
      <c r="BJ7" s="1">
        <f>IFERROR(__xludf.DUMMYFUNCTION("""COMPUTED_VALUE"""),164.0)</f>
        <v>164</v>
      </c>
      <c r="BK7" s="1">
        <f>IFERROR(__xludf.DUMMYFUNCTION("""COMPUTED_VALUE"""),595.3)</f>
        <v>595.3</v>
      </c>
      <c r="BL7" s="1">
        <f>IFERROR(__xludf.DUMMYFUNCTION("""COMPUTED_VALUE"""),219.76)</f>
        <v>219.76</v>
      </c>
      <c r="BM7" s="1">
        <f>IFERROR(__xludf.DUMMYFUNCTION("""COMPUTED_VALUE"""),137.98)</f>
        <v>137.98</v>
      </c>
      <c r="BN7" s="3">
        <f>IFERROR(__xludf.DUMMYFUNCTION("""COMPUTED_VALUE"""),6.78)</f>
        <v>6.78</v>
      </c>
      <c r="BO7" s="1">
        <f>IFERROR(__xludf.DUMMYFUNCTION("""COMPUTED_VALUE"""),244.97)</f>
        <v>244.97</v>
      </c>
      <c r="BP7" s="1">
        <f>IFERROR(__xludf.DUMMYFUNCTION("""COMPUTED_VALUE"""),524.63)</f>
        <v>524.63</v>
      </c>
      <c r="BQ7" s="36">
        <f>IFERROR(__xludf.DUMMYFUNCTION("""COMPUTED_VALUE"""),48.16)</f>
        <v>48.16</v>
      </c>
      <c r="BR7" s="1">
        <f>IFERROR(__xludf.DUMMYFUNCTION("""COMPUTED_VALUE"""),10.98)</f>
        <v>10.98</v>
      </c>
      <c r="BS7" s="1">
        <f>IFERROR(__xludf.DUMMYFUNCTION("""COMPUTED_VALUE"""),210.44)</f>
        <v>210.44</v>
      </c>
      <c r="BT7" s="1">
        <f>IFERROR(__xludf.DUMMYFUNCTION("""COMPUTED_VALUE"""),103.25)</f>
        <v>103.25</v>
      </c>
      <c r="BU7" s="3">
        <v>1.0</v>
      </c>
    </row>
    <row r="8">
      <c r="A8" s="25">
        <f>IFERROR(__xludf.DUMMYFUNCTION("""COMPUTED_VALUE"""),45432.66666666667)</f>
        <v>45432.66667</v>
      </c>
      <c r="B8" s="29">
        <f>'Master Scratch Work'!B7</f>
        <v>1224991.06</v>
      </c>
      <c r="C8" s="15">
        <f>IFERROR(__xludf.DUMMYFUNCTION("""COMPUTED_VALUE"""),5308.13)</f>
        <v>5308.13</v>
      </c>
      <c r="D8" s="15">
        <f>IFERROR(__xludf.DUMMYFUNCTION("""COMPUTED_VALUE"""),16794.87)</f>
        <v>16794.87</v>
      </c>
      <c r="E8" s="15">
        <f>IFERROR(__xludf.DUMMYFUNCTION("""COMPUTED_VALUE"""),39806.77)</f>
        <v>39806.77</v>
      </c>
      <c r="F8" s="15">
        <f>IFERROR(__xludf.DUMMYFUNCTION("""COMPUTED_VALUE"""),2102.5)</f>
        <v>2102.5</v>
      </c>
      <c r="G8" s="3">
        <f>IFERROR(__xludf.DUMMYFUNCTION("""COMPUTED_VALUE"""),530.06)</f>
        <v>530.06</v>
      </c>
      <c r="H8" s="3">
        <f>IFERROR(__xludf.DUMMYFUNCTION("""COMPUTED_VALUE"""),454.91)</f>
        <v>454.91</v>
      </c>
      <c r="I8" s="3">
        <f>IFERROR(__xludf.DUMMYFUNCTION("""COMPUTED_VALUE"""),484.69)</f>
        <v>484.69</v>
      </c>
      <c r="J8" s="3">
        <f>IFERROR(__xludf.DUMMYFUNCTION("""COMPUTED_VALUE"""),183.54)</f>
        <v>183.54</v>
      </c>
      <c r="K8" s="3">
        <f>IFERROR(__xludf.DUMMYFUNCTION("""COMPUTED_VALUE"""),133.57)</f>
        <v>133.57</v>
      </c>
      <c r="L8" s="3">
        <f>IFERROR(__xludf.DUMMYFUNCTION("""COMPUTED_VALUE"""),191.04)</f>
        <v>191.04</v>
      </c>
      <c r="M8" s="3">
        <f>IFERROR(__xludf.DUMMYFUNCTION("""COMPUTED_VALUE"""),219.95)</f>
        <v>219.95</v>
      </c>
      <c r="N8" s="3">
        <f>IFERROR(__xludf.DUMMYFUNCTION("""COMPUTED_VALUE"""),58.95)</f>
        <v>58.95</v>
      </c>
      <c r="O8" s="3">
        <f>IFERROR(__xludf.DUMMYFUNCTION("""COMPUTED_VALUE"""),11.02)</f>
        <v>11.02</v>
      </c>
      <c r="P8" s="3">
        <f>IFERROR(__xludf.DUMMYFUNCTION("""COMPUTED_VALUE"""),413.0)</f>
        <v>413</v>
      </c>
      <c r="Q8" s="3">
        <f>IFERROR(__xludf.DUMMYFUNCTION("""COMPUTED_VALUE"""),61.58)</f>
        <v>61.58</v>
      </c>
      <c r="R8" s="3">
        <f>IFERROR(__xludf.DUMMYFUNCTION("""COMPUTED_VALUE"""),231.58)</f>
        <v>231.58</v>
      </c>
      <c r="S8" s="3">
        <f>IFERROR(__xludf.DUMMYFUNCTION("""COMPUTED_VALUE"""),75.36)</f>
        <v>75.36</v>
      </c>
      <c r="T8" s="3">
        <f>IFERROR(__xludf.DUMMYFUNCTION("""COMPUTED_VALUE"""),65.98)</f>
        <v>65.98</v>
      </c>
      <c r="U8" s="3">
        <f>IFERROR(__xludf.DUMMYFUNCTION("""COMPUTED_VALUE"""),362.75)</f>
        <v>362.75</v>
      </c>
      <c r="V8" s="3">
        <f>IFERROR(__xludf.DUMMYFUNCTION("""COMPUTED_VALUE"""),54.0)</f>
        <v>54</v>
      </c>
      <c r="W8" s="3">
        <f>IFERROR(__xludf.DUMMYFUNCTION("""COMPUTED_VALUE"""),151.86)</f>
        <v>151.86</v>
      </c>
      <c r="X8" s="3">
        <f>IFERROR(__xludf.DUMMYFUNCTION("""COMPUTED_VALUE"""),161.14)</f>
        <v>161.14</v>
      </c>
      <c r="Y8" s="1">
        <f>IFERROR(__xludf.DUMMYFUNCTION("""COMPUTED_VALUE"""),333.37)</f>
        <v>333.37</v>
      </c>
      <c r="Z8" s="1">
        <f>IFERROR(__xludf.DUMMYFUNCTION("""COMPUTED_VALUE"""),36.49)</f>
        <v>36.49</v>
      </c>
      <c r="AA8" s="1">
        <f>IFERROR(__xludf.DUMMYFUNCTION("""COMPUTED_VALUE"""),62.57)</f>
        <v>62.57</v>
      </c>
      <c r="AB8" s="1">
        <f>IFERROR(__xludf.DUMMYFUNCTION("""COMPUTED_VALUE"""),96.51)</f>
        <v>96.51</v>
      </c>
      <c r="AC8" s="1">
        <f>IFERROR(__xludf.DUMMYFUNCTION("""COMPUTED_VALUE"""),143.35)</f>
        <v>143.35</v>
      </c>
      <c r="AD8" s="3">
        <f>IFERROR(__xludf.DUMMYFUNCTION("""COMPUTED_VALUE"""),113.48)</f>
        <v>113.48</v>
      </c>
      <c r="AE8" s="1">
        <f>IFERROR(__xludf.DUMMYFUNCTION("""COMPUTED_VALUE"""),516.08)</f>
        <v>516.08</v>
      </c>
      <c r="AF8" s="1">
        <f>IFERROR(__xludf.DUMMYFUNCTION("""COMPUTED_VALUE"""),51.24)</f>
        <v>51.24</v>
      </c>
      <c r="AG8" s="1">
        <f>IFERROR(__xludf.DUMMYFUNCTION("""COMPUTED_VALUE"""),118.67)</f>
        <v>118.67</v>
      </c>
      <c r="AH8" s="3">
        <f>IFERROR(__xludf.DUMMYFUNCTION("""COMPUTED_VALUE"""),254.71)</f>
        <v>254.71</v>
      </c>
      <c r="AI8" s="1">
        <f>IFERROR(__xludf.DUMMYFUNCTION("""COMPUTED_VALUE"""),416.65)</f>
        <v>416.65</v>
      </c>
      <c r="AJ8" s="1">
        <f>IFERROR(__xludf.DUMMYFUNCTION("""COMPUTED_VALUE"""),300.23)</f>
        <v>300.23</v>
      </c>
      <c r="AK8" s="3">
        <f>IFERROR(__xludf.DUMMYFUNCTION("""COMPUTED_VALUE"""),45.11)</f>
        <v>45.11</v>
      </c>
      <c r="AL8" s="1">
        <f>IFERROR(__xludf.DUMMYFUNCTION("""COMPUTED_VALUE"""),67.9)</f>
        <v>67.9</v>
      </c>
      <c r="AM8" s="1">
        <f>IFERROR(__xludf.DUMMYFUNCTION("""COMPUTED_VALUE"""),462.94)</f>
        <v>462.94</v>
      </c>
      <c r="AN8" s="1">
        <f>IFERROR(__xludf.DUMMYFUNCTION("""COMPUTED_VALUE"""),337.82)</f>
        <v>337.82</v>
      </c>
      <c r="AO8" s="1">
        <f>IFERROR(__xludf.DUMMYFUNCTION("""COMPUTED_VALUE"""),86.71)</f>
        <v>86.71</v>
      </c>
      <c r="AP8" s="1">
        <f>IFERROR(__xludf.DUMMYFUNCTION("""COMPUTED_VALUE"""),136.95)</f>
        <v>136.95</v>
      </c>
      <c r="AQ8" s="1">
        <f>IFERROR(__xludf.DUMMYFUNCTION("""COMPUTED_VALUE"""),400.03)</f>
        <v>400.03</v>
      </c>
      <c r="AR8" s="3">
        <f>IFERROR(__xludf.DUMMYFUNCTION("""COMPUTED_VALUE"""),195.58)</f>
        <v>195.58</v>
      </c>
      <c r="AS8" s="3">
        <f>IFERROR(__xludf.DUMMYFUNCTION("""COMPUTED_VALUE"""),467.08)</f>
        <v>467.08</v>
      </c>
      <c r="AT8" s="3">
        <f>IFERROR(__xludf.DUMMYFUNCTION("""COMPUTED_VALUE"""),327.07)</f>
        <v>327.07</v>
      </c>
      <c r="AU8" s="1">
        <f>IFERROR(__xludf.DUMMYFUNCTION("""COMPUTED_VALUE"""),26.45)</f>
        <v>26.45</v>
      </c>
      <c r="AV8" s="1">
        <f>IFERROR(__xludf.DUMMYFUNCTION("""COMPUTED_VALUE"""),84.51)</f>
        <v>84.51</v>
      </c>
      <c r="AW8" s="1">
        <f>IFERROR(__xludf.DUMMYFUNCTION("""COMPUTED_VALUE"""),72.89)</f>
        <v>72.89</v>
      </c>
      <c r="AX8" s="1">
        <f>IFERROR(__xludf.DUMMYFUNCTION("""COMPUTED_VALUE"""),18.02)</f>
        <v>18.02</v>
      </c>
      <c r="AY8" s="1">
        <f>IFERROR(__xludf.DUMMYFUNCTION("""COMPUTED_VALUE"""),425.34)</f>
        <v>425.34</v>
      </c>
      <c r="AZ8" s="3">
        <f>IFERROR(__xludf.DUMMYFUNCTION("""COMPUTED_VALUE"""),75.87)</f>
        <v>75.87</v>
      </c>
      <c r="BA8" s="3">
        <f>IFERROR(__xludf.DUMMYFUNCTION("""COMPUTED_VALUE"""),81.48)</f>
        <v>81.48</v>
      </c>
      <c r="BB8" s="3">
        <f>IFERROR(__xludf.DUMMYFUNCTION("""COMPUTED_VALUE"""),94.78)</f>
        <v>94.78</v>
      </c>
      <c r="BC8" s="1">
        <f>IFERROR(__xludf.DUMMYFUNCTION("""COMPUTED_VALUE"""),97.08)</f>
        <v>97.08</v>
      </c>
      <c r="BD8" s="1">
        <f>IFERROR(__xludf.DUMMYFUNCTION("""COMPUTED_VALUE"""),38.36)</f>
        <v>38.36</v>
      </c>
      <c r="BE8" s="1">
        <f>IFERROR(__xludf.DUMMYFUNCTION("""COMPUTED_VALUE"""),21.62)</f>
        <v>21.62</v>
      </c>
      <c r="BF8" s="1">
        <f>IFERROR(__xludf.DUMMYFUNCTION("""COMPUTED_VALUE"""),64.77)</f>
        <v>64.77</v>
      </c>
      <c r="BG8" s="1">
        <f>IFERROR(__xludf.DUMMYFUNCTION("""COMPUTED_VALUE"""),28.53)</f>
        <v>28.53</v>
      </c>
      <c r="BH8" s="1">
        <f>IFERROR(__xludf.DUMMYFUNCTION("""COMPUTED_VALUE"""),105.02)</f>
        <v>105.02</v>
      </c>
      <c r="BI8" s="1">
        <f>IFERROR(__xludf.DUMMYFUNCTION("""COMPUTED_VALUE"""),40.03)</f>
        <v>40.03</v>
      </c>
      <c r="BJ8" s="1">
        <f>IFERROR(__xludf.DUMMYFUNCTION("""COMPUTED_VALUE"""),163.9)</f>
        <v>163.9</v>
      </c>
      <c r="BK8" s="1">
        <f>IFERROR(__xludf.DUMMYFUNCTION("""COMPUTED_VALUE"""),594.01)</f>
        <v>594.01</v>
      </c>
      <c r="BL8" s="1">
        <f>IFERROR(__xludf.DUMMYFUNCTION("""COMPUTED_VALUE"""),220.5)</f>
        <v>220.5</v>
      </c>
      <c r="BM8" s="1">
        <f>IFERROR(__xludf.DUMMYFUNCTION("""COMPUTED_VALUE"""),138.62)</f>
        <v>138.62</v>
      </c>
      <c r="BN8" s="3">
        <f>IFERROR(__xludf.DUMMYFUNCTION("""COMPUTED_VALUE"""),6.7)</f>
        <v>6.7</v>
      </c>
      <c r="BO8" s="1">
        <f>IFERROR(__xludf.DUMMYFUNCTION("""COMPUTED_VALUE"""),243.63)</f>
        <v>243.63</v>
      </c>
      <c r="BP8" s="1">
        <f>IFERROR(__xludf.DUMMYFUNCTION("""COMPUTED_VALUE"""),517.23)</f>
        <v>517.23</v>
      </c>
      <c r="BQ8" s="36">
        <f>IFERROR(__xludf.DUMMYFUNCTION("""COMPUTED_VALUE"""),48.15)</f>
        <v>48.15</v>
      </c>
      <c r="BR8" s="1">
        <f>IFERROR(__xludf.DUMMYFUNCTION("""COMPUTED_VALUE"""),11.07)</f>
        <v>11.07</v>
      </c>
      <c r="BS8" s="1">
        <f>IFERROR(__xludf.DUMMYFUNCTION("""COMPUTED_VALUE"""),208.47)</f>
        <v>208.47</v>
      </c>
      <c r="BT8" s="1">
        <f>IFERROR(__xludf.DUMMYFUNCTION("""COMPUTED_VALUE"""),102.9)</f>
        <v>102.9</v>
      </c>
      <c r="BU8" s="3">
        <v>1.0</v>
      </c>
    </row>
    <row r="9">
      <c r="A9" s="25">
        <f>IFERROR(__xludf.DUMMYFUNCTION("""COMPUTED_VALUE"""),45433.66666666667)</f>
        <v>45433.66667</v>
      </c>
      <c r="B9" s="29">
        <f>'Master Scratch Work'!B8</f>
        <v>1225621.12</v>
      </c>
      <c r="C9" s="15">
        <f>IFERROR(__xludf.DUMMYFUNCTION("""COMPUTED_VALUE"""),5321.41)</f>
        <v>5321.41</v>
      </c>
      <c r="D9" s="15">
        <f>IFERROR(__xludf.DUMMYFUNCTION("""COMPUTED_VALUE"""),16832.62)</f>
        <v>16832.62</v>
      </c>
      <c r="E9" s="15">
        <f>IFERROR(__xludf.DUMMYFUNCTION("""COMPUTED_VALUE"""),39872.99)</f>
        <v>39872.99</v>
      </c>
      <c r="F9" s="15">
        <f>IFERROR(__xludf.DUMMYFUNCTION("""COMPUTED_VALUE"""),2098.36)</f>
        <v>2098.36</v>
      </c>
      <c r="G9" s="3">
        <f>IFERROR(__xludf.DUMMYFUNCTION("""COMPUTED_VALUE"""),531.36)</f>
        <v>531.36</v>
      </c>
      <c r="H9" s="3">
        <f>IFERROR(__xludf.DUMMYFUNCTION("""COMPUTED_VALUE"""),455.8)</f>
        <v>455.8</v>
      </c>
      <c r="I9" s="3">
        <f>IFERROR(__xludf.DUMMYFUNCTION("""COMPUTED_VALUE"""),481.85)</f>
        <v>481.85</v>
      </c>
      <c r="J9" s="3">
        <f>IFERROR(__xludf.DUMMYFUNCTION("""COMPUTED_VALUE"""),183.15)</f>
        <v>183.15</v>
      </c>
      <c r="K9" s="3">
        <f>IFERROR(__xludf.DUMMYFUNCTION("""COMPUTED_VALUE"""),134.36)</f>
        <v>134.36</v>
      </c>
      <c r="L9" s="3">
        <f>IFERROR(__xludf.DUMMYFUNCTION("""COMPUTED_VALUE"""),192.35)</f>
        <v>192.35</v>
      </c>
      <c r="M9" s="3">
        <f>IFERROR(__xludf.DUMMYFUNCTION("""COMPUTED_VALUE"""),219.8)</f>
        <v>219.8</v>
      </c>
      <c r="N9" s="3">
        <f>IFERROR(__xludf.DUMMYFUNCTION("""COMPUTED_VALUE"""),59.08)</f>
        <v>59.08</v>
      </c>
      <c r="O9" s="3">
        <f>IFERROR(__xludf.DUMMYFUNCTION("""COMPUTED_VALUE"""),11.17)</f>
        <v>11.17</v>
      </c>
      <c r="P9" s="3">
        <f>IFERROR(__xludf.DUMMYFUNCTION("""COMPUTED_VALUE"""),414.37)</f>
        <v>414.37</v>
      </c>
      <c r="Q9" s="3">
        <f>IFERROR(__xludf.DUMMYFUNCTION("""COMPUTED_VALUE"""),61.63)</f>
        <v>61.63</v>
      </c>
      <c r="R9" s="3">
        <f>IFERROR(__xludf.DUMMYFUNCTION("""COMPUTED_VALUE"""),227.69)</f>
        <v>227.69</v>
      </c>
      <c r="S9" s="3">
        <f>IFERROR(__xludf.DUMMYFUNCTION("""COMPUTED_VALUE"""),75.67)</f>
        <v>75.67</v>
      </c>
      <c r="T9" s="3">
        <f>IFERROR(__xludf.DUMMYFUNCTION("""COMPUTED_VALUE"""),66.22)</f>
        <v>66.22</v>
      </c>
      <c r="U9" s="3">
        <f>IFERROR(__xludf.DUMMYFUNCTION("""COMPUTED_VALUE"""),359.07)</f>
        <v>359.07</v>
      </c>
      <c r="V9" s="3">
        <f>IFERROR(__xludf.DUMMYFUNCTION("""COMPUTED_VALUE"""),53.73)</f>
        <v>53.73</v>
      </c>
      <c r="W9" s="3">
        <f>IFERROR(__xludf.DUMMYFUNCTION("""COMPUTED_VALUE"""),151.58)</f>
        <v>151.58</v>
      </c>
      <c r="X9" s="3">
        <f>IFERROR(__xludf.DUMMYFUNCTION("""COMPUTED_VALUE"""),159.97)</f>
        <v>159.97</v>
      </c>
      <c r="Y9" s="1">
        <f>IFERROR(__xludf.DUMMYFUNCTION("""COMPUTED_VALUE"""),336.38)</f>
        <v>336.38</v>
      </c>
      <c r="Z9" s="1">
        <f>IFERROR(__xludf.DUMMYFUNCTION("""COMPUTED_VALUE"""),36.57)</f>
        <v>36.57</v>
      </c>
      <c r="AA9" s="1">
        <f>IFERROR(__xludf.DUMMYFUNCTION("""COMPUTED_VALUE"""),62.91)</f>
        <v>62.91</v>
      </c>
      <c r="AB9" s="1">
        <f>IFERROR(__xludf.DUMMYFUNCTION("""COMPUTED_VALUE"""),96.34)</f>
        <v>96.34</v>
      </c>
      <c r="AC9" s="1">
        <f>IFERROR(__xludf.DUMMYFUNCTION("""COMPUTED_VALUE"""),144.26)</f>
        <v>144.26</v>
      </c>
      <c r="AD9" s="3">
        <f>IFERROR(__xludf.DUMMYFUNCTION("""COMPUTED_VALUE"""),114.7)</f>
        <v>114.7</v>
      </c>
      <c r="AE9" s="1">
        <f>IFERROR(__xludf.DUMMYFUNCTION("""COMPUTED_VALUE"""),513.72)</f>
        <v>513.72</v>
      </c>
      <c r="AF9" s="1">
        <f>IFERROR(__xludf.DUMMYFUNCTION("""COMPUTED_VALUE"""),52.17)</f>
        <v>52.17</v>
      </c>
      <c r="AG9" s="1">
        <f>IFERROR(__xludf.DUMMYFUNCTION("""COMPUTED_VALUE"""),117.85)</f>
        <v>117.85</v>
      </c>
      <c r="AH9" s="3">
        <f>IFERROR(__xludf.DUMMYFUNCTION("""COMPUTED_VALUE"""),252.33)</f>
        <v>252.33</v>
      </c>
      <c r="AI9" s="1">
        <f>IFERROR(__xludf.DUMMYFUNCTION("""COMPUTED_VALUE"""),418.37)</f>
        <v>418.37</v>
      </c>
      <c r="AJ9" s="1">
        <f>IFERROR(__xludf.DUMMYFUNCTION("""COMPUTED_VALUE"""),297.06)</f>
        <v>297.06</v>
      </c>
      <c r="AK9" s="3">
        <f>IFERROR(__xludf.DUMMYFUNCTION("""COMPUTED_VALUE"""),44.92)</f>
        <v>44.92</v>
      </c>
      <c r="AL9" s="1">
        <f>IFERROR(__xludf.DUMMYFUNCTION("""COMPUTED_VALUE"""),67.29)</f>
        <v>67.29</v>
      </c>
      <c r="AM9" s="1">
        <f>IFERROR(__xludf.DUMMYFUNCTION("""COMPUTED_VALUE"""),470.41)</f>
        <v>470.41</v>
      </c>
      <c r="AN9" s="1">
        <f>IFERROR(__xludf.DUMMYFUNCTION("""COMPUTED_VALUE"""),336.15)</f>
        <v>336.15</v>
      </c>
      <c r="AO9" s="1">
        <f>IFERROR(__xludf.DUMMYFUNCTION("""COMPUTED_VALUE"""),85.42)</f>
        <v>85.42</v>
      </c>
      <c r="AP9" s="1">
        <f>IFERROR(__xludf.DUMMYFUNCTION("""COMPUTED_VALUE"""),137.27)</f>
        <v>137.27</v>
      </c>
      <c r="AQ9" s="1">
        <f>IFERROR(__xludf.DUMMYFUNCTION("""COMPUTED_VALUE"""),402.11)</f>
        <v>402.11</v>
      </c>
      <c r="AR9" s="3">
        <f>IFERROR(__xludf.DUMMYFUNCTION("""COMPUTED_VALUE"""),199.52)</f>
        <v>199.52</v>
      </c>
      <c r="AS9" s="3">
        <f>IFERROR(__xludf.DUMMYFUNCTION("""COMPUTED_VALUE"""),468.31)</f>
        <v>468.31</v>
      </c>
      <c r="AT9" s="3">
        <f>IFERROR(__xludf.DUMMYFUNCTION("""COMPUTED_VALUE"""),322.98)</f>
        <v>322.98</v>
      </c>
      <c r="AU9" s="1">
        <f>IFERROR(__xludf.DUMMYFUNCTION("""COMPUTED_VALUE"""),26.37)</f>
        <v>26.37</v>
      </c>
      <c r="AV9" s="1">
        <f>IFERROR(__xludf.DUMMYFUNCTION("""COMPUTED_VALUE"""),85.17)</f>
        <v>85.17</v>
      </c>
      <c r="AW9" s="1">
        <f>IFERROR(__xludf.DUMMYFUNCTION("""COMPUTED_VALUE"""),72.59)</f>
        <v>72.59</v>
      </c>
      <c r="AX9" s="1">
        <f>IFERROR(__xludf.DUMMYFUNCTION("""COMPUTED_VALUE"""),17.67)</f>
        <v>17.67</v>
      </c>
      <c r="AY9" s="1">
        <f>IFERROR(__xludf.DUMMYFUNCTION("""COMPUTED_VALUE"""),429.04)</f>
        <v>429.04</v>
      </c>
      <c r="AZ9" s="3">
        <f>IFERROR(__xludf.DUMMYFUNCTION("""COMPUTED_VALUE"""),76.95)</f>
        <v>76.95</v>
      </c>
      <c r="BA9" s="3">
        <f>IFERROR(__xludf.DUMMYFUNCTION("""COMPUTED_VALUE"""),83.03)</f>
        <v>83.03</v>
      </c>
      <c r="BB9" s="3">
        <f>IFERROR(__xludf.DUMMYFUNCTION("""COMPUTED_VALUE"""),95.39)</f>
        <v>95.39</v>
      </c>
      <c r="BC9" s="1">
        <f>IFERROR(__xludf.DUMMYFUNCTION("""COMPUTED_VALUE"""),98.15)</f>
        <v>98.15</v>
      </c>
      <c r="BD9" s="1">
        <f>IFERROR(__xludf.DUMMYFUNCTION("""COMPUTED_VALUE"""),37.31)</f>
        <v>37.31</v>
      </c>
      <c r="BE9" s="1">
        <f>IFERROR(__xludf.DUMMYFUNCTION("""COMPUTED_VALUE"""),21.24)</f>
        <v>21.24</v>
      </c>
      <c r="BF9" s="1">
        <f>IFERROR(__xludf.DUMMYFUNCTION("""COMPUTED_VALUE"""),64.1)</f>
        <v>64.1</v>
      </c>
      <c r="BG9" s="1">
        <f>IFERROR(__xludf.DUMMYFUNCTION("""COMPUTED_VALUE"""),28.56)</f>
        <v>28.56</v>
      </c>
      <c r="BH9" s="1">
        <f>IFERROR(__xludf.DUMMYFUNCTION("""COMPUTED_VALUE"""),105.43)</f>
        <v>105.43</v>
      </c>
      <c r="BI9" s="1">
        <f>IFERROR(__xludf.DUMMYFUNCTION("""COMPUTED_VALUE"""),39.66)</f>
        <v>39.66</v>
      </c>
      <c r="BJ9" s="1">
        <f>IFERROR(__xludf.DUMMYFUNCTION("""COMPUTED_VALUE"""),164.36)</f>
        <v>164.36</v>
      </c>
      <c r="BK9" s="1">
        <f>IFERROR(__xludf.DUMMYFUNCTION("""COMPUTED_VALUE"""),590.12)</f>
        <v>590.12</v>
      </c>
      <c r="BL9" s="1">
        <f>IFERROR(__xludf.DUMMYFUNCTION("""COMPUTED_VALUE"""),219.36)</f>
        <v>219.36</v>
      </c>
      <c r="BM9" s="1">
        <f>IFERROR(__xludf.DUMMYFUNCTION("""COMPUTED_VALUE"""),138.42)</f>
        <v>138.42</v>
      </c>
      <c r="BN9" s="3">
        <f>IFERROR(__xludf.DUMMYFUNCTION("""COMPUTED_VALUE"""),6.85)</f>
        <v>6.85</v>
      </c>
      <c r="BO9" s="1">
        <f>IFERROR(__xludf.DUMMYFUNCTION("""COMPUTED_VALUE"""),234.96)</f>
        <v>234.96</v>
      </c>
      <c r="BP9" s="1">
        <f>IFERROR(__xludf.DUMMYFUNCTION("""COMPUTED_VALUE"""),523.55)</f>
        <v>523.55</v>
      </c>
      <c r="BQ9" s="36">
        <f>IFERROR(__xludf.DUMMYFUNCTION("""COMPUTED_VALUE"""),48.2)</f>
        <v>48.2</v>
      </c>
      <c r="BR9" s="1">
        <f>IFERROR(__xludf.DUMMYFUNCTION("""COMPUTED_VALUE"""),10.96)</f>
        <v>10.96</v>
      </c>
      <c r="BS9" s="1">
        <f>IFERROR(__xludf.DUMMYFUNCTION("""COMPUTED_VALUE"""),208.33)</f>
        <v>208.33</v>
      </c>
      <c r="BT9" s="1">
        <f>IFERROR(__xludf.DUMMYFUNCTION("""COMPUTED_VALUE"""),103.01)</f>
        <v>103.01</v>
      </c>
      <c r="BU9" s="3">
        <v>1.0</v>
      </c>
    </row>
    <row r="10">
      <c r="A10" s="25">
        <f>IFERROR(__xludf.DUMMYFUNCTION("""COMPUTED_VALUE"""),45434.66666666667)</f>
        <v>45434.66667</v>
      </c>
      <c r="B10" s="29">
        <f>'Master Scratch Work'!B9</f>
        <v>1219720.34</v>
      </c>
      <c r="C10" s="15">
        <f>IFERROR(__xludf.DUMMYFUNCTION("""COMPUTED_VALUE"""),5307.01)</f>
        <v>5307.01</v>
      </c>
      <c r="D10" s="15">
        <f>IFERROR(__xludf.DUMMYFUNCTION("""COMPUTED_VALUE"""),16801.54)</f>
        <v>16801.54</v>
      </c>
      <c r="E10" s="15">
        <f>IFERROR(__xludf.DUMMYFUNCTION("""COMPUTED_VALUE"""),39671.04)</f>
        <v>39671.04</v>
      </c>
      <c r="F10" s="15">
        <f>IFERROR(__xludf.DUMMYFUNCTION("""COMPUTED_VALUE"""),2081.71)</f>
        <v>2081.71</v>
      </c>
      <c r="G10" s="3">
        <f>IFERROR(__xludf.DUMMYFUNCTION("""COMPUTED_VALUE"""),529.83)</f>
        <v>529.83</v>
      </c>
      <c r="H10" s="3">
        <f>IFERROR(__xludf.DUMMYFUNCTION("""COMPUTED_VALUE"""),455.71)</f>
        <v>455.71</v>
      </c>
      <c r="I10" s="3">
        <f>IFERROR(__xludf.DUMMYFUNCTION("""COMPUTED_VALUE"""),483.93)</f>
        <v>483.93</v>
      </c>
      <c r="J10" s="3">
        <f>IFERROR(__xludf.DUMMYFUNCTION("""COMPUTED_VALUE"""),183.13)</f>
        <v>183.13</v>
      </c>
      <c r="K10" s="3">
        <f>IFERROR(__xludf.DUMMYFUNCTION("""COMPUTED_VALUE"""),133.75)</f>
        <v>133.75</v>
      </c>
      <c r="L10" s="3">
        <f>IFERROR(__xludf.DUMMYFUNCTION("""COMPUTED_VALUE"""),190.9)</f>
        <v>190.9</v>
      </c>
      <c r="M10" s="3">
        <f>IFERROR(__xludf.DUMMYFUNCTION("""COMPUTED_VALUE"""),218.15)</f>
        <v>218.15</v>
      </c>
      <c r="N10" s="3">
        <f>IFERROR(__xludf.DUMMYFUNCTION("""COMPUTED_VALUE"""),58.97)</f>
        <v>58.97</v>
      </c>
      <c r="O10" s="3">
        <f>IFERROR(__xludf.DUMMYFUNCTION("""COMPUTED_VALUE"""),10.84)</f>
        <v>10.84</v>
      </c>
      <c r="P10" s="3">
        <f>IFERROR(__xludf.DUMMYFUNCTION("""COMPUTED_VALUE"""),413.99)</f>
        <v>413.99</v>
      </c>
      <c r="Q10" s="3">
        <f>IFERROR(__xludf.DUMMYFUNCTION("""COMPUTED_VALUE"""),58.73)</f>
        <v>58.73</v>
      </c>
      <c r="R10" s="3">
        <f>IFERROR(__xludf.DUMMYFUNCTION("""COMPUTED_VALUE"""),225.21)</f>
        <v>225.21</v>
      </c>
      <c r="S10" s="3">
        <f>IFERROR(__xludf.DUMMYFUNCTION("""COMPUTED_VALUE"""),75.37)</f>
        <v>75.37</v>
      </c>
      <c r="T10" s="3">
        <f>IFERROR(__xludf.DUMMYFUNCTION("""COMPUTED_VALUE"""),65.35)</f>
        <v>65.35</v>
      </c>
      <c r="U10" s="3">
        <f>IFERROR(__xludf.DUMMYFUNCTION("""COMPUTED_VALUE"""),355.94)</f>
        <v>355.94</v>
      </c>
      <c r="V10" s="3">
        <f>IFERROR(__xludf.DUMMYFUNCTION("""COMPUTED_VALUE"""),52.14)</f>
        <v>52.14</v>
      </c>
      <c r="W10" s="3">
        <f>IFERROR(__xludf.DUMMYFUNCTION("""COMPUTED_VALUE"""),153.52)</f>
        <v>153.52</v>
      </c>
      <c r="X10" s="3">
        <f>IFERROR(__xludf.DUMMYFUNCTION("""COMPUTED_VALUE"""),157.57)</f>
        <v>157.57</v>
      </c>
      <c r="Y10" s="1">
        <f>IFERROR(__xludf.DUMMYFUNCTION("""COMPUTED_VALUE"""),336.47)</f>
        <v>336.47</v>
      </c>
      <c r="Z10" s="1">
        <f>IFERROR(__xludf.DUMMYFUNCTION("""COMPUTED_VALUE"""),35.91)</f>
        <v>35.91</v>
      </c>
      <c r="AA10" s="1">
        <f>IFERROR(__xludf.DUMMYFUNCTION("""COMPUTED_VALUE"""),63.0)</f>
        <v>63</v>
      </c>
      <c r="AB10" s="1">
        <f>IFERROR(__xludf.DUMMYFUNCTION("""COMPUTED_VALUE"""),96.13)</f>
        <v>96.13</v>
      </c>
      <c r="AC10" s="1">
        <f>IFERROR(__xludf.DUMMYFUNCTION("""COMPUTED_VALUE"""),143.15)</f>
        <v>143.15</v>
      </c>
      <c r="AD10" s="3">
        <f>IFERROR(__xludf.DUMMYFUNCTION("""COMPUTED_VALUE"""),113.77)</f>
        <v>113.77</v>
      </c>
      <c r="AE10" s="1">
        <f>IFERROR(__xludf.DUMMYFUNCTION("""COMPUTED_VALUE"""),511.92)</f>
        <v>511.92</v>
      </c>
      <c r="AF10" s="1">
        <f>IFERROR(__xludf.DUMMYFUNCTION("""COMPUTED_VALUE"""),52.8)</f>
        <v>52.8</v>
      </c>
      <c r="AG10" s="1">
        <f>IFERROR(__xludf.DUMMYFUNCTION("""COMPUTED_VALUE"""),115.48)</f>
        <v>115.48</v>
      </c>
      <c r="AH10" s="3">
        <f>IFERROR(__xludf.DUMMYFUNCTION("""COMPUTED_VALUE"""),252.07)</f>
        <v>252.07</v>
      </c>
      <c r="AI10" s="1">
        <f>IFERROR(__xludf.DUMMYFUNCTION("""COMPUTED_VALUE"""),415.05)</f>
        <v>415.05</v>
      </c>
      <c r="AJ10" s="1">
        <f>IFERROR(__xludf.DUMMYFUNCTION("""COMPUTED_VALUE"""),298.01)</f>
        <v>298.01</v>
      </c>
      <c r="AK10" s="3">
        <f>IFERROR(__xludf.DUMMYFUNCTION("""COMPUTED_VALUE"""),43.97)</f>
        <v>43.97</v>
      </c>
      <c r="AL10" s="1">
        <f>IFERROR(__xludf.DUMMYFUNCTION("""COMPUTED_VALUE"""),67.8)</f>
        <v>67.8</v>
      </c>
      <c r="AM10" s="1">
        <f>IFERROR(__xludf.DUMMYFUNCTION("""COMPUTED_VALUE"""),462.38)</f>
        <v>462.38</v>
      </c>
      <c r="AN10" s="1">
        <f>IFERROR(__xludf.DUMMYFUNCTION("""COMPUTED_VALUE"""),330.59)</f>
        <v>330.59</v>
      </c>
      <c r="AO10" s="1">
        <f>IFERROR(__xludf.DUMMYFUNCTION("""COMPUTED_VALUE"""),85.22)</f>
        <v>85.22</v>
      </c>
      <c r="AP10" s="1">
        <f>IFERROR(__xludf.DUMMYFUNCTION("""COMPUTED_VALUE"""),136.89)</f>
        <v>136.89</v>
      </c>
      <c r="AQ10" s="1">
        <f>IFERROR(__xludf.DUMMYFUNCTION("""COMPUTED_VALUE"""),400.9)</f>
        <v>400.9</v>
      </c>
      <c r="AR10" s="3">
        <f>IFERROR(__xludf.DUMMYFUNCTION("""COMPUTED_VALUE"""),198.31)</f>
        <v>198.31</v>
      </c>
      <c r="AS10" s="3">
        <f>IFERROR(__xludf.DUMMYFUNCTION("""COMPUTED_VALUE"""),469.71)</f>
        <v>469.71</v>
      </c>
      <c r="AT10" s="3">
        <f>IFERROR(__xludf.DUMMYFUNCTION("""COMPUTED_VALUE"""),299.63)</f>
        <v>299.63</v>
      </c>
      <c r="AU10" s="1">
        <f>IFERROR(__xludf.DUMMYFUNCTION("""COMPUTED_VALUE"""),26.27)</f>
        <v>26.27</v>
      </c>
      <c r="AV10" s="1">
        <f>IFERROR(__xludf.DUMMYFUNCTION("""COMPUTED_VALUE"""),85.76)</f>
        <v>85.76</v>
      </c>
      <c r="AW10" s="1">
        <f>IFERROR(__xludf.DUMMYFUNCTION("""COMPUTED_VALUE"""),72.87)</f>
        <v>72.87</v>
      </c>
      <c r="AX10" s="1">
        <f>IFERROR(__xludf.DUMMYFUNCTION("""COMPUTED_VALUE"""),17.54)</f>
        <v>17.54</v>
      </c>
      <c r="AY10" s="1">
        <f>IFERROR(__xludf.DUMMYFUNCTION("""COMPUTED_VALUE"""),430.52)</f>
        <v>430.52</v>
      </c>
      <c r="AZ10" s="3">
        <f>IFERROR(__xludf.DUMMYFUNCTION("""COMPUTED_VALUE"""),76.32)</f>
        <v>76.32</v>
      </c>
      <c r="BA10" s="3">
        <f>IFERROR(__xludf.DUMMYFUNCTION("""COMPUTED_VALUE"""),81.07)</f>
        <v>81.07</v>
      </c>
      <c r="BB10" s="3">
        <f>IFERROR(__xludf.DUMMYFUNCTION("""COMPUTED_VALUE"""),94.95)</f>
        <v>94.95</v>
      </c>
      <c r="BC10" s="1">
        <f>IFERROR(__xludf.DUMMYFUNCTION("""COMPUTED_VALUE"""),98.7)</f>
        <v>98.7</v>
      </c>
      <c r="BD10" s="1">
        <f>IFERROR(__xludf.DUMMYFUNCTION("""COMPUTED_VALUE"""),37.59)</f>
        <v>37.59</v>
      </c>
      <c r="BE10" s="1">
        <f>IFERROR(__xludf.DUMMYFUNCTION("""COMPUTED_VALUE"""),21.17)</f>
        <v>21.17</v>
      </c>
      <c r="BF10" s="1">
        <f>IFERROR(__xludf.DUMMYFUNCTION("""COMPUTED_VALUE"""),62.19)</f>
        <v>62.19</v>
      </c>
      <c r="BG10" s="1">
        <f>IFERROR(__xludf.DUMMYFUNCTION("""COMPUTED_VALUE"""),29.6)</f>
        <v>29.6</v>
      </c>
      <c r="BH10" s="1">
        <f>IFERROR(__xludf.DUMMYFUNCTION("""COMPUTED_VALUE"""),106.31)</f>
        <v>106.31</v>
      </c>
      <c r="BI10" s="1">
        <f>IFERROR(__xludf.DUMMYFUNCTION("""COMPUTED_VALUE"""),39.77)</f>
        <v>39.77</v>
      </c>
      <c r="BJ10" s="1">
        <f>IFERROR(__xludf.DUMMYFUNCTION("""COMPUTED_VALUE"""),165.5)</f>
        <v>165.5</v>
      </c>
      <c r="BK10" s="1">
        <f>IFERROR(__xludf.DUMMYFUNCTION("""COMPUTED_VALUE"""),590.8)</f>
        <v>590.8</v>
      </c>
      <c r="BL10" s="1">
        <f>IFERROR(__xludf.DUMMYFUNCTION("""COMPUTED_VALUE"""),216.63)</f>
        <v>216.63</v>
      </c>
      <c r="BM10" s="1">
        <f>IFERROR(__xludf.DUMMYFUNCTION("""COMPUTED_VALUE"""),136.97)</f>
        <v>136.97</v>
      </c>
      <c r="BN10" s="3">
        <f>IFERROR(__xludf.DUMMYFUNCTION("""COMPUTED_VALUE"""),6.95)</f>
        <v>6.95</v>
      </c>
      <c r="BO10" s="1">
        <f>IFERROR(__xludf.DUMMYFUNCTION("""COMPUTED_VALUE"""),234.71)</f>
        <v>234.71</v>
      </c>
      <c r="BP10" s="1">
        <f>IFERROR(__xludf.DUMMYFUNCTION("""COMPUTED_VALUE"""),521.35)</f>
        <v>521.35</v>
      </c>
      <c r="BQ10" s="36">
        <f>IFERROR(__xludf.DUMMYFUNCTION("""COMPUTED_VALUE"""),48.17)</f>
        <v>48.17</v>
      </c>
      <c r="BR10" s="1">
        <f>IFERROR(__xludf.DUMMYFUNCTION("""COMPUTED_VALUE"""),10.88)</f>
        <v>10.88</v>
      </c>
      <c r="BS10" s="1">
        <f>IFERROR(__xludf.DUMMYFUNCTION("""COMPUTED_VALUE"""),209.92)</f>
        <v>209.92</v>
      </c>
      <c r="BT10" s="1">
        <f>IFERROR(__xludf.DUMMYFUNCTION("""COMPUTED_VALUE"""),103.02)</f>
        <v>103.02</v>
      </c>
      <c r="BU10" s="3">
        <v>1.0</v>
      </c>
    </row>
    <row r="11">
      <c r="A11" s="25">
        <f>IFERROR(__xludf.DUMMYFUNCTION("""COMPUTED_VALUE"""),45435.66666666667)</f>
        <v>45435.66667</v>
      </c>
      <c r="B11" s="29">
        <f>'Master Scratch Work'!B10</f>
        <v>1212936.16</v>
      </c>
      <c r="C11" s="15">
        <f>IFERROR(__xludf.DUMMYFUNCTION("""COMPUTED_VALUE"""),5267.84)</f>
        <v>5267.84</v>
      </c>
      <c r="D11" s="15">
        <f>IFERROR(__xludf.DUMMYFUNCTION("""COMPUTED_VALUE"""),16736.03)</f>
        <v>16736.03</v>
      </c>
      <c r="E11" s="15">
        <f>IFERROR(__xludf.DUMMYFUNCTION("""COMPUTED_VALUE"""),39065.26)</f>
        <v>39065.26</v>
      </c>
      <c r="F11" s="15">
        <f>IFERROR(__xludf.DUMMYFUNCTION("""COMPUTED_VALUE"""),2048.41)</f>
        <v>2048.41</v>
      </c>
      <c r="G11" s="3">
        <f>IFERROR(__xludf.DUMMYFUNCTION("""COMPUTED_VALUE"""),525.96)</f>
        <v>525.96</v>
      </c>
      <c r="H11" s="3">
        <f>IFERROR(__xludf.DUMMYFUNCTION("""COMPUTED_VALUE"""),453.66)</f>
        <v>453.66</v>
      </c>
      <c r="I11" s="3">
        <f>IFERROR(__xludf.DUMMYFUNCTION("""COMPUTED_VALUE"""),483.31)</f>
        <v>483.31</v>
      </c>
      <c r="J11" s="3">
        <f>IFERROR(__xludf.DUMMYFUNCTION("""COMPUTED_VALUE"""),181.05)</f>
        <v>181.05</v>
      </c>
      <c r="K11" s="3">
        <f>IFERROR(__xludf.DUMMYFUNCTION("""COMPUTED_VALUE"""),128.6)</f>
        <v>128.6</v>
      </c>
      <c r="L11" s="3">
        <f>IFERROR(__xludf.DUMMYFUNCTION("""COMPUTED_VALUE"""),186.88)</f>
        <v>186.88</v>
      </c>
      <c r="M11" s="3">
        <f>IFERROR(__xludf.DUMMYFUNCTION("""COMPUTED_VALUE"""),217.95)</f>
        <v>217.95</v>
      </c>
      <c r="N11" s="3">
        <f>IFERROR(__xludf.DUMMYFUNCTION("""COMPUTED_VALUE"""),58.33)</f>
        <v>58.33</v>
      </c>
      <c r="O11" s="3">
        <f>IFERROR(__xludf.DUMMYFUNCTION("""COMPUTED_VALUE"""),10.91)</f>
        <v>10.91</v>
      </c>
      <c r="P11" s="3">
        <f>IFERROR(__xludf.DUMMYFUNCTION("""COMPUTED_VALUE"""),405.88)</f>
        <v>405.88</v>
      </c>
      <c r="Q11" s="3">
        <f>IFERROR(__xludf.DUMMYFUNCTION("""COMPUTED_VALUE"""),58.75)</f>
        <v>58.75</v>
      </c>
      <c r="R11" s="3">
        <f>IFERROR(__xludf.DUMMYFUNCTION("""COMPUTED_VALUE"""),218.06)</f>
        <v>218.06</v>
      </c>
      <c r="S11" s="3">
        <f>IFERROR(__xludf.DUMMYFUNCTION("""COMPUTED_VALUE"""),74.38)</f>
        <v>74.38</v>
      </c>
      <c r="T11" s="3">
        <f>IFERROR(__xludf.DUMMYFUNCTION("""COMPUTED_VALUE"""),64.35)</f>
        <v>64.35</v>
      </c>
      <c r="U11" s="3">
        <f>IFERROR(__xludf.DUMMYFUNCTION("""COMPUTED_VALUE"""),350.7)</f>
        <v>350.7</v>
      </c>
      <c r="V11" s="3">
        <f>IFERROR(__xludf.DUMMYFUNCTION("""COMPUTED_VALUE"""),51.69)</f>
        <v>51.69</v>
      </c>
      <c r="W11" s="3">
        <f>IFERROR(__xludf.DUMMYFUNCTION("""COMPUTED_VALUE"""),153.5)</f>
        <v>153.5</v>
      </c>
      <c r="X11" s="3">
        <f>IFERROR(__xludf.DUMMYFUNCTION("""COMPUTED_VALUE"""),156.94)</f>
        <v>156.94</v>
      </c>
      <c r="Y11" s="1">
        <f>IFERROR(__xludf.DUMMYFUNCTION("""COMPUTED_VALUE"""),337.83)</f>
        <v>337.83</v>
      </c>
      <c r="Z11" s="1">
        <f>IFERROR(__xludf.DUMMYFUNCTION("""COMPUTED_VALUE"""),35.12)</f>
        <v>35.12</v>
      </c>
      <c r="AA11" s="1">
        <f>IFERROR(__xludf.DUMMYFUNCTION("""COMPUTED_VALUE"""),62.09)</f>
        <v>62.09</v>
      </c>
      <c r="AB11" s="1">
        <f>IFERROR(__xludf.DUMMYFUNCTION("""COMPUTED_VALUE"""),93.87)</f>
        <v>93.87</v>
      </c>
      <c r="AC11" s="1">
        <f>IFERROR(__xludf.DUMMYFUNCTION("""COMPUTED_VALUE"""),142.25)</f>
        <v>142.25</v>
      </c>
      <c r="AD11" s="3">
        <f>IFERROR(__xludf.DUMMYFUNCTION("""COMPUTED_VALUE"""),114.6)</f>
        <v>114.6</v>
      </c>
      <c r="AE11" s="1">
        <f>IFERROR(__xludf.DUMMYFUNCTION("""COMPUTED_VALUE"""),502.13)</f>
        <v>502.13</v>
      </c>
      <c r="AF11" s="1">
        <f>IFERROR(__xludf.DUMMYFUNCTION("""COMPUTED_VALUE"""),52.81)</f>
        <v>52.81</v>
      </c>
      <c r="AG11" s="1">
        <f>IFERROR(__xludf.DUMMYFUNCTION("""COMPUTED_VALUE"""),113.51)</f>
        <v>113.51</v>
      </c>
      <c r="AH11" s="3">
        <f>IFERROR(__xludf.DUMMYFUNCTION("""COMPUTED_VALUE"""),249.29)</f>
        <v>249.29</v>
      </c>
      <c r="AI11" s="1">
        <f>IFERROR(__xludf.DUMMYFUNCTION("""COMPUTED_VALUE"""),413.53)</f>
        <v>413.53</v>
      </c>
      <c r="AJ11" s="1">
        <f>IFERROR(__xludf.DUMMYFUNCTION("""COMPUTED_VALUE"""),296.52)</f>
        <v>296.52</v>
      </c>
      <c r="AK11" s="3">
        <f>IFERROR(__xludf.DUMMYFUNCTION("""COMPUTED_VALUE"""),43.73)</f>
        <v>43.73</v>
      </c>
      <c r="AL11" s="1">
        <f>IFERROR(__xludf.DUMMYFUNCTION("""COMPUTED_VALUE"""),66.17)</f>
        <v>66.17</v>
      </c>
      <c r="AM11" s="1">
        <f>IFERROR(__xludf.DUMMYFUNCTION("""COMPUTED_VALUE"""),458.15)</f>
        <v>458.15</v>
      </c>
      <c r="AN11" s="1">
        <f>IFERROR(__xludf.DUMMYFUNCTION("""COMPUTED_VALUE"""),326.89)</f>
        <v>326.89</v>
      </c>
      <c r="AO11" s="1">
        <f>IFERROR(__xludf.DUMMYFUNCTION("""COMPUTED_VALUE"""),85.58)</f>
        <v>85.58</v>
      </c>
      <c r="AP11" s="1">
        <f>IFERROR(__xludf.DUMMYFUNCTION("""COMPUTED_VALUE"""),135.4)</f>
        <v>135.4</v>
      </c>
      <c r="AQ11" s="1">
        <f>IFERROR(__xludf.DUMMYFUNCTION("""COMPUTED_VALUE"""),398.39)</f>
        <v>398.39</v>
      </c>
      <c r="AR11" s="3">
        <f>IFERROR(__xludf.DUMMYFUNCTION("""COMPUTED_VALUE"""),196.92)</f>
        <v>196.92</v>
      </c>
      <c r="AS11" s="3">
        <f>IFERROR(__xludf.DUMMYFUNCTION("""COMPUTED_VALUE"""),467.08)</f>
        <v>467.08</v>
      </c>
      <c r="AT11" s="3">
        <f>IFERROR(__xludf.DUMMYFUNCTION("""COMPUTED_VALUE"""),299.74)</f>
        <v>299.74</v>
      </c>
      <c r="AU11" s="1">
        <f>IFERROR(__xludf.DUMMYFUNCTION("""COMPUTED_VALUE"""),26.14)</f>
        <v>26.14</v>
      </c>
      <c r="AV11" s="1">
        <f>IFERROR(__xludf.DUMMYFUNCTION("""COMPUTED_VALUE"""),81.38)</f>
        <v>81.38</v>
      </c>
      <c r="AW11" s="1">
        <f>IFERROR(__xludf.DUMMYFUNCTION("""COMPUTED_VALUE"""),71.65)</f>
        <v>71.65</v>
      </c>
      <c r="AX11" s="1">
        <f>IFERROR(__xludf.DUMMYFUNCTION("""COMPUTED_VALUE"""),16.88)</f>
        <v>16.88</v>
      </c>
      <c r="AY11" s="1">
        <f>IFERROR(__xludf.DUMMYFUNCTION("""COMPUTED_VALUE"""),427.0)</f>
        <v>427</v>
      </c>
      <c r="AZ11" s="3">
        <f>IFERROR(__xludf.DUMMYFUNCTION("""COMPUTED_VALUE"""),75.32)</f>
        <v>75.32</v>
      </c>
      <c r="BA11" s="3">
        <f>IFERROR(__xludf.DUMMYFUNCTION("""COMPUTED_VALUE"""),81.09)</f>
        <v>81.09</v>
      </c>
      <c r="BB11" s="3">
        <f>IFERROR(__xludf.DUMMYFUNCTION("""COMPUTED_VALUE"""),103.8)</f>
        <v>103.8</v>
      </c>
      <c r="BC11" s="1">
        <f>IFERROR(__xludf.DUMMYFUNCTION("""COMPUTED_VALUE"""),97.13)</f>
        <v>97.13</v>
      </c>
      <c r="BD11" s="1">
        <f>IFERROR(__xludf.DUMMYFUNCTION("""COMPUTED_VALUE"""),38.41)</f>
        <v>38.41</v>
      </c>
      <c r="BE11" s="1">
        <f>IFERROR(__xludf.DUMMYFUNCTION("""COMPUTED_VALUE"""),20.72)</f>
        <v>20.72</v>
      </c>
      <c r="BF11" s="1">
        <f>IFERROR(__xludf.DUMMYFUNCTION("""COMPUTED_VALUE"""),61.58)</f>
        <v>61.58</v>
      </c>
      <c r="BG11" s="1">
        <f>IFERROR(__xludf.DUMMYFUNCTION("""COMPUTED_VALUE"""),28.69)</f>
        <v>28.69</v>
      </c>
      <c r="BH11" s="1">
        <f>IFERROR(__xludf.DUMMYFUNCTION("""COMPUTED_VALUE"""),105.41)</f>
        <v>105.41</v>
      </c>
      <c r="BI11" s="1">
        <f>IFERROR(__xludf.DUMMYFUNCTION("""COMPUTED_VALUE"""),38.13)</f>
        <v>38.13</v>
      </c>
      <c r="BJ11" s="1">
        <f>IFERROR(__xludf.DUMMYFUNCTION("""COMPUTED_VALUE"""),164.97)</f>
        <v>164.97</v>
      </c>
      <c r="BK11" s="1">
        <f>IFERROR(__xludf.DUMMYFUNCTION("""COMPUTED_VALUE"""),585.03)</f>
        <v>585.03</v>
      </c>
      <c r="BL11" s="1">
        <f>IFERROR(__xludf.DUMMYFUNCTION("""COMPUTED_VALUE"""),214.72)</f>
        <v>214.72</v>
      </c>
      <c r="BM11" s="1">
        <f>IFERROR(__xludf.DUMMYFUNCTION("""COMPUTED_VALUE"""),137.53)</f>
        <v>137.53</v>
      </c>
      <c r="BN11" s="3">
        <f>IFERROR(__xludf.DUMMYFUNCTION("""COMPUTED_VALUE"""),6.72)</f>
        <v>6.72</v>
      </c>
      <c r="BO11" s="1">
        <f>IFERROR(__xludf.DUMMYFUNCTION("""COMPUTED_VALUE"""),232.71)</f>
        <v>232.71</v>
      </c>
      <c r="BP11" s="1">
        <f>IFERROR(__xludf.DUMMYFUNCTION("""COMPUTED_VALUE"""),516.83)</f>
        <v>516.83</v>
      </c>
      <c r="BQ11" s="36">
        <f>IFERROR(__xludf.DUMMYFUNCTION("""COMPUTED_VALUE"""),48.12)</f>
        <v>48.12</v>
      </c>
      <c r="BR11" s="1">
        <f>IFERROR(__xludf.DUMMYFUNCTION("""COMPUTED_VALUE"""),10.53)</f>
        <v>10.53</v>
      </c>
      <c r="BS11" s="1">
        <f>IFERROR(__xludf.DUMMYFUNCTION("""COMPUTED_VALUE"""),209.49)</f>
        <v>209.49</v>
      </c>
      <c r="BT11" s="1">
        <f>IFERROR(__xludf.DUMMYFUNCTION("""COMPUTED_VALUE"""),100.66)</f>
        <v>100.66</v>
      </c>
      <c r="BU11" s="3">
        <v>1.0</v>
      </c>
    </row>
    <row r="12">
      <c r="A12" s="25">
        <f>IFERROR(__xludf.DUMMYFUNCTION("""COMPUTED_VALUE"""),45436.66666666667)</f>
        <v>45436.66667</v>
      </c>
      <c r="B12" s="29">
        <f>'Master Scratch Work'!B11</f>
        <v>1219293.34</v>
      </c>
      <c r="C12" s="15">
        <f>IFERROR(__xludf.DUMMYFUNCTION("""COMPUTED_VALUE"""),5304.72)</f>
        <v>5304.72</v>
      </c>
      <c r="D12" s="15">
        <f>IFERROR(__xludf.DUMMYFUNCTION("""COMPUTED_VALUE"""),16920.79)</f>
        <v>16920.79</v>
      </c>
      <c r="E12" s="15">
        <f>IFERROR(__xludf.DUMMYFUNCTION("""COMPUTED_VALUE"""),39069.59)</f>
        <v>39069.59</v>
      </c>
      <c r="F12" s="15">
        <f>IFERROR(__xludf.DUMMYFUNCTION("""COMPUTED_VALUE"""),2069.67)</f>
        <v>2069.67</v>
      </c>
      <c r="G12" s="3">
        <f>IFERROR(__xludf.DUMMYFUNCTION("""COMPUTED_VALUE"""),529.44)</f>
        <v>529.44</v>
      </c>
      <c r="H12" s="3">
        <f>IFERROR(__xludf.DUMMYFUNCTION("""COMPUTED_VALUE"""),457.95)</f>
        <v>457.95</v>
      </c>
      <c r="I12" s="3">
        <f>IFERROR(__xludf.DUMMYFUNCTION("""COMPUTED_VALUE"""),475.43)</f>
        <v>475.43</v>
      </c>
      <c r="J12" s="3">
        <f>IFERROR(__xludf.DUMMYFUNCTION("""COMPUTED_VALUE"""),180.75)</f>
        <v>180.75</v>
      </c>
      <c r="K12" s="3">
        <f>IFERROR(__xludf.DUMMYFUNCTION("""COMPUTED_VALUE"""),128.23)</f>
        <v>128.23</v>
      </c>
      <c r="L12" s="3">
        <f>IFERROR(__xludf.DUMMYFUNCTION("""COMPUTED_VALUE"""),189.98)</f>
        <v>189.98</v>
      </c>
      <c r="M12" s="3">
        <f>IFERROR(__xludf.DUMMYFUNCTION("""COMPUTED_VALUE"""),220.89)</f>
        <v>220.89</v>
      </c>
      <c r="N12" s="3">
        <f>IFERROR(__xludf.DUMMYFUNCTION("""COMPUTED_VALUE"""),59.09)</f>
        <v>59.09</v>
      </c>
      <c r="O12" s="3">
        <f>IFERROR(__xludf.DUMMYFUNCTION("""COMPUTED_VALUE"""),11.08)</f>
        <v>11.08</v>
      </c>
      <c r="P12" s="3">
        <f>IFERROR(__xludf.DUMMYFUNCTION("""COMPUTED_VALUE"""),407.41)</f>
        <v>407.41</v>
      </c>
      <c r="Q12" s="3">
        <f>IFERROR(__xludf.DUMMYFUNCTION("""COMPUTED_VALUE"""),59.63)</f>
        <v>59.63</v>
      </c>
      <c r="R12" s="3">
        <f>IFERROR(__xludf.DUMMYFUNCTION("""COMPUTED_VALUE"""),217.81)</f>
        <v>217.81</v>
      </c>
      <c r="S12" s="3">
        <f>IFERROR(__xludf.DUMMYFUNCTION("""COMPUTED_VALUE"""),75.63)</f>
        <v>75.63</v>
      </c>
      <c r="T12" s="3">
        <f>IFERROR(__xludf.DUMMYFUNCTION("""COMPUTED_VALUE"""),65.65)</f>
        <v>65.65</v>
      </c>
      <c r="U12" s="3">
        <f>IFERROR(__xludf.DUMMYFUNCTION("""COMPUTED_VALUE"""),348.9)</f>
        <v>348.9</v>
      </c>
      <c r="V12" s="3">
        <f>IFERROR(__xludf.DUMMYFUNCTION("""COMPUTED_VALUE"""),52.99)</f>
        <v>52.99</v>
      </c>
      <c r="W12" s="3">
        <f>IFERROR(__xludf.DUMMYFUNCTION("""COMPUTED_VALUE"""),154.42)</f>
        <v>154.42</v>
      </c>
      <c r="X12" s="3">
        <f>IFERROR(__xludf.DUMMYFUNCTION("""COMPUTED_VALUE"""),157.75)</f>
        <v>157.75</v>
      </c>
      <c r="Y12" s="1">
        <f>IFERROR(__xludf.DUMMYFUNCTION("""COMPUTED_VALUE"""),332.61)</f>
        <v>332.61</v>
      </c>
      <c r="Z12" s="1">
        <f>IFERROR(__xludf.DUMMYFUNCTION("""COMPUTED_VALUE"""),35.35)</f>
        <v>35.35</v>
      </c>
      <c r="AA12" s="1">
        <f>IFERROR(__xludf.DUMMYFUNCTION("""COMPUTED_VALUE"""),62.0)</f>
        <v>62</v>
      </c>
      <c r="AB12" s="1">
        <f>IFERROR(__xludf.DUMMYFUNCTION("""COMPUTED_VALUE"""),94.43)</f>
        <v>94.43</v>
      </c>
      <c r="AC12" s="1">
        <f>IFERROR(__xludf.DUMMYFUNCTION("""COMPUTED_VALUE"""),142.77)</f>
        <v>142.77</v>
      </c>
      <c r="AD12" s="3">
        <f>IFERROR(__xludf.DUMMYFUNCTION("""COMPUTED_VALUE"""),115.37)</f>
        <v>115.37</v>
      </c>
      <c r="AE12" s="1">
        <f>IFERROR(__xludf.DUMMYFUNCTION("""COMPUTED_VALUE"""),502.16)</f>
        <v>502.16</v>
      </c>
      <c r="AF12" s="1">
        <f>IFERROR(__xludf.DUMMYFUNCTION("""COMPUTED_VALUE"""),54.41)</f>
        <v>54.41</v>
      </c>
      <c r="AG12" s="1">
        <f>IFERROR(__xludf.DUMMYFUNCTION("""COMPUTED_VALUE"""),113.42)</f>
        <v>113.42</v>
      </c>
      <c r="AH12" s="3">
        <f>IFERROR(__xludf.DUMMYFUNCTION("""COMPUTED_VALUE"""),247.59)</f>
        <v>247.59</v>
      </c>
      <c r="AI12" s="1">
        <f>IFERROR(__xludf.DUMMYFUNCTION("""COMPUTED_VALUE"""),416.16)</f>
        <v>416.16</v>
      </c>
      <c r="AJ12" s="1">
        <f>IFERROR(__xludf.DUMMYFUNCTION("""COMPUTED_VALUE"""),299.62)</f>
        <v>299.62</v>
      </c>
      <c r="AK12" s="3">
        <f>IFERROR(__xludf.DUMMYFUNCTION("""COMPUTED_VALUE"""),44.11)</f>
        <v>44.11</v>
      </c>
      <c r="AL12" s="1">
        <f>IFERROR(__xludf.DUMMYFUNCTION("""COMPUTED_VALUE"""),65.68)</f>
        <v>65.68</v>
      </c>
      <c r="AM12" s="1">
        <f>IFERROR(__xludf.DUMMYFUNCTION("""COMPUTED_VALUE"""),461.18)</f>
        <v>461.18</v>
      </c>
      <c r="AN12" s="1">
        <f>IFERROR(__xludf.DUMMYFUNCTION("""COMPUTED_VALUE"""),325.1)</f>
        <v>325.1</v>
      </c>
      <c r="AO12" s="1">
        <f>IFERROR(__xludf.DUMMYFUNCTION("""COMPUTED_VALUE"""),87.17)</f>
        <v>87.17</v>
      </c>
      <c r="AP12" s="1">
        <f>IFERROR(__xludf.DUMMYFUNCTION("""COMPUTED_VALUE"""),136.34)</f>
        <v>136.34</v>
      </c>
      <c r="AQ12" s="1">
        <f>IFERROR(__xludf.DUMMYFUNCTION("""COMPUTED_VALUE"""),404.85)</f>
        <v>404.85</v>
      </c>
      <c r="AR12" s="3">
        <f>IFERROR(__xludf.DUMMYFUNCTION("""COMPUTED_VALUE"""),200.71)</f>
        <v>200.71</v>
      </c>
      <c r="AS12" s="3">
        <f>IFERROR(__xludf.DUMMYFUNCTION("""COMPUTED_VALUE"""),467.35)</f>
        <v>467.35</v>
      </c>
      <c r="AT12" s="3">
        <f>IFERROR(__xludf.DUMMYFUNCTION("""COMPUTED_VALUE"""),303.01)</f>
        <v>303.01</v>
      </c>
      <c r="AU12" s="1">
        <f>IFERROR(__xludf.DUMMYFUNCTION("""COMPUTED_VALUE"""),26.54)</f>
        <v>26.54</v>
      </c>
      <c r="AV12" s="1">
        <f>IFERROR(__xludf.DUMMYFUNCTION("""COMPUTED_VALUE"""),82.29)</f>
        <v>82.29</v>
      </c>
      <c r="AW12" s="1">
        <f>IFERROR(__xludf.DUMMYFUNCTION("""COMPUTED_VALUE"""),72.54)</f>
        <v>72.54</v>
      </c>
      <c r="AX12" s="1">
        <f>IFERROR(__xludf.DUMMYFUNCTION("""COMPUTED_VALUE"""),17.14)</f>
        <v>17.14</v>
      </c>
      <c r="AY12" s="1">
        <f>IFERROR(__xludf.DUMMYFUNCTION("""COMPUTED_VALUE"""),430.16)</f>
        <v>430.16</v>
      </c>
      <c r="AZ12" s="3">
        <f>IFERROR(__xludf.DUMMYFUNCTION("""COMPUTED_VALUE"""),76.61)</f>
        <v>76.61</v>
      </c>
      <c r="BA12" s="3">
        <f>IFERROR(__xludf.DUMMYFUNCTION("""COMPUTED_VALUE"""),86.0)</f>
        <v>86</v>
      </c>
      <c r="BB12" s="3">
        <f>IFERROR(__xludf.DUMMYFUNCTION("""COMPUTED_VALUE"""),106.47)</f>
        <v>106.47</v>
      </c>
      <c r="BC12" s="1">
        <f>IFERROR(__xludf.DUMMYFUNCTION("""COMPUTED_VALUE"""),97.57)</f>
        <v>97.57</v>
      </c>
      <c r="BD12" s="1">
        <f>IFERROR(__xludf.DUMMYFUNCTION("""COMPUTED_VALUE"""),40.23)</f>
        <v>40.23</v>
      </c>
      <c r="BE12" s="1">
        <f>IFERROR(__xludf.DUMMYFUNCTION("""COMPUTED_VALUE"""),21.01)</f>
        <v>21.01</v>
      </c>
      <c r="BF12" s="1">
        <f>IFERROR(__xludf.DUMMYFUNCTION("""COMPUTED_VALUE"""),61.64)</f>
        <v>61.64</v>
      </c>
      <c r="BG12" s="1">
        <f>IFERROR(__xludf.DUMMYFUNCTION("""COMPUTED_VALUE"""),28.88)</f>
        <v>28.88</v>
      </c>
      <c r="BH12" s="1">
        <f>IFERROR(__xludf.DUMMYFUNCTION("""COMPUTED_VALUE"""),106.27)</f>
        <v>106.27</v>
      </c>
      <c r="BI12" s="1">
        <f>IFERROR(__xludf.DUMMYFUNCTION("""COMPUTED_VALUE"""),37.95)</f>
        <v>37.95</v>
      </c>
      <c r="BJ12" s="1">
        <f>IFERROR(__xludf.DUMMYFUNCTION("""COMPUTED_VALUE"""),166.0)</f>
        <v>166</v>
      </c>
      <c r="BK12" s="1">
        <f>IFERROR(__xludf.DUMMYFUNCTION("""COMPUTED_VALUE"""),584.05)</f>
        <v>584.05</v>
      </c>
      <c r="BL12" s="1">
        <f>IFERROR(__xludf.DUMMYFUNCTION("""COMPUTED_VALUE"""),216.84)</f>
        <v>216.84</v>
      </c>
      <c r="BM12" s="1">
        <f>IFERROR(__xludf.DUMMYFUNCTION("""COMPUTED_VALUE"""),140.29)</f>
        <v>140.29</v>
      </c>
      <c r="BN12" s="3">
        <f>IFERROR(__xludf.DUMMYFUNCTION("""COMPUTED_VALUE"""),6.65)</f>
        <v>6.65</v>
      </c>
      <c r="BO12" s="1">
        <f>IFERROR(__xludf.DUMMYFUNCTION("""COMPUTED_VALUE"""),232.05)</f>
        <v>232.05</v>
      </c>
      <c r="BP12" s="1">
        <f>IFERROR(__xludf.DUMMYFUNCTION("""COMPUTED_VALUE"""),508.17)</f>
        <v>508.17</v>
      </c>
      <c r="BQ12" s="36">
        <f>IFERROR(__xludf.DUMMYFUNCTION("""COMPUTED_VALUE"""),48.15)</f>
        <v>48.15</v>
      </c>
      <c r="BR12" s="1">
        <f>IFERROR(__xludf.DUMMYFUNCTION("""COMPUTED_VALUE"""),10.41)</f>
        <v>10.41</v>
      </c>
      <c r="BS12" s="1">
        <f>IFERROR(__xludf.DUMMYFUNCTION("""COMPUTED_VALUE"""),208.81)</f>
        <v>208.81</v>
      </c>
      <c r="BT12" s="1">
        <f>IFERROR(__xludf.DUMMYFUNCTION("""COMPUTED_VALUE"""),101.76)</f>
        <v>101.76</v>
      </c>
      <c r="BU12" s="3">
        <v>1.0</v>
      </c>
    </row>
    <row r="13">
      <c r="A13" s="25">
        <f>IFERROR(__xludf.DUMMYFUNCTION("""COMPUTED_VALUE"""),45440.66666666667)</f>
        <v>45440.66667</v>
      </c>
      <c r="B13" s="29">
        <f>'Master Scratch Work'!B12</f>
        <v>1219193.82</v>
      </c>
      <c r="C13" s="15">
        <f>IFERROR(__xludf.DUMMYFUNCTION("""COMPUTED_VALUE"""),5306.04)</f>
        <v>5306.04</v>
      </c>
      <c r="D13" s="15">
        <f>IFERROR(__xludf.DUMMYFUNCTION("""COMPUTED_VALUE"""),17019.88)</f>
        <v>17019.88</v>
      </c>
      <c r="E13" s="15">
        <f>IFERROR(__xludf.DUMMYFUNCTION("""COMPUTED_VALUE"""),38852.86)</f>
        <v>38852.86</v>
      </c>
      <c r="F13" s="15">
        <f>IFERROR(__xludf.DUMMYFUNCTION("""COMPUTED_VALUE"""),2066.85)</f>
        <v>2066.85</v>
      </c>
      <c r="G13" s="3">
        <f>IFERROR(__xludf.DUMMYFUNCTION("""COMPUTED_VALUE"""),529.81)</f>
        <v>529.81</v>
      </c>
      <c r="H13" s="3">
        <f>IFERROR(__xludf.DUMMYFUNCTION("""COMPUTED_VALUE"""),459.68)</f>
        <v>459.68</v>
      </c>
      <c r="I13" s="3">
        <f>IFERROR(__xludf.DUMMYFUNCTION("""COMPUTED_VALUE"""),478.43)</f>
        <v>478.43</v>
      </c>
      <c r="J13" s="3">
        <f>IFERROR(__xludf.DUMMYFUNCTION("""COMPUTED_VALUE"""),182.15)</f>
        <v>182.15</v>
      </c>
      <c r="K13" s="3">
        <f>IFERROR(__xludf.DUMMYFUNCTION("""COMPUTED_VALUE"""),126.24)</f>
        <v>126.24</v>
      </c>
      <c r="L13" s="3">
        <f>IFERROR(__xludf.DUMMYFUNCTION("""COMPUTED_VALUE"""),189.99)</f>
        <v>189.99</v>
      </c>
      <c r="M13" s="3">
        <f>IFERROR(__xludf.DUMMYFUNCTION("""COMPUTED_VALUE"""),221.32)</f>
        <v>221.32</v>
      </c>
      <c r="N13" s="3">
        <f>IFERROR(__xludf.DUMMYFUNCTION("""COMPUTED_VALUE"""),58.24)</f>
        <v>58.24</v>
      </c>
      <c r="O13" s="3">
        <f>IFERROR(__xludf.DUMMYFUNCTION("""COMPUTED_VALUE"""),11.25)</f>
        <v>11.25</v>
      </c>
      <c r="P13" s="3">
        <f>IFERROR(__xludf.DUMMYFUNCTION("""COMPUTED_VALUE"""),403.9)</f>
        <v>403.9</v>
      </c>
      <c r="Q13" s="3">
        <f>IFERROR(__xludf.DUMMYFUNCTION("""COMPUTED_VALUE"""),59.6)</f>
        <v>59.6</v>
      </c>
      <c r="R13" s="3">
        <f>IFERROR(__xludf.DUMMYFUNCTION("""COMPUTED_VALUE"""),218.73)</f>
        <v>218.73</v>
      </c>
      <c r="S13" s="3">
        <f>IFERROR(__xludf.DUMMYFUNCTION("""COMPUTED_VALUE"""),75.17)</f>
        <v>75.17</v>
      </c>
      <c r="T13" s="3">
        <f>IFERROR(__xludf.DUMMYFUNCTION("""COMPUTED_VALUE"""),64.67)</f>
        <v>64.67</v>
      </c>
      <c r="U13" s="3">
        <f>IFERROR(__xludf.DUMMYFUNCTION("""COMPUTED_VALUE"""),346.47)</f>
        <v>346.47</v>
      </c>
      <c r="V13" s="3">
        <f>IFERROR(__xludf.DUMMYFUNCTION("""COMPUTED_VALUE"""),54.13)</f>
        <v>54.13</v>
      </c>
      <c r="W13" s="3">
        <f>IFERROR(__xludf.DUMMYFUNCTION("""COMPUTED_VALUE"""),149.71)</f>
        <v>149.71</v>
      </c>
      <c r="X13" s="3">
        <f>IFERROR(__xludf.DUMMYFUNCTION("""COMPUTED_VALUE"""),159.04)</f>
        <v>159.04</v>
      </c>
      <c r="Y13" s="1">
        <f>IFERROR(__xludf.DUMMYFUNCTION("""COMPUTED_VALUE"""),333.21)</f>
        <v>333.21</v>
      </c>
      <c r="Z13" s="1">
        <f>IFERROR(__xludf.DUMMYFUNCTION("""COMPUTED_VALUE"""),34.66)</f>
        <v>34.66</v>
      </c>
      <c r="AA13" s="1">
        <f>IFERROR(__xludf.DUMMYFUNCTION("""COMPUTED_VALUE"""),61.82)</f>
        <v>61.82</v>
      </c>
      <c r="AB13" s="1">
        <f>IFERROR(__xludf.DUMMYFUNCTION("""COMPUTED_VALUE"""),93.21)</f>
        <v>93.21</v>
      </c>
      <c r="AC13" s="1">
        <f>IFERROR(__xludf.DUMMYFUNCTION("""COMPUTED_VALUE"""),143.77)</f>
        <v>143.77</v>
      </c>
      <c r="AD13" s="3">
        <f>IFERROR(__xludf.DUMMYFUNCTION("""COMPUTED_VALUE"""),113.02)</f>
        <v>113.02</v>
      </c>
      <c r="AE13" s="1">
        <f>IFERROR(__xludf.DUMMYFUNCTION("""COMPUTED_VALUE"""),509.08)</f>
        <v>509.08</v>
      </c>
      <c r="AF13" s="1">
        <f>IFERROR(__xludf.DUMMYFUNCTION("""COMPUTED_VALUE"""),52.9)</f>
        <v>52.9</v>
      </c>
      <c r="AG13" s="1">
        <f>IFERROR(__xludf.DUMMYFUNCTION("""COMPUTED_VALUE"""),114.86)</f>
        <v>114.86</v>
      </c>
      <c r="AH13" s="3">
        <f>IFERROR(__xludf.DUMMYFUNCTION("""COMPUTED_VALUE"""),248.04)</f>
        <v>248.04</v>
      </c>
      <c r="AI13" s="1">
        <f>IFERROR(__xludf.DUMMYFUNCTION("""COMPUTED_VALUE"""),412.14)</f>
        <v>412.14</v>
      </c>
      <c r="AJ13" s="1">
        <f>IFERROR(__xludf.DUMMYFUNCTION("""COMPUTED_VALUE"""),297.34)</f>
        <v>297.34</v>
      </c>
      <c r="AK13" s="3">
        <f>IFERROR(__xludf.DUMMYFUNCTION("""COMPUTED_VALUE"""),43.09)</f>
        <v>43.09</v>
      </c>
      <c r="AL13" s="1">
        <f>IFERROR(__xludf.DUMMYFUNCTION("""COMPUTED_VALUE"""),63.94)</f>
        <v>63.94</v>
      </c>
      <c r="AM13" s="1">
        <f>IFERROR(__xludf.DUMMYFUNCTION("""COMPUTED_VALUE"""),459.81)</f>
        <v>459.81</v>
      </c>
      <c r="AN13" s="1">
        <f>IFERROR(__xludf.DUMMYFUNCTION("""COMPUTED_VALUE"""),328.7)</f>
        <v>328.7</v>
      </c>
      <c r="AO13" s="1">
        <f>IFERROR(__xludf.DUMMYFUNCTION("""COMPUTED_VALUE"""),88.06)</f>
        <v>88.06</v>
      </c>
      <c r="AP13" s="1">
        <f>IFERROR(__xludf.DUMMYFUNCTION("""COMPUTED_VALUE"""),133.68)</f>
        <v>133.68</v>
      </c>
      <c r="AQ13" s="1">
        <f>IFERROR(__xludf.DUMMYFUNCTION("""COMPUTED_VALUE"""),401.03)</f>
        <v>401.03</v>
      </c>
      <c r="AR13" s="3">
        <f>IFERROR(__xludf.DUMMYFUNCTION("""COMPUTED_VALUE"""),199.5)</f>
        <v>199.5</v>
      </c>
      <c r="AS13" s="3">
        <f>IFERROR(__xludf.DUMMYFUNCTION("""COMPUTED_VALUE"""),458.48)</f>
        <v>458.48</v>
      </c>
      <c r="AT13" s="3">
        <f>IFERROR(__xludf.DUMMYFUNCTION("""COMPUTED_VALUE"""),295.25)</f>
        <v>295.25</v>
      </c>
      <c r="AU13" s="1">
        <f>IFERROR(__xludf.DUMMYFUNCTION("""COMPUTED_VALUE"""),26.2)</f>
        <v>26.2</v>
      </c>
      <c r="AV13" s="1">
        <f>IFERROR(__xludf.DUMMYFUNCTION("""COMPUTED_VALUE"""),82.0)</f>
        <v>82</v>
      </c>
      <c r="AW13" s="1">
        <f>IFERROR(__xludf.DUMMYFUNCTION("""COMPUTED_VALUE"""),70.98)</f>
        <v>70.98</v>
      </c>
      <c r="AX13" s="1">
        <f>IFERROR(__xludf.DUMMYFUNCTION("""COMPUTED_VALUE"""),16.7)</f>
        <v>16.7</v>
      </c>
      <c r="AY13" s="1">
        <f>IFERROR(__xludf.DUMMYFUNCTION("""COMPUTED_VALUE"""),430.32)</f>
        <v>430.32</v>
      </c>
      <c r="AZ13" s="3">
        <f>IFERROR(__xludf.DUMMYFUNCTION("""COMPUTED_VALUE"""),77.53)</f>
        <v>77.53</v>
      </c>
      <c r="BA13" s="3">
        <f>IFERROR(__xludf.DUMMYFUNCTION("""COMPUTED_VALUE"""),83.85)</f>
        <v>83.85</v>
      </c>
      <c r="BB13" s="3">
        <f>IFERROR(__xludf.DUMMYFUNCTION("""COMPUTED_VALUE"""),113.9)</f>
        <v>113.9</v>
      </c>
      <c r="BC13" s="1">
        <f>IFERROR(__xludf.DUMMYFUNCTION("""COMPUTED_VALUE"""),95.25)</f>
        <v>95.25</v>
      </c>
      <c r="BD13" s="1">
        <f>IFERROR(__xludf.DUMMYFUNCTION("""COMPUTED_VALUE"""),41.82)</f>
        <v>41.82</v>
      </c>
      <c r="BE13" s="1">
        <f>IFERROR(__xludf.DUMMYFUNCTION("""COMPUTED_VALUE"""),21.05)</f>
        <v>21.05</v>
      </c>
      <c r="BF13" s="1">
        <f>IFERROR(__xludf.DUMMYFUNCTION("""COMPUTED_VALUE"""),62.17)</f>
        <v>62.17</v>
      </c>
      <c r="BG13" s="1">
        <f>IFERROR(__xludf.DUMMYFUNCTION("""COMPUTED_VALUE"""),28.3)</f>
        <v>28.3</v>
      </c>
      <c r="BH13" s="1">
        <f>IFERROR(__xludf.DUMMYFUNCTION("""COMPUTED_VALUE"""),105.52)</f>
        <v>105.52</v>
      </c>
      <c r="BI13" s="1">
        <f>IFERROR(__xludf.DUMMYFUNCTION("""COMPUTED_VALUE"""),37.9)</f>
        <v>37.9</v>
      </c>
      <c r="BJ13" s="1">
        <f>IFERROR(__xludf.DUMMYFUNCTION("""COMPUTED_VALUE"""),167.31)</f>
        <v>167.31</v>
      </c>
      <c r="BK13" s="1">
        <f>IFERROR(__xludf.DUMMYFUNCTION("""COMPUTED_VALUE"""),572.57)</f>
        <v>572.57</v>
      </c>
      <c r="BL13" s="1">
        <f>IFERROR(__xludf.DUMMYFUNCTION("""COMPUTED_VALUE"""),218.72)</f>
        <v>218.72</v>
      </c>
      <c r="BM13" s="1">
        <f>IFERROR(__xludf.DUMMYFUNCTION("""COMPUTED_VALUE"""),142.86)</f>
        <v>142.86</v>
      </c>
      <c r="BN13" s="3">
        <f>IFERROR(__xludf.DUMMYFUNCTION("""COMPUTED_VALUE"""),6.84)</f>
        <v>6.84</v>
      </c>
      <c r="BO13" s="1">
        <f>IFERROR(__xludf.DUMMYFUNCTION("""COMPUTED_VALUE"""),229.01)</f>
        <v>229.01</v>
      </c>
      <c r="BP13" s="1">
        <f>IFERROR(__xludf.DUMMYFUNCTION("""COMPUTED_VALUE"""),503.68)</f>
        <v>503.68</v>
      </c>
      <c r="BQ13" s="36">
        <f>IFERROR(__xludf.DUMMYFUNCTION("""COMPUTED_VALUE"""),48.16)</f>
        <v>48.16</v>
      </c>
      <c r="BR13" s="1">
        <f>IFERROR(__xludf.DUMMYFUNCTION("""COMPUTED_VALUE"""),10.39)</f>
        <v>10.39</v>
      </c>
      <c r="BS13" s="1">
        <f>IFERROR(__xludf.DUMMYFUNCTION("""COMPUTED_VALUE"""),206.46)</f>
        <v>206.46</v>
      </c>
      <c r="BT13" s="1">
        <f>IFERROR(__xludf.DUMMYFUNCTION("""COMPUTED_VALUE"""),102.44)</f>
        <v>102.44</v>
      </c>
      <c r="BU13" s="3">
        <v>1.0</v>
      </c>
    </row>
    <row r="14">
      <c r="A14" s="25">
        <f>IFERROR(__xludf.DUMMYFUNCTION("""COMPUTED_VALUE"""),45441.66666666667)</f>
        <v>45441.66667</v>
      </c>
      <c r="B14" s="29">
        <f>'Master Scratch Work'!B13</f>
        <v>1210093.82</v>
      </c>
      <c r="C14" s="15">
        <f>IFERROR(__xludf.DUMMYFUNCTION("""COMPUTED_VALUE"""),5266.95)</f>
        <v>5266.95</v>
      </c>
      <c r="D14" s="15">
        <f>IFERROR(__xludf.DUMMYFUNCTION("""COMPUTED_VALUE"""),16920.58)</f>
        <v>16920.58</v>
      </c>
      <c r="E14" s="15">
        <f>IFERROR(__xludf.DUMMYFUNCTION("""COMPUTED_VALUE"""),38441.54)</f>
        <v>38441.54</v>
      </c>
      <c r="F14" s="15">
        <f>IFERROR(__xludf.DUMMYFUNCTION("""COMPUTED_VALUE"""),2036.19)</f>
        <v>2036.19</v>
      </c>
      <c r="G14" s="3">
        <f>IFERROR(__xludf.DUMMYFUNCTION("""COMPUTED_VALUE"""),526.1)</f>
        <v>526.1</v>
      </c>
      <c r="H14" s="3">
        <f>IFERROR(__xludf.DUMMYFUNCTION("""COMPUTED_VALUE"""),456.44)</f>
        <v>456.44</v>
      </c>
      <c r="I14" s="3">
        <f>IFERROR(__xludf.DUMMYFUNCTION("""COMPUTED_VALUE"""),477.6)</f>
        <v>477.6</v>
      </c>
      <c r="J14" s="3">
        <f>IFERROR(__xludf.DUMMYFUNCTION("""COMPUTED_VALUE"""),182.02)</f>
        <v>182.02</v>
      </c>
      <c r="K14" s="3">
        <f>IFERROR(__xludf.DUMMYFUNCTION("""COMPUTED_VALUE"""),124.11)</f>
        <v>124.11</v>
      </c>
      <c r="L14" s="3">
        <f>IFERROR(__xludf.DUMMYFUNCTION("""COMPUTED_VALUE"""),190.29)</f>
        <v>190.29</v>
      </c>
      <c r="M14" s="3">
        <f>IFERROR(__xludf.DUMMYFUNCTION("""COMPUTED_VALUE"""),219.05)</f>
        <v>219.05</v>
      </c>
      <c r="N14" s="3">
        <f>IFERROR(__xludf.DUMMYFUNCTION("""COMPUTED_VALUE"""),57.76)</f>
        <v>57.76</v>
      </c>
      <c r="O14" s="3">
        <f>IFERROR(__xludf.DUMMYFUNCTION("""COMPUTED_VALUE"""),10.98)</f>
        <v>10.98</v>
      </c>
      <c r="P14" s="3">
        <f>IFERROR(__xludf.DUMMYFUNCTION("""COMPUTED_VALUE"""),404.09)</f>
        <v>404.09</v>
      </c>
      <c r="Q14" s="3">
        <f>IFERROR(__xludf.DUMMYFUNCTION("""COMPUTED_VALUE"""),59.45)</f>
        <v>59.45</v>
      </c>
      <c r="R14" s="3">
        <f>IFERROR(__xludf.DUMMYFUNCTION("""COMPUTED_VALUE"""),214.41)</f>
        <v>214.41</v>
      </c>
      <c r="S14" s="3">
        <f>IFERROR(__xludf.DUMMYFUNCTION("""COMPUTED_VALUE"""),74.98)</f>
        <v>74.98</v>
      </c>
      <c r="T14" s="3">
        <f>IFERROR(__xludf.DUMMYFUNCTION("""COMPUTED_VALUE"""),63.07)</f>
        <v>63.07</v>
      </c>
      <c r="U14" s="3">
        <f>IFERROR(__xludf.DUMMYFUNCTION("""COMPUTED_VALUE"""),338.11)</f>
        <v>338.11</v>
      </c>
      <c r="V14" s="3">
        <f>IFERROR(__xludf.DUMMYFUNCTION("""COMPUTED_VALUE"""),54.34)</f>
        <v>54.34</v>
      </c>
      <c r="W14" s="3">
        <f>IFERROR(__xludf.DUMMYFUNCTION("""COMPUTED_VALUE"""),149.05)</f>
        <v>149.05</v>
      </c>
      <c r="X14" s="3">
        <f>IFERROR(__xludf.DUMMYFUNCTION("""COMPUTED_VALUE"""),156.9)</f>
        <v>156.9</v>
      </c>
      <c r="Y14" s="1">
        <f>IFERROR(__xludf.DUMMYFUNCTION("""COMPUTED_VALUE"""),332.92)</f>
        <v>332.92</v>
      </c>
      <c r="Z14" s="1">
        <f>IFERROR(__xludf.DUMMYFUNCTION("""COMPUTED_VALUE"""),34.2)</f>
        <v>34.2</v>
      </c>
      <c r="AA14" s="1">
        <f>IFERROR(__xludf.DUMMYFUNCTION("""COMPUTED_VALUE"""),61.7)</f>
        <v>61.7</v>
      </c>
      <c r="AB14" s="1">
        <f>IFERROR(__xludf.DUMMYFUNCTION("""COMPUTED_VALUE"""),91.91)</f>
        <v>91.91</v>
      </c>
      <c r="AC14" s="1">
        <f>IFERROR(__xludf.DUMMYFUNCTION("""COMPUTED_VALUE"""),141.43)</f>
        <v>141.43</v>
      </c>
      <c r="AD14" s="3">
        <f>IFERROR(__xludf.DUMMYFUNCTION("""COMPUTED_VALUE"""),113.83)</f>
        <v>113.83</v>
      </c>
      <c r="AE14" s="1">
        <f>IFERROR(__xludf.DUMMYFUNCTION("""COMPUTED_VALUE"""),510.01)</f>
        <v>510.01</v>
      </c>
      <c r="AF14" s="1">
        <f>IFERROR(__xludf.DUMMYFUNCTION("""COMPUTED_VALUE"""),52.09)</f>
        <v>52.09</v>
      </c>
      <c r="AG14" s="1">
        <f>IFERROR(__xludf.DUMMYFUNCTION("""COMPUTED_VALUE"""),113.63)</f>
        <v>113.63</v>
      </c>
      <c r="AH14" s="3">
        <f>IFERROR(__xludf.DUMMYFUNCTION("""COMPUTED_VALUE"""),245.11)</f>
        <v>245.11</v>
      </c>
      <c r="AI14" s="1">
        <f>IFERROR(__xludf.DUMMYFUNCTION("""COMPUTED_VALUE"""),406.19)</f>
        <v>406.19</v>
      </c>
      <c r="AJ14" s="1">
        <f>IFERROR(__xludf.DUMMYFUNCTION("""COMPUTED_VALUE"""),293.48)</f>
        <v>293.48</v>
      </c>
      <c r="AK14" s="3">
        <f>IFERROR(__xludf.DUMMYFUNCTION("""COMPUTED_VALUE"""),42.64)</f>
        <v>42.64</v>
      </c>
      <c r="AL14" s="1">
        <f>IFERROR(__xludf.DUMMYFUNCTION("""COMPUTED_VALUE"""),63.5)</f>
        <v>63.5</v>
      </c>
      <c r="AM14" s="1">
        <f>IFERROR(__xludf.DUMMYFUNCTION("""COMPUTED_VALUE"""),457.17)</f>
        <v>457.17</v>
      </c>
      <c r="AN14" s="1">
        <f>IFERROR(__xludf.DUMMYFUNCTION("""COMPUTED_VALUE"""),325.91)</f>
        <v>325.91</v>
      </c>
      <c r="AO14" s="1">
        <f>IFERROR(__xludf.DUMMYFUNCTION("""COMPUTED_VALUE"""),86.1)</f>
        <v>86.1</v>
      </c>
      <c r="AP14" s="1">
        <f>IFERROR(__xludf.DUMMYFUNCTION("""COMPUTED_VALUE"""),131.95)</f>
        <v>131.95</v>
      </c>
      <c r="AQ14" s="1">
        <f>IFERROR(__xludf.DUMMYFUNCTION("""COMPUTED_VALUE"""),398.4)</f>
        <v>398.4</v>
      </c>
      <c r="AR14" s="3">
        <f>IFERROR(__xludf.DUMMYFUNCTION("""COMPUTED_VALUE"""),198.11)</f>
        <v>198.11</v>
      </c>
      <c r="AS14" s="3">
        <f>IFERROR(__xludf.DUMMYFUNCTION("""COMPUTED_VALUE"""),452.72)</f>
        <v>452.72</v>
      </c>
      <c r="AT14" s="3">
        <f>IFERROR(__xludf.DUMMYFUNCTION("""COMPUTED_VALUE"""),298.54)</f>
        <v>298.54</v>
      </c>
      <c r="AU14" s="1">
        <f>IFERROR(__xludf.DUMMYFUNCTION("""COMPUTED_VALUE"""),25.63)</f>
        <v>25.63</v>
      </c>
      <c r="AV14" s="1">
        <f>IFERROR(__xludf.DUMMYFUNCTION("""COMPUTED_VALUE"""),81.49)</f>
        <v>81.49</v>
      </c>
      <c r="AW14" s="1">
        <f>IFERROR(__xludf.DUMMYFUNCTION("""COMPUTED_VALUE"""),70.44)</f>
        <v>70.44</v>
      </c>
      <c r="AX14" s="1">
        <f>IFERROR(__xludf.DUMMYFUNCTION("""COMPUTED_VALUE"""),15.77)</f>
        <v>15.77</v>
      </c>
      <c r="AY14" s="1">
        <f>IFERROR(__xludf.DUMMYFUNCTION("""COMPUTED_VALUE"""),429.17)</f>
        <v>429.17</v>
      </c>
      <c r="AZ14" s="3">
        <f>IFERROR(__xludf.DUMMYFUNCTION("""COMPUTED_VALUE"""),76.68)</f>
        <v>76.68</v>
      </c>
      <c r="BA14" s="3">
        <f>IFERROR(__xludf.DUMMYFUNCTION("""COMPUTED_VALUE"""),83.53)</f>
        <v>83.53</v>
      </c>
      <c r="BB14" s="3">
        <f>IFERROR(__xludf.DUMMYFUNCTION("""COMPUTED_VALUE"""),114.83)</f>
        <v>114.83</v>
      </c>
      <c r="BC14" s="1">
        <f>IFERROR(__xludf.DUMMYFUNCTION("""COMPUTED_VALUE"""),94.79)</f>
        <v>94.79</v>
      </c>
      <c r="BD14" s="1">
        <f>IFERROR(__xludf.DUMMYFUNCTION("""COMPUTED_VALUE"""),42.65)</f>
        <v>42.65</v>
      </c>
      <c r="BE14" s="1">
        <f>IFERROR(__xludf.DUMMYFUNCTION("""COMPUTED_VALUE"""),20.94)</f>
        <v>20.94</v>
      </c>
      <c r="BF14" s="1">
        <f>IFERROR(__xludf.DUMMYFUNCTION("""COMPUTED_VALUE"""),61.05)</f>
        <v>61.05</v>
      </c>
      <c r="BG14" s="1">
        <f>IFERROR(__xludf.DUMMYFUNCTION("""COMPUTED_VALUE"""),27.82)</f>
        <v>27.82</v>
      </c>
      <c r="BH14" s="1">
        <f>IFERROR(__xludf.DUMMYFUNCTION("""COMPUTED_VALUE"""),104.57)</f>
        <v>104.57</v>
      </c>
      <c r="BI14" s="1">
        <f>IFERROR(__xludf.DUMMYFUNCTION("""COMPUTED_VALUE"""),37.71)</f>
        <v>37.71</v>
      </c>
      <c r="BJ14" s="1">
        <f>IFERROR(__xludf.DUMMYFUNCTION("""COMPUTED_VALUE"""),168.88)</f>
        <v>168.88</v>
      </c>
      <c r="BK14" s="1">
        <f>IFERROR(__xludf.DUMMYFUNCTION("""COMPUTED_VALUE"""),567.3)</f>
        <v>567.3</v>
      </c>
      <c r="BL14" s="1">
        <f>IFERROR(__xludf.DUMMYFUNCTION("""COMPUTED_VALUE"""),213.95)</f>
        <v>213.95</v>
      </c>
      <c r="BM14" s="1">
        <f>IFERROR(__xludf.DUMMYFUNCTION("""COMPUTED_VALUE"""),142.3)</f>
        <v>142.3</v>
      </c>
      <c r="BN14" s="3">
        <f>IFERROR(__xludf.DUMMYFUNCTION("""COMPUTED_VALUE"""),6.94)</f>
        <v>6.94</v>
      </c>
      <c r="BO14" s="1">
        <f>IFERROR(__xludf.DUMMYFUNCTION("""COMPUTED_VALUE"""),225.88)</f>
        <v>225.88</v>
      </c>
      <c r="BP14" s="1">
        <f>IFERROR(__xludf.DUMMYFUNCTION("""COMPUTED_VALUE"""),484.72)</f>
        <v>484.72</v>
      </c>
      <c r="BQ14" s="36">
        <f>IFERROR(__xludf.DUMMYFUNCTION("""COMPUTED_VALUE"""),48.11)</f>
        <v>48.11</v>
      </c>
      <c r="BR14" s="1">
        <f>IFERROR(__xludf.DUMMYFUNCTION("""COMPUTED_VALUE"""),10.31)</f>
        <v>10.31</v>
      </c>
      <c r="BS14" s="1">
        <f>IFERROR(__xludf.DUMMYFUNCTION("""COMPUTED_VALUE"""),204.16)</f>
        <v>204.16</v>
      </c>
      <c r="BT14" s="1">
        <f>IFERROR(__xludf.DUMMYFUNCTION("""COMPUTED_VALUE"""),100.88)</f>
        <v>100.88</v>
      </c>
      <c r="BU14" s="3">
        <v>1.0</v>
      </c>
    </row>
    <row r="15">
      <c r="A15" s="25">
        <f>IFERROR(__xludf.DUMMYFUNCTION("""COMPUTED_VALUE"""),45442.66666666667)</f>
        <v>45442.66667</v>
      </c>
      <c r="B15" s="29">
        <f>'Master Scratch Work'!B14</f>
        <v>1208931.18</v>
      </c>
      <c r="C15" s="15">
        <f>IFERROR(__xludf.DUMMYFUNCTION("""COMPUTED_VALUE"""),5235.48)</f>
        <v>5235.48</v>
      </c>
      <c r="D15" s="15">
        <f>IFERROR(__xludf.DUMMYFUNCTION("""COMPUTED_VALUE"""),16737.08)</f>
        <v>16737.08</v>
      </c>
      <c r="E15" s="15">
        <f>IFERROR(__xludf.DUMMYFUNCTION("""COMPUTED_VALUE"""),38111.48)</f>
        <v>38111.48</v>
      </c>
      <c r="F15" s="15">
        <f>IFERROR(__xludf.DUMMYFUNCTION("""COMPUTED_VALUE"""),2056.6)</f>
        <v>2056.6</v>
      </c>
      <c r="G15" s="3">
        <f>IFERROR(__xludf.DUMMYFUNCTION("""COMPUTED_VALUE"""),522.61)</f>
        <v>522.61</v>
      </c>
      <c r="H15" s="3">
        <f>IFERROR(__xludf.DUMMYFUNCTION("""COMPUTED_VALUE"""),451.55)</f>
        <v>451.55</v>
      </c>
      <c r="I15" s="3">
        <f>IFERROR(__xludf.DUMMYFUNCTION("""COMPUTED_VALUE"""),445.87)</f>
        <v>445.87</v>
      </c>
      <c r="J15" s="3">
        <f>IFERROR(__xludf.DUMMYFUNCTION("""COMPUTED_VALUE"""),179.32)</f>
        <v>179.32</v>
      </c>
      <c r="K15" s="3">
        <f>IFERROR(__xludf.DUMMYFUNCTION("""COMPUTED_VALUE"""),126.28)</f>
        <v>126.28</v>
      </c>
      <c r="L15" s="3">
        <f>IFERROR(__xludf.DUMMYFUNCTION("""COMPUTED_VALUE"""),191.29)</f>
        <v>191.29</v>
      </c>
      <c r="M15" s="3">
        <f>IFERROR(__xludf.DUMMYFUNCTION("""COMPUTED_VALUE"""),216.54)</f>
        <v>216.54</v>
      </c>
      <c r="N15" s="3">
        <f>IFERROR(__xludf.DUMMYFUNCTION("""COMPUTED_VALUE"""),58.42)</f>
        <v>58.42</v>
      </c>
      <c r="O15" s="3">
        <f>IFERROR(__xludf.DUMMYFUNCTION("""COMPUTED_VALUE"""),11.26)</f>
        <v>11.26</v>
      </c>
      <c r="P15" s="3">
        <f>IFERROR(__xludf.DUMMYFUNCTION("""COMPUTED_VALUE"""),408.61)</f>
        <v>408.61</v>
      </c>
      <c r="Q15" s="3">
        <f>IFERROR(__xludf.DUMMYFUNCTION("""COMPUTED_VALUE"""),58.66)</f>
        <v>58.66</v>
      </c>
      <c r="R15" s="3">
        <f>IFERROR(__xludf.DUMMYFUNCTION("""COMPUTED_VALUE"""),220.07)</f>
        <v>220.07</v>
      </c>
      <c r="S15" s="3">
        <f>IFERROR(__xludf.DUMMYFUNCTION("""COMPUTED_VALUE"""),75.0)</f>
        <v>75</v>
      </c>
      <c r="T15" s="3">
        <f>IFERROR(__xludf.DUMMYFUNCTION("""COMPUTED_VALUE"""),63.34)</f>
        <v>63.34</v>
      </c>
      <c r="U15" s="3">
        <f>IFERROR(__xludf.DUMMYFUNCTION("""COMPUTED_VALUE"""),339.25)</f>
        <v>339.25</v>
      </c>
      <c r="V15" s="3">
        <f>IFERROR(__xludf.DUMMYFUNCTION("""COMPUTED_VALUE"""),54.77)</f>
        <v>54.77</v>
      </c>
      <c r="W15" s="3">
        <f>IFERROR(__xludf.DUMMYFUNCTION("""COMPUTED_VALUE"""),146.79)</f>
        <v>146.79</v>
      </c>
      <c r="X15" s="3">
        <f>IFERROR(__xludf.DUMMYFUNCTION("""COMPUTED_VALUE"""),158.26)</f>
        <v>158.26</v>
      </c>
      <c r="Y15" s="1">
        <f>IFERROR(__xludf.DUMMYFUNCTION("""COMPUTED_VALUE"""),331.0)</f>
        <v>331</v>
      </c>
      <c r="Z15" s="1">
        <f>IFERROR(__xludf.DUMMYFUNCTION("""COMPUTED_VALUE"""),34.41)</f>
        <v>34.41</v>
      </c>
      <c r="AA15" s="1">
        <f>IFERROR(__xludf.DUMMYFUNCTION("""COMPUTED_VALUE"""),61.97)</f>
        <v>61.97</v>
      </c>
      <c r="AB15" s="1">
        <f>IFERROR(__xludf.DUMMYFUNCTION("""COMPUTED_VALUE"""),92.45)</f>
        <v>92.45</v>
      </c>
      <c r="AC15" s="1">
        <f>IFERROR(__xludf.DUMMYFUNCTION("""COMPUTED_VALUE"""),144.04)</f>
        <v>144.04</v>
      </c>
      <c r="AD15" s="3">
        <f>IFERROR(__xludf.DUMMYFUNCTION("""COMPUTED_VALUE"""),114.79)</f>
        <v>114.79</v>
      </c>
      <c r="AE15" s="1">
        <f>IFERROR(__xludf.DUMMYFUNCTION("""COMPUTED_VALUE"""),509.1)</f>
        <v>509.1</v>
      </c>
      <c r="AF15" s="1">
        <f>IFERROR(__xludf.DUMMYFUNCTION("""COMPUTED_VALUE"""),53.35)</f>
        <v>53.35</v>
      </c>
      <c r="AG15" s="1">
        <f>IFERROR(__xludf.DUMMYFUNCTION("""COMPUTED_VALUE"""),113.99)</f>
        <v>113.99</v>
      </c>
      <c r="AH15" s="3">
        <f>IFERROR(__xludf.DUMMYFUNCTION("""COMPUTED_VALUE"""),249.58)</f>
        <v>249.58</v>
      </c>
      <c r="AI15" s="1">
        <f>IFERROR(__xludf.DUMMYFUNCTION("""COMPUTED_VALUE"""),408.98)</f>
        <v>408.98</v>
      </c>
      <c r="AJ15" s="1">
        <f>IFERROR(__xludf.DUMMYFUNCTION("""COMPUTED_VALUE"""),296.08)</f>
        <v>296.08</v>
      </c>
      <c r="AK15" s="3">
        <f>IFERROR(__xludf.DUMMYFUNCTION("""COMPUTED_VALUE"""),43.41)</f>
        <v>43.41</v>
      </c>
      <c r="AL15" s="1">
        <f>IFERROR(__xludf.DUMMYFUNCTION("""COMPUTED_VALUE"""),64.08)</f>
        <v>64.08</v>
      </c>
      <c r="AM15" s="1">
        <f>IFERROR(__xludf.DUMMYFUNCTION("""COMPUTED_VALUE"""),450.23)</f>
        <v>450.23</v>
      </c>
      <c r="AN15" s="1">
        <f>IFERROR(__xludf.DUMMYFUNCTION("""COMPUTED_VALUE"""),329.18)</f>
        <v>329.18</v>
      </c>
      <c r="AO15" s="1">
        <f>IFERROR(__xludf.DUMMYFUNCTION("""COMPUTED_VALUE"""),85.92)</f>
        <v>85.92</v>
      </c>
      <c r="AP15" s="1">
        <f>IFERROR(__xludf.DUMMYFUNCTION("""COMPUTED_VALUE"""),133.24)</f>
        <v>133.24</v>
      </c>
      <c r="AQ15" s="1">
        <f>IFERROR(__xludf.DUMMYFUNCTION("""COMPUTED_VALUE"""),403.39)</f>
        <v>403.39</v>
      </c>
      <c r="AR15" s="3">
        <f>IFERROR(__xludf.DUMMYFUNCTION("""COMPUTED_VALUE"""),199.33)</f>
        <v>199.33</v>
      </c>
      <c r="AS15" s="3">
        <f>IFERROR(__xludf.DUMMYFUNCTION("""COMPUTED_VALUE"""),460.94)</f>
        <v>460.94</v>
      </c>
      <c r="AT15" s="3">
        <f>IFERROR(__xludf.DUMMYFUNCTION("""COMPUTED_VALUE"""),302.9)</f>
        <v>302.9</v>
      </c>
      <c r="AU15" s="1">
        <f>IFERROR(__xludf.DUMMYFUNCTION("""COMPUTED_VALUE"""),25.66)</f>
        <v>25.66</v>
      </c>
      <c r="AV15" s="1">
        <f>IFERROR(__xludf.DUMMYFUNCTION("""COMPUTED_VALUE"""),80.6)</f>
        <v>80.6</v>
      </c>
      <c r="AW15" s="1">
        <f>IFERROR(__xludf.DUMMYFUNCTION("""COMPUTED_VALUE"""),71.11)</f>
        <v>71.11</v>
      </c>
      <c r="AX15" s="1">
        <f>IFERROR(__xludf.DUMMYFUNCTION("""COMPUTED_VALUE"""),15.97)</f>
        <v>15.97</v>
      </c>
      <c r="AY15" s="1">
        <f>IFERROR(__xludf.DUMMYFUNCTION("""COMPUTED_VALUE"""),414.67)</f>
        <v>414.67</v>
      </c>
      <c r="AZ15" s="3">
        <f>IFERROR(__xludf.DUMMYFUNCTION("""COMPUTED_VALUE"""),78.19)</f>
        <v>78.19</v>
      </c>
      <c r="BA15" s="3">
        <f>IFERROR(__xludf.DUMMYFUNCTION("""COMPUTED_VALUE"""),84.64)</f>
        <v>84.64</v>
      </c>
      <c r="BB15" s="3">
        <f>IFERROR(__xludf.DUMMYFUNCTION("""COMPUTED_VALUE"""),110.5)</f>
        <v>110.5</v>
      </c>
      <c r="BC15" s="1">
        <f>IFERROR(__xludf.DUMMYFUNCTION("""COMPUTED_VALUE"""),96.39)</f>
        <v>96.39</v>
      </c>
      <c r="BD15" s="1">
        <f>IFERROR(__xludf.DUMMYFUNCTION("""COMPUTED_VALUE"""),42.6)</f>
        <v>42.6</v>
      </c>
      <c r="BE15" s="1">
        <f>IFERROR(__xludf.DUMMYFUNCTION("""COMPUTED_VALUE"""),21.73)</f>
        <v>21.73</v>
      </c>
      <c r="BF15" s="1">
        <f>IFERROR(__xludf.DUMMYFUNCTION("""COMPUTED_VALUE"""),62.51)</f>
        <v>62.51</v>
      </c>
      <c r="BG15" s="1">
        <f>IFERROR(__xludf.DUMMYFUNCTION("""COMPUTED_VALUE"""),28.2)</f>
        <v>28.2</v>
      </c>
      <c r="BH15" s="1">
        <f>IFERROR(__xludf.DUMMYFUNCTION("""COMPUTED_VALUE"""),105.72)</f>
        <v>105.72</v>
      </c>
      <c r="BI15" s="1">
        <f>IFERROR(__xludf.DUMMYFUNCTION("""COMPUTED_VALUE"""),38.17)</f>
        <v>38.17</v>
      </c>
      <c r="BJ15" s="1">
        <f>IFERROR(__xludf.DUMMYFUNCTION("""COMPUTED_VALUE"""),170.7)</f>
        <v>170.7</v>
      </c>
      <c r="BK15" s="1">
        <f>IFERROR(__xludf.DUMMYFUNCTION("""COMPUTED_VALUE"""),562.76)</f>
        <v>562.76</v>
      </c>
      <c r="BL15" s="1">
        <f>IFERROR(__xludf.DUMMYFUNCTION("""COMPUTED_VALUE"""),214.17)</f>
        <v>214.17</v>
      </c>
      <c r="BM15" s="1">
        <f>IFERROR(__xludf.DUMMYFUNCTION("""COMPUTED_VALUE"""),136.42)</f>
        <v>136.42</v>
      </c>
      <c r="BN15" s="3">
        <f>IFERROR(__xludf.DUMMYFUNCTION("""COMPUTED_VALUE"""),6.95)</f>
        <v>6.95</v>
      </c>
      <c r="BO15" s="1">
        <f>IFERROR(__xludf.DUMMYFUNCTION("""COMPUTED_VALUE"""),229.24)</f>
        <v>229.24</v>
      </c>
      <c r="BP15" s="1">
        <f>IFERROR(__xludf.DUMMYFUNCTION("""COMPUTED_VALUE"""),481.65)</f>
        <v>481.65</v>
      </c>
      <c r="BQ15" s="36">
        <f>IFERROR(__xludf.DUMMYFUNCTION("""COMPUTED_VALUE"""),48.19)</f>
        <v>48.19</v>
      </c>
      <c r="BR15" s="1">
        <f>IFERROR(__xludf.DUMMYFUNCTION("""COMPUTED_VALUE"""),10.48)</f>
        <v>10.48</v>
      </c>
      <c r="BS15" s="1">
        <f>IFERROR(__xludf.DUMMYFUNCTION("""COMPUTED_VALUE"""),206.25)</f>
        <v>206.25</v>
      </c>
      <c r="BT15" s="1">
        <f>IFERROR(__xludf.DUMMYFUNCTION("""COMPUTED_VALUE"""),101.7)</f>
        <v>101.7</v>
      </c>
      <c r="BU15" s="3">
        <v>1.0</v>
      </c>
    </row>
    <row r="16">
      <c r="A16" s="25">
        <f>IFERROR(__xludf.DUMMYFUNCTION("""COMPUTED_VALUE"""),45443.66666666667)</f>
        <v>45443.66667</v>
      </c>
      <c r="B16" s="29">
        <f>'Master Scratch Work'!B15</f>
        <v>1222862.12</v>
      </c>
      <c r="C16" s="15">
        <f>IFERROR(__xludf.DUMMYFUNCTION("""COMPUTED_VALUE"""),5277.51)</f>
        <v>5277.51</v>
      </c>
      <c r="D16" s="15">
        <f>IFERROR(__xludf.DUMMYFUNCTION("""COMPUTED_VALUE"""),16735.02)</f>
        <v>16735.02</v>
      </c>
      <c r="E16" s="15">
        <f>IFERROR(__xludf.DUMMYFUNCTION("""COMPUTED_VALUE"""),38686.32)</f>
        <v>38686.32</v>
      </c>
      <c r="F16" s="15">
        <f>IFERROR(__xludf.DUMMYFUNCTION("""COMPUTED_VALUE"""),2070.13)</f>
        <v>2070.13</v>
      </c>
      <c r="G16" s="3">
        <f>IFERROR(__xludf.DUMMYFUNCTION("""COMPUTED_VALUE"""),527.37)</f>
        <v>527.37</v>
      </c>
      <c r="H16" s="3">
        <f>IFERROR(__xludf.DUMMYFUNCTION("""COMPUTED_VALUE"""),450.71)</f>
        <v>450.71</v>
      </c>
      <c r="I16" s="3">
        <f>IFERROR(__xludf.DUMMYFUNCTION("""COMPUTED_VALUE"""),444.76)</f>
        <v>444.76</v>
      </c>
      <c r="J16" s="3">
        <f>IFERROR(__xludf.DUMMYFUNCTION("""COMPUTED_VALUE"""),176.44)</f>
        <v>176.44</v>
      </c>
      <c r="K16" s="3">
        <f>IFERROR(__xludf.DUMMYFUNCTION("""COMPUTED_VALUE"""),130.77)</f>
        <v>130.77</v>
      </c>
      <c r="L16" s="3">
        <f>IFERROR(__xludf.DUMMYFUNCTION("""COMPUTED_VALUE"""),192.25)</f>
        <v>192.25</v>
      </c>
      <c r="M16" s="3">
        <f>IFERROR(__xludf.DUMMYFUNCTION("""COMPUTED_VALUE"""),215.08)</f>
        <v>215.08</v>
      </c>
      <c r="N16" s="3">
        <f>IFERROR(__xludf.DUMMYFUNCTION("""COMPUTED_VALUE"""),59.61)</f>
        <v>59.61</v>
      </c>
      <c r="O16" s="3">
        <f>IFERROR(__xludf.DUMMYFUNCTION("""COMPUTED_VALUE"""),11.35)</f>
        <v>11.35</v>
      </c>
      <c r="P16" s="3">
        <f>IFERROR(__xludf.DUMMYFUNCTION("""COMPUTED_VALUE"""),414.4)</f>
        <v>414.4</v>
      </c>
      <c r="Q16" s="3">
        <f>IFERROR(__xludf.DUMMYFUNCTION("""COMPUTED_VALUE"""),59.53)</f>
        <v>59.53</v>
      </c>
      <c r="R16" s="3">
        <f>IFERROR(__xludf.DUMMYFUNCTION("""COMPUTED_VALUE"""),224.94)</f>
        <v>224.94</v>
      </c>
      <c r="S16" s="3">
        <f>IFERROR(__xludf.DUMMYFUNCTION("""COMPUTED_VALUE"""),75.57)</f>
        <v>75.57</v>
      </c>
      <c r="T16" s="3">
        <f>IFERROR(__xludf.DUMMYFUNCTION("""COMPUTED_VALUE"""),63.19)</f>
        <v>63.19</v>
      </c>
      <c r="U16" s="3">
        <f>IFERROR(__xludf.DUMMYFUNCTION("""COMPUTED_VALUE"""),338.52)</f>
        <v>338.52</v>
      </c>
      <c r="V16" s="3">
        <f>IFERROR(__xludf.DUMMYFUNCTION("""COMPUTED_VALUE"""),55.51)</f>
        <v>55.51</v>
      </c>
      <c r="W16" s="3">
        <f>IFERROR(__xludf.DUMMYFUNCTION("""COMPUTED_VALUE"""),150.5)</f>
        <v>150.5</v>
      </c>
      <c r="X16" s="3">
        <f>IFERROR(__xludf.DUMMYFUNCTION("""COMPUTED_VALUE"""),162.3)</f>
        <v>162.3</v>
      </c>
      <c r="Y16" s="1">
        <f>IFERROR(__xludf.DUMMYFUNCTION("""COMPUTED_VALUE"""),344.62)</f>
        <v>344.62</v>
      </c>
      <c r="Z16" s="1">
        <f>IFERROR(__xludf.DUMMYFUNCTION("""COMPUTED_VALUE"""),35.29)</f>
        <v>35.29</v>
      </c>
      <c r="AA16" s="1">
        <f>IFERROR(__xludf.DUMMYFUNCTION("""COMPUTED_VALUE"""),62.93)</f>
        <v>62.93</v>
      </c>
      <c r="AB16" s="1">
        <f>IFERROR(__xludf.DUMMYFUNCTION("""COMPUTED_VALUE"""),94.55)</f>
        <v>94.55</v>
      </c>
      <c r="AC16" s="1">
        <f>IFERROR(__xludf.DUMMYFUNCTION("""COMPUTED_VALUE"""),145.34)</f>
        <v>145.34</v>
      </c>
      <c r="AD16" s="3">
        <f>IFERROR(__xludf.DUMMYFUNCTION("""COMPUTED_VALUE"""),117.95)</f>
        <v>117.95</v>
      </c>
      <c r="AE16" s="1">
        <f>IFERROR(__xludf.DUMMYFUNCTION("""COMPUTED_VALUE"""),508.58)</f>
        <v>508.58</v>
      </c>
      <c r="AF16" s="1">
        <f>IFERROR(__xludf.DUMMYFUNCTION("""COMPUTED_VALUE"""),54.22)</f>
        <v>54.22</v>
      </c>
      <c r="AG16" s="1">
        <f>IFERROR(__xludf.DUMMYFUNCTION("""COMPUTED_VALUE"""),117.26)</f>
        <v>117.26</v>
      </c>
      <c r="AH16" s="3">
        <f>IFERROR(__xludf.DUMMYFUNCTION("""COMPUTED_VALUE"""),253.96)</f>
        <v>253.96</v>
      </c>
      <c r="AI16" s="1">
        <f>IFERROR(__xludf.DUMMYFUNCTION("""COMPUTED_VALUE"""),411.0)</f>
        <v>411</v>
      </c>
      <c r="AJ16" s="1">
        <f>IFERROR(__xludf.DUMMYFUNCTION("""COMPUTED_VALUE"""),299.77)</f>
        <v>299.77</v>
      </c>
      <c r="AK16" s="3">
        <f>IFERROR(__xludf.DUMMYFUNCTION("""COMPUTED_VALUE"""),44.99)</f>
        <v>44.99</v>
      </c>
      <c r="AL16" s="1">
        <f>IFERROR(__xludf.DUMMYFUNCTION("""COMPUTED_VALUE"""),64.27)</f>
        <v>64.27</v>
      </c>
      <c r="AM16" s="1">
        <f>IFERROR(__xludf.DUMMYFUNCTION("""COMPUTED_VALUE"""),456.52)</f>
        <v>456.52</v>
      </c>
      <c r="AN16" s="1">
        <f>IFERROR(__xludf.DUMMYFUNCTION("""COMPUTED_VALUE"""),334.87)</f>
        <v>334.87</v>
      </c>
      <c r="AO16" s="1">
        <f>IFERROR(__xludf.DUMMYFUNCTION("""COMPUTED_VALUE"""),88.31)</f>
        <v>88.31</v>
      </c>
      <c r="AP16" s="1">
        <f>IFERROR(__xludf.DUMMYFUNCTION("""COMPUTED_VALUE"""),133.9)</f>
        <v>133.9</v>
      </c>
      <c r="AQ16" s="1">
        <f>IFERROR(__xludf.DUMMYFUNCTION("""COMPUTED_VALUE"""),402.12)</f>
        <v>402.12</v>
      </c>
      <c r="AR16" s="3">
        <f>IFERROR(__xludf.DUMMYFUNCTION("""COMPUTED_VALUE"""),202.63)</f>
        <v>202.63</v>
      </c>
      <c r="AS16" s="3">
        <f>IFERROR(__xludf.DUMMYFUNCTION("""COMPUTED_VALUE"""),470.34)</f>
        <v>470.34</v>
      </c>
      <c r="AT16" s="3">
        <f>IFERROR(__xludf.DUMMYFUNCTION("""COMPUTED_VALUE"""),311.99)</f>
        <v>311.99</v>
      </c>
      <c r="AU16" s="1">
        <f>IFERROR(__xludf.DUMMYFUNCTION("""COMPUTED_VALUE"""),25.96)</f>
        <v>25.96</v>
      </c>
      <c r="AV16" s="1">
        <f>IFERROR(__xludf.DUMMYFUNCTION("""COMPUTED_VALUE"""),81.37)</f>
        <v>81.37</v>
      </c>
      <c r="AW16" s="1">
        <f>IFERROR(__xludf.DUMMYFUNCTION("""COMPUTED_VALUE"""),72.37)</f>
        <v>72.37</v>
      </c>
      <c r="AX16" s="1">
        <f>IFERROR(__xludf.DUMMYFUNCTION("""COMPUTED_VALUE"""),16.22)</f>
        <v>16.22</v>
      </c>
      <c r="AY16" s="1">
        <f>IFERROR(__xludf.DUMMYFUNCTION("""COMPUTED_VALUE"""),415.13)</f>
        <v>415.13</v>
      </c>
      <c r="AZ16" s="3">
        <f>IFERROR(__xludf.DUMMYFUNCTION("""COMPUTED_VALUE"""),80.02)</f>
        <v>80.02</v>
      </c>
      <c r="BA16" s="3">
        <f>IFERROR(__xludf.DUMMYFUNCTION("""COMPUTED_VALUE"""),81.0)</f>
        <v>81</v>
      </c>
      <c r="BB16" s="3">
        <f>IFERROR(__xludf.DUMMYFUNCTION("""COMPUTED_VALUE"""),109.63)</f>
        <v>109.63</v>
      </c>
      <c r="BC16" s="1">
        <f>IFERROR(__xludf.DUMMYFUNCTION("""COMPUTED_VALUE"""),99.2)</f>
        <v>99.2</v>
      </c>
      <c r="BD16" s="1">
        <f>IFERROR(__xludf.DUMMYFUNCTION("""COMPUTED_VALUE"""),42.54)</f>
        <v>42.54</v>
      </c>
      <c r="BE16" s="1">
        <f>IFERROR(__xludf.DUMMYFUNCTION("""COMPUTED_VALUE"""),21.68)</f>
        <v>21.68</v>
      </c>
      <c r="BF16" s="1">
        <f>IFERROR(__xludf.DUMMYFUNCTION("""COMPUTED_VALUE"""),62.99)</f>
        <v>62.99</v>
      </c>
      <c r="BG16" s="1">
        <f>IFERROR(__xludf.DUMMYFUNCTION("""COMPUTED_VALUE"""),28.66)</f>
        <v>28.66</v>
      </c>
      <c r="BH16" s="1">
        <f>IFERROR(__xludf.DUMMYFUNCTION("""COMPUTED_VALUE"""),107.81)</f>
        <v>107.81</v>
      </c>
      <c r="BI16" s="1">
        <f>IFERROR(__xludf.DUMMYFUNCTION("""COMPUTED_VALUE"""),38.33)</f>
        <v>38.33</v>
      </c>
      <c r="BJ16" s="1">
        <f>IFERROR(__xludf.DUMMYFUNCTION("""COMPUTED_VALUE"""),174.96)</f>
        <v>174.96</v>
      </c>
      <c r="BK16" s="1">
        <f>IFERROR(__xludf.DUMMYFUNCTION("""COMPUTED_VALUE"""),567.98)</f>
        <v>567.98</v>
      </c>
      <c r="BL16" s="1">
        <f>IFERROR(__xludf.DUMMYFUNCTION("""COMPUTED_VALUE"""),217.51)</f>
        <v>217.51</v>
      </c>
      <c r="BM16" s="1">
        <f>IFERROR(__xludf.DUMMYFUNCTION("""COMPUTED_VALUE"""),136.4)</f>
        <v>136.4</v>
      </c>
      <c r="BN16" s="3">
        <f>IFERROR(__xludf.DUMMYFUNCTION("""COMPUTED_VALUE"""),7.19)</f>
        <v>7.19</v>
      </c>
      <c r="BO16" s="1">
        <f>IFERROR(__xludf.DUMMYFUNCTION("""COMPUTED_VALUE"""),232.82)</f>
        <v>232.82</v>
      </c>
      <c r="BP16" s="1">
        <f>IFERROR(__xludf.DUMMYFUNCTION("""COMPUTED_VALUE"""),495.37)</f>
        <v>495.37</v>
      </c>
      <c r="BQ16" s="36">
        <f>IFERROR(__xludf.DUMMYFUNCTION("""COMPUTED_VALUE"""),48.28)</f>
        <v>48.28</v>
      </c>
      <c r="BR16" s="1">
        <f>IFERROR(__xludf.DUMMYFUNCTION("""COMPUTED_VALUE"""),10.6)</f>
        <v>10.6</v>
      </c>
      <c r="BS16" s="1">
        <f>IFERROR(__xludf.DUMMYFUNCTION("""COMPUTED_VALUE"""),210.73)</f>
        <v>210.73</v>
      </c>
      <c r="BT16" s="1">
        <f>IFERROR(__xludf.DUMMYFUNCTION("""COMPUTED_VALUE"""),103.91)</f>
        <v>103.91</v>
      </c>
      <c r="BU16" s="3">
        <v>1.0</v>
      </c>
    </row>
    <row r="17">
      <c r="A17" s="25">
        <f>IFERROR(__xludf.DUMMYFUNCTION("""COMPUTED_VALUE"""),45446.66666666667)</f>
        <v>45446.66667</v>
      </c>
      <c r="B17" s="29">
        <f>'Master Scratch Work'!B16</f>
        <v>1221228.59</v>
      </c>
      <c r="C17" s="15">
        <f>IFERROR(__xludf.DUMMYFUNCTION("""COMPUTED_VALUE"""),5283.4)</f>
        <v>5283.4</v>
      </c>
      <c r="D17" s="15">
        <f>IFERROR(__xludf.DUMMYFUNCTION("""COMPUTED_VALUE"""),16828.67)</f>
        <v>16828.67</v>
      </c>
      <c r="E17" s="15">
        <f>IFERROR(__xludf.DUMMYFUNCTION("""COMPUTED_VALUE"""),38571.03)</f>
        <v>38571.03</v>
      </c>
      <c r="F17" s="15">
        <f>IFERROR(__xludf.DUMMYFUNCTION("""COMPUTED_VALUE"""),2059.68)</f>
        <v>2059.68</v>
      </c>
      <c r="G17" s="3">
        <f>IFERROR(__xludf.DUMMYFUNCTION("""COMPUTED_VALUE"""),527.8)</f>
        <v>527.8</v>
      </c>
      <c r="H17" s="3">
        <f>IFERROR(__xludf.DUMMYFUNCTION("""COMPUTED_VALUE"""),453.13)</f>
        <v>453.13</v>
      </c>
      <c r="I17" s="3">
        <f>IFERROR(__xludf.DUMMYFUNCTION("""COMPUTED_VALUE"""),439.02)</f>
        <v>439.02</v>
      </c>
      <c r="J17" s="3">
        <f>IFERROR(__xludf.DUMMYFUNCTION("""COMPUTED_VALUE"""),178.34)</f>
        <v>178.34</v>
      </c>
      <c r="K17" s="3">
        <f>IFERROR(__xludf.DUMMYFUNCTION("""COMPUTED_VALUE"""),130.77)</f>
        <v>130.77</v>
      </c>
      <c r="L17" s="3">
        <f>IFERROR(__xludf.DUMMYFUNCTION("""COMPUTED_VALUE"""),194.03)</f>
        <v>194.03</v>
      </c>
      <c r="M17" s="3">
        <f>IFERROR(__xludf.DUMMYFUNCTION("""COMPUTED_VALUE"""),214.21)</f>
        <v>214.21</v>
      </c>
      <c r="N17" s="3">
        <f>IFERROR(__xludf.DUMMYFUNCTION("""COMPUTED_VALUE"""),59.57)</f>
        <v>59.57</v>
      </c>
      <c r="O17" s="3">
        <f>IFERROR(__xludf.DUMMYFUNCTION("""COMPUTED_VALUE"""),11.41)</f>
        <v>11.41</v>
      </c>
      <c r="P17" s="3">
        <f>IFERROR(__xludf.DUMMYFUNCTION("""COMPUTED_VALUE"""),414.79)</f>
        <v>414.79</v>
      </c>
      <c r="Q17" s="3">
        <f>IFERROR(__xludf.DUMMYFUNCTION("""COMPUTED_VALUE"""),59.38)</f>
        <v>59.38</v>
      </c>
      <c r="R17" s="3">
        <f>IFERROR(__xludf.DUMMYFUNCTION("""COMPUTED_VALUE"""),229.8)</f>
        <v>229.8</v>
      </c>
      <c r="S17" s="3">
        <f>IFERROR(__xludf.DUMMYFUNCTION("""COMPUTED_VALUE"""),75.5)</f>
        <v>75.5</v>
      </c>
      <c r="T17" s="3">
        <f>IFERROR(__xludf.DUMMYFUNCTION("""COMPUTED_VALUE"""),61.99)</f>
        <v>61.99</v>
      </c>
      <c r="U17" s="3">
        <f>IFERROR(__xludf.DUMMYFUNCTION("""COMPUTED_VALUE"""),331.36)</f>
        <v>331.36</v>
      </c>
      <c r="V17" s="3">
        <f>IFERROR(__xludf.DUMMYFUNCTION("""COMPUTED_VALUE"""),54.1)</f>
        <v>54.1</v>
      </c>
      <c r="W17" s="3">
        <f>IFERROR(__xludf.DUMMYFUNCTION("""COMPUTED_VALUE"""),151.07)</f>
        <v>151.07</v>
      </c>
      <c r="X17" s="3">
        <f>IFERROR(__xludf.DUMMYFUNCTION("""COMPUTED_VALUE"""),157.46)</f>
        <v>157.46</v>
      </c>
      <c r="Y17" s="1">
        <f>IFERROR(__xludf.DUMMYFUNCTION("""COMPUTED_VALUE"""),341.49)</f>
        <v>341.49</v>
      </c>
      <c r="Z17" s="1">
        <f>IFERROR(__xludf.DUMMYFUNCTION("""COMPUTED_VALUE"""),34.72)</f>
        <v>34.72</v>
      </c>
      <c r="AA17" s="1">
        <f>IFERROR(__xludf.DUMMYFUNCTION("""COMPUTED_VALUE"""),62.93)</f>
        <v>62.93</v>
      </c>
      <c r="AB17" s="1">
        <f>IFERROR(__xludf.DUMMYFUNCTION("""COMPUTED_VALUE"""),93.68)</f>
        <v>93.68</v>
      </c>
      <c r="AC17" s="1">
        <f>IFERROR(__xludf.DUMMYFUNCTION("""COMPUTED_VALUE"""),143.04)</f>
        <v>143.04</v>
      </c>
      <c r="AD17" s="3">
        <f>IFERROR(__xludf.DUMMYFUNCTION("""COMPUTED_VALUE"""),120.98)</f>
        <v>120.98</v>
      </c>
      <c r="AE17" s="1">
        <f>IFERROR(__xludf.DUMMYFUNCTION("""COMPUTED_VALUE"""),522.98)</f>
        <v>522.98</v>
      </c>
      <c r="AF17" s="1">
        <f>IFERROR(__xludf.DUMMYFUNCTION("""COMPUTED_VALUE"""),53.61)</f>
        <v>53.61</v>
      </c>
      <c r="AG17" s="1">
        <f>IFERROR(__xludf.DUMMYFUNCTION("""COMPUTED_VALUE"""),114.45)</f>
        <v>114.45</v>
      </c>
      <c r="AH17" s="3">
        <f>IFERROR(__xludf.DUMMYFUNCTION("""COMPUTED_VALUE"""),248.62)</f>
        <v>248.62</v>
      </c>
      <c r="AI17" s="1">
        <f>IFERROR(__xludf.DUMMYFUNCTION("""COMPUTED_VALUE"""),409.05)</f>
        <v>409.05</v>
      </c>
      <c r="AJ17" s="1">
        <f>IFERROR(__xludf.DUMMYFUNCTION("""COMPUTED_VALUE"""),298.26)</f>
        <v>298.26</v>
      </c>
      <c r="AK17" s="3">
        <f>IFERROR(__xludf.DUMMYFUNCTION("""COMPUTED_VALUE"""),45.74)</f>
        <v>45.74</v>
      </c>
      <c r="AL17" s="1">
        <f>IFERROR(__xludf.DUMMYFUNCTION("""COMPUTED_VALUE"""),63.43)</f>
        <v>63.43</v>
      </c>
      <c r="AM17" s="1">
        <f>IFERROR(__xludf.DUMMYFUNCTION("""COMPUTED_VALUE"""),454.98)</f>
        <v>454.98</v>
      </c>
      <c r="AN17" s="1">
        <f>IFERROR(__xludf.DUMMYFUNCTION("""COMPUTED_VALUE"""),328.01)</f>
        <v>328.01</v>
      </c>
      <c r="AO17" s="1">
        <f>IFERROR(__xludf.DUMMYFUNCTION("""COMPUTED_VALUE"""),89.89)</f>
        <v>89.89</v>
      </c>
      <c r="AP17" s="1">
        <f>IFERROR(__xludf.DUMMYFUNCTION("""COMPUTED_VALUE"""),133.65)</f>
        <v>133.65</v>
      </c>
      <c r="AQ17" s="1">
        <f>IFERROR(__xludf.DUMMYFUNCTION("""COMPUTED_VALUE"""),403.86)</f>
        <v>403.86</v>
      </c>
      <c r="AR17" s="3">
        <f>IFERROR(__xludf.DUMMYFUNCTION("""COMPUTED_VALUE"""),201.82)</f>
        <v>201.82</v>
      </c>
      <c r="AS17" s="3">
        <f>IFERROR(__xludf.DUMMYFUNCTION("""COMPUTED_VALUE"""),467.6)</f>
        <v>467.6</v>
      </c>
      <c r="AT17" s="3">
        <f>IFERROR(__xludf.DUMMYFUNCTION("""COMPUTED_VALUE"""),306.62)</f>
        <v>306.62</v>
      </c>
      <c r="AU17" s="1">
        <f>IFERROR(__xludf.DUMMYFUNCTION("""COMPUTED_VALUE"""),25.88)</f>
        <v>25.88</v>
      </c>
      <c r="AV17" s="1">
        <f>IFERROR(__xludf.DUMMYFUNCTION("""COMPUTED_VALUE"""),82.12)</f>
        <v>82.12</v>
      </c>
      <c r="AW17" s="1">
        <f>IFERROR(__xludf.DUMMYFUNCTION("""COMPUTED_VALUE"""),71.42)</f>
        <v>71.42</v>
      </c>
      <c r="AX17" s="1">
        <f>IFERROR(__xludf.DUMMYFUNCTION("""COMPUTED_VALUE"""),16.13)</f>
        <v>16.13</v>
      </c>
      <c r="AY17" s="1">
        <f>IFERROR(__xludf.DUMMYFUNCTION("""COMPUTED_VALUE"""),413.52)</f>
        <v>413.52</v>
      </c>
      <c r="AZ17" s="3">
        <f>IFERROR(__xludf.DUMMYFUNCTION("""COMPUTED_VALUE"""),77.71)</f>
        <v>77.71</v>
      </c>
      <c r="BA17" s="3">
        <f>IFERROR(__xludf.DUMMYFUNCTION("""COMPUTED_VALUE"""),78.34)</f>
        <v>78.34</v>
      </c>
      <c r="BB17" s="3">
        <f>IFERROR(__xludf.DUMMYFUNCTION("""COMPUTED_VALUE"""),115.0)</f>
        <v>115</v>
      </c>
      <c r="BC17" s="1">
        <f>IFERROR(__xludf.DUMMYFUNCTION("""COMPUTED_VALUE"""),98.83)</f>
        <v>98.83</v>
      </c>
      <c r="BD17" s="1">
        <f>IFERROR(__xludf.DUMMYFUNCTION("""COMPUTED_VALUE"""),41.24)</f>
        <v>41.24</v>
      </c>
      <c r="BE17" s="1">
        <f>IFERROR(__xludf.DUMMYFUNCTION("""COMPUTED_VALUE"""),21.32)</f>
        <v>21.32</v>
      </c>
      <c r="BF17" s="1">
        <f>IFERROR(__xludf.DUMMYFUNCTION("""COMPUTED_VALUE"""),63.46)</f>
        <v>63.46</v>
      </c>
      <c r="BG17" s="1">
        <f>IFERROR(__xludf.DUMMYFUNCTION("""COMPUTED_VALUE"""),29.31)</f>
        <v>29.31</v>
      </c>
      <c r="BH17" s="1">
        <f>IFERROR(__xludf.DUMMYFUNCTION("""COMPUTED_VALUE"""),107.37)</f>
        <v>107.37</v>
      </c>
      <c r="BI17" s="1">
        <f>IFERROR(__xludf.DUMMYFUNCTION("""COMPUTED_VALUE"""),40.17)</f>
        <v>40.17</v>
      </c>
      <c r="BJ17" s="1">
        <f>IFERROR(__xludf.DUMMYFUNCTION("""COMPUTED_VALUE"""),173.08)</f>
        <v>173.08</v>
      </c>
      <c r="BK17" s="1">
        <f>IFERROR(__xludf.DUMMYFUNCTION("""COMPUTED_VALUE"""),569.58)</f>
        <v>569.58</v>
      </c>
      <c r="BL17" s="1">
        <f>IFERROR(__xludf.DUMMYFUNCTION("""COMPUTED_VALUE"""),212.17)</f>
        <v>212.17</v>
      </c>
      <c r="BM17" s="1">
        <f>IFERROR(__xludf.DUMMYFUNCTION("""COMPUTED_VALUE"""),133.63)</f>
        <v>133.63</v>
      </c>
      <c r="BN17" s="3">
        <f>IFERROR(__xludf.DUMMYFUNCTION("""COMPUTED_VALUE"""),6.95)</f>
        <v>6.95</v>
      </c>
      <c r="BO17" s="1">
        <f>IFERROR(__xludf.DUMMYFUNCTION("""COMPUTED_VALUE"""),228.32)</f>
        <v>228.32</v>
      </c>
      <c r="BP17" s="1">
        <f>IFERROR(__xludf.DUMMYFUNCTION("""COMPUTED_VALUE"""),497.44)</f>
        <v>497.44</v>
      </c>
      <c r="BQ17" s="36">
        <f>IFERROR(__xludf.DUMMYFUNCTION("""COMPUTED_VALUE"""),48.3)</f>
        <v>48.3</v>
      </c>
      <c r="BR17" s="1">
        <f>IFERROR(__xludf.DUMMYFUNCTION("""COMPUTED_VALUE"""),10.58)</f>
        <v>10.58</v>
      </c>
      <c r="BS17" s="1">
        <f>IFERROR(__xludf.DUMMYFUNCTION("""COMPUTED_VALUE"""),201.3)</f>
        <v>201.3</v>
      </c>
      <c r="BT17" s="1">
        <f>IFERROR(__xludf.DUMMYFUNCTION("""COMPUTED_VALUE"""),102.77)</f>
        <v>102.77</v>
      </c>
      <c r="BU17" s="3">
        <v>1.0</v>
      </c>
    </row>
    <row r="18">
      <c r="A18" s="25">
        <f>IFERROR(__xludf.DUMMYFUNCTION("""COMPUTED_VALUE"""),45447.66666666667)</f>
        <v>45447.66667</v>
      </c>
      <c r="B18" s="29">
        <f>'Master Scratch Work'!B17</f>
        <v>1222677.5</v>
      </c>
      <c r="C18" s="15">
        <f>IFERROR(__xludf.DUMMYFUNCTION("""COMPUTED_VALUE"""),5291.34)</f>
        <v>5291.34</v>
      </c>
      <c r="D18" s="15">
        <f>IFERROR(__xludf.DUMMYFUNCTION("""COMPUTED_VALUE"""),16857.05)</f>
        <v>16857.05</v>
      </c>
      <c r="E18" s="15">
        <f>IFERROR(__xludf.DUMMYFUNCTION("""COMPUTED_VALUE"""),38711.29)</f>
        <v>38711.29</v>
      </c>
      <c r="F18" s="15">
        <f>IFERROR(__xludf.DUMMYFUNCTION("""COMPUTED_VALUE"""),2033.94)</f>
        <v>2033.94</v>
      </c>
      <c r="G18" s="3">
        <f>IFERROR(__xludf.DUMMYFUNCTION("""COMPUTED_VALUE"""),528.39)</f>
        <v>528.39</v>
      </c>
      <c r="H18" s="3">
        <f>IFERROR(__xludf.DUMMYFUNCTION("""COMPUTED_VALUE"""),454.37)</f>
        <v>454.37</v>
      </c>
      <c r="I18" s="3">
        <f>IFERROR(__xludf.DUMMYFUNCTION("""COMPUTED_VALUE"""),448.37)</f>
        <v>448.37</v>
      </c>
      <c r="J18" s="3">
        <f>IFERROR(__xludf.DUMMYFUNCTION("""COMPUTED_VALUE"""),179.34)</f>
        <v>179.34</v>
      </c>
      <c r="K18" s="3">
        <f>IFERROR(__xludf.DUMMYFUNCTION("""COMPUTED_VALUE"""),132.82)</f>
        <v>132.82</v>
      </c>
      <c r="L18" s="3">
        <f>IFERROR(__xludf.DUMMYFUNCTION("""COMPUTED_VALUE"""),194.35)</f>
        <v>194.35</v>
      </c>
      <c r="M18" s="3">
        <f>IFERROR(__xludf.DUMMYFUNCTION("""COMPUTED_VALUE"""),212.22)</f>
        <v>212.22</v>
      </c>
      <c r="N18" s="3">
        <f>IFERROR(__xludf.DUMMYFUNCTION("""COMPUTED_VALUE"""),58.87)</f>
        <v>58.87</v>
      </c>
      <c r="O18" s="3">
        <f>IFERROR(__xludf.DUMMYFUNCTION("""COMPUTED_VALUE"""),11.09)</f>
        <v>11.09</v>
      </c>
      <c r="P18" s="3">
        <f>IFERROR(__xludf.DUMMYFUNCTION("""COMPUTED_VALUE"""),409.53)</f>
        <v>409.53</v>
      </c>
      <c r="Q18" s="3">
        <f>IFERROR(__xludf.DUMMYFUNCTION("""COMPUTED_VALUE"""),58.07)</f>
        <v>58.07</v>
      </c>
      <c r="R18" s="3">
        <f>IFERROR(__xludf.DUMMYFUNCTION("""COMPUTED_VALUE"""),234.13)</f>
        <v>234.13</v>
      </c>
      <c r="S18" s="3">
        <f>IFERROR(__xludf.DUMMYFUNCTION("""COMPUTED_VALUE"""),75.92)</f>
        <v>75.92</v>
      </c>
      <c r="T18" s="3">
        <f>IFERROR(__xludf.DUMMYFUNCTION("""COMPUTED_VALUE"""),61.27)</f>
        <v>61.27</v>
      </c>
      <c r="U18" s="3">
        <f>IFERROR(__xludf.DUMMYFUNCTION("""COMPUTED_VALUE"""),327.57)</f>
        <v>327.57</v>
      </c>
      <c r="V18" s="3">
        <f>IFERROR(__xludf.DUMMYFUNCTION("""COMPUTED_VALUE"""),53.62)</f>
        <v>53.62</v>
      </c>
      <c r="W18" s="3">
        <f>IFERROR(__xludf.DUMMYFUNCTION("""COMPUTED_VALUE"""),151.03)</f>
        <v>151.03</v>
      </c>
      <c r="X18" s="3">
        <f>IFERROR(__xludf.DUMMYFUNCTION("""COMPUTED_VALUE"""),156.13)</f>
        <v>156.13</v>
      </c>
      <c r="Y18" s="1">
        <f>IFERROR(__xludf.DUMMYFUNCTION("""COMPUTED_VALUE"""),337.06)</f>
        <v>337.06</v>
      </c>
      <c r="Z18" s="1">
        <f>IFERROR(__xludf.DUMMYFUNCTION("""COMPUTED_VALUE"""),34.17)</f>
        <v>34.17</v>
      </c>
      <c r="AA18" s="1">
        <f>IFERROR(__xludf.DUMMYFUNCTION("""COMPUTED_VALUE"""),63.94)</f>
        <v>63.94</v>
      </c>
      <c r="AB18" s="1">
        <f>IFERROR(__xludf.DUMMYFUNCTION("""COMPUTED_VALUE"""),93.72)</f>
        <v>93.72</v>
      </c>
      <c r="AC18" s="1">
        <f>IFERROR(__xludf.DUMMYFUNCTION("""COMPUTED_VALUE"""),145.12)</f>
        <v>145.12</v>
      </c>
      <c r="AD18" s="3">
        <f>IFERROR(__xludf.DUMMYFUNCTION("""COMPUTED_VALUE"""),120.3)</f>
        <v>120.3</v>
      </c>
      <c r="AE18" s="1">
        <f>IFERROR(__xludf.DUMMYFUNCTION("""COMPUTED_VALUE"""),520.98)</f>
        <v>520.98</v>
      </c>
      <c r="AF18" s="1">
        <f>IFERROR(__xludf.DUMMYFUNCTION("""COMPUTED_VALUE"""),53.75)</f>
        <v>53.75</v>
      </c>
      <c r="AG18" s="1">
        <f>IFERROR(__xludf.DUMMYFUNCTION("""COMPUTED_VALUE"""),112.67)</f>
        <v>112.67</v>
      </c>
      <c r="AH18" s="3">
        <f>IFERROR(__xludf.DUMMYFUNCTION("""COMPUTED_VALUE"""),245.95)</f>
        <v>245.95</v>
      </c>
      <c r="AI18" s="1">
        <f>IFERROR(__xludf.DUMMYFUNCTION("""COMPUTED_VALUE"""),410.74)</f>
        <v>410.74</v>
      </c>
      <c r="AJ18" s="1">
        <f>IFERROR(__xludf.DUMMYFUNCTION("""COMPUTED_VALUE"""),297.32)</f>
        <v>297.32</v>
      </c>
      <c r="AK18" s="3">
        <f>IFERROR(__xludf.DUMMYFUNCTION("""COMPUTED_VALUE"""),45.26)</f>
        <v>45.26</v>
      </c>
      <c r="AL18" s="1">
        <f>IFERROR(__xludf.DUMMYFUNCTION("""COMPUTED_VALUE"""),64.16)</f>
        <v>64.16</v>
      </c>
      <c r="AM18" s="1">
        <f>IFERROR(__xludf.DUMMYFUNCTION("""COMPUTED_VALUE"""),455.3)</f>
        <v>455.3</v>
      </c>
      <c r="AN18" s="1">
        <f>IFERROR(__xludf.DUMMYFUNCTION("""COMPUTED_VALUE"""),328.26)</f>
        <v>328.26</v>
      </c>
      <c r="AO18" s="1">
        <f>IFERROR(__xludf.DUMMYFUNCTION("""COMPUTED_VALUE"""),91.22)</f>
        <v>91.22</v>
      </c>
      <c r="AP18" s="1">
        <f>IFERROR(__xludf.DUMMYFUNCTION("""COMPUTED_VALUE"""),134.76)</f>
        <v>134.76</v>
      </c>
      <c r="AQ18" s="1">
        <f>IFERROR(__xludf.DUMMYFUNCTION("""COMPUTED_VALUE"""),406.61)</f>
        <v>406.61</v>
      </c>
      <c r="AR18" s="3">
        <f>IFERROR(__xludf.DUMMYFUNCTION("""COMPUTED_VALUE"""),199.16)</f>
        <v>199.16</v>
      </c>
      <c r="AS18" s="3">
        <f>IFERROR(__xludf.DUMMYFUNCTION("""COMPUTED_VALUE"""),468.89)</f>
        <v>468.89</v>
      </c>
      <c r="AT18" s="3">
        <f>IFERROR(__xludf.DUMMYFUNCTION("""COMPUTED_VALUE"""),306.78)</f>
        <v>306.78</v>
      </c>
      <c r="AU18" s="1">
        <f>IFERROR(__xludf.DUMMYFUNCTION("""COMPUTED_VALUE"""),25.81)</f>
        <v>25.81</v>
      </c>
      <c r="AV18" s="1">
        <f>IFERROR(__xludf.DUMMYFUNCTION("""COMPUTED_VALUE"""),83.27)</f>
        <v>83.27</v>
      </c>
      <c r="AW18" s="1">
        <f>IFERROR(__xludf.DUMMYFUNCTION("""COMPUTED_VALUE"""),70.31)</f>
        <v>70.31</v>
      </c>
      <c r="AX18" s="1">
        <f>IFERROR(__xludf.DUMMYFUNCTION("""COMPUTED_VALUE"""),15.41)</f>
        <v>15.41</v>
      </c>
      <c r="AY18" s="1">
        <f>IFERROR(__xludf.DUMMYFUNCTION("""COMPUTED_VALUE"""),416.07)</f>
        <v>416.07</v>
      </c>
      <c r="AZ18" s="3">
        <f>IFERROR(__xludf.DUMMYFUNCTION("""COMPUTED_VALUE"""),77.15)</f>
        <v>77.15</v>
      </c>
      <c r="BA18" s="3">
        <f>IFERROR(__xludf.DUMMYFUNCTION("""COMPUTED_VALUE"""),77.83)</f>
        <v>77.83</v>
      </c>
      <c r="BB18" s="3">
        <f>IFERROR(__xludf.DUMMYFUNCTION("""COMPUTED_VALUE"""),116.44)</f>
        <v>116.44</v>
      </c>
      <c r="BC18" s="1">
        <f>IFERROR(__xludf.DUMMYFUNCTION("""COMPUTED_VALUE"""),99.21)</f>
        <v>99.21</v>
      </c>
      <c r="BD18" s="1">
        <f>IFERROR(__xludf.DUMMYFUNCTION("""COMPUTED_VALUE"""),40.82)</f>
        <v>40.82</v>
      </c>
      <c r="BE18" s="1">
        <f>IFERROR(__xludf.DUMMYFUNCTION("""COMPUTED_VALUE"""),22.1)</f>
        <v>22.1</v>
      </c>
      <c r="BF18" s="1">
        <f>IFERROR(__xludf.DUMMYFUNCTION("""COMPUTED_VALUE"""),63.33)</f>
        <v>63.33</v>
      </c>
      <c r="BG18" s="1">
        <f>IFERROR(__xludf.DUMMYFUNCTION("""COMPUTED_VALUE"""),29.49)</f>
        <v>29.49</v>
      </c>
      <c r="BH18" s="1">
        <f>IFERROR(__xludf.DUMMYFUNCTION("""COMPUTED_VALUE"""),107.9)</f>
        <v>107.9</v>
      </c>
      <c r="BI18" s="1">
        <f>IFERROR(__xludf.DUMMYFUNCTION("""COMPUTED_VALUE"""),39.78)</f>
        <v>39.78</v>
      </c>
      <c r="BJ18" s="1">
        <f>IFERROR(__xludf.DUMMYFUNCTION("""COMPUTED_VALUE"""),177.91)</f>
        <v>177.91</v>
      </c>
      <c r="BK18" s="1">
        <f>IFERROR(__xludf.DUMMYFUNCTION("""COMPUTED_VALUE"""),569.67)</f>
        <v>569.67</v>
      </c>
      <c r="BL18" s="1">
        <f>IFERROR(__xludf.DUMMYFUNCTION("""COMPUTED_VALUE"""),210.38)</f>
        <v>210.38</v>
      </c>
      <c r="BM18" s="1">
        <f>IFERROR(__xludf.DUMMYFUNCTION("""COMPUTED_VALUE"""),134.48)</f>
        <v>134.48</v>
      </c>
      <c r="BN18" s="3">
        <f>IFERROR(__xludf.DUMMYFUNCTION("""COMPUTED_VALUE"""),7.02)</f>
        <v>7.02</v>
      </c>
      <c r="BO18" s="1">
        <f>IFERROR(__xludf.DUMMYFUNCTION("""COMPUTED_VALUE"""),227.62)</f>
        <v>227.62</v>
      </c>
      <c r="BP18" s="1">
        <f>IFERROR(__xludf.DUMMYFUNCTION("""COMPUTED_VALUE"""),505.49)</f>
        <v>505.49</v>
      </c>
      <c r="BQ18" s="36">
        <f>IFERROR(__xludf.DUMMYFUNCTION("""COMPUTED_VALUE"""),48.34)</f>
        <v>48.34</v>
      </c>
      <c r="BR18" s="1">
        <f>IFERROR(__xludf.DUMMYFUNCTION("""COMPUTED_VALUE"""),10.53)</f>
        <v>10.53</v>
      </c>
      <c r="BS18" s="1">
        <f>IFERROR(__xludf.DUMMYFUNCTION("""COMPUTED_VALUE"""),203.63)</f>
        <v>203.63</v>
      </c>
      <c r="BT18" s="1">
        <f>IFERROR(__xludf.DUMMYFUNCTION("""COMPUTED_VALUE"""),103.33)</f>
        <v>103.33</v>
      </c>
      <c r="BU18" s="3">
        <v>1.0</v>
      </c>
    </row>
    <row r="19">
      <c r="A19" s="25">
        <f>IFERROR(__xludf.DUMMYFUNCTION("""COMPUTED_VALUE"""),45448.66666666667)</f>
        <v>45448.66667</v>
      </c>
      <c r="B19" s="29">
        <f>'Master Scratch Work'!B18</f>
        <v>1229292.54</v>
      </c>
      <c r="C19" s="15">
        <f>IFERROR(__xludf.DUMMYFUNCTION("""COMPUTED_VALUE"""),5354.03)</f>
        <v>5354.03</v>
      </c>
      <c r="D19" s="15">
        <f>IFERROR(__xludf.DUMMYFUNCTION("""COMPUTED_VALUE"""),17187.91)</f>
        <v>17187.91</v>
      </c>
      <c r="E19" s="15">
        <f>IFERROR(__xludf.DUMMYFUNCTION("""COMPUTED_VALUE"""),38807.33)</f>
        <v>38807.33</v>
      </c>
      <c r="F19" s="15">
        <f>IFERROR(__xludf.DUMMYFUNCTION("""COMPUTED_VALUE"""),2063.87)</f>
        <v>2063.87</v>
      </c>
      <c r="G19" s="3">
        <f>IFERROR(__xludf.DUMMYFUNCTION("""COMPUTED_VALUE"""),534.67)</f>
        <v>534.67</v>
      </c>
      <c r="H19" s="3">
        <f>IFERROR(__xludf.DUMMYFUNCTION("""COMPUTED_VALUE"""),463.53)</f>
        <v>463.53</v>
      </c>
      <c r="I19" s="3">
        <f>IFERROR(__xludf.DUMMYFUNCTION("""COMPUTED_VALUE"""),455.8)</f>
        <v>455.8</v>
      </c>
      <c r="J19" s="3">
        <f>IFERROR(__xludf.DUMMYFUNCTION("""COMPUTED_VALUE"""),181.28)</f>
        <v>181.28</v>
      </c>
      <c r="K19" s="3">
        <f>IFERROR(__xludf.DUMMYFUNCTION("""COMPUTED_VALUE"""),131.68)</f>
        <v>131.68</v>
      </c>
      <c r="L19" s="3">
        <f>IFERROR(__xludf.DUMMYFUNCTION("""COMPUTED_VALUE"""),195.87)</f>
        <v>195.87</v>
      </c>
      <c r="M19" s="3">
        <f>IFERROR(__xludf.DUMMYFUNCTION("""COMPUTED_VALUE"""),223.37)</f>
        <v>223.37</v>
      </c>
      <c r="N19" s="3">
        <f>IFERROR(__xludf.DUMMYFUNCTION("""COMPUTED_VALUE"""),58.89)</f>
        <v>58.89</v>
      </c>
      <c r="O19" s="3">
        <f>IFERROR(__xludf.DUMMYFUNCTION("""COMPUTED_VALUE"""),11.02)</f>
        <v>11.02</v>
      </c>
      <c r="P19" s="3">
        <f>IFERROR(__xludf.DUMMYFUNCTION("""COMPUTED_VALUE"""),409.85)</f>
        <v>409.85</v>
      </c>
      <c r="Q19" s="3">
        <f>IFERROR(__xludf.DUMMYFUNCTION("""COMPUTED_VALUE"""),58.62)</f>
        <v>58.62</v>
      </c>
      <c r="R19" s="3">
        <f>IFERROR(__xludf.DUMMYFUNCTION("""COMPUTED_VALUE"""),236.72)</f>
        <v>236.72</v>
      </c>
      <c r="S19" s="3">
        <f>IFERROR(__xludf.DUMMYFUNCTION("""COMPUTED_VALUE"""),75.89)</f>
        <v>75.89</v>
      </c>
      <c r="T19" s="3">
        <f>IFERROR(__xludf.DUMMYFUNCTION("""COMPUTED_VALUE"""),63.17)</f>
        <v>63.17</v>
      </c>
      <c r="U19" s="3">
        <f>IFERROR(__xludf.DUMMYFUNCTION("""COMPUTED_VALUE"""),329.45)</f>
        <v>329.45</v>
      </c>
      <c r="V19" s="3">
        <f>IFERROR(__xludf.DUMMYFUNCTION("""COMPUTED_VALUE"""),54.28)</f>
        <v>54.28</v>
      </c>
      <c r="W19" s="3">
        <f>IFERROR(__xludf.DUMMYFUNCTION("""COMPUTED_VALUE"""),153.8)</f>
        <v>153.8</v>
      </c>
      <c r="X19" s="3">
        <f>IFERROR(__xludf.DUMMYFUNCTION("""COMPUTED_VALUE"""),154.98)</f>
        <v>154.98</v>
      </c>
      <c r="Y19" s="1">
        <f>IFERROR(__xludf.DUMMYFUNCTION("""COMPUTED_VALUE"""),334.18)</f>
        <v>334.18</v>
      </c>
      <c r="Z19" s="1">
        <f>IFERROR(__xludf.DUMMYFUNCTION("""COMPUTED_VALUE"""),34.11)</f>
        <v>34.11</v>
      </c>
      <c r="AA19" s="1">
        <f>IFERROR(__xludf.DUMMYFUNCTION("""COMPUTED_VALUE"""),63.92)</f>
        <v>63.92</v>
      </c>
      <c r="AB19" s="1">
        <f>IFERROR(__xludf.DUMMYFUNCTION("""COMPUTED_VALUE"""),92.6)</f>
        <v>92.6</v>
      </c>
      <c r="AC19" s="1">
        <f>IFERROR(__xludf.DUMMYFUNCTION("""COMPUTED_VALUE"""),147.36)</f>
        <v>147.36</v>
      </c>
      <c r="AD19" s="3">
        <f>IFERROR(__xludf.DUMMYFUNCTION("""COMPUTED_VALUE"""),114.38)</f>
        <v>114.38</v>
      </c>
      <c r="AE19" s="1">
        <f>IFERROR(__xludf.DUMMYFUNCTION("""COMPUTED_VALUE"""),517.1)</f>
        <v>517.1</v>
      </c>
      <c r="AF19" s="1">
        <f>IFERROR(__xludf.DUMMYFUNCTION("""COMPUTED_VALUE"""),53.01)</f>
        <v>53.01</v>
      </c>
      <c r="AG19" s="1">
        <f>IFERROR(__xludf.DUMMYFUNCTION("""COMPUTED_VALUE"""),113.12)</f>
        <v>113.12</v>
      </c>
      <c r="AH19" s="3">
        <f>IFERROR(__xludf.DUMMYFUNCTION("""COMPUTED_VALUE"""),248.05)</f>
        <v>248.05</v>
      </c>
      <c r="AI19" s="1">
        <f>IFERROR(__xludf.DUMMYFUNCTION("""COMPUTED_VALUE"""),422.4)</f>
        <v>422.4</v>
      </c>
      <c r="AJ19" s="1">
        <f>IFERROR(__xludf.DUMMYFUNCTION("""COMPUTED_VALUE"""),299.45)</f>
        <v>299.45</v>
      </c>
      <c r="AK19" s="3">
        <f>IFERROR(__xludf.DUMMYFUNCTION("""COMPUTED_VALUE"""),45.62)</f>
        <v>45.62</v>
      </c>
      <c r="AL19" s="1">
        <f>IFERROR(__xludf.DUMMYFUNCTION("""COMPUTED_VALUE"""),63.88)</f>
        <v>63.88</v>
      </c>
      <c r="AM19" s="1">
        <f>IFERROR(__xludf.DUMMYFUNCTION("""COMPUTED_VALUE"""),461.68)</f>
        <v>461.68</v>
      </c>
      <c r="AN19" s="1">
        <f>IFERROR(__xludf.DUMMYFUNCTION("""COMPUTED_VALUE"""),330.26)</f>
        <v>330.26</v>
      </c>
      <c r="AO19" s="1">
        <f>IFERROR(__xludf.DUMMYFUNCTION("""COMPUTED_VALUE"""),94.49)</f>
        <v>94.49</v>
      </c>
      <c r="AP19" s="1">
        <f>IFERROR(__xludf.DUMMYFUNCTION("""COMPUTED_VALUE"""),135.34)</f>
        <v>135.34</v>
      </c>
      <c r="AQ19" s="1">
        <f>IFERROR(__xludf.DUMMYFUNCTION("""COMPUTED_VALUE"""),417.24)</f>
        <v>417.24</v>
      </c>
      <c r="AR19" s="3">
        <f>IFERROR(__xludf.DUMMYFUNCTION("""COMPUTED_VALUE"""),197.26)</f>
        <v>197.26</v>
      </c>
      <c r="AS19" s="3">
        <f>IFERROR(__xludf.DUMMYFUNCTION("""COMPUTED_VALUE"""),465.23)</f>
        <v>465.23</v>
      </c>
      <c r="AT19" s="3">
        <f>IFERROR(__xludf.DUMMYFUNCTION("""COMPUTED_VALUE"""),308.27)</f>
        <v>308.27</v>
      </c>
      <c r="AU19" s="1">
        <f>IFERROR(__xludf.DUMMYFUNCTION("""COMPUTED_VALUE"""),25.82)</f>
        <v>25.82</v>
      </c>
      <c r="AV19" s="1">
        <f>IFERROR(__xludf.DUMMYFUNCTION("""COMPUTED_VALUE"""),82.31)</f>
        <v>82.31</v>
      </c>
      <c r="AW19" s="1">
        <f>IFERROR(__xludf.DUMMYFUNCTION("""COMPUTED_VALUE"""),70.33)</f>
        <v>70.33</v>
      </c>
      <c r="AX19" s="1">
        <f>IFERROR(__xludf.DUMMYFUNCTION("""COMPUTED_VALUE"""),15.43)</f>
        <v>15.43</v>
      </c>
      <c r="AY19" s="1">
        <f>IFERROR(__xludf.DUMMYFUNCTION("""COMPUTED_VALUE"""),424.01)</f>
        <v>424.01</v>
      </c>
      <c r="AZ19" s="3">
        <f>IFERROR(__xludf.DUMMYFUNCTION("""COMPUTED_VALUE"""),77.05)</f>
        <v>77.05</v>
      </c>
      <c r="BA19" s="3">
        <f>IFERROR(__xludf.DUMMYFUNCTION("""COMPUTED_VALUE"""),81.55)</f>
        <v>81.55</v>
      </c>
      <c r="BB19" s="3">
        <f>IFERROR(__xludf.DUMMYFUNCTION("""COMPUTED_VALUE"""),122.44)</f>
        <v>122.44</v>
      </c>
      <c r="BC19" s="1">
        <f>IFERROR(__xludf.DUMMYFUNCTION("""COMPUTED_VALUE"""),100.78)</f>
        <v>100.78</v>
      </c>
      <c r="BD19" s="1">
        <f>IFERROR(__xludf.DUMMYFUNCTION("""COMPUTED_VALUE"""),42.0)</f>
        <v>42</v>
      </c>
      <c r="BE19" s="1">
        <f>IFERROR(__xludf.DUMMYFUNCTION("""COMPUTED_VALUE"""),22.96)</f>
        <v>22.96</v>
      </c>
      <c r="BF19" s="1">
        <f>IFERROR(__xludf.DUMMYFUNCTION("""COMPUTED_VALUE"""),63.53)</f>
        <v>63.53</v>
      </c>
      <c r="BG19" s="1">
        <f>IFERROR(__xludf.DUMMYFUNCTION("""COMPUTED_VALUE"""),29.55)</f>
        <v>29.55</v>
      </c>
      <c r="BH19" s="1">
        <f>IFERROR(__xludf.DUMMYFUNCTION("""COMPUTED_VALUE"""),108.44)</f>
        <v>108.44</v>
      </c>
      <c r="BI19" s="1">
        <f>IFERROR(__xludf.DUMMYFUNCTION("""COMPUTED_VALUE"""),40.68)</f>
        <v>40.68</v>
      </c>
      <c r="BJ19" s="1">
        <f>IFERROR(__xludf.DUMMYFUNCTION("""COMPUTED_VALUE"""),180.27)</f>
        <v>180.27</v>
      </c>
      <c r="BK19" s="1">
        <f>IFERROR(__xludf.DUMMYFUNCTION("""COMPUTED_VALUE"""),575.28)</f>
        <v>575.28</v>
      </c>
      <c r="BL19" s="1">
        <f>IFERROR(__xludf.DUMMYFUNCTION("""COMPUTED_VALUE"""),208.33)</f>
        <v>208.33</v>
      </c>
      <c r="BM19" s="1">
        <f>IFERROR(__xludf.DUMMYFUNCTION("""COMPUTED_VALUE"""),135.09)</f>
        <v>135.09</v>
      </c>
      <c r="BN19" s="3">
        <f>IFERROR(__xludf.DUMMYFUNCTION("""COMPUTED_VALUE"""),6.88)</f>
        <v>6.88</v>
      </c>
      <c r="BO19" s="1">
        <f>IFERROR(__xludf.DUMMYFUNCTION("""COMPUTED_VALUE"""),227.41)</f>
        <v>227.41</v>
      </c>
      <c r="BP19" s="1">
        <f>IFERROR(__xludf.DUMMYFUNCTION("""COMPUTED_VALUE"""),503.12)</f>
        <v>503.12</v>
      </c>
      <c r="BQ19" s="36">
        <f>IFERROR(__xludf.DUMMYFUNCTION("""COMPUTED_VALUE"""),48.39)</f>
        <v>48.39</v>
      </c>
      <c r="BR19" s="1">
        <f>IFERROR(__xludf.DUMMYFUNCTION("""COMPUTED_VALUE"""),10.49)</f>
        <v>10.49</v>
      </c>
      <c r="BS19" s="1">
        <f>IFERROR(__xludf.DUMMYFUNCTION("""COMPUTED_VALUE"""),203.9)</f>
        <v>203.9</v>
      </c>
      <c r="BT19" s="1">
        <f>IFERROR(__xludf.DUMMYFUNCTION("""COMPUTED_VALUE"""),101.5)</f>
        <v>101.5</v>
      </c>
      <c r="BU19" s="3">
        <v>1.0</v>
      </c>
    </row>
    <row r="20">
      <c r="A20" s="25">
        <f>IFERROR(__xludf.DUMMYFUNCTION("""COMPUTED_VALUE"""),45449.66666666667)</f>
        <v>45449.66667</v>
      </c>
      <c r="B20" s="29">
        <f>'Master Scratch Work'!B19</f>
        <v>1229206.49</v>
      </c>
      <c r="C20" s="15">
        <f>IFERROR(__xludf.DUMMYFUNCTION("""COMPUTED_VALUE"""),5352.96)</f>
        <v>5352.96</v>
      </c>
      <c r="D20" s="15">
        <f>IFERROR(__xludf.DUMMYFUNCTION("""COMPUTED_VALUE"""),17173.12)</f>
        <v>17173.12</v>
      </c>
      <c r="E20" s="15">
        <f>IFERROR(__xludf.DUMMYFUNCTION("""COMPUTED_VALUE"""),38886.17)</f>
        <v>38886.17</v>
      </c>
      <c r="F20" s="15">
        <f>IFERROR(__xludf.DUMMYFUNCTION("""COMPUTED_VALUE"""),2049.44)</f>
        <v>2049.44</v>
      </c>
      <c r="G20" s="3">
        <f>IFERROR(__xludf.DUMMYFUNCTION("""COMPUTED_VALUE"""),534.66)</f>
        <v>534.66</v>
      </c>
      <c r="H20" s="3">
        <f>IFERROR(__xludf.DUMMYFUNCTION("""COMPUTED_VALUE"""),463.37)</f>
        <v>463.37</v>
      </c>
      <c r="I20" s="3">
        <f>IFERROR(__xludf.DUMMYFUNCTION("""COMPUTED_VALUE"""),458.13)</f>
        <v>458.13</v>
      </c>
      <c r="J20" s="3">
        <f>IFERROR(__xludf.DUMMYFUNCTION("""COMPUTED_VALUE"""),185.0)</f>
        <v>185</v>
      </c>
      <c r="K20" s="3">
        <f>IFERROR(__xludf.DUMMYFUNCTION("""COMPUTED_VALUE"""),130.62)</f>
        <v>130.62</v>
      </c>
      <c r="L20" s="3">
        <f>IFERROR(__xludf.DUMMYFUNCTION("""COMPUTED_VALUE"""),194.48)</f>
        <v>194.48</v>
      </c>
      <c r="M20" s="3">
        <f>IFERROR(__xludf.DUMMYFUNCTION("""COMPUTED_VALUE"""),221.75)</f>
        <v>221.75</v>
      </c>
      <c r="N20" s="3">
        <f>IFERROR(__xludf.DUMMYFUNCTION("""COMPUTED_VALUE"""),59.91)</f>
        <v>59.91</v>
      </c>
      <c r="O20" s="3">
        <f>IFERROR(__xludf.DUMMYFUNCTION("""COMPUTED_VALUE"""),11.12)</f>
        <v>11.12</v>
      </c>
      <c r="P20" s="3">
        <f>IFERROR(__xludf.DUMMYFUNCTION("""COMPUTED_VALUE"""),411.08)</f>
        <v>411.08</v>
      </c>
      <c r="Q20" s="3">
        <f>IFERROR(__xludf.DUMMYFUNCTION("""COMPUTED_VALUE"""),59.7)</f>
        <v>59.7</v>
      </c>
      <c r="R20" s="3">
        <f>IFERROR(__xludf.DUMMYFUNCTION("""COMPUTED_VALUE"""),231.99)</f>
        <v>231.99</v>
      </c>
      <c r="S20" s="3">
        <f>IFERROR(__xludf.DUMMYFUNCTION("""COMPUTED_VALUE"""),76.12)</f>
        <v>76.12</v>
      </c>
      <c r="T20" s="3">
        <f>IFERROR(__xludf.DUMMYFUNCTION("""COMPUTED_VALUE"""),62.48)</f>
        <v>62.48</v>
      </c>
      <c r="U20" s="3">
        <f>IFERROR(__xludf.DUMMYFUNCTION("""COMPUTED_VALUE"""),328.29)</f>
        <v>328.29</v>
      </c>
      <c r="V20" s="3">
        <f>IFERROR(__xludf.DUMMYFUNCTION("""COMPUTED_VALUE"""),55.47)</f>
        <v>55.47</v>
      </c>
      <c r="W20" s="3">
        <f>IFERROR(__xludf.DUMMYFUNCTION("""COMPUTED_VALUE"""),154.82)</f>
        <v>154.82</v>
      </c>
      <c r="X20" s="3">
        <f>IFERROR(__xludf.DUMMYFUNCTION("""COMPUTED_VALUE"""),155.93)</f>
        <v>155.93</v>
      </c>
      <c r="Y20" s="1">
        <f>IFERROR(__xludf.DUMMYFUNCTION("""COMPUTED_VALUE"""),337.91)</f>
        <v>337.91</v>
      </c>
      <c r="Z20" s="1">
        <f>IFERROR(__xludf.DUMMYFUNCTION("""COMPUTED_VALUE"""),34.06)</f>
        <v>34.06</v>
      </c>
      <c r="AA20" s="1">
        <f>IFERROR(__xludf.DUMMYFUNCTION("""COMPUTED_VALUE"""),64.15)</f>
        <v>64.15</v>
      </c>
      <c r="AB20" s="1">
        <f>IFERROR(__xludf.DUMMYFUNCTION("""COMPUTED_VALUE"""),91.89)</f>
        <v>91.89</v>
      </c>
      <c r="AC20" s="1">
        <f>IFERROR(__xludf.DUMMYFUNCTION("""COMPUTED_VALUE"""),147.12)</f>
        <v>147.12</v>
      </c>
      <c r="AD20" s="3">
        <f>IFERROR(__xludf.DUMMYFUNCTION("""COMPUTED_VALUE"""),112.37)</f>
        <v>112.37</v>
      </c>
      <c r="AE20" s="1">
        <f>IFERROR(__xludf.DUMMYFUNCTION("""COMPUTED_VALUE"""),513.69)</f>
        <v>513.69</v>
      </c>
      <c r="AF20" s="1">
        <f>IFERROR(__xludf.DUMMYFUNCTION("""COMPUTED_VALUE"""),53.39)</f>
        <v>53.39</v>
      </c>
      <c r="AG20" s="1">
        <f>IFERROR(__xludf.DUMMYFUNCTION("""COMPUTED_VALUE"""),113.97)</f>
        <v>113.97</v>
      </c>
      <c r="AH20" s="3">
        <f>IFERROR(__xludf.DUMMYFUNCTION("""COMPUTED_VALUE"""),250.27)</f>
        <v>250.27</v>
      </c>
      <c r="AI20" s="1">
        <f>IFERROR(__xludf.DUMMYFUNCTION("""COMPUTED_VALUE"""),416.92)</f>
        <v>416.92</v>
      </c>
      <c r="AJ20" s="1">
        <f>IFERROR(__xludf.DUMMYFUNCTION("""COMPUTED_VALUE"""),298.27)</f>
        <v>298.27</v>
      </c>
      <c r="AK20" s="3">
        <f>IFERROR(__xludf.DUMMYFUNCTION("""COMPUTED_VALUE"""),45.61)</f>
        <v>45.61</v>
      </c>
      <c r="AL20" s="1">
        <f>IFERROR(__xludf.DUMMYFUNCTION("""COMPUTED_VALUE"""),63.85)</f>
        <v>63.85</v>
      </c>
      <c r="AM20" s="1">
        <f>IFERROR(__xludf.DUMMYFUNCTION("""COMPUTED_VALUE"""),458.1)</f>
        <v>458.1</v>
      </c>
      <c r="AN20" s="1">
        <f>IFERROR(__xludf.DUMMYFUNCTION("""COMPUTED_VALUE"""),331.1)</f>
        <v>331.1</v>
      </c>
      <c r="AO20" s="1">
        <f>IFERROR(__xludf.DUMMYFUNCTION("""COMPUTED_VALUE"""),96.12)</f>
        <v>96.12</v>
      </c>
      <c r="AP20" s="1">
        <f>IFERROR(__xludf.DUMMYFUNCTION("""COMPUTED_VALUE"""),134.86)</f>
        <v>134.86</v>
      </c>
      <c r="AQ20" s="1">
        <f>IFERROR(__xludf.DUMMYFUNCTION("""COMPUTED_VALUE"""),418.15)</f>
        <v>418.15</v>
      </c>
      <c r="AR20" s="3">
        <f>IFERROR(__xludf.DUMMYFUNCTION("""COMPUTED_VALUE"""),196.91)</f>
        <v>196.91</v>
      </c>
      <c r="AS20" s="3">
        <f>IFERROR(__xludf.DUMMYFUNCTION("""COMPUTED_VALUE"""),468.62)</f>
        <v>468.62</v>
      </c>
      <c r="AT20" s="3">
        <f>IFERROR(__xludf.DUMMYFUNCTION("""COMPUTED_VALUE"""),323.03)</f>
        <v>323.03</v>
      </c>
      <c r="AU20" s="1">
        <f>IFERROR(__xludf.DUMMYFUNCTION("""COMPUTED_VALUE"""),25.87)</f>
        <v>25.87</v>
      </c>
      <c r="AV20" s="1">
        <f>IFERROR(__xludf.DUMMYFUNCTION("""COMPUTED_VALUE"""),82.34)</f>
        <v>82.34</v>
      </c>
      <c r="AW20" s="1">
        <f>IFERROR(__xludf.DUMMYFUNCTION("""COMPUTED_VALUE"""),70.04)</f>
        <v>70.04</v>
      </c>
      <c r="AX20" s="1">
        <f>IFERROR(__xludf.DUMMYFUNCTION("""COMPUTED_VALUE"""),15.25)</f>
        <v>15.25</v>
      </c>
      <c r="AY20" s="1">
        <f>IFERROR(__xludf.DUMMYFUNCTION("""COMPUTED_VALUE"""),424.52)</f>
        <v>424.52</v>
      </c>
      <c r="AZ20" s="3">
        <f>IFERROR(__xludf.DUMMYFUNCTION("""COMPUTED_VALUE"""),76.7)</f>
        <v>76.7</v>
      </c>
      <c r="BA20" s="3">
        <f>IFERROR(__xludf.DUMMYFUNCTION("""COMPUTED_VALUE"""),77.83)</f>
        <v>77.83</v>
      </c>
      <c r="BB20" s="3">
        <f>IFERROR(__xludf.DUMMYFUNCTION("""COMPUTED_VALUE"""),121.0)</f>
        <v>121</v>
      </c>
      <c r="BC20" s="1">
        <f>IFERROR(__xludf.DUMMYFUNCTION("""COMPUTED_VALUE"""),99.41)</f>
        <v>99.41</v>
      </c>
      <c r="BD20" s="1">
        <f>IFERROR(__xludf.DUMMYFUNCTION("""COMPUTED_VALUE"""),42.2)</f>
        <v>42.2</v>
      </c>
      <c r="BE20" s="1">
        <f>IFERROR(__xludf.DUMMYFUNCTION("""COMPUTED_VALUE"""),23.79)</f>
        <v>23.79</v>
      </c>
      <c r="BF20" s="1">
        <f>IFERROR(__xludf.DUMMYFUNCTION("""COMPUTED_VALUE"""),67.02)</f>
        <v>67.02</v>
      </c>
      <c r="BG20" s="1">
        <f>IFERROR(__xludf.DUMMYFUNCTION("""COMPUTED_VALUE"""),28.8)</f>
        <v>28.8</v>
      </c>
      <c r="BH20" s="1">
        <f>IFERROR(__xludf.DUMMYFUNCTION("""COMPUTED_VALUE"""),108.18)</f>
        <v>108.18</v>
      </c>
      <c r="BI20" s="1">
        <f>IFERROR(__xludf.DUMMYFUNCTION("""COMPUTED_VALUE"""),40.15)</f>
        <v>40.15</v>
      </c>
      <c r="BJ20" s="1">
        <f>IFERROR(__xludf.DUMMYFUNCTION("""COMPUTED_VALUE"""),179.77)</f>
        <v>179.77</v>
      </c>
      <c r="BK20" s="1">
        <f>IFERROR(__xludf.DUMMYFUNCTION("""COMPUTED_VALUE"""),579.84)</f>
        <v>579.84</v>
      </c>
      <c r="BL20" s="1">
        <f>IFERROR(__xludf.DUMMYFUNCTION("""COMPUTED_VALUE"""),210.04)</f>
        <v>210.04</v>
      </c>
      <c r="BM20" s="1">
        <f>IFERROR(__xludf.DUMMYFUNCTION("""COMPUTED_VALUE"""),133.02)</f>
        <v>133.02</v>
      </c>
      <c r="BN20" s="3">
        <f>IFERROR(__xludf.DUMMYFUNCTION("""COMPUTED_VALUE"""),6.94)</f>
        <v>6.94</v>
      </c>
      <c r="BO20" s="1">
        <f>IFERROR(__xludf.DUMMYFUNCTION("""COMPUTED_VALUE"""),228.31)</f>
        <v>228.31</v>
      </c>
      <c r="BP20" s="1">
        <f>IFERROR(__xludf.DUMMYFUNCTION("""COMPUTED_VALUE"""),501.92)</f>
        <v>501.92</v>
      </c>
      <c r="BQ20" s="36">
        <f>IFERROR(__xludf.DUMMYFUNCTION("""COMPUTED_VALUE"""),48.39)</f>
        <v>48.39</v>
      </c>
      <c r="BR20" s="1">
        <f>IFERROR(__xludf.DUMMYFUNCTION("""COMPUTED_VALUE"""),10.42)</f>
        <v>10.42</v>
      </c>
      <c r="BS20" s="1">
        <f>IFERROR(__xludf.DUMMYFUNCTION("""COMPUTED_VALUE"""),202.5)</f>
        <v>202.5</v>
      </c>
      <c r="BT20" s="1">
        <f>IFERROR(__xludf.DUMMYFUNCTION("""COMPUTED_VALUE"""),101.21)</f>
        <v>101.21</v>
      </c>
      <c r="BU20" s="3">
        <v>1.0</v>
      </c>
    </row>
    <row r="21">
      <c r="A21" s="25">
        <f>IFERROR(__xludf.DUMMYFUNCTION("""COMPUTED_VALUE"""),45450.66666666667)</f>
        <v>45450.66667</v>
      </c>
      <c r="B21" s="29">
        <f>'Master Scratch Work'!B20</f>
        <v>1228174.45</v>
      </c>
      <c r="C21" s="15">
        <f>IFERROR(__xludf.DUMMYFUNCTION("""COMPUTED_VALUE"""),5346.99)</f>
        <v>5346.99</v>
      </c>
      <c r="D21" s="15">
        <f>IFERROR(__xludf.DUMMYFUNCTION("""COMPUTED_VALUE"""),17133.13)</f>
        <v>17133.13</v>
      </c>
      <c r="E21" s="15">
        <f>IFERROR(__xludf.DUMMYFUNCTION("""COMPUTED_VALUE"""),38798.99)</f>
        <v>38798.99</v>
      </c>
      <c r="F21" s="15">
        <f>IFERROR(__xludf.DUMMYFUNCTION("""COMPUTED_VALUE"""),2026.55)</f>
        <v>2026.55</v>
      </c>
      <c r="G21" s="3">
        <f>IFERROR(__xludf.DUMMYFUNCTION("""COMPUTED_VALUE"""),534.01)</f>
        <v>534.01</v>
      </c>
      <c r="H21" s="3">
        <f>IFERROR(__xludf.DUMMYFUNCTION("""COMPUTED_VALUE"""),462.96)</f>
        <v>462.96</v>
      </c>
      <c r="I21" s="3">
        <f>IFERROR(__xludf.DUMMYFUNCTION("""COMPUTED_VALUE"""),465.43)</f>
        <v>465.43</v>
      </c>
      <c r="J21" s="3">
        <f>IFERROR(__xludf.DUMMYFUNCTION("""COMPUTED_VALUE"""),184.3)</f>
        <v>184.3</v>
      </c>
      <c r="K21" s="3">
        <f>IFERROR(__xludf.DUMMYFUNCTION("""COMPUTED_VALUE"""),128.25)</f>
        <v>128.25</v>
      </c>
      <c r="L21" s="3">
        <f>IFERROR(__xludf.DUMMYFUNCTION("""COMPUTED_VALUE"""),196.89)</f>
        <v>196.89</v>
      </c>
      <c r="M21" s="3">
        <f>IFERROR(__xludf.DUMMYFUNCTION("""COMPUTED_VALUE"""),221.73)</f>
        <v>221.73</v>
      </c>
      <c r="N21" s="3">
        <f>IFERROR(__xludf.DUMMYFUNCTION("""COMPUTED_VALUE"""),60.31)</f>
        <v>60.31</v>
      </c>
      <c r="O21" s="3">
        <f>IFERROR(__xludf.DUMMYFUNCTION("""COMPUTED_VALUE"""),11.07)</f>
        <v>11.07</v>
      </c>
      <c r="P21" s="3">
        <f>IFERROR(__xludf.DUMMYFUNCTION("""COMPUTED_VALUE"""),413.72)</f>
        <v>413.72</v>
      </c>
      <c r="Q21" s="3">
        <f>IFERROR(__xludf.DUMMYFUNCTION("""COMPUTED_VALUE"""),58.19)</f>
        <v>58.19</v>
      </c>
      <c r="R21" s="3">
        <f>IFERROR(__xludf.DUMMYFUNCTION("""COMPUTED_VALUE"""),225.43)</f>
        <v>225.43</v>
      </c>
      <c r="S21" s="3">
        <f>IFERROR(__xludf.DUMMYFUNCTION("""COMPUTED_VALUE"""),77.11)</f>
        <v>77.11</v>
      </c>
      <c r="T21" s="3">
        <f>IFERROR(__xludf.DUMMYFUNCTION("""COMPUTED_VALUE"""),62.71)</f>
        <v>62.71</v>
      </c>
      <c r="U21" s="3">
        <f>IFERROR(__xludf.DUMMYFUNCTION("""COMPUTED_VALUE"""),328.94)</f>
        <v>328.94</v>
      </c>
      <c r="V21" s="3">
        <f>IFERROR(__xludf.DUMMYFUNCTION("""COMPUTED_VALUE"""),53.4)</f>
        <v>53.4</v>
      </c>
      <c r="W21" s="3">
        <f>IFERROR(__xludf.DUMMYFUNCTION("""COMPUTED_VALUE"""),156.41)</f>
        <v>156.41</v>
      </c>
      <c r="X21" s="3">
        <f>IFERROR(__xludf.DUMMYFUNCTION("""COMPUTED_VALUE"""),156.08)</f>
        <v>156.08</v>
      </c>
      <c r="Y21" s="1">
        <f>IFERROR(__xludf.DUMMYFUNCTION("""COMPUTED_VALUE"""),338.1)</f>
        <v>338.1</v>
      </c>
      <c r="Z21" s="1">
        <f>IFERROR(__xludf.DUMMYFUNCTION("""COMPUTED_VALUE"""),34.15)</f>
        <v>34.15</v>
      </c>
      <c r="AA21" s="1">
        <f>IFERROR(__xludf.DUMMYFUNCTION("""COMPUTED_VALUE"""),63.91)</f>
        <v>63.91</v>
      </c>
      <c r="AB21" s="1">
        <f>IFERROR(__xludf.DUMMYFUNCTION("""COMPUTED_VALUE"""),91.61)</f>
        <v>91.61</v>
      </c>
      <c r="AC21" s="1">
        <f>IFERROR(__xludf.DUMMYFUNCTION("""COMPUTED_VALUE"""),146.35)</f>
        <v>146.35</v>
      </c>
      <c r="AD21" s="3">
        <f>IFERROR(__xludf.DUMMYFUNCTION("""COMPUTED_VALUE"""),111.29)</f>
        <v>111.29</v>
      </c>
      <c r="AE21" s="1">
        <f>IFERROR(__xludf.DUMMYFUNCTION("""COMPUTED_VALUE"""),513.55)</f>
        <v>513.55</v>
      </c>
      <c r="AF21" s="1">
        <f>IFERROR(__xludf.DUMMYFUNCTION("""COMPUTED_VALUE"""),53.08)</f>
        <v>53.08</v>
      </c>
      <c r="AG21" s="1">
        <f>IFERROR(__xludf.DUMMYFUNCTION("""COMPUTED_VALUE"""),112.75)</f>
        <v>112.75</v>
      </c>
      <c r="AH21" s="3">
        <f>IFERROR(__xludf.DUMMYFUNCTION("""COMPUTED_VALUE"""),247.73)</f>
        <v>247.73</v>
      </c>
      <c r="AI21" s="1">
        <f>IFERROR(__xludf.DUMMYFUNCTION("""COMPUTED_VALUE"""),412.93)</f>
        <v>412.93</v>
      </c>
      <c r="AJ21" s="1">
        <f>IFERROR(__xludf.DUMMYFUNCTION("""COMPUTED_VALUE"""),299.14)</f>
        <v>299.14</v>
      </c>
      <c r="AK21" s="3">
        <f>IFERROR(__xludf.DUMMYFUNCTION("""COMPUTED_VALUE"""),45.72)</f>
        <v>45.72</v>
      </c>
      <c r="AL21" s="1">
        <f>IFERROR(__xludf.DUMMYFUNCTION("""COMPUTED_VALUE"""),64.7)</f>
        <v>64.7</v>
      </c>
      <c r="AM21" s="1">
        <f>IFERROR(__xludf.DUMMYFUNCTION("""COMPUTED_VALUE"""),454.91)</f>
        <v>454.91</v>
      </c>
      <c r="AN21" s="1">
        <f>IFERROR(__xludf.DUMMYFUNCTION("""COMPUTED_VALUE"""),327.03)</f>
        <v>327.03</v>
      </c>
      <c r="AO21" s="1">
        <f>IFERROR(__xludf.DUMMYFUNCTION("""COMPUTED_VALUE"""),97.36)</f>
        <v>97.36</v>
      </c>
      <c r="AP21" s="1">
        <f>IFERROR(__xludf.DUMMYFUNCTION("""COMPUTED_VALUE"""),133.79)</f>
        <v>133.79</v>
      </c>
      <c r="AQ21" s="1">
        <f>IFERROR(__xludf.DUMMYFUNCTION("""COMPUTED_VALUE"""),417.61)</f>
        <v>417.61</v>
      </c>
      <c r="AR21" s="3">
        <f>IFERROR(__xludf.DUMMYFUNCTION("""COMPUTED_VALUE"""),199.95)</f>
        <v>199.95</v>
      </c>
      <c r="AS21" s="3">
        <f>IFERROR(__xludf.DUMMYFUNCTION("""COMPUTED_VALUE"""),470.13)</f>
        <v>470.13</v>
      </c>
      <c r="AT21" s="3">
        <f>IFERROR(__xludf.DUMMYFUNCTION("""COMPUTED_VALUE"""),317.86)</f>
        <v>317.86</v>
      </c>
      <c r="AU21" s="1">
        <f>IFERROR(__xludf.DUMMYFUNCTION("""COMPUTED_VALUE"""),25.85)</f>
        <v>25.85</v>
      </c>
      <c r="AV21" s="1">
        <f>IFERROR(__xludf.DUMMYFUNCTION("""COMPUTED_VALUE"""),84.07)</f>
        <v>84.07</v>
      </c>
      <c r="AW21" s="1">
        <f>IFERROR(__xludf.DUMMYFUNCTION("""COMPUTED_VALUE"""),70.05)</f>
        <v>70.05</v>
      </c>
      <c r="AX21" s="1">
        <f>IFERROR(__xludf.DUMMYFUNCTION("""COMPUTED_VALUE"""),14.84)</f>
        <v>14.84</v>
      </c>
      <c r="AY21" s="1">
        <f>IFERROR(__xludf.DUMMYFUNCTION("""COMPUTED_VALUE"""),423.85)</f>
        <v>423.85</v>
      </c>
      <c r="AZ21" s="3">
        <f>IFERROR(__xludf.DUMMYFUNCTION("""COMPUTED_VALUE"""),75.39)</f>
        <v>75.39</v>
      </c>
      <c r="BA21" s="3">
        <f>IFERROR(__xludf.DUMMYFUNCTION("""COMPUTED_VALUE"""),77.89)</f>
        <v>77.89</v>
      </c>
      <c r="BB21" s="3">
        <f>IFERROR(__xludf.DUMMYFUNCTION("""COMPUTED_VALUE"""),120.89)</f>
        <v>120.89</v>
      </c>
      <c r="BC21" s="1">
        <f>IFERROR(__xludf.DUMMYFUNCTION("""COMPUTED_VALUE"""),98.66)</f>
        <v>98.66</v>
      </c>
      <c r="BD21" s="1">
        <f>IFERROR(__xludf.DUMMYFUNCTION("""COMPUTED_VALUE"""),42.35)</f>
        <v>42.35</v>
      </c>
      <c r="BE21" s="1">
        <f>IFERROR(__xludf.DUMMYFUNCTION("""COMPUTED_VALUE"""),23.31)</f>
        <v>23.31</v>
      </c>
      <c r="BF21" s="1">
        <f>IFERROR(__xludf.DUMMYFUNCTION("""COMPUTED_VALUE"""),67.3)</f>
        <v>67.3</v>
      </c>
      <c r="BG21" s="1">
        <f>IFERROR(__xludf.DUMMYFUNCTION("""COMPUTED_VALUE"""),28.58)</f>
        <v>28.58</v>
      </c>
      <c r="BH21" s="1">
        <f>IFERROR(__xludf.DUMMYFUNCTION("""COMPUTED_VALUE"""),108.11)</f>
        <v>108.11</v>
      </c>
      <c r="BI21" s="1">
        <f>IFERROR(__xludf.DUMMYFUNCTION("""COMPUTED_VALUE"""),40.34)</f>
        <v>40.34</v>
      </c>
      <c r="BJ21" s="1">
        <f>IFERROR(__xludf.DUMMYFUNCTION("""COMPUTED_VALUE"""),179.82)</f>
        <v>179.82</v>
      </c>
      <c r="BK21" s="1">
        <f>IFERROR(__xludf.DUMMYFUNCTION("""COMPUTED_VALUE"""),581.09)</f>
        <v>581.09</v>
      </c>
      <c r="BL21" s="1">
        <f>IFERROR(__xludf.DUMMYFUNCTION("""COMPUTED_VALUE"""),206.36)</f>
        <v>206.36</v>
      </c>
      <c r="BM21" s="1">
        <f>IFERROR(__xludf.DUMMYFUNCTION("""COMPUTED_VALUE"""),137.18)</f>
        <v>137.18</v>
      </c>
      <c r="BN21" s="3">
        <f>IFERROR(__xludf.DUMMYFUNCTION("""COMPUTED_VALUE"""),6.91)</f>
        <v>6.91</v>
      </c>
      <c r="BO21" s="1">
        <f>IFERROR(__xludf.DUMMYFUNCTION("""COMPUTED_VALUE"""),227.97)</f>
        <v>227.97</v>
      </c>
      <c r="BP21" s="1">
        <f>IFERROR(__xludf.DUMMYFUNCTION("""COMPUTED_VALUE"""),490.69)</f>
        <v>490.69</v>
      </c>
      <c r="BQ21" s="36">
        <f>IFERROR(__xludf.DUMMYFUNCTION("""COMPUTED_VALUE"""),48.25)</f>
        <v>48.25</v>
      </c>
      <c r="BR21" s="1">
        <f>IFERROR(__xludf.DUMMYFUNCTION("""COMPUTED_VALUE"""),10.47)</f>
        <v>10.47</v>
      </c>
      <c r="BS21" s="1">
        <f>IFERROR(__xludf.DUMMYFUNCTION("""COMPUTED_VALUE"""),200.55)</f>
        <v>200.55</v>
      </c>
      <c r="BT21" s="1">
        <f>IFERROR(__xludf.DUMMYFUNCTION("""COMPUTED_VALUE"""),101.54)</f>
        <v>101.54</v>
      </c>
      <c r="BU21" s="3">
        <v>1.0</v>
      </c>
    </row>
    <row r="22">
      <c r="A22" s="25">
        <f>IFERROR(__xludf.DUMMYFUNCTION("""COMPUTED_VALUE"""),45453.66666666667)</f>
        <v>45453.66667</v>
      </c>
      <c r="B22" s="29">
        <f>'Master Scratch Work'!B21</f>
        <v>1233642.45</v>
      </c>
      <c r="C22" s="15">
        <f>IFERROR(__xludf.DUMMYFUNCTION("""COMPUTED_VALUE"""),5360.79)</f>
        <v>5360.79</v>
      </c>
      <c r="D22" s="15">
        <f>IFERROR(__xludf.DUMMYFUNCTION("""COMPUTED_VALUE"""),17192.53)</f>
        <v>17192.53</v>
      </c>
      <c r="E22" s="15">
        <f>IFERROR(__xludf.DUMMYFUNCTION("""COMPUTED_VALUE"""),38868.04)</f>
        <v>38868.04</v>
      </c>
      <c r="F22" s="15">
        <f>IFERROR(__xludf.DUMMYFUNCTION("""COMPUTED_VALUE"""),2031.61)</f>
        <v>2031.61</v>
      </c>
      <c r="G22" s="3">
        <f>IFERROR(__xludf.DUMMYFUNCTION("""COMPUTED_VALUE"""),535.66)</f>
        <v>535.66</v>
      </c>
      <c r="H22" s="3">
        <f>IFERROR(__xludf.DUMMYFUNCTION("""COMPUTED_VALUE"""),464.83)</f>
        <v>464.83</v>
      </c>
      <c r="I22" s="3">
        <f>IFERROR(__xludf.DUMMYFUNCTION("""COMPUTED_VALUE"""),459.94)</f>
        <v>459.94</v>
      </c>
      <c r="J22" s="3">
        <f>IFERROR(__xludf.DUMMYFUNCTION("""COMPUTED_VALUE"""),187.06)</f>
        <v>187.06</v>
      </c>
      <c r="K22" s="3">
        <f>IFERROR(__xludf.DUMMYFUNCTION("""COMPUTED_VALUE"""),128.56)</f>
        <v>128.56</v>
      </c>
      <c r="L22" s="3">
        <f>IFERROR(__xludf.DUMMYFUNCTION("""COMPUTED_VALUE"""),193.12)</f>
        <v>193.12</v>
      </c>
      <c r="M22" s="3">
        <f>IFERROR(__xludf.DUMMYFUNCTION("""COMPUTED_VALUE"""),228.16)</f>
        <v>228.16</v>
      </c>
      <c r="N22" s="3">
        <f>IFERROR(__xludf.DUMMYFUNCTION("""COMPUTED_VALUE"""),60.74)</f>
        <v>60.74</v>
      </c>
      <c r="O22" s="3">
        <f>IFERROR(__xludf.DUMMYFUNCTION("""COMPUTED_VALUE"""),11.05)</f>
        <v>11.05</v>
      </c>
      <c r="P22" s="3">
        <f>IFERROR(__xludf.DUMMYFUNCTION("""COMPUTED_VALUE"""),410.81)</f>
        <v>410.81</v>
      </c>
      <c r="Q22" s="3">
        <f>IFERROR(__xludf.DUMMYFUNCTION("""COMPUTED_VALUE"""),58.41)</f>
        <v>58.41</v>
      </c>
      <c r="R22" s="3">
        <f>IFERROR(__xludf.DUMMYFUNCTION("""COMPUTED_VALUE"""),225.98)</f>
        <v>225.98</v>
      </c>
      <c r="S22" s="3">
        <f>IFERROR(__xludf.DUMMYFUNCTION("""COMPUTED_VALUE"""),77.42)</f>
        <v>77.42</v>
      </c>
      <c r="T22" s="3">
        <f>IFERROR(__xludf.DUMMYFUNCTION("""COMPUTED_VALUE"""),62.54)</f>
        <v>62.54</v>
      </c>
      <c r="U22" s="3">
        <f>IFERROR(__xludf.DUMMYFUNCTION("""COMPUTED_VALUE"""),329.61)</f>
        <v>329.61</v>
      </c>
      <c r="V22" s="3">
        <f>IFERROR(__xludf.DUMMYFUNCTION("""COMPUTED_VALUE"""),53.6)</f>
        <v>53.6</v>
      </c>
      <c r="W22" s="3">
        <f>IFERROR(__xludf.DUMMYFUNCTION("""COMPUTED_VALUE"""),156.11)</f>
        <v>156.11</v>
      </c>
      <c r="X22" s="3">
        <f>IFERROR(__xludf.DUMMYFUNCTION("""COMPUTED_VALUE"""),156.74)</f>
        <v>156.74</v>
      </c>
      <c r="Y22" s="1">
        <f>IFERROR(__xludf.DUMMYFUNCTION("""COMPUTED_VALUE"""),338.65)</f>
        <v>338.65</v>
      </c>
      <c r="Z22" s="1">
        <f>IFERROR(__xludf.DUMMYFUNCTION("""COMPUTED_VALUE"""),34.38)</f>
        <v>34.38</v>
      </c>
      <c r="AA22" s="1">
        <f>IFERROR(__xludf.DUMMYFUNCTION("""COMPUTED_VALUE"""),63.59)</f>
        <v>63.59</v>
      </c>
      <c r="AB22" s="1">
        <f>IFERROR(__xludf.DUMMYFUNCTION("""COMPUTED_VALUE"""),92.32)</f>
        <v>92.32</v>
      </c>
      <c r="AC22" s="1">
        <f>IFERROR(__xludf.DUMMYFUNCTION("""COMPUTED_VALUE"""),149.09)</f>
        <v>149.09</v>
      </c>
      <c r="AD22" s="3">
        <f>IFERROR(__xludf.DUMMYFUNCTION("""COMPUTED_VALUE"""),110.19)</f>
        <v>110.19</v>
      </c>
      <c r="AE22" s="1">
        <f>IFERROR(__xludf.DUMMYFUNCTION("""COMPUTED_VALUE"""),526.55)</f>
        <v>526.55</v>
      </c>
      <c r="AF22" s="1">
        <f>IFERROR(__xludf.DUMMYFUNCTION("""COMPUTED_VALUE"""),53.15)</f>
        <v>53.15</v>
      </c>
      <c r="AG22" s="1">
        <f>IFERROR(__xludf.DUMMYFUNCTION("""COMPUTED_VALUE"""),113.08)</f>
        <v>113.08</v>
      </c>
      <c r="AH22" s="3">
        <f>IFERROR(__xludf.DUMMYFUNCTION("""COMPUTED_VALUE"""),253.72)</f>
        <v>253.72</v>
      </c>
      <c r="AI22" s="1">
        <f>IFERROR(__xludf.DUMMYFUNCTION("""COMPUTED_VALUE"""),413.48)</f>
        <v>413.48</v>
      </c>
      <c r="AJ22" s="1">
        <f>IFERROR(__xludf.DUMMYFUNCTION("""COMPUTED_VALUE"""),294.68)</f>
        <v>294.68</v>
      </c>
      <c r="AK22" s="3">
        <f>IFERROR(__xludf.DUMMYFUNCTION("""COMPUTED_VALUE"""),47.57)</f>
        <v>47.57</v>
      </c>
      <c r="AL22" s="1">
        <f>IFERROR(__xludf.DUMMYFUNCTION("""COMPUTED_VALUE"""),65.25)</f>
        <v>65.25</v>
      </c>
      <c r="AM22" s="1">
        <f>IFERROR(__xludf.DUMMYFUNCTION("""COMPUTED_VALUE"""),453.55)</f>
        <v>453.55</v>
      </c>
      <c r="AN22" s="1">
        <f>IFERROR(__xludf.DUMMYFUNCTION("""COMPUTED_VALUE"""),332.56)</f>
        <v>332.56</v>
      </c>
      <c r="AO22" s="1">
        <f>IFERROR(__xludf.DUMMYFUNCTION("""COMPUTED_VALUE"""),97.38)</f>
        <v>97.38</v>
      </c>
      <c r="AP22" s="1">
        <f>IFERROR(__xludf.DUMMYFUNCTION("""COMPUTED_VALUE"""),133.88)</f>
        <v>133.88</v>
      </c>
      <c r="AQ22" s="1">
        <f>IFERROR(__xludf.DUMMYFUNCTION("""COMPUTED_VALUE"""),418.38)</f>
        <v>418.38</v>
      </c>
      <c r="AR22" s="3">
        <f>IFERROR(__xludf.DUMMYFUNCTION("""COMPUTED_VALUE"""),199.61)</f>
        <v>199.61</v>
      </c>
      <c r="AS22" s="3">
        <f>IFERROR(__xludf.DUMMYFUNCTION("""COMPUTED_VALUE"""),467.46)</f>
        <v>467.46</v>
      </c>
      <c r="AT22" s="3">
        <f>IFERROR(__xludf.DUMMYFUNCTION("""COMPUTED_VALUE"""),318.26)</f>
        <v>318.26</v>
      </c>
      <c r="AU22" s="1">
        <f>IFERROR(__xludf.DUMMYFUNCTION("""COMPUTED_VALUE"""),26.24)</f>
        <v>26.24</v>
      </c>
      <c r="AV22" s="1">
        <f>IFERROR(__xludf.DUMMYFUNCTION("""COMPUTED_VALUE"""),83.14)</f>
        <v>83.14</v>
      </c>
      <c r="AW22" s="1">
        <f>IFERROR(__xludf.DUMMYFUNCTION("""COMPUTED_VALUE"""),70.27)</f>
        <v>70.27</v>
      </c>
      <c r="AX22" s="1">
        <f>IFERROR(__xludf.DUMMYFUNCTION("""COMPUTED_VALUE"""),14.99)</f>
        <v>14.99</v>
      </c>
      <c r="AY22" s="1">
        <f>IFERROR(__xludf.DUMMYFUNCTION("""COMPUTED_VALUE"""),427.87)</f>
        <v>427.87</v>
      </c>
      <c r="AZ22" s="3">
        <f>IFERROR(__xludf.DUMMYFUNCTION("""COMPUTED_VALUE"""),76.97)</f>
        <v>76.97</v>
      </c>
      <c r="BA22" s="3">
        <f>IFERROR(__xludf.DUMMYFUNCTION("""COMPUTED_VALUE"""),79.97)</f>
        <v>79.97</v>
      </c>
      <c r="BB22" s="3">
        <f>IFERROR(__xludf.DUMMYFUNCTION("""COMPUTED_VALUE"""),121.79)</f>
        <v>121.79</v>
      </c>
      <c r="BC22" s="1">
        <f>IFERROR(__xludf.DUMMYFUNCTION("""COMPUTED_VALUE"""),97.75)</f>
        <v>97.75</v>
      </c>
      <c r="BD22" s="1">
        <f>IFERROR(__xludf.DUMMYFUNCTION("""COMPUTED_VALUE"""),42.73)</f>
        <v>42.73</v>
      </c>
      <c r="BE22" s="1">
        <f>IFERROR(__xludf.DUMMYFUNCTION("""COMPUTED_VALUE"""),23.13)</f>
        <v>23.13</v>
      </c>
      <c r="BF22" s="1">
        <f>IFERROR(__xludf.DUMMYFUNCTION("""COMPUTED_VALUE"""),67.09)</f>
        <v>67.09</v>
      </c>
      <c r="BG22" s="1">
        <f>IFERROR(__xludf.DUMMYFUNCTION("""COMPUTED_VALUE"""),28.07)</f>
        <v>28.07</v>
      </c>
      <c r="BH22" s="1">
        <f>IFERROR(__xludf.DUMMYFUNCTION("""COMPUTED_VALUE"""),107.09)</f>
        <v>107.09</v>
      </c>
      <c r="BI22" s="1">
        <f>IFERROR(__xludf.DUMMYFUNCTION("""COMPUTED_VALUE"""),39.86)</f>
        <v>39.86</v>
      </c>
      <c r="BJ22" s="1">
        <f>IFERROR(__xludf.DUMMYFUNCTION("""COMPUTED_VALUE"""),180.69)</f>
        <v>180.69</v>
      </c>
      <c r="BK22" s="1">
        <f>IFERROR(__xludf.DUMMYFUNCTION("""COMPUTED_VALUE"""),581.48)</f>
        <v>581.48</v>
      </c>
      <c r="BL22" s="1">
        <f>IFERROR(__xludf.DUMMYFUNCTION("""COMPUTED_VALUE"""),208.02)</f>
        <v>208.02</v>
      </c>
      <c r="BM22" s="1">
        <f>IFERROR(__xludf.DUMMYFUNCTION("""COMPUTED_VALUE"""),144.67)</f>
        <v>144.67</v>
      </c>
      <c r="BN22" s="3">
        <f>IFERROR(__xludf.DUMMYFUNCTION("""COMPUTED_VALUE"""),6.81)</f>
        <v>6.81</v>
      </c>
      <c r="BO22" s="1">
        <f>IFERROR(__xludf.DUMMYFUNCTION("""COMPUTED_VALUE"""),228.95)</f>
        <v>228.95</v>
      </c>
      <c r="BP22" s="1">
        <f>IFERROR(__xludf.DUMMYFUNCTION("""COMPUTED_VALUE"""),495.0)</f>
        <v>495</v>
      </c>
      <c r="BQ22" s="36">
        <f>IFERROR(__xludf.DUMMYFUNCTION("""COMPUTED_VALUE"""),48.25)</f>
        <v>48.25</v>
      </c>
      <c r="BR22" s="1">
        <f>IFERROR(__xludf.DUMMYFUNCTION("""COMPUTED_VALUE"""),10.51)</f>
        <v>10.51</v>
      </c>
      <c r="BS22" s="1">
        <f>IFERROR(__xludf.DUMMYFUNCTION("""COMPUTED_VALUE"""),201.71)</f>
        <v>201.71</v>
      </c>
      <c r="BT22" s="1">
        <f>IFERROR(__xludf.DUMMYFUNCTION("""COMPUTED_VALUE"""),102.74)</f>
        <v>102.74</v>
      </c>
      <c r="BU22" s="3">
        <v>1.0</v>
      </c>
    </row>
    <row r="23">
      <c r="A23" s="25">
        <f>IFERROR(__xludf.DUMMYFUNCTION("""COMPUTED_VALUE"""),45454.66666666667)</f>
        <v>45454.66667</v>
      </c>
      <c r="B23" s="29">
        <f>'Master Scratch Work'!B22</f>
        <v>1228920.95</v>
      </c>
      <c r="C23" s="15">
        <f>IFERROR(__xludf.DUMMYFUNCTION("""COMPUTED_VALUE"""),5375.32)</f>
        <v>5375.32</v>
      </c>
      <c r="D23" s="15">
        <f>IFERROR(__xludf.DUMMYFUNCTION("""COMPUTED_VALUE"""),17343.55)</f>
        <v>17343.55</v>
      </c>
      <c r="E23" s="15">
        <f>IFERROR(__xludf.DUMMYFUNCTION("""COMPUTED_VALUE"""),38747.42)</f>
        <v>38747.42</v>
      </c>
      <c r="F23" s="15">
        <f>IFERROR(__xludf.DUMMYFUNCTION("""COMPUTED_VALUE"""),2024.35)</f>
        <v>2024.35</v>
      </c>
      <c r="G23" s="3">
        <f>IFERROR(__xludf.DUMMYFUNCTION("""COMPUTED_VALUE"""),536.95)</f>
        <v>536.95</v>
      </c>
      <c r="H23" s="3">
        <f>IFERROR(__xludf.DUMMYFUNCTION("""COMPUTED_VALUE"""),468.02)</f>
        <v>468.02</v>
      </c>
      <c r="I23" s="3">
        <f>IFERROR(__xludf.DUMMYFUNCTION("""COMPUTED_VALUE"""),462.69)</f>
        <v>462.69</v>
      </c>
      <c r="J23" s="3">
        <f>IFERROR(__xludf.DUMMYFUNCTION("""COMPUTED_VALUE"""),187.23)</f>
        <v>187.23</v>
      </c>
      <c r="K23" s="3">
        <f>IFERROR(__xludf.DUMMYFUNCTION("""COMPUTED_VALUE"""),127.92)</f>
        <v>127.92</v>
      </c>
      <c r="L23" s="3">
        <f>IFERROR(__xludf.DUMMYFUNCTION("""COMPUTED_VALUE"""),207.15)</f>
        <v>207.15</v>
      </c>
      <c r="M23" s="3">
        <f>IFERROR(__xludf.DUMMYFUNCTION("""COMPUTED_VALUE"""),229.97)</f>
        <v>229.97</v>
      </c>
      <c r="N23" s="3">
        <f>IFERROR(__xludf.DUMMYFUNCTION("""COMPUTED_VALUE"""),58.76)</f>
        <v>58.76</v>
      </c>
      <c r="O23" s="3">
        <f>IFERROR(__xludf.DUMMYFUNCTION("""COMPUTED_VALUE"""),10.73)</f>
        <v>10.73</v>
      </c>
      <c r="P23" s="3">
        <f>IFERROR(__xludf.DUMMYFUNCTION("""COMPUTED_VALUE"""),408.5)</f>
        <v>408.5</v>
      </c>
      <c r="Q23" s="3">
        <f>IFERROR(__xludf.DUMMYFUNCTION("""COMPUTED_VALUE"""),56.8)</f>
        <v>56.8</v>
      </c>
      <c r="R23" s="3">
        <f>IFERROR(__xludf.DUMMYFUNCTION("""COMPUTED_VALUE"""),225.74)</f>
        <v>225.74</v>
      </c>
      <c r="S23" s="3">
        <f>IFERROR(__xludf.DUMMYFUNCTION("""COMPUTED_VALUE"""),77.15)</f>
        <v>77.15</v>
      </c>
      <c r="T23" s="3">
        <f>IFERROR(__xludf.DUMMYFUNCTION("""COMPUTED_VALUE"""),62.0)</f>
        <v>62</v>
      </c>
      <c r="U23" s="3">
        <f>IFERROR(__xludf.DUMMYFUNCTION("""COMPUTED_VALUE"""),327.31)</f>
        <v>327.31</v>
      </c>
      <c r="V23" s="3">
        <f>IFERROR(__xludf.DUMMYFUNCTION("""COMPUTED_VALUE"""),50.81)</f>
        <v>50.81</v>
      </c>
      <c r="W23" s="3">
        <f>IFERROR(__xludf.DUMMYFUNCTION("""COMPUTED_VALUE"""),156.89)</f>
        <v>156.89</v>
      </c>
      <c r="X23" s="3">
        <f>IFERROR(__xludf.DUMMYFUNCTION("""COMPUTED_VALUE"""),156.49)</f>
        <v>156.49</v>
      </c>
      <c r="Y23" s="1">
        <f>IFERROR(__xludf.DUMMYFUNCTION("""COMPUTED_VALUE"""),337.94)</f>
        <v>337.94</v>
      </c>
      <c r="Z23" s="1">
        <f>IFERROR(__xludf.DUMMYFUNCTION("""COMPUTED_VALUE"""),33.97)</f>
        <v>33.97</v>
      </c>
      <c r="AA23" s="1">
        <f>IFERROR(__xludf.DUMMYFUNCTION("""COMPUTED_VALUE"""),63.55)</f>
        <v>63.55</v>
      </c>
      <c r="AB23" s="1">
        <f>IFERROR(__xludf.DUMMYFUNCTION("""COMPUTED_VALUE"""),91.75)</f>
        <v>91.75</v>
      </c>
      <c r="AC23" s="1">
        <f>IFERROR(__xludf.DUMMYFUNCTION("""COMPUTED_VALUE"""),149.88)</f>
        <v>149.88</v>
      </c>
      <c r="AD23" s="3">
        <f>IFERROR(__xludf.DUMMYFUNCTION("""COMPUTED_VALUE"""),109.64)</f>
        <v>109.64</v>
      </c>
      <c r="AE23" s="1">
        <f>IFERROR(__xludf.DUMMYFUNCTION("""COMPUTED_VALUE"""),527.95)</f>
        <v>527.95</v>
      </c>
      <c r="AF23" s="1">
        <f>IFERROR(__xludf.DUMMYFUNCTION("""COMPUTED_VALUE"""),53.0)</f>
        <v>53</v>
      </c>
      <c r="AG23" s="1">
        <f>IFERROR(__xludf.DUMMYFUNCTION("""COMPUTED_VALUE"""),112.17)</f>
        <v>112.17</v>
      </c>
      <c r="AH23" s="3">
        <f>IFERROR(__xludf.DUMMYFUNCTION("""COMPUTED_VALUE"""),252.43)</f>
        <v>252.43</v>
      </c>
      <c r="AI23" s="1">
        <f>IFERROR(__xludf.DUMMYFUNCTION("""COMPUTED_VALUE"""),410.94)</f>
        <v>410.94</v>
      </c>
      <c r="AJ23" s="1">
        <f>IFERROR(__xludf.DUMMYFUNCTION("""COMPUTED_VALUE"""),292.65)</f>
        <v>292.65</v>
      </c>
      <c r="AK23" s="3">
        <f>IFERROR(__xludf.DUMMYFUNCTION("""COMPUTED_VALUE"""),48.21)</f>
        <v>48.21</v>
      </c>
      <c r="AL23" s="1">
        <f>IFERROR(__xludf.DUMMYFUNCTION("""COMPUTED_VALUE"""),64.89)</f>
        <v>64.89</v>
      </c>
      <c r="AM23" s="1">
        <f>IFERROR(__xludf.DUMMYFUNCTION("""COMPUTED_VALUE"""),444.27)</f>
        <v>444.27</v>
      </c>
      <c r="AN23" s="1">
        <f>IFERROR(__xludf.DUMMYFUNCTION("""COMPUTED_VALUE"""),335.72)</f>
        <v>335.72</v>
      </c>
      <c r="AO23" s="1">
        <f>IFERROR(__xludf.DUMMYFUNCTION("""COMPUTED_VALUE"""),97.2)</f>
        <v>97.2</v>
      </c>
      <c r="AP23" s="1">
        <f>IFERROR(__xludf.DUMMYFUNCTION("""COMPUTED_VALUE"""),134.59)</f>
        <v>134.59</v>
      </c>
      <c r="AQ23" s="1">
        <f>IFERROR(__xludf.DUMMYFUNCTION("""COMPUTED_VALUE"""),418.78)</f>
        <v>418.78</v>
      </c>
      <c r="AR23" s="3">
        <f>IFERROR(__xludf.DUMMYFUNCTION("""COMPUTED_VALUE"""),194.36)</f>
        <v>194.36</v>
      </c>
      <c r="AS23" s="3">
        <f>IFERROR(__xludf.DUMMYFUNCTION("""COMPUTED_VALUE"""),462.8)</f>
        <v>462.8</v>
      </c>
      <c r="AT23" s="3">
        <f>IFERROR(__xludf.DUMMYFUNCTION("""COMPUTED_VALUE"""),318.04)</f>
        <v>318.04</v>
      </c>
      <c r="AU23" s="1">
        <f>IFERROR(__xludf.DUMMYFUNCTION("""COMPUTED_VALUE"""),25.77)</f>
        <v>25.77</v>
      </c>
      <c r="AV23" s="1">
        <f>IFERROR(__xludf.DUMMYFUNCTION("""COMPUTED_VALUE"""),81.95)</f>
        <v>81.95</v>
      </c>
      <c r="AW23" s="1">
        <f>IFERROR(__xludf.DUMMYFUNCTION("""COMPUTED_VALUE"""),69.06)</f>
        <v>69.06</v>
      </c>
      <c r="AX23" s="1">
        <f>IFERROR(__xludf.DUMMYFUNCTION("""COMPUTED_VALUE"""),14.49)</f>
        <v>14.49</v>
      </c>
      <c r="AY23" s="1">
        <f>IFERROR(__xludf.DUMMYFUNCTION("""COMPUTED_VALUE"""),432.68)</f>
        <v>432.68</v>
      </c>
      <c r="AZ23" s="3">
        <f>IFERROR(__xludf.DUMMYFUNCTION("""COMPUTED_VALUE"""),72.74)</f>
        <v>72.74</v>
      </c>
      <c r="BA23" s="3">
        <f>IFERROR(__xludf.DUMMYFUNCTION("""COMPUTED_VALUE"""),81.05)</f>
        <v>81.05</v>
      </c>
      <c r="BB23" s="3">
        <f>IFERROR(__xludf.DUMMYFUNCTION("""COMPUTED_VALUE"""),120.91)</f>
        <v>120.91</v>
      </c>
      <c r="BC23" s="1">
        <f>IFERROR(__xludf.DUMMYFUNCTION("""COMPUTED_VALUE"""),96.5)</f>
        <v>96.5</v>
      </c>
      <c r="BD23" s="1">
        <f>IFERROR(__xludf.DUMMYFUNCTION("""COMPUTED_VALUE"""),43.79)</f>
        <v>43.79</v>
      </c>
      <c r="BE23" s="1">
        <f>IFERROR(__xludf.DUMMYFUNCTION("""COMPUTED_VALUE"""),23.85)</f>
        <v>23.85</v>
      </c>
      <c r="BF23" s="1">
        <f>IFERROR(__xludf.DUMMYFUNCTION("""COMPUTED_VALUE"""),64.77)</f>
        <v>64.77</v>
      </c>
      <c r="BG23" s="1">
        <f>IFERROR(__xludf.DUMMYFUNCTION("""COMPUTED_VALUE"""),28.03)</f>
        <v>28.03</v>
      </c>
      <c r="BH23" s="1">
        <f>IFERROR(__xludf.DUMMYFUNCTION("""COMPUTED_VALUE"""),106.92)</f>
        <v>106.92</v>
      </c>
      <c r="BI23" s="1">
        <f>IFERROR(__xludf.DUMMYFUNCTION("""COMPUTED_VALUE"""),39.02)</f>
        <v>39.02</v>
      </c>
      <c r="BJ23" s="1">
        <f>IFERROR(__xludf.DUMMYFUNCTION("""COMPUTED_VALUE"""),178.4)</f>
        <v>178.4</v>
      </c>
      <c r="BK23" s="1">
        <f>IFERROR(__xludf.DUMMYFUNCTION("""COMPUTED_VALUE"""),575.89)</f>
        <v>575.89</v>
      </c>
      <c r="BL23" s="1">
        <f>IFERROR(__xludf.DUMMYFUNCTION("""COMPUTED_VALUE"""),205.31)</f>
        <v>205.31</v>
      </c>
      <c r="BM23" s="1">
        <f>IFERROR(__xludf.DUMMYFUNCTION("""COMPUTED_VALUE"""),139.03)</f>
        <v>139.03</v>
      </c>
      <c r="BN23" s="3">
        <f>IFERROR(__xludf.DUMMYFUNCTION("""COMPUTED_VALUE"""),6.82)</f>
        <v>6.82</v>
      </c>
      <c r="BO23" s="1">
        <f>IFERROR(__xludf.DUMMYFUNCTION("""COMPUTED_VALUE"""),227.41)</f>
        <v>227.41</v>
      </c>
      <c r="BP23" s="1">
        <f>IFERROR(__xludf.DUMMYFUNCTION("""COMPUTED_VALUE"""),496.22)</f>
        <v>496.22</v>
      </c>
      <c r="BQ23" s="36">
        <f>IFERROR(__xludf.DUMMYFUNCTION("""COMPUTED_VALUE"""),48.29)</f>
        <v>48.29</v>
      </c>
      <c r="BR23" s="1">
        <f>IFERROR(__xludf.DUMMYFUNCTION("""COMPUTED_VALUE"""),10.64)</f>
        <v>10.64</v>
      </c>
      <c r="BS23" s="1">
        <f>IFERROR(__xludf.DUMMYFUNCTION("""COMPUTED_VALUE"""),202.13)</f>
        <v>202.13</v>
      </c>
      <c r="BT23" s="1">
        <f>IFERROR(__xludf.DUMMYFUNCTION("""COMPUTED_VALUE"""),100.87)</f>
        <v>100.87</v>
      </c>
      <c r="BU23" s="3">
        <v>1.0</v>
      </c>
    </row>
    <row r="24">
      <c r="A24" s="25">
        <f>IFERROR(__xludf.DUMMYFUNCTION("""COMPUTED_VALUE"""),45455.66666666667)</f>
        <v>45455.66667</v>
      </c>
      <c r="B24" s="29">
        <f>'Master Scratch Work'!B23</f>
        <v>1234959.23</v>
      </c>
      <c r="C24" s="15">
        <f>IFERROR(__xludf.DUMMYFUNCTION("""COMPUTED_VALUE"""),5421.03)</f>
        <v>5421.03</v>
      </c>
      <c r="D24" s="15">
        <f>IFERROR(__xludf.DUMMYFUNCTION("""COMPUTED_VALUE"""),17608.44)</f>
        <v>17608.44</v>
      </c>
      <c r="E24" s="15">
        <f>IFERROR(__xludf.DUMMYFUNCTION("""COMPUTED_VALUE"""),38712.21)</f>
        <v>38712.21</v>
      </c>
      <c r="F24" s="15">
        <f>IFERROR(__xludf.DUMMYFUNCTION("""COMPUTED_VALUE"""),2057.1)</f>
        <v>2057.1</v>
      </c>
      <c r="G24" s="3">
        <f>IFERROR(__xludf.DUMMYFUNCTION("""COMPUTED_VALUE"""),541.36)</f>
        <v>541.36</v>
      </c>
      <c r="H24" s="3">
        <f>IFERROR(__xludf.DUMMYFUNCTION("""COMPUTED_VALUE"""),474.15)</f>
        <v>474.15</v>
      </c>
      <c r="I24" s="3">
        <f>IFERROR(__xludf.DUMMYFUNCTION("""COMPUTED_VALUE"""),459.87)</f>
        <v>459.87</v>
      </c>
      <c r="J24" s="3">
        <f>IFERROR(__xludf.DUMMYFUNCTION("""COMPUTED_VALUE"""),186.89)</f>
        <v>186.89</v>
      </c>
      <c r="K24" s="3">
        <f>IFERROR(__xludf.DUMMYFUNCTION("""COMPUTED_VALUE"""),128.13)</f>
        <v>128.13</v>
      </c>
      <c r="L24" s="3">
        <f>IFERROR(__xludf.DUMMYFUNCTION("""COMPUTED_VALUE"""),213.07)</f>
        <v>213.07</v>
      </c>
      <c r="M24" s="3">
        <f>IFERROR(__xludf.DUMMYFUNCTION("""COMPUTED_VALUE"""),237.65)</f>
        <v>237.65</v>
      </c>
      <c r="N24" s="3">
        <f>IFERROR(__xludf.DUMMYFUNCTION("""COMPUTED_VALUE"""),58.61)</f>
        <v>58.61</v>
      </c>
      <c r="O24" s="3">
        <f>IFERROR(__xludf.DUMMYFUNCTION("""COMPUTED_VALUE"""),10.77)</f>
        <v>10.77</v>
      </c>
      <c r="P24" s="3">
        <f>IFERROR(__xludf.DUMMYFUNCTION("""COMPUTED_VALUE"""),408.77)</f>
        <v>408.77</v>
      </c>
      <c r="Q24" s="3">
        <f>IFERROR(__xludf.DUMMYFUNCTION("""COMPUTED_VALUE"""),57.39)</f>
        <v>57.39</v>
      </c>
      <c r="R24" s="3">
        <f>IFERROR(__xludf.DUMMYFUNCTION("""COMPUTED_VALUE"""),230.63)</f>
        <v>230.63</v>
      </c>
      <c r="S24" s="3">
        <f>IFERROR(__xludf.DUMMYFUNCTION("""COMPUTED_VALUE"""),77.41)</f>
        <v>77.41</v>
      </c>
      <c r="T24" s="3">
        <f>IFERROR(__xludf.DUMMYFUNCTION("""COMPUTED_VALUE"""),64.38)</f>
        <v>64.38</v>
      </c>
      <c r="U24" s="3">
        <f>IFERROR(__xludf.DUMMYFUNCTION("""COMPUTED_VALUE"""),328.73)</f>
        <v>328.73</v>
      </c>
      <c r="V24" s="3">
        <f>IFERROR(__xludf.DUMMYFUNCTION("""COMPUTED_VALUE"""),52.44)</f>
        <v>52.44</v>
      </c>
      <c r="W24" s="3">
        <f>IFERROR(__xludf.DUMMYFUNCTION("""COMPUTED_VALUE"""),158.0)</f>
        <v>158</v>
      </c>
      <c r="X24" s="3">
        <f>IFERROR(__xludf.DUMMYFUNCTION("""COMPUTED_VALUE"""),154.22)</f>
        <v>154.22</v>
      </c>
      <c r="Y24" s="1">
        <f>IFERROR(__xludf.DUMMYFUNCTION("""COMPUTED_VALUE"""),336.05)</f>
        <v>336.05</v>
      </c>
      <c r="Z24" s="1">
        <f>IFERROR(__xludf.DUMMYFUNCTION("""COMPUTED_VALUE"""),35.16)</f>
        <v>35.16</v>
      </c>
      <c r="AA24" s="1">
        <f>IFERROR(__xludf.DUMMYFUNCTION("""COMPUTED_VALUE"""),62.88)</f>
        <v>62.88</v>
      </c>
      <c r="AB24" s="1">
        <f>IFERROR(__xludf.DUMMYFUNCTION("""COMPUTED_VALUE"""),91.14)</f>
        <v>91.14</v>
      </c>
      <c r="AC24" s="1">
        <f>IFERROR(__xludf.DUMMYFUNCTION("""COMPUTED_VALUE"""),149.59)</f>
        <v>149.59</v>
      </c>
      <c r="AD24" s="3">
        <f>IFERROR(__xludf.DUMMYFUNCTION("""COMPUTED_VALUE"""),108.87)</f>
        <v>108.87</v>
      </c>
      <c r="AE24" s="1">
        <f>IFERROR(__xludf.DUMMYFUNCTION("""COMPUTED_VALUE"""),531.4)</f>
        <v>531.4</v>
      </c>
      <c r="AF24" s="1">
        <f>IFERROR(__xludf.DUMMYFUNCTION("""COMPUTED_VALUE"""),53.19)</f>
        <v>53.19</v>
      </c>
      <c r="AG24" s="1">
        <f>IFERROR(__xludf.DUMMYFUNCTION("""COMPUTED_VALUE"""),110.93)</f>
        <v>110.93</v>
      </c>
      <c r="AH24" s="3">
        <f>IFERROR(__xludf.DUMMYFUNCTION("""COMPUTED_VALUE"""),248.6)</f>
        <v>248.6</v>
      </c>
      <c r="AI24" s="1">
        <f>IFERROR(__xludf.DUMMYFUNCTION("""COMPUTED_VALUE"""),427.36)</f>
        <v>427.36</v>
      </c>
      <c r="AJ24" s="1">
        <f>IFERROR(__xludf.DUMMYFUNCTION("""COMPUTED_VALUE"""),294.34)</f>
        <v>294.34</v>
      </c>
      <c r="AK24" s="3">
        <f>IFERROR(__xludf.DUMMYFUNCTION("""COMPUTED_VALUE"""),48.86)</f>
        <v>48.86</v>
      </c>
      <c r="AL24" s="1">
        <f>IFERROR(__xludf.DUMMYFUNCTION("""COMPUTED_VALUE"""),64.34)</f>
        <v>64.34</v>
      </c>
      <c r="AM24" s="1">
        <f>IFERROR(__xludf.DUMMYFUNCTION("""COMPUTED_VALUE"""),448.7)</f>
        <v>448.7</v>
      </c>
      <c r="AN24" s="1">
        <f>IFERROR(__xludf.DUMMYFUNCTION("""COMPUTED_VALUE"""),344.14)</f>
        <v>344.14</v>
      </c>
      <c r="AO24" s="1">
        <f>IFERROR(__xludf.DUMMYFUNCTION("""COMPUTED_VALUE"""),97.44)</f>
        <v>97.44</v>
      </c>
      <c r="AP24" s="1">
        <f>IFERROR(__xludf.DUMMYFUNCTION("""COMPUTED_VALUE"""),136.05)</f>
        <v>136.05</v>
      </c>
      <c r="AQ24" s="1">
        <f>IFERROR(__xludf.DUMMYFUNCTION("""COMPUTED_VALUE"""),428.1)</f>
        <v>428.1</v>
      </c>
      <c r="AR24" s="3">
        <f>IFERROR(__xludf.DUMMYFUNCTION("""COMPUTED_VALUE"""),191.53)</f>
        <v>191.53</v>
      </c>
      <c r="AS24" s="3">
        <f>IFERROR(__xludf.DUMMYFUNCTION("""COMPUTED_VALUE"""),459.11)</f>
        <v>459.11</v>
      </c>
      <c r="AT24" s="3">
        <f>IFERROR(__xludf.DUMMYFUNCTION("""COMPUTED_VALUE"""),309.81)</f>
        <v>309.81</v>
      </c>
      <c r="AU24" s="1">
        <f>IFERROR(__xludf.DUMMYFUNCTION("""COMPUTED_VALUE"""),25.8)</f>
        <v>25.8</v>
      </c>
      <c r="AV24" s="1">
        <f>IFERROR(__xludf.DUMMYFUNCTION("""COMPUTED_VALUE"""),82.23)</f>
        <v>82.23</v>
      </c>
      <c r="AW24" s="1">
        <f>IFERROR(__xludf.DUMMYFUNCTION("""COMPUTED_VALUE"""),69.02)</f>
        <v>69.02</v>
      </c>
      <c r="AX24" s="1">
        <f>IFERROR(__xludf.DUMMYFUNCTION("""COMPUTED_VALUE"""),14.64)</f>
        <v>14.64</v>
      </c>
      <c r="AY24" s="1">
        <f>IFERROR(__xludf.DUMMYFUNCTION("""COMPUTED_VALUE"""),441.06)</f>
        <v>441.06</v>
      </c>
      <c r="AZ24" s="3">
        <f>IFERROR(__xludf.DUMMYFUNCTION("""COMPUTED_VALUE"""),72.26)</f>
        <v>72.26</v>
      </c>
      <c r="BA24" s="3">
        <f>IFERROR(__xludf.DUMMYFUNCTION("""COMPUTED_VALUE"""),80.3)</f>
        <v>80.3</v>
      </c>
      <c r="BB24" s="3">
        <f>IFERROR(__xludf.DUMMYFUNCTION("""COMPUTED_VALUE"""),125.2)</f>
        <v>125.2</v>
      </c>
      <c r="BC24" s="1">
        <f>IFERROR(__xludf.DUMMYFUNCTION("""COMPUTED_VALUE"""),97.45)</f>
        <v>97.45</v>
      </c>
      <c r="BD24" s="1">
        <f>IFERROR(__xludf.DUMMYFUNCTION("""COMPUTED_VALUE"""),43.63)</f>
        <v>43.63</v>
      </c>
      <c r="BE24" s="1">
        <f>IFERROR(__xludf.DUMMYFUNCTION("""COMPUTED_VALUE"""),23.77)</f>
        <v>23.77</v>
      </c>
      <c r="BF24" s="1">
        <f>IFERROR(__xludf.DUMMYFUNCTION("""COMPUTED_VALUE"""),63.43)</f>
        <v>63.43</v>
      </c>
      <c r="BG24" s="1">
        <f>IFERROR(__xludf.DUMMYFUNCTION("""COMPUTED_VALUE"""),27.66)</f>
        <v>27.66</v>
      </c>
      <c r="BH24" s="1">
        <f>IFERROR(__xludf.DUMMYFUNCTION("""COMPUTED_VALUE"""),106.77)</f>
        <v>106.77</v>
      </c>
      <c r="BI24" s="1">
        <f>IFERROR(__xludf.DUMMYFUNCTION("""COMPUTED_VALUE"""),39.99)</f>
        <v>39.99</v>
      </c>
      <c r="BJ24" s="1">
        <f>IFERROR(__xludf.DUMMYFUNCTION("""COMPUTED_VALUE"""),173.79)</f>
        <v>173.79</v>
      </c>
      <c r="BK24" s="1">
        <f>IFERROR(__xludf.DUMMYFUNCTION("""COMPUTED_VALUE"""),575.69)</f>
        <v>575.69</v>
      </c>
      <c r="BL24" s="1">
        <f>IFERROR(__xludf.DUMMYFUNCTION("""COMPUTED_VALUE"""),205.65)</f>
        <v>205.65</v>
      </c>
      <c r="BM24" s="1">
        <f>IFERROR(__xludf.DUMMYFUNCTION("""COMPUTED_VALUE"""),141.88)</f>
        <v>141.88</v>
      </c>
      <c r="BN24" s="3">
        <f>IFERROR(__xludf.DUMMYFUNCTION("""COMPUTED_VALUE"""),6.78)</f>
        <v>6.78</v>
      </c>
      <c r="BO24" s="1">
        <f>IFERROR(__xludf.DUMMYFUNCTION("""COMPUTED_VALUE"""),226.47)</f>
        <v>226.47</v>
      </c>
      <c r="BP24" s="1">
        <f>IFERROR(__xludf.DUMMYFUNCTION("""COMPUTED_VALUE"""),493.07)</f>
        <v>493.07</v>
      </c>
      <c r="BQ24" s="36">
        <f>IFERROR(__xludf.DUMMYFUNCTION("""COMPUTED_VALUE"""),48.27)</f>
        <v>48.27</v>
      </c>
      <c r="BR24" s="1">
        <f>IFERROR(__xludf.DUMMYFUNCTION("""COMPUTED_VALUE"""),10.63)</f>
        <v>10.63</v>
      </c>
      <c r="BS24" s="1">
        <f>IFERROR(__xludf.DUMMYFUNCTION("""COMPUTED_VALUE"""),200.87)</f>
        <v>200.87</v>
      </c>
      <c r="BT24" s="1">
        <f>IFERROR(__xludf.DUMMYFUNCTION("""COMPUTED_VALUE"""),100.8)</f>
        <v>100.8</v>
      </c>
      <c r="BU24" s="3">
        <v>1.0</v>
      </c>
    </row>
    <row r="25">
      <c r="A25" s="25">
        <f>IFERROR(__xludf.DUMMYFUNCTION("""COMPUTED_VALUE"""),45456.66666666667)</f>
        <v>45456.66667</v>
      </c>
      <c r="B25" s="29">
        <f>'Master Scratch Work'!B24</f>
        <v>1233458.64</v>
      </c>
      <c r="C25" s="15">
        <f>IFERROR(__xludf.DUMMYFUNCTION("""COMPUTED_VALUE"""),5433.74)</f>
        <v>5433.74</v>
      </c>
      <c r="D25" s="15">
        <f>IFERROR(__xludf.DUMMYFUNCTION("""COMPUTED_VALUE"""),17667.56)</f>
        <v>17667.56</v>
      </c>
      <c r="E25" s="15">
        <f>IFERROR(__xludf.DUMMYFUNCTION("""COMPUTED_VALUE"""),38647.1)</f>
        <v>38647.1</v>
      </c>
      <c r="F25" s="15">
        <f>IFERROR(__xludf.DUMMYFUNCTION("""COMPUTED_VALUE"""),2038.91)</f>
        <v>2038.91</v>
      </c>
      <c r="G25" s="3">
        <f>IFERROR(__xludf.DUMMYFUNCTION("""COMPUTED_VALUE"""),542.45)</f>
        <v>542.45</v>
      </c>
      <c r="H25" s="3">
        <f>IFERROR(__xludf.DUMMYFUNCTION("""COMPUTED_VALUE"""),476.72)</f>
        <v>476.72</v>
      </c>
      <c r="I25" s="3">
        <f>IFERROR(__xludf.DUMMYFUNCTION("""COMPUTED_VALUE"""),458.74)</f>
        <v>458.74</v>
      </c>
      <c r="J25" s="3">
        <f>IFERROR(__xludf.DUMMYFUNCTION("""COMPUTED_VALUE"""),183.83)</f>
        <v>183.83</v>
      </c>
      <c r="K25" s="3">
        <f>IFERROR(__xludf.DUMMYFUNCTION("""COMPUTED_VALUE"""),129.22)</f>
        <v>129.22</v>
      </c>
      <c r="L25" s="3">
        <f>IFERROR(__xludf.DUMMYFUNCTION("""COMPUTED_VALUE"""),214.24)</f>
        <v>214.24</v>
      </c>
      <c r="M25" s="3">
        <f>IFERROR(__xludf.DUMMYFUNCTION("""COMPUTED_VALUE"""),237.55)</f>
        <v>237.55</v>
      </c>
      <c r="N25" s="3">
        <f>IFERROR(__xludf.DUMMYFUNCTION("""COMPUTED_VALUE"""),58.5)</f>
        <v>58.5</v>
      </c>
      <c r="O25" s="3">
        <f>IFERROR(__xludf.DUMMYFUNCTION("""COMPUTED_VALUE"""),10.6)</f>
        <v>10.6</v>
      </c>
      <c r="P25" s="3">
        <f>IFERROR(__xludf.DUMMYFUNCTION("""COMPUTED_VALUE"""),405.92)</f>
        <v>405.92</v>
      </c>
      <c r="Q25" s="3">
        <f>IFERROR(__xludf.DUMMYFUNCTION("""COMPUTED_VALUE"""),57.35)</f>
        <v>57.35</v>
      </c>
      <c r="R25" s="3">
        <f>IFERROR(__xludf.DUMMYFUNCTION("""COMPUTED_VALUE"""),233.84)</f>
        <v>233.84</v>
      </c>
      <c r="S25" s="3">
        <f>IFERROR(__xludf.DUMMYFUNCTION("""COMPUTED_VALUE"""),76.96)</f>
        <v>76.96</v>
      </c>
      <c r="T25" s="3">
        <f>IFERROR(__xludf.DUMMYFUNCTION("""COMPUTED_VALUE"""),63.99)</f>
        <v>63.99</v>
      </c>
      <c r="U25" s="3">
        <f>IFERROR(__xludf.DUMMYFUNCTION("""COMPUTED_VALUE"""),326.36)</f>
        <v>326.36</v>
      </c>
      <c r="V25" s="3">
        <f>IFERROR(__xludf.DUMMYFUNCTION("""COMPUTED_VALUE"""),52.92)</f>
        <v>52.92</v>
      </c>
      <c r="W25" s="3">
        <f>IFERROR(__xludf.DUMMYFUNCTION("""COMPUTED_VALUE"""),157.56)</f>
        <v>157.56</v>
      </c>
      <c r="X25" s="3">
        <f>IFERROR(__xludf.DUMMYFUNCTION("""COMPUTED_VALUE"""),152.84)</f>
        <v>152.84</v>
      </c>
      <c r="Y25" s="1">
        <f>IFERROR(__xludf.DUMMYFUNCTION("""COMPUTED_VALUE"""),334.15)</f>
        <v>334.15</v>
      </c>
      <c r="Z25" s="1">
        <f>IFERROR(__xludf.DUMMYFUNCTION("""COMPUTED_VALUE"""),34.49)</f>
        <v>34.49</v>
      </c>
      <c r="AA25" s="1">
        <f>IFERROR(__xludf.DUMMYFUNCTION("""COMPUTED_VALUE"""),62.99)</f>
        <v>62.99</v>
      </c>
      <c r="AB25" s="1">
        <f>IFERROR(__xludf.DUMMYFUNCTION("""COMPUTED_VALUE"""),90.61)</f>
        <v>90.61</v>
      </c>
      <c r="AC25" s="1">
        <f>IFERROR(__xludf.DUMMYFUNCTION("""COMPUTED_VALUE"""),149.76)</f>
        <v>149.76</v>
      </c>
      <c r="AD25" s="3">
        <f>IFERROR(__xludf.DUMMYFUNCTION("""COMPUTED_VALUE"""),106.53)</f>
        <v>106.53</v>
      </c>
      <c r="AE25" s="1">
        <f>IFERROR(__xludf.DUMMYFUNCTION("""COMPUTED_VALUE"""),528.75)</f>
        <v>528.75</v>
      </c>
      <c r="AF25" s="1">
        <f>IFERROR(__xludf.DUMMYFUNCTION("""COMPUTED_VALUE"""),53.69)</f>
        <v>53.69</v>
      </c>
      <c r="AG25" s="1">
        <f>IFERROR(__xludf.DUMMYFUNCTION("""COMPUTED_VALUE"""),110.04)</f>
        <v>110.04</v>
      </c>
      <c r="AH25" s="3">
        <f>IFERROR(__xludf.DUMMYFUNCTION("""COMPUTED_VALUE"""),248.6)</f>
        <v>248.6</v>
      </c>
      <c r="AI25" s="1">
        <f>IFERROR(__xludf.DUMMYFUNCTION("""COMPUTED_VALUE"""),416.68)</f>
        <v>416.68</v>
      </c>
      <c r="AJ25" s="1">
        <f>IFERROR(__xludf.DUMMYFUNCTION("""COMPUTED_VALUE"""),292.52)</f>
        <v>292.52</v>
      </c>
      <c r="AK25" s="3">
        <f>IFERROR(__xludf.DUMMYFUNCTION("""COMPUTED_VALUE"""),47.65)</f>
        <v>47.65</v>
      </c>
      <c r="AL25" s="1">
        <f>IFERROR(__xludf.DUMMYFUNCTION("""COMPUTED_VALUE"""),63.56)</f>
        <v>63.56</v>
      </c>
      <c r="AM25" s="1">
        <f>IFERROR(__xludf.DUMMYFUNCTION("""COMPUTED_VALUE"""),446.35)</f>
        <v>446.35</v>
      </c>
      <c r="AN25" s="1">
        <f>IFERROR(__xludf.DUMMYFUNCTION("""COMPUTED_VALUE"""),347.88)</f>
        <v>347.88</v>
      </c>
      <c r="AO25" s="1">
        <f>IFERROR(__xludf.DUMMYFUNCTION("""COMPUTED_VALUE"""),96.17)</f>
        <v>96.17</v>
      </c>
      <c r="AP25" s="1">
        <f>IFERROR(__xludf.DUMMYFUNCTION("""COMPUTED_VALUE"""),135.26)</f>
        <v>135.26</v>
      </c>
      <c r="AQ25" s="1">
        <f>IFERROR(__xludf.DUMMYFUNCTION("""COMPUTED_VALUE"""),422.9)</f>
        <v>422.9</v>
      </c>
      <c r="AR25" s="3">
        <f>IFERROR(__xludf.DUMMYFUNCTION("""COMPUTED_VALUE"""),193.66)</f>
        <v>193.66</v>
      </c>
      <c r="AS25" s="3">
        <f>IFERROR(__xludf.DUMMYFUNCTION("""COMPUTED_VALUE"""),458.56)</f>
        <v>458.56</v>
      </c>
      <c r="AT25" s="3">
        <f>IFERROR(__xludf.DUMMYFUNCTION("""COMPUTED_VALUE"""),307.49)</f>
        <v>307.49</v>
      </c>
      <c r="AU25" s="1">
        <f>IFERROR(__xludf.DUMMYFUNCTION("""COMPUTED_VALUE"""),25.18)</f>
        <v>25.18</v>
      </c>
      <c r="AV25" s="1">
        <f>IFERROR(__xludf.DUMMYFUNCTION("""COMPUTED_VALUE"""),81.66)</f>
        <v>81.66</v>
      </c>
      <c r="AW25" s="1">
        <f>IFERROR(__xludf.DUMMYFUNCTION("""COMPUTED_VALUE"""),68.66)</f>
        <v>68.66</v>
      </c>
      <c r="AX25" s="1">
        <f>IFERROR(__xludf.DUMMYFUNCTION("""COMPUTED_VALUE"""),14.07)</f>
        <v>14.07</v>
      </c>
      <c r="AY25" s="1">
        <f>IFERROR(__xludf.DUMMYFUNCTION("""COMPUTED_VALUE"""),441.58)</f>
        <v>441.58</v>
      </c>
      <c r="AZ25" s="3">
        <f>IFERROR(__xludf.DUMMYFUNCTION("""COMPUTED_VALUE"""),73.18)</f>
        <v>73.18</v>
      </c>
      <c r="BA25" s="3">
        <f>IFERROR(__xludf.DUMMYFUNCTION("""COMPUTED_VALUE"""),79.38)</f>
        <v>79.38</v>
      </c>
      <c r="BB25" s="3">
        <f>IFERROR(__xludf.DUMMYFUNCTION("""COMPUTED_VALUE"""),129.61)</f>
        <v>129.61</v>
      </c>
      <c r="BC25" s="1">
        <f>IFERROR(__xludf.DUMMYFUNCTION("""COMPUTED_VALUE"""),97.44)</f>
        <v>97.44</v>
      </c>
      <c r="BD25" s="1">
        <f>IFERROR(__xludf.DUMMYFUNCTION("""COMPUTED_VALUE"""),42.9)</f>
        <v>42.9</v>
      </c>
      <c r="BE25" s="1">
        <f>IFERROR(__xludf.DUMMYFUNCTION("""COMPUTED_VALUE"""),23.27)</f>
        <v>23.27</v>
      </c>
      <c r="BF25" s="1">
        <f>IFERROR(__xludf.DUMMYFUNCTION("""COMPUTED_VALUE"""),61.54)</f>
        <v>61.54</v>
      </c>
      <c r="BG25" s="1">
        <f>IFERROR(__xludf.DUMMYFUNCTION("""COMPUTED_VALUE"""),27.65)</f>
        <v>27.65</v>
      </c>
      <c r="BH25" s="1">
        <f>IFERROR(__xludf.DUMMYFUNCTION("""COMPUTED_VALUE"""),105.03)</f>
        <v>105.03</v>
      </c>
      <c r="BI25" s="1">
        <f>IFERROR(__xludf.DUMMYFUNCTION("""COMPUTED_VALUE"""),39.74)</f>
        <v>39.74</v>
      </c>
      <c r="BJ25" s="1">
        <f>IFERROR(__xludf.DUMMYFUNCTION("""COMPUTED_VALUE"""),175.11)</f>
        <v>175.11</v>
      </c>
      <c r="BK25" s="1">
        <f>IFERROR(__xludf.DUMMYFUNCTION("""COMPUTED_VALUE"""),572.63)</f>
        <v>572.63</v>
      </c>
      <c r="BL25" s="1">
        <f>IFERROR(__xludf.DUMMYFUNCTION("""COMPUTED_VALUE"""),199.35)</f>
        <v>199.35</v>
      </c>
      <c r="BM25" s="1">
        <f>IFERROR(__xludf.DUMMYFUNCTION("""COMPUTED_VALUE"""),143.4)</f>
        <v>143.4</v>
      </c>
      <c r="BN25" s="3">
        <f>IFERROR(__xludf.DUMMYFUNCTION("""COMPUTED_VALUE"""),6.76)</f>
        <v>6.76</v>
      </c>
      <c r="BO25" s="1">
        <f>IFERROR(__xludf.DUMMYFUNCTION("""COMPUTED_VALUE"""),222.12)</f>
        <v>222.12</v>
      </c>
      <c r="BP25" s="1">
        <f>IFERROR(__xludf.DUMMYFUNCTION("""COMPUTED_VALUE"""),497.3)</f>
        <v>497.3</v>
      </c>
      <c r="BQ25" s="36">
        <f>IFERROR(__xludf.DUMMYFUNCTION("""COMPUTED_VALUE"""),48.35)</f>
        <v>48.35</v>
      </c>
      <c r="BR25" s="1">
        <f>IFERROR(__xludf.DUMMYFUNCTION("""COMPUTED_VALUE"""),10.39)</f>
        <v>10.39</v>
      </c>
      <c r="BS25" s="1">
        <f>IFERROR(__xludf.DUMMYFUNCTION("""COMPUTED_VALUE"""),201.22)</f>
        <v>201.22</v>
      </c>
      <c r="BT25" s="1">
        <f>IFERROR(__xludf.DUMMYFUNCTION("""COMPUTED_VALUE"""),100.09)</f>
        <v>100.09</v>
      </c>
      <c r="BU25" s="3">
        <v>1.0</v>
      </c>
    </row>
    <row r="26">
      <c r="A26" s="25">
        <f>IFERROR(__xludf.DUMMYFUNCTION("""COMPUTED_VALUE"""),45457.66666666667)</f>
        <v>45457.66667</v>
      </c>
      <c r="B26" s="29">
        <f>'Master Scratch Work'!B25</f>
        <v>1231315.34</v>
      </c>
      <c r="C26" s="15">
        <f>IFERROR(__xludf.DUMMYFUNCTION("""COMPUTED_VALUE"""),5431.6)</f>
        <v>5431.6</v>
      </c>
      <c r="D26" s="15">
        <f>IFERROR(__xludf.DUMMYFUNCTION("""COMPUTED_VALUE"""),17688.88)</f>
        <v>17688.88</v>
      </c>
      <c r="E26" s="15">
        <f>IFERROR(__xludf.DUMMYFUNCTION("""COMPUTED_VALUE"""),38589.16)</f>
        <v>38589.16</v>
      </c>
      <c r="F26" s="15">
        <f>IFERROR(__xludf.DUMMYFUNCTION("""COMPUTED_VALUE"""),2006.16)</f>
        <v>2006.16</v>
      </c>
      <c r="G26" s="3">
        <f>IFERROR(__xludf.DUMMYFUNCTION("""COMPUTED_VALUE"""),542.78)</f>
        <v>542.78</v>
      </c>
      <c r="H26" s="3">
        <f>IFERROR(__xludf.DUMMYFUNCTION("""COMPUTED_VALUE"""),479.19)</f>
        <v>479.19</v>
      </c>
      <c r="I26" s="3">
        <f>IFERROR(__xludf.DUMMYFUNCTION("""COMPUTED_VALUE"""),525.31)</f>
        <v>525.31</v>
      </c>
      <c r="J26" s="3">
        <f>IFERROR(__xludf.DUMMYFUNCTION("""COMPUTED_VALUE"""),183.66)</f>
        <v>183.66</v>
      </c>
      <c r="K26" s="3">
        <f>IFERROR(__xludf.DUMMYFUNCTION("""COMPUTED_VALUE"""),129.3)</f>
        <v>129.3</v>
      </c>
      <c r="L26" s="3">
        <f>IFERROR(__xludf.DUMMYFUNCTION("""COMPUTED_VALUE"""),212.49)</f>
        <v>212.49</v>
      </c>
      <c r="M26" s="3">
        <f>IFERROR(__xludf.DUMMYFUNCTION("""COMPUTED_VALUE"""),237.03)</f>
        <v>237.03</v>
      </c>
      <c r="N26" s="3">
        <f>IFERROR(__xludf.DUMMYFUNCTION("""COMPUTED_VALUE"""),58.02)</f>
        <v>58.02</v>
      </c>
      <c r="O26" s="3">
        <f>IFERROR(__xludf.DUMMYFUNCTION("""COMPUTED_VALUE"""),10.41)</f>
        <v>10.41</v>
      </c>
      <c r="P26" s="3">
        <f>IFERROR(__xludf.DUMMYFUNCTION("""COMPUTED_VALUE"""),405.54)</f>
        <v>405.54</v>
      </c>
      <c r="Q26" s="3">
        <f>IFERROR(__xludf.DUMMYFUNCTION("""COMPUTED_VALUE"""),56.83)</f>
        <v>56.83</v>
      </c>
      <c r="R26" s="3">
        <f>IFERROR(__xludf.DUMMYFUNCTION("""COMPUTED_VALUE"""),231.69)</f>
        <v>231.69</v>
      </c>
      <c r="S26" s="3">
        <f>IFERROR(__xludf.DUMMYFUNCTION("""COMPUTED_VALUE"""),76.76)</f>
        <v>76.76</v>
      </c>
      <c r="T26" s="3">
        <f>IFERROR(__xludf.DUMMYFUNCTION("""COMPUTED_VALUE"""),64.35)</f>
        <v>64.35</v>
      </c>
      <c r="U26" s="3">
        <f>IFERROR(__xludf.DUMMYFUNCTION("""COMPUTED_VALUE"""),321.47)</f>
        <v>321.47</v>
      </c>
      <c r="V26" s="3">
        <f>IFERROR(__xludf.DUMMYFUNCTION("""COMPUTED_VALUE"""),51.9)</f>
        <v>51.9</v>
      </c>
      <c r="W26" s="3">
        <f>IFERROR(__xludf.DUMMYFUNCTION("""COMPUTED_VALUE"""),156.49)</f>
        <v>156.49</v>
      </c>
      <c r="X26" s="3">
        <f>IFERROR(__xludf.DUMMYFUNCTION("""COMPUTED_VALUE"""),152.57)</f>
        <v>152.57</v>
      </c>
      <c r="Y26" s="1">
        <f>IFERROR(__xludf.DUMMYFUNCTION("""COMPUTED_VALUE"""),333.29)</f>
        <v>333.29</v>
      </c>
      <c r="Z26" s="1">
        <f>IFERROR(__xludf.DUMMYFUNCTION("""COMPUTED_VALUE"""),34.07)</f>
        <v>34.07</v>
      </c>
      <c r="AA26" s="1">
        <f>IFERROR(__xludf.DUMMYFUNCTION("""COMPUTED_VALUE"""),62.55)</f>
        <v>62.55</v>
      </c>
      <c r="AB26" s="1">
        <f>IFERROR(__xludf.DUMMYFUNCTION("""COMPUTED_VALUE"""),90.87)</f>
        <v>90.87</v>
      </c>
      <c r="AC26" s="1">
        <f>IFERROR(__xludf.DUMMYFUNCTION("""COMPUTED_VALUE"""),149.92)</f>
        <v>149.92</v>
      </c>
      <c r="AD26" s="3">
        <f>IFERROR(__xludf.DUMMYFUNCTION("""COMPUTED_VALUE"""),106.03)</f>
        <v>106.03</v>
      </c>
      <c r="AE26" s="1">
        <f>IFERROR(__xludf.DUMMYFUNCTION("""COMPUTED_VALUE"""),521.41)</f>
        <v>521.41</v>
      </c>
      <c r="AF26" s="1">
        <f>IFERROR(__xludf.DUMMYFUNCTION("""COMPUTED_VALUE"""),52.13)</f>
        <v>52.13</v>
      </c>
      <c r="AG26" s="1">
        <f>IFERROR(__xludf.DUMMYFUNCTION("""COMPUTED_VALUE"""),109.11)</f>
        <v>109.11</v>
      </c>
      <c r="AH26" s="3">
        <f>IFERROR(__xludf.DUMMYFUNCTION("""COMPUTED_VALUE"""),246.43)</f>
        <v>246.43</v>
      </c>
      <c r="AI26" s="1">
        <f>IFERROR(__xludf.DUMMYFUNCTION("""COMPUTED_VALUE"""),409.98)</f>
        <v>409.98</v>
      </c>
      <c r="AJ26" s="1">
        <f>IFERROR(__xludf.DUMMYFUNCTION("""COMPUTED_VALUE"""),291.78)</f>
        <v>291.78</v>
      </c>
      <c r="AK26" s="3">
        <f>IFERROR(__xludf.DUMMYFUNCTION("""COMPUTED_VALUE"""),46.77)</f>
        <v>46.77</v>
      </c>
      <c r="AL26" s="1">
        <f>IFERROR(__xludf.DUMMYFUNCTION("""COMPUTED_VALUE"""),65.06)</f>
        <v>65.06</v>
      </c>
      <c r="AM26" s="1">
        <f>IFERROR(__xludf.DUMMYFUNCTION("""COMPUTED_VALUE"""),446.46)</f>
        <v>446.46</v>
      </c>
      <c r="AN26" s="1">
        <f>IFERROR(__xludf.DUMMYFUNCTION("""COMPUTED_VALUE"""),346.84)</f>
        <v>346.84</v>
      </c>
      <c r="AO26" s="1">
        <f>IFERROR(__xludf.DUMMYFUNCTION("""COMPUTED_VALUE"""),94.95)</f>
        <v>94.95</v>
      </c>
      <c r="AP26" s="1">
        <f>IFERROR(__xludf.DUMMYFUNCTION("""COMPUTED_VALUE"""),135.67)</f>
        <v>135.67</v>
      </c>
      <c r="AQ26" s="1">
        <f>IFERROR(__xludf.DUMMYFUNCTION("""COMPUTED_VALUE"""),425.78)</f>
        <v>425.78</v>
      </c>
      <c r="AR26" s="3">
        <f>IFERROR(__xludf.DUMMYFUNCTION("""COMPUTED_VALUE"""),193.78)</f>
        <v>193.78</v>
      </c>
      <c r="AS26" s="3">
        <f>IFERROR(__xludf.DUMMYFUNCTION("""COMPUTED_VALUE"""),458.34)</f>
        <v>458.34</v>
      </c>
      <c r="AT26" s="3">
        <f>IFERROR(__xludf.DUMMYFUNCTION("""COMPUTED_VALUE"""),306.01)</f>
        <v>306.01</v>
      </c>
      <c r="AU26" s="1">
        <f>IFERROR(__xludf.DUMMYFUNCTION("""COMPUTED_VALUE"""),25.1)</f>
        <v>25.1</v>
      </c>
      <c r="AV26" s="1">
        <f>IFERROR(__xludf.DUMMYFUNCTION("""COMPUTED_VALUE"""),81.04)</f>
        <v>81.04</v>
      </c>
      <c r="AW26" s="1">
        <f>IFERROR(__xludf.DUMMYFUNCTION("""COMPUTED_VALUE"""),68.55)</f>
        <v>68.55</v>
      </c>
      <c r="AX26" s="1">
        <f>IFERROR(__xludf.DUMMYFUNCTION("""COMPUTED_VALUE"""),13.64)</f>
        <v>13.64</v>
      </c>
      <c r="AY26" s="1">
        <f>IFERROR(__xludf.DUMMYFUNCTION("""COMPUTED_VALUE"""),442.57)</f>
        <v>442.57</v>
      </c>
      <c r="AZ26" s="3">
        <f>IFERROR(__xludf.DUMMYFUNCTION("""COMPUTED_VALUE"""),73.06)</f>
        <v>73.06</v>
      </c>
      <c r="BA26" s="3">
        <f>IFERROR(__xludf.DUMMYFUNCTION("""COMPUTED_VALUE"""),78.64)</f>
        <v>78.64</v>
      </c>
      <c r="BB26" s="3">
        <f>IFERROR(__xludf.DUMMYFUNCTION("""COMPUTED_VALUE"""),131.88)</f>
        <v>131.88</v>
      </c>
      <c r="BC26" s="1">
        <f>IFERROR(__xludf.DUMMYFUNCTION("""COMPUTED_VALUE"""),97.13)</f>
        <v>97.13</v>
      </c>
      <c r="BD26" s="1">
        <f>IFERROR(__xludf.DUMMYFUNCTION("""COMPUTED_VALUE"""),42.0)</f>
        <v>42</v>
      </c>
      <c r="BE26" s="1">
        <f>IFERROR(__xludf.DUMMYFUNCTION("""COMPUTED_VALUE"""),23.57)</f>
        <v>23.57</v>
      </c>
      <c r="BF26" s="1">
        <f>IFERROR(__xludf.DUMMYFUNCTION("""COMPUTED_VALUE"""),60.64)</f>
        <v>60.64</v>
      </c>
      <c r="BG26" s="1">
        <f>IFERROR(__xludf.DUMMYFUNCTION("""COMPUTED_VALUE"""),27.53)</f>
        <v>27.53</v>
      </c>
      <c r="BH26" s="1">
        <f>IFERROR(__xludf.DUMMYFUNCTION("""COMPUTED_VALUE"""),104.23)</f>
        <v>104.23</v>
      </c>
      <c r="BI26" s="1">
        <f>IFERROR(__xludf.DUMMYFUNCTION("""COMPUTED_VALUE"""),38.62)</f>
        <v>38.62</v>
      </c>
      <c r="BJ26" s="1">
        <f>IFERROR(__xludf.DUMMYFUNCTION("""COMPUTED_VALUE"""),175.99)</f>
        <v>175.99</v>
      </c>
      <c r="BK26" s="1">
        <f>IFERROR(__xludf.DUMMYFUNCTION("""COMPUTED_VALUE"""),572.05)</f>
        <v>572.05</v>
      </c>
      <c r="BL26" s="1">
        <f>IFERROR(__xludf.DUMMYFUNCTION("""COMPUTED_VALUE"""),197.13)</f>
        <v>197.13</v>
      </c>
      <c r="BM26" s="1">
        <f>IFERROR(__xludf.DUMMYFUNCTION("""COMPUTED_VALUE"""),142.01)</f>
        <v>142.01</v>
      </c>
      <c r="BN26" s="3">
        <f>IFERROR(__xludf.DUMMYFUNCTION("""COMPUTED_VALUE"""),6.68)</f>
        <v>6.68</v>
      </c>
      <c r="BO26" s="1">
        <f>IFERROR(__xludf.DUMMYFUNCTION("""COMPUTED_VALUE"""),222.1)</f>
        <v>222.1</v>
      </c>
      <c r="BP26" s="1">
        <f>IFERROR(__xludf.DUMMYFUNCTION("""COMPUTED_VALUE"""),497.12)</f>
        <v>497.12</v>
      </c>
      <c r="BQ26" s="36">
        <f>IFERROR(__xludf.DUMMYFUNCTION("""COMPUTED_VALUE"""),48.35)</f>
        <v>48.35</v>
      </c>
      <c r="BR26" s="1">
        <f>IFERROR(__xludf.DUMMYFUNCTION("""COMPUTED_VALUE"""),10.17)</f>
        <v>10.17</v>
      </c>
      <c r="BS26" s="1">
        <f>IFERROR(__xludf.DUMMYFUNCTION("""COMPUTED_VALUE"""),203.64)</f>
        <v>203.64</v>
      </c>
      <c r="BT26" s="1">
        <f>IFERROR(__xludf.DUMMYFUNCTION("""COMPUTED_VALUE"""),99.97)</f>
        <v>99.97</v>
      </c>
      <c r="BU26" s="3">
        <v>1.0</v>
      </c>
    </row>
    <row r="27">
      <c r="A27" s="25">
        <f>IFERROR(__xludf.DUMMYFUNCTION("""COMPUTED_VALUE"""),45460.66666666667)</f>
        <v>45460.66667</v>
      </c>
      <c r="B27" s="29">
        <f>'Master Scratch Work'!B26</f>
        <v>1235702.45</v>
      </c>
      <c r="C27" s="15">
        <f>IFERROR(__xludf.DUMMYFUNCTION("""COMPUTED_VALUE"""),5473.23)</f>
        <v>5473.23</v>
      </c>
      <c r="D27" s="15">
        <f>IFERROR(__xludf.DUMMYFUNCTION("""COMPUTED_VALUE"""),17857.02)</f>
        <v>17857.02</v>
      </c>
      <c r="E27" s="15">
        <f>IFERROR(__xludf.DUMMYFUNCTION("""COMPUTED_VALUE"""),38778.1)</f>
        <v>38778.1</v>
      </c>
      <c r="F27" s="15">
        <f>IFERROR(__xludf.DUMMYFUNCTION("""COMPUTED_VALUE"""),2022.01)</f>
        <v>2022.01</v>
      </c>
      <c r="G27" s="3">
        <f>IFERROR(__xludf.DUMMYFUNCTION("""COMPUTED_VALUE"""),547.1)</f>
        <v>547.1</v>
      </c>
      <c r="H27" s="3">
        <f>IFERROR(__xludf.DUMMYFUNCTION("""COMPUTED_VALUE"""),485.06)</f>
        <v>485.06</v>
      </c>
      <c r="I27" s="3">
        <f>IFERROR(__xludf.DUMMYFUNCTION("""COMPUTED_VALUE"""),518.74)</f>
        <v>518.74</v>
      </c>
      <c r="J27" s="3">
        <f>IFERROR(__xludf.DUMMYFUNCTION("""COMPUTED_VALUE"""),184.06)</f>
        <v>184.06</v>
      </c>
      <c r="K27" s="3">
        <f>IFERROR(__xludf.DUMMYFUNCTION("""COMPUTED_VALUE"""),128.72)</f>
        <v>128.72</v>
      </c>
      <c r="L27" s="3">
        <f>IFERROR(__xludf.DUMMYFUNCTION("""COMPUTED_VALUE"""),216.67)</f>
        <v>216.67</v>
      </c>
      <c r="M27" s="3">
        <f>IFERROR(__xludf.DUMMYFUNCTION("""COMPUTED_VALUE"""),242.86)</f>
        <v>242.86</v>
      </c>
      <c r="N27" s="3">
        <f>IFERROR(__xludf.DUMMYFUNCTION("""COMPUTED_VALUE"""),58.17)</f>
        <v>58.17</v>
      </c>
      <c r="O27" s="3">
        <f>IFERROR(__xludf.DUMMYFUNCTION("""COMPUTED_VALUE"""),10.59)</f>
        <v>10.59</v>
      </c>
      <c r="P27" s="3">
        <f>IFERROR(__xludf.DUMMYFUNCTION("""COMPUTED_VALUE"""),407.32)</f>
        <v>407.32</v>
      </c>
      <c r="Q27" s="3">
        <f>IFERROR(__xludf.DUMMYFUNCTION("""COMPUTED_VALUE"""),56.25)</f>
        <v>56.25</v>
      </c>
      <c r="R27" s="3">
        <f>IFERROR(__xludf.DUMMYFUNCTION("""COMPUTED_VALUE"""),226.46)</f>
        <v>226.46</v>
      </c>
      <c r="S27" s="3">
        <f>IFERROR(__xludf.DUMMYFUNCTION("""COMPUTED_VALUE"""),76.19)</f>
        <v>76.19</v>
      </c>
      <c r="T27" s="3">
        <f>IFERROR(__xludf.DUMMYFUNCTION("""COMPUTED_VALUE"""),65.12)</f>
        <v>65.12</v>
      </c>
      <c r="U27" s="3">
        <f>IFERROR(__xludf.DUMMYFUNCTION("""COMPUTED_VALUE"""),322.4)</f>
        <v>322.4</v>
      </c>
      <c r="V27" s="3">
        <f>IFERROR(__xludf.DUMMYFUNCTION("""COMPUTED_VALUE"""),51.29)</f>
        <v>51.29</v>
      </c>
      <c r="W27" s="3">
        <f>IFERROR(__xludf.DUMMYFUNCTION("""COMPUTED_VALUE"""),157.63)</f>
        <v>157.63</v>
      </c>
      <c r="X27" s="3">
        <f>IFERROR(__xludf.DUMMYFUNCTION("""COMPUTED_VALUE"""),153.19)</f>
        <v>153.19</v>
      </c>
      <c r="Y27" s="1">
        <f>IFERROR(__xludf.DUMMYFUNCTION("""COMPUTED_VALUE"""),333.9)</f>
        <v>333.9</v>
      </c>
      <c r="Z27" s="1">
        <f>IFERROR(__xludf.DUMMYFUNCTION("""COMPUTED_VALUE"""),34.5)</f>
        <v>34.5</v>
      </c>
      <c r="AA27" s="1">
        <f>IFERROR(__xludf.DUMMYFUNCTION("""COMPUTED_VALUE"""),62.62)</f>
        <v>62.62</v>
      </c>
      <c r="AB27" s="1">
        <f>IFERROR(__xludf.DUMMYFUNCTION("""COMPUTED_VALUE"""),90.65)</f>
        <v>90.65</v>
      </c>
      <c r="AC27" s="1">
        <f>IFERROR(__xludf.DUMMYFUNCTION("""COMPUTED_VALUE"""),149.01)</f>
        <v>149.01</v>
      </c>
      <c r="AD27" s="3">
        <f>IFERROR(__xludf.DUMMYFUNCTION("""COMPUTED_VALUE"""),108.65)</f>
        <v>108.65</v>
      </c>
      <c r="AE27" s="1">
        <f>IFERROR(__xludf.DUMMYFUNCTION("""COMPUTED_VALUE"""),532.16)</f>
        <v>532.16</v>
      </c>
      <c r="AF27" s="1">
        <f>IFERROR(__xludf.DUMMYFUNCTION("""COMPUTED_VALUE"""),53.14)</f>
        <v>53.14</v>
      </c>
      <c r="AG27" s="1">
        <f>IFERROR(__xludf.DUMMYFUNCTION("""COMPUTED_VALUE"""),108.36)</f>
        <v>108.36</v>
      </c>
      <c r="AH27" s="3">
        <f>IFERROR(__xludf.DUMMYFUNCTION("""COMPUTED_VALUE"""),250.06)</f>
        <v>250.06</v>
      </c>
      <c r="AI27" s="1">
        <f>IFERROR(__xludf.DUMMYFUNCTION("""COMPUTED_VALUE"""),416.06)</f>
        <v>416.06</v>
      </c>
      <c r="AJ27" s="1">
        <f>IFERROR(__xludf.DUMMYFUNCTION("""COMPUTED_VALUE"""),293.83)</f>
        <v>293.83</v>
      </c>
      <c r="AK27" s="3">
        <f>IFERROR(__xludf.DUMMYFUNCTION("""COMPUTED_VALUE"""),47.4)</f>
        <v>47.4</v>
      </c>
      <c r="AL27" s="1">
        <f>IFERROR(__xludf.DUMMYFUNCTION("""COMPUTED_VALUE"""),64.27)</f>
        <v>64.27</v>
      </c>
      <c r="AM27" s="1">
        <f>IFERROR(__xludf.DUMMYFUNCTION("""COMPUTED_VALUE"""),450.18)</f>
        <v>450.18</v>
      </c>
      <c r="AN27" s="1">
        <f>IFERROR(__xludf.DUMMYFUNCTION("""COMPUTED_VALUE"""),349.5)</f>
        <v>349.5</v>
      </c>
      <c r="AO27" s="1">
        <f>IFERROR(__xludf.DUMMYFUNCTION("""COMPUTED_VALUE"""),96.74)</f>
        <v>96.74</v>
      </c>
      <c r="AP27" s="1">
        <f>IFERROR(__xludf.DUMMYFUNCTION("""COMPUTED_VALUE"""),136.2)</f>
        <v>136.2</v>
      </c>
      <c r="AQ27" s="1">
        <f>IFERROR(__xludf.DUMMYFUNCTION("""COMPUTED_VALUE"""),430.0)</f>
        <v>430</v>
      </c>
      <c r="AR27" s="3">
        <f>IFERROR(__xludf.DUMMYFUNCTION("""COMPUTED_VALUE"""),194.98)</f>
        <v>194.98</v>
      </c>
      <c r="AS27" s="3">
        <f>IFERROR(__xludf.DUMMYFUNCTION("""COMPUTED_VALUE"""),459.01)</f>
        <v>459.01</v>
      </c>
      <c r="AT27" s="3">
        <f>IFERROR(__xludf.DUMMYFUNCTION("""COMPUTED_VALUE"""),312.91)</f>
        <v>312.91</v>
      </c>
      <c r="AU27" s="1">
        <f>IFERROR(__xludf.DUMMYFUNCTION("""COMPUTED_VALUE"""),25.49)</f>
        <v>25.49</v>
      </c>
      <c r="AV27" s="1">
        <f>IFERROR(__xludf.DUMMYFUNCTION("""COMPUTED_VALUE"""),79.95)</f>
        <v>79.95</v>
      </c>
      <c r="AW27" s="1">
        <f>IFERROR(__xludf.DUMMYFUNCTION("""COMPUTED_VALUE"""),69.38)</f>
        <v>69.38</v>
      </c>
      <c r="AX27" s="1">
        <f>IFERROR(__xludf.DUMMYFUNCTION("""COMPUTED_VALUE"""),13.33)</f>
        <v>13.33</v>
      </c>
      <c r="AY27" s="1">
        <f>IFERROR(__xludf.DUMMYFUNCTION("""COMPUTED_VALUE"""),448.37)</f>
        <v>448.37</v>
      </c>
      <c r="AZ27" s="3">
        <f>IFERROR(__xludf.DUMMYFUNCTION("""COMPUTED_VALUE"""),72.31)</f>
        <v>72.31</v>
      </c>
      <c r="BA27" s="3">
        <f>IFERROR(__xludf.DUMMYFUNCTION("""COMPUTED_VALUE"""),78.55)</f>
        <v>78.55</v>
      </c>
      <c r="BB27" s="3">
        <f>IFERROR(__xludf.DUMMYFUNCTION("""COMPUTED_VALUE"""),130.98)</f>
        <v>130.98</v>
      </c>
      <c r="BC27" s="1">
        <f>IFERROR(__xludf.DUMMYFUNCTION("""COMPUTED_VALUE"""),97.47)</f>
        <v>97.47</v>
      </c>
      <c r="BD27" s="1">
        <f>IFERROR(__xludf.DUMMYFUNCTION("""COMPUTED_VALUE"""),41.63)</f>
        <v>41.63</v>
      </c>
      <c r="BE27" s="1">
        <f>IFERROR(__xludf.DUMMYFUNCTION("""COMPUTED_VALUE"""),25.02)</f>
        <v>25.02</v>
      </c>
      <c r="BF27" s="1">
        <f>IFERROR(__xludf.DUMMYFUNCTION("""COMPUTED_VALUE"""),60.13)</f>
        <v>60.13</v>
      </c>
      <c r="BG27" s="1">
        <f>IFERROR(__xludf.DUMMYFUNCTION("""COMPUTED_VALUE"""),26.98)</f>
        <v>26.98</v>
      </c>
      <c r="BH27" s="1">
        <f>IFERROR(__xludf.DUMMYFUNCTION("""COMPUTED_VALUE"""),104.47)</f>
        <v>104.47</v>
      </c>
      <c r="BI27" s="1">
        <f>IFERROR(__xludf.DUMMYFUNCTION("""COMPUTED_VALUE"""),37.1)</f>
        <v>37.1</v>
      </c>
      <c r="BJ27" s="1">
        <f>IFERROR(__xludf.DUMMYFUNCTION("""COMPUTED_VALUE"""),177.38)</f>
        <v>177.38</v>
      </c>
      <c r="BK27" s="1">
        <f>IFERROR(__xludf.DUMMYFUNCTION("""COMPUTED_VALUE"""),568.0)</f>
        <v>568</v>
      </c>
      <c r="BL27" s="1">
        <f>IFERROR(__xludf.DUMMYFUNCTION("""COMPUTED_VALUE"""),195.2)</f>
        <v>195.2</v>
      </c>
      <c r="BM27" s="1">
        <f>IFERROR(__xludf.DUMMYFUNCTION("""COMPUTED_VALUE"""),143.07)</f>
        <v>143.07</v>
      </c>
      <c r="BN27" s="3">
        <f>IFERROR(__xludf.DUMMYFUNCTION("""COMPUTED_VALUE"""),6.94)</f>
        <v>6.94</v>
      </c>
      <c r="BO27" s="1">
        <f>IFERROR(__xludf.DUMMYFUNCTION("""COMPUTED_VALUE"""),221.38)</f>
        <v>221.38</v>
      </c>
      <c r="BP27" s="1">
        <f>IFERROR(__xludf.DUMMYFUNCTION("""COMPUTED_VALUE"""),489.23)</f>
        <v>489.23</v>
      </c>
      <c r="BQ27" s="36">
        <f>IFERROR(__xludf.DUMMYFUNCTION("""COMPUTED_VALUE"""),48.34)</f>
        <v>48.34</v>
      </c>
      <c r="BR27" s="1">
        <f>IFERROR(__xludf.DUMMYFUNCTION("""COMPUTED_VALUE"""),10.11)</f>
        <v>10.11</v>
      </c>
      <c r="BS27" s="1">
        <f>IFERROR(__xludf.DUMMYFUNCTION("""COMPUTED_VALUE"""),206.38)</f>
        <v>206.38</v>
      </c>
      <c r="BT27" s="1">
        <f>IFERROR(__xludf.DUMMYFUNCTION("""COMPUTED_VALUE"""),101.52)</f>
        <v>101.52</v>
      </c>
      <c r="BU27" s="3">
        <v>1.0</v>
      </c>
    </row>
    <row r="28">
      <c r="A28" s="25">
        <f>IFERROR(__xludf.DUMMYFUNCTION("""COMPUTED_VALUE"""),45461.66666666667)</f>
        <v>45461.66667</v>
      </c>
      <c r="B28" s="29">
        <f>'Master Scratch Work'!B27</f>
        <v>1239728.11</v>
      </c>
      <c r="C28" s="15">
        <f>IFERROR(__xludf.DUMMYFUNCTION("""COMPUTED_VALUE"""),5487.03)</f>
        <v>5487.03</v>
      </c>
      <c r="D28" s="15">
        <f>IFERROR(__xludf.DUMMYFUNCTION("""COMPUTED_VALUE"""),17862.23)</f>
        <v>17862.23</v>
      </c>
      <c r="E28" s="15">
        <f>IFERROR(__xludf.DUMMYFUNCTION("""COMPUTED_VALUE"""),38834.86)</f>
        <v>38834.86</v>
      </c>
      <c r="F28" s="15">
        <f>IFERROR(__xludf.DUMMYFUNCTION("""COMPUTED_VALUE"""),2025.23)</f>
        <v>2025.23</v>
      </c>
      <c r="G28" s="3">
        <f>IFERROR(__xludf.DUMMYFUNCTION("""COMPUTED_VALUE"""),548.49)</f>
        <v>548.49</v>
      </c>
      <c r="H28" s="3">
        <f>IFERROR(__xludf.DUMMYFUNCTION("""COMPUTED_VALUE"""),485.21)</f>
        <v>485.21</v>
      </c>
      <c r="I28" s="3">
        <f>IFERROR(__xludf.DUMMYFUNCTION("""COMPUTED_VALUE"""),522.25)</f>
        <v>522.25</v>
      </c>
      <c r="J28" s="3">
        <f>IFERROR(__xludf.DUMMYFUNCTION("""COMPUTED_VALUE"""),182.81)</f>
        <v>182.81</v>
      </c>
      <c r="K28" s="3">
        <f>IFERROR(__xludf.DUMMYFUNCTION("""COMPUTED_VALUE"""),130.47)</f>
        <v>130.47</v>
      </c>
      <c r="L28" s="3">
        <f>IFERROR(__xludf.DUMMYFUNCTION("""COMPUTED_VALUE"""),214.29)</f>
        <v>214.29</v>
      </c>
      <c r="M28" s="3">
        <f>IFERROR(__xludf.DUMMYFUNCTION("""COMPUTED_VALUE"""),247.83)</f>
        <v>247.83</v>
      </c>
      <c r="N28" s="3">
        <f>IFERROR(__xludf.DUMMYFUNCTION("""COMPUTED_VALUE"""),58.68)</f>
        <v>58.68</v>
      </c>
      <c r="O28" s="3">
        <f>IFERROR(__xludf.DUMMYFUNCTION("""COMPUTED_VALUE"""),10.56)</f>
        <v>10.56</v>
      </c>
      <c r="P28" s="3">
        <f>IFERROR(__xludf.DUMMYFUNCTION("""COMPUTED_VALUE"""),407.95)</f>
        <v>407.95</v>
      </c>
      <c r="Q28" s="3">
        <f>IFERROR(__xludf.DUMMYFUNCTION("""COMPUTED_VALUE"""),56.66)</f>
        <v>56.66</v>
      </c>
      <c r="R28" s="3">
        <f>IFERROR(__xludf.DUMMYFUNCTION("""COMPUTED_VALUE"""),223.65)</f>
        <v>223.65</v>
      </c>
      <c r="S28" s="3">
        <f>IFERROR(__xludf.DUMMYFUNCTION("""COMPUTED_VALUE"""),76.31)</f>
        <v>76.31</v>
      </c>
      <c r="T28" s="3">
        <f>IFERROR(__xludf.DUMMYFUNCTION("""COMPUTED_VALUE"""),65.72)</f>
        <v>65.72</v>
      </c>
      <c r="U28" s="3">
        <f>IFERROR(__xludf.DUMMYFUNCTION("""COMPUTED_VALUE"""),325.14)</f>
        <v>325.14</v>
      </c>
      <c r="V28" s="3">
        <f>IFERROR(__xludf.DUMMYFUNCTION("""COMPUTED_VALUE"""),52.4)</f>
        <v>52.4</v>
      </c>
      <c r="W28" s="3">
        <f>IFERROR(__xludf.DUMMYFUNCTION("""COMPUTED_VALUE"""),159.12)</f>
        <v>159.12</v>
      </c>
      <c r="X28" s="3">
        <f>IFERROR(__xludf.DUMMYFUNCTION("""COMPUTED_VALUE"""),153.33)</f>
        <v>153.33</v>
      </c>
      <c r="Y28" s="1">
        <f>IFERROR(__xludf.DUMMYFUNCTION("""COMPUTED_VALUE"""),334.8)</f>
        <v>334.8</v>
      </c>
      <c r="Z28" s="1">
        <f>IFERROR(__xludf.DUMMYFUNCTION("""COMPUTED_VALUE"""),34.77)</f>
        <v>34.77</v>
      </c>
      <c r="AA28" s="1">
        <f>IFERROR(__xludf.DUMMYFUNCTION("""COMPUTED_VALUE"""),62.63)</f>
        <v>62.63</v>
      </c>
      <c r="AB28" s="1">
        <f>IFERROR(__xludf.DUMMYFUNCTION("""COMPUTED_VALUE"""),90.39)</f>
        <v>90.39</v>
      </c>
      <c r="AC28" s="1">
        <f>IFERROR(__xludf.DUMMYFUNCTION("""COMPUTED_VALUE"""),149.56)</f>
        <v>149.56</v>
      </c>
      <c r="AD28" s="3">
        <f>IFERROR(__xludf.DUMMYFUNCTION("""COMPUTED_VALUE"""),107.24)</f>
        <v>107.24</v>
      </c>
      <c r="AE28" s="1">
        <f>IFERROR(__xludf.DUMMYFUNCTION("""COMPUTED_VALUE"""),533.64)</f>
        <v>533.64</v>
      </c>
      <c r="AF28" s="1">
        <f>IFERROR(__xludf.DUMMYFUNCTION("""COMPUTED_VALUE"""),54.55)</f>
        <v>54.55</v>
      </c>
      <c r="AG28" s="1">
        <f>IFERROR(__xludf.DUMMYFUNCTION("""COMPUTED_VALUE"""),109.38)</f>
        <v>109.38</v>
      </c>
      <c r="AH28" s="3">
        <f>IFERROR(__xludf.DUMMYFUNCTION("""COMPUTED_VALUE"""),248.09)</f>
        <v>248.09</v>
      </c>
      <c r="AI28" s="1">
        <f>IFERROR(__xludf.DUMMYFUNCTION("""COMPUTED_VALUE"""),414.36)</f>
        <v>414.36</v>
      </c>
      <c r="AJ28" s="1">
        <f>IFERROR(__xludf.DUMMYFUNCTION("""COMPUTED_VALUE"""),298.0)</f>
        <v>298</v>
      </c>
      <c r="AK28" s="3">
        <f>IFERROR(__xludf.DUMMYFUNCTION("""COMPUTED_VALUE"""),47.44)</f>
        <v>47.44</v>
      </c>
      <c r="AL28" s="1">
        <f>IFERROR(__xludf.DUMMYFUNCTION("""COMPUTED_VALUE"""),63.15)</f>
        <v>63.15</v>
      </c>
      <c r="AM28" s="1">
        <f>IFERROR(__xludf.DUMMYFUNCTION("""COMPUTED_VALUE"""),457.43)</f>
        <v>457.43</v>
      </c>
      <c r="AN28" s="1">
        <f>IFERROR(__xludf.DUMMYFUNCTION("""COMPUTED_VALUE"""),353.87)</f>
        <v>353.87</v>
      </c>
      <c r="AO28" s="1">
        <f>IFERROR(__xludf.DUMMYFUNCTION("""COMPUTED_VALUE"""),96.75)</f>
        <v>96.75</v>
      </c>
      <c r="AP28" s="1">
        <f>IFERROR(__xludf.DUMMYFUNCTION("""COMPUTED_VALUE"""),136.38)</f>
        <v>136.38</v>
      </c>
      <c r="AQ28" s="1">
        <f>IFERROR(__xludf.DUMMYFUNCTION("""COMPUTED_VALUE"""),435.0)</f>
        <v>435</v>
      </c>
      <c r="AR28" s="3">
        <f>IFERROR(__xludf.DUMMYFUNCTION("""COMPUTED_VALUE"""),197.0)</f>
        <v>197</v>
      </c>
      <c r="AS28" s="3">
        <f>IFERROR(__xludf.DUMMYFUNCTION("""COMPUTED_VALUE"""),460.0)</f>
        <v>460</v>
      </c>
      <c r="AT28" s="3">
        <f>IFERROR(__xludf.DUMMYFUNCTION("""COMPUTED_VALUE"""),313.23)</f>
        <v>313.23</v>
      </c>
      <c r="AU28" s="1">
        <f>IFERROR(__xludf.DUMMYFUNCTION("""COMPUTED_VALUE"""),25.55)</f>
        <v>25.55</v>
      </c>
      <c r="AV28" s="1">
        <f>IFERROR(__xludf.DUMMYFUNCTION("""COMPUTED_VALUE"""),79.75)</f>
        <v>79.75</v>
      </c>
      <c r="AW28" s="1">
        <f>IFERROR(__xludf.DUMMYFUNCTION("""COMPUTED_VALUE"""),69.86)</f>
        <v>69.86</v>
      </c>
      <c r="AX28" s="1">
        <f>IFERROR(__xludf.DUMMYFUNCTION("""COMPUTED_VALUE"""),13.4)</f>
        <v>13.4</v>
      </c>
      <c r="AY28" s="1">
        <f>IFERROR(__xludf.DUMMYFUNCTION("""COMPUTED_VALUE"""),446.34)</f>
        <v>446.34</v>
      </c>
      <c r="AZ28" s="3">
        <f>IFERROR(__xludf.DUMMYFUNCTION("""COMPUTED_VALUE"""),70.44)</f>
        <v>70.44</v>
      </c>
      <c r="BA28" s="3">
        <f>IFERROR(__xludf.DUMMYFUNCTION("""COMPUTED_VALUE"""),79.92)</f>
        <v>79.92</v>
      </c>
      <c r="BB28" s="3">
        <f>IFERROR(__xludf.DUMMYFUNCTION("""COMPUTED_VALUE"""),135.58)</f>
        <v>135.58</v>
      </c>
      <c r="BC28" s="1">
        <f>IFERROR(__xludf.DUMMYFUNCTION("""COMPUTED_VALUE"""),96.5)</f>
        <v>96.5</v>
      </c>
      <c r="BD28" s="1">
        <f>IFERROR(__xludf.DUMMYFUNCTION("""COMPUTED_VALUE"""),42.23)</f>
        <v>42.23</v>
      </c>
      <c r="BE28" s="1">
        <f>IFERROR(__xludf.DUMMYFUNCTION("""COMPUTED_VALUE"""),25.82)</f>
        <v>25.82</v>
      </c>
      <c r="BF28" s="1">
        <f>IFERROR(__xludf.DUMMYFUNCTION("""COMPUTED_VALUE"""),59.12)</f>
        <v>59.12</v>
      </c>
      <c r="BG28" s="1">
        <f>IFERROR(__xludf.DUMMYFUNCTION("""COMPUTED_VALUE"""),27.41)</f>
        <v>27.41</v>
      </c>
      <c r="BH28" s="1">
        <f>IFERROR(__xludf.DUMMYFUNCTION("""COMPUTED_VALUE"""),104.77)</f>
        <v>104.77</v>
      </c>
      <c r="BI28" s="1">
        <f>IFERROR(__xludf.DUMMYFUNCTION("""COMPUTED_VALUE"""),37.72)</f>
        <v>37.72</v>
      </c>
      <c r="BJ28" s="1">
        <f>IFERROR(__xludf.DUMMYFUNCTION("""COMPUTED_VALUE"""),177.61)</f>
        <v>177.61</v>
      </c>
      <c r="BK28" s="1">
        <f>IFERROR(__xludf.DUMMYFUNCTION("""COMPUTED_VALUE"""),569.17)</f>
        <v>569.17</v>
      </c>
      <c r="BL28" s="1">
        <f>IFERROR(__xludf.DUMMYFUNCTION("""COMPUTED_VALUE"""),194.14)</f>
        <v>194.14</v>
      </c>
      <c r="BM28" s="1">
        <f>IFERROR(__xludf.DUMMYFUNCTION("""COMPUTED_VALUE"""),145.96)</f>
        <v>145.96</v>
      </c>
      <c r="BN28" s="3">
        <f>IFERROR(__xludf.DUMMYFUNCTION("""COMPUTED_VALUE"""),6.95)</f>
        <v>6.95</v>
      </c>
      <c r="BO28" s="1">
        <f>IFERROR(__xludf.DUMMYFUNCTION("""COMPUTED_VALUE"""),222.58)</f>
        <v>222.58</v>
      </c>
      <c r="BP28" s="1">
        <f>IFERROR(__xludf.DUMMYFUNCTION("""COMPUTED_VALUE"""),481.05)</f>
        <v>481.05</v>
      </c>
      <c r="BQ28" s="36">
        <f>IFERROR(__xludf.DUMMYFUNCTION("""COMPUTED_VALUE"""),48.45)</f>
        <v>48.45</v>
      </c>
      <c r="BR28" s="1">
        <f>IFERROR(__xludf.DUMMYFUNCTION("""COMPUTED_VALUE"""),10.05)</f>
        <v>10.05</v>
      </c>
      <c r="BS28" s="1">
        <f>IFERROR(__xludf.DUMMYFUNCTION("""COMPUTED_VALUE"""),207.89)</f>
        <v>207.89</v>
      </c>
      <c r="BT28" s="1">
        <f>IFERROR(__xludf.DUMMYFUNCTION("""COMPUTED_VALUE"""),101.5)</f>
        <v>101.5</v>
      </c>
      <c r="BU28" s="3">
        <v>1.0</v>
      </c>
    </row>
    <row r="29">
      <c r="A29" s="25">
        <f>IFERROR(__xludf.DUMMYFUNCTION("""COMPUTED_VALUE"""),45463.66666666667)</f>
        <v>45463.66667</v>
      </c>
      <c r="B29" s="29">
        <f>'Master Scratch Work'!B28</f>
        <v>1240970.21</v>
      </c>
      <c r="C29" s="15">
        <f>IFERROR(__xludf.DUMMYFUNCTION("""COMPUTED_VALUE"""),5473.17)</f>
        <v>5473.17</v>
      </c>
      <c r="D29" s="15">
        <f>IFERROR(__xludf.DUMMYFUNCTION("""COMPUTED_VALUE"""),17721.59)</f>
        <v>17721.59</v>
      </c>
      <c r="E29" s="15">
        <f>IFERROR(__xludf.DUMMYFUNCTION("""COMPUTED_VALUE"""),39134.76)</f>
        <v>39134.76</v>
      </c>
      <c r="F29" s="15">
        <f>IFERROR(__xludf.DUMMYFUNCTION("""COMPUTED_VALUE"""),2017.39)</f>
        <v>2017.39</v>
      </c>
      <c r="G29" s="3">
        <f>IFERROR(__xludf.DUMMYFUNCTION("""COMPUTED_VALUE"""),547.0)</f>
        <v>547</v>
      </c>
      <c r="H29" s="3">
        <f>IFERROR(__xludf.DUMMYFUNCTION("""COMPUTED_VALUE"""),481.47)</f>
        <v>481.47</v>
      </c>
      <c r="I29" s="3">
        <f>IFERROR(__xludf.DUMMYFUNCTION("""COMPUTED_VALUE"""),522.95)</f>
        <v>522.95</v>
      </c>
      <c r="J29" s="3">
        <f>IFERROR(__xludf.DUMMYFUNCTION("""COMPUTED_VALUE"""),186.1)</f>
        <v>186.1</v>
      </c>
      <c r="K29" s="3">
        <f>IFERROR(__xludf.DUMMYFUNCTION("""COMPUTED_VALUE"""),130.26)</f>
        <v>130.26</v>
      </c>
      <c r="L29" s="3">
        <f>IFERROR(__xludf.DUMMYFUNCTION("""COMPUTED_VALUE"""),209.68)</f>
        <v>209.68</v>
      </c>
      <c r="M29" s="3">
        <f>IFERROR(__xludf.DUMMYFUNCTION("""COMPUTED_VALUE"""),239.99)</f>
        <v>239.99</v>
      </c>
      <c r="N29" s="3">
        <f>IFERROR(__xludf.DUMMYFUNCTION("""COMPUTED_VALUE"""),58.84)</f>
        <v>58.84</v>
      </c>
      <c r="O29" s="3">
        <f>IFERROR(__xludf.DUMMYFUNCTION("""COMPUTED_VALUE"""),10.72)</f>
        <v>10.72</v>
      </c>
      <c r="P29" s="3">
        <f>IFERROR(__xludf.DUMMYFUNCTION("""COMPUTED_VALUE"""),409.15)</f>
        <v>409.15</v>
      </c>
      <c r="Q29" s="3">
        <f>IFERROR(__xludf.DUMMYFUNCTION("""COMPUTED_VALUE"""),57.21)</f>
        <v>57.21</v>
      </c>
      <c r="R29" s="3">
        <f>IFERROR(__xludf.DUMMYFUNCTION("""COMPUTED_VALUE"""),225.58)</f>
        <v>225.58</v>
      </c>
      <c r="S29" s="3">
        <f>IFERROR(__xludf.DUMMYFUNCTION("""COMPUTED_VALUE"""),77.0)</f>
        <v>77</v>
      </c>
      <c r="T29" s="3">
        <f>IFERROR(__xludf.DUMMYFUNCTION("""COMPUTED_VALUE"""),64.22)</f>
        <v>64.22</v>
      </c>
      <c r="U29" s="3">
        <f>IFERROR(__xludf.DUMMYFUNCTION("""COMPUTED_VALUE"""),329.13)</f>
        <v>329.13</v>
      </c>
      <c r="V29" s="3">
        <f>IFERROR(__xludf.DUMMYFUNCTION("""COMPUTED_VALUE"""),52.22)</f>
        <v>52.22</v>
      </c>
      <c r="W29" s="3">
        <f>IFERROR(__xludf.DUMMYFUNCTION("""COMPUTED_VALUE"""),158.72)</f>
        <v>158.72</v>
      </c>
      <c r="X29" s="3">
        <f>IFERROR(__xludf.DUMMYFUNCTION("""COMPUTED_VALUE"""),156.64)</f>
        <v>156.64</v>
      </c>
      <c r="Y29" s="1">
        <f>IFERROR(__xludf.DUMMYFUNCTION("""COMPUTED_VALUE"""),337.88)</f>
        <v>337.88</v>
      </c>
      <c r="Z29" s="1">
        <f>IFERROR(__xludf.DUMMYFUNCTION("""COMPUTED_VALUE"""),34.68)</f>
        <v>34.68</v>
      </c>
      <c r="AA29" s="1">
        <f>IFERROR(__xludf.DUMMYFUNCTION("""COMPUTED_VALUE"""),62.18)</f>
        <v>62.18</v>
      </c>
      <c r="AB29" s="1">
        <f>IFERROR(__xludf.DUMMYFUNCTION("""COMPUTED_VALUE"""),90.53)</f>
        <v>90.53</v>
      </c>
      <c r="AC29" s="1">
        <f>IFERROR(__xludf.DUMMYFUNCTION("""COMPUTED_VALUE"""),147.89)</f>
        <v>147.89</v>
      </c>
      <c r="AD29" s="3">
        <f>IFERROR(__xludf.DUMMYFUNCTION("""COMPUTED_VALUE"""),107.58)</f>
        <v>107.58</v>
      </c>
      <c r="AE29" s="1">
        <f>IFERROR(__xludf.DUMMYFUNCTION("""COMPUTED_VALUE"""),525.0)</f>
        <v>525</v>
      </c>
      <c r="AF29" s="1">
        <f>IFERROR(__xludf.DUMMYFUNCTION("""COMPUTED_VALUE"""),53.84)</f>
        <v>53.84</v>
      </c>
      <c r="AG29" s="1">
        <f>IFERROR(__xludf.DUMMYFUNCTION("""COMPUTED_VALUE"""),111.74)</f>
        <v>111.74</v>
      </c>
      <c r="AH29" s="3">
        <f>IFERROR(__xludf.DUMMYFUNCTION("""COMPUTED_VALUE"""),252.52)</f>
        <v>252.52</v>
      </c>
      <c r="AI29" s="1">
        <f>IFERROR(__xludf.DUMMYFUNCTION("""COMPUTED_VALUE"""),420.09)</f>
        <v>420.09</v>
      </c>
      <c r="AJ29" s="1">
        <f>IFERROR(__xludf.DUMMYFUNCTION("""COMPUTED_VALUE"""),299.63)</f>
        <v>299.63</v>
      </c>
      <c r="AK29" s="3">
        <f>IFERROR(__xludf.DUMMYFUNCTION("""COMPUTED_VALUE"""),47.77)</f>
        <v>47.77</v>
      </c>
      <c r="AL29" s="1">
        <f>IFERROR(__xludf.DUMMYFUNCTION("""COMPUTED_VALUE"""),68.49)</f>
        <v>68.49</v>
      </c>
      <c r="AM29" s="1">
        <f>IFERROR(__xludf.DUMMYFUNCTION("""COMPUTED_VALUE"""),458.05)</f>
        <v>458.05</v>
      </c>
      <c r="AN29" s="1">
        <f>IFERROR(__xludf.DUMMYFUNCTION("""COMPUTED_VALUE"""),353.44)</f>
        <v>353.44</v>
      </c>
      <c r="AO29" s="1">
        <f>IFERROR(__xludf.DUMMYFUNCTION("""COMPUTED_VALUE"""),97.03)</f>
        <v>97.03</v>
      </c>
      <c r="AP29" s="1">
        <f>IFERROR(__xludf.DUMMYFUNCTION("""COMPUTED_VALUE"""),137.11)</f>
        <v>137.11</v>
      </c>
      <c r="AQ29" s="1">
        <f>IFERROR(__xludf.DUMMYFUNCTION("""COMPUTED_VALUE"""),432.55)</f>
        <v>432.55</v>
      </c>
      <c r="AR29" s="3">
        <f>IFERROR(__xludf.DUMMYFUNCTION("""COMPUTED_VALUE"""),198.67)</f>
        <v>198.67</v>
      </c>
      <c r="AS29" s="3">
        <f>IFERROR(__xludf.DUMMYFUNCTION("""COMPUTED_VALUE"""),466.34)</f>
        <v>466.34</v>
      </c>
      <c r="AT29" s="3">
        <f>IFERROR(__xludf.DUMMYFUNCTION("""COMPUTED_VALUE"""),310.77)</f>
        <v>310.77</v>
      </c>
      <c r="AU29" s="1">
        <f>IFERROR(__xludf.DUMMYFUNCTION("""COMPUTED_VALUE"""),25.74)</f>
        <v>25.74</v>
      </c>
      <c r="AV29" s="1">
        <f>IFERROR(__xludf.DUMMYFUNCTION("""COMPUTED_VALUE"""),80.17)</f>
        <v>80.17</v>
      </c>
      <c r="AW29" s="1">
        <f>IFERROR(__xludf.DUMMYFUNCTION("""COMPUTED_VALUE"""),70.85)</f>
        <v>70.85</v>
      </c>
      <c r="AX29" s="1">
        <f>IFERROR(__xludf.DUMMYFUNCTION("""COMPUTED_VALUE"""),13.67)</f>
        <v>13.67</v>
      </c>
      <c r="AY29" s="1">
        <f>IFERROR(__xludf.DUMMYFUNCTION("""COMPUTED_VALUE"""),445.7)</f>
        <v>445.7</v>
      </c>
      <c r="AZ29" s="3">
        <f>IFERROR(__xludf.DUMMYFUNCTION("""COMPUTED_VALUE"""),72.46)</f>
        <v>72.46</v>
      </c>
      <c r="BA29" s="3">
        <f>IFERROR(__xludf.DUMMYFUNCTION("""COMPUTED_VALUE"""),80.72)</f>
        <v>80.72</v>
      </c>
      <c r="BB29" s="3">
        <f>IFERROR(__xludf.DUMMYFUNCTION("""COMPUTED_VALUE"""),130.78)</f>
        <v>130.78</v>
      </c>
      <c r="BC29" s="1">
        <f>IFERROR(__xludf.DUMMYFUNCTION("""COMPUTED_VALUE"""),96.6)</f>
        <v>96.6</v>
      </c>
      <c r="BD29" s="1">
        <f>IFERROR(__xludf.DUMMYFUNCTION("""COMPUTED_VALUE"""),41.73)</f>
        <v>41.73</v>
      </c>
      <c r="BE29" s="1">
        <f>IFERROR(__xludf.DUMMYFUNCTION("""COMPUTED_VALUE"""),25.56)</f>
        <v>25.56</v>
      </c>
      <c r="BF29" s="1">
        <f>IFERROR(__xludf.DUMMYFUNCTION("""COMPUTED_VALUE"""),59.8)</f>
        <v>59.8</v>
      </c>
      <c r="BG29" s="1">
        <f>IFERROR(__xludf.DUMMYFUNCTION("""COMPUTED_VALUE"""),27.74)</f>
        <v>27.74</v>
      </c>
      <c r="BH29" s="1">
        <f>IFERROR(__xludf.DUMMYFUNCTION("""COMPUTED_VALUE"""),105.07)</f>
        <v>105.07</v>
      </c>
      <c r="BI29" s="1">
        <f>IFERROR(__xludf.DUMMYFUNCTION("""COMPUTED_VALUE"""),37.54)</f>
        <v>37.54</v>
      </c>
      <c r="BJ29" s="1">
        <f>IFERROR(__xludf.DUMMYFUNCTION("""COMPUTED_VALUE"""),176.44)</f>
        <v>176.44</v>
      </c>
      <c r="BK29" s="1">
        <f>IFERROR(__xludf.DUMMYFUNCTION("""COMPUTED_VALUE"""),557.21)</f>
        <v>557.21</v>
      </c>
      <c r="BL29" s="1">
        <f>IFERROR(__xludf.DUMMYFUNCTION("""COMPUTED_VALUE"""),194.54)</f>
        <v>194.54</v>
      </c>
      <c r="BM29" s="1">
        <f>IFERROR(__xludf.DUMMYFUNCTION("""COMPUTED_VALUE"""),144.0)</f>
        <v>144</v>
      </c>
      <c r="BN29" s="3">
        <f>IFERROR(__xludf.DUMMYFUNCTION("""COMPUTED_VALUE"""),6.99)</f>
        <v>6.99</v>
      </c>
      <c r="BO29" s="1">
        <f>IFERROR(__xludf.DUMMYFUNCTION("""COMPUTED_VALUE"""),225.17)</f>
        <v>225.17</v>
      </c>
      <c r="BP29" s="1">
        <f>IFERROR(__xludf.DUMMYFUNCTION("""COMPUTED_VALUE"""),484.52)</f>
        <v>484.52</v>
      </c>
      <c r="BQ29" s="36">
        <f>IFERROR(__xludf.DUMMYFUNCTION("""COMPUTED_VALUE"""),48.48)</f>
        <v>48.48</v>
      </c>
      <c r="BR29" s="1">
        <f>IFERROR(__xludf.DUMMYFUNCTION("""COMPUTED_VALUE"""),10.26)</f>
        <v>10.26</v>
      </c>
      <c r="BS29" s="1">
        <f>IFERROR(__xludf.DUMMYFUNCTION("""COMPUTED_VALUE"""),208.77)</f>
        <v>208.77</v>
      </c>
      <c r="BT29" s="1">
        <f>IFERROR(__xludf.DUMMYFUNCTION("""COMPUTED_VALUE"""),101.84)</f>
        <v>101.84</v>
      </c>
      <c r="BU29" s="3">
        <v>1.0</v>
      </c>
    </row>
    <row r="30">
      <c r="A30" s="25">
        <f>IFERROR(__xludf.DUMMYFUNCTION("""COMPUTED_VALUE"""),45464.66666666667)</f>
        <v>45464.66667</v>
      </c>
      <c r="B30" s="29">
        <f>'Master Scratch Work'!B29</f>
        <v>1237801.28</v>
      </c>
      <c r="C30" s="15">
        <f>IFERROR(__xludf.DUMMYFUNCTION("""COMPUTED_VALUE"""),5464.62)</f>
        <v>5464.62</v>
      </c>
      <c r="D30" s="15">
        <f>IFERROR(__xludf.DUMMYFUNCTION("""COMPUTED_VALUE"""),17689.36)</f>
        <v>17689.36</v>
      </c>
      <c r="E30" s="15">
        <f>IFERROR(__xludf.DUMMYFUNCTION("""COMPUTED_VALUE"""),39150.33)</f>
        <v>39150.33</v>
      </c>
      <c r="F30" s="15">
        <f>IFERROR(__xludf.DUMMYFUNCTION("""COMPUTED_VALUE"""),2022.03)</f>
        <v>2022.03</v>
      </c>
      <c r="G30" s="3">
        <f>IFERROR(__xludf.DUMMYFUNCTION("""COMPUTED_VALUE"""),544.51)</f>
        <v>544.51</v>
      </c>
      <c r="H30" s="3">
        <f>IFERROR(__xludf.DUMMYFUNCTION("""COMPUTED_VALUE"""),480.18)</f>
        <v>480.18</v>
      </c>
      <c r="I30" s="3">
        <f>IFERROR(__xludf.DUMMYFUNCTION("""COMPUTED_VALUE"""),533.44)</f>
        <v>533.44</v>
      </c>
      <c r="J30" s="3">
        <f>IFERROR(__xludf.DUMMYFUNCTION("""COMPUTED_VALUE"""),189.08)</f>
        <v>189.08</v>
      </c>
      <c r="K30" s="3">
        <f>IFERROR(__xludf.DUMMYFUNCTION("""COMPUTED_VALUE"""),130.54)</f>
        <v>130.54</v>
      </c>
      <c r="L30" s="3">
        <f>IFERROR(__xludf.DUMMYFUNCTION("""COMPUTED_VALUE"""),207.49)</f>
        <v>207.49</v>
      </c>
      <c r="M30" s="3">
        <f>IFERROR(__xludf.DUMMYFUNCTION("""COMPUTED_VALUE"""),235.41)</f>
        <v>235.41</v>
      </c>
      <c r="N30" s="3">
        <f>IFERROR(__xludf.DUMMYFUNCTION("""COMPUTED_VALUE"""),58.82)</f>
        <v>58.82</v>
      </c>
      <c r="O30" s="3">
        <f>IFERROR(__xludf.DUMMYFUNCTION("""COMPUTED_VALUE"""),10.44)</f>
        <v>10.44</v>
      </c>
      <c r="P30" s="3">
        <f>IFERROR(__xludf.DUMMYFUNCTION("""COMPUTED_VALUE"""),409.62)</f>
        <v>409.62</v>
      </c>
      <c r="Q30" s="3">
        <f>IFERROR(__xludf.DUMMYFUNCTION("""COMPUTED_VALUE"""),56.58)</f>
        <v>56.58</v>
      </c>
      <c r="R30" s="3">
        <f>IFERROR(__xludf.DUMMYFUNCTION("""COMPUTED_VALUE"""),224.0)</f>
        <v>224</v>
      </c>
      <c r="S30" s="3">
        <f>IFERROR(__xludf.DUMMYFUNCTION("""COMPUTED_VALUE"""),77.71)</f>
        <v>77.71</v>
      </c>
      <c r="T30" s="3">
        <f>IFERROR(__xludf.DUMMYFUNCTION("""COMPUTED_VALUE"""),62.88)</f>
        <v>62.88</v>
      </c>
      <c r="U30" s="3">
        <f>IFERROR(__xludf.DUMMYFUNCTION("""COMPUTED_VALUE"""),327.84)</f>
        <v>327.84</v>
      </c>
      <c r="V30" s="3">
        <f>IFERROR(__xludf.DUMMYFUNCTION("""COMPUTED_VALUE"""),51.57)</f>
        <v>51.57</v>
      </c>
      <c r="W30" s="3">
        <f>IFERROR(__xludf.DUMMYFUNCTION("""COMPUTED_VALUE"""),158.85)</f>
        <v>158.85</v>
      </c>
      <c r="X30" s="3">
        <f>IFERROR(__xludf.DUMMYFUNCTION("""COMPUTED_VALUE"""),155.28)</f>
        <v>155.28</v>
      </c>
      <c r="Y30" s="1">
        <f>IFERROR(__xludf.DUMMYFUNCTION("""COMPUTED_VALUE"""),339.98)</f>
        <v>339.98</v>
      </c>
      <c r="Z30" s="1">
        <f>IFERROR(__xludf.DUMMYFUNCTION("""COMPUTED_VALUE"""),34.77)</f>
        <v>34.77</v>
      </c>
      <c r="AA30" s="1">
        <f>IFERROR(__xludf.DUMMYFUNCTION("""COMPUTED_VALUE"""),62.77)</f>
        <v>62.77</v>
      </c>
      <c r="AB30" s="1">
        <f>IFERROR(__xludf.DUMMYFUNCTION("""COMPUTED_VALUE"""),90.34)</f>
        <v>90.34</v>
      </c>
      <c r="AC30" s="1">
        <f>IFERROR(__xludf.DUMMYFUNCTION("""COMPUTED_VALUE"""),148.35)</f>
        <v>148.35</v>
      </c>
      <c r="AD30" s="3">
        <f>IFERROR(__xludf.DUMMYFUNCTION("""COMPUTED_VALUE"""),106.87)</f>
        <v>106.87</v>
      </c>
      <c r="AE30" s="1">
        <f>IFERROR(__xludf.DUMMYFUNCTION("""COMPUTED_VALUE"""),521.83)</f>
        <v>521.83</v>
      </c>
      <c r="AF30" s="1">
        <f>IFERROR(__xludf.DUMMYFUNCTION("""COMPUTED_VALUE"""),54.15)</f>
        <v>54.15</v>
      </c>
      <c r="AG30" s="1">
        <f>IFERROR(__xludf.DUMMYFUNCTION("""COMPUTED_VALUE"""),110.76)</f>
        <v>110.76</v>
      </c>
      <c r="AH30" s="3">
        <f>IFERROR(__xludf.DUMMYFUNCTION("""COMPUTED_VALUE"""),253.66)</f>
        <v>253.66</v>
      </c>
      <c r="AI30" s="1">
        <f>IFERROR(__xludf.DUMMYFUNCTION("""COMPUTED_VALUE"""),414.65)</f>
        <v>414.65</v>
      </c>
      <c r="AJ30" s="1">
        <f>IFERROR(__xludf.DUMMYFUNCTION("""COMPUTED_VALUE"""),298.25)</f>
        <v>298.25</v>
      </c>
      <c r="AK30" s="3">
        <f>IFERROR(__xludf.DUMMYFUNCTION("""COMPUTED_VALUE"""),47.72)</f>
        <v>47.72</v>
      </c>
      <c r="AL30" s="1">
        <f>IFERROR(__xludf.DUMMYFUNCTION("""COMPUTED_VALUE"""),70.67)</f>
        <v>70.67</v>
      </c>
      <c r="AM30" s="1">
        <f>IFERROR(__xludf.DUMMYFUNCTION("""COMPUTED_VALUE"""),450.18)</f>
        <v>450.18</v>
      </c>
      <c r="AN30" s="1">
        <f>IFERROR(__xludf.DUMMYFUNCTION("""COMPUTED_VALUE"""),355.8)</f>
        <v>355.8</v>
      </c>
      <c r="AO30" s="1">
        <f>IFERROR(__xludf.DUMMYFUNCTION("""COMPUTED_VALUE"""),98.16)</f>
        <v>98.16</v>
      </c>
      <c r="AP30" s="1">
        <f>IFERROR(__xludf.DUMMYFUNCTION("""COMPUTED_VALUE"""),137.84)</f>
        <v>137.84</v>
      </c>
      <c r="AQ30" s="1">
        <f>IFERROR(__xludf.DUMMYFUNCTION("""COMPUTED_VALUE"""),432.56)</f>
        <v>432.56</v>
      </c>
      <c r="AR30" s="3">
        <f>IFERROR(__xludf.DUMMYFUNCTION("""COMPUTED_VALUE"""),196.3)</f>
        <v>196.3</v>
      </c>
      <c r="AS30" s="3">
        <f>IFERROR(__xludf.DUMMYFUNCTION("""COMPUTED_VALUE"""),467.6)</f>
        <v>467.6</v>
      </c>
      <c r="AT30" s="3">
        <f>IFERROR(__xludf.DUMMYFUNCTION("""COMPUTED_VALUE"""),311.82)</f>
        <v>311.82</v>
      </c>
      <c r="AU30" s="1">
        <f>IFERROR(__xludf.DUMMYFUNCTION("""COMPUTED_VALUE"""),25.69)</f>
        <v>25.69</v>
      </c>
      <c r="AV30" s="1">
        <f>IFERROR(__xludf.DUMMYFUNCTION("""COMPUTED_VALUE"""),81.64)</f>
        <v>81.64</v>
      </c>
      <c r="AW30" s="1">
        <f>IFERROR(__xludf.DUMMYFUNCTION("""COMPUTED_VALUE"""),71.27)</f>
        <v>71.27</v>
      </c>
      <c r="AX30" s="1">
        <f>IFERROR(__xludf.DUMMYFUNCTION("""COMPUTED_VALUE"""),13.68)</f>
        <v>13.68</v>
      </c>
      <c r="AY30" s="1">
        <f>IFERROR(__xludf.DUMMYFUNCTION("""COMPUTED_VALUE"""),449.78)</f>
        <v>449.78</v>
      </c>
      <c r="AZ30" s="3">
        <f>IFERROR(__xludf.DUMMYFUNCTION("""COMPUTED_VALUE"""),72.81)</f>
        <v>72.81</v>
      </c>
      <c r="BA30" s="3">
        <f>IFERROR(__xludf.DUMMYFUNCTION("""COMPUTED_VALUE"""),80.02)</f>
        <v>80.02</v>
      </c>
      <c r="BB30" s="3">
        <f>IFERROR(__xludf.DUMMYFUNCTION("""COMPUTED_VALUE"""),126.57)</f>
        <v>126.57</v>
      </c>
      <c r="BC30" s="1">
        <f>IFERROR(__xludf.DUMMYFUNCTION("""COMPUTED_VALUE"""),95.92)</f>
        <v>95.92</v>
      </c>
      <c r="BD30" s="1">
        <f>IFERROR(__xludf.DUMMYFUNCTION("""COMPUTED_VALUE"""),39.72)</f>
        <v>39.72</v>
      </c>
      <c r="BE30" s="1">
        <f>IFERROR(__xludf.DUMMYFUNCTION("""COMPUTED_VALUE"""),23.84)</f>
        <v>23.84</v>
      </c>
      <c r="BF30" s="1">
        <f>IFERROR(__xludf.DUMMYFUNCTION("""COMPUTED_VALUE"""),60.61)</f>
        <v>60.61</v>
      </c>
      <c r="BG30" s="1">
        <f>IFERROR(__xludf.DUMMYFUNCTION("""COMPUTED_VALUE"""),27.74)</f>
        <v>27.74</v>
      </c>
      <c r="BH30" s="1">
        <f>IFERROR(__xludf.DUMMYFUNCTION("""COMPUTED_VALUE"""),105.61)</f>
        <v>105.61</v>
      </c>
      <c r="BI30" s="1">
        <f>IFERROR(__xludf.DUMMYFUNCTION("""COMPUTED_VALUE"""),38.21)</f>
        <v>38.21</v>
      </c>
      <c r="BJ30" s="1">
        <f>IFERROR(__xludf.DUMMYFUNCTION("""COMPUTED_VALUE"""),176.73)</f>
        <v>176.73</v>
      </c>
      <c r="BK30" s="1">
        <f>IFERROR(__xludf.DUMMYFUNCTION("""COMPUTED_VALUE"""),564.6)</f>
        <v>564.6</v>
      </c>
      <c r="BL30" s="1">
        <f>IFERROR(__xludf.DUMMYFUNCTION("""COMPUTED_VALUE"""),193.58)</f>
        <v>193.58</v>
      </c>
      <c r="BM30" s="1">
        <f>IFERROR(__xludf.DUMMYFUNCTION("""COMPUTED_VALUE"""),139.04)</f>
        <v>139.04</v>
      </c>
      <c r="BN30" s="3">
        <f>IFERROR(__xludf.DUMMYFUNCTION("""COMPUTED_VALUE"""),6.99)</f>
        <v>6.99</v>
      </c>
      <c r="BO30" s="1">
        <f>IFERROR(__xludf.DUMMYFUNCTION("""COMPUTED_VALUE"""),226.11)</f>
        <v>226.11</v>
      </c>
      <c r="BP30" s="1">
        <f>IFERROR(__xludf.DUMMYFUNCTION("""COMPUTED_VALUE"""),482.59)</f>
        <v>482.59</v>
      </c>
      <c r="BQ30" s="36">
        <f>IFERROR(__xludf.DUMMYFUNCTION("""COMPUTED_VALUE"""),48.46)</f>
        <v>48.46</v>
      </c>
      <c r="BR30" s="1">
        <f>IFERROR(__xludf.DUMMYFUNCTION("""COMPUTED_VALUE"""),10.47)</f>
        <v>10.47</v>
      </c>
      <c r="BS30" s="1">
        <f>IFERROR(__xludf.DUMMYFUNCTION("""COMPUTED_VALUE"""),208.99)</f>
        <v>208.99</v>
      </c>
      <c r="BT30" s="1">
        <f>IFERROR(__xludf.DUMMYFUNCTION("""COMPUTED_VALUE"""),102.27)</f>
        <v>102.27</v>
      </c>
      <c r="BU30" s="3">
        <v>1.0</v>
      </c>
    </row>
    <row r="31">
      <c r="A31" s="25">
        <f>IFERROR(__xludf.DUMMYFUNCTION("""COMPUTED_VALUE"""),45467.66666666667)</f>
        <v>45467.66667</v>
      </c>
      <c r="B31" s="29">
        <f>'Master Scratch Work'!B30</f>
        <v>1238339.38</v>
      </c>
      <c r="C31" s="15">
        <f>IFERROR(__xludf.DUMMYFUNCTION("""COMPUTED_VALUE"""),5447.87)</f>
        <v>5447.87</v>
      </c>
      <c r="D31" s="15">
        <f>IFERROR(__xludf.DUMMYFUNCTION("""COMPUTED_VALUE"""),17496.82)</f>
        <v>17496.82</v>
      </c>
      <c r="E31" s="15">
        <f>IFERROR(__xludf.DUMMYFUNCTION("""COMPUTED_VALUE"""),39411.21)</f>
        <v>39411.21</v>
      </c>
      <c r="F31" s="15">
        <f>IFERROR(__xludf.DUMMYFUNCTION("""COMPUTED_VALUE"""),2030.81)</f>
        <v>2030.81</v>
      </c>
      <c r="G31" s="3">
        <f>IFERROR(__xludf.DUMMYFUNCTION("""COMPUTED_VALUE"""),542.74)</f>
        <v>542.74</v>
      </c>
      <c r="H31" s="3">
        <f>IFERROR(__xludf.DUMMYFUNCTION("""COMPUTED_VALUE"""),473.96)</f>
        <v>473.96</v>
      </c>
      <c r="I31" s="3">
        <f>IFERROR(__xludf.DUMMYFUNCTION("""COMPUTED_VALUE"""),524.17)</f>
        <v>524.17</v>
      </c>
      <c r="J31" s="3">
        <f>IFERROR(__xludf.DUMMYFUNCTION("""COMPUTED_VALUE"""),185.57)</f>
        <v>185.57</v>
      </c>
      <c r="K31" s="3">
        <f>IFERROR(__xludf.DUMMYFUNCTION("""COMPUTED_VALUE"""),132.18)</f>
        <v>132.18</v>
      </c>
      <c r="L31" s="3">
        <f>IFERROR(__xludf.DUMMYFUNCTION("""COMPUTED_VALUE"""),208.14)</f>
        <v>208.14</v>
      </c>
      <c r="M31" s="3">
        <f>IFERROR(__xludf.DUMMYFUNCTION("""COMPUTED_VALUE"""),229.84)</f>
        <v>229.84</v>
      </c>
      <c r="N31" s="3">
        <f>IFERROR(__xludf.DUMMYFUNCTION("""COMPUTED_VALUE"""),59.48)</f>
        <v>59.48</v>
      </c>
      <c r="O31" s="3">
        <f>IFERROR(__xludf.DUMMYFUNCTION("""COMPUTED_VALUE"""),10.63)</f>
        <v>10.63</v>
      </c>
      <c r="P31" s="3">
        <f>IFERROR(__xludf.DUMMYFUNCTION("""COMPUTED_VALUE"""),413.98)</f>
        <v>413.98</v>
      </c>
      <c r="Q31" s="3">
        <f>IFERROR(__xludf.DUMMYFUNCTION("""COMPUTED_VALUE"""),56.69)</f>
        <v>56.69</v>
      </c>
      <c r="R31" s="3">
        <f>IFERROR(__xludf.DUMMYFUNCTION("""COMPUTED_VALUE"""),226.6)</f>
        <v>226.6</v>
      </c>
      <c r="S31" s="3">
        <f>IFERROR(__xludf.DUMMYFUNCTION("""COMPUTED_VALUE"""),76.71)</f>
        <v>76.71</v>
      </c>
      <c r="T31" s="3">
        <f>IFERROR(__xludf.DUMMYFUNCTION("""COMPUTED_VALUE"""),64.63)</f>
        <v>64.63</v>
      </c>
      <c r="U31" s="3">
        <f>IFERROR(__xludf.DUMMYFUNCTION("""COMPUTED_VALUE"""),330.0)</f>
        <v>330</v>
      </c>
      <c r="V31" s="3">
        <f>IFERROR(__xludf.DUMMYFUNCTION("""COMPUTED_VALUE"""),50.44)</f>
        <v>50.44</v>
      </c>
      <c r="W31" s="3">
        <f>IFERROR(__xludf.DUMMYFUNCTION("""COMPUTED_VALUE"""),155.98)</f>
        <v>155.98</v>
      </c>
      <c r="X31" s="3">
        <f>IFERROR(__xludf.DUMMYFUNCTION("""COMPUTED_VALUE"""),159.31)</f>
        <v>159.31</v>
      </c>
      <c r="Y31" s="1">
        <f>IFERROR(__xludf.DUMMYFUNCTION("""COMPUTED_VALUE"""),343.14)</f>
        <v>343.14</v>
      </c>
      <c r="Z31" s="1">
        <f>IFERROR(__xludf.DUMMYFUNCTION("""COMPUTED_VALUE"""),35.39)</f>
        <v>35.39</v>
      </c>
      <c r="AA31" s="1">
        <f>IFERROR(__xludf.DUMMYFUNCTION("""COMPUTED_VALUE"""),63.97)</f>
        <v>63.97</v>
      </c>
      <c r="AB31" s="1">
        <f>IFERROR(__xludf.DUMMYFUNCTION("""COMPUTED_VALUE"""),91.27)</f>
        <v>91.27</v>
      </c>
      <c r="AC31" s="1">
        <f>IFERROR(__xludf.DUMMYFUNCTION("""COMPUTED_VALUE"""),147.01)</f>
        <v>147.01</v>
      </c>
      <c r="AD31" s="3">
        <f>IFERROR(__xludf.DUMMYFUNCTION("""COMPUTED_VALUE"""),107.35)</f>
        <v>107.35</v>
      </c>
      <c r="AE31" s="1">
        <f>IFERROR(__xludf.DUMMYFUNCTION("""COMPUTED_VALUE"""),533.42)</f>
        <v>533.42</v>
      </c>
      <c r="AF31" s="1">
        <f>IFERROR(__xludf.DUMMYFUNCTION("""COMPUTED_VALUE"""),54.01)</f>
        <v>54.01</v>
      </c>
      <c r="AG31" s="1">
        <f>IFERROR(__xludf.DUMMYFUNCTION("""COMPUTED_VALUE"""),114.05)</f>
        <v>114.05</v>
      </c>
      <c r="AH31" s="3">
        <f>IFERROR(__xludf.DUMMYFUNCTION("""COMPUTED_VALUE"""),256.51)</f>
        <v>256.51</v>
      </c>
      <c r="AI31" s="1">
        <f>IFERROR(__xludf.DUMMYFUNCTION("""COMPUTED_VALUE"""),421.68)</f>
        <v>421.68</v>
      </c>
      <c r="AJ31" s="1">
        <f>IFERROR(__xludf.DUMMYFUNCTION("""COMPUTED_VALUE"""),298.53)</f>
        <v>298.53</v>
      </c>
      <c r="AK31" s="3">
        <f>IFERROR(__xludf.DUMMYFUNCTION("""COMPUTED_VALUE"""),48.11)</f>
        <v>48.11</v>
      </c>
      <c r="AL31" s="1">
        <f>IFERROR(__xludf.DUMMYFUNCTION("""COMPUTED_VALUE"""),70.73)</f>
        <v>70.73</v>
      </c>
      <c r="AM31" s="1">
        <f>IFERROR(__xludf.DUMMYFUNCTION("""COMPUTED_VALUE"""),462.09)</f>
        <v>462.09</v>
      </c>
      <c r="AN31" s="1">
        <f>IFERROR(__xludf.DUMMYFUNCTION("""COMPUTED_VALUE"""),350.88)</f>
        <v>350.88</v>
      </c>
      <c r="AO31" s="1">
        <f>IFERROR(__xludf.DUMMYFUNCTION("""COMPUTED_VALUE"""),97.52)</f>
        <v>97.52</v>
      </c>
      <c r="AP31" s="1">
        <f>IFERROR(__xludf.DUMMYFUNCTION("""COMPUTED_VALUE"""),138.72)</f>
        <v>138.72</v>
      </c>
      <c r="AQ31" s="1">
        <f>IFERROR(__xludf.DUMMYFUNCTION("""COMPUTED_VALUE"""),429.04)</f>
        <v>429.04</v>
      </c>
      <c r="AR31" s="3">
        <f>IFERROR(__xludf.DUMMYFUNCTION("""COMPUTED_VALUE"""),198.88)</f>
        <v>198.88</v>
      </c>
      <c r="AS31" s="3">
        <f>IFERROR(__xludf.DUMMYFUNCTION("""COMPUTED_VALUE"""),471.51)</f>
        <v>471.51</v>
      </c>
      <c r="AT31" s="3">
        <f>IFERROR(__xludf.DUMMYFUNCTION("""COMPUTED_VALUE"""),312.28)</f>
        <v>312.28</v>
      </c>
      <c r="AU31" s="1">
        <f>IFERROR(__xludf.DUMMYFUNCTION("""COMPUTED_VALUE"""),26.18)</f>
        <v>26.18</v>
      </c>
      <c r="AV31" s="1">
        <f>IFERROR(__xludf.DUMMYFUNCTION("""COMPUTED_VALUE"""),81.04)</f>
        <v>81.04</v>
      </c>
      <c r="AW31" s="1">
        <f>IFERROR(__xludf.DUMMYFUNCTION("""COMPUTED_VALUE"""),72.12)</f>
        <v>72.12</v>
      </c>
      <c r="AX31" s="1">
        <f>IFERROR(__xludf.DUMMYFUNCTION("""COMPUTED_VALUE"""),13.39)</f>
        <v>13.39</v>
      </c>
      <c r="AY31" s="1">
        <f>IFERROR(__xludf.DUMMYFUNCTION("""COMPUTED_VALUE"""),447.67)</f>
        <v>447.67</v>
      </c>
      <c r="AZ31" s="3">
        <f>IFERROR(__xludf.DUMMYFUNCTION("""COMPUTED_VALUE"""),73.85)</f>
        <v>73.85</v>
      </c>
      <c r="BA31" s="3">
        <f>IFERROR(__xludf.DUMMYFUNCTION("""COMPUTED_VALUE"""),81.56)</f>
        <v>81.56</v>
      </c>
      <c r="BB31" s="3">
        <f>IFERROR(__xludf.DUMMYFUNCTION("""COMPUTED_VALUE"""),118.11)</f>
        <v>118.11</v>
      </c>
      <c r="BC31" s="1">
        <f>IFERROR(__xludf.DUMMYFUNCTION("""COMPUTED_VALUE"""),96.87)</f>
        <v>96.87</v>
      </c>
      <c r="BD31" s="1">
        <f>IFERROR(__xludf.DUMMYFUNCTION("""COMPUTED_VALUE"""),39.03)</f>
        <v>39.03</v>
      </c>
      <c r="BE31" s="1">
        <f>IFERROR(__xludf.DUMMYFUNCTION("""COMPUTED_VALUE"""),24.16)</f>
        <v>24.16</v>
      </c>
      <c r="BF31" s="1">
        <f>IFERROR(__xludf.DUMMYFUNCTION("""COMPUTED_VALUE"""),59.49)</f>
        <v>59.49</v>
      </c>
      <c r="BG31" s="1">
        <f>IFERROR(__xludf.DUMMYFUNCTION("""COMPUTED_VALUE"""),28.36)</f>
        <v>28.36</v>
      </c>
      <c r="BH31" s="1">
        <f>IFERROR(__xludf.DUMMYFUNCTION("""COMPUTED_VALUE"""),101.96)</f>
        <v>101.96</v>
      </c>
      <c r="BI31" s="1">
        <f>IFERROR(__xludf.DUMMYFUNCTION("""COMPUTED_VALUE"""),38.5)</f>
        <v>38.5</v>
      </c>
      <c r="BJ31" s="1">
        <f>IFERROR(__xludf.DUMMYFUNCTION("""COMPUTED_VALUE"""),177.95)</f>
        <v>177.95</v>
      </c>
      <c r="BK31" s="1">
        <f>IFERROR(__xludf.DUMMYFUNCTION("""COMPUTED_VALUE"""),565.95)</f>
        <v>565.95</v>
      </c>
      <c r="BL31" s="1">
        <f>IFERROR(__xludf.DUMMYFUNCTION("""COMPUTED_VALUE"""),198.98)</f>
        <v>198.98</v>
      </c>
      <c r="BM31" s="1">
        <f>IFERROR(__xludf.DUMMYFUNCTION("""COMPUTED_VALUE"""),140.51)</f>
        <v>140.51</v>
      </c>
      <c r="BN31" s="3">
        <f>IFERROR(__xludf.DUMMYFUNCTION("""COMPUTED_VALUE"""),7.13)</f>
        <v>7.13</v>
      </c>
      <c r="BO31" s="1">
        <f>IFERROR(__xludf.DUMMYFUNCTION("""COMPUTED_VALUE"""),226.36)</f>
        <v>226.36</v>
      </c>
      <c r="BP31" s="1">
        <f>IFERROR(__xludf.DUMMYFUNCTION("""COMPUTED_VALUE"""),489.98)</f>
        <v>489.98</v>
      </c>
      <c r="BQ31" s="36">
        <f>IFERROR(__xludf.DUMMYFUNCTION("""COMPUTED_VALUE"""),48.48)</f>
        <v>48.48</v>
      </c>
      <c r="BR31" s="1">
        <f>IFERROR(__xludf.DUMMYFUNCTION("""COMPUTED_VALUE"""),10.47)</f>
        <v>10.47</v>
      </c>
      <c r="BS31" s="1">
        <f>IFERROR(__xludf.DUMMYFUNCTION("""COMPUTED_VALUE"""),212.44)</f>
        <v>212.44</v>
      </c>
      <c r="BT31" s="1">
        <f>IFERROR(__xludf.DUMMYFUNCTION("""COMPUTED_VALUE"""),101.98)</f>
        <v>101.98</v>
      </c>
      <c r="BU31" s="3">
        <v>1.0</v>
      </c>
    </row>
    <row r="32">
      <c r="A32" s="25">
        <f>IFERROR(__xludf.DUMMYFUNCTION("""COMPUTED_VALUE"""),45468.66666666667)</f>
        <v>45468.66667</v>
      </c>
      <c r="B32" s="29">
        <f>'Master Scratch Work'!B31</f>
        <v>1238412.08</v>
      </c>
      <c r="C32" s="15">
        <f>IFERROR(__xludf.DUMMYFUNCTION("""COMPUTED_VALUE"""),5469.3)</f>
        <v>5469.3</v>
      </c>
      <c r="D32" s="15">
        <f>IFERROR(__xludf.DUMMYFUNCTION("""COMPUTED_VALUE"""),17717.65)</f>
        <v>17717.65</v>
      </c>
      <c r="E32" s="15">
        <f>IFERROR(__xludf.DUMMYFUNCTION("""COMPUTED_VALUE"""),39112.16)</f>
        <v>39112.16</v>
      </c>
      <c r="F32" s="15">
        <f>IFERROR(__xludf.DUMMYFUNCTION("""COMPUTED_VALUE"""),2022.35)</f>
        <v>2022.35</v>
      </c>
      <c r="G32" s="3">
        <f>IFERROR(__xludf.DUMMYFUNCTION("""COMPUTED_VALUE"""),544.83)</f>
        <v>544.83</v>
      </c>
      <c r="H32" s="3">
        <f>IFERROR(__xludf.DUMMYFUNCTION("""COMPUTED_VALUE"""),479.38)</f>
        <v>479.38</v>
      </c>
      <c r="I32" s="3">
        <f>IFERROR(__xludf.DUMMYFUNCTION("""COMPUTED_VALUE"""),526.88)</f>
        <v>526.88</v>
      </c>
      <c r="J32" s="3">
        <f>IFERROR(__xludf.DUMMYFUNCTION("""COMPUTED_VALUE"""),186.34)</f>
        <v>186.34</v>
      </c>
      <c r="K32" s="3">
        <f>IFERROR(__xludf.DUMMYFUNCTION("""COMPUTED_VALUE"""),129.37)</f>
        <v>129.37</v>
      </c>
      <c r="L32" s="3">
        <f>IFERROR(__xludf.DUMMYFUNCTION("""COMPUTED_VALUE"""),209.07)</f>
        <v>209.07</v>
      </c>
      <c r="M32" s="3">
        <f>IFERROR(__xludf.DUMMYFUNCTION("""COMPUTED_VALUE"""),234.27)</f>
        <v>234.27</v>
      </c>
      <c r="N32" s="3">
        <f>IFERROR(__xludf.DUMMYFUNCTION("""COMPUTED_VALUE"""),58.79)</f>
        <v>58.79</v>
      </c>
      <c r="O32" s="3">
        <f>IFERROR(__xludf.DUMMYFUNCTION("""COMPUTED_VALUE"""),10.54)</f>
        <v>10.54</v>
      </c>
      <c r="P32" s="3">
        <f>IFERROR(__xludf.DUMMYFUNCTION("""COMPUTED_VALUE"""),410.97)</f>
        <v>410.97</v>
      </c>
      <c r="Q32" s="3">
        <f>IFERROR(__xludf.DUMMYFUNCTION("""COMPUTED_VALUE"""),56.97)</f>
        <v>56.97</v>
      </c>
      <c r="R32" s="3">
        <f>IFERROR(__xludf.DUMMYFUNCTION("""COMPUTED_VALUE"""),223.19)</f>
        <v>223.19</v>
      </c>
      <c r="S32" s="3">
        <f>IFERROR(__xludf.DUMMYFUNCTION("""COMPUTED_VALUE"""),77.51)</f>
        <v>77.51</v>
      </c>
      <c r="T32" s="3">
        <f>IFERROR(__xludf.DUMMYFUNCTION("""COMPUTED_VALUE"""),63.93)</f>
        <v>63.93</v>
      </c>
      <c r="U32" s="3">
        <f>IFERROR(__xludf.DUMMYFUNCTION("""COMPUTED_VALUE"""),327.4)</f>
        <v>327.4</v>
      </c>
      <c r="V32" s="3">
        <f>IFERROR(__xludf.DUMMYFUNCTION("""COMPUTED_VALUE"""),50.04)</f>
        <v>50.04</v>
      </c>
      <c r="W32" s="3">
        <f>IFERROR(__xludf.DUMMYFUNCTION("""COMPUTED_VALUE"""),155.5)</f>
        <v>155.5</v>
      </c>
      <c r="X32" s="3">
        <f>IFERROR(__xludf.DUMMYFUNCTION("""COMPUTED_VALUE"""),158.46)</f>
        <v>158.46</v>
      </c>
      <c r="Y32" s="1">
        <f>IFERROR(__xludf.DUMMYFUNCTION("""COMPUTED_VALUE"""),338.8)</f>
        <v>338.8</v>
      </c>
      <c r="Z32" s="1">
        <f>IFERROR(__xludf.DUMMYFUNCTION("""COMPUTED_VALUE"""),34.99)</f>
        <v>34.99</v>
      </c>
      <c r="AA32" s="1">
        <f>IFERROR(__xludf.DUMMYFUNCTION("""COMPUTED_VALUE"""),63.84)</f>
        <v>63.84</v>
      </c>
      <c r="AB32" s="1">
        <f>IFERROR(__xludf.DUMMYFUNCTION("""COMPUTED_VALUE"""),89.39)</f>
        <v>89.39</v>
      </c>
      <c r="AC32" s="1">
        <f>IFERROR(__xludf.DUMMYFUNCTION("""COMPUTED_VALUE"""),146.44)</f>
        <v>146.44</v>
      </c>
      <c r="AD32" s="3">
        <f>IFERROR(__xludf.DUMMYFUNCTION("""COMPUTED_VALUE"""),105.41)</f>
        <v>105.41</v>
      </c>
      <c r="AE32" s="1">
        <f>IFERROR(__xludf.DUMMYFUNCTION("""COMPUTED_VALUE"""),527.87)</f>
        <v>527.87</v>
      </c>
      <c r="AF32" s="1">
        <f>IFERROR(__xludf.DUMMYFUNCTION("""COMPUTED_VALUE"""),53.95)</f>
        <v>53.95</v>
      </c>
      <c r="AG32" s="1">
        <f>IFERROR(__xludf.DUMMYFUNCTION("""COMPUTED_VALUE"""),114.37)</f>
        <v>114.37</v>
      </c>
      <c r="AH32" s="3">
        <f>IFERROR(__xludf.DUMMYFUNCTION("""COMPUTED_VALUE"""),256.38)</f>
        <v>256.38</v>
      </c>
      <c r="AI32" s="1">
        <f>IFERROR(__xludf.DUMMYFUNCTION("""COMPUTED_VALUE"""),423.82)</f>
        <v>423.82</v>
      </c>
      <c r="AJ32" s="1">
        <f>IFERROR(__xludf.DUMMYFUNCTION("""COMPUTED_VALUE"""),295.28)</f>
        <v>295.28</v>
      </c>
      <c r="AK32" s="3">
        <f>IFERROR(__xludf.DUMMYFUNCTION("""COMPUTED_VALUE"""),46.41)</f>
        <v>46.41</v>
      </c>
      <c r="AL32" s="1">
        <f>IFERROR(__xludf.DUMMYFUNCTION("""COMPUTED_VALUE"""),69.61)</f>
        <v>69.61</v>
      </c>
      <c r="AM32" s="1">
        <f>IFERROR(__xludf.DUMMYFUNCTION("""COMPUTED_VALUE"""),457.38)</f>
        <v>457.38</v>
      </c>
      <c r="AN32" s="1">
        <f>IFERROR(__xludf.DUMMYFUNCTION("""COMPUTED_VALUE"""),338.32)</f>
        <v>338.32</v>
      </c>
      <c r="AO32" s="1">
        <f>IFERROR(__xludf.DUMMYFUNCTION("""COMPUTED_VALUE"""),98.86)</f>
        <v>98.86</v>
      </c>
      <c r="AP32" s="1">
        <f>IFERROR(__xludf.DUMMYFUNCTION("""COMPUTED_VALUE"""),137.33)</f>
        <v>137.33</v>
      </c>
      <c r="AQ32" s="1">
        <f>IFERROR(__xludf.DUMMYFUNCTION("""COMPUTED_VALUE"""),442.31)</f>
        <v>442.31</v>
      </c>
      <c r="AR32" s="3">
        <f>IFERROR(__xludf.DUMMYFUNCTION("""COMPUTED_VALUE"""),198.07)</f>
        <v>198.07</v>
      </c>
      <c r="AS32" s="3">
        <f>IFERROR(__xludf.DUMMYFUNCTION("""COMPUTED_VALUE"""),468.07)</f>
        <v>468.07</v>
      </c>
      <c r="AT32" s="3">
        <f>IFERROR(__xludf.DUMMYFUNCTION("""COMPUTED_VALUE"""),309.07)</f>
        <v>309.07</v>
      </c>
      <c r="AU32" s="1">
        <f>IFERROR(__xludf.DUMMYFUNCTION("""COMPUTED_VALUE"""),26.48)</f>
        <v>26.48</v>
      </c>
      <c r="AV32" s="1">
        <f>IFERROR(__xludf.DUMMYFUNCTION("""COMPUTED_VALUE"""),80.41)</f>
        <v>80.41</v>
      </c>
      <c r="AW32" s="1">
        <f>IFERROR(__xludf.DUMMYFUNCTION("""COMPUTED_VALUE"""),71.41)</f>
        <v>71.41</v>
      </c>
      <c r="AX32" s="1">
        <f>IFERROR(__xludf.DUMMYFUNCTION("""COMPUTED_VALUE"""),12.28)</f>
        <v>12.28</v>
      </c>
      <c r="AY32" s="1">
        <f>IFERROR(__xludf.DUMMYFUNCTION("""COMPUTED_VALUE"""),450.95)</f>
        <v>450.95</v>
      </c>
      <c r="AZ32" s="3">
        <f>IFERROR(__xludf.DUMMYFUNCTION("""COMPUTED_VALUE"""),72.98)</f>
        <v>72.98</v>
      </c>
      <c r="BA32" s="3">
        <f>IFERROR(__xludf.DUMMYFUNCTION("""COMPUTED_VALUE"""),82.27)</f>
        <v>82.27</v>
      </c>
      <c r="BB32" s="3">
        <f>IFERROR(__xludf.DUMMYFUNCTION("""COMPUTED_VALUE"""),126.09)</f>
        <v>126.09</v>
      </c>
      <c r="BC32" s="1">
        <f>IFERROR(__xludf.DUMMYFUNCTION("""COMPUTED_VALUE"""),95.66)</f>
        <v>95.66</v>
      </c>
      <c r="BD32" s="1">
        <f>IFERROR(__xludf.DUMMYFUNCTION("""COMPUTED_VALUE"""),38.76)</f>
        <v>38.76</v>
      </c>
      <c r="BE32" s="1">
        <f>IFERROR(__xludf.DUMMYFUNCTION("""COMPUTED_VALUE"""),24.56)</f>
        <v>24.56</v>
      </c>
      <c r="BF32" s="1">
        <f>IFERROR(__xludf.DUMMYFUNCTION("""COMPUTED_VALUE"""),59.33)</f>
        <v>59.33</v>
      </c>
      <c r="BG32" s="1">
        <f>IFERROR(__xludf.DUMMYFUNCTION("""COMPUTED_VALUE"""),27.99)</f>
        <v>27.99</v>
      </c>
      <c r="BH32" s="1">
        <f>IFERROR(__xludf.DUMMYFUNCTION("""COMPUTED_VALUE"""),101.57)</f>
        <v>101.57</v>
      </c>
      <c r="BI32" s="1">
        <f>IFERROR(__xludf.DUMMYFUNCTION("""COMPUTED_VALUE"""),38.83)</f>
        <v>38.83</v>
      </c>
      <c r="BJ32" s="1">
        <f>IFERROR(__xludf.DUMMYFUNCTION("""COMPUTED_VALUE"""),177.63)</f>
        <v>177.63</v>
      </c>
      <c r="BK32" s="1">
        <f>IFERROR(__xludf.DUMMYFUNCTION("""COMPUTED_VALUE"""),556.52)</f>
        <v>556.52</v>
      </c>
      <c r="BL32" s="1">
        <f>IFERROR(__xludf.DUMMYFUNCTION("""COMPUTED_VALUE"""),206.22)</f>
        <v>206.22</v>
      </c>
      <c r="BM32" s="1">
        <f>IFERROR(__xludf.DUMMYFUNCTION("""COMPUTED_VALUE"""),145.98)</f>
        <v>145.98</v>
      </c>
      <c r="BN32" s="3">
        <f>IFERROR(__xludf.DUMMYFUNCTION("""COMPUTED_VALUE"""),6.94)</f>
        <v>6.94</v>
      </c>
      <c r="BO32" s="1">
        <f>IFERROR(__xludf.DUMMYFUNCTION("""COMPUTED_VALUE"""),224.06)</f>
        <v>224.06</v>
      </c>
      <c r="BP32" s="1">
        <f>IFERROR(__xludf.DUMMYFUNCTION("""COMPUTED_VALUE"""),484.5)</f>
        <v>484.5</v>
      </c>
      <c r="BQ32" s="36">
        <f>IFERROR(__xludf.DUMMYFUNCTION("""COMPUTED_VALUE"""),48.48)</f>
        <v>48.48</v>
      </c>
      <c r="BR32" s="1">
        <f>IFERROR(__xludf.DUMMYFUNCTION("""COMPUTED_VALUE"""),10.31)</f>
        <v>10.31</v>
      </c>
      <c r="BS32" s="1">
        <f>IFERROR(__xludf.DUMMYFUNCTION("""COMPUTED_VALUE"""),212.06)</f>
        <v>212.06</v>
      </c>
      <c r="BT32" s="1">
        <f>IFERROR(__xludf.DUMMYFUNCTION("""COMPUTED_VALUE"""),102.2)</f>
        <v>102.2</v>
      </c>
      <c r="BU32" s="3">
        <v>1.0</v>
      </c>
    </row>
    <row r="33">
      <c r="A33" s="25">
        <f>IFERROR(__xludf.DUMMYFUNCTION("""COMPUTED_VALUE"""),45469.66666666667)</f>
        <v>45469.66667</v>
      </c>
      <c r="B33" s="29">
        <f>'Master Scratch Work'!B32</f>
        <v>1239306.46</v>
      </c>
      <c r="C33" s="15">
        <f>IFERROR(__xludf.DUMMYFUNCTION("""COMPUTED_VALUE"""),5477.9)</f>
        <v>5477.9</v>
      </c>
      <c r="D33" s="15">
        <f>IFERROR(__xludf.DUMMYFUNCTION("""COMPUTED_VALUE"""),17805.16)</f>
        <v>17805.16</v>
      </c>
      <c r="E33" s="15">
        <f>IFERROR(__xludf.DUMMYFUNCTION("""COMPUTED_VALUE"""),39127.8)</f>
        <v>39127.8</v>
      </c>
      <c r="F33" s="15">
        <f>IFERROR(__xludf.DUMMYFUNCTION("""COMPUTED_VALUE"""),2018.12)</f>
        <v>2018.12</v>
      </c>
      <c r="G33" s="3">
        <f>IFERROR(__xludf.DUMMYFUNCTION("""COMPUTED_VALUE"""),545.51)</f>
        <v>545.51</v>
      </c>
      <c r="H33" s="3">
        <f>IFERROR(__xludf.DUMMYFUNCTION("""COMPUTED_VALUE"""),480.37)</f>
        <v>480.37</v>
      </c>
      <c r="I33" s="3">
        <f>IFERROR(__xludf.DUMMYFUNCTION("""COMPUTED_VALUE"""),528.66)</f>
        <v>528.66</v>
      </c>
      <c r="J33" s="3">
        <f>IFERROR(__xludf.DUMMYFUNCTION("""COMPUTED_VALUE"""),193.61)</f>
        <v>193.61</v>
      </c>
      <c r="K33" s="3">
        <f>IFERROR(__xludf.DUMMYFUNCTION("""COMPUTED_VALUE"""),129.58)</f>
        <v>129.58</v>
      </c>
      <c r="L33" s="3">
        <f>IFERROR(__xludf.DUMMYFUNCTION("""COMPUTED_VALUE"""),213.25)</f>
        <v>213.25</v>
      </c>
      <c r="M33" s="3">
        <f>IFERROR(__xludf.DUMMYFUNCTION("""COMPUTED_VALUE"""),232.17)</f>
        <v>232.17</v>
      </c>
      <c r="N33" s="3">
        <f>IFERROR(__xludf.DUMMYFUNCTION("""COMPUTED_VALUE"""),58.67)</f>
        <v>58.67</v>
      </c>
      <c r="O33" s="3">
        <f>IFERROR(__xludf.DUMMYFUNCTION("""COMPUTED_VALUE"""),10.51)</f>
        <v>10.51</v>
      </c>
      <c r="P33" s="3">
        <f>IFERROR(__xludf.DUMMYFUNCTION("""COMPUTED_VALUE"""),410.26)</f>
        <v>410.26</v>
      </c>
      <c r="Q33" s="3">
        <f>IFERROR(__xludf.DUMMYFUNCTION("""COMPUTED_VALUE"""),57.33)</f>
        <v>57.33</v>
      </c>
      <c r="R33" s="3">
        <f>IFERROR(__xludf.DUMMYFUNCTION("""COMPUTED_VALUE"""),224.46)</f>
        <v>224.46</v>
      </c>
      <c r="S33" s="3">
        <f>IFERROR(__xludf.DUMMYFUNCTION("""COMPUTED_VALUE"""),77.1)</f>
        <v>77.1</v>
      </c>
      <c r="T33" s="3">
        <f>IFERROR(__xludf.DUMMYFUNCTION("""COMPUTED_VALUE"""),62.86)</f>
        <v>62.86</v>
      </c>
      <c r="U33" s="3">
        <f>IFERROR(__xludf.DUMMYFUNCTION("""COMPUTED_VALUE"""),326.73)</f>
        <v>326.73</v>
      </c>
      <c r="V33" s="3">
        <f>IFERROR(__xludf.DUMMYFUNCTION("""COMPUTED_VALUE"""),50.49)</f>
        <v>50.49</v>
      </c>
      <c r="W33" s="3">
        <f>IFERROR(__xludf.DUMMYFUNCTION("""COMPUTED_VALUE"""),156.56)</f>
        <v>156.56</v>
      </c>
      <c r="X33" s="3">
        <f>IFERROR(__xludf.DUMMYFUNCTION("""COMPUTED_VALUE"""),155.95)</f>
        <v>155.95</v>
      </c>
      <c r="Y33" s="1">
        <f>IFERROR(__xludf.DUMMYFUNCTION("""COMPUTED_VALUE"""),337.58)</f>
        <v>337.58</v>
      </c>
      <c r="Z33" s="1">
        <f>IFERROR(__xludf.DUMMYFUNCTION("""COMPUTED_VALUE"""),34.78)</f>
        <v>34.78</v>
      </c>
      <c r="AA33" s="1">
        <f>IFERROR(__xludf.DUMMYFUNCTION("""COMPUTED_VALUE"""),64.05)</f>
        <v>64.05</v>
      </c>
      <c r="AB33" s="1">
        <f>IFERROR(__xludf.DUMMYFUNCTION("""COMPUTED_VALUE"""),89.67)</f>
        <v>89.67</v>
      </c>
      <c r="AC33" s="1">
        <f>IFERROR(__xludf.DUMMYFUNCTION("""COMPUTED_VALUE"""),146.89)</f>
        <v>146.89</v>
      </c>
      <c r="AD33" s="3">
        <f>IFERROR(__xludf.DUMMYFUNCTION("""COMPUTED_VALUE"""),103.43)</f>
        <v>103.43</v>
      </c>
      <c r="AE33" s="1">
        <f>IFERROR(__xludf.DUMMYFUNCTION("""COMPUTED_VALUE"""),519.37)</f>
        <v>519.37</v>
      </c>
      <c r="AF33" s="1">
        <f>IFERROR(__xludf.DUMMYFUNCTION("""COMPUTED_VALUE"""),53.69)</f>
        <v>53.69</v>
      </c>
      <c r="AG33" s="1">
        <f>IFERROR(__xludf.DUMMYFUNCTION("""COMPUTED_VALUE"""),114.41)</f>
        <v>114.41</v>
      </c>
      <c r="AH33" s="3">
        <f>IFERROR(__xludf.DUMMYFUNCTION("""COMPUTED_VALUE"""),296.19)</f>
        <v>296.19</v>
      </c>
      <c r="AI33" s="1">
        <f>IFERROR(__xludf.DUMMYFUNCTION("""COMPUTED_VALUE"""),412.52)</f>
        <v>412.52</v>
      </c>
      <c r="AJ33" s="1">
        <f>IFERROR(__xludf.DUMMYFUNCTION("""COMPUTED_VALUE"""),294.53)</f>
        <v>294.53</v>
      </c>
      <c r="AK33" s="3">
        <f>IFERROR(__xludf.DUMMYFUNCTION("""COMPUTED_VALUE"""),45.77)</f>
        <v>45.77</v>
      </c>
      <c r="AL33" s="1">
        <f>IFERROR(__xludf.DUMMYFUNCTION("""COMPUTED_VALUE"""),69.31)</f>
        <v>69.31</v>
      </c>
      <c r="AM33" s="1">
        <f>IFERROR(__xludf.DUMMYFUNCTION("""COMPUTED_VALUE"""),455.86)</f>
        <v>455.86</v>
      </c>
      <c r="AN33" s="1">
        <f>IFERROR(__xludf.DUMMYFUNCTION("""COMPUTED_VALUE"""),341.82)</f>
        <v>341.82</v>
      </c>
      <c r="AO33" s="1">
        <f>IFERROR(__xludf.DUMMYFUNCTION("""COMPUTED_VALUE"""),97.9)</f>
        <v>97.9</v>
      </c>
      <c r="AP33" s="1">
        <f>IFERROR(__xludf.DUMMYFUNCTION("""COMPUTED_VALUE"""),137.39)</f>
        <v>137.39</v>
      </c>
      <c r="AQ33" s="1">
        <f>IFERROR(__xludf.DUMMYFUNCTION("""COMPUTED_VALUE"""),442.56)</f>
        <v>442.56</v>
      </c>
      <c r="AR33" s="3">
        <f>IFERROR(__xludf.DUMMYFUNCTION("""COMPUTED_VALUE"""),197.43)</f>
        <v>197.43</v>
      </c>
      <c r="AS33" s="3">
        <f>IFERROR(__xludf.DUMMYFUNCTION("""COMPUTED_VALUE"""),466.99)</f>
        <v>466.99</v>
      </c>
      <c r="AT33" s="3">
        <f>IFERROR(__xludf.DUMMYFUNCTION("""COMPUTED_VALUE"""),304.81)</f>
        <v>304.81</v>
      </c>
      <c r="AU33" s="1">
        <f>IFERROR(__xludf.DUMMYFUNCTION("""COMPUTED_VALUE"""),25.89)</f>
        <v>25.89</v>
      </c>
      <c r="AV33" s="1">
        <f>IFERROR(__xludf.DUMMYFUNCTION("""COMPUTED_VALUE"""),80.05)</f>
        <v>80.05</v>
      </c>
      <c r="AW33" s="1">
        <f>IFERROR(__xludf.DUMMYFUNCTION("""COMPUTED_VALUE"""),71.18)</f>
        <v>71.18</v>
      </c>
      <c r="AX33" s="1">
        <f>IFERROR(__xludf.DUMMYFUNCTION("""COMPUTED_VALUE"""),12.59)</f>
        <v>12.59</v>
      </c>
      <c r="AY33" s="1">
        <f>IFERROR(__xludf.DUMMYFUNCTION("""COMPUTED_VALUE"""),452.16)</f>
        <v>452.16</v>
      </c>
      <c r="AZ33" s="3">
        <f>IFERROR(__xludf.DUMMYFUNCTION("""COMPUTED_VALUE"""),73.37)</f>
        <v>73.37</v>
      </c>
      <c r="BA33" s="3">
        <f>IFERROR(__xludf.DUMMYFUNCTION("""COMPUTED_VALUE"""),79.52)</f>
        <v>79.52</v>
      </c>
      <c r="BB33" s="3">
        <f>IFERROR(__xludf.DUMMYFUNCTION("""COMPUTED_VALUE"""),126.4)</f>
        <v>126.4</v>
      </c>
      <c r="BC33" s="1">
        <f>IFERROR(__xludf.DUMMYFUNCTION("""COMPUTED_VALUE"""),95.75)</f>
        <v>95.75</v>
      </c>
      <c r="BD33" s="1">
        <f>IFERROR(__xludf.DUMMYFUNCTION("""COMPUTED_VALUE"""),38.6)</f>
        <v>38.6</v>
      </c>
      <c r="BE33" s="1">
        <f>IFERROR(__xludf.DUMMYFUNCTION("""COMPUTED_VALUE"""),24.1)</f>
        <v>24.1</v>
      </c>
      <c r="BF33" s="1">
        <f>IFERROR(__xludf.DUMMYFUNCTION("""COMPUTED_VALUE"""),58.26)</f>
        <v>58.26</v>
      </c>
      <c r="BG33" s="1">
        <f>IFERROR(__xludf.DUMMYFUNCTION("""COMPUTED_VALUE"""),27.42)</f>
        <v>27.42</v>
      </c>
      <c r="BH33" s="1">
        <f>IFERROR(__xludf.DUMMYFUNCTION("""COMPUTED_VALUE"""),101.26)</f>
        <v>101.26</v>
      </c>
      <c r="BI33" s="1">
        <f>IFERROR(__xludf.DUMMYFUNCTION("""COMPUTED_VALUE"""),38.42)</f>
        <v>38.42</v>
      </c>
      <c r="BJ33" s="1">
        <f>IFERROR(__xludf.DUMMYFUNCTION("""COMPUTED_VALUE"""),176.31)</f>
        <v>176.31</v>
      </c>
      <c r="BK33" s="1">
        <f>IFERROR(__xludf.DUMMYFUNCTION("""COMPUTED_VALUE"""),558.17)</f>
        <v>558.17</v>
      </c>
      <c r="BL33" s="1">
        <f>IFERROR(__xludf.DUMMYFUNCTION("""COMPUTED_VALUE"""),203.18)</f>
        <v>203.18</v>
      </c>
      <c r="BM33" s="1">
        <f>IFERROR(__xludf.DUMMYFUNCTION("""COMPUTED_VALUE"""),144.66)</f>
        <v>144.66</v>
      </c>
      <c r="BN33" s="3">
        <f>IFERROR(__xludf.DUMMYFUNCTION("""COMPUTED_VALUE"""),7.04)</f>
        <v>7.04</v>
      </c>
      <c r="BO33" s="1">
        <f>IFERROR(__xludf.DUMMYFUNCTION("""COMPUTED_VALUE"""),223.61)</f>
        <v>223.61</v>
      </c>
      <c r="BP33" s="1">
        <f>IFERROR(__xludf.DUMMYFUNCTION("""COMPUTED_VALUE"""),484.04)</f>
        <v>484.04</v>
      </c>
      <c r="BQ33" s="36">
        <f>IFERROR(__xludf.DUMMYFUNCTION("""COMPUTED_VALUE"""),48.46)</f>
        <v>48.46</v>
      </c>
      <c r="BR33" s="1">
        <f>IFERROR(__xludf.DUMMYFUNCTION("""COMPUTED_VALUE"""),10.43)</f>
        <v>10.43</v>
      </c>
      <c r="BS33" s="1">
        <f>IFERROR(__xludf.DUMMYFUNCTION("""COMPUTED_VALUE"""),212.67)</f>
        <v>212.67</v>
      </c>
      <c r="BT33" s="1">
        <f>IFERROR(__xludf.DUMMYFUNCTION("""COMPUTED_VALUE"""),102.18)</f>
        <v>102.18</v>
      </c>
      <c r="BU33" s="3">
        <v>1.0</v>
      </c>
    </row>
    <row r="34">
      <c r="A34" s="25">
        <f>IFERROR(__xludf.DUMMYFUNCTION("""COMPUTED_VALUE"""),45470.66666666667)</f>
        <v>45470.66667</v>
      </c>
      <c r="B34" s="29">
        <f>'Master Scratch Work'!B33</f>
        <v>1242155.63</v>
      </c>
      <c r="C34" s="15">
        <f>IFERROR(__xludf.DUMMYFUNCTION("""COMPUTED_VALUE"""),5482.87)</f>
        <v>5482.87</v>
      </c>
      <c r="D34" s="15">
        <f>IFERROR(__xludf.DUMMYFUNCTION("""COMPUTED_VALUE"""),17858.68)</f>
        <v>17858.68</v>
      </c>
      <c r="E34" s="15">
        <f>IFERROR(__xludf.DUMMYFUNCTION("""COMPUTED_VALUE"""),39164.06)</f>
        <v>39164.06</v>
      </c>
      <c r="F34" s="15">
        <f>IFERROR(__xludf.DUMMYFUNCTION("""COMPUTED_VALUE"""),2038.34)</f>
        <v>2038.34</v>
      </c>
      <c r="G34" s="3">
        <f>IFERROR(__xludf.DUMMYFUNCTION("""COMPUTED_VALUE"""),546.37)</f>
        <v>546.37</v>
      </c>
      <c r="H34" s="3">
        <f>IFERROR(__xludf.DUMMYFUNCTION("""COMPUTED_VALUE"""),481.61)</f>
        <v>481.61</v>
      </c>
      <c r="I34" s="3">
        <f>IFERROR(__xludf.DUMMYFUNCTION("""COMPUTED_VALUE"""),546.76)</f>
        <v>546.76</v>
      </c>
      <c r="J34" s="3">
        <f>IFERROR(__xludf.DUMMYFUNCTION("""COMPUTED_VALUE"""),197.85)</f>
        <v>197.85</v>
      </c>
      <c r="K34" s="3">
        <f>IFERROR(__xludf.DUMMYFUNCTION("""COMPUTED_VALUE"""),129.27)</f>
        <v>129.27</v>
      </c>
      <c r="L34" s="3">
        <f>IFERROR(__xludf.DUMMYFUNCTION("""COMPUTED_VALUE"""),214.1)</f>
        <v>214.1</v>
      </c>
      <c r="M34" s="3">
        <f>IFERROR(__xludf.DUMMYFUNCTION("""COMPUTED_VALUE"""),232.53)</f>
        <v>232.53</v>
      </c>
      <c r="N34" s="3">
        <f>IFERROR(__xludf.DUMMYFUNCTION("""COMPUTED_VALUE"""),59.54)</f>
        <v>59.54</v>
      </c>
      <c r="O34" s="3">
        <f>IFERROR(__xludf.DUMMYFUNCTION("""COMPUTED_VALUE"""),10.68)</f>
        <v>10.68</v>
      </c>
      <c r="P34" s="3">
        <f>IFERROR(__xludf.DUMMYFUNCTION("""COMPUTED_VALUE"""),407.95)</f>
        <v>407.95</v>
      </c>
      <c r="Q34" s="3">
        <f>IFERROR(__xludf.DUMMYFUNCTION("""COMPUTED_VALUE"""),56.74)</f>
        <v>56.74</v>
      </c>
      <c r="R34" s="3">
        <f>IFERROR(__xludf.DUMMYFUNCTION("""COMPUTED_VALUE"""),228.72)</f>
        <v>228.72</v>
      </c>
      <c r="S34" s="3">
        <f>IFERROR(__xludf.DUMMYFUNCTION("""COMPUTED_VALUE"""),77.0)</f>
        <v>77</v>
      </c>
      <c r="T34" s="3">
        <f>IFERROR(__xludf.DUMMYFUNCTION("""COMPUTED_VALUE"""),63.23)</f>
        <v>63.23</v>
      </c>
      <c r="U34" s="3">
        <f>IFERROR(__xludf.DUMMYFUNCTION("""COMPUTED_VALUE"""),327.46)</f>
        <v>327.46</v>
      </c>
      <c r="V34" s="3">
        <f>IFERROR(__xludf.DUMMYFUNCTION("""COMPUTED_VALUE"""),51.76)</f>
        <v>51.76</v>
      </c>
      <c r="W34" s="3">
        <f>IFERROR(__xludf.DUMMYFUNCTION("""COMPUTED_VALUE"""),162.7)</f>
        <v>162.7</v>
      </c>
      <c r="X34" s="3">
        <f>IFERROR(__xludf.DUMMYFUNCTION("""COMPUTED_VALUE"""),156.32)</f>
        <v>156.32</v>
      </c>
      <c r="Y34" s="1">
        <f>IFERROR(__xludf.DUMMYFUNCTION("""COMPUTED_VALUE"""),334.15)</f>
        <v>334.15</v>
      </c>
      <c r="Z34" s="1">
        <f>IFERROR(__xludf.DUMMYFUNCTION("""COMPUTED_VALUE"""),34.63)</f>
        <v>34.63</v>
      </c>
      <c r="AA34" s="1">
        <f>IFERROR(__xludf.DUMMYFUNCTION("""COMPUTED_VALUE"""),63.91)</f>
        <v>63.91</v>
      </c>
      <c r="AB34" s="1">
        <f>IFERROR(__xludf.DUMMYFUNCTION("""COMPUTED_VALUE"""),89.68)</f>
        <v>89.68</v>
      </c>
      <c r="AC34" s="1">
        <f>IFERROR(__xludf.DUMMYFUNCTION("""COMPUTED_VALUE"""),148.72)</f>
        <v>148.72</v>
      </c>
      <c r="AD34" s="3">
        <f>IFERROR(__xludf.DUMMYFUNCTION("""COMPUTED_VALUE"""),105.21)</f>
        <v>105.21</v>
      </c>
      <c r="AE34" s="1">
        <f>IFERROR(__xludf.DUMMYFUNCTION("""COMPUTED_VALUE"""),515.99)</f>
        <v>515.99</v>
      </c>
      <c r="AF34" s="1">
        <f>IFERROR(__xludf.DUMMYFUNCTION("""COMPUTED_VALUE"""),53.05)</f>
        <v>53.05</v>
      </c>
      <c r="AG34" s="1">
        <f>IFERROR(__xludf.DUMMYFUNCTION("""COMPUTED_VALUE"""),114.9)</f>
        <v>114.9</v>
      </c>
      <c r="AH34" s="3">
        <f>IFERROR(__xludf.DUMMYFUNCTION("""COMPUTED_VALUE"""),295.47)</f>
        <v>295.47</v>
      </c>
      <c r="AI34" s="1">
        <f>IFERROR(__xludf.DUMMYFUNCTION("""COMPUTED_VALUE"""),409.46)</f>
        <v>409.46</v>
      </c>
      <c r="AJ34" s="1">
        <f>IFERROR(__xludf.DUMMYFUNCTION("""COMPUTED_VALUE"""),292.5)</f>
        <v>292.5</v>
      </c>
      <c r="AK34" s="3">
        <f>IFERROR(__xludf.DUMMYFUNCTION("""COMPUTED_VALUE"""),45.58)</f>
        <v>45.58</v>
      </c>
      <c r="AL34" s="1">
        <f>IFERROR(__xludf.DUMMYFUNCTION("""COMPUTED_VALUE"""),68.83)</f>
        <v>68.83</v>
      </c>
      <c r="AM34" s="1">
        <f>IFERROR(__xludf.DUMMYFUNCTION("""COMPUTED_VALUE"""),445.96)</f>
        <v>445.96</v>
      </c>
      <c r="AN34" s="1">
        <f>IFERROR(__xludf.DUMMYFUNCTION("""COMPUTED_VALUE"""),341.49)</f>
        <v>341.49</v>
      </c>
      <c r="AO34" s="1">
        <f>IFERROR(__xludf.DUMMYFUNCTION("""COMPUTED_VALUE"""),97.62)</f>
        <v>97.62</v>
      </c>
      <c r="AP34" s="1">
        <f>IFERROR(__xludf.DUMMYFUNCTION("""COMPUTED_VALUE"""),137.47)</f>
        <v>137.47</v>
      </c>
      <c r="AQ34" s="1">
        <f>IFERROR(__xludf.DUMMYFUNCTION("""COMPUTED_VALUE"""),445.11)</f>
        <v>445.11</v>
      </c>
      <c r="AR34" s="3">
        <f>IFERROR(__xludf.DUMMYFUNCTION("""COMPUTED_VALUE"""),199.17)</f>
        <v>199.17</v>
      </c>
      <c r="AS34" s="3">
        <f>IFERROR(__xludf.DUMMYFUNCTION("""COMPUTED_VALUE"""),467.13)</f>
        <v>467.13</v>
      </c>
      <c r="AT34" s="3">
        <f>IFERROR(__xludf.DUMMYFUNCTION("""COMPUTED_VALUE"""),308.3)</f>
        <v>308.3</v>
      </c>
      <c r="AU34" s="1">
        <f>IFERROR(__xludf.DUMMYFUNCTION("""COMPUTED_VALUE"""),26.5)</f>
        <v>26.5</v>
      </c>
      <c r="AV34" s="1">
        <f>IFERROR(__xludf.DUMMYFUNCTION("""COMPUTED_VALUE"""),79.33)</f>
        <v>79.33</v>
      </c>
      <c r="AW34" s="1">
        <f>IFERROR(__xludf.DUMMYFUNCTION("""COMPUTED_VALUE"""),70.86)</f>
        <v>70.86</v>
      </c>
      <c r="AX34" s="1">
        <f>IFERROR(__xludf.DUMMYFUNCTION("""COMPUTED_VALUE"""),12.85)</f>
        <v>12.85</v>
      </c>
      <c r="AY34" s="1">
        <f>IFERROR(__xludf.DUMMYFUNCTION("""COMPUTED_VALUE"""),452.85)</f>
        <v>452.85</v>
      </c>
      <c r="AZ34" s="3">
        <f>IFERROR(__xludf.DUMMYFUNCTION("""COMPUTED_VALUE"""),73.72)</f>
        <v>73.72</v>
      </c>
      <c r="BA34" s="3">
        <f>IFERROR(__xludf.DUMMYFUNCTION("""COMPUTED_VALUE"""),78.66)</f>
        <v>78.66</v>
      </c>
      <c r="BB34" s="3">
        <f>IFERROR(__xludf.DUMMYFUNCTION("""COMPUTED_VALUE"""),123.99)</f>
        <v>123.99</v>
      </c>
      <c r="BC34" s="1">
        <f>IFERROR(__xludf.DUMMYFUNCTION("""COMPUTED_VALUE"""),96.0)</f>
        <v>96</v>
      </c>
      <c r="BD34" s="1">
        <f>IFERROR(__xludf.DUMMYFUNCTION("""COMPUTED_VALUE"""),39.03)</f>
        <v>39.03</v>
      </c>
      <c r="BE34" s="1">
        <f>IFERROR(__xludf.DUMMYFUNCTION("""COMPUTED_VALUE"""),25.22)</f>
        <v>25.22</v>
      </c>
      <c r="BF34" s="1">
        <f>IFERROR(__xludf.DUMMYFUNCTION("""COMPUTED_VALUE"""),58.37)</f>
        <v>58.37</v>
      </c>
      <c r="BG34" s="1">
        <f>IFERROR(__xludf.DUMMYFUNCTION("""COMPUTED_VALUE"""),27.8)</f>
        <v>27.8</v>
      </c>
      <c r="BH34" s="1">
        <f>IFERROR(__xludf.DUMMYFUNCTION("""COMPUTED_VALUE"""),100.62)</f>
        <v>100.62</v>
      </c>
      <c r="BI34" s="1">
        <f>IFERROR(__xludf.DUMMYFUNCTION("""COMPUTED_VALUE"""),38.53)</f>
        <v>38.53</v>
      </c>
      <c r="BJ34" s="1">
        <f>IFERROR(__xludf.DUMMYFUNCTION("""COMPUTED_VALUE"""),177.42)</f>
        <v>177.42</v>
      </c>
      <c r="BK34" s="1">
        <f>IFERROR(__xludf.DUMMYFUNCTION("""COMPUTED_VALUE"""),550.78)</f>
        <v>550.78</v>
      </c>
      <c r="BL34" s="1">
        <f>IFERROR(__xludf.DUMMYFUNCTION("""COMPUTED_VALUE"""),203.88)</f>
        <v>203.88</v>
      </c>
      <c r="BM34" s="1">
        <f>IFERROR(__xludf.DUMMYFUNCTION("""COMPUTED_VALUE"""),147.82)</f>
        <v>147.82</v>
      </c>
      <c r="BN34" s="3">
        <f>IFERROR(__xludf.DUMMYFUNCTION("""COMPUTED_VALUE"""),6.85)</f>
        <v>6.85</v>
      </c>
      <c r="BO34" s="1">
        <f>IFERROR(__xludf.DUMMYFUNCTION("""COMPUTED_VALUE"""),223.47)</f>
        <v>223.47</v>
      </c>
      <c r="BP34" s="1">
        <f>IFERROR(__xludf.DUMMYFUNCTION("""COMPUTED_VALUE"""),486.44)</f>
        <v>486.44</v>
      </c>
      <c r="BQ34" s="36">
        <f>IFERROR(__xludf.DUMMYFUNCTION("""COMPUTED_VALUE"""),48.51)</f>
        <v>48.51</v>
      </c>
      <c r="BR34" s="1">
        <f>IFERROR(__xludf.DUMMYFUNCTION("""COMPUTED_VALUE"""),10.48)</f>
        <v>10.48</v>
      </c>
      <c r="BS34" s="1">
        <f>IFERROR(__xludf.DUMMYFUNCTION("""COMPUTED_VALUE"""),212.67)</f>
        <v>212.67</v>
      </c>
      <c r="BT34" s="1">
        <f>IFERROR(__xludf.DUMMYFUNCTION("""COMPUTED_VALUE"""),102.17)</f>
        <v>102.17</v>
      </c>
      <c r="BU34" s="3">
        <v>1.0</v>
      </c>
    </row>
    <row r="35">
      <c r="A35" s="25">
        <f>IFERROR(__xludf.DUMMYFUNCTION("""COMPUTED_VALUE"""),45471.66666666667)</f>
        <v>45471.66667</v>
      </c>
      <c r="B35" s="29">
        <f>'Master Scratch Work'!B34</f>
        <v>1244194.31</v>
      </c>
      <c r="C35" s="15">
        <f>IFERROR(__xludf.DUMMYFUNCTION("""COMPUTED_VALUE"""),5460.48)</f>
        <v>5460.48</v>
      </c>
      <c r="D35" s="15">
        <f>IFERROR(__xludf.DUMMYFUNCTION("""COMPUTED_VALUE"""),17732.6)</f>
        <v>17732.6</v>
      </c>
      <c r="E35" s="15">
        <f>IFERROR(__xludf.DUMMYFUNCTION("""COMPUTED_VALUE"""),39118.86)</f>
        <v>39118.86</v>
      </c>
      <c r="F35" s="15">
        <f>IFERROR(__xludf.DUMMYFUNCTION("""COMPUTED_VALUE"""),2047.69)</f>
        <v>2047.69</v>
      </c>
      <c r="G35" s="3">
        <f>IFERROR(__xludf.DUMMYFUNCTION("""COMPUTED_VALUE"""),544.22)</f>
        <v>544.22</v>
      </c>
      <c r="H35" s="3">
        <f>IFERROR(__xludf.DUMMYFUNCTION("""COMPUTED_VALUE"""),479.11)</f>
        <v>479.11</v>
      </c>
      <c r="I35" s="3">
        <f>IFERROR(__xludf.DUMMYFUNCTION("""COMPUTED_VALUE"""),555.54)</f>
        <v>555.54</v>
      </c>
      <c r="J35" s="3">
        <f>IFERROR(__xludf.DUMMYFUNCTION("""COMPUTED_VALUE"""),193.25)</f>
        <v>193.25</v>
      </c>
      <c r="K35" s="3">
        <f>IFERROR(__xludf.DUMMYFUNCTION("""COMPUTED_VALUE"""),129.16)</f>
        <v>129.16</v>
      </c>
      <c r="L35" s="3">
        <f>IFERROR(__xludf.DUMMYFUNCTION("""COMPUTED_VALUE"""),210.62)</f>
        <v>210.62</v>
      </c>
      <c r="M35" s="3">
        <f>IFERROR(__xludf.DUMMYFUNCTION("""COMPUTED_VALUE"""),235.99)</f>
        <v>235.99</v>
      </c>
      <c r="N35" s="3">
        <f>IFERROR(__xludf.DUMMYFUNCTION("""COMPUTED_VALUE"""),59.89)</f>
        <v>59.89</v>
      </c>
      <c r="O35" s="3">
        <f>IFERROR(__xludf.DUMMYFUNCTION("""COMPUTED_VALUE"""),10.71)</f>
        <v>10.71</v>
      </c>
      <c r="P35" s="3">
        <f>IFERROR(__xludf.DUMMYFUNCTION("""COMPUTED_VALUE"""),406.8)</f>
        <v>406.8</v>
      </c>
      <c r="Q35" s="3">
        <f>IFERROR(__xludf.DUMMYFUNCTION("""COMPUTED_VALUE"""),57.09)</f>
        <v>57.09</v>
      </c>
      <c r="R35" s="3">
        <f>IFERROR(__xludf.DUMMYFUNCTION("""COMPUTED_VALUE"""),231.82)</f>
        <v>231.82</v>
      </c>
      <c r="S35" s="3">
        <f>IFERROR(__xludf.DUMMYFUNCTION("""COMPUTED_VALUE"""),77.01)</f>
        <v>77.01</v>
      </c>
      <c r="T35" s="3">
        <f>IFERROR(__xludf.DUMMYFUNCTION("""COMPUTED_VALUE"""),63.08)</f>
        <v>63.08</v>
      </c>
      <c r="U35" s="3">
        <f>IFERROR(__xludf.DUMMYFUNCTION("""COMPUTED_VALUE"""),333.1)</f>
        <v>333.1</v>
      </c>
      <c r="V35" s="3">
        <f>IFERROR(__xludf.DUMMYFUNCTION("""COMPUTED_VALUE"""),49.2)</f>
        <v>49.2</v>
      </c>
      <c r="W35" s="3">
        <f>IFERROR(__xludf.DUMMYFUNCTION("""COMPUTED_VALUE"""),165.0)</f>
        <v>165</v>
      </c>
      <c r="X35" s="3">
        <f>IFERROR(__xludf.DUMMYFUNCTION("""COMPUTED_VALUE"""),156.42)</f>
        <v>156.42</v>
      </c>
      <c r="Y35" s="1">
        <f>IFERROR(__xludf.DUMMYFUNCTION("""COMPUTED_VALUE"""),330.57)</f>
        <v>330.57</v>
      </c>
      <c r="Z35" s="1">
        <f>IFERROR(__xludf.DUMMYFUNCTION("""COMPUTED_VALUE"""),36.03)</f>
        <v>36.03</v>
      </c>
      <c r="AA35" s="1">
        <f>IFERROR(__xludf.DUMMYFUNCTION("""COMPUTED_VALUE"""),63.65)</f>
        <v>63.65</v>
      </c>
      <c r="AB35" s="1">
        <f>IFERROR(__xludf.DUMMYFUNCTION("""COMPUTED_VALUE"""),89.42)</f>
        <v>89.42</v>
      </c>
      <c r="AC35" s="1">
        <f>IFERROR(__xludf.DUMMYFUNCTION("""COMPUTED_VALUE"""),152.05)</f>
        <v>152.05</v>
      </c>
      <c r="AD35" s="3">
        <f>IFERROR(__xludf.DUMMYFUNCTION("""COMPUTED_VALUE"""),106.77)</f>
        <v>106.77</v>
      </c>
      <c r="AE35" s="1">
        <f>IFERROR(__xludf.DUMMYFUNCTION("""COMPUTED_VALUE"""),516.33)</f>
        <v>516.33</v>
      </c>
      <c r="AF35" s="1">
        <f>IFERROR(__xludf.DUMMYFUNCTION("""COMPUTED_VALUE"""),53.72)</f>
        <v>53.72</v>
      </c>
      <c r="AG35" s="1">
        <f>IFERROR(__xludf.DUMMYFUNCTION("""COMPUTED_VALUE"""),115.12)</f>
        <v>115.12</v>
      </c>
      <c r="AH35" s="3">
        <f>IFERROR(__xludf.DUMMYFUNCTION("""COMPUTED_VALUE"""),299.84)</f>
        <v>299.84</v>
      </c>
      <c r="AI35" s="1">
        <f>IFERROR(__xludf.DUMMYFUNCTION("""COMPUTED_VALUE"""),408.37)</f>
        <v>408.37</v>
      </c>
      <c r="AJ35" s="1">
        <f>IFERROR(__xludf.DUMMYFUNCTION("""COMPUTED_VALUE"""),290.14)</f>
        <v>290.14</v>
      </c>
      <c r="AK35" s="3">
        <f>IFERROR(__xludf.DUMMYFUNCTION("""COMPUTED_VALUE"""),46.46)</f>
        <v>46.46</v>
      </c>
      <c r="AL35" s="1">
        <f>IFERROR(__xludf.DUMMYFUNCTION("""COMPUTED_VALUE"""),68.61)</f>
        <v>68.61</v>
      </c>
      <c r="AM35" s="1">
        <f>IFERROR(__xludf.DUMMYFUNCTION("""COMPUTED_VALUE"""),452.32)</f>
        <v>452.32</v>
      </c>
      <c r="AN35" s="1">
        <f>IFERROR(__xludf.DUMMYFUNCTION("""COMPUTED_VALUE"""),344.24)</f>
        <v>344.24</v>
      </c>
      <c r="AO35" s="1">
        <f>IFERROR(__xludf.DUMMYFUNCTION("""COMPUTED_VALUE"""),98.5)</f>
        <v>98.5</v>
      </c>
      <c r="AP35" s="1">
        <f>IFERROR(__xludf.DUMMYFUNCTION("""COMPUTED_VALUE"""),136.89)</f>
        <v>136.89</v>
      </c>
      <c r="AQ35" s="1">
        <f>IFERROR(__xludf.DUMMYFUNCTION("""COMPUTED_VALUE"""),444.85)</f>
        <v>444.85</v>
      </c>
      <c r="AR35" s="3">
        <f>IFERROR(__xludf.DUMMYFUNCTION("""COMPUTED_VALUE"""),202.26)</f>
        <v>202.26</v>
      </c>
      <c r="AS35" s="3">
        <f>IFERROR(__xludf.DUMMYFUNCTION("""COMPUTED_VALUE"""),467.1)</f>
        <v>467.1</v>
      </c>
      <c r="AT35" s="3">
        <f>IFERROR(__xludf.DUMMYFUNCTION("""COMPUTED_VALUE"""),298.7)</f>
        <v>298.7</v>
      </c>
      <c r="AU35" s="1">
        <f>IFERROR(__xludf.DUMMYFUNCTION("""COMPUTED_VALUE"""),26.62)</f>
        <v>26.62</v>
      </c>
      <c r="AV35" s="1">
        <f>IFERROR(__xludf.DUMMYFUNCTION("""COMPUTED_VALUE"""),78.71)</f>
        <v>78.71</v>
      </c>
      <c r="AW35" s="1">
        <f>IFERROR(__xludf.DUMMYFUNCTION("""COMPUTED_VALUE"""),70.19)</f>
        <v>70.19</v>
      </c>
      <c r="AX35" s="1">
        <f>IFERROR(__xludf.DUMMYFUNCTION("""COMPUTED_VALUE"""),12.73)</f>
        <v>12.73</v>
      </c>
      <c r="AY35" s="1">
        <f>IFERROR(__xludf.DUMMYFUNCTION("""COMPUTED_VALUE"""),446.95)</f>
        <v>446.95</v>
      </c>
      <c r="AZ35" s="3">
        <f>IFERROR(__xludf.DUMMYFUNCTION("""COMPUTED_VALUE"""),70.81)</f>
        <v>70.81</v>
      </c>
      <c r="BA35" s="3">
        <f>IFERROR(__xludf.DUMMYFUNCTION("""COMPUTED_VALUE"""),77.86)</f>
        <v>77.86</v>
      </c>
      <c r="BB35" s="3">
        <f>IFERROR(__xludf.DUMMYFUNCTION("""COMPUTED_VALUE"""),123.54)</f>
        <v>123.54</v>
      </c>
      <c r="BC35" s="1">
        <f>IFERROR(__xludf.DUMMYFUNCTION("""COMPUTED_VALUE"""),96.26)</f>
        <v>96.26</v>
      </c>
      <c r="BD35" s="1">
        <f>IFERROR(__xludf.DUMMYFUNCTION("""COMPUTED_VALUE"""),38.8)</f>
        <v>38.8</v>
      </c>
      <c r="BE35" s="1">
        <f>IFERROR(__xludf.DUMMYFUNCTION("""COMPUTED_VALUE"""),25.33)</f>
        <v>25.33</v>
      </c>
      <c r="BF35" s="1">
        <f>IFERROR(__xludf.DUMMYFUNCTION("""COMPUTED_VALUE"""),58.03)</f>
        <v>58.03</v>
      </c>
      <c r="BG35" s="1">
        <f>IFERROR(__xludf.DUMMYFUNCTION("""COMPUTED_VALUE"""),27.98)</f>
        <v>27.98</v>
      </c>
      <c r="BH35" s="1">
        <f>IFERROR(__xludf.DUMMYFUNCTION("""COMPUTED_VALUE"""),100.39)</f>
        <v>100.39</v>
      </c>
      <c r="BI35" s="1">
        <f>IFERROR(__xludf.DUMMYFUNCTION("""COMPUTED_VALUE"""),38.81)</f>
        <v>38.81</v>
      </c>
      <c r="BJ35" s="1">
        <f>IFERROR(__xludf.DUMMYFUNCTION("""COMPUTED_VALUE"""),176.18)</f>
        <v>176.18</v>
      </c>
      <c r="BK35" s="1">
        <f>IFERROR(__xludf.DUMMYFUNCTION("""COMPUTED_VALUE"""),553.0)</f>
        <v>553</v>
      </c>
      <c r="BL35" s="1">
        <f>IFERROR(__xludf.DUMMYFUNCTION("""COMPUTED_VALUE"""),204.97)</f>
        <v>204.97</v>
      </c>
      <c r="BM35" s="1">
        <f>IFERROR(__xludf.DUMMYFUNCTION("""COMPUTED_VALUE"""),150.62)</f>
        <v>150.62</v>
      </c>
      <c r="BN35" s="3">
        <f>IFERROR(__xludf.DUMMYFUNCTION("""COMPUTED_VALUE"""),6.67)</f>
        <v>6.67</v>
      </c>
      <c r="BO35" s="1">
        <f>IFERROR(__xludf.DUMMYFUNCTION("""COMPUTED_VALUE"""),226.26)</f>
        <v>226.26</v>
      </c>
      <c r="BP35" s="1">
        <f>IFERROR(__xludf.DUMMYFUNCTION("""COMPUTED_VALUE"""),509.26)</f>
        <v>509.26</v>
      </c>
      <c r="BQ35" s="36">
        <f>IFERROR(__xludf.DUMMYFUNCTION("""COMPUTED_VALUE"""),48.54)</f>
        <v>48.54</v>
      </c>
      <c r="BR35" s="1">
        <f>IFERROR(__xludf.DUMMYFUNCTION("""COMPUTED_VALUE"""),10.63)</f>
        <v>10.63</v>
      </c>
      <c r="BS35" s="1">
        <f>IFERROR(__xludf.DUMMYFUNCTION("""COMPUTED_VALUE"""),213.34)</f>
        <v>213.34</v>
      </c>
      <c r="BT35" s="1">
        <f>IFERROR(__xludf.DUMMYFUNCTION("""COMPUTED_VALUE"""),99.29)</f>
        <v>99.29</v>
      </c>
      <c r="BU35" s="3">
        <v>1.0</v>
      </c>
    </row>
    <row r="36">
      <c r="A36" s="25">
        <f>IFERROR(__xludf.DUMMYFUNCTION("""COMPUTED_VALUE"""),45474.66666666667)</f>
        <v>45474.66667</v>
      </c>
      <c r="B36" s="29">
        <f>'Master Scratch Work'!B35</f>
        <v>1244226.74</v>
      </c>
      <c r="C36" s="15">
        <f>IFERROR(__xludf.DUMMYFUNCTION("""COMPUTED_VALUE"""),5475.09)</f>
        <v>5475.09</v>
      </c>
      <c r="D36" s="15">
        <f>IFERROR(__xludf.DUMMYFUNCTION("""COMPUTED_VALUE"""),17879.3)</f>
        <v>17879.3</v>
      </c>
      <c r="E36" s="15">
        <f>IFERROR(__xludf.DUMMYFUNCTION("""COMPUTED_VALUE"""),39169.52)</f>
        <v>39169.52</v>
      </c>
      <c r="F36" s="15">
        <f>IFERROR(__xludf.DUMMYFUNCTION("""COMPUTED_VALUE"""),2030.07)</f>
        <v>2030.07</v>
      </c>
      <c r="G36" s="3">
        <f>IFERROR(__xludf.DUMMYFUNCTION("""COMPUTED_VALUE"""),545.34)</f>
        <v>545.34</v>
      </c>
      <c r="H36" s="3">
        <f>IFERROR(__xludf.DUMMYFUNCTION("""COMPUTED_VALUE"""),481.92)</f>
        <v>481.92</v>
      </c>
      <c r="I36" s="3">
        <f>IFERROR(__xludf.DUMMYFUNCTION("""COMPUTED_VALUE"""),560.01)</f>
        <v>560.01</v>
      </c>
      <c r="J36" s="3">
        <f>IFERROR(__xludf.DUMMYFUNCTION("""COMPUTED_VALUE"""),197.2)</f>
        <v>197.2</v>
      </c>
      <c r="K36" s="3">
        <f>IFERROR(__xludf.DUMMYFUNCTION("""COMPUTED_VALUE"""),127.76)</f>
        <v>127.76</v>
      </c>
      <c r="L36" s="3">
        <f>IFERROR(__xludf.DUMMYFUNCTION("""COMPUTED_VALUE"""),216.75)</f>
        <v>216.75</v>
      </c>
      <c r="M36" s="3">
        <f>IFERROR(__xludf.DUMMYFUNCTION("""COMPUTED_VALUE"""),237.41)</f>
        <v>237.41</v>
      </c>
      <c r="N36" s="3">
        <f>IFERROR(__xludf.DUMMYFUNCTION("""COMPUTED_VALUE"""),60.11)</f>
        <v>60.11</v>
      </c>
      <c r="O36" s="3">
        <f>IFERROR(__xludf.DUMMYFUNCTION("""COMPUTED_VALUE"""),10.87)</f>
        <v>10.87</v>
      </c>
      <c r="P36" s="3">
        <f>IFERROR(__xludf.DUMMYFUNCTION("""COMPUTED_VALUE"""),405.19)</f>
        <v>405.19</v>
      </c>
      <c r="Q36" s="3">
        <f>IFERROR(__xludf.DUMMYFUNCTION("""COMPUTED_VALUE"""),57.71)</f>
        <v>57.71</v>
      </c>
      <c r="R36" s="3">
        <f>IFERROR(__xludf.DUMMYFUNCTION("""COMPUTED_VALUE"""),231.77)</f>
        <v>231.77</v>
      </c>
      <c r="S36" s="3">
        <f>IFERROR(__xludf.DUMMYFUNCTION("""COMPUTED_VALUE"""),76.41)</f>
        <v>76.41</v>
      </c>
      <c r="T36" s="3">
        <f>IFERROR(__xludf.DUMMYFUNCTION("""COMPUTED_VALUE"""),61.9)</f>
        <v>61.9</v>
      </c>
      <c r="U36" s="3">
        <f>IFERROR(__xludf.DUMMYFUNCTION("""COMPUTED_VALUE"""),329.08)</f>
        <v>329.08</v>
      </c>
      <c r="V36" s="3">
        <f>IFERROR(__xludf.DUMMYFUNCTION("""COMPUTED_VALUE"""),50.22)</f>
        <v>50.22</v>
      </c>
      <c r="W36" s="3">
        <f>IFERROR(__xludf.DUMMYFUNCTION("""COMPUTED_VALUE"""),165.0)</f>
        <v>165</v>
      </c>
      <c r="X36" s="3">
        <f>IFERROR(__xludf.DUMMYFUNCTION("""COMPUTED_VALUE"""),156.52)</f>
        <v>156.52</v>
      </c>
      <c r="Y36" s="1">
        <f>IFERROR(__xludf.DUMMYFUNCTION("""COMPUTED_VALUE"""),326.27)</f>
        <v>326.27</v>
      </c>
      <c r="Z36" s="1">
        <f>IFERROR(__xludf.DUMMYFUNCTION("""COMPUTED_VALUE"""),35.83)</f>
        <v>35.83</v>
      </c>
      <c r="AA36" s="1">
        <f>IFERROR(__xludf.DUMMYFUNCTION("""COMPUTED_VALUE"""),63.28)</f>
        <v>63.28</v>
      </c>
      <c r="AB36" s="1">
        <f>IFERROR(__xludf.DUMMYFUNCTION("""COMPUTED_VALUE"""),88.81)</f>
        <v>88.81</v>
      </c>
      <c r="AC36" s="1">
        <f>IFERROR(__xludf.DUMMYFUNCTION("""COMPUTED_VALUE"""),152.13)</f>
        <v>152.13</v>
      </c>
      <c r="AD36" s="3">
        <f>IFERROR(__xludf.DUMMYFUNCTION("""COMPUTED_VALUE"""),107.25)</f>
        <v>107.25</v>
      </c>
      <c r="AE36" s="1">
        <f>IFERROR(__xludf.DUMMYFUNCTION("""COMPUTED_VALUE"""),505.35)</f>
        <v>505.35</v>
      </c>
      <c r="AF36" s="1">
        <f>IFERROR(__xludf.DUMMYFUNCTION("""COMPUTED_VALUE"""),52.68)</f>
        <v>52.68</v>
      </c>
      <c r="AG36" s="1">
        <f>IFERROR(__xludf.DUMMYFUNCTION("""COMPUTED_VALUE"""),114.96)</f>
        <v>114.96</v>
      </c>
      <c r="AH36" s="3">
        <f>IFERROR(__xludf.DUMMYFUNCTION("""COMPUTED_VALUE"""),298.68)</f>
        <v>298.68</v>
      </c>
      <c r="AI36" s="1">
        <f>IFERROR(__xludf.DUMMYFUNCTION("""COMPUTED_VALUE"""),410.24)</f>
        <v>410.24</v>
      </c>
      <c r="AJ36" s="1">
        <f>IFERROR(__xludf.DUMMYFUNCTION("""COMPUTED_VALUE"""),287.87)</f>
        <v>287.87</v>
      </c>
      <c r="AK36" s="3">
        <f>IFERROR(__xludf.DUMMYFUNCTION("""COMPUTED_VALUE"""),46.68)</f>
        <v>46.68</v>
      </c>
      <c r="AL36" s="1">
        <f>IFERROR(__xludf.DUMMYFUNCTION("""COMPUTED_VALUE"""),68.64)</f>
        <v>68.64</v>
      </c>
      <c r="AM36" s="1">
        <f>IFERROR(__xludf.DUMMYFUNCTION("""COMPUTED_VALUE"""),463.66)</f>
        <v>463.66</v>
      </c>
      <c r="AN36" s="1">
        <f>IFERROR(__xludf.DUMMYFUNCTION("""COMPUTED_VALUE"""),336.19)</f>
        <v>336.19</v>
      </c>
      <c r="AO36" s="1">
        <f>IFERROR(__xludf.DUMMYFUNCTION("""COMPUTED_VALUE"""),98.63)</f>
        <v>98.63</v>
      </c>
      <c r="AP36" s="1">
        <f>IFERROR(__xludf.DUMMYFUNCTION("""COMPUTED_VALUE"""),136.93)</f>
        <v>136.93</v>
      </c>
      <c r="AQ36" s="1">
        <f>IFERROR(__xludf.DUMMYFUNCTION("""COMPUTED_VALUE"""),436.24)</f>
        <v>436.24</v>
      </c>
      <c r="AR36" s="3">
        <f>IFERROR(__xludf.DUMMYFUNCTION("""COMPUTED_VALUE"""),205.45)</f>
        <v>205.45</v>
      </c>
      <c r="AS36" s="3">
        <f>IFERROR(__xludf.DUMMYFUNCTION("""COMPUTED_VALUE"""),466.44)</f>
        <v>466.44</v>
      </c>
      <c r="AT36" s="3">
        <f>IFERROR(__xludf.DUMMYFUNCTION("""COMPUTED_VALUE"""),302.36)</f>
        <v>302.36</v>
      </c>
      <c r="AU36" s="1">
        <f>IFERROR(__xludf.DUMMYFUNCTION("""COMPUTED_VALUE"""),26.3)</f>
        <v>26.3</v>
      </c>
      <c r="AV36" s="1">
        <f>IFERROR(__xludf.DUMMYFUNCTION("""COMPUTED_VALUE"""),77.12)</f>
        <v>77.12</v>
      </c>
      <c r="AW36" s="1">
        <f>IFERROR(__xludf.DUMMYFUNCTION("""COMPUTED_VALUE"""),69.88)</f>
        <v>69.88</v>
      </c>
      <c r="AX36" s="1">
        <f>IFERROR(__xludf.DUMMYFUNCTION("""COMPUTED_VALUE"""),12.8)</f>
        <v>12.8</v>
      </c>
      <c r="AY36" s="1">
        <f>IFERROR(__xludf.DUMMYFUNCTION("""COMPUTED_VALUE"""),456.73)</f>
        <v>456.73</v>
      </c>
      <c r="AZ36" s="3">
        <f>IFERROR(__xludf.DUMMYFUNCTION("""COMPUTED_VALUE"""),69.9)</f>
        <v>69.9</v>
      </c>
      <c r="BA36" s="3">
        <f>IFERROR(__xludf.DUMMYFUNCTION("""COMPUTED_VALUE"""),77.85)</f>
        <v>77.85</v>
      </c>
      <c r="BB36" s="3">
        <f>IFERROR(__xludf.DUMMYFUNCTION("""COMPUTED_VALUE"""),124.3)</f>
        <v>124.3</v>
      </c>
      <c r="BC36" s="1">
        <f>IFERROR(__xludf.DUMMYFUNCTION("""COMPUTED_VALUE"""),94.95)</f>
        <v>94.95</v>
      </c>
      <c r="BD36" s="1">
        <f>IFERROR(__xludf.DUMMYFUNCTION("""COMPUTED_VALUE"""),38.03)</f>
        <v>38.03</v>
      </c>
      <c r="BE36" s="1">
        <f>IFERROR(__xludf.DUMMYFUNCTION("""COMPUTED_VALUE"""),25.88)</f>
        <v>25.88</v>
      </c>
      <c r="BF36" s="1">
        <f>IFERROR(__xludf.DUMMYFUNCTION("""COMPUTED_VALUE"""),57.81)</f>
        <v>57.81</v>
      </c>
      <c r="BG36" s="1">
        <f>IFERROR(__xludf.DUMMYFUNCTION("""COMPUTED_VALUE"""),28.22)</f>
        <v>28.22</v>
      </c>
      <c r="BH36" s="1">
        <f>IFERROR(__xludf.DUMMYFUNCTION("""COMPUTED_VALUE"""),99.55)</f>
        <v>99.55</v>
      </c>
      <c r="BI36" s="1">
        <f>IFERROR(__xludf.DUMMYFUNCTION("""COMPUTED_VALUE"""),38.81)</f>
        <v>38.81</v>
      </c>
      <c r="BJ36" s="1">
        <f>IFERROR(__xludf.DUMMYFUNCTION("""COMPUTED_VALUE"""),179.08)</f>
        <v>179.08</v>
      </c>
      <c r="BK36" s="1">
        <f>IFERROR(__xludf.DUMMYFUNCTION("""COMPUTED_VALUE"""),541.72)</f>
        <v>541.72</v>
      </c>
      <c r="BL36" s="1">
        <f>IFERROR(__xludf.DUMMYFUNCTION("""COMPUTED_VALUE"""),203.71)</f>
        <v>203.71</v>
      </c>
      <c r="BM36" s="1">
        <f>IFERROR(__xludf.DUMMYFUNCTION("""COMPUTED_VALUE"""),150.19)</f>
        <v>150.19</v>
      </c>
      <c r="BN36" s="3">
        <f>IFERROR(__xludf.DUMMYFUNCTION("""COMPUTED_VALUE"""),6.51)</f>
        <v>6.51</v>
      </c>
      <c r="BO36" s="1">
        <f>IFERROR(__xludf.DUMMYFUNCTION("""COMPUTED_VALUE"""),224.86)</f>
        <v>224.86</v>
      </c>
      <c r="BP36" s="1">
        <f>IFERROR(__xludf.DUMMYFUNCTION("""COMPUTED_VALUE"""),494.65)</f>
        <v>494.65</v>
      </c>
      <c r="BQ36" s="36">
        <f>IFERROR(__xludf.DUMMYFUNCTION("""COMPUTED_VALUE"""),48.06)</f>
        <v>48.06</v>
      </c>
      <c r="BR36" s="1">
        <f>IFERROR(__xludf.DUMMYFUNCTION("""COMPUTED_VALUE"""),10.59)</f>
        <v>10.59</v>
      </c>
      <c r="BS36" s="1">
        <f>IFERROR(__xludf.DUMMYFUNCTION("""COMPUTED_VALUE"""),209.36)</f>
        <v>209.36</v>
      </c>
      <c r="BT36" s="1">
        <f>IFERROR(__xludf.DUMMYFUNCTION("""COMPUTED_VALUE"""),98.04)</f>
        <v>98.04</v>
      </c>
      <c r="BU36" s="3">
        <v>1.0</v>
      </c>
    </row>
    <row r="37">
      <c r="A37" s="25">
        <f>IFERROR(__xludf.DUMMYFUNCTION("""COMPUTED_VALUE"""),45475.66666666667)</f>
        <v>45475.66667</v>
      </c>
      <c r="B37" s="29">
        <f>'Master Scratch Work'!B36</f>
        <v>1247668.44</v>
      </c>
      <c r="C37" s="15">
        <f>IFERROR(__xludf.DUMMYFUNCTION("""COMPUTED_VALUE"""),5509.01)</f>
        <v>5509.01</v>
      </c>
      <c r="D37" s="15">
        <f>IFERROR(__xludf.DUMMYFUNCTION("""COMPUTED_VALUE"""),18028.76)</f>
        <v>18028.76</v>
      </c>
      <c r="E37" s="15">
        <f>IFERROR(__xludf.DUMMYFUNCTION("""COMPUTED_VALUE"""),39331.85)</f>
        <v>39331.85</v>
      </c>
      <c r="F37" s="15">
        <f>IFERROR(__xludf.DUMMYFUNCTION("""COMPUTED_VALUE"""),2033.87)</f>
        <v>2033.87</v>
      </c>
      <c r="G37" s="3">
        <f>IFERROR(__xludf.DUMMYFUNCTION("""COMPUTED_VALUE"""),549.01)</f>
        <v>549.01</v>
      </c>
      <c r="H37" s="3">
        <f>IFERROR(__xludf.DUMMYFUNCTION("""COMPUTED_VALUE"""),486.98)</f>
        <v>486.98</v>
      </c>
      <c r="I37" s="3">
        <f>IFERROR(__xludf.DUMMYFUNCTION("""COMPUTED_VALUE"""),567.71)</f>
        <v>567.71</v>
      </c>
      <c r="J37" s="3">
        <f>IFERROR(__xludf.DUMMYFUNCTION("""COMPUTED_VALUE"""),200.0)</f>
        <v>200</v>
      </c>
      <c r="K37" s="3">
        <f>IFERROR(__xludf.DUMMYFUNCTION("""COMPUTED_VALUE"""),128.46)</f>
        <v>128.46</v>
      </c>
      <c r="L37" s="3">
        <f>IFERROR(__xludf.DUMMYFUNCTION("""COMPUTED_VALUE"""),220.27)</f>
        <v>220.27</v>
      </c>
      <c r="M37" s="3">
        <f>IFERROR(__xludf.DUMMYFUNCTION("""COMPUTED_VALUE"""),240.86)</f>
        <v>240.86</v>
      </c>
      <c r="N37" s="3">
        <f>IFERROR(__xludf.DUMMYFUNCTION("""COMPUTED_VALUE"""),60.5)</f>
        <v>60.5</v>
      </c>
      <c r="O37" s="3">
        <f>IFERROR(__xludf.DUMMYFUNCTION("""COMPUTED_VALUE"""),10.89)</f>
        <v>10.89</v>
      </c>
      <c r="P37" s="3">
        <f>IFERROR(__xludf.DUMMYFUNCTION("""COMPUTED_VALUE"""),407.1)</f>
        <v>407.1</v>
      </c>
      <c r="Q37" s="3">
        <f>IFERROR(__xludf.DUMMYFUNCTION("""COMPUTED_VALUE"""),57.75)</f>
        <v>57.75</v>
      </c>
      <c r="R37" s="3">
        <f>IFERROR(__xludf.DUMMYFUNCTION("""COMPUTED_VALUE"""),228.82)</f>
        <v>228.82</v>
      </c>
      <c r="S37" s="3">
        <f>IFERROR(__xludf.DUMMYFUNCTION("""COMPUTED_VALUE"""),76.55)</f>
        <v>76.55</v>
      </c>
      <c r="T37" s="3">
        <f>IFERROR(__xludf.DUMMYFUNCTION("""COMPUTED_VALUE"""),62.83)</f>
        <v>62.83</v>
      </c>
      <c r="U37" s="3">
        <f>IFERROR(__xludf.DUMMYFUNCTION("""COMPUTED_VALUE"""),327.76)</f>
        <v>327.76</v>
      </c>
      <c r="V37" s="3">
        <f>IFERROR(__xludf.DUMMYFUNCTION("""COMPUTED_VALUE"""),49.73)</f>
        <v>49.73</v>
      </c>
      <c r="W37" s="3">
        <f>IFERROR(__xludf.DUMMYFUNCTION("""COMPUTED_VALUE"""),167.73)</f>
        <v>167.73</v>
      </c>
      <c r="X37" s="3">
        <f>IFERROR(__xludf.DUMMYFUNCTION("""COMPUTED_VALUE"""),156.75)</f>
        <v>156.75</v>
      </c>
      <c r="Y37" s="1">
        <f>IFERROR(__xludf.DUMMYFUNCTION("""COMPUTED_VALUE"""),325.91)</f>
        <v>325.91</v>
      </c>
      <c r="Z37" s="1">
        <f>IFERROR(__xludf.DUMMYFUNCTION("""COMPUTED_VALUE"""),36.38)</f>
        <v>36.38</v>
      </c>
      <c r="AA37" s="1">
        <f>IFERROR(__xludf.DUMMYFUNCTION("""COMPUTED_VALUE"""),63.15)</f>
        <v>63.15</v>
      </c>
      <c r="AB37" s="1">
        <f>IFERROR(__xludf.DUMMYFUNCTION("""COMPUTED_VALUE"""),88.97)</f>
        <v>88.97</v>
      </c>
      <c r="AC37" s="1">
        <f>IFERROR(__xludf.DUMMYFUNCTION("""COMPUTED_VALUE"""),152.91)</f>
        <v>152.91</v>
      </c>
      <c r="AD37" s="3">
        <f>IFERROR(__xludf.DUMMYFUNCTION("""COMPUTED_VALUE"""),107.11)</f>
        <v>107.11</v>
      </c>
      <c r="AE37" s="1">
        <f>IFERROR(__xludf.DUMMYFUNCTION("""COMPUTED_VALUE"""),492.61)</f>
        <v>492.61</v>
      </c>
      <c r="AF37" s="1">
        <f>IFERROR(__xludf.DUMMYFUNCTION("""COMPUTED_VALUE"""),53.25)</f>
        <v>53.25</v>
      </c>
      <c r="AG37" s="1">
        <f>IFERROR(__xludf.DUMMYFUNCTION("""COMPUTED_VALUE"""),114.18)</f>
        <v>114.18</v>
      </c>
      <c r="AH37" s="3">
        <f>IFERROR(__xludf.DUMMYFUNCTION("""COMPUTED_VALUE"""),298.22)</f>
        <v>298.22</v>
      </c>
      <c r="AI37" s="1">
        <f>IFERROR(__xludf.DUMMYFUNCTION("""COMPUTED_VALUE"""),414.38)</f>
        <v>414.38</v>
      </c>
      <c r="AJ37" s="1">
        <f>IFERROR(__xludf.DUMMYFUNCTION("""COMPUTED_VALUE"""),285.81)</f>
        <v>285.81</v>
      </c>
      <c r="AK37" s="3">
        <f>IFERROR(__xludf.DUMMYFUNCTION("""COMPUTED_VALUE"""),46.95)</f>
        <v>46.95</v>
      </c>
      <c r="AL37" s="1">
        <f>IFERROR(__xludf.DUMMYFUNCTION("""COMPUTED_VALUE"""),68.4)</f>
        <v>68.4</v>
      </c>
      <c r="AM37" s="1">
        <f>IFERROR(__xludf.DUMMYFUNCTION("""COMPUTED_VALUE"""),465.61)</f>
        <v>465.61</v>
      </c>
      <c r="AN37" s="1">
        <f>IFERROR(__xludf.DUMMYFUNCTION("""COMPUTED_VALUE"""),334.97)</f>
        <v>334.97</v>
      </c>
      <c r="AO37" s="1">
        <f>IFERROR(__xludf.DUMMYFUNCTION("""COMPUTED_VALUE"""),99.26)</f>
        <v>99.26</v>
      </c>
      <c r="AP37" s="1">
        <f>IFERROR(__xludf.DUMMYFUNCTION("""COMPUTED_VALUE"""),140.82)</f>
        <v>140.82</v>
      </c>
      <c r="AQ37" s="1">
        <f>IFERROR(__xludf.DUMMYFUNCTION("""COMPUTED_VALUE"""),438.81)</f>
        <v>438.81</v>
      </c>
      <c r="AR37" s="3">
        <f>IFERROR(__xludf.DUMMYFUNCTION("""COMPUTED_VALUE"""),208.83)</f>
        <v>208.83</v>
      </c>
      <c r="AS37" s="3">
        <f>IFERROR(__xludf.DUMMYFUNCTION("""COMPUTED_VALUE"""),465.7)</f>
        <v>465.7</v>
      </c>
      <c r="AT37" s="3">
        <f>IFERROR(__xludf.DUMMYFUNCTION("""COMPUTED_VALUE"""),301.67)</f>
        <v>301.67</v>
      </c>
      <c r="AU37" s="1">
        <f>IFERROR(__xludf.DUMMYFUNCTION("""COMPUTED_VALUE"""),26.43)</f>
        <v>26.43</v>
      </c>
      <c r="AV37" s="1">
        <f>IFERROR(__xludf.DUMMYFUNCTION("""COMPUTED_VALUE"""),77.37)</f>
        <v>77.37</v>
      </c>
      <c r="AW37" s="1">
        <f>IFERROR(__xludf.DUMMYFUNCTION("""COMPUTED_VALUE"""),70.04)</f>
        <v>70.04</v>
      </c>
      <c r="AX37" s="1">
        <f>IFERROR(__xludf.DUMMYFUNCTION("""COMPUTED_VALUE"""),13.74)</f>
        <v>13.74</v>
      </c>
      <c r="AY37" s="1">
        <f>IFERROR(__xludf.DUMMYFUNCTION("""COMPUTED_VALUE"""),459.28)</f>
        <v>459.28</v>
      </c>
      <c r="AZ37" s="3">
        <f>IFERROR(__xludf.DUMMYFUNCTION("""COMPUTED_VALUE"""),70.47)</f>
        <v>70.47</v>
      </c>
      <c r="BA37" s="3">
        <f>IFERROR(__xludf.DUMMYFUNCTION("""COMPUTED_VALUE"""),77.89)</f>
        <v>77.89</v>
      </c>
      <c r="BB37" s="3">
        <f>IFERROR(__xludf.DUMMYFUNCTION("""COMPUTED_VALUE"""),122.67)</f>
        <v>122.67</v>
      </c>
      <c r="BC37" s="1">
        <f>IFERROR(__xludf.DUMMYFUNCTION("""COMPUTED_VALUE"""),95.95)</f>
        <v>95.95</v>
      </c>
      <c r="BD37" s="1">
        <f>IFERROR(__xludf.DUMMYFUNCTION("""COMPUTED_VALUE"""),37.22)</f>
        <v>37.22</v>
      </c>
      <c r="BE37" s="1">
        <f>IFERROR(__xludf.DUMMYFUNCTION("""COMPUTED_VALUE"""),25.83)</f>
        <v>25.83</v>
      </c>
      <c r="BF37" s="1">
        <f>IFERROR(__xludf.DUMMYFUNCTION("""COMPUTED_VALUE"""),58.97)</f>
        <v>58.97</v>
      </c>
      <c r="BG37" s="1">
        <f>IFERROR(__xludf.DUMMYFUNCTION("""COMPUTED_VALUE"""),27.83)</f>
        <v>27.83</v>
      </c>
      <c r="BH37" s="1">
        <f>IFERROR(__xludf.DUMMYFUNCTION("""COMPUTED_VALUE"""),100.41)</f>
        <v>100.41</v>
      </c>
      <c r="BI37" s="1">
        <f>IFERROR(__xludf.DUMMYFUNCTION("""COMPUTED_VALUE"""),37.38)</f>
        <v>37.38</v>
      </c>
      <c r="BJ37" s="1">
        <f>IFERROR(__xludf.DUMMYFUNCTION("""COMPUTED_VALUE"""),179.98)</f>
        <v>179.98</v>
      </c>
      <c r="BK37" s="1">
        <f>IFERROR(__xludf.DUMMYFUNCTION("""COMPUTED_VALUE"""),533.93)</f>
        <v>533.93</v>
      </c>
      <c r="BL37" s="1">
        <f>IFERROR(__xludf.DUMMYFUNCTION("""COMPUTED_VALUE"""),206.21)</f>
        <v>206.21</v>
      </c>
      <c r="BM37" s="1">
        <f>IFERROR(__xludf.DUMMYFUNCTION("""COMPUTED_VALUE"""),148.97)</f>
        <v>148.97</v>
      </c>
      <c r="BN37" s="3">
        <f>IFERROR(__xludf.DUMMYFUNCTION("""COMPUTED_VALUE"""),6.44)</f>
        <v>6.44</v>
      </c>
      <c r="BO37" s="1">
        <f>IFERROR(__xludf.DUMMYFUNCTION("""COMPUTED_VALUE"""),225.5)</f>
        <v>225.5</v>
      </c>
      <c r="BP37" s="1">
        <f>IFERROR(__xludf.DUMMYFUNCTION("""COMPUTED_VALUE"""),498.24)</f>
        <v>498.24</v>
      </c>
      <c r="BQ37" s="36">
        <f>IFERROR(__xludf.DUMMYFUNCTION("""COMPUTED_VALUE"""),48.09)</f>
        <v>48.09</v>
      </c>
      <c r="BR37" s="1">
        <f>IFERROR(__xludf.DUMMYFUNCTION("""COMPUTED_VALUE"""),10.43)</f>
        <v>10.43</v>
      </c>
      <c r="BS37" s="1">
        <f>IFERROR(__xludf.DUMMYFUNCTION("""COMPUTED_VALUE"""),209.47)</f>
        <v>209.47</v>
      </c>
      <c r="BT37" s="1">
        <f>IFERROR(__xludf.DUMMYFUNCTION("""COMPUTED_VALUE"""),97.99)</f>
        <v>97.99</v>
      </c>
      <c r="BU37" s="3">
        <v>1.0</v>
      </c>
    </row>
    <row r="38">
      <c r="A38" s="25">
        <f>IFERROR(__xludf.DUMMYFUNCTION("""COMPUTED_VALUE"""),45476.54513888889)</f>
        <v>45476.54514</v>
      </c>
      <c r="B38" s="29">
        <f>'Master Scratch Work'!B37</f>
        <v>1250482.06</v>
      </c>
      <c r="C38" s="15">
        <f>IFERROR(__xludf.DUMMYFUNCTION("""COMPUTED_VALUE"""),5537.02)</f>
        <v>5537.02</v>
      </c>
      <c r="D38" s="15">
        <f>IFERROR(__xludf.DUMMYFUNCTION("""COMPUTED_VALUE"""),18188.3)</f>
        <v>18188.3</v>
      </c>
      <c r="E38" s="15">
        <f>IFERROR(__xludf.DUMMYFUNCTION("""COMPUTED_VALUE"""),39308.0)</f>
        <v>39308</v>
      </c>
      <c r="F38" s="15">
        <f>IFERROR(__xludf.DUMMYFUNCTION("""COMPUTED_VALUE"""),2036.62)</f>
        <v>2036.62</v>
      </c>
      <c r="G38" s="3">
        <f>IFERROR(__xludf.DUMMYFUNCTION("""COMPUTED_VALUE"""),551.46)</f>
        <v>551.46</v>
      </c>
      <c r="H38" s="3">
        <f>IFERROR(__xludf.DUMMYFUNCTION("""COMPUTED_VALUE"""),491.04)</f>
        <v>491.04</v>
      </c>
      <c r="I38" s="3">
        <f>IFERROR(__xludf.DUMMYFUNCTION("""COMPUTED_VALUE"""),570.15)</f>
        <v>570.15</v>
      </c>
      <c r="J38" s="3">
        <f>IFERROR(__xludf.DUMMYFUNCTION("""COMPUTED_VALUE"""),197.59)</f>
        <v>197.59</v>
      </c>
      <c r="K38" s="3">
        <f>IFERROR(__xludf.DUMMYFUNCTION("""COMPUTED_VALUE"""),127.96)</f>
        <v>127.96</v>
      </c>
      <c r="L38" s="3">
        <f>IFERROR(__xludf.DUMMYFUNCTION("""COMPUTED_VALUE"""),221.55)</f>
        <v>221.55</v>
      </c>
      <c r="M38" s="3">
        <f>IFERROR(__xludf.DUMMYFUNCTION("""COMPUTED_VALUE"""),243.31)</f>
        <v>243.31</v>
      </c>
      <c r="N38" s="3">
        <f>IFERROR(__xludf.DUMMYFUNCTION("""COMPUTED_VALUE"""),60.47)</f>
        <v>60.47</v>
      </c>
      <c r="O38" s="3">
        <f>IFERROR(__xludf.DUMMYFUNCTION("""COMPUTED_VALUE"""),11.18)</f>
        <v>11.18</v>
      </c>
      <c r="P38" s="3">
        <f>IFERROR(__xludf.DUMMYFUNCTION("""COMPUTED_VALUE"""),405.77)</f>
        <v>405.77</v>
      </c>
      <c r="Q38" s="3">
        <f>IFERROR(__xludf.DUMMYFUNCTION("""COMPUTED_VALUE"""),59.54)</f>
        <v>59.54</v>
      </c>
      <c r="R38" s="3">
        <f>IFERROR(__xludf.DUMMYFUNCTION("""COMPUTED_VALUE"""),224.61)</f>
        <v>224.61</v>
      </c>
      <c r="S38" s="3">
        <f>IFERROR(__xludf.DUMMYFUNCTION("""COMPUTED_VALUE"""),76.11)</f>
        <v>76.11</v>
      </c>
      <c r="T38" s="3">
        <f>IFERROR(__xludf.DUMMYFUNCTION("""COMPUTED_VALUE"""),63.46)</f>
        <v>63.46</v>
      </c>
      <c r="U38" s="3">
        <f>IFERROR(__xludf.DUMMYFUNCTION("""COMPUTED_VALUE"""),330.61)</f>
        <v>330.61</v>
      </c>
      <c r="V38" s="3">
        <f>IFERROR(__xludf.DUMMYFUNCTION("""COMPUTED_VALUE"""),50.56)</f>
        <v>50.56</v>
      </c>
      <c r="W38" s="3">
        <f>IFERROR(__xludf.DUMMYFUNCTION("""COMPUTED_VALUE"""),168.72)</f>
        <v>168.72</v>
      </c>
      <c r="X38" s="3">
        <f>IFERROR(__xludf.DUMMYFUNCTION("""COMPUTED_VALUE"""),156.71)</f>
        <v>156.71</v>
      </c>
      <c r="Y38" s="1">
        <f>IFERROR(__xludf.DUMMYFUNCTION("""COMPUTED_VALUE"""),325.43)</f>
        <v>325.43</v>
      </c>
      <c r="Z38" s="1">
        <f>IFERROR(__xludf.DUMMYFUNCTION("""COMPUTED_VALUE"""),36.05)</f>
        <v>36.05</v>
      </c>
      <c r="AA38" s="1">
        <f>IFERROR(__xludf.DUMMYFUNCTION("""COMPUTED_VALUE"""),63.33)</f>
        <v>63.33</v>
      </c>
      <c r="AB38" s="1">
        <f>IFERROR(__xludf.DUMMYFUNCTION("""COMPUTED_VALUE"""),88.71)</f>
        <v>88.71</v>
      </c>
      <c r="AC38" s="1">
        <f>IFERROR(__xludf.DUMMYFUNCTION("""COMPUTED_VALUE"""),151.71)</f>
        <v>151.71</v>
      </c>
      <c r="AD38" s="3">
        <f>IFERROR(__xludf.DUMMYFUNCTION("""COMPUTED_VALUE"""),105.95)</f>
        <v>105.95</v>
      </c>
      <c r="AE38" s="1">
        <f>IFERROR(__xludf.DUMMYFUNCTION("""COMPUTED_VALUE"""),497.33)</f>
        <v>497.33</v>
      </c>
      <c r="AF38" s="1">
        <f>IFERROR(__xludf.DUMMYFUNCTION("""COMPUTED_VALUE"""),52.61)</f>
        <v>52.61</v>
      </c>
      <c r="AG38" s="1">
        <f>IFERROR(__xludf.DUMMYFUNCTION("""COMPUTED_VALUE"""),114.76)</f>
        <v>114.76</v>
      </c>
      <c r="AH38" s="3">
        <f>IFERROR(__xludf.DUMMYFUNCTION("""COMPUTED_VALUE"""),293.71)</f>
        <v>293.71</v>
      </c>
      <c r="AI38" s="1">
        <f>IFERROR(__xludf.DUMMYFUNCTION("""COMPUTED_VALUE"""),422.72)</f>
        <v>422.72</v>
      </c>
      <c r="AJ38" s="1">
        <f>IFERROR(__xludf.DUMMYFUNCTION("""COMPUTED_VALUE"""),284.88)</f>
        <v>284.88</v>
      </c>
      <c r="AK38" s="3">
        <f>IFERROR(__xludf.DUMMYFUNCTION("""COMPUTED_VALUE"""),46.71)</f>
        <v>46.71</v>
      </c>
      <c r="AL38" s="1">
        <f>IFERROR(__xludf.DUMMYFUNCTION("""COMPUTED_VALUE"""),66.59)</f>
        <v>66.59</v>
      </c>
      <c r="AM38" s="1">
        <f>IFERROR(__xludf.DUMMYFUNCTION("""COMPUTED_VALUE"""),467.92)</f>
        <v>467.92</v>
      </c>
      <c r="AN38" s="1">
        <f>IFERROR(__xludf.DUMMYFUNCTION("""COMPUTED_VALUE"""),333.64)</f>
        <v>333.64</v>
      </c>
      <c r="AO38" s="1">
        <f>IFERROR(__xludf.DUMMYFUNCTION("""COMPUTED_VALUE"""),97.69)</f>
        <v>97.69</v>
      </c>
      <c r="AP38" s="1">
        <f>IFERROR(__xludf.DUMMYFUNCTION("""COMPUTED_VALUE"""),141.16)</f>
        <v>141.16</v>
      </c>
      <c r="AQ38" s="1">
        <f>IFERROR(__xludf.DUMMYFUNCTION("""COMPUTED_VALUE"""),434.81)</f>
        <v>434.81</v>
      </c>
      <c r="AR38" s="3">
        <f>IFERROR(__xludf.DUMMYFUNCTION("""COMPUTED_VALUE"""),208.69)</f>
        <v>208.69</v>
      </c>
      <c r="AS38" s="3">
        <f>IFERROR(__xludf.DUMMYFUNCTION("""COMPUTED_VALUE"""),466.03)</f>
        <v>466.03</v>
      </c>
      <c r="AT38" s="3">
        <f>IFERROR(__xludf.DUMMYFUNCTION("""COMPUTED_VALUE"""),300.32)</f>
        <v>300.32</v>
      </c>
      <c r="AU38" s="1">
        <f>IFERROR(__xludf.DUMMYFUNCTION("""COMPUTED_VALUE"""),26.83)</f>
        <v>26.83</v>
      </c>
      <c r="AV38" s="1">
        <f>IFERROR(__xludf.DUMMYFUNCTION("""COMPUTED_VALUE"""),77.17)</f>
        <v>77.17</v>
      </c>
      <c r="AW38" s="1">
        <f>IFERROR(__xludf.DUMMYFUNCTION("""COMPUTED_VALUE"""),70.16)</f>
        <v>70.16</v>
      </c>
      <c r="AX38" s="1">
        <f>IFERROR(__xludf.DUMMYFUNCTION("""COMPUTED_VALUE"""),14.16)</f>
        <v>14.16</v>
      </c>
      <c r="AY38" s="1">
        <f>IFERROR(__xludf.DUMMYFUNCTION("""COMPUTED_VALUE"""),460.77)</f>
        <v>460.77</v>
      </c>
      <c r="AZ38" s="3">
        <f>IFERROR(__xludf.DUMMYFUNCTION("""COMPUTED_VALUE"""),71.83)</f>
        <v>71.83</v>
      </c>
      <c r="BA38" s="3">
        <f>IFERROR(__xludf.DUMMYFUNCTION("""COMPUTED_VALUE"""),79.42)</f>
        <v>79.42</v>
      </c>
      <c r="BB38" s="3">
        <f>IFERROR(__xludf.DUMMYFUNCTION("""COMPUTED_VALUE"""),128.28)</f>
        <v>128.28</v>
      </c>
      <c r="BC38" s="1">
        <f>IFERROR(__xludf.DUMMYFUNCTION("""COMPUTED_VALUE"""),96.51)</f>
        <v>96.51</v>
      </c>
      <c r="BD38" s="1">
        <f>IFERROR(__xludf.DUMMYFUNCTION("""COMPUTED_VALUE"""),36.65)</f>
        <v>36.65</v>
      </c>
      <c r="BE38" s="1">
        <f>IFERROR(__xludf.DUMMYFUNCTION("""COMPUTED_VALUE"""),25.85)</f>
        <v>25.85</v>
      </c>
      <c r="BF38" s="1">
        <f>IFERROR(__xludf.DUMMYFUNCTION("""COMPUTED_VALUE"""),59.64)</f>
        <v>59.64</v>
      </c>
      <c r="BG38" s="1">
        <f>IFERROR(__xludf.DUMMYFUNCTION("""COMPUTED_VALUE"""),27.7)</f>
        <v>27.7</v>
      </c>
      <c r="BH38" s="1">
        <f>IFERROR(__xludf.DUMMYFUNCTION("""COMPUTED_VALUE"""),100.74)</f>
        <v>100.74</v>
      </c>
      <c r="BI38" s="1">
        <f>IFERROR(__xludf.DUMMYFUNCTION("""COMPUTED_VALUE"""),36.92)</f>
        <v>36.92</v>
      </c>
      <c r="BJ38" s="1">
        <f>IFERROR(__xludf.DUMMYFUNCTION("""COMPUTED_VALUE"""),178.46)</f>
        <v>178.46</v>
      </c>
      <c r="BK38" s="1">
        <f>IFERROR(__xludf.DUMMYFUNCTION("""COMPUTED_VALUE"""),535.61)</f>
        <v>535.61</v>
      </c>
      <c r="BL38" s="1">
        <f>IFERROR(__xludf.DUMMYFUNCTION("""COMPUTED_VALUE"""),206.25)</f>
        <v>206.25</v>
      </c>
      <c r="BM38" s="1">
        <f>IFERROR(__xludf.DUMMYFUNCTION("""COMPUTED_VALUE"""),149.53)</f>
        <v>149.53</v>
      </c>
      <c r="BN38" s="3">
        <f>IFERROR(__xludf.DUMMYFUNCTION("""COMPUTED_VALUE"""),6.4)</f>
        <v>6.4</v>
      </c>
      <c r="BO38" s="1">
        <f>IFERROR(__xludf.DUMMYFUNCTION("""COMPUTED_VALUE"""),225.57)</f>
        <v>225.57</v>
      </c>
      <c r="BP38" s="1">
        <f>IFERROR(__xludf.DUMMYFUNCTION("""COMPUTED_VALUE"""),489.89)</f>
        <v>489.89</v>
      </c>
      <c r="BQ38" s="36">
        <f>IFERROR(__xludf.DUMMYFUNCTION("""COMPUTED_VALUE"""),48.13)</f>
        <v>48.13</v>
      </c>
      <c r="BR38" s="1">
        <f>IFERROR(__xludf.DUMMYFUNCTION("""COMPUTED_VALUE"""),10.38)</f>
        <v>10.38</v>
      </c>
      <c r="BS38" s="1">
        <f>IFERROR(__xludf.DUMMYFUNCTION("""COMPUTED_VALUE"""),210.2)</f>
        <v>210.2</v>
      </c>
      <c r="BT38" s="1">
        <f>IFERROR(__xludf.DUMMYFUNCTION("""COMPUTED_VALUE"""),98.61)</f>
        <v>98.61</v>
      </c>
      <c r="BU38" s="3">
        <v>1.0</v>
      </c>
    </row>
    <row r="39">
      <c r="A39" s="25">
        <f>IFERROR(__xludf.DUMMYFUNCTION("""COMPUTED_VALUE"""),45478.66666666667)</f>
        <v>45478.66667</v>
      </c>
      <c r="B39" s="29">
        <f>'Master Scratch Work'!B38</f>
        <v>1251439.77</v>
      </c>
      <c r="C39" s="15">
        <f>IFERROR(__xludf.DUMMYFUNCTION("""COMPUTED_VALUE"""),5567.19)</f>
        <v>5567.19</v>
      </c>
      <c r="D39" s="15">
        <f>IFERROR(__xludf.DUMMYFUNCTION("""COMPUTED_VALUE"""),18352.76)</f>
        <v>18352.76</v>
      </c>
      <c r="E39" s="15">
        <f>IFERROR(__xludf.DUMMYFUNCTION("""COMPUTED_VALUE"""),39375.87)</f>
        <v>39375.87</v>
      </c>
      <c r="F39" s="15">
        <f>IFERROR(__xludf.DUMMYFUNCTION("""COMPUTED_VALUE"""),2026.73)</f>
        <v>2026.73</v>
      </c>
      <c r="G39" s="3">
        <f>IFERROR(__xludf.DUMMYFUNCTION("""COMPUTED_VALUE"""),554.64)</f>
        <v>554.64</v>
      </c>
      <c r="H39" s="3">
        <f>IFERROR(__xludf.DUMMYFUNCTION("""COMPUTED_VALUE"""),496.16)</f>
        <v>496.16</v>
      </c>
      <c r="I39" s="3">
        <f>IFERROR(__xludf.DUMMYFUNCTION("""COMPUTED_VALUE"""),578.34)</f>
        <v>578.34</v>
      </c>
      <c r="J39" s="3">
        <f>IFERROR(__xludf.DUMMYFUNCTION("""COMPUTED_VALUE"""),200.0)</f>
        <v>200</v>
      </c>
      <c r="K39" s="3">
        <f>IFERROR(__xludf.DUMMYFUNCTION("""COMPUTED_VALUE"""),130.01)</f>
        <v>130.01</v>
      </c>
      <c r="L39" s="3">
        <f>IFERROR(__xludf.DUMMYFUNCTION("""COMPUTED_VALUE"""),226.34)</f>
        <v>226.34</v>
      </c>
      <c r="M39" s="3">
        <f>IFERROR(__xludf.DUMMYFUNCTION("""COMPUTED_VALUE"""),242.59)</f>
        <v>242.59</v>
      </c>
      <c r="N39" s="3">
        <f>IFERROR(__xludf.DUMMYFUNCTION("""COMPUTED_VALUE"""),59.88)</f>
        <v>59.88</v>
      </c>
      <c r="O39" s="3">
        <f>IFERROR(__xludf.DUMMYFUNCTION("""COMPUTED_VALUE"""),11.37)</f>
        <v>11.37</v>
      </c>
      <c r="P39" s="3">
        <f>IFERROR(__xludf.DUMMYFUNCTION("""COMPUTED_VALUE"""),411.17)</f>
        <v>411.17</v>
      </c>
      <c r="Q39" s="3">
        <f>IFERROR(__xludf.DUMMYFUNCTION("""COMPUTED_VALUE"""),59.49)</f>
        <v>59.49</v>
      </c>
      <c r="R39" s="3">
        <f>IFERROR(__xludf.DUMMYFUNCTION("""COMPUTED_VALUE"""),225.65)</f>
        <v>225.65</v>
      </c>
      <c r="S39" s="3">
        <f>IFERROR(__xludf.DUMMYFUNCTION("""COMPUTED_VALUE"""),76.4)</f>
        <v>76.4</v>
      </c>
      <c r="T39" s="3">
        <f>IFERROR(__xludf.DUMMYFUNCTION("""COMPUTED_VALUE"""),63.24)</f>
        <v>63.24</v>
      </c>
      <c r="U39" s="3">
        <f>IFERROR(__xludf.DUMMYFUNCTION("""COMPUTED_VALUE"""),328.35)</f>
        <v>328.35</v>
      </c>
      <c r="V39" s="3">
        <f>IFERROR(__xludf.DUMMYFUNCTION("""COMPUTED_VALUE"""),49.93)</f>
        <v>49.93</v>
      </c>
      <c r="W39" s="3">
        <f>IFERROR(__xludf.DUMMYFUNCTION("""COMPUTED_VALUE"""),169.45)</f>
        <v>169.45</v>
      </c>
      <c r="X39" s="3">
        <f>IFERROR(__xludf.DUMMYFUNCTION("""COMPUTED_VALUE"""),154.31)</f>
        <v>154.31</v>
      </c>
      <c r="Y39" s="1">
        <f>IFERROR(__xludf.DUMMYFUNCTION("""COMPUTED_VALUE"""),319.12)</f>
        <v>319.12</v>
      </c>
      <c r="Z39" s="1">
        <f>IFERROR(__xludf.DUMMYFUNCTION("""COMPUTED_VALUE"""),35.24)</f>
        <v>35.24</v>
      </c>
      <c r="AA39" s="1">
        <f>IFERROR(__xludf.DUMMYFUNCTION("""COMPUTED_VALUE"""),63.76)</f>
        <v>63.76</v>
      </c>
      <c r="AB39" s="1">
        <f>IFERROR(__xludf.DUMMYFUNCTION("""COMPUTED_VALUE"""),89.27)</f>
        <v>89.27</v>
      </c>
      <c r="AC39" s="1">
        <f>IFERROR(__xludf.DUMMYFUNCTION("""COMPUTED_VALUE"""),151.44)</f>
        <v>151.44</v>
      </c>
      <c r="AD39" s="3">
        <f>IFERROR(__xludf.DUMMYFUNCTION("""COMPUTED_VALUE"""),106.68)</f>
        <v>106.68</v>
      </c>
      <c r="AE39" s="1">
        <f>IFERROR(__xludf.DUMMYFUNCTION("""COMPUTED_VALUE"""),493.73)</f>
        <v>493.73</v>
      </c>
      <c r="AF39" s="1">
        <f>IFERROR(__xludf.DUMMYFUNCTION("""COMPUTED_VALUE"""),52.87)</f>
        <v>52.87</v>
      </c>
      <c r="AG39" s="1">
        <f>IFERROR(__xludf.DUMMYFUNCTION("""COMPUTED_VALUE"""),113.37)</f>
        <v>113.37</v>
      </c>
      <c r="AH39" s="3">
        <f>IFERROR(__xludf.DUMMYFUNCTION("""COMPUTED_VALUE"""),294.0)</f>
        <v>294</v>
      </c>
      <c r="AI39" s="1">
        <f>IFERROR(__xludf.DUMMYFUNCTION("""COMPUTED_VALUE"""),422.39)</f>
        <v>422.39</v>
      </c>
      <c r="AJ39" s="1">
        <f>IFERROR(__xludf.DUMMYFUNCTION("""COMPUTED_VALUE"""),281.68)</f>
        <v>281.68</v>
      </c>
      <c r="AK39" s="3">
        <f>IFERROR(__xludf.DUMMYFUNCTION("""COMPUTED_VALUE"""),46.52)</f>
        <v>46.52</v>
      </c>
      <c r="AL39" s="1">
        <f>IFERROR(__xludf.DUMMYFUNCTION("""COMPUTED_VALUE"""),66.69)</f>
        <v>66.69</v>
      </c>
      <c r="AM39" s="1">
        <f>IFERROR(__xludf.DUMMYFUNCTION("""COMPUTED_VALUE"""),464.75)</f>
        <v>464.75</v>
      </c>
      <c r="AN39" s="1">
        <f>IFERROR(__xludf.DUMMYFUNCTION("""COMPUTED_VALUE"""),334.58)</f>
        <v>334.58</v>
      </c>
      <c r="AO39" s="1">
        <f>IFERROR(__xludf.DUMMYFUNCTION("""COMPUTED_VALUE"""),98.09)</f>
        <v>98.09</v>
      </c>
      <c r="AP39" s="1">
        <f>IFERROR(__xludf.DUMMYFUNCTION("""COMPUTED_VALUE"""),140.79)</f>
        <v>140.79</v>
      </c>
      <c r="AQ39" s="1">
        <f>IFERROR(__xludf.DUMMYFUNCTION("""COMPUTED_VALUE"""),443.76)</f>
        <v>443.76</v>
      </c>
      <c r="AR39" s="3">
        <f>IFERROR(__xludf.DUMMYFUNCTION("""COMPUTED_VALUE"""),204.79)</f>
        <v>204.79</v>
      </c>
      <c r="AS39" s="3">
        <f>IFERROR(__xludf.DUMMYFUNCTION("""COMPUTED_VALUE"""),462.16)</f>
        <v>462.16</v>
      </c>
      <c r="AT39" s="3">
        <f>IFERROR(__xludf.DUMMYFUNCTION("""COMPUTED_VALUE"""),298.14)</f>
        <v>298.14</v>
      </c>
      <c r="AU39" s="1">
        <f>IFERROR(__xludf.DUMMYFUNCTION("""COMPUTED_VALUE"""),26.64)</f>
        <v>26.64</v>
      </c>
      <c r="AV39" s="1">
        <f>IFERROR(__xludf.DUMMYFUNCTION("""COMPUTED_VALUE"""),77.61)</f>
        <v>77.61</v>
      </c>
      <c r="AW39" s="1">
        <f>IFERROR(__xludf.DUMMYFUNCTION("""COMPUTED_VALUE"""),69.5)</f>
        <v>69.5</v>
      </c>
      <c r="AX39" s="1">
        <f>IFERROR(__xludf.DUMMYFUNCTION("""COMPUTED_VALUE"""),14.07)</f>
        <v>14.07</v>
      </c>
      <c r="AY39" s="1">
        <f>IFERROR(__xludf.DUMMYFUNCTION("""COMPUTED_VALUE"""),467.56)</f>
        <v>467.56</v>
      </c>
      <c r="AZ39" s="3">
        <f>IFERROR(__xludf.DUMMYFUNCTION("""COMPUTED_VALUE"""),72.09)</f>
        <v>72.09</v>
      </c>
      <c r="BA39" s="3">
        <f>IFERROR(__xludf.DUMMYFUNCTION("""COMPUTED_VALUE"""),77.16)</f>
        <v>77.16</v>
      </c>
      <c r="BB39" s="3">
        <f>IFERROR(__xludf.DUMMYFUNCTION("""COMPUTED_VALUE"""),125.83)</f>
        <v>125.83</v>
      </c>
      <c r="BC39" s="1">
        <f>IFERROR(__xludf.DUMMYFUNCTION("""COMPUTED_VALUE"""),96.88)</f>
        <v>96.88</v>
      </c>
      <c r="BD39" s="1">
        <f>IFERROR(__xludf.DUMMYFUNCTION("""COMPUTED_VALUE"""),37.19)</f>
        <v>37.19</v>
      </c>
      <c r="BE39" s="1">
        <f>IFERROR(__xludf.DUMMYFUNCTION("""COMPUTED_VALUE"""),27.23)</f>
        <v>27.23</v>
      </c>
      <c r="BF39" s="1">
        <f>IFERROR(__xludf.DUMMYFUNCTION("""COMPUTED_VALUE"""),59.76)</f>
        <v>59.76</v>
      </c>
      <c r="BG39" s="1">
        <f>IFERROR(__xludf.DUMMYFUNCTION("""COMPUTED_VALUE"""),28.05)</f>
        <v>28.05</v>
      </c>
      <c r="BH39" s="1">
        <f>IFERROR(__xludf.DUMMYFUNCTION("""COMPUTED_VALUE"""),100.37)</f>
        <v>100.37</v>
      </c>
      <c r="BI39" s="1">
        <f>IFERROR(__xludf.DUMMYFUNCTION("""COMPUTED_VALUE"""),37.53)</f>
        <v>37.53</v>
      </c>
      <c r="BJ39" s="1">
        <f>IFERROR(__xludf.DUMMYFUNCTION("""COMPUTED_VALUE"""),179.24)</f>
        <v>179.24</v>
      </c>
      <c r="BK39" s="1">
        <f>IFERROR(__xludf.DUMMYFUNCTION("""COMPUTED_VALUE"""),540.1)</f>
        <v>540.1</v>
      </c>
      <c r="BL39" s="1">
        <f>IFERROR(__xludf.DUMMYFUNCTION("""COMPUTED_VALUE"""),206.45)</f>
        <v>206.45</v>
      </c>
      <c r="BM39" s="1">
        <f>IFERROR(__xludf.DUMMYFUNCTION("""COMPUTED_VALUE"""),152.35)</f>
        <v>152.35</v>
      </c>
      <c r="BN39" s="3">
        <f>IFERROR(__xludf.DUMMYFUNCTION("""COMPUTED_VALUE"""),6.4)</f>
        <v>6.4</v>
      </c>
      <c r="BO39" s="1">
        <f>IFERROR(__xludf.DUMMYFUNCTION("""COMPUTED_VALUE"""),225.17)</f>
        <v>225.17</v>
      </c>
      <c r="BP39" s="1">
        <f>IFERROR(__xludf.DUMMYFUNCTION("""COMPUTED_VALUE"""),488.01)</f>
        <v>488.01</v>
      </c>
      <c r="BQ39" s="36">
        <f>IFERROR(__xludf.DUMMYFUNCTION("""COMPUTED_VALUE"""),48.25)</f>
        <v>48.25</v>
      </c>
      <c r="BR39" s="1">
        <f>IFERROR(__xludf.DUMMYFUNCTION("""COMPUTED_VALUE"""),10.32)</f>
        <v>10.32</v>
      </c>
      <c r="BS39" s="1">
        <f>IFERROR(__xludf.DUMMYFUNCTION("""COMPUTED_VALUE"""),210.33)</f>
        <v>210.33</v>
      </c>
      <c r="BT39" s="1">
        <f>IFERROR(__xludf.DUMMYFUNCTION("""COMPUTED_VALUE"""),97.99)</f>
        <v>97.99</v>
      </c>
      <c r="BU39" s="3">
        <v>1.0</v>
      </c>
    </row>
    <row r="40">
      <c r="A40" s="25">
        <f>IFERROR(__xludf.DUMMYFUNCTION("""COMPUTED_VALUE"""),45481.66666666667)</f>
        <v>45481.66667</v>
      </c>
      <c r="B40" s="29">
        <f>'Master Scratch Work'!B39</f>
        <v>1252696.47</v>
      </c>
      <c r="C40" s="15">
        <f>IFERROR(__xludf.DUMMYFUNCTION("""COMPUTED_VALUE"""),5572.85)</f>
        <v>5572.85</v>
      </c>
      <c r="D40" s="15">
        <f>IFERROR(__xludf.DUMMYFUNCTION("""COMPUTED_VALUE"""),18403.74)</f>
        <v>18403.74</v>
      </c>
      <c r="E40" s="15">
        <f>IFERROR(__xludf.DUMMYFUNCTION("""COMPUTED_VALUE"""),39344.79)</f>
        <v>39344.79</v>
      </c>
      <c r="F40" s="15">
        <f>IFERROR(__xludf.DUMMYFUNCTION("""COMPUTED_VALUE"""),2038.67)</f>
        <v>2038.67</v>
      </c>
      <c r="G40" s="3">
        <f>IFERROR(__xludf.DUMMYFUNCTION("""COMPUTED_VALUE"""),555.28)</f>
        <v>555.28</v>
      </c>
      <c r="H40" s="3">
        <f>IFERROR(__xludf.DUMMYFUNCTION("""COMPUTED_VALUE"""),497.34)</f>
        <v>497.34</v>
      </c>
      <c r="I40" s="3">
        <f>IFERROR(__xludf.DUMMYFUNCTION("""COMPUTED_VALUE"""),575.4)</f>
        <v>575.4</v>
      </c>
      <c r="J40" s="3">
        <f>IFERROR(__xludf.DUMMYFUNCTION("""COMPUTED_VALUE"""),199.29)</f>
        <v>199.29</v>
      </c>
      <c r="K40" s="3">
        <f>IFERROR(__xludf.DUMMYFUNCTION("""COMPUTED_VALUE"""),129.92)</f>
        <v>129.92</v>
      </c>
      <c r="L40" s="3">
        <f>IFERROR(__xludf.DUMMYFUNCTION("""COMPUTED_VALUE"""),227.82)</f>
        <v>227.82</v>
      </c>
      <c r="M40" s="3">
        <f>IFERROR(__xludf.DUMMYFUNCTION("""COMPUTED_VALUE"""),246.29)</f>
        <v>246.29</v>
      </c>
      <c r="N40" s="3">
        <f>IFERROR(__xludf.DUMMYFUNCTION("""COMPUTED_VALUE"""),59.54)</f>
        <v>59.54</v>
      </c>
      <c r="O40" s="3">
        <f>IFERROR(__xludf.DUMMYFUNCTION("""COMPUTED_VALUE"""),11.48)</f>
        <v>11.48</v>
      </c>
      <c r="P40" s="3">
        <f>IFERROR(__xludf.DUMMYFUNCTION("""COMPUTED_VALUE"""),409.08)</f>
        <v>409.08</v>
      </c>
      <c r="Q40" s="3">
        <f>IFERROR(__xludf.DUMMYFUNCTION("""COMPUTED_VALUE"""),58.35)</f>
        <v>58.35</v>
      </c>
      <c r="R40" s="3">
        <f>IFERROR(__xludf.DUMMYFUNCTION("""COMPUTED_VALUE"""),228.07)</f>
        <v>228.07</v>
      </c>
      <c r="S40" s="3">
        <f>IFERROR(__xludf.DUMMYFUNCTION("""COMPUTED_VALUE"""),76.11)</f>
        <v>76.11</v>
      </c>
      <c r="T40" s="3">
        <f>IFERROR(__xludf.DUMMYFUNCTION("""COMPUTED_VALUE"""),63.13)</f>
        <v>63.13</v>
      </c>
      <c r="U40" s="3">
        <f>IFERROR(__xludf.DUMMYFUNCTION("""COMPUTED_VALUE"""),329.06)</f>
        <v>329.06</v>
      </c>
      <c r="V40" s="3">
        <f>IFERROR(__xludf.DUMMYFUNCTION("""COMPUTED_VALUE"""),48.73)</f>
        <v>48.73</v>
      </c>
      <c r="W40" s="3">
        <f>IFERROR(__xludf.DUMMYFUNCTION("""COMPUTED_VALUE"""),169.4)</f>
        <v>169.4</v>
      </c>
      <c r="X40" s="3">
        <f>IFERROR(__xludf.DUMMYFUNCTION("""COMPUTED_VALUE"""),154.33)</f>
        <v>154.33</v>
      </c>
      <c r="Y40" s="1">
        <f>IFERROR(__xludf.DUMMYFUNCTION("""COMPUTED_VALUE"""),323.78)</f>
        <v>323.78</v>
      </c>
      <c r="Z40" s="1">
        <f>IFERROR(__xludf.DUMMYFUNCTION("""COMPUTED_VALUE"""),35.55)</f>
        <v>35.55</v>
      </c>
      <c r="AA40" s="1">
        <f>IFERROR(__xludf.DUMMYFUNCTION("""COMPUTED_VALUE"""),62.96)</f>
        <v>62.96</v>
      </c>
      <c r="AB40" s="1">
        <f>IFERROR(__xludf.DUMMYFUNCTION("""COMPUTED_VALUE"""),88.42)</f>
        <v>88.42</v>
      </c>
      <c r="AC40" s="1">
        <f>IFERROR(__xludf.DUMMYFUNCTION("""COMPUTED_VALUE"""),153.66)</f>
        <v>153.66</v>
      </c>
      <c r="AD40" s="3">
        <f>IFERROR(__xludf.DUMMYFUNCTION("""COMPUTED_VALUE"""),106.72)</f>
        <v>106.72</v>
      </c>
      <c r="AE40" s="1">
        <f>IFERROR(__xludf.DUMMYFUNCTION("""COMPUTED_VALUE"""),500.33)</f>
        <v>500.33</v>
      </c>
      <c r="AF40" s="1">
        <f>IFERROR(__xludf.DUMMYFUNCTION("""COMPUTED_VALUE"""),52.79)</f>
        <v>52.79</v>
      </c>
      <c r="AG40" s="1">
        <f>IFERROR(__xludf.DUMMYFUNCTION("""COMPUTED_VALUE"""),112.18)</f>
        <v>112.18</v>
      </c>
      <c r="AH40" s="3">
        <f>IFERROR(__xludf.DUMMYFUNCTION("""COMPUTED_VALUE"""),295.53)</f>
        <v>295.53</v>
      </c>
      <c r="AI40" s="1">
        <f>IFERROR(__xludf.DUMMYFUNCTION("""COMPUTED_VALUE"""),427.38)</f>
        <v>427.38</v>
      </c>
      <c r="AJ40" s="1">
        <f>IFERROR(__xludf.DUMMYFUNCTION("""COMPUTED_VALUE"""),280.47)</f>
        <v>280.47</v>
      </c>
      <c r="AK40" s="3">
        <f>IFERROR(__xludf.DUMMYFUNCTION("""COMPUTED_VALUE"""),46.55)</f>
        <v>46.55</v>
      </c>
      <c r="AL40" s="1">
        <f>IFERROR(__xludf.DUMMYFUNCTION("""COMPUTED_VALUE"""),67.55)</f>
        <v>67.55</v>
      </c>
      <c r="AM40" s="1">
        <f>IFERROR(__xludf.DUMMYFUNCTION("""COMPUTED_VALUE"""),464.82)</f>
        <v>464.82</v>
      </c>
      <c r="AN40" s="1">
        <f>IFERROR(__xludf.DUMMYFUNCTION("""COMPUTED_VALUE"""),339.6)</f>
        <v>339.6</v>
      </c>
      <c r="AO40" s="1">
        <f>IFERROR(__xludf.DUMMYFUNCTION("""COMPUTED_VALUE"""),98.3)</f>
        <v>98.3</v>
      </c>
      <c r="AP40" s="1">
        <f>IFERROR(__xludf.DUMMYFUNCTION("""COMPUTED_VALUE"""),141.17)</f>
        <v>141.17</v>
      </c>
      <c r="AQ40" s="1">
        <f>IFERROR(__xludf.DUMMYFUNCTION("""COMPUTED_VALUE"""),444.53)</f>
        <v>444.53</v>
      </c>
      <c r="AR40" s="3">
        <f>IFERROR(__xludf.DUMMYFUNCTION("""COMPUTED_VALUE"""),205.17)</f>
        <v>205.17</v>
      </c>
      <c r="AS40" s="3">
        <f>IFERROR(__xludf.DUMMYFUNCTION("""COMPUTED_VALUE"""),461.76)</f>
        <v>461.76</v>
      </c>
      <c r="AT40" s="3">
        <f>IFERROR(__xludf.DUMMYFUNCTION("""COMPUTED_VALUE"""),294.03)</f>
        <v>294.03</v>
      </c>
      <c r="AU40" s="1">
        <f>IFERROR(__xludf.DUMMYFUNCTION("""COMPUTED_VALUE"""),26.99)</f>
        <v>26.99</v>
      </c>
      <c r="AV40" s="1">
        <f>IFERROR(__xludf.DUMMYFUNCTION("""COMPUTED_VALUE"""),76.84)</f>
        <v>76.84</v>
      </c>
      <c r="AW40" s="1">
        <f>IFERROR(__xludf.DUMMYFUNCTION("""COMPUTED_VALUE"""),69.41)</f>
        <v>69.41</v>
      </c>
      <c r="AX40" s="1">
        <f>IFERROR(__xludf.DUMMYFUNCTION("""COMPUTED_VALUE"""),14.22)</f>
        <v>14.22</v>
      </c>
      <c r="AY40" s="1">
        <f>IFERROR(__xludf.DUMMYFUNCTION("""COMPUTED_VALUE"""),466.24)</f>
        <v>466.24</v>
      </c>
      <c r="AZ40" s="3">
        <f>IFERROR(__xludf.DUMMYFUNCTION("""COMPUTED_VALUE"""),72.11)</f>
        <v>72.11</v>
      </c>
      <c r="BA40" s="3">
        <f>IFERROR(__xludf.DUMMYFUNCTION("""COMPUTED_VALUE"""),78.57)</f>
        <v>78.57</v>
      </c>
      <c r="BB40" s="3">
        <f>IFERROR(__xludf.DUMMYFUNCTION("""COMPUTED_VALUE"""),128.2)</f>
        <v>128.2</v>
      </c>
      <c r="BC40" s="1">
        <f>IFERROR(__xludf.DUMMYFUNCTION("""COMPUTED_VALUE"""),97.4)</f>
        <v>97.4</v>
      </c>
      <c r="BD40" s="1">
        <f>IFERROR(__xludf.DUMMYFUNCTION("""COMPUTED_VALUE"""),37.93)</f>
        <v>37.93</v>
      </c>
      <c r="BE40" s="1">
        <f>IFERROR(__xludf.DUMMYFUNCTION("""COMPUTED_VALUE"""),27.7)</f>
        <v>27.7</v>
      </c>
      <c r="BF40" s="1">
        <f>IFERROR(__xludf.DUMMYFUNCTION("""COMPUTED_VALUE"""),59.09)</f>
        <v>59.09</v>
      </c>
      <c r="BG40" s="1">
        <f>IFERROR(__xludf.DUMMYFUNCTION("""COMPUTED_VALUE"""),27.93)</f>
        <v>27.93</v>
      </c>
      <c r="BH40" s="1">
        <f>IFERROR(__xludf.DUMMYFUNCTION("""COMPUTED_VALUE"""),100.1)</f>
        <v>100.1</v>
      </c>
      <c r="BI40" s="1">
        <f>IFERROR(__xludf.DUMMYFUNCTION("""COMPUTED_VALUE"""),39.58)</f>
        <v>39.58</v>
      </c>
      <c r="BJ40" s="1">
        <f>IFERROR(__xludf.DUMMYFUNCTION("""COMPUTED_VALUE"""),179.17)</f>
        <v>179.17</v>
      </c>
      <c r="BK40" s="1">
        <f>IFERROR(__xludf.DUMMYFUNCTION("""COMPUTED_VALUE"""),536.29)</f>
        <v>536.29</v>
      </c>
      <c r="BL40" s="1">
        <f>IFERROR(__xludf.DUMMYFUNCTION("""COMPUTED_VALUE"""),204.94)</f>
        <v>204.94</v>
      </c>
      <c r="BM40" s="1">
        <f>IFERROR(__xludf.DUMMYFUNCTION("""COMPUTED_VALUE"""),149.2)</f>
        <v>149.2</v>
      </c>
      <c r="BN40" s="3">
        <f>IFERROR(__xludf.DUMMYFUNCTION("""COMPUTED_VALUE"""),6.8)</f>
        <v>6.8</v>
      </c>
      <c r="BO40" s="1">
        <f>IFERROR(__xludf.DUMMYFUNCTION("""COMPUTED_VALUE"""),223.39)</f>
        <v>223.39</v>
      </c>
      <c r="BP40" s="1">
        <f>IFERROR(__xludf.DUMMYFUNCTION("""COMPUTED_VALUE"""),489.34)</f>
        <v>489.34</v>
      </c>
      <c r="BQ40" s="36">
        <f>IFERROR(__xludf.DUMMYFUNCTION("""COMPUTED_VALUE"""),48.24)</f>
        <v>48.24</v>
      </c>
      <c r="BR40" s="1">
        <f>IFERROR(__xludf.DUMMYFUNCTION("""COMPUTED_VALUE"""),10.61)</f>
        <v>10.61</v>
      </c>
      <c r="BS40" s="1">
        <f>IFERROR(__xludf.DUMMYFUNCTION("""COMPUTED_VALUE"""),210.62)</f>
        <v>210.62</v>
      </c>
      <c r="BT40" s="1">
        <f>IFERROR(__xludf.DUMMYFUNCTION("""COMPUTED_VALUE"""),97.37)</f>
        <v>97.37</v>
      </c>
      <c r="BU40" s="3">
        <v>1.0</v>
      </c>
    </row>
    <row r="41">
      <c r="A41" s="25">
        <f>IFERROR(__xludf.DUMMYFUNCTION("""COMPUTED_VALUE"""),45482.66666666667)</f>
        <v>45482.66667</v>
      </c>
      <c r="B41" s="29">
        <f>'Master Scratch Work'!B40</f>
        <v>1252660.76</v>
      </c>
      <c r="C41" s="15">
        <f>IFERROR(__xludf.DUMMYFUNCTION("""COMPUTED_VALUE"""),5576.98)</f>
        <v>5576.98</v>
      </c>
      <c r="D41" s="15">
        <f>IFERROR(__xludf.DUMMYFUNCTION("""COMPUTED_VALUE"""),18429.29)</f>
        <v>18429.29</v>
      </c>
      <c r="E41" s="15">
        <f>IFERROR(__xludf.DUMMYFUNCTION("""COMPUTED_VALUE"""),39291.97)</f>
        <v>39291.97</v>
      </c>
      <c r="F41" s="15">
        <f>IFERROR(__xludf.DUMMYFUNCTION("""COMPUTED_VALUE"""),2029.47)</f>
        <v>2029.47</v>
      </c>
      <c r="G41" s="3">
        <f>IFERROR(__xludf.DUMMYFUNCTION("""COMPUTED_VALUE"""),555.82)</f>
        <v>555.82</v>
      </c>
      <c r="H41" s="3">
        <f>IFERROR(__xludf.DUMMYFUNCTION("""COMPUTED_VALUE"""),497.77)</f>
        <v>497.77</v>
      </c>
      <c r="I41" s="3">
        <f>IFERROR(__xludf.DUMMYFUNCTION("""COMPUTED_VALUE"""),566.02)</f>
        <v>566.02</v>
      </c>
      <c r="J41" s="3">
        <f>IFERROR(__xludf.DUMMYFUNCTION("""COMPUTED_VALUE"""),199.34)</f>
        <v>199.34</v>
      </c>
      <c r="K41" s="3">
        <f>IFERROR(__xludf.DUMMYFUNCTION("""COMPUTED_VALUE"""),130.72)</f>
        <v>130.72</v>
      </c>
      <c r="L41" s="3">
        <f>IFERROR(__xludf.DUMMYFUNCTION("""COMPUTED_VALUE"""),228.68)</f>
        <v>228.68</v>
      </c>
      <c r="M41" s="3">
        <f>IFERROR(__xludf.DUMMYFUNCTION("""COMPUTED_VALUE"""),251.47)</f>
        <v>251.47</v>
      </c>
      <c r="N41" s="3">
        <f>IFERROR(__xludf.DUMMYFUNCTION("""COMPUTED_VALUE"""),60.21)</f>
        <v>60.21</v>
      </c>
      <c r="O41" s="3">
        <f>IFERROR(__xludf.DUMMYFUNCTION("""COMPUTED_VALUE"""),11.17)</f>
        <v>11.17</v>
      </c>
      <c r="P41" s="3">
        <f>IFERROR(__xludf.DUMMYFUNCTION("""COMPUTED_VALUE"""),410.52)</f>
        <v>410.52</v>
      </c>
      <c r="Q41" s="3">
        <f>IFERROR(__xludf.DUMMYFUNCTION("""COMPUTED_VALUE"""),58.36)</f>
        <v>58.36</v>
      </c>
      <c r="R41" s="3">
        <f>IFERROR(__xludf.DUMMYFUNCTION("""COMPUTED_VALUE"""),229.06)</f>
        <v>229.06</v>
      </c>
      <c r="S41" s="3">
        <f>IFERROR(__xludf.DUMMYFUNCTION("""COMPUTED_VALUE"""),76.51)</f>
        <v>76.51</v>
      </c>
      <c r="T41" s="3">
        <f>IFERROR(__xludf.DUMMYFUNCTION("""COMPUTED_VALUE"""),62.29)</f>
        <v>62.29</v>
      </c>
      <c r="U41" s="3">
        <f>IFERROR(__xludf.DUMMYFUNCTION("""COMPUTED_VALUE"""),326.06)</f>
        <v>326.06</v>
      </c>
      <c r="V41" s="3">
        <f>IFERROR(__xludf.DUMMYFUNCTION("""COMPUTED_VALUE"""),48.99)</f>
        <v>48.99</v>
      </c>
      <c r="W41" s="3">
        <f>IFERROR(__xludf.DUMMYFUNCTION("""COMPUTED_VALUE"""),169.89)</f>
        <v>169.89</v>
      </c>
      <c r="X41" s="3">
        <f>IFERROR(__xludf.DUMMYFUNCTION("""COMPUTED_VALUE"""),152.98)</f>
        <v>152.98</v>
      </c>
      <c r="Y41" s="1">
        <f>IFERROR(__xludf.DUMMYFUNCTION("""COMPUTED_VALUE"""),328.37)</f>
        <v>328.37</v>
      </c>
      <c r="Z41" s="1">
        <f>IFERROR(__xludf.DUMMYFUNCTION("""COMPUTED_VALUE"""),36.3)</f>
        <v>36.3</v>
      </c>
      <c r="AA41" s="1">
        <f>IFERROR(__xludf.DUMMYFUNCTION("""COMPUTED_VALUE"""),62.69)</f>
        <v>62.69</v>
      </c>
      <c r="AB41" s="1">
        <f>IFERROR(__xludf.DUMMYFUNCTION("""COMPUTED_VALUE"""),88.85)</f>
        <v>88.85</v>
      </c>
      <c r="AC41" s="1">
        <f>IFERROR(__xludf.DUMMYFUNCTION("""COMPUTED_VALUE"""),153.3)</f>
        <v>153.3</v>
      </c>
      <c r="AD41" s="3">
        <f>IFERROR(__xludf.DUMMYFUNCTION("""COMPUTED_VALUE"""),104.03)</f>
        <v>104.03</v>
      </c>
      <c r="AE41" s="1">
        <f>IFERROR(__xludf.DUMMYFUNCTION("""COMPUTED_VALUE"""),477.83)</f>
        <v>477.83</v>
      </c>
      <c r="AF41" s="1">
        <f>IFERROR(__xludf.DUMMYFUNCTION("""COMPUTED_VALUE"""),52.65)</f>
        <v>52.65</v>
      </c>
      <c r="AG41" s="1">
        <f>IFERROR(__xludf.DUMMYFUNCTION("""COMPUTED_VALUE"""),110.94)</f>
        <v>110.94</v>
      </c>
      <c r="AH41" s="3">
        <f>IFERROR(__xludf.DUMMYFUNCTION("""COMPUTED_VALUE"""),292.73)</f>
        <v>292.73</v>
      </c>
      <c r="AI41" s="1">
        <f>IFERROR(__xludf.DUMMYFUNCTION("""COMPUTED_VALUE"""),426.29)</f>
        <v>426.29</v>
      </c>
      <c r="AJ41" s="1">
        <f>IFERROR(__xludf.DUMMYFUNCTION("""COMPUTED_VALUE"""),279.51)</f>
        <v>279.51</v>
      </c>
      <c r="AK41" s="3">
        <f>IFERROR(__xludf.DUMMYFUNCTION("""COMPUTED_VALUE"""),46.26)</f>
        <v>46.26</v>
      </c>
      <c r="AL41" s="1">
        <f>IFERROR(__xludf.DUMMYFUNCTION("""COMPUTED_VALUE"""),67.76)</f>
        <v>67.76</v>
      </c>
      <c r="AM41" s="1">
        <f>IFERROR(__xludf.DUMMYFUNCTION("""COMPUTED_VALUE"""),472.83)</f>
        <v>472.83</v>
      </c>
      <c r="AN41" s="1">
        <f>IFERROR(__xludf.DUMMYFUNCTION("""COMPUTED_VALUE"""),337.09)</f>
        <v>337.09</v>
      </c>
      <c r="AO41" s="1">
        <f>IFERROR(__xludf.DUMMYFUNCTION("""COMPUTED_VALUE"""),97.93)</f>
        <v>97.93</v>
      </c>
      <c r="AP41" s="1">
        <f>IFERROR(__xludf.DUMMYFUNCTION("""COMPUTED_VALUE"""),142.46)</f>
        <v>142.46</v>
      </c>
      <c r="AQ41" s="1">
        <f>IFERROR(__xludf.DUMMYFUNCTION("""COMPUTED_VALUE"""),442.3)</f>
        <v>442.3</v>
      </c>
      <c r="AR41" s="3">
        <f>IFERROR(__xludf.DUMMYFUNCTION("""COMPUTED_VALUE"""),207.63)</f>
        <v>207.63</v>
      </c>
      <c r="AS41" s="3">
        <f>IFERROR(__xludf.DUMMYFUNCTION("""COMPUTED_VALUE"""),460.3)</f>
        <v>460.3</v>
      </c>
      <c r="AT41" s="3">
        <f>IFERROR(__xludf.DUMMYFUNCTION("""COMPUTED_VALUE"""),289.87)</f>
        <v>289.87</v>
      </c>
      <c r="AU41" s="1">
        <f>IFERROR(__xludf.DUMMYFUNCTION("""COMPUTED_VALUE"""),26.94)</f>
        <v>26.94</v>
      </c>
      <c r="AV41" s="1">
        <f>IFERROR(__xludf.DUMMYFUNCTION("""COMPUTED_VALUE"""),76.88)</f>
        <v>76.88</v>
      </c>
      <c r="AW41" s="1">
        <f>IFERROR(__xludf.DUMMYFUNCTION("""COMPUTED_VALUE"""),69.92)</f>
        <v>69.92</v>
      </c>
      <c r="AX41" s="1">
        <f>IFERROR(__xludf.DUMMYFUNCTION("""COMPUTED_VALUE"""),14.24)</f>
        <v>14.24</v>
      </c>
      <c r="AY41" s="1">
        <f>IFERROR(__xludf.DUMMYFUNCTION("""COMPUTED_VALUE"""),459.54)</f>
        <v>459.54</v>
      </c>
      <c r="AZ41" s="3">
        <f>IFERROR(__xludf.DUMMYFUNCTION("""COMPUTED_VALUE"""),72.12)</f>
        <v>72.12</v>
      </c>
      <c r="BA41" s="3">
        <f>IFERROR(__xludf.DUMMYFUNCTION("""COMPUTED_VALUE"""),79.26)</f>
        <v>79.26</v>
      </c>
      <c r="BB41" s="3">
        <f>IFERROR(__xludf.DUMMYFUNCTION("""COMPUTED_VALUE"""),131.38)</f>
        <v>131.38</v>
      </c>
      <c r="BC41" s="1">
        <f>IFERROR(__xludf.DUMMYFUNCTION("""COMPUTED_VALUE"""),96.31)</f>
        <v>96.31</v>
      </c>
      <c r="BD41" s="1">
        <f>IFERROR(__xludf.DUMMYFUNCTION("""COMPUTED_VALUE"""),37.2)</f>
        <v>37.2</v>
      </c>
      <c r="BE41" s="1">
        <f>IFERROR(__xludf.DUMMYFUNCTION("""COMPUTED_VALUE"""),27.39)</f>
        <v>27.39</v>
      </c>
      <c r="BF41" s="1">
        <f>IFERROR(__xludf.DUMMYFUNCTION("""COMPUTED_VALUE"""),59.0)</f>
        <v>59</v>
      </c>
      <c r="BG41" s="1">
        <f>IFERROR(__xludf.DUMMYFUNCTION("""COMPUTED_VALUE"""),27.72)</f>
        <v>27.72</v>
      </c>
      <c r="BH41" s="1">
        <f>IFERROR(__xludf.DUMMYFUNCTION("""COMPUTED_VALUE"""),101.11)</f>
        <v>101.11</v>
      </c>
      <c r="BI41" s="1">
        <f>IFERROR(__xludf.DUMMYFUNCTION("""COMPUTED_VALUE"""),43.92)</f>
        <v>43.92</v>
      </c>
      <c r="BJ41" s="1">
        <f>IFERROR(__xludf.DUMMYFUNCTION("""COMPUTED_VALUE"""),179.05)</f>
        <v>179.05</v>
      </c>
      <c r="BK41" s="1">
        <f>IFERROR(__xludf.DUMMYFUNCTION("""COMPUTED_VALUE"""),531.86)</f>
        <v>531.86</v>
      </c>
      <c r="BL41" s="1">
        <f>IFERROR(__xludf.DUMMYFUNCTION("""COMPUTED_VALUE"""),201.67)</f>
        <v>201.67</v>
      </c>
      <c r="BM41" s="1">
        <f>IFERROR(__xludf.DUMMYFUNCTION("""COMPUTED_VALUE"""),147.78)</f>
        <v>147.78</v>
      </c>
      <c r="BN41" s="3">
        <f>IFERROR(__xludf.DUMMYFUNCTION("""COMPUTED_VALUE"""),6.8)</f>
        <v>6.8</v>
      </c>
      <c r="BO41" s="1">
        <f>IFERROR(__xludf.DUMMYFUNCTION("""COMPUTED_VALUE"""),221.78)</f>
        <v>221.78</v>
      </c>
      <c r="BP41" s="1">
        <f>IFERROR(__xludf.DUMMYFUNCTION("""COMPUTED_VALUE"""),492.11)</f>
        <v>492.11</v>
      </c>
      <c r="BQ41" s="36">
        <f>IFERROR(__xludf.DUMMYFUNCTION("""COMPUTED_VALUE"""),48.22)</f>
        <v>48.22</v>
      </c>
      <c r="BR41" s="1">
        <f>IFERROR(__xludf.DUMMYFUNCTION("""COMPUTED_VALUE"""),10.8)</f>
        <v>10.8</v>
      </c>
      <c r="BS41" s="1">
        <f>IFERROR(__xludf.DUMMYFUNCTION("""COMPUTED_VALUE"""),210.02)</f>
        <v>210.02</v>
      </c>
      <c r="BT41" s="1">
        <f>IFERROR(__xludf.DUMMYFUNCTION("""COMPUTED_VALUE"""),97.05)</f>
        <v>97.05</v>
      </c>
      <c r="BU41" s="3">
        <v>1.0</v>
      </c>
    </row>
    <row r="42">
      <c r="A42" s="25">
        <f>IFERROR(__xludf.DUMMYFUNCTION("""COMPUTED_VALUE"""),45483.66666666667)</f>
        <v>45483.66667</v>
      </c>
      <c r="B42" s="29">
        <f>'Master Scratch Work'!B41</f>
        <v>1261140.92</v>
      </c>
      <c r="C42" s="15">
        <f>IFERROR(__xludf.DUMMYFUNCTION("""COMPUTED_VALUE"""),5633.91)</f>
        <v>5633.91</v>
      </c>
      <c r="D42" s="15">
        <f>IFERROR(__xludf.DUMMYFUNCTION("""COMPUTED_VALUE"""),18647.45)</f>
        <v>18647.45</v>
      </c>
      <c r="E42" s="15">
        <f>IFERROR(__xludf.DUMMYFUNCTION("""COMPUTED_VALUE"""),39721.36)</f>
        <v>39721.36</v>
      </c>
      <c r="F42" s="15">
        <f>IFERROR(__xludf.DUMMYFUNCTION("""COMPUTED_VALUE"""),2051.75)</f>
        <v>2051.75</v>
      </c>
      <c r="G42" s="3">
        <f>IFERROR(__xludf.DUMMYFUNCTION("""COMPUTED_VALUE"""),561.32)</f>
        <v>561.32</v>
      </c>
      <c r="H42" s="3">
        <f>IFERROR(__xludf.DUMMYFUNCTION("""COMPUTED_VALUE"""),502.96)</f>
        <v>502.96</v>
      </c>
      <c r="I42" s="3">
        <f>IFERROR(__xludf.DUMMYFUNCTION("""COMPUTED_VALUE"""),564.55)</f>
        <v>564.55</v>
      </c>
      <c r="J42" s="3">
        <f>IFERROR(__xludf.DUMMYFUNCTION("""COMPUTED_VALUE"""),199.79)</f>
        <v>199.79</v>
      </c>
      <c r="K42" s="3">
        <f>IFERROR(__xludf.DUMMYFUNCTION("""COMPUTED_VALUE"""),132.23)</f>
        <v>132.23</v>
      </c>
      <c r="L42" s="3">
        <f>IFERROR(__xludf.DUMMYFUNCTION("""COMPUTED_VALUE"""),232.98)</f>
        <v>232.98</v>
      </c>
      <c r="M42" s="3">
        <f>IFERROR(__xludf.DUMMYFUNCTION("""COMPUTED_VALUE"""),254.97)</f>
        <v>254.97</v>
      </c>
      <c r="N42" s="3">
        <f>IFERROR(__xludf.DUMMYFUNCTION("""COMPUTED_VALUE"""),60.7)</f>
        <v>60.7</v>
      </c>
      <c r="O42" s="3">
        <f>IFERROR(__xludf.DUMMYFUNCTION("""COMPUTED_VALUE"""),11.4)</f>
        <v>11.4</v>
      </c>
      <c r="P42" s="3">
        <f>IFERROR(__xludf.DUMMYFUNCTION("""COMPUTED_VALUE"""),413.79)</f>
        <v>413.79</v>
      </c>
      <c r="Q42" s="3">
        <f>IFERROR(__xludf.DUMMYFUNCTION("""COMPUTED_VALUE"""),58.55)</f>
        <v>58.55</v>
      </c>
      <c r="R42" s="3">
        <f>IFERROR(__xludf.DUMMYFUNCTION("""COMPUTED_VALUE"""),232.75)</f>
        <v>232.75</v>
      </c>
      <c r="S42" s="3">
        <f>IFERROR(__xludf.DUMMYFUNCTION("""COMPUTED_VALUE"""),77.11)</f>
        <v>77.11</v>
      </c>
      <c r="T42" s="3">
        <f>IFERROR(__xludf.DUMMYFUNCTION("""COMPUTED_VALUE"""),63.6)</f>
        <v>63.6</v>
      </c>
      <c r="U42" s="3">
        <f>IFERROR(__xludf.DUMMYFUNCTION("""COMPUTED_VALUE"""),328.48)</f>
        <v>328.48</v>
      </c>
      <c r="V42" s="3">
        <f>IFERROR(__xludf.DUMMYFUNCTION("""COMPUTED_VALUE"""),53.72)</f>
        <v>53.72</v>
      </c>
      <c r="W42" s="3">
        <f>IFERROR(__xludf.DUMMYFUNCTION("""COMPUTED_VALUE"""),170.31)</f>
        <v>170.31</v>
      </c>
      <c r="X42" s="3">
        <f>IFERROR(__xludf.DUMMYFUNCTION("""COMPUTED_VALUE"""),155.13)</f>
        <v>155.13</v>
      </c>
      <c r="Y42" s="1">
        <f>IFERROR(__xludf.DUMMYFUNCTION("""COMPUTED_VALUE"""),329.91)</f>
        <v>329.91</v>
      </c>
      <c r="Z42" s="1">
        <f>IFERROR(__xludf.DUMMYFUNCTION("""COMPUTED_VALUE"""),36.68)</f>
        <v>36.68</v>
      </c>
      <c r="AA42" s="1">
        <f>IFERROR(__xludf.DUMMYFUNCTION("""COMPUTED_VALUE"""),62.83)</f>
        <v>62.83</v>
      </c>
      <c r="AB42" s="1">
        <f>IFERROR(__xludf.DUMMYFUNCTION("""COMPUTED_VALUE"""),89.87)</f>
        <v>89.87</v>
      </c>
      <c r="AC42" s="1">
        <f>IFERROR(__xludf.DUMMYFUNCTION("""COMPUTED_VALUE"""),155.63)</f>
        <v>155.63</v>
      </c>
      <c r="AD42" s="3">
        <f>IFERROR(__xludf.DUMMYFUNCTION("""COMPUTED_VALUE"""),102.48)</f>
        <v>102.48</v>
      </c>
      <c r="AE42" s="1">
        <f>IFERROR(__xludf.DUMMYFUNCTION("""COMPUTED_VALUE"""),477.99)</f>
        <v>477.99</v>
      </c>
      <c r="AF42" s="1">
        <f>IFERROR(__xludf.DUMMYFUNCTION("""COMPUTED_VALUE"""),52.98)</f>
        <v>52.98</v>
      </c>
      <c r="AG42" s="1">
        <f>IFERROR(__xludf.DUMMYFUNCTION("""COMPUTED_VALUE"""),111.92)</f>
        <v>111.92</v>
      </c>
      <c r="AH42" s="3">
        <f>IFERROR(__xludf.DUMMYFUNCTION("""COMPUTED_VALUE"""),293.27)</f>
        <v>293.27</v>
      </c>
      <c r="AI42" s="1">
        <f>IFERROR(__xludf.DUMMYFUNCTION("""COMPUTED_VALUE"""),435.05)</f>
        <v>435.05</v>
      </c>
      <c r="AJ42" s="1">
        <f>IFERROR(__xludf.DUMMYFUNCTION("""COMPUTED_VALUE"""),281.91)</f>
        <v>281.91</v>
      </c>
      <c r="AK42" s="3">
        <f>IFERROR(__xludf.DUMMYFUNCTION("""COMPUTED_VALUE"""),46.53)</f>
        <v>46.53</v>
      </c>
      <c r="AL42" s="1">
        <f>IFERROR(__xludf.DUMMYFUNCTION("""COMPUTED_VALUE"""),68.75)</f>
        <v>68.75</v>
      </c>
      <c r="AM42" s="1">
        <f>IFERROR(__xludf.DUMMYFUNCTION("""COMPUTED_VALUE"""),478.89)</f>
        <v>478.89</v>
      </c>
      <c r="AN42" s="1">
        <f>IFERROR(__xludf.DUMMYFUNCTION("""COMPUTED_VALUE"""),344.18)</f>
        <v>344.18</v>
      </c>
      <c r="AO42" s="1">
        <f>IFERROR(__xludf.DUMMYFUNCTION("""COMPUTED_VALUE"""),96.95)</f>
        <v>96.95</v>
      </c>
      <c r="AP42" s="1">
        <f>IFERROR(__xludf.DUMMYFUNCTION("""COMPUTED_VALUE"""),144.41)</f>
        <v>144.41</v>
      </c>
      <c r="AQ42" s="1">
        <f>IFERROR(__xludf.DUMMYFUNCTION("""COMPUTED_VALUE"""),444.74)</f>
        <v>444.74</v>
      </c>
      <c r="AR42" s="3">
        <f>IFERROR(__xludf.DUMMYFUNCTION("""COMPUTED_VALUE"""),207.8)</f>
        <v>207.8</v>
      </c>
      <c r="AS42" s="3">
        <f>IFERROR(__xludf.DUMMYFUNCTION("""COMPUTED_VALUE"""),461.01)</f>
        <v>461.01</v>
      </c>
      <c r="AT42" s="3">
        <f>IFERROR(__xludf.DUMMYFUNCTION("""COMPUTED_VALUE"""),288.08)</f>
        <v>288.08</v>
      </c>
      <c r="AU42" s="1">
        <f>IFERROR(__xludf.DUMMYFUNCTION("""COMPUTED_VALUE"""),27.17)</f>
        <v>27.17</v>
      </c>
      <c r="AV42" s="1">
        <f>IFERROR(__xludf.DUMMYFUNCTION("""COMPUTED_VALUE"""),77.06)</f>
        <v>77.06</v>
      </c>
      <c r="AW42" s="1">
        <f>IFERROR(__xludf.DUMMYFUNCTION("""COMPUTED_VALUE"""),71.62)</f>
        <v>71.62</v>
      </c>
      <c r="AX42" s="1">
        <f>IFERROR(__xludf.DUMMYFUNCTION("""COMPUTED_VALUE"""),14.33)</f>
        <v>14.33</v>
      </c>
      <c r="AY42" s="1">
        <f>IFERROR(__xludf.DUMMYFUNCTION("""COMPUTED_VALUE"""),466.25)</f>
        <v>466.25</v>
      </c>
      <c r="AZ42" s="3">
        <f>IFERROR(__xludf.DUMMYFUNCTION("""COMPUTED_VALUE"""),72.9)</f>
        <v>72.9</v>
      </c>
      <c r="BA42" s="3">
        <f>IFERROR(__xludf.DUMMYFUNCTION("""COMPUTED_VALUE"""),79.16)</f>
        <v>79.16</v>
      </c>
      <c r="BB42" s="3">
        <f>IFERROR(__xludf.DUMMYFUNCTION("""COMPUTED_VALUE"""),134.91)</f>
        <v>134.91</v>
      </c>
      <c r="BC42" s="1">
        <f>IFERROR(__xludf.DUMMYFUNCTION("""COMPUTED_VALUE"""),96.87)</f>
        <v>96.87</v>
      </c>
      <c r="BD42" s="1">
        <f>IFERROR(__xludf.DUMMYFUNCTION("""COMPUTED_VALUE"""),36.63)</f>
        <v>36.63</v>
      </c>
      <c r="BE42" s="1">
        <f>IFERROR(__xludf.DUMMYFUNCTION("""COMPUTED_VALUE"""),28.42)</f>
        <v>28.42</v>
      </c>
      <c r="BF42" s="1">
        <f>IFERROR(__xludf.DUMMYFUNCTION("""COMPUTED_VALUE"""),58.9)</f>
        <v>58.9</v>
      </c>
      <c r="BG42" s="1">
        <f>IFERROR(__xludf.DUMMYFUNCTION("""COMPUTED_VALUE"""),28.35)</f>
        <v>28.35</v>
      </c>
      <c r="BH42" s="1">
        <f>IFERROR(__xludf.DUMMYFUNCTION("""COMPUTED_VALUE"""),100.68)</f>
        <v>100.68</v>
      </c>
      <c r="BI42" s="1">
        <f>IFERROR(__xludf.DUMMYFUNCTION("""COMPUTED_VALUE"""),42.46)</f>
        <v>42.46</v>
      </c>
      <c r="BJ42" s="1">
        <f>IFERROR(__xludf.DUMMYFUNCTION("""COMPUTED_VALUE"""),180.52)</f>
        <v>180.52</v>
      </c>
      <c r="BK42" s="1">
        <f>IFERROR(__xludf.DUMMYFUNCTION("""COMPUTED_VALUE"""),536.87)</f>
        <v>536.87</v>
      </c>
      <c r="BL42" s="1">
        <f>IFERROR(__xludf.DUMMYFUNCTION("""COMPUTED_VALUE"""),205.88)</f>
        <v>205.88</v>
      </c>
      <c r="BM42" s="1">
        <f>IFERROR(__xludf.DUMMYFUNCTION("""COMPUTED_VALUE"""),138.53)</f>
        <v>138.53</v>
      </c>
      <c r="BN42" s="3">
        <f>IFERROR(__xludf.DUMMYFUNCTION("""COMPUTED_VALUE"""),6.9)</f>
        <v>6.9</v>
      </c>
      <c r="BO42" s="1">
        <f>IFERROR(__xludf.DUMMYFUNCTION("""COMPUTED_VALUE"""),224.41)</f>
        <v>224.41</v>
      </c>
      <c r="BP42" s="1">
        <f>IFERROR(__xludf.DUMMYFUNCTION("""COMPUTED_VALUE"""),500.93)</f>
        <v>500.93</v>
      </c>
      <c r="BQ42" s="36">
        <f>IFERROR(__xludf.DUMMYFUNCTION("""COMPUTED_VALUE"""),48.23)</f>
        <v>48.23</v>
      </c>
      <c r="BR42" s="1">
        <f>IFERROR(__xludf.DUMMYFUNCTION("""COMPUTED_VALUE"""),10.89)</f>
        <v>10.89</v>
      </c>
      <c r="BS42" s="1">
        <f>IFERROR(__xludf.DUMMYFUNCTION("""COMPUTED_VALUE"""),211.18)</f>
        <v>211.18</v>
      </c>
      <c r="BT42" s="1">
        <f>IFERROR(__xludf.DUMMYFUNCTION("""COMPUTED_VALUE"""),96.97)</f>
        <v>96.97</v>
      </c>
      <c r="BU42" s="3">
        <v>1.0</v>
      </c>
    </row>
    <row r="43">
      <c r="A43" s="25">
        <f>IFERROR(__xludf.DUMMYFUNCTION("""COMPUTED_VALUE"""),45484.66666666667)</f>
        <v>45484.66667</v>
      </c>
      <c r="B43" s="29">
        <f>'Master Scratch Work'!B42</f>
        <v>1262355.66</v>
      </c>
      <c r="C43" s="15">
        <f>IFERROR(__xludf.DUMMYFUNCTION("""COMPUTED_VALUE"""),5584.54)</f>
        <v>5584.54</v>
      </c>
      <c r="D43" s="15">
        <f>IFERROR(__xludf.DUMMYFUNCTION("""COMPUTED_VALUE"""),18283.41)</f>
        <v>18283.41</v>
      </c>
      <c r="E43" s="15">
        <f>IFERROR(__xludf.DUMMYFUNCTION("""COMPUTED_VALUE"""),39753.75)</f>
        <v>39753.75</v>
      </c>
      <c r="F43" s="15">
        <f>IFERROR(__xludf.DUMMYFUNCTION("""COMPUTED_VALUE"""),2125.04)</f>
        <v>2125.04</v>
      </c>
      <c r="G43" s="3">
        <f>IFERROR(__xludf.DUMMYFUNCTION("""COMPUTED_VALUE"""),556.48)</f>
        <v>556.48</v>
      </c>
      <c r="H43" s="3">
        <f>IFERROR(__xludf.DUMMYFUNCTION("""COMPUTED_VALUE"""),491.93)</f>
        <v>491.93</v>
      </c>
      <c r="I43" s="3">
        <f>IFERROR(__xludf.DUMMYFUNCTION("""COMPUTED_VALUE"""),557.63)</f>
        <v>557.63</v>
      </c>
      <c r="J43" s="3">
        <f>IFERROR(__xludf.DUMMYFUNCTION("""COMPUTED_VALUE"""),195.05)</f>
        <v>195.05</v>
      </c>
      <c r="K43" s="3">
        <f>IFERROR(__xludf.DUMMYFUNCTION("""COMPUTED_VALUE"""),136.22)</f>
        <v>136.22</v>
      </c>
      <c r="L43" s="3">
        <f>IFERROR(__xludf.DUMMYFUNCTION("""COMPUTED_VALUE"""),227.57)</f>
        <v>227.57</v>
      </c>
      <c r="M43" s="3">
        <f>IFERROR(__xludf.DUMMYFUNCTION("""COMPUTED_VALUE"""),241.26)</f>
        <v>241.26</v>
      </c>
      <c r="N43" s="3">
        <f>IFERROR(__xludf.DUMMYFUNCTION("""COMPUTED_VALUE"""),61.47)</f>
        <v>61.47</v>
      </c>
      <c r="O43" s="3">
        <f>IFERROR(__xludf.DUMMYFUNCTION("""COMPUTED_VALUE"""),11.59)</f>
        <v>11.59</v>
      </c>
      <c r="P43" s="3">
        <f>IFERROR(__xludf.DUMMYFUNCTION("""COMPUTED_VALUE"""),418.78)</f>
        <v>418.78</v>
      </c>
      <c r="Q43" s="3">
        <f>IFERROR(__xludf.DUMMYFUNCTION("""COMPUTED_VALUE"""),58.23)</f>
        <v>58.23</v>
      </c>
      <c r="R43" s="3">
        <f>IFERROR(__xludf.DUMMYFUNCTION("""COMPUTED_VALUE"""),236.8)</f>
        <v>236.8</v>
      </c>
      <c r="S43" s="3">
        <f>IFERROR(__xludf.DUMMYFUNCTION("""COMPUTED_VALUE"""),76.89)</f>
        <v>76.89</v>
      </c>
      <c r="T43" s="3">
        <f>IFERROR(__xludf.DUMMYFUNCTION("""COMPUTED_VALUE"""),66.41)</f>
        <v>66.41</v>
      </c>
      <c r="U43" s="3">
        <f>IFERROR(__xludf.DUMMYFUNCTION("""COMPUTED_VALUE"""),331.13)</f>
        <v>331.13</v>
      </c>
      <c r="V43" s="3">
        <f>IFERROR(__xludf.DUMMYFUNCTION("""COMPUTED_VALUE"""),53.72)</f>
        <v>53.72</v>
      </c>
      <c r="W43" s="3">
        <f>IFERROR(__xludf.DUMMYFUNCTION("""COMPUTED_VALUE"""),170.0)</f>
        <v>170</v>
      </c>
      <c r="X43" s="3">
        <f>IFERROR(__xludf.DUMMYFUNCTION("""COMPUTED_VALUE"""),155.26)</f>
        <v>155.26</v>
      </c>
      <c r="Y43" s="1">
        <f>IFERROR(__xludf.DUMMYFUNCTION("""COMPUTED_VALUE"""),333.56)</f>
        <v>333.56</v>
      </c>
      <c r="Z43" s="1">
        <f>IFERROR(__xludf.DUMMYFUNCTION("""COMPUTED_VALUE"""),38.2)</f>
        <v>38.2</v>
      </c>
      <c r="AA43" s="1">
        <f>IFERROR(__xludf.DUMMYFUNCTION("""COMPUTED_VALUE"""),63.1)</f>
        <v>63.1</v>
      </c>
      <c r="AB43" s="1">
        <f>IFERROR(__xludf.DUMMYFUNCTION("""COMPUTED_VALUE"""),91.46)</f>
        <v>91.46</v>
      </c>
      <c r="AC43" s="1">
        <f>IFERROR(__xludf.DUMMYFUNCTION("""COMPUTED_VALUE"""),157.73)</f>
        <v>157.73</v>
      </c>
      <c r="AD43" s="3">
        <f>IFERROR(__xludf.DUMMYFUNCTION("""COMPUTED_VALUE"""),106.73)</f>
        <v>106.73</v>
      </c>
      <c r="AE43" s="1">
        <f>IFERROR(__xludf.DUMMYFUNCTION("""COMPUTED_VALUE"""),473.09)</f>
        <v>473.09</v>
      </c>
      <c r="AF43" s="1">
        <f>IFERROR(__xludf.DUMMYFUNCTION("""COMPUTED_VALUE"""),54.02)</f>
        <v>54.02</v>
      </c>
      <c r="AG43" s="1">
        <f>IFERROR(__xludf.DUMMYFUNCTION("""COMPUTED_VALUE"""),113.25)</f>
        <v>113.25</v>
      </c>
      <c r="AH43" s="3">
        <f>IFERROR(__xludf.DUMMYFUNCTION("""COMPUTED_VALUE"""),299.54)</f>
        <v>299.54</v>
      </c>
      <c r="AI43" s="1">
        <f>IFERROR(__xludf.DUMMYFUNCTION("""COMPUTED_VALUE"""),428.47)</f>
        <v>428.47</v>
      </c>
      <c r="AJ43" s="1">
        <f>IFERROR(__xludf.DUMMYFUNCTION("""COMPUTED_VALUE"""),284.15)</f>
        <v>284.15</v>
      </c>
      <c r="AK43" s="3">
        <f>IFERROR(__xludf.DUMMYFUNCTION("""COMPUTED_VALUE"""),47.93)</f>
        <v>47.93</v>
      </c>
      <c r="AL43" s="1">
        <f>IFERROR(__xludf.DUMMYFUNCTION("""COMPUTED_VALUE"""),69.97)</f>
        <v>69.97</v>
      </c>
      <c r="AM43" s="1">
        <f>IFERROR(__xludf.DUMMYFUNCTION("""COMPUTED_VALUE"""),479.23)</f>
        <v>479.23</v>
      </c>
      <c r="AN43" s="1">
        <f>IFERROR(__xludf.DUMMYFUNCTION("""COMPUTED_VALUE"""),353.79)</f>
        <v>353.79</v>
      </c>
      <c r="AO43" s="1">
        <f>IFERROR(__xludf.DUMMYFUNCTION("""COMPUTED_VALUE"""),99.02)</f>
        <v>99.02</v>
      </c>
      <c r="AP43" s="1">
        <f>IFERROR(__xludf.DUMMYFUNCTION("""COMPUTED_VALUE"""),147.15)</f>
        <v>147.15</v>
      </c>
      <c r="AQ43" s="1">
        <f>IFERROR(__xludf.DUMMYFUNCTION("""COMPUTED_VALUE"""),443.5)</f>
        <v>443.5</v>
      </c>
      <c r="AR43" s="3">
        <f>IFERROR(__xludf.DUMMYFUNCTION("""COMPUTED_VALUE"""),207.45)</f>
        <v>207.45</v>
      </c>
      <c r="AS43" s="3">
        <f>IFERROR(__xludf.DUMMYFUNCTION("""COMPUTED_VALUE"""),460.38)</f>
        <v>460.38</v>
      </c>
      <c r="AT43" s="3">
        <f>IFERROR(__xludf.DUMMYFUNCTION("""COMPUTED_VALUE"""),289.2)</f>
        <v>289.2</v>
      </c>
      <c r="AU43" s="1">
        <f>IFERROR(__xludf.DUMMYFUNCTION("""COMPUTED_VALUE"""),27.19)</f>
        <v>27.19</v>
      </c>
      <c r="AV43" s="1">
        <f>IFERROR(__xludf.DUMMYFUNCTION("""COMPUTED_VALUE"""),78.07)</f>
        <v>78.07</v>
      </c>
      <c r="AW43" s="1">
        <f>IFERROR(__xludf.DUMMYFUNCTION("""COMPUTED_VALUE"""),72.44)</f>
        <v>72.44</v>
      </c>
      <c r="AX43" s="1">
        <f>IFERROR(__xludf.DUMMYFUNCTION("""COMPUTED_VALUE"""),14.88)</f>
        <v>14.88</v>
      </c>
      <c r="AY43" s="1">
        <f>IFERROR(__xludf.DUMMYFUNCTION("""COMPUTED_VALUE"""),454.7)</f>
        <v>454.7</v>
      </c>
      <c r="AZ43" s="3">
        <f>IFERROR(__xludf.DUMMYFUNCTION("""COMPUTED_VALUE"""),74.7)</f>
        <v>74.7</v>
      </c>
      <c r="BA43" s="3">
        <f>IFERROR(__xludf.DUMMYFUNCTION("""COMPUTED_VALUE"""),79.63)</f>
        <v>79.63</v>
      </c>
      <c r="BB43" s="3">
        <f>IFERROR(__xludf.DUMMYFUNCTION("""COMPUTED_VALUE"""),127.4)</f>
        <v>127.4</v>
      </c>
      <c r="BC43" s="1">
        <f>IFERROR(__xludf.DUMMYFUNCTION("""COMPUTED_VALUE"""),99.24)</f>
        <v>99.24</v>
      </c>
      <c r="BD43" s="1">
        <f>IFERROR(__xludf.DUMMYFUNCTION("""COMPUTED_VALUE"""),37.03)</f>
        <v>37.03</v>
      </c>
      <c r="BE43" s="1">
        <f>IFERROR(__xludf.DUMMYFUNCTION("""COMPUTED_VALUE"""),27.64)</f>
        <v>27.64</v>
      </c>
      <c r="BF43" s="1">
        <f>IFERROR(__xludf.DUMMYFUNCTION("""COMPUTED_VALUE"""),59.99)</f>
        <v>59.99</v>
      </c>
      <c r="BG43" s="1">
        <f>IFERROR(__xludf.DUMMYFUNCTION("""COMPUTED_VALUE"""),28.66)</f>
        <v>28.66</v>
      </c>
      <c r="BH43" s="1">
        <f>IFERROR(__xludf.DUMMYFUNCTION("""COMPUTED_VALUE"""),101.72)</f>
        <v>101.72</v>
      </c>
      <c r="BI43" s="1">
        <f>IFERROR(__xludf.DUMMYFUNCTION("""COMPUTED_VALUE"""),43.35)</f>
        <v>43.35</v>
      </c>
      <c r="BJ43" s="1">
        <f>IFERROR(__xludf.DUMMYFUNCTION("""COMPUTED_VALUE"""),178.81)</f>
        <v>178.81</v>
      </c>
      <c r="BK43" s="1">
        <f>IFERROR(__xludf.DUMMYFUNCTION("""COMPUTED_VALUE"""),542.69)</f>
        <v>542.69</v>
      </c>
      <c r="BL43" s="1">
        <f>IFERROR(__xludf.DUMMYFUNCTION("""COMPUTED_VALUE"""),203.73)</f>
        <v>203.73</v>
      </c>
      <c r="BM43" s="1">
        <f>IFERROR(__xludf.DUMMYFUNCTION("""COMPUTED_VALUE"""),143.93)</f>
        <v>143.93</v>
      </c>
      <c r="BN43" s="3">
        <f>IFERROR(__xludf.DUMMYFUNCTION("""COMPUTED_VALUE"""),6.99)</f>
        <v>6.99</v>
      </c>
      <c r="BO43" s="1">
        <f>IFERROR(__xludf.DUMMYFUNCTION("""COMPUTED_VALUE"""),228.72)</f>
        <v>228.72</v>
      </c>
      <c r="BP43" s="1">
        <f>IFERROR(__xludf.DUMMYFUNCTION("""COMPUTED_VALUE"""),504.36)</f>
        <v>504.36</v>
      </c>
      <c r="BQ43" s="36">
        <f>IFERROR(__xludf.DUMMYFUNCTION("""COMPUTED_VALUE"""),48.27)</f>
        <v>48.27</v>
      </c>
      <c r="BR43" s="1">
        <f>IFERROR(__xludf.DUMMYFUNCTION("""COMPUTED_VALUE"""),11.19)</f>
        <v>11.19</v>
      </c>
      <c r="BS43" s="1">
        <f>IFERROR(__xludf.DUMMYFUNCTION("""COMPUTED_VALUE"""),211.77)</f>
        <v>211.77</v>
      </c>
      <c r="BT43" s="1">
        <f>IFERROR(__xludf.DUMMYFUNCTION("""COMPUTED_VALUE"""),96.6)</f>
        <v>96.6</v>
      </c>
      <c r="BU43" s="3">
        <v>1.0</v>
      </c>
    </row>
    <row r="44">
      <c r="A44" s="25">
        <f>IFERROR(__xludf.DUMMYFUNCTION("""COMPUTED_VALUE"""),45485.66666666667)</f>
        <v>45485.66667</v>
      </c>
      <c r="B44" s="29">
        <f>'Master Scratch Work'!B43</f>
        <v>1269695.86</v>
      </c>
      <c r="C44" s="15">
        <f>IFERROR(__xludf.DUMMYFUNCTION("""COMPUTED_VALUE"""),5615.35)</f>
        <v>5615.35</v>
      </c>
      <c r="D44" s="15">
        <f>IFERROR(__xludf.DUMMYFUNCTION("""COMPUTED_VALUE"""),18398.45)</f>
        <v>18398.45</v>
      </c>
      <c r="E44" s="15">
        <f>IFERROR(__xludf.DUMMYFUNCTION("""COMPUTED_VALUE"""),40000.9)</f>
        <v>40000.9</v>
      </c>
      <c r="F44" s="15">
        <f>IFERROR(__xludf.DUMMYFUNCTION("""COMPUTED_VALUE"""),2148.27)</f>
        <v>2148.27</v>
      </c>
      <c r="G44" s="3">
        <f>IFERROR(__xludf.DUMMYFUNCTION("""COMPUTED_VALUE"""),559.99)</f>
        <v>559.99</v>
      </c>
      <c r="H44" s="3">
        <f>IFERROR(__xludf.DUMMYFUNCTION("""COMPUTED_VALUE"""),494.82)</f>
        <v>494.82</v>
      </c>
      <c r="I44" s="3">
        <f>IFERROR(__xludf.DUMMYFUNCTION("""COMPUTED_VALUE"""),559.05)</f>
        <v>559.05</v>
      </c>
      <c r="J44" s="3">
        <f>IFERROR(__xludf.DUMMYFUNCTION("""COMPUTED_VALUE"""),194.49)</f>
        <v>194.49</v>
      </c>
      <c r="K44" s="3">
        <f>IFERROR(__xludf.DUMMYFUNCTION("""COMPUTED_VALUE"""),139.08)</f>
        <v>139.08</v>
      </c>
      <c r="L44" s="3">
        <f>IFERROR(__xludf.DUMMYFUNCTION("""COMPUTED_VALUE"""),230.54)</f>
        <v>230.54</v>
      </c>
      <c r="M44" s="3">
        <f>IFERROR(__xludf.DUMMYFUNCTION("""COMPUTED_VALUE"""),243.4)</f>
        <v>243.4</v>
      </c>
      <c r="N44" s="3">
        <f>IFERROR(__xludf.DUMMYFUNCTION("""COMPUTED_VALUE"""),64.69)</f>
        <v>64.69</v>
      </c>
      <c r="O44" s="3">
        <f>IFERROR(__xludf.DUMMYFUNCTION("""COMPUTED_VALUE"""),11.6)</f>
        <v>11.6</v>
      </c>
      <c r="P44" s="3">
        <f>IFERROR(__xludf.DUMMYFUNCTION("""COMPUTED_VALUE"""),424.44)</f>
        <v>424.44</v>
      </c>
      <c r="Q44" s="3">
        <f>IFERROR(__xludf.DUMMYFUNCTION("""COMPUTED_VALUE"""),59.27)</f>
        <v>59.27</v>
      </c>
      <c r="R44" s="3">
        <f>IFERROR(__xludf.DUMMYFUNCTION("""COMPUTED_VALUE"""),230.06)</f>
        <v>230.06</v>
      </c>
      <c r="S44" s="3">
        <f>IFERROR(__xludf.DUMMYFUNCTION("""COMPUTED_VALUE"""),77.69)</f>
        <v>77.69</v>
      </c>
      <c r="T44" s="3">
        <f>IFERROR(__xludf.DUMMYFUNCTION("""COMPUTED_VALUE"""),66.0)</f>
        <v>66</v>
      </c>
      <c r="U44" s="3">
        <f>IFERROR(__xludf.DUMMYFUNCTION("""COMPUTED_VALUE"""),335.59)</f>
        <v>335.59</v>
      </c>
      <c r="V44" s="3">
        <f>IFERROR(__xludf.DUMMYFUNCTION("""COMPUTED_VALUE"""),52.87)</f>
        <v>52.87</v>
      </c>
      <c r="W44" s="3">
        <f>IFERROR(__xludf.DUMMYFUNCTION("""COMPUTED_VALUE"""),171.77)</f>
        <v>171.77</v>
      </c>
      <c r="X44" s="3">
        <f>IFERROR(__xludf.DUMMYFUNCTION("""COMPUTED_VALUE"""),155.59)</f>
        <v>155.59</v>
      </c>
      <c r="Y44" s="1">
        <f>IFERROR(__xludf.DUMMYFUNCTION("""COMPUTED_VALUE"""),334.79)</f>
        <v>334.79</v>
      </c>
      <c r="Z44" s="1">
        <f>IFERROR(__xludf.DUMMYFUNCTION("""COMPUTED_VALUE"""),38.2)</f>
        <v>38.2</v>
      </c>
      <c r="AA44" s="1">
        <f>IFERROR(__xludf.DUMMYFUNCTION("""COMPUTED_VALUE"""),63.7)</f>
        <v>63.7</v>
      </c>
      <c r="AB44" s="1">
        <f>IFERROR(__xludf.DUMMYFUNCTION("""COMPUTED_VALUE"""),92.19)</f>
        <v>92.19</v>
      </c>
      <c r="AC44" s="1">
        <f>IFERROR(__xludf.DUMMYFUNCTION("""COMPUTED_VALUE"""),158.35)</f>
        <v>158.35</v>
      </c>
      <c r="AD44" s="3">
        <f>IFERROR(__xludf.DUMMYFUNCTION("""COMPUTED_VALUE"""),107.36)</f>
        <v>107.36</v>
      </c>
      <c r="AE44" s="1">
        <f>IFERROR(__xludf.DUMMYFUNCTION("""COMPUTED_VALUE"""),491.48)</f>
        <v>491.48</v>
      </c>
      <c r="AF44" s="1">
        <f>IFERROR(__xludf.DUMMYFUNCTION("""COMPUTED_VALUE"""),54.19)</f>
        <v>54.19</v>
      </c>
      <c r="AG44" s="1">
        <f>IFERROR(__xludf.DUMMYFUNCTION("""COMPUTED_VALUE"""),113.27)</f>
        <v>113.27</v>
      </c>
      <c r="AH44" s="3">
        <f>IFERROR(__xludf.DUMMYFUNCTION("""COMPUTED_VALUE"""),299.02)</f>
        <v>299.02</v>
      </c>
      <c r="AI44" s="1">
        <f>IFERROR(__xludf.DUMMYFUNCTION("""COMPUTED_VALUE"""),435.16)</f>
        <v>435.16</v>
      </c>
      <c r="AJ44" s="1">
        <f>IFERROR(__xludf.DUMMYFUNCTION("""COMPUTED_VALUE"""),283.89)</f>
        <v>283.89</v>
      </c>
      <c r="AK44" s="3">
        <f>IFERROR(__xludf.DUMMYFUNCTION("""COMPUTED_VALUE"""),49.01)</f>
        <v>49.01</v>
      </c>
      <c r="AL44" s="1">
        <f>IFERROR(__xludf.DUMMYFUNCTION("""COMPUTED_VALUE"""),69.96)</f>
        <v>69.96</v>
      </c>
      <c r="AM44" s="1">
        <f>IFERROR(__xludf.DUMMYFUNCTION("""COMPUTED_VALUE"""),479.88)</f>
        <v>479.88</v>
      </c>
      <c r="AN44" s="1">
        <f>IFERROR(__xludf.DUMMYFUNCTION("""COMPUTED_VALUE"""),359.77)</f>
        <v>359.77</v>
      </c>
      <c r="AO44" s="1">
        <f>IFERROR(__xludf.DUMMYFUNCTION("""COMPUTED_VALUE"""),102.1)</f>
        <v>102.1</v>
      </c>
      <c r="AP44" s="1">
        <f>IFERROR(__xludf.DUMMYFUNCTION("""COMPUTED_VALUE"""),148.4)</f>
        <v>148.4</v>
      </c>
      <c r="AQ44" s="1">
        <f>IFERROR(__xludf.DUMMYFUNCTION("""COMPUTED_VALUE"""),444.16)</f>
        <v>444.16</v>
      </c>
      <c r="AR44" s="3">
        <f>IFERROR(__xludf.DUMMYFUNCTION("""COMPUTED_VALUE"""),204.94)</f>
        <v>204.94</v>
      </c>
      <c r="AS44" s="3">
        <f>IFERROR(__xludf.DUMMYFUNCTION("""COMPUTED_VALUE"""),463.73)</f>
        <v>463.73</v>
      </c>
      <c r="AT44" s="3">
        <f>IFERROR(__xludf.DUMMYFUNCTION("""COMPUTED_VALUE"""),291.06)</f>
        <v>291.06</v>
      </c>
      <c r="AU44" s="1">
        <f>IFERROR(__xludf.DUMMYFUNCTION("""COMPUTED_VALUE"""),27.14)</f>
        <v>27.14</v>
      </c>
      <c r="AV44" s="1">
        <f>IFERROR(__xludf.DUMMYFUNCTION("""COMPUTED_VALUE"""),77.95)</f>
        <v>77.95</v>
      </c>
      <c r="AW44" s="1">
        <f>IFERROR(__xludf.DUMMYFUNCTION("""COMPUTED_VALUE"""),73.39)</f>
        <v>73.39</v>
      </c>
      <c r="AX44" s="1">
        <f>IFERROR(__xludf.DUMMYFUNCTION("""COMPUTED_VALUE"""),15.62)</f>
        <v>15.62</v>
      </c>
      <c r="AY44" s="1">
        <f>IFERROR(__xludf.DUMMYFUNCTION("""COMPUTED_VALUE"""),453.55)</f>
        <v>453.55</v>
      </c>
      <c r="AZ44" s="3">
        <f>IFERROR(__xludf.DUMMYFUNCTION("""COMPUTED_VALUE"""),76.0)</f>
        <v>76</v>
      </c>
      <c r="BA44" s="3">
        <f>IFERROR(__xludf.DUMMYFUNCTION("""COMPUTED_VALUE"""),79.93)</f>
        <v>79.93</v>
      </c>
      <c r="BB44" s="3">
        <f>IFERROR(__xludf.DUMMYFUNCTION("""COMPUTED_VALUE"""),129.24)</f>
        <v>129.24</v>
      </c>
      <c r="BC44" s="1">
        <f>IFERROR(__xludf.DUMMYFUNCTION("""COMPUTED_VALUE"""),100.21)</f>
        <v>100.21</v>
      </c>
      <c r="BD44" s="1">
        <f>IFERROR(__xludf.DUMMYFUNCTION("""COMPUTED_VALUE"""),37.51)</f>
        <v>37.51</v>
      </c>
      <c r="BE44" s="1">
        <f>IFERROR(__xludf.DUMMYFUNCTION("""COMPUTED_VALUE"""),28.07)</f>
        <v>28.07</v>
      </c>
      <c r="BF44" s="1">
        <f>IFERROR(__xludf.DUMMYFUNCTION("""COMPUTED_VALUE"""),60.27)</f>
        <v>60.27</v>
      </c>
      <c r="BG44" s="1">
        <f>IFERROR(__xludf.DUMMYFUNCTION("""COMPUTED_VALUE"""),28.92)</f>
        <v>28.92</v>
      </c>
      <c r="BH44" s="1">
        <f>IFERROR(__xludf.DUMMYFUNCTION("""COMPUTED_VALUE"""),101.28)</f>
        <v>101.28</v>
      </c>
      <c r="BI44" s="1">
        <f>IFERROR(__xludf.DUMMYFUNCTION("""COMPUTED_VALUE"""),45.14)</f>
        <v>45.14</v>
      </c>
      <c r="BJ44" s="1">
        <f>IFERROR(__xludf.DUMMYFUNCTION("""COMPUTED_VALUE"""),179.54)</f>
        <v>179.54</v>
      </c>
      <c r="BK44" s="1">
        <f>IFERROR(__xludf.DUMMYFUNCTION("""COMPUTED_VALUE"""),548.09)</f>
        <v>548.09</v>
      </c>
      <c r="BL44" s="1">
        <f>IFERROR(__xludf.DUMMYFUNCTION("""COMPUTED_VALUE"""),207.59)</f>
        <v>207.59</v>
      </c>
      <c r="BM44" s="1">
        <f>IFERROR(__xludf.DUMMYFUNCTION("""COMPUTED_VALUE"""),142.19)</f>
        <v>142.19</v>
      </c>
      <c r="BN44" s="3">
        <f>IFERROR(__xludf.DUMMYFUNCTION("""COMPUTED_VALUE"""),6.87)</f>
        <v>6.87</v>
      </c>
      <c r="BO44" s="1">
        <f>IFERROR(__xludf.DUMMYFUNCTION("""COMPUTED_VALUE"""),230.22)</f>
        <v>230.22</v>
      </c>
      <c r="BP44" s="1">
        <f>IFERROR(__xludf.DUMMYFUNCTION("""COMPUTED_VALUE"""),511.53)</f>
        <v>511.53</v>
      </c>
      <c r="BQ44" s="36">
        <f>IFERROR(__xludf.DUMMYFUNCTION("""COMPUTED_VALUE"""),48.31)</f>
        <v>48.31</v>
      </c>
      <c r="BR44" s="1">
        <f>IFERROR(__xludf.DUMMYFUNCTION("""COMPUTED_VALUE"""),11.24)</f>
        <v>11.24</v>
      </c>
      <c r="BS44" s="1">
        <f>IFERROR(__xludf.DUMMYFUNCTION("""COMPUTED_VALUE"""),213.75)</f>
        <v>213.75</v>
      </c>
      <c r="BT44" s="1">
        <f>IFERROR(__xludf.DUMMYFUNCTION("""COMPUTED_VALUE"""),97.13)</f>
        <v>97.13</v>
      </c>
      <c r="BU44" s="3">
        <v>1.0</v>
      </c>
    </row>
    <row r="45">
      <c r="A45" s="25">
        <f>IFERROR(__xludf.DUMMYFUNCTION("""COMPUTED_VALUE"""),45488.66666666667)</f>
        <v>45488.66667</v>
      </c>
      <c r="B45" s="29">
        <f>'Master Scratch Work'!B44</f>
        <v>1273425.7</v>
      </c>
      <c r="C45" s="15">
        <f>IFERROR(__xludf.DUMMYFUNCTION("""COMPUTED_VALUE"""),5631.22)</f>
        <v>5631.22</v>
      </c>
      <c r="D45" s="15">
        <f>IFERROR(__xludf.DUMMYFUNCTION("""COMPUTED_VALUE"""),18472.57)</f>
        <v>18472.57</v>
      </c>
      <c r="E45" s="15">
        <f>IFERROR(__xludf.DUMMYFUNCTION("""COMPUTED_VALUE"""),40211.72)</f>
        <v>40211.72</v>
      </c>
      <c r="F45" s="15">
        <f>IFERROR(__xludf.DUMMYFUNCTION("""COMPUTED_VALUE"""),2187.02)</f>
        <v>2187.02</v>
      </c>
      <c r="G45" s="3">
        <f>IFERROR(__xludf.DUMMYFUNCTION("""COMPUTED_VALUE"""),561.53)</f>
        <v>561.53</v>
      </c>
      <c r="H45" s="3">
        <f>IFERROR(__xludf.DUMMYFUNCTION("""COMPUTED_VALUE"""),496.15)</f>
        <v>496.15</v>
      </c>
      <c r="I45" s="3">
        <f>IFERROR(__xludf.DUMMYFUNCTION("""COMPUTED_VALUE"""),565.71)</f>
        <v>565.71</v>
      </c>
      <c r="J45" s="3">
        <f>IFERROR(__xludf.DUMMYFUNCTION("""COMPUTED_VALUE"""),192.72)</f>
        <v>192.72</v>
      </c>
      <c r="K45" s="3">
        <f>IFERROR(__xludf.DUMMYFUNCTION("""COMPUTED_VALUE"""),136.33)</f>
        <v>136.33</v>
      </c>
      <c r="L45" s="3">
        <f>IFERROR(__xludf.DUMMYFUNCTION("""COMPUTED_VALUE"""),234.4)</f>
        <v>234.4</v>
      </c>
      <c r="M45" s="3">
        <f>IFERROR(__xludf.DUMMYFUNCTION("""COMPUTED_VALUE"""),245.55)</f>
        <v>245.55</v>
      </c>
      <c r="N45" s="3">
        <f>IFERROR(__xludf.DUMMYFUNCTION("""COMPUTED_VALUE"""),65.71)</f>
        <v>65.71</v>
      </c>
      <c r="O45" s="3">
        <f>IFERROR(__xludf.DUMMYFUNCTION("""COMPUTED_VALUE"""),11.74)</f>
        <v>11.74</v>
      </c>
      <c r="P45" s="3">
        <f>IFERROR(__xludf.DUMMYFUNCTION("""COMPUTED_VALUE"""),434.42)</f>
        <v>434.42</v>
      </c>
      <c r="Q45" s="3">
        <f>IFERROR(__xludf.DUMMYFUNCTION("""COMPUTED_VALUE"""),58.31)</f>
        <v>58.31</v>
      </c>
      <c r="R45" s="3">
        <f>IFERROR(__xludf.DUMMYFUNCTION("""COMPUTED_VALUE"""),221.58)</f>
        <v>221.58</v>
      </c>
      <c r="S45" s="3">
        <f>IFERROR(__xludf.DUMMYFUNCTION("""COMPUTED_VALUE"""),78.02)</f>
        <v>78.02</v>
      </c>
      <c r="T45" s="3">
        <f>IFERROR(__xludf.DUMMYFUNCTION("""COMPUTED_VALUE"""),67.36)</f>
        <v>67.36</v>
      </c>
      <c r="U45" s="3">
        <f>IFERROR(__xludf.DUMMYFUNCTION("""COMPUTED_VALUE"""),345.77)</f>
        <v>345.77</v>
      </c>
      <c r="V45" s="3">
        <f>IFERROR(__xludf.DUMMYFUNCTION("""COMPUTED_VALUE"""),52.22)</f>
        <v>52.22</v>
      </c>
      <c r="W45" s="3">
        <f>IFERROR(__xludf.DUMMYFUNCTION("""COMPUTED_VALUE"""),172.05)</f>
        <v>172.05</v>
      </c>
      <c r="X45" s="3">
        <f>IFERROR(__xludf.DUMMYFUNCTION("""COMPUTED_VALUE"""),158.04)</f>
        <v>158.04</v>
      </c>
      <c r="Y45" s="1">
        <f>IFERROR(__xludf.DUMMYFUNCTION("""COMPUTED_VALUE"""),331.42)</f>
        <v>331.42</v>
      </c>
      <c r="Z45" s="1">
        <f>IFERROR(__xludf.DUMMYFUNCTION("""COMPUTED_VALUE"""),38.66)</f>
        <v>38.66</v>
      </c>
      <c r="AA45" s="1">
        <f>IFERROR(__xludf.DUMMYFUNCTION("""COMPUTED_VALUE"""),63.41)</f>
        <v>63.41</v>
      </c>
      <c r="AB45" s="1">
        <f>IFERROR(__xludf.DUMMYFUNCTION("""COMPUTED_VALUE"""),90.26)</f>
        <v>90.26</v>
      </c>
      <c r="AC45" s="1">
        <f>IFERROR(__xludf.DUMMYFUNCTION("""COMPUTED_VALUE"""),159.5)</f>
        <v>159.5</v>
      </c>
      <c r="AD45" s="3">
        <f>IFERROR(__xludf.DUMMYFUNCTION("""COMPUTED_VALUE"""),103.83)</f>
        <v>103.83</v>
      </c>
      <c r="AE45" s="1">
        <f>IFERROR(__xludf.DUMMYFUNCTION("""COMPUTED_VALUE"""),483.03)</f>
        <v>483.03</v>
      </c>
      <c r="AF45" s="1">
        <f>IFERROR(__xludf.DUMMYFUNCTION("""COMPUTED_VALUE"""),53.72)</f>
        <v>53.72</v>
      </c>
      <c r="AG45" s="1">
        <f>IFERROR(__xludf.DUMMYFUNCTION("""COMPUTED_VALUE"""),115.21)</f>
        <v>115.21</v>
      </c>
      <c r="AH45" s="3">
        <f>IFERROR(__xludf.DUMMYFUNCTION("""COMPUTED_VALUE"""),305.02)</f>
        <v>305.02</v>
      </c>
      <c r="AI45" s="1">
        <f>IFERROR(__xludf.DUMMYFUNCTION("""COMPUTED_VALUE"""),428.56)</f>
        <v>428.56</v>
      </c>
      <c r="AJ45" s="1">
        <f>IFERROR(__xludf.DUMMYFUNCTION("""COMPUTED_VALUE"""),285.42)</f>
        <v>285.42</v>
      </c>
      <c r="AK45" s="3">
        <f>IFERROR(__xludf.DUMMYFUNCTION("""COMPUTED_VALUE"""),49.3)</f>
        <v>49.3</v>
      </c>
      <c r="AL45" s="1">
        <f>IFERROR(__xludf.DUMMYFUNCTION("""COMPUTED_VALUE"""),70.81)</f>
        <v>70.81</v>
      </c>
      <c r="AM45" s="1">
        <f>IFERROR(__xludf.DUMMYFUNCTION("""COMPUTED_VALUE"""),492.23)</f>
        <v>492.23</v>
      </c>
      <c r="AN45" s="1">
        <f>IFERROR(__xludf.DUMMYFUNCTION("""COMPUTED_VALUE"""),358.46)</f>
        <v>358.46</v>
      </c>
      <c r="AO45" s="1">
        <f>IFERROR(__xludf.DUMMYFUNCTION("""COMPUTED_VALUE"""),104.22)</f>
        <v>104.22</v>
      </c>
      <c r="AP45" s="1">
        <f>IFERROR(__xludf.DUMMYFUNCTION("""COMPUTED_VALUE"""),147.82)</f>
        <v>147.82</v>
      </c>
      <c r="AQ45" s="1">
        <f>IFERROR(__xludf.DUMMYFUNCTION("""COMPUTED_VALUE"""),437.25)</f>
        <v>437.25</v>
      </c>
      <c r="AR45" s="3">
        <f>IFERROR(__xludf.DUMMYFUNCTION("""COMPUTED_VALUE"""),210.05)</f>
        <v>210.05</v>
      </c>
      <c r="AS45" s="3">
        <f>IFERROR(__xludf.DUMMYFUNCTION("""COMPUTED_VALUE"""),463.88)</f>
        <v>463.88</v>
      </c>
      <c r="AT45" s="3">
        <f>IFERROR(__xludf.DUMMYFUNCTION("""COMPUTED_VALUE"""),283.72)</f>
        <v>283.72</v>
      </c>
      <c r="AU45" s="1">
        <f>IFERROR(__xludf.DUMMYFUNCTION("""COMPUTED_VALUE"""),27.08)</f>
        <v>27.08</v>
      </c>
      <c r="AV45" s="1">
        <f>IFERROR(__xludf.DUMMYFUNCTION("""COMPUTED_VALUE"""),77.08)</f>
        <v>77.08</v>
      </c>
      <c r="AW45" s="1">
        <f>IFERROR(__xludf.DUMMYFUNCTION("""COMPUTED_VALUE"""),74.43)</f>
        <v>74.43</v>
      </c>
      <c r="AX45" s="1">
        <f>IFERROR(__xludf.DUMMYFUNCTION("""COMPUTED_VALUE"""),15.3)</f>
        <v>15.3</v>
      </c>
      <c r="AY45" s="1">
        <f>IFERROR(__xludf.DUMMYFUNCTION("""COMPUTED_VALUE"""),453.96)</f>
        <v>453.96</v>
      </c>
      <c r="AZ45" s="3">
        <f>IFERROR(__xludf.DUMMYFUNCTION("""COMPUTED_VALUE"""),70.97)</f>
        <v>70.97</v>
      </c>
      <c r="BA45" s="3">
        <f>IFERROR(__xludf.DUMMYFUNCTION("""COMPUTED_VALUE"""),75.39)</f>
        <v>75.39</v>
      </c>
      <c r="BB45" s="3">
        <f>IFERROR(__xludf.DUMMYFUNCTION("""COMPUTED_VALUE"""),128.44)</f>
        <v>128.44</v>
      </c>
      <c r="BC45" s="1">
        <f>IFERROR(__xludf.DUMMYFUNCTION("""COMPUTED_VALUE"""),99.44)</f>
        <v>99.44</v>
      </c>
      <c r="BD45" s="1">
        <f>IFERROR(__xludf.DUMMYFUNCTION("""COMPUTED_VALUE"""),37.59)</f>
        <v>37.59</v>
      </c>
      <c r="BE45" s="1">
        <f>IFERROR(__xludf.DUMMYFUNCTION("""COMPUTED_VALUE"""),28.67)</f>
        <v>28.67</v>
      </c>
      <c r="BF45" s="1">
        <f>IFERROR(__xludf.DUMMYFUNCTION("""COMPUTED_VALUE"""),60.47)</f>
        <v>60.47</v>
      </c>
      <c r="BG45" s="1">
        <f>IFERROR(__xludf.DUMMYFUNCTION("""COMPUTED_VALUE"""),29.1)</f>
        <v>29.1</v>
      </c>
      <c r="BH45" s="1">
        <f>IFERROR(__xludf.DUMMYFUNCTION("""COMPUTED_VALUE"""),101.62)</f>
        <v>101.62</v>
      </c>
      <c r="BI45" s="1">
        <f>IFERROR(__xludf.DUMMYFUNCTION("""COMPUTED_VALUE"""),46.0)</f>
        <v>46</v>
      </c>
      <c r="BJ45" s="1">
        <f>IFERROR(__xludf.DUMMYFUNCTION("""COMPUTED_VALUE"""),181.75)</f>
        <v>181.75</v>
      </c>
      <c r="BK45" s="1">
        <f>IFERROR(__xludf.DUMMYFUNCTION("""COMPUTED_VALUE"""),544.68)</f>
        <v>544.68</v>
      </c>
      <c r="BL45" s="1">
        <f>IFERROR(__xludf.DUMMYFUNCTION("""COMPUTED_VALUE"""),206.91)</f>
        <v>206.91</v>
      </c>
      <c r="BM45" s="1">
        <f>IFERROR(__xludf.DUMMYFUNCTION("""COMPUTED_VALUE"""),144.35)</f>
        <v>144.35</v>
      </c>
      <c r="BN45" s="3">
        <f>IFERROR(__xludf.DUMMYFUNCTION("""COMPUTED_VALUE"""),6.51)</f>
        <v>6.51</v>
      </c>
      <c r="BO45" s="1">
        <f>IFERROR(__xludf.DUMMYFUNCTION("""COMPUTED_VALUE"""),235.99)</f>
        <v>235.99</v>
      </c>
      <c r="BP45" s="1">
        <f>IFERROR(__xludf.DUMMYFUNCTION("""COMPUTED_VALUE"""),515.37)</f>
        <v>515.37</v>
      </c>
      <c r="BQ45" s="36">
        <f>IFERROR(__xludf.DUMMYFUNCTION("""COMPUTED_VALUE"""),48.35)</f>
        <v>48.35</v>
      </c>
      <c r="BR45" s="1">
        <f>IFERROR(__xludf.DUMMYFUNCTION("""COMPUTED_VALUE"""),11.0)</f>
        <v>11</v>
      </c>
      <c r="BS45" s="1">
        <f>IFERROR(__xludf.DUMMYFUNCTION("""COMPUTED_VALUE"""),216.0)</f>
        <v>216</v>
      </c>
      <c r="BT45" s="1">
        <f>IFERROR(__xludf.DUMMYFUNCTION("""COMPUTED_VALUE"""),96.87)</f>
        <v>96.87</v>
      </c>
      <c r="BU45" s="3">
        <v>1.0</v>
      </c>
    </row>
    <row r="46">
      <c r="A46" s="25">
        <f>IFERROR(__xludf.DUMMYFUNCTION("""COMPUTED_VALUE"""),45489.66666666667)</f>
        <v>45489.66667</v>
      </c>
      <c r="B46" s="29">
        <f>'Master Scratch Work'!B45</f>
        <v>1290132.32</v>
      </c>
      <c r="C46" s="15">
        <f>IFERROR(__xludf.DUMMYFUNCTION("""COMPUTED_VALUE"""),5667.2)</f>
        <v>5667.2</v>
      </c>
      <c r="D46" s="15">
        <f>IFERROR(__xludf.DUMMYFUNCTION("""COMPUTED_VALUE"""),18509.34)</f>
        <v>18509.34</v>
      </c>
      <c r="E46" s="15">
        <f>IFERROR(__xludf.DUMMYFUNCTION("""COMPUTED_VALUE"""),40954.48)</f>
        <v>40954.48</v>
      </c>
      <c r="F46" s="15">
        <f>IFERROR(__xludf.DUMMYFUNCTION("""COMPUTED_VALUE"""),2263.67)</f>
        <v>2263.67</v>
      </c>
      <c r="G46" s="3">
        <f>IFERROR(__xludf.DUMMYFUNCTION("""COMPUTED_VALUE"""),564.86)</f>
        <v>564.86</v>
      </c>
      <c r="H46" s="3">
        <f>IFERROR(__xludf.DUMMYFUNCTION("""COMPUTED_VALUE"""),496.34)</f>
        <v>496.34</v>
      </c>
      <c r="I46" s="3">
        <f>IFERROR(__xludf.DUMMYFUNCTION("""COMPUTED_VALUE"""),566.54)</f>
        <v>566.54</v>
      </c>
      <c r="J46" s="3">
        <f>IFERROR(__xludf.DUMMYFUNCTION("""COMPUTED_VALUE"""),193.02)</f>
        <v>193.02</v>
      </c>
      <c r="K46" s="3">
        <f>IFERROR(__xludf.DUMMYFUNCTION("""COMPUTED_VALUE"""),139.08)</f>
        <v>139.08</v>
      </c>
      <c r="L46" s="3">
        <f>IFERROR(__xludf.DUMMYFUNCTION("""COMPUTED_VALUE"""),234.82)</f>
        <v>234.82</v>
      </c>
      <c r="M46" s="3">
        <f>IFERROR(__xludf.DUMMYFUNCTION("""COMPUTED_VALUE"""),245.84)</f>
        <v>245.84</v>
      </c>
      <c r="N46" s="3">
        <f>IFERROR(__xludf.DUMMYFUNCTION("""COMPUTED_VALUE"""),65.02)</f>
        <v>65.02</v>
      </c>
      <c r="O46" s="3">
        <f>IFERROR(__xludf.DUMMYFUNCTION("""COMPUTED_VALUE"""),11.9)</f>
        <v>11.9</v>
      </c>
      <c r="P46" s="3">
        <f>IFERROR(__xludf.DUMMYFUNCTION("""COMPUTED_VALUE"""),438.9)</f>
        <v>438.9</v>
      </c>
      <c r="Q46" s="3">
        <f>IFERROR(__xludf.DUMMYFUNCTION("""COMPUTED_VALUE"""),57.2)</f>
        <v>57.2</v>
      </c>
      <c r="R46" s="3">
        <f>IFERROR(__xludf.DUMMYFUNCTION("""COMPUTED_VALUE"""),225.02)</f>
        <v>225.02</v>
      </c>
      <c r="S46" s="3">
        <f>IFERROR(__xludf.DUMMYFUNCTION("""COMPUTED_VALUE"""),78.14)</f>
        <v>78.14</v>
      </c>
      <c r="T46" s="3">
        <f>IFERROR(__xludf.DUMMYFUNCTION("""COMPUTED_VALUE"""),69.88)</f>
        <v>69.88</v>
      </c>
      <c r="U46" s="3">
        <f>IFERROR(__xludf.DUMMYFUNCTION("""COMPUTED_VALUE"""),360.58)</f>
        <v>360.58</v>
      </c>
      <c r="V46" s="3">
        <f>IFERROR(__xludf.DUMMYFUNCTION("""COMPUTED_VALUE"""),51.37)</f>
        <v>51.37</v>
      </c>
      <c r="W46" s="3">
        <f>IFERROR(__xludf.DUMMYFUNCTION("""COMPUTED_VALUE"""),174.7)</f>
        <v>174.7</v>
      </c>
      <c r="X46" s="3">
        <f>IFERROR(__xludf.DUMMYFUNCTION("""COMPUTED_VALUE"""),157.77)</f>
        <v>157.77</v>
      </c>
      <c r="Y46" s="1">
        <f>IFERROR(__xludf.DUMMYFUNCTION("""COMPUTED_VALUE"""),339.71)</f>
        <v>339.71</v>
      </c>
      <c r="Z46" s="1">
        <f>IFERROR(__xludf.DUMMYFUNCTION("""COMPUTED_VALUE"""),39.6)</f>
        <v>39.6</v>
      </c>
      <c r="AA46" s="1">
        <f>IFERROR(__xludf.DUMMYFUNCTION("""COMPUTED_VALUE"""),64.27)</f>
        <v>64.27</v>
      </c>
      <c r="AB46" s="1">
        <f>IFERROR(__xludf.DUMMYFUNCTION("""COMPUTED_VALUE"""),91.55)</f>
        <v>91.55</v>
      </c>
      <c r="AC46" s="1">
        <f>IFERROR(__xludf.DUMMYFUNCTION("""COMPUTED_VALUE"""),162.33)</f>
        <v>162.33</v>
      </c>
      <c r="AD46" s="3">
        <f>IFERROR(__xludf.DUMMYFUNCTION("""COMPUTED_VALUE"""),104.82)</f>
        <v>104.82</v>
      </c>
      <c r="AE46" s="1">
        <f>IFERROR(__xludf.DUMMYFUNCTION("""COMPUTED_VALUE"""),489.85)</f>
        <v>489.85</v>
      </c>
      <c r="AF46" s="1">
        <f>IFERROR(__xludf.DUMMYFUNCTION("""COMPUTED_VALUE"""),55.42)</f>
        <v>55.42</v>
      </c>
      <c r="AG46" s="1">
        <f>IFERROR(__xludf.DUMMYFUNCTION("""COMPUTED_VALUE"""),116.04)</f>
        <v>116.04</v>
      </c>
      <c r="AH46" s="3">
        <f>IFERROR(__xludf.DUMMYFUNCTION("""COMPUTED_VALUE"""),313.52)</f>
        <v>313.52</v>
      </c>
      <c r="AI46" s="1">
        <f>IFERROR(__xludf.DUMMYFUNCTION("""COMPUTED_VALUE"""),429.22)</f>
        <v>429.22</v>
      </c>
      <c r="AJ46" s="1">
        <f>IFERROR(__xludf.DUMMYFUNCTION("""COMPUTED_VALUE"""),291.59)</f>
        <v>291.59</v>
      </c>
      <c r="AK46" s="3">
        <f>IFERROR(__xludf.DUMMYFUNCTION("""COMPUTED_VALUE"""),49.77)</f>
        <v>49.77</v>
      </c>
      <c r="AL46" s="1">
        <f>IFERROR(__xludf.DUMMYFUNCTION("""COMPUTED_VALUE"""),71.64)</f>
        <v>71.64</v>
      </c>
      <c r="AM46" s="1">
        <f>IFERROR(__xludf.DUMMYFUNCTION("""COMPUTED_VALUE"""),503.02)</f>
        <v>503.02</v>
      </c>
      <c r="AN46" s="1">
        <f>IFERROR(__xludf.DUMMYFUNCTION("""COMPUTED_VALUE"""),369.12)</f>
        <v>369.12</v>
      </c>
      <c r="AO46" s="1">
        <f>IFERROR(__xludf.DUMMYFUNCTION("""COMPUTED_VALUE"""),108.75)</f>
        <v>108.75</v>
      </c>
      <c r="AP46" s="1">
        <f>IFERROR(__xludf.DUMMYFUNCTION("""COMPUTED_VALUE"""),148.92)</f>
        <v>148.92</v>
      </c>
      <c r="AQ46" s="1">
        <f>IFERROR(__xludf.DUMMYFUNCTION("""COMPUTED_VALUE"""),438.01)</f>
        <v>438.01</v>
      </c>
      <c r="AR46" s="3">
        <f>IFERROR(__xludf.DUMMYFUNCTION("""COMPUTED_VALUE"""),213.62)</f>
        <v>213.62</v>
      </c>
      <c r="AS46" s="3">
        <f>IFERROR(__xludf.DUMMYFUNCTION("""COMPUTED_VALUE"""),468.58)</f>
        <v>468.58</v>
      </c>
      <c r="AT46" s="3">
        <f>IFERROR(__xludf.DUMMYFUNCTION("""COMPUTED_VALUE"""),291.76)</f>
        <v>291.76</v>
      </c>
      <c r="AU46" s="1">
        <f>IFERROR(__xludf.DUMMYFUNCTION("""COMPUTED_VALUE"""),26.75)</f>
        <v>26.75</v>
      </c>
      <c r="AV46" s="1">
        <f>IFERROR(__xludf.DUMMYFUNCTION("""COMPUTED_VALUE"""),78.1)</f>
        <v>78.1</v>
      </c>
      <c r="AW46" s="1">
        <f>IFERROR(__xludf.DUMMYFUNCTION("""COMPUTED_VALUE"""),75.66)</f>
        <v>75.66</v>
      </c>
      <c r="AX46" s="1">
        <f>IFERROR(__xludf.DUMMYFUNCTION("""COMPUTED_VALUE"""),15.28)</f>
        <v>15.28</v>
      </c>
      <c r="AY46" s="1">
        <f>IFERROR(__xludf.DUMMYFUNCTION("""COMPUTED_VALUE"""),449.52)</f>
        <v>449.52</v>
      </c>
      <c r="AZ46" s="3">
        <f>IFERROR(__xludf.DUMMYFUNCTION("""COMPUTED_VALUE"""),71.9)</f>
        <v>71.9</v>
      </c>
      <c r="BA46" s="3">
        <f>IFERROR(__xludf.DUMMYFUNCTION("""COMPUTED_VALUE"""),76.43)</f>
        <v>76.43</v>
      </c>
      <c r="BB46" s="3">
        <f>IFERROR(__xludf.DUMMYFUNCTION("""COMPUTED_VALUE"""),126.36)</f>
        <v>126.36</v>
      </c>
      <c r="BC46" s="1">
        <f>IFERROR(__xludf.DUMMYFUNCTION("""COMPUTED_VALUE"""),99.62)</f>
        <v>99.62</v>
      </c>
      <c r="BD46" s="1">
        <f>IFERROR(__xludf.DUMMYFUNCTION("""COMPUTED_VALUE"""),39.2)</f>
        <v>39.2</v>
      </c>
      <c r="BE46" s="1">
        <f>IFERROR(__xludf.DUMMYFUNCTION("""COMPUTED_VALUE"""),28.67)</f>
        <v>28.67</v>
      </c>
      <c r="BF46" s="1">
        <f>IFERROR(__xludf.DUMMYFUNCTION("""COMPUTED_VALUE"""),61.81)</f>
        <v>61.81</v>
      </c>
      <c r="BG46" s="1">
        <f>IFERROR(__xludf.DUMMYFUNCTION("""COMPUTED_VALUE"""),29.5)</f>
        <v>29.5</v>
      </c>
      <c r="BH46" s="1">
        <f>IFERROR(__xludf.DUMMYFUNCTION("""COMPUTED_VALUE"""),103.68)</f>
        <v>103.68</v>
      </c>
      <c r="BI46" s="1">
        <f>IFERROR(__xludf.DUMMYFUNCTION("""COMPUTED_VALUE"""),46.77)</f>
        <v>46.77</v>
      </c>
      <c r="BJ46" s="1">
        <f>IFERROR(__xludf.DUMMYFUNCTION("""COMPUTED_VALUE"""),182.98)</f>
        <v>182.98</v>
      </c>
      <c r="BK46" s="1">
        <f>IFERROR(__xludf.DUMMYFUNCTION("""COMPUTED_VALUE"""),555.42)</f>
        <v>555.42</v>
      </c>
      <c r="BL46" s="1">
        <f>IFERROR(__xludf.DUMMYFUNCTION("""COMPUTED_VALUE"""),206.6)</f>
        <v>206.6</v>
      </c>
      <c r="BM46" s="1">
        <f>IFERROR(__xludf.DUMMYFUNCTION("""COMPUTED_VALUE"""),151.81)</f>
        <v>151.81</v>
      </c>
      <c r="BN46" s="3">
        <f>IFERROR(__xludf.DUMMYFUNCTION("""COMPUTED_VALUE"""),6.67)</f>
        <v>6.67</v>
      </c>
      <c r="BO46" s="1">
        <f>IFERROR(__xludf.DUMMYFUNCTION("""COMPUTED_VALUE"""),243.06)</f>
        <v>243.06</v>
      </c>
      <c r="BP46" s="1">
        <f>IFERROR(__xludf.DUMMYFUNCTION("""COMPUTED_VALUE"""),548.87)</f>
        <v>548.87</v>
      </c>
      <c r="BQ46" s="36">
        <f>IFERROR(__xludf.DUMMYFUNCTION("""COMPUTED_VALUE"""),48.35)</f>
        <v>48.35</v>
      </c>
      <c r="BR46" s="1">
        <f>IFERROR(__xludf.DUMMYFUNCTION("""COMPUTED_VALUE"""),11.38)</f>
        <v>11.38</v>
      </c>
      <c r="BS46" s="1">
        <f>IFERROR(__xludf.DUMMYFUNCTION("""COMPUTED_VALUE"""),220.89)</f>
        <v>220.89</v>
      </c>
      <c r="BT46" s="1">
        <f>IFERROR(__xludf.DUMMYFUNCTION("""COMPUTED_VALUE"""),98.47)</f>
        <v>98.47</v>
      </c>
      <c r="BU46" s="3">
        <v>1.0</v>
      </c>
    </row>
    <row r="47">
      <c r="A47" s="25">
        <f>IFERROR(__xludf.DUMMYFUNCTION("""COMPUTED_VALUE"""),45490.66666666667)</f>
        <v>45490.66667</v>
      </c>
      <c r="B47" s="29">
        <f>'Master Scratch Work'!B46</f>
        <v>1284440.35</v>
      </c>
      <c r="C47" s="15">
        <f>IFERROR(__xludf.DUMMYFUNCTION("""COMPUTED_VALUE"""),5588.27)</f>
        <v>5588.27</v>
      </c>
      <c r="D47" s="15">
        <f>IFERROR(__xludf.DUMMYFUNCTION("""COMPUTED_VALUE"""),17996.93)</f>
        <v>17996.93</v>
      </c>
      <c r="E47" s="15">
        <f>IFERROR(__xludf.DUMMYFUNCTION("""COMPUTED_VALUE"""),41198.08)</f>
        <v>41198.08</v>
      </c>
      <c r="F47" s="15">
        <f>IFERROR(__xludf.DUMMYFUNCTION("""COMPUTED_VALUE"""),2239.67)</f>
        <v>2239.67</v>
      </c>
      <c r="G47" s="3">
        <f>IFERROR(__xludf.DUMMYFUNCTION("""COMPUTED_VALUE"""),556.94)</f>
        <v>556.94</v>
      </c>
      <c r="H47" s="3">
        <f>IFERROR(__xludf.DUMMYFUNCTION("""COMPUTED_VALUE"""),481.77)</f>
        <v>481.77</v>
      </c>
      <c r="I47" s="3">
        <f>IFERROR(__xludf.DUMMYFUNCTION("""COMPUTED_VALUE"""),563.09)</f>
        <v>563.09</v>
      </c>
      <c r="J47" s="3">
        <f>IFERROR(__xludf.DUMMYFUNCTION("""COMPUTED_VALUE"""),187.93)</f>
        <v>187.93</v>
      </c>
      <c r="K47" s="3">
        <f>IFERROR(__xludf.DUMMYFUNCTION("""COMPUTED_VALUE"""),142.53)</f>
        <v>142.53</v>
      </c>
      <c r="L47" s="3">
        <f>IFERROR(__xludf.DUMMYFUNCTION("""COMPUTED_VALUE"""),228.88)</f>
        <v>228.88</v>
      </c>
      <c r="M47" s="3">
        <f>IFERROR(__xludf.DUMMYFUNCTION("""COMPUTED_VALUE"""),220.07)</f>
        <v>220.07</v>
      </c>
      <c r="N47" s="3">
        <f>IFERROR(__xludf.DUMMYFUNCTION("""COMPUTED_VALUE"""),64.09)</f>
        <v>64.09</v>
      </c>
      <c r="O47" s="3">
        <f>IFERROR(__xludf.DUMMYFUNCTION("""COMPUTED_VALUE"""),12.02)</f>
        <v>12.02</v>
      </c>
      <c r="P47" s="3">
        <f>IFERROR(__xludf.DUMMYFUNCTION("""COMPUTED_VALUE"""),445.61)</f>
        <v>445.61</v>
      </c>
      <c r="Q47" s="3">
        <f>IFERROR(__xludf.DUMMYFUNCTION("""COMPUTED_VALUE"""),56.99)</f>
        <v>56.99</v>
      </c>
      <c r="R47" s="3">
        <f>IFERROR(__xludf.DUMMYFUNCTION("""COMPUTED_VALUE"""),228.33)</f>
        <v>228.33</v>
      </c>
      <c r="S47" s="3">
        <f>IFERROR(__xludf.DUMMYFUNCTION("""COMPUTED_VALUE"""),77.41)</f>
        <v>77.41</v>
      </c>
      <c r="T47" s="3">
        <f>IFERROR(__xludf.DUMMYFUNCTION("""COMPUTED_VALUE"""),67.58)</f>
        <v>67.58</v>
      </c>
      <c r="U47" s="3">
        <f>IFERROR(__xludf.DUMMYFUNCTION("""COMPUTED_VALUE"""),357.8)</f>
        <v>357.8</v>
      </c>
      <c r="V47" s="3">
        <f>IFERROR(__xludf.DUMMYFUNCTION("""COMPUTED_VALUE"""),47.47)</f>
        <v>47.47</v>
      </c>
      <c r="W47" s="3">
        <f>IFERROR(__xludf.DUMMYFUNCTION("""COMPUTED_VALUE"""),171.58)</f>
        <v>171.58</v>
      </c>
      <c r="X47" s="3">
        <f>IFERROR(__xludf.DUMMYFUNCTION("""COMPUTED_VALUE"""),161.23)</f>
        <v>161.23</v>
      </c>
      <c r="Y47" s="1">
        <f>IFERROR(__xludf.DUMMYFUNCTION("""COMPUTED_VALUE"""),344.76)</f>
        <v>344.76</v>
      </c>
      <c r="Z47" s="1">
        <f>IFERROR(__xludf.DUMMYFUNCTION("""COMPUTED_VALUE"""),40.92)</f>
        <v>40.92</v>
      </c>
      <c r="AA47" s="1">
        <f>IFERROR(__xludf.DUMMYFUNCTION("""COMPUTED_VALUE"""),65.21)</f>
        <v>65.21</v>
      </c>
      <c r="AB47" s="1">
        <f>IFERROR(__xludf.DUMMYFUNCTION("""COMPUTED_VALUE"""),93.76)</f>
        <v>93.76</v>
      </c>
      <c r="AC47" s="1">
        <f>IFERROR(__xludf.DUMMYFUNCTION("""COMPUTED_VALUE"""),156.83)</f>
        <v>156.83</v>
      </c>
      <c r="AD47" s="3">
        <f>IFERROR(__xludf.DUMMYFUNCTION("""COMPUTED_VALUE"""),105.34)</f>
        <v>105.34</v>
      </c>
      <c r="AE47" s="1">
        <f>IFERROR(__xludf.DUMMYFUNCTION("""COMPUTED_VALUE"""),473.27)</f>
        <v>473.27</v>
      </c>
      <c r="AF47" s="1">
        <f>IFERROR(__xludf.DUMMYFUNCTION("""COMPUTED_VALUE"""),54.58)</f>
        <v>54.58</v>
      </c>
      <c r="AG47" s="1">
        <f>IFERROR(__xludf.DUMMYFUNCTION("""COMPUTED_VALUE"""),117.64)</f>
        <v>117.64</v>
      </c>
      <c r="AH47" s="3">
        <f>IFERROR(__xludf.DUMMYFUNCTION("""COMPUTED_VALUE"""),310.43)</f>
        <v>310.43</v>
      </c>
      <c r="AI47" s="1">
        <f>IFERROR(__xludf.DUMMYFUNCTION("""COMPUTED_VALUE"""),420.71)</f>
        <v>420.71</v>
      </c>
      <c r="AJ47" s="1">
        <f>IFERROR(__xludf.DUMMYFUNCTION("""COMPUTED_VALUE"""),291.99)</f>
        <v>291.99</v>
      </c>
      <c r="AK47" s="3">
        <f>IFERROR(__xludf.DUMMYFUNCTION("""COMPUTED_VALUE"""),49.9)</f>
        <v>49.9</v>
      </c>
      <c r="AL47" s="1">
        <f>IFERROR(__xludf.DUMMYFUNCTION("""COMPUTED_VALUE"""),73.3)</f>
        <v>73.3</v>
      </c>
      <c r="AM47" s="1">
        <f>IFERROR(__xludf.DUMMYFUNCTION("""COMPUTED_VALUE"""),502.18)</f>
        <v>502.18</v>
      </c>
      <c r="AN47" s="1">
        <f>IFERROR(__xludf.DUMMYFUNCTION("""COMPUTED_VALUE"""),371.89)</f>
        <v>371.89</v>
      </c>
      <c r="AO47" s="1">
        <f>IFERROR(__xludf.DUMMYFUNCTION("""COMPUTED_VALUE"""),107.21)</f>
        <v>107.21</v>
      </c>
      <c r="AP47" s="1">
        <f>IFERROR(__xludf.DUMMYFUNCTION("""COMPUTED_VALUE"""),149.41)</f>
        <v>149.41</v>
      </c>
      <c r="AQ47" s="1">
        <f>IFERROR(__xludf.DUMMYFUNCTION("""COMPUTED_VALUE"""),426.23)</f>
        <v>426.23</v>
      </c>
      <c r="AR47" s="3">
        <f>IFERROR(__xludf.DUMMYFUNCTION("""COMPUTED_VALUE"""),216.87)</f>
        <v>216.87</v>
      </c>
      <c r="AS47" s="3">
        <f>IFERROR(__xludf.DUMMYFUNCTION("""COMPUTED_VALUE"""),476.07)</f>
        <v>476.07</v>
      </c>
      <c r="AT47" s="3">
        <f>IFERROR(__xludf.DUMMYFUNCTION("""COMPUTED_VALUE"""),292.68)</f>
        <v>292.68</v>
      </c>
      <c r="AU47" s="1">
        <f>IFERROR(__xludf.DUMMYFUNCTION("""COMPUTED_VALUE"""),26.46)</f>
        <v>26.46</v>
      </c>
      <c r="AV47" s="1">
        <f>IFERROR(__xludf.DUMMYFUNCTION("""COMPUTED_VALUE"""),81.26)</f>
        <v>81.26</v>
      </c>
      <c r="AW47" s="1">
        <f>IFERROR(__xludf.DUMMYFUNCTION("""COMPUTED_VALUE"""),76.18)</f>
        <v>76.18</v>
      </c>
      <c r="AX47" s="1">
        <f>IFERROR(__xludf.DUMMYFUNCTION("""COMPUTED_VALUE"""),15.11)</f>
        <v>15.11</v>
      </c>
      <c r="AY47" s="1">
        <f>IFERROR(__xludf.DUMMYFUNCTION("""COMPUTED_VALUE"""),443.52)</f>
        <v>443.52</v>
      </c>
      <c r="AZ47" s="3">
        <f>IFERROR(__xludf.DUMMYFUNCTION("""COMPUTED_VALUE"""),70.9)</f>
        <v>70.9</v>
      </c>
      <c r="BA47" s="3">
        <f>IFERROR(__xludf.DUMMYFUNCTION("""COMPUTED_VALUE"""),72.54)</f>
        <v>72.54</v>
      </c>
      <c r="BB47" s="3">
        <f>IFERROR(__xludf.DUMMYFUNCTION("""COMPUTED_VALUE"""),117.99)</f>
        <v>117.99</v>
      </c>
      <c r="BC47" s="1">
        <f>IFERROR(__xludf.DUMMYFUNCTION("""COMPUTED_VALUE"""),98.93)</f>
        <v>98.93</v>
      </c>
      <c r="BD47" s="1">
        <f>IFERROR(__xludf.DUMMYFUNCTION("""COMPUTED_VALUE"""),40.36)</f>
        <v>40.36</v>
      </c>
      <c r="BE47" s="1">
        <f>IFERROR(__xludf.DUMMYFUNCTION("""COMPUTED_VALUE"""),28.22)</f>
        <v>28.22</v>
      </c>
      <c r="BF47" s="1">
        <f>IFERROR(__xludf.DUMMYFUNCTION("""COMPUTED_VALUE"""),61.24)</f>
        <v>61.24</v>
      </c>
      <c r="BG47" s="1">
        <f>IFERROR(__xludf.DUMMYFUNCTION("""COMPUTED_VALUE"""),30.03)</f>
        <v>30.03</v>
      </c>
      <c r="BH47" s="1">
        <f>IFERROR(__xludf.DUMMYFUNCTION("""COMPUTED_VALUE"""),104.99)</f>
        <v>104.99</v>
      </c>
      <c r="BI47" s="1">
        <f>IFERROR(__xludf.DUMMYFUNCTION("""COMPUTED_VALUE"""),46.42)</f>
        <v>46.42</v>
      </c>
      <c r="BJ47" s="1">
        <f>IFERROR(__xludf.DUMMYFUNCTION("""COMPUTED_VALUE"""),183.56)</f>
        <v>183.56</v>
      </c>
      <c r="BK47" s="1">
        <f>IFERROR(__xludf.DUMMYFUNCTION("""COMPUTED_VALUE"""),555.06)</f>
        <v>555.06</v>
      </c>
      <c r="BL47" s="1">
        <f>IFERROR(__xludf.DUMMYFUNCTION("""COMPUTED_VALUE"""),204.39)</f>
        <v>204.39</v>
      </c>
      <c r="BM47" s="1">
        <f>IFERROR(__xludf.DUMMYFUNCTION("""COMPUTED_VALUE"""),149.23)</f>
        <v>149.23</v>
      </c>
      <c r="BN47" s="3">
        <f>IFERROR(__xludf.DUMMYFUNCTION("""COMPUTED_VALUE"""),6.89)</f>
        <v>6.89</v>
      </c>
      <c r="BO47" s="1">
        <f>IFERROR(__xludf.DUMMYFUNCTION("""COMPUTED_VALUE"""),243.89)</f>
        <v>243.89</v>
      </c>
      <c r="BP47" s="1">
        <f>IFERROR(__xludf.DUMMYFUNCTION("""COMPUTED_VALUE"""),573.28)</f>
        <v>573.28</v>
      </c>
      <c r="BQ47" s="36">
        <f>IFERROR(__xludf.DUMMYFUNCTION("""COMPUTED_VALUE"""),48.38)</f>
        <v>48.38</v>
      </c>
      <c r="BR47" s="1">
        <f>IFERROR(__xludf.DUMMYFUNCTION("""COMPUTED_VALUE"""),11.84)</f>
        <v>11.84</v>
      </c>
      <c r="BS47" s="1">
        <f>IFERROR(__xludf.DUMMYFUNCTION("""COMPUTED_VALUE"""),223.32)</f>
        <v>223.32</v>
      </c>
      <c r="BT47" s="1">
        <f>IFERROR(__xludf.DUMMYFUNCTION("""COMPUTED_VALUE"""),97.31)</f>
        <v>97.31</v>
      </c>
      <c r="BU47" s="3">
        <v>1.0</v>
      </c>
    </row>
    <row r="48">
      <c r="A48" s="25">
        <f>IFERROR(__xludf.DUMMYFUNCTION("""COMPUTED_VALUE"""),45491.66666666667)</f>
        <v>45491.66667</v>
      </c>
      <c r="B48" s="29">
        <f>'Master Scratch Work'!B47</f>
        <v>1273766.02</v>
      </c>
      <c r="C48" s="15">
        <f>IFERROR(__xludf.DUMMYFUNCTION("""COMPUTED_VALUE"""),5544.59)</f>
        <v>5544.59</v>
      </c>
      <c r="D48" s="15">
        <f>IFERROR(__xludf.DUMMYFUNCTION("""COMPUTED_VALUE"""),17871.22)</f>
        <v>17871.22</v>
      </c>
      <c r="E48" s="15">
        <f>IFERROR(__xludf.DUMMYFUNCTION("""COMPUTED_VALUE"""),40665.02)</f>
        <v>40665.02</v>
      </c>
      <c r="F48" s="15">
        <f>IFERROR(__xludf.DUMMYFUNCTION("""COMPUTED_VALUE"""),2198.29)</f>
        <v>2198.29</v>
      </c>
      <c r="G48" s="3">
        <f>IFERROR(__xludf.DUMMYFUNCTION("""COMPUTED_VALUE"""),552.66)</f>
        <v>552.66</v>
      </c>
      <c r="H48" s="3">
        <f>IFERROR(__xludf.DUMMYFUNCTION("""COMPUTED_VALUE"""),479.49)</f>
        <v>479.49</v>
      </c>
      <c r="I48" s="3">
        <f>IFERROR(__xludf.DUMMYFUNCTION("""COMPUTED_VALUE"""),556.85)</f>
        <v>556.85</v>
      </c>
      <c r="J48" s="3">
        <f>IFERROR(__xludf.DUMMYFUNCTION("""COMPUTED_VALUE"""),183.75)</f>
        <v>183.75</v>
      </c>
      <c r="K48" s="3">
        <f>IFERROR(__xludf.DUMMYFUNCTION("""COMPUTED_VALUE"""),141.35)</f>
        <v>141.35</v>
      </c>
      <c r="L48" s="3">
        <f>IFERROR(__xludf.DUMMYFUNCTION("""COMPUTED_VALUE"""),224.18)</f>
        <v>224.18</v>
      </c>
      <c r="M48" s="3">
        <f>IFERROR(__xludf.DUMMYFUNCTION("""COMPUTED_VALUE"""),217.65)</f>
        <v>217.65</v>
      </c>
      <c r="N48" s="3">
        <f>IFERROR(__xludf.DUMMYFUNCTION("""COMPUTED_VALUE"""),63.48)</f>
        <v>63.48</v>
      </c>
      <c r="O48" s="3">
        <f>IFERROR(__xludf.DUMMYFUNCTION("""COMPUTED_VALUE"""),11.74)</f>
        <v>11.74</v>
      </c>
      <c r="P48" s="3">
        <f>IFERROR(__xludf.DUMMYFUNCTION("""COMPUTED_VALUE"""),441.82)</f>
        <v>441.82</v>
      </c>
      <c r="Q48" s="3">
        <f>IFERROR(__xludf.DUMMYFUNCTION("""COMPUTED_VALUE"""),56.12)</f>
        <v>56.12</v>
      </c>
      <c r="R48" s="3">
        <f>IFERROR(__xludf.DUMMYFUNCTION("""COMPUTED_VALUE"""),225.25)</f>
        <v>225.25</v>
      </c>
      <c r="S48" s="3">
        <f>IFERROR(__xludf.DUMMYFUNCTION("""COMPUTED_VALUE"""),75.55)</f>
        <v>75.55</v>
      </c>
      <c r="T48" s="3">
        <f>IFERROR(__xludf.DUMMYFUNCTION("""COMPUTED_VALUE"""),67.05)</f>
        <v>67.05</v>
      </c>
      <c r="U48" s="3">
        <f>IFERROR(__xludf.DUMMYFUNCTION("""COMPUTED_VALUE"""),356.03)</f>
        <v>356.03</v>
      </c>
      <c r="V48" s="3">
        <f>IFERROR(__xludf.DUMMYFUNCTION("""COMPUTED_VALUE"""),46.45)</f>
        <v>46.45</v>
      </c>
      <c r="W48" s="3">
        <f>IFERROR(__xludf.DUMMYFUNCTION("""COMPUTED_VALUE"""),172.1)</f>
        <v>172.1</v>
      </c>
      <c r="X48" s="3">
        <f>IFERROR(__xludf.DUMMYFUNCTION("""COMPUTED_VALUE"""),161.97)</f>
        <v>161.97</v>
      </c>
      <c r="Y48" s="1">
        <f>IFERROR(__xludf.DUMMYFUNCTION("""COMPUTED_VALUE"""),340.52)</f>
        <v>340.52</v>
      </c>
      <c r="Z48" s="1">
        <f>IFERROR(__xludf.DUMMYFUNCTION("""COMPUTED_VALUE"""),40.75)</f>
        <v>40.75</v>
      </c>
      <c r="AA48" s="1">
        <f>IFERROR(__xludf.DUMMYFUNCTION("""COMPUTED_VALUE"""),65.19)</f>
        <v>65.19</v>
      </c>
      <c r="AB48" s="1">
        <f>IFERROR(__xludf.DUMMYFUNCTION("""COMPUTED_VALUE"""),94.11)</f>
        <v>94.11</v>
      </c>
      <c r="AC48" s="1">
        <f>IFERROR(__xludf.DUMMYFUNCTION("""COMPUTED_VALUE"""),154.6)</f>
        <v>154.6</v>
      </c>
      <c r="AD48" s="3">
        <f>IFERROR(__xludf.DUMMYFUNCTION("""COMPUTED_VALUE"""),106.67)</f>
        <v>106.67</v>
      </c>
      <c r="AE48" s="1">
        <f>IFERROR(__xludf.DUMMYFUNCTION("""COMPUTED_VALUE"""),409.04)</f>
        <v>409.04</v>
      </c>
      <c r="AF48" s="1">
        <f>IFERROR(__xludf.DUMMYFUNCTION("""COMPUTED_VALUE"""),54.39)</f>
        <v>54.39</v>
      </c>
      <c r="AG48" s="1">
        <f>IFERROR(__xludf.DUMMYFUNCTION("""COMPUTED_VALUE"""),118.8)</f>
        <v>118.8</v>
      </c>
      <c r="AH48" s="3">
        <f>IFERROR(__xludf.DUMMYFUNCTION("""COMPUTED_VALUE"""),306.62)</f>
        <v>306.62</v>
      </c>
      <c r="AI48" s="1">
        <f>IFERROR(__xludf.DUMMYFUNCTION("""COMPUTED_VALUE"""),422.43)</f>
        <v>422.43</v>
      </c>
      <c r="AJ48" s="1">
        <f>IFERROR(__xludf.DUMMYFUNCTION("""COMPUTED_VALUE"""),293.27)</f>
        <v>293.27</v>
      </c>
      <c r="AK48" s="3">
        <f>IFERROR(__xludf.DUMMYFUNCTION("""COMPUTED_VALUE"""),49.65)</f>
        <v>49.65</v>
      </c>
      <c r="AL48" s="1">
        <f>IFERROR(__xludf.DUMMYFUNCTION("""COMPUTED_VALUE"""),73.51)</f>
        <v>73.51</v>
      </c>
      <c r="AM48" s="1">
        <f>IFERROR(__xludf.DUMMYFUNCTION("""COMPUTED_VALUE"""),486.21)</f>
        <v>486.21</v>
      </c>
      <c r="AN48" s="1">
        <f>IFERROR(__xludf.DUMMYFUNCTION("""COMPUTED_VALUE"""),366.08)</f>
        <v>366.08</v>
      </c>
      <c r="AO48" s="1">
        <f>IFERROR(__xludf.DUMMYFUNCTION("""COMPUTED_VALUE"""),107.61)</f>
        <v>107.61</v>
      </c>
      <c r="AP48" s="1">
        <f>IFERROR(__xludf.DUMMYFUNCTION("""COMPUTED_VALUE"""),147.76)</f>
        <v>147.76</v>
      </c>
      <c r="AQ48" s="1">
        <f>IFERROR(__xludf.DUMMYFUNCTION("""COMPUTED_VALUE"""),416.14)</f>
        <v>416.14</v>
      </c>
      <c r="AR48" s="3">
        <f>IFERROR(__xludf.DUMMYFUNCTION("""COMPUTED_VALUE"""),209.98)</f>
        <v>209.98</v>
      </c>
      <c r="AS48" s="3">
        <f>IFERROR(__xludf.DUMMYFUNCTION("""COMPUTED_VALUE"""),476.0)</f>
        <v>476</v>
      </c>
      <c r="AT48" s="3">
        <f>IFERROR(__xludf.DUMMYFUNCTION("""COMPUTED_VALUE"""),285.13)</f>
        <v>285.13</v>
      </c>
      <c r="AU48" s="1">
        <f>IFERROR(__xludf.DUMMYFUNCTION("""COMPUTED_VALUE"""),26.14)</f>
        <v>26.14</v>
      </c>
      <c r="AV48" s="1">
        <f>IFERROR(__xludf.DUMMYFUNCTION("""COMPUTED_VALUE"""),81.21)</f>
        <v>81.21</v>
      </c>
      <c r="AW48" s="1">
        <f>IFERROR(__xludf.DUMMYFUNCTION("""COMPUTED_VALUE"""),75.39)</f>
        <v>75.39</v>
      </c>
      <c r="AX48" s="1">
        <f>IFERROR(__xludf.DUMMYFUNCTION("""COMPUTED_VALUE"""),14.47)</f>
        <v>14.47</v>
      </c>
      <c r="AY48" s="1">
        <f>IFERROR(__xludf.DUMMYFUNCTION("""COMPUTED_VALUE"""),440.37)</f>
        <v>440.37</v>
      </c>
      <c r="AZ48" s="3">
        <f>IFERROR(__xludf.DUMMYFUNCTION("""COMPUTED_VALUE"""),71.67)</f>
        <v>71.67</v>
      </c>
      <c r="BA48" s="3">
        <f>IFERROR(__xludf.DUMMYFUNCTION("""COMPUTED_VALUE"""),73.63)</f>
        <v>73.63</v>
      </c>
      <c r="BB48" s="3">
        <f>IFERROR(__xludf.DUMMYFUNCTION("""COMPUTED_VALUE"""),121.09)</f>
        <v>121.09</v>
      </c>
      <c r="BC48" s="1">
        <f>IFERROR(__xludf.DUMMYFUNCTION("""COMPUTED_VALUE"""),98.71)</f>
        <v>98.71</v>
      </c>
      <c r="BD48" s="1">
        <f>IFERROR(__xludf.DUMMYFUNCTION("""COMPUTED_VALUE"""),40.12)</f>
        <v>40.12</v>
      </c>
      <c r="BE48" s="1">
        <f>IFERROR(__xludf.DUMMYFUNCTION("""COMPUTED_VALUE"""),28.64)</f>
        <v>28.64</v>
      </c>
      <c r="BF48" s="1">
        <f>IFERROR(__xludf.DUMMYFUNCTION("""COMPUTED_VALUE"""),60.0)</f>
        <v>60</v>
      </c>
      <c r="BG48" s="1">
        <f>IFERROR(__xludf.DUMMYFUNCTION("""COMPUTED_VALUE"""),29.71)</f>
        <v>29.71</v>
      </c>
      <c r="BH48" s="1">
        <f>IFERROR(__xludf.DUMMYFUNCTION("""COMPUTED_VALUE"""),103.84)</f>
        <v>103.84</v>
      </c>
      <c r="BI48" s="1">
        <f>IFERROR(__xludf.DUMMYFUNCTION("""COMPUTED_VALUE"""),46.04)</f>
        <v>46.04</v>
      </c>
      <c r="BJ48" s="1">
        <f>IFERROR(__xludf.DUMMYFUNCTION("""COMPUTED_VALUE"""),182.29)</f>
        <v>182.29</v>
      </c>
      <c r="BK48" s="1">
        <f>IFERROR(__xludf.DUMMYFUNCTION("""COMPUTED_VALUE"""),540.62)</f>
        <v>540.62</v>
      </c>
      <c r="BL48" s="1">
        <f>IFERROR(__xludf.DUMMYFUNCTION("""COMPUTED_VALUE"""),199.85)</f>
        <v>199.85</v>
      </c>
      <c r="BM48" s="1">
        <f>IFERROR(__xludf.DUMMYFUNCTION("""COMPUTED_VALUE"""),144.4)</f>
        <v>144.4</v>
      </c>
      <c r="BN48" s="3">
        <f>IFERROR(__xludf.DUMMYFUNCTION("""COMPUTED_VALUE"""),6.65)</f>
        <v>6.65</v>
      </c>
      <c r="BO48" s="1">
        <f>IFERROR(__xludf.DUMMYFUNCTION("""COMPUTED_VALUE"""),243.01)</f>
        <v>243.01</v>
      </c>
      <c r="BP48" s="1">
        <f>IFERROR(__xludf.DUMMYFUNCTION("""COMPUTED_VALUE"""),564.34)</f>
        <v>564.34</v>
      </c>
      <c r="BQ48" s="36">
        <f>IFERROR(__xludf.DUMMYFUNCTION("""COMPUTED_VALUE"""),48.33)</f>
        <v>48.33</v>
      </c>
      <c r="BR48" s="1">
        <f>IFERROR(__xludf.DUMMYFUNCTION("""COMPUTED_VALUE"""),11.77)</f>
        <v>11.77</v>
      </c>
      <c r="BS48" s="1">
        <f>IFERROR(__xludf.DUMMYFUNCTION("""COMPUTED_VALUE"""),223.1)</f>
        <v>223.1</v>
      </c>
      <c r="BT48" s="1">
        <f>IFERROR(__xludf.DUMMYFUNCTION("""COMPUTED_VALUE"""),96.79)</f>
        <v>96.79</v>
      </c>
      <c r="BU48" s="3">
        <v>1.0</v>
      </c>
    </row>
    <row r="49">
      <c r="A49" s="25">
        <f>IFERROR(__xludf.DUMMYFUNCTION("""COMPUTED_VALUE"""),45492.66666666667)</f>
        <v>45492.66667</v>
      </c>
      <c r="B49" s="29">
        <f>'Master Scratch Work'!B48</f>
        <v>1265079.82</v>
      </c>
      <c r="C49" s="15">
        <f>IFERROR(__xludf.DUMMYFUNCTION("""COMPUTED_VALUE"""),5505.0)</f>
        <v>5505</v>
      </c>
      <c r="D49" s="15">
        <f>IFERROR(__xludf.DUMMYFUNCTION("""COMPUTED_VALUE"""),17726.94)</f>
        <v>17726.94</v>
      </c>
      <c r="E49" s="15">
        <f>IFERROR(__xludf.DUMMYFUNCTION("""COMPUTED_VALUE"""),40287.53)</f>
        <v>40287.53</v>
      </c>
      <c r="F49" s="15">
        <f>IFERROR(__xludf.DUMMYFUNCTION("""COMPUTED_VALUE"""),2184.35)</f>
        <v>2184.35</v>
      </c>
      <c r="G49" s="3">
        <f>IFERROR(__xludf.DUMMYFUNCTION("""COMPUTED_VALUE"""),548.99)</f>
        <v>548.99</v>
      </c>
      <c r="H49" s="3">
        <f>IFERROR(__xludf.DUMMYFUNCTION("""COMPUTED_VALUE"""),475.24)</f>
        <v>475.24</v>
      </c>
      <c r="I49" s="3">
        <f>IFERROR(__xludf.DUMMYFUNCTION("""COMPUTED_VALUE"""),551.0)</f>
        <v>551</v>
      </c>
      <c r="J49" s="3">
        <f>IFERROR(__xludf.DUMMYFUNCTION("""COMPUTED_VALUE"""),183.13)</f>
        <v>183.13</v>
      </c>
      <c r="K49" s="3">
        <f>IFERROR(__xludf.DUMMYFUNCTION("""COMPUTED_VALUE"""),141.16)</f>
        <v>141.16</v>
      </c>
      <c r="L49" s="3">
        <f>IFERROR(__xludf.DUMMYFUNCTION("""COMPUTED_VALUE"""),224.31)</f>
        <v>224.31</v>
      </c>
      <c r="M49" s="3">
        <f>IFERROR(__xludf.DUMMYFUNCTION("""COMPUTED_VALUE"""),210.26)</f>
        <v>210.26</v>
      </c>
      <c r="N49" s="3">
        <f>IFERROR(__xludf.DUMMYFUNCTION("""COMPUTED_VALUE"""),62.69)</f>
        <v>62.69</v>
      </c>
      <c r="O49" s="3">
        <f>IFERROR(__xludf.DUMMYFUNCTION("""COMPUTED_VALUE"""),11.85)</f>
        <v>11.85</v>
      </c>
      <c r="P49" s="3">
        <f>IFERROR(__xludf.DUMMYFUNCTION("""COMPUTED_VALUE"""),434.47)</f>
        <v>434.47</v>
      </c>
      <c r="Q49" s="3">
        <f>IFERROR(__xludf.DUMMYFUNCTION("""COMPUTED_VALUE"""),55.65)</f>
        <v>55.65</v>
      </c>
      <c r="R49" s="3">
        <f>IFERROR(__xludf.DUMMYFUNCTION("""COMPUTED_VALUE"""),226.4)</f>
        <v>226.4</v>
      </c>
      <c r="S49" s="3">
        <f>IFERROR(__xludf.DUMMYFUNCTION("""COMPUTED_VALUE"""),77.56)</f>
        <v>77.56</v>
      </c>
      <c r="T49" s="3">
        <f>IFERROR(__xludf.DUMMYFUNCTION("""COMPUTED_VALUE"""),66.24)</f>
        <v>66.24</v>
      </c>
      <c r="U49" s="3">
        <f>IFERROR(__xludf.DUMMYFUNCTION("""COMPUTED_VALUE"""),347.63)</f>
        <v>347.63</v>
      </c>
      <c r="V49" s="3">
        <f>IFERROR(__xludf.DUMMYFUNCTION("""COMPUTED_VALUE"""),46.63)</f>
        <v>46.63</v>
      </c>
      <c r="W49" s="3">
        <f>IFERROR(__xludf.DUMMYFUNCTION("""COMPUTED_VALUE"""),170.49)</f>
        <v>170.49</v>
      </c>
      <c r="X49" s="3">
        <f>IFERROR(__xludf.DUMMYFUNCTION("""COMPUTED_VALUE"""),159.15)</f>
        <v>159.15</v>
      </c>
      <c r="Y49" s="1">
        <f>IFERROR(__xludf.DUMMYFUNCTION("""COMPUTED_VALUE"""),335.84)</f>
        <v>335.84</v>
      </c>
      <c r="Z49" s="1">
        <f>IFERROR(__xludf.DUMMYFUNCTION("""COMPUTED_VALUE"""),41.0)</f>
        <v>41</v>
      </c>
      <c r="AA49" s="1">
        <f>IFERROR(__xludf.DUMMYFUNCTION("""COMPUTED_VALUE"""),65.29)</f>
        <v>65.29</v>
      </c>
      <c r="AB49" s="1">
        <f>IFERROR(__xludf.DUMMYFUNCTION("""COMPUTED_VALUE"""),94.04)</f>
        <v>94.04</v>
      </c>
      <c r="AC49" s="1">
        <f>IFERROR(__xludf.DUMMYFUNCTION("""COMPUTED_VALUE"""),155.17)</f>
        <v>155.17</v>
      </c>
      <c r="AD49" s="3">
        <f>IFERROR(__xludf.DUMMYFUNCTION("""COMPUTED_VALUE"""),106.56)</f>
        <v>106.56</v>
      </c>
      <c r="AE49" s="1">
        <f>IFERROR(__xludf.DUMMYFUNCTION("""COMPUTED_VALUE"""),404.17)</f>
        <v>404.17</v>
      </c>
      <c r="AF49" s="1">
        <f>IFERROR(__xludf.DUMMYFUNCTION("""COMPUTED_VALUE"""),53.6)</f>
        <v>53.6</v>
      </c>
      <c r="AG49" s="1">
        <f>IFERROR(__xludf.DUMMYFUNCTION("""COMPUTED_VALUE"""),116.07)</f>
        <v>116.07</v>
      </c>
      <c r="AH49" s="3">
        <f>IFERROR(__xludf.DUMMYFUNCTION("""COMPUTED_VALUE"""),306.31)</f>
        <v>306.31</v>
      </c>
      <c r="AI49" s="1">
        <f>IFERROR(__xludf.DUMMYFUNCTION("""COMPUTED_VALUE"""),416.31)</f>
        <v>416.31</v>
      </c>
      <c r="AJ49" s="1">
        <f>IFERROR(__xludf.DUMMYFUNCTION("""COMPUTED_VALUE"""),288.22)</f>
        <v>288.22</v>
      </c>
      <c r="AK49" s="3">
        <f>IFERROR(__xludf.DUMMYFUNCTION("""COMPUTED_VALUE"""),48.3)</f>
        <v>48.3</v>
      </c>
      <c r="AL49" s="1">
        <f>IFERROR(__xludf.DUMMYFUNCTION("""COMPUTED_VALUE"""),72.56)</f>
        <v>72.56</v>
      </c>
      <c r="AM49" s="1">
        <f>IFERROR(__xludf.DUMMYFUNCTION("""COMPUTED_VALUE"""),484.93)</f>
        <v>484.93</v>
      </c>
      <c r="AN49" s="1">
        <f>IFERROR(__xludf.DUMMYFUNCTION("""COMPUTED_VALUE"""),363.36)</f>
        <v>363.36</v>
      </c>
      <c r="AO49" s="1">
        <f>IFERROR(__xludf.DUMMYFUNCTION("""COMPUTED_VALUE"""),107.21)</f>
        <v>107.21</v>
      </c>
      <c r="AP49" s="1">
        <f>IFERROR(__xludf.DUMMYFUNCTION("""COMPUTED_VALUE"""),147.68)</f>
        <v>147.68</v>
      </c>
      <c r="AQ49" s="1">
        <f>IFERROR(__xludf.DUMMYFUNCTION("""COMPUTED_VALUE"""),455.01)</f>
        <v>455.01</v>
      </c>
      <c r="AR49" s="3">
        <f>IFERROR(__xludf.DUMMYFUNCTION("""COMPUTED_VALUE"""),209.78)</f>
        <v>209.78</v>
      </c>
      <c r="AS49" s="3">
        <f>IFERROR(__xludf.DUMMYFUNCTION("""COMPUTED_VALUE"""),474.92)</f>
        <v>474.92</v>
      </c>
      <c r="AT49" s="3">
        <f>IFERROR(__xludf.DUMMYFUNCTION("""COMPUTED_VALUE"""),280.24)</f>
        <v>280.24</v>
      </c>
      <c r="AU49" s="1">
        <f>IFERROR(__xludf.DUMMYFUNCTION("""COMPUTED_VALUE"""),25.95)</f>
        <v>25.95</v>
      </c>
      <c r="AV49" s="1">
        <f>IFERROR(__xludf.DUMMYFUNCTION("""COMPUTED_VALUE"""),79.48)</f>
        <v>79.48</v>
      </c>
      <c r="AW49" s="1">
        <f>IFERROR(__xludf.DUMMYFUNCTION("""COMPUTED_VALUE"""),74.78)</f>
        <v>74.78</v>
      </c>
      <c r="AX49" s="1">
        <f>IFERROR(__xludf.DUMMYFUNCTION("""COMPUTED_VALUE"""),14.29)</f>
        <v>14.29</v>
      </c>
      <c r="AY49" s="1">
        <f>IFERROR(__xludf.DUMMYFUNCTION("""COMPUTED_VALUE"""),437.11)</f>
        <v>437.11</v>
      </c>
      <c r="AZ49" s="3">
        <f>IFERROR(__xludf.DUMMYFUNCTION("""COMPUTED_VALUE"""),72.0)</f>
        <v>72</v>
      </c>
      <c r="BA49" s="3">
        <f>IFERROR(__xludf.DUMMYFUNCTION("""COMPUTED_VALUE"""),74.91)</f>
        <v>74.91</v>
      </c>
      <c r="BB49" s="3">
        <f>IFERROR(__xludf.DUMMYFUNCTION("""COMPUTED_VALUE"""),117.93)</f>
        <v>117.93</v>
      </c>
      <c r="BC49" s="1">
        <f>IFERROR(__xludf.DUMMYFUNCTION("""COMPUTED_VALUE"""),97.73)</f>
        <v>97.73</v>
      </c>
      <c r="BD49" s="1">
        <f>IFERROR(__xludf.DUMMYFUNCTION("""COMPUTED_VALUE"""),40.06)</f>
        <v>40.06</v>
      </c>
      <c r="BE49" s="1">
        <f>IFERROR(__xludf.DUMMYFUNCTION("""COMPUTED_VALUE"""),28.58)</f>
        <v>28.58</v>
      </c>
      <c r="BF49" s="1">
        <f>IFERROR(__xludf.DUMMYFUNCTION("""COMPUTED_VALUE"""),59.33)</f>
        <v>59.33</v>
      </c>
      <c r="BG49" s="1">
        <f>IFERROR(__xludf.DUMMYFUNCTION("""COMPUTED_VALUE"""),29.97)</f>
        <v>29.97</v>
      </c>
      <c r="BH49" s="1">
        <f>IFERROR(__xludf.DUMMYFUNCTION("""COMPUTED_VALUE"""),102.81)</f>
        <v>102.81</v>
      </c>
      <c r="BI49" s="1">
        <f>IFERROR(__xludf.DUMMYFUNCTION("""COMPUTED_VALUE"""),46.14)</f>
        <v>46.14</v>
      </c>
      <c r="BJ49" s="1">
        <f>IFERROR(__xludf.DUMMYFUNCTION("""COMPUTED_VALUE"""),182.05)</f>
        <v>182.05</v>
      </c>
      <c r="BK49" s="1">
        <f>IFERROR(__xludf.DUMMYFUNCTION("""COMPUTED_VALUE"""),534.35)</f>
        <v>534.35</v>
      </c>
      <c r="BL49" s="1">
        <f>IFERROR(__xludf.DUMMYFUNCTION("""COMPUTED_VALUE"""),197.15)</f>
        <v>197.15</v>
      </c>
      <c r="BM49" s="1">
        <f>IFERROR(__xludf.DUMMYFUNCTION("""COMPUTED_VALUE"""),147.2)</f>
        <v>147.2</v>
      </c>
      <c r="BN49" s="3">
        <f>IFERROR(__xludf.DUMMYFUNCTION("""COMPUTED_VALUE"""),6.7)</f>
        <v>6.7</v>
      </c>
      <c r="BO49" s="1">
        <f>IFERROR(__xludf.DUMMYFUNCTION("""COMPUTED_VALUE"""),242.32)</f>
        <v>242.32</v>
      </c>
      <c r="BP49" s="1">
        <f>IFERROR(__xludf.DUMMYFUNCTION("""COMPUTED_VALUE"""),565.33)</f>
        <v>565.33</v>
      </c>
      <c r="BQ49" s="36">
        <f>IFERROR(__xludf.DUMMYFUNCTION("""COMPUTED_VALUE"""),48.28)</f>
        <v>48.28</v>
      </c>
      <c r="BR49" s="1">
        <f>IFERROR(__xludf.DUMMYFUNCTION("""COMPUTED_VALUE"""),11.84)</f>
        <v>11.84</v>
      </c>
      <c r="BS49" s="1">
        <f>IFERROR(__xludf.DUMMYFUNCTION("""COMPUTED_VALUE"""),222.8)</f>
        <v>222.8</v>
      </c>
      <c r="BT49" s="1">
        <f>IFERROR(__xludf.DUMMYFUNCTION("""COMPUTED_VALUE"""),95.74)</f>
        <v>95.74</v>
      </c>
      <c r="BU49" s="3">
        <v>1.0</v>
      </c>
    </row>
    <row r="50">
      <c r="A50" s="25">
        <f>IFERROR(__xludf.DUMMYFUNCTION("""COMPUTED_VALUE"""),45495.66666666667)</f>
        <v>45495.66667</v>
      </c>
      <c r="B50" s="29">
        <f>'Master Scratch Work'!B49</f>
        <v>1272310.76</v>
      </c>
      <c r="C50" s="15">
        <f>IFERROR(__xludf.DUMMYFUNCTION("""COMPUTED_VALUE"""),5564.41)</f>
        <v>5564.41</v>
      </c>
      <c r="D50" s="15">
        <f>IFERROR(__xludf.DUMMYFUNCTION("""COMPUTED_VALUE"""),18007.57)</f>
        <v>18007.57</v>
      </c>
      <c r="E50" s="15">
        <f>IFERROR(__xludf.DUMMYFUNCTION("""COMPUTED_VALUE"""),40415.44)</f>
        <v>40415.44</v>
      </c>
      <c r="F50" s="15">
        <f>IFERROR(__xludf.DUMMYFUNCTION("""COMPUTED_VALUE"""),2220.65)</f>
        <v>2220.65</v>
      </c>
      <c r="G50" s="3">
        <f>IFERROR(__xludf.DUMMYFUNCTION("""COMPUTED_VALUE"""),554.65)</f>
        <v>554.65</v>
      </c>
      <c r="H50" s="3">
        <f>IFERROR(__xludf.DUMMYFUNCTION("""COMPUTED_VALUE"""),482.32)</f>
        <v>482.32</v>
      </c>
      <c r="I50" s="3">
        <f>IFERROR(__xludf.DUMMYFUNCTION("""COMPUTED_VALUE"""),554.82)</f>
        <v>554.82</v>
      </c>
      <c r="J50" s="3">
        <f>IFERROR(__xludf.DUMMYFUNCTION("""COMPUTED_VALUE"""),182.55)</f>
        <v>182.55</v>
      </c>
      <c r="K50" s="3">
        <f>IFERROR(__xludf.DUMMYFUNCTION("""COMPUTED_VALUE"""),141.8)</f>
        <v>141.8</v>
      </c>
      <c r="L50" s="3">
        <f>IFERROR(__xludf.DUMMYFUNCTION("""COMPUTED_VALUE"""),223.96)</f>
        <v>223.96</v>
      </c>
      <c r="M50" s="3">
        <f>IFERROR(__xludf.DUMMYFUNCTION("""COMPUTED_VALUE"""),223.47)</f>
        <v>223.47</v>
      </c>
      <c r="N50" s="3">
        <f>IFERROR(__xludf.DUMMYFUNCTION("""COMPUTED_VALUE"""),63.26)</f>
        <v>63.26</v>
      </c>
      <c r="O50" s="3">
        <f>IFERROR(__xludf.DUMMYFUNCTION("""COMPUTED_VALUE"""),11.99)</f>
        <v>11.99</v>
      </c>
      <c r="P50" s="3">
        <f>IFERROR(__xludf.DUMMYFUNCTION("""COMPUTED_VALUE"""),435.98)</f>
        <v>435.98</v>
      </c>
      <c r="Q50" s="3">
        <f>IFERROR(__xludf.DUMMYFUNCTION("""COMPUTED_VALUE"""),55.75)</f>
        <v>55.75</v>
      </c>
      <c r="R50" s="3">
        <f>IFERROR(__xludf.DUMMYFUNCTION("""COMPUTED_VALUE"""),226.63)</f>
        <v>226.63</v>
      </c>
      <c r="S50" s="3">
        <f>IFERROR(__xludf.DUMMYFUNCTION("""COMPUTED_VALUE"""),78.27)</f>
        <v>78.27</v>
      </c>
      <c r="T50" s="3">
        <f>IFERROR(__xludf.DUMMYFUNCTION("""COMPUTED_VALUE"""),68.0)</f>
        <v>68</v>
      </c>
      <c r="U50" s="3">
        <f>IFERROR(__xludf.DUMMYFUNCTION("""COMPUTED_VALUE"""),347.87)</f>
        <v>347.87</v>
      </c>
      <c r="V50" s="3">
        <f>IFERROR(__xludf.DUMMYFUNCTION("""COMPUTED_VALUE"""),47.61)</f>
        <v>47.61</v>
      </c>
      <c r="W50" s="3">
        <f>IFERROR(__xludf.DUMMYFUNCTION("""COMPUTED_VALUE"""),170.47)</f>
        <v>170.47</v>
      </c>
      <c r="X50" s="3">
        <f>IFERROR(__xludf.DUMMYFUNCTION("""COMPUTED_VALUE"""),156.99)</f>
        <v>156.99</v>
      </c>
      <c r="Y50" s="1">
        <f>IFERROR(__xludf.DUMMYFUNCTION("""COMPUTED_VALUE"""),335.79)</f>
        <v>335.79</v>
      </c>
      <c r="Z50" s="1">
        <f>IFERROR(__xludf.DUMMYFUNCTION("""COMPUTED_VALUE"""),41.4)</f>
        <v>41.4</v>
      </c>
      <c r="AA50" s="1">
        <f>IFERROR(__xludf.DUMMYFUNCTION("""COMPUTED_VALUE"""),64.77)</f>
        <v>64.77</v>
      </c>
      <c r="AB50" s="1">
        <f>IFERROR(__xludf.DUMMYFUNCTION("""COMPUTED_VALUE"""),94.64)</f>
        <v>94.64</v>
      </c>
      <c r="AC50" s="1">
        <f>IFERROR(__xludf.DUMMYFUNCTION("""COMPUTED_VALUE"""),155.56)</f>
        <v>155.56</v>
      </c>
      <c r="AD50" s="3">
        <f>IFERROR(__xludf.DUMMYFUNCTION("""COMPUTED_VALUE"""),107.21)</f>
        <v>107.21</v>
      </c>
      <c r="AE50" s="1">
        <f>IFERROR(__xludf.DUMMYFUNCTION("""COMPUTED_VALUE"""),415.55)</f>
        <v>415.55</v>
      </c>
      <c r="AF50" s="1">
        <f>IFERROR(__xludf.DUMMYFUNCTION("""COMPUTED_VALUE"""),53.91)</f>
        <v>53.91</v>
      </c>
      <c r="AG50" s="1">
        <f>IFERROR(__xludf.DUMMYFUNCTION("""COMPUTED_VALUE"""),115.27)</f>
        <v>115.27</v>
      </c>
      <c r="AH50" s="3">
        <f>IFERROR(__xludf.DUMMYFUNCTION("""COMPUTED_VALUE"""),307.43)</f>
        <v>307.43</v>
      </c>
      <c r="AI50" s="1">
        <f>IFERROR(__xludf.DUMMYFUNCTION("""COMPUTED_VALUE"""),427.19)</f>
        <v>427.19</v>
      </c>
      <c r="AJ50" s="1">
        <f>IFERROR(__xludf.DUMMYFUNCTION("""COMPUTED_VALUE"""),291.21)</f>
        <v>291.21</v>
      </c>
      <c r="AK50" s="3">
        <f>IFERROR(__xludf.DUMMYFUNCTION("""COMPUTED_VALUE"""),49.56)</f>
        <v>49.56</v>
      </c>
      <c r="AL50" s="1">
        <f>IFERROR(__xludf.DUMMYFUNCTION("""COMPUTED_VALUE"""),72.41)</f>
        <v>72.41</v>
      </c>
      <c r="AM50" s="1">
        <f>IFERROR(__xludf.DUMMYFUNCTION("""COMPUTED_VALUE"""),487.04)</f>
        <v>487.04</v>
      </c>
      <c r="AN50" s="1">
        <f>IFERROR(__xludf.DUMMYFUNCTION("""COMPUTED_VALUE"""),363.25)</f>
        <v>363.25</v>
      </c>
      <c r="AO50" s="1">
        <f>IFERROR(__xludf.DUMMYFUNCTION("""COMPUTED_VALUE"""),109.61)</f>
        <v>109.61</v>
      </c>
      <c r="AP50" s="1">
        <f>IFERROR(__xludf.DUMMYFUNCTION("""COMPUTED_VALUE"""),149.24)</f>
        <v>149.24</v>
      </c>
      <c r="AQ50" s="1">
        <f>IFERROR(__xludf.DUMMYFUNCTION("""COMPUTED_VALUE"""),461.12)</f>
        <v>461.12</v>
      </c>
      <c r="AR50" s="3">
        <f>IFERROR(__xludf.DUMMYFUNCTION("""COMPUTED_VALUE"""),210.28)</f>
        <v>210.28</v>
      </c>
      <c r="AS50" s="3">
        <f>IFERROR(__xludf.DUMMYFUNCTION("""COMPUTED_VALUE"""),474.59)</f>
        <v>474.59</v>
      </c>
      <c r="AT50" s="3">
        <f>IFERROR(__xludf.DUMMYFUNCTION("""COMPUTED_VALUE"""),285.0)</f>
        <v>285</v>
      </c>
      <c r="AU50" s="1">
        <f>IFERROR(__xludf.DUMMYFUNCTION("""COMPUTED_VALUE"""),26.23)</f>
        <v>26.23</v>
      </c>
      <c r="AV50" s="1">
        <f>IFERROR(__xludf.DUMMYFUNCTION("""COMPUTED_VALUE"""),79.3)</f>
        <v>79.3</v>
      </c>
      <c r="AW50" s="1">
        <f>IFERROR(__xludf.DUMMYFUNCTION("""COMPUTED_VALUE"""),75.24)</f>
        <v>75.24</v>
      </c>
      <c r="AX50" s="1">
        <f>IFERROR(__xludf.DUMMYFUNCTION("""COMPUTED_VALUE"""),14.24)</f>
        <v>14.24</v>
      </c>
      <c r="AY50" s="1">
        <f>IFERROR(__xludf.DUMMYFUNCTION("""COMPUTED_VALUE"""),442.94)</f>
        <v>442.94</v>
      </c>
      <c r="AZ50" s="3">
        <f>IFERROR(__xludf.DUMMYFUNCTION("""COMPUTED_VALUE"""),72.9)</f>
        <v>72.9</v>
      </c>
      <c r="BA50" s="3">
        <f>IFERROR(__xludf.DUMMYFUNCTION("""COMPUTED_VALUE"""),76.85)</f>
        <v>76.85</v>
      </c>
      <c r="BB50" s="3">
        <f>IFERROR(__xludf.DUMMYFUNCTION("""COMPUTED_VALUE"""),123.54)</f>
        <v>123.54</v>
      </c>
      <c r="BC50" s="1">
        <f>IFERROR(__xludf.DUMMYFUNCTION("""COMPUTED_VALUE"""),99.47)</f>
        <v>99.47</v>
      </c>
      <c r="BD50" s="1">
        <f>IFERROR(__xludf.DUMMYFUNCTION("""COMPUTED_VALUE"""),40.58)</f>
        <v>40.58</v>
      </c>
      <c r="BE50" s="1">
        <f>IFERROR(__xludf.DUMMYFUNCTION("""COMPUTED_VALUE"""),28.46)</f>
        <v>28.46</v>
      </c>
      <c r="BF50" s="1">
        <f>IFERROR(__xludf.DUMMYFUNCTION("""COMPUTED_VALUE"""),60.77)</f>
        <v>60.77</v>
      </c>
      <c r="BG50" s="1">
        <f>IFERROR(__xludf.DUMMYFUNCTION("""COMPUTED_VALUE"""),29.6)</f>
        <v>29.6</v>
      </c>
      <c r="BH50" s="1">
        <f>IFERROR(__xludf.DUMMYFUNCTION("""COMPUTED_VALUE"""),103.77)</f>
        <v>103.77</v>
      </c>
      <c r="BI50" s="1">
        <f>IFERROR(__xludf.DUMMYFUNCTION("""COMPUTED_VALUE"""),47.94)</f>
        <v>47.94</v>
      </c>
      <c r="BJ50" s="1">
        <f>IFERROR(__xludf.DUMMYFUNCTION("""COMPUTED_VALUE"""),177.44)</f>
        <v>177.44</v>
      </c>
      <c r="BK50" s="1">
        <f>IFERROR(__xludf.DUMMYFUNCTION("""COMPUTED_VALUE"""),546.42)</f>
        <v>546.42</v>
      </c>
      <c r="BL50" s="1">
        <f>IFERROR(__xludf.DUMMYFUNCTION("""COMPUTED_VALUE"""),200.14)</f>
        <v>200.14</v>
      </c>
      <c r="BM50" s="1">
        <f>IFERROR(__xludf.DUMMYFUNCTION("""COMPUTED_VALUE"""),149.17)</f>
        <v>149.17</v>
      </c>
      <c r="BN50" s="3">
        <f>IFERROR(__xludf.DUMMYFUNCTION("""COMPUTED_VALUE"""),6.69)</f>
        <v>6.69</v>
      </c>
      <c r="BO50" s="1">
        <f>IFERROR(__xludf.DUMMYFUNCTION("""COMPUTED_VALUE"""),243.27)</f>
        <v>243.27</v>
      </c>
      <c r="BP50" s="1">
        <f>IFERROR(__xludf.DUMMYFUNCTION("""COMPUTED_VALUE"""),558.53)</f>
        <v>558.53</v>
      </c>
      <c r="BQ50" s="36">
        <f>IFERROR(__xludf.DUMMYFUNCTION("""COMPUTED_VALUE"""),48.27)</f>
        <v>48.27</v>
      </c>
      <c r="BR50" s="1">
        <f>IFERROR(__xludf.DUMMYFUNCTION("""COMPUTED_VALUE"""),11.67)</f>
        <v>11.67</v>
      </c>
      <c r="BS50" s="1">
        <f>IFERROR(__xludf.DUMMYFUNCTION("""COMPUTED_VALUE"""),223.45)</f>
        <v>223.45</v>
      </c>
      <c r="BT50" s="1">
        <f>IFERROR(__xludf.DUMMYFUNCTION("""COMPUTED_VALUE"""),94.13)</f>
        <v>94.13</v>
      </c>
      <c r="BU50" s="3">
        <v>1.0</v>
      </c>
    </row>
    <row r="51">
      <c r="A51" s="25">
        <f>IFERROR(__xludf.DUMMYFUNCTION("""COMPUTED_VALUE"""),45496.66666666667)</f>
        <v>45496.66667</v>
      </c>
      <c r="B51" s="29">
        <f>'Master Scratch Work'!B50</f>
        <v>1271503.8</v>
      </c>
      <c r="C51" s="15">
        <f>IFERROR(__xludf.DUMMYFUNCTION("""COMPUTED_VALUE"""),5555.74)</f>
        <v>5555.74</v>
      </c>
      <c r="D51" s="15">
        <f>IFERROR(__xludf.DUMMYFUNCTION("""COMPUTED_VALUE"""),17997.35)</f>
        <v>17997.35</v>
      </c>
      <c r="E51" s="15">
        <f>IFERROR(__xludf.DUMMYFUNCTION("""COMPUTED_VALUE"""),40358.09)</f>
        <v>40358.09</v>
      </c>
      <c r="F51" s="15">
        <f>IFERROR(__xludf.DUMMYFUNCTION("""COMPUTED_VALUE"""),2243.27)</f>
        <v>2243.27</v>
      </c>
      <c r="G51" s="3">
        <f>IFERROR(__xludf.DUMMYFUNCTION("""COMPUTED_VALUE"""),553.78)</f>
        <v>553.78</v>
      </c>
      <c r="H51" s="3">
        <f>IFERROR(__xludf.DUMMYFUNCTION("""COMPUTED_VALUE"""),480.62)</f>
        <v>480.62</v>
      </c>
      <c r="I51" s="3">
        <f>IFERROR(__xludf.DUMMYFUNCTION("""COMPUTED_VALUE"""),546.01)</f>
        <v>546.01</v>
      </c>
      <c r="J51" s="3">
        <f>IFERROR(__xludf.DUMMYFUNCTION("""COMPUTED_VALUE"""),186.41)</f>
        <v>186.41</v>
      </c>
      <c r="K51" s="3">
        <f>IFERROR(__xludf.DUMMYFUNCTION("""COMPUTED_VALUE"""),140.49)</f>
        <v>140.49</v>
      </c>
      <c r="L51" s="3">
        <f>IFERROR(__xludf.DUMMYFUNCTION("""COMPUTED_VALUE"""),225.01)</f>
        <v>225.01</v>
      </c>
      <c r="M51" s="3">
        <f>IFERROR(__xludf.DUMMYFUNCTION("""COMPUTED_VALUE"""),219.65)</f>
        <v>219.65</v>
      </c>
      <c r="N51" s="3">
        <f>IFERROR(__xludf.DUMMYFUNCTION("""COMPUTED_VALUE"""),63.63)</f>
        <v>63.63</v>
      </c>
      <c r="O51" s="3">
        <f>IFERROR(__xludf.DUMMYFUNCTION("""COMPUTED_VALUE"""),11.95)</f>
        <v>11.95</v>
      </c>
      <c r="P51" s="3">
        <f>IFERROR(__xludf.DUMMYFUNCTION("""COMPUTED_VALUE"""),434.01)</f>
        <v>434.01</v>
      </c>
      <c r="Q51" s="3">
        <f>IFERROR(__xludf.DUMMYFUNCTION("""COMPUTED_VALUE"""),55.07)</f>
        <v>55.07</v>
      </c>
      <c r="R51" s="3">
        <f>IFERROR(__xludf.DUMMYFUNCTION("""COMPUTED_VALUE"""),224.29)</f>
        <v>224.29</v>
      </c>
      <c r="S51" s="3">
        <f>IFERROR(__xludf.DUMMYFUNCTION("""COMPUTED_VALUE"""),78.59)</f>
        <v>78.59</v>
      </c>
      <c r="T51" s="3">
        <f>IFERROR(__xludf.DUMMYFUNCTION("""COMPUTED_VALUE"""),68.27)</f>
        <v>68.27</v>
      </c>
      <c r="U51" s="3">
        <f>IFERROR(__xludf.DUMMYFUNCTION("""COMPUTED_VALUE"""),344.17)</f>
        <v>344.17</v>
      </c>
      <c r="V51" s="3">
        <f>IFERROR(__xludf.DUMMYFUNCTION("""COMPUTED_VALUE"""),47.36)</f>
        <v>47.36</v>
      </c>
      <c r="W51" s="3">
        <f>IFERROR(__xludf.DUMMYFUNCTION("""COMPUTED_VALUE"""),170.0)</f>
        <v>170</v>
      </c>
      <c r="X51" s="3">
        <f>IFERROR(__xludf.DUMMYFUNCTION("""COMPUTED_VALUE"""),154.09)</f>
        <v>154.09</v>
      </c>
      <c r="Y51" s="1">
        <f>IFERROR(__xludf.DUMMYFUNCTION("""COMPUTED_VALUE"""),336.17)</f>
        <v>336.17</v>
      </c>
      <c r="Z51" s="1">
        <f>IFERROR(__xludf.DUMMYFUNCTION("""COMPUTED_VALUE"""),42.3)</f>
        <v>42.3</v>
      </c>
      <c r="AA51" s="1">
        <f>IFERROR(__xludf.DUMMYFUNCTION("""COMPUTED_VALUE"""),64.96)</f>
        <v>64.96</v>
      </c>
      <c r="AB51" s="1">
        <f>IFERROR(__xludf.DUMMYFUNCTION("""COMPUTED_VALUE"""),93.25)</f>
        <v>93.25</v>
      </c>
      <c r="AC51" s="1">
        <f>IFERROR(__xludf.DUMMYFUNCTION("""COMPUTED_VALUE"""),155.09)</f>
        <v>155.09</v>
      </c>
      <c r="AD51" s="3">
        <f>IFERROR(__xludf.DUMMYFUNCTION("""COMPUTED_VALUE"""),107.01)</f>
        <v>107.01</v>
      </c>
      <c r="AE51" s="1">
        <f>IFERROR(__xludf.DUMMYFUNCTION("""COMPUTED_VALUE"""),422.94)</f>
        <v>422.94</v>
      </c>
      <c r="AF51" s="1">
        <f>IFERROR(__xludf.DUMMYFUNCTION("""COMPUTED_VALUE"""),53.24)</f>
        <v>53.24</v>
      </c>
      <c r="AG51" s="1">
        <f>IFERROR(__xludf.DUMMYFUNCTION("""COMPUTED_VALUE"""),113.41)</f>
        <v>113.41</v>
      </c>
      <c r="AH51" s="3">
        <f>IFERROR(__xludf.DUMMYFUNCTION("""COMPUTED_VALUE"""),300.8)</f>
        <v>300.8</v>
      </c>
      <c r="AI51" s="1">
        <f>IFERROR(__xludf.DUMMYFUNCTION("""COMPUTED_VALUE"""),423.17)</f>
        <v>423.17</v>
      </c>
      <c r="AJ51" s="1">
        <f>IFERROR(__xludf.DUMMYFUNCTION("""COMPUTED_VALUE"""),294.46)</f>
        <v>294.46</v>
      </c>
      <c r="AK51" s="3">
        <f>IFERROR(__xludf.DUMMYFUNCTION("""COMPUTED_VALUE"""),46.38)</f>
        <v>46.38</v>
      </c>
      <c r="AL51" s="1">
        <f>IFERROR(__xludf.DUMMYFUNCTION("""COMPUTED_VALUE"""),71.17)</f>
        <v>71.17</v>
      </c>
      <c r="AM51" s="1">
        <f>IFERROR(__xludf.DUMMYFUNCTION("""COMPUTED_VALUE"""),492.15)</f>
        <v>492.15</v>
      </c>
      <c r="AN51" s="1">
        <f>IFERROR(__xludf.DUMMYFUNCTION("""COMPUTED_VALUE"""),359.62)</f>
        <v>359.62</v>
      </c>
      <c r="AO51" s="1">
        <f>IFERROR(__xludf.DUMMYFUNCTION("""COMPUTED_VALUE"""),110.45)</f>
        <v>110.45</v>
      </c>
      <c r="AP51" s="1">
        <f>IFERROR(__xludf.DUMMYFUNCTION("""COMPUTED_VALUE"""),148.57)</f>
        <v>148.57</v>
      </c>
      <c r="AQ51" s="1">
        <f>IFERROR(__xludf.DUMMYFUNCTION("""COMPUTED_VALUE"""),455.06)</f>
        <v>455.06</v>
      </c>
      <c r="AR51" s="3">
        <f>IFERROR(__xludf.DUMMYFUNCTION("""COMPUTED_VALUE"""),210.33)</f>
        <v>210.33</v>
      </c>
      <c r="AS51" s="3">
        <f>IFERROR(__xludf.DUMMYFUNCTION("""COMPUTED_VALUE"""),501.29)</f>
        <v>501.29</v>
      </c>
      <c r="AT51" s="3">
        <f>IFERROR(__xludf.DUMMYFUNCTION("""COMPUTED_VALUE"""),281.37)</f>
        <v>281.37</v>
      </c>
      <c r="AU51" s="1">
        <f>IFERROR(__xludf.DUMMYFUNCTION("""COMPUTED_VALUE"""),26.14)</f>
        <v>26.14</v>
      </c>
      <c r="AV51" s="1">
        <f>IFERROR(__xludf.DUMMYFUNCTION("""COMPUTED_VALUE"""),79.4)</f>
        <v>79.4</v>
      </c>
      <c r="AW51" s="1">
        <f>IFERROR(__xludf.DUMMYFUNCTION("""COMPUTED_VALUE"""),75.19)</f>
        <v>75.19</v>
      </c>
      <c r="AX51" s="1">
        <f>IFERROR(__xludf.DUMMYFUNCTION("""COMPUTED_VALUE"""),14.1)</f>
        <v>14.1</v>
      </c>
      <c r="AY51" s="1">
        <f>IFERROR(__xludf.DUMMYFUNCTION("""COMPUTED_VALUE"""),444.85)</f>
        <v>444.85</v>
      </c>
      <c r="AZ51" s="3">
        <f>IFERROR(__xludf.DUMMYFUNCTION("""COMPUTED_VALUE"""),72.11)</f>
        <v>72.11</v>
      </c>
      <c r="BA51" s="3">
        <f>IFERROR(__xludf.DUMMYFUNCTION("""COMPUTED_VALUE"""),76.61)</f>
        <v>76.61</v>
      </c>
      <c r="BB51" s="3">
        <f>IFERROR(__xludf.DUMMYFUNCTION("""COMPUTED_VALUE"""),122.59)</f>
        <v>122.59</v>
      </c>
      <c r="BC51" s="1">
        <f>IFERROR(__xludf.DUMMYFUNCTION("""COMPUTED_VALUE"""),98.38)</f>
        <v>98.38</v>
      </c>
      <c r="BD51" s="1">
        <f>IFERROR(__xludf.DUMMYFUNCTION("""COMPUTED_VALUE"""),40.52)</f>
        <v>40.52</v>
      </c>
      <c r="BE51" s="1">
        <f>IFERROR(__xludf.DUMMYFUNCTION("""COMPUTED_VALUE"""),28.81)</f>
        <v>28.81</v>
      </c>
      <c r="BF51" s="1">
        <f>IFERROR(__xludf.DUMMYFUNCTION("""COMPUTED_VALUE"""),59.71)</f>
        <v>59.71</v>
      </c>
      <c r="BG51" s="1">
        <f>IFERROR(__xludf.DUMMYFUNCTION("""COMPUTED_VALUE"""),29.5)</f>
        <v>29.5</v>
      </c>
      <c r="BH51" s="1">
        <f>IFERROR(__xludf.DUMMYFUNCTION("""COMPUTED_VALUE"""),104.97)</f>
        <v>104.97</v>
      </c>
      <c r="BI51" s="1">
        <f>IFERROR(__xludf.DUMMYFUNCTION("""COMPUTED_VALUE"""),46.77)</f>
        <v>46.77</v>
      </c>
      <c r="BJ51" s="1">
        <f>IFERROR(__xludf.DUMMYFUNCTION("""COMPUTED_VALUE"""),176.56)</f>
        <v>176.56</v>
      </c>
      <c r="BK51" s="1">
        <f>IFERROR(__xludf.DUMMYFUNCTION("""COMPUTED_VALUE"""),552.24)</f>
        <v>552.24</v>
      </c>
      <c r="BL51" s="1">
        <f>IFERROR(__xludf.DUMMYFUNCTION("""COMPUTED_VALUE"""),200.79)</f>
        <v>200.79</v>
      </c>
      <c r="BM51" s="1">
        <f>IFERROR(__xludf.DUMMYFUNCTION("""COMPUTED_VALUE"""),155.38)</f>
        <v>155.38</v>
      </c>
      <c r="BN51" s="3">
        <f>IFERROR(__xludf.DUMMYFUNCTION("""COMPUTED_VALUE"""),6.56)</f>
        <v>6.56</v>
      </c>
      <c r="BO51" s="1">
        <f>IFERROR(__xludf.DUMMYFUNCTION("""COMPUTED_VALUE"""),239.5)</f>
        <v>239.5</v>
      </c>
      <c r="BP51" s="1">
        <f>IFERROR(__xludf.DUMMYFUNCTION("""COMPUTED_VALUE"""),554.7)</f>
        <v>554.7</v>
      </c>
      <c r="BQ51" s="36">
        <f>IFERROR(__xludf.DUMMYFUNCTION("""COMPUTED_VALUE"""),48.28)</f>
        <v>48.28</v>
      </c>
      <c r="BR51" s="1">
        <f>IFERROR(__xludf.DUMMYFUNCTION("""COMPUTED_VALUE"""),11.5)</f>
        <v>11.5</v>
      </c>
      <c r="BS51" s="1">
        <f>IFERROR(__xludf.DUMMYFUNCTION("""COMPUTED_VALUE"""),218.73)</f>
        <v>218.73</v>
      </c>
      <c r="BT51" s="1">
        <f>IFERROR(__xludf.DUMMYFUNCTION("""COMPUTED_VALUE"""),90.94)</f>
        <v>90.94</v>
      </c>
      <c r="BU51" s="3">
        <v>1.0</v>
      </c>
    </row>
    <row r="52">
      <c r="A52" s="25">
        <f>IFERROR(__xludf.DUMMYFUNCTION("""COMPUTED_VALUE"""),45497.66666666667)</f>
        <v>45497.66667</v>
      </c>
      <c r="B52" s="29">
        <f>'Master Scratch Work'!B51</f>
        <v>1257765.73</v>
      </c>
      <c r="C52" s="15">
        <f>IFERROR(__xludf.DUMMYFUNCTION("""COMPUTED_VALUE"""),5427.13)</f>
        <v>5427.13</v>
      </c>
      <c r="D52" s="15">
        <f>IFERROR(__xludf.DUMMYFUNCTION("""COMPUTED_VALUE"""),17342.41)</f>
        <v>17342.41</v>
      </c>
      <c r="E52" s="15">
        <f>IFERROR(__xludf.DUMMYFUNCTION("""COMPUTED_VALUE"""),39853.87)</f>
        <v>39853.87</v>
      </c>
      <c r="F52" s="15">
        <f>IFERROR(__xludf.DUMMYFUNCTION("""COMPUTED_VALUE"""),2195.37)</f>
        <v>2195.37</v>
      </c>
      <c r="G52" s="3">
        <f>IFERROR(__xludf.DUMMYFUNCTION("""COMPUTED_VALUE"""),541.23)</f>
        <v>541.23</v>
      </c>
      <c r="H52" s="3">
        <f>IFERROR(__xludf.DUMMYFUNCTION("""COMPUTED_VALUE"""),463.38)</f>
        <v>463.38</v>
      </c>
      <c r="I52" s="3">
        <f>IFERROR(__xludf.DUMMYFUNCTION("""COMPUTED_VALUE"""),531.04)</f>
        <v>531.04</v>
      </c>
      <c r="J52" s="3">
        <f>IFERROR(__xludf.DUMMYFUNCTION("""COMPUTED_VALUE"""),180.83)</f>
        <v>180.83</v>
      </c>
      <c r="K52" s="3">
        <f>IFERROR(__xludf.DUMMYFUNCTION("""COMPUTED_VALUE"""),142.4)</f>
        <v>142.4</v>
      </c>
      <c r="L52" s="3">
        <f>IFERROR(__xludf.DUMMYFUNCTION("""COMPUTED_VALUE"""),218.54)</f>
        <v>218.54</v>
      </c>
      <c r="M52" s="3">
        <f>IFERROR(__xludf.DUMMYFUNCTION("""COMPUTED_VALUE"""),206.53)</f>
        <v>206.53</v>
      </c>
      <c r="N52" s="3">
        <f>IFERROR(__xludf.DUMMYFUNCTION("""COMPUTED_VALUE"""),63.9)</f>
        <v>63.9</v>
      </c>
      <c r="O52" s="3">
        <f>IFERROR(__xludf.DUMMYFUNCTION("""COMPUTED_VALUE"""),11.7)</f>
        <v>11.7</v>
      </c>
      <c r="P52" s="3">
        <f>IFERROR(__xludf.DUMMYFUNCTION("""COMPUTED_VALUE"""),432.8)</f>
        <v>432.8</v>
      </c>
      <c r="Q52" s="3">
        <f>IFERROR(__xludf.DUMMYFUNCTION("""COMPUTED_VALUE"""),54.43)</f>
        <v>54.43</v>
      </c>
      <c r="R52" s="3">
        <f>IFERROR(__xludf.DUMMYFUNCTION("""COMPUTED_VALUE"""),226.03)</f>
        <v>226.03</v>
      </c>
      <c r="S52" s="3">
        <f>IFERROR(__xludf.DUMMYFUNCTION("""COMPUTED_VALUE"""),77.76)</f>
        <v>77.76</v>
      </c>
      <c r="T52" s="3">
        <f>IFERROR(__xludf.DUMMYFUNCTION("""COMPUTED_VALUE"""),65.99)</f>
        <v>65.99</v>
      </c>
      <c r="U52" s="3">
        <f>IFERROR(__xludf.DUMMYFUNCTION("""COMPUTED_VALUE"""),336.04)</f>
        <v>336.04</v>
      </c>
      <c r="V52" s="3">
        <f>IFERROR(__xludf.DUMMYFUNCTION("""COMPUTED_VALUE"""),46.49)</f>
        <v>46.49</v>
      </c>
      <c r="W52" s="3">
        <f>IFERROR(__xludf.DUMMYFUNCTION("""COMPUTED_VALUE"""),180.07)</f>
        <v>180.07</v>
      </c>
      <c r="X52" s="3">
        <f>IFERROR(__xludf.DUMMYFUNCTION("""COMPUTED_VALUE"""),155.07)</f>
        <v>155.07</v>
      </c>
      <c r="Y52" s="1">
        <f>IFERROR(__xludf.DUMMYFUNCTION("""COMPUTED_VALUE"""),342.21)</f>
        <v>342.21</v>
      </c>
      <c r="Z52" s="1">
        <f>IFERROR(__xludf.DUMMYFUNCTION("""COMPUTED_VALUE"""),42.22)</f>
        <v>42.22</v>
      </c>
      <c r="AA52" s="1">
        <f>IFERROR(__xludf.DUMMYFUNCTION("""COMPUTED_VALUE"""),65.81)</f>
        <v>65.81</v>
      </c>
      <c r="AB52" s="1">
        <f>IFERROR(__xludf.DUMMYFUNCTION("""COMPUTED_VALUE"""),95.88)</f>
        <v>95.88</v>
      </c>
      <c r="AC52" s="1">
        <f>IFERROR(__xludf.DUMMYFUNCTION("""COMPUTED_VALUE"""),151.66)</f>
        <v>151.66</v>
      </c>
      <c r="AD52" s="3">
        <f>IFERROR(__xludf.DUMMYFUNCTION("""COMPUTED_VALUE"""),103.69)</f>
        <v>103.69</v>
      </c>
      <c r="AE52" s="1">
        <f>IFERROR(__xludf.DUMMYFUNCTION("""COMPUTED_VALUE"""),424.73)</f>
        <v>424.73</v>
      </c>
      <c r="AF52" s="1">
        <f>IFERROR(__xludf.DUMMYFUNCTION("""COMPUTED_VALUE"""),53.66)</f>
        <v>53.66</v>
      </c>
      <c r="AG52" s="1">
        <f>IFERROR(__xludf.DUMMYFUNCTION("""COMPUTED_VALUE"""),115.01)</f>
        <v>115.01</v>
      </c>
      <c r="AH52" s="3">
        <f>IFERROR(__xludf.DUMMYFUNCTION("""COMPUTED_VALUE"""),298.28)</f>
        <v>298.28</v>
      </c>
      <c r="AI52" s="1">
        <f>IFERROR(__xludf.DUMMYFUNCTION("""COMPUTED_VALUE"""),413.67)</f>
        <v>413.67</v>
      </c>
      <c r="AJ52" s="1">
        <f>IFERROR(__xludf.DUMMYFUNCTION("""COMPUTED_VALUE"""),284.67)</f>
        <v>284.67</v>
      </c>
      <c r="AK52" s="3">
        <f>IFERROR(__xludf.DUMMYFUNCTION("""COMPUTED_VALUE"""),46.49)</f>
        <v>46.49</v>
      </c>
      <c r="AL52" s="1">
        <f>IFERROR(__xludf.DUMMYFUNCTION("""COMPUTED_VALUE"""),73.5)</f>
        <v>73.5</v>
      </c>
      <c r="AM52" s="1">
        <f>IFERROR(__xludf.DUMMYFUNCTION("""COMPUTED_VALUE"""),486.7)</f>
        <v>486.7</v>
      </c>
      <c r="AN52" s="1">
        <f>IFERROR(__xludf.DUMMYFUNCTION("""COMPUTED_VALUE"""),350.31)</f>
        <v>350.31</v>
      </c>
      <c r="AO52" s="1">
        <f>IFERROR(__xludf.DUMMYFUNCTION("""COMPUTED_VALUE"""),108.98)</f>
        <v>108.98</v>
      </c>
      <c r="AP52" s="1">
        <f>IFERROR(__xludf.DUMMYFUNCTION("""COMPUTED_VALUE"""),147.51)</f>
        <v>147.51</v>
      </c>
      <c r="AQ52" s="1">
        <f>IFERROR(__xludf.DUMMYFUNCTION("""COMPUTED_VALUE"""),454.02)</f>
        <v>454.02</v>
      </c>
      <c r="AR52" s="3">
        <f>IFERROR(__xludf.DUMMYFUNCTION("""COMPUTED_VALUE"""),208.59)</f>
        <v>208.59</v>
      </c>
      <c r="AS52" s="3">
        <f>IFERROR(__xludf.DUMMYFUNCTION("""COMPUTED_VALUE"""),515.2)</f>
        <v>515.2</v>
      </c>
      <c r="AT52" s="3">
        <f>IFERROR(__xludf.DUMMYFUNCTION("""COMPUTED_VALUE"""),272.06)</f>
        <v>272.06</v>
      </c>
      <c r="AU52" s="1">
        <f>IFERROR(__xludf.DUMMYFUNCTION("""COMPUTED_VALUE"""),25.67)</f>
        <v>25.67</v>
      </c>
      <c r="AV52" s="1">
        <f>IFERROR(__xludf.DUMMYFUNCTION("""COMPUTED_VALUE"""),79.97)</f>
        <v>79.97</v>
      </c>
      <c r="AW52" s="1">
        <f>IFERROR(__xludf.DUMMYFUNCTION("""COMPUTED_VALUE"""),74.52)</f>
        <v>74.52</v>
      </c>
      <c r="AX52" s="1">
        <f>IFERROR(__xludf.DUMMYFUNCTION("""COMPUTED_VALUE"""),13.73)</f>
        <v>13.73</v>
      </c>
      <c r="AY52" s="1">
        <f>IFERROR(__xludf.DUMMYFUNCTION("""COMPUTED_VALUE"""),428.9)</f>
        <v>428.9</v>
      </c>
      <c r="AZ52" s="3">
        <f>IFERROR(__xludf.DUMMYFUNCTION("""COMPUTED_VALUE"""),75.41)</f>
        <v>75.41</v>
      </c>
      <c r="BA52" s="3">
        <f>IFERROR(__xludf.DUMMYFUNCTION("""COMPUTED_VALUE"""),74.19)</f>
        <v>74.19</v>
      </c>
      <c r="BB52" s="3">
        <f>IFERROR(__xludf.DUMMYFUNCTION("""COMPUTED_VALUE"""),114.25)</f>
        <v>114.25</v>
      </c>
      <c r="BC52" s="1">
        <f>IFERROR(__xludf.DUMMYFUNCTION("""COMPUTED_VALUE"""),91.43)</f>
        <v>91.43</v>
      </c>
      <c r="BD52" s="1">
        <f>IFERROR(__xludf.DUMMYFUNCTION("""COMPUTED_VALUE"""),38.5)</f>
        <v>38.5</v>
      </c>
      <c r="BE52" s="1">
        <f>IFERROR(__xludf.DUMMYFUNCTION("""COMPUTED_VALUE"""),26.6)</f>
        <v>26.6</v>
      </c>
      <c r="BF52" s="1">
        <f>IFERROR(__xludf.DUMMYFUNCTION("""COMPUTED_VALUE"""),58.07)</f>
        <v>58.07</v>
      </c>
      <c r="BG52" s="1">
        <f>IFERROR(__xludf.DUMMYFUNCTION("""COMPUTED_VALUE"""),29.98)</f>
        <v>29.98</v>
      </c>
      <c r="BH52" s="1">
        <f>IFERROR(__xludf.DUMMYFUNCTION("""COMPUTED_VALUE"""),104.83)</f>
        <v>104.83</v>
      </c>
      <c r="BI52" s="1">
        <f>IFERROR(__xludf.DUMMYFUNCTION("""COMPUTED_VALUE"""),46.5)</f>
        <v>46.5</v>
      </c>
      <c r="BJ52" s="1">
        <f>IFERROR(__xludf.DUMMYFUNCTION("""COMPUTED_VALUE"""),176.89)</f>
        <v>176.89</v>
      </c>
      <c r="BK52" s="1">
        <f>IFERROR(__xludf.DUMMYFUNCTION("""COMPUTED_VALUE"""),574.73)</f>
        <v>574.73</v>
      </c>
      <c r="BL52" s="1">
        <f>IFERROR(__xludf.DUMMYFUNCTION("""COMPUTED_VALUE"""),197.2)</f>
        <v>197.2</v>
      </c>
      <c r="BM52" s="1">
        <f>IFERROR(__xludf.DUMMYFUNCTION("""COMPUTED_VALUE"""),149.19)</f>
        <v>149.19</v>
      </c>
      <c r="BN52" s="3">
        <f>IFERROR(__xludf.DUMMYFUNCTION("""COMPUTED_VALUE"""),6.52)</f>
        <v>6.52</v>
      </c>
      <c r="BO52" s="1">
        <f>IFERROR(__xludf.DUMMYFUNCTION("""COMPUTED_VALUE"""),237.38)</f>
        <v>237.38</v>
      </c>
      <c r="BP52" s="1">
        <f>IFERROR(__xludf.DUMMYFUNCTION("""COMPUTED_VALUE"""),559.75)</f>
        <v>559.75</v>
      </c>
      <c r="BQ52" s="36">
        <f>IFERROR(__xludf.DUMMYFUNCTION("""COMPUTED_VALUE"""),48.28)</f>
        <v>48.28</v>
      </c>
      <c r="BR52" s="1">
        <f>IFERROR(__xludf.DUMMYFUNCTION("""COMPUTED_VALUE"""),11.7)</f>
        <v>11.7</v>
      </c>
      <c r="BS52" s="1">
        <f>IFERROR(__xludf.DUMMYFUNCTION("""COMPUTED_VALUE"""),217.38)</f>
        <v>217.38</v>
      </c>
      <c r="BT52" s="1">
        <f>IFERROR(__xludf.DUMMYFUNCTION("""COMPUTED_VALUE"""),89.8)</f>
        <v>89.8</v>
      </c>
      <c r="BU52" s="3">
        <v>1.0</v>
      </c>
    </row>
    <row r="53">
      <c r="A53" s="25">
        <f>IFERROR(__xludf.DUMMYFUNCTION("""COMPUTED_VALUE"""),45498.66666666667)</f>
        <v>45498.66667</v>
      </c>
      <c r="B53" s="29">
        <f>'Master Scratch Work'!B52</f>
        <v>1255890.86</v>
      </c>
      <c r="C53" s="15">
        <f>IFERROR(__xludf.DUMMYFUNCTION("""COMPUTED_VALUE"""),5399.22)</f>
        <v>5399.22</v>
      </c>
      <c r="D53" s="15">
        <f>IFERROR(__xludf.DUMMYFUNCTION("""COMPUTED_VALUE"""),17181.72)</f>
        <v>17181.72</v>
      </c>
      <c r="E53" s="15">
        <f>IFERROR(__xludf.DUMMYFUNCTION("""COMPUTED_VALUE"""),39935.07)</f>
        <v>39935.07</v>
      </c>
      <c r="F53" s="15">
        <f>IFERROR(__xludf.DUMMYFUNCTION("""COMPUTED_VALUE"""),2222.98)</f>
        <v>2222.98</v>
      </c>
      <c r="G53" s="3">
        <f>IFERROR(__xludf.DUMMYFUNCTION("""COMPUTED_VALUE"""),538.41)</f>
        <v>538.41</v>
      </c>
      <c r="H53" s="3">
        <f>IFERROR(__xludf.DUMMYFUNCTION("""COMPUTED_VALUE"""),458.27)</f>
        <v>458.27</v>
      </c>
      <c r="I53" s="3">
        <f>IFERROR(__xludf.DUMMYFUNCTION("""COMPUTED_VALUE"""),532.15)</f>
        <v>532.15</v>
      </c>
      <c r="J53" s="3">
        <f>IFERROR(__xludf.DUMMYFUNCTION("""COMPUTED_VALUE"""),179.85)</f>
        <v>179.85</v>
      </c>
      <c r="K53" s="3">
        <f>IFERROR(__xludf.DUMMYFUNCTION("""COMPUTED_VALUE"""),140.1)</f>
        <v>140.1</v>
      </c>
      <c r="L53" s="3">
        <f>IFERROR(__xludf.DUMMYFUNCTION("""COMPUTED_VALUE"""),217.49)</f>
        <v>217.49</v>
      </c>
      <c r="M53" s="3">
        <f>IFERROR(__xludf.DUMMYFUNCTION("""COMPUTED_VALUE"""),202.32)</f>
        <v>202.32</v>
      </c>
      <c r="N53" s="3">
        <f>IFERROR(__xludf.DUMMYFUNCTION("""COMPUTED_VALUE"""),64.81)</f>
        <v>64.81</v>
      </c>
      <c r="O53" s="3">
        <f>IFERROR(__xludf.DUMMYFUNCTION("""COMPUTED_VALUE"""),11.75)</f>
        <v>11.75</v>
      </c>
      <c r="P53" s="3">
        <f>IFERROR(__xludf.DUMMYFUNCTION("""COMPUTED_VALUE"""),433.29)</f>
        <v>433.29</v>
      </c>
      <c r="Q53" s="3">
        <f>IFERROR(__xludf.DUMMYFUNCTION("""COMPUTED_VALUE"""),54.79)</f>
        <v>54.79</v>
      </c>
      <c r="R53" s="3">
        <f>IFERROR(__xludf.DUMMYFUNCTION("""COMPUTED_VALUE"""),227.44)</f>
        <v>227.44</v>
      </c>
      <c r="S53" s="3">
        <f>IFERROR(__xludf.DUMMYFUNCTION("""COMPUTED_VALUE"""),74.26)</f>
        <v>74.26</v>
      </c>
      <c r="T53" s="3">
        <f>IFERROR(__xludf.DUMMYFUNCTION("""COMPUTED_VALUE"""),64.83)</f>
        <v>64.83</v>
      </c>
      <c r="U53" s="3">
        <f>IFERROR(__xludf.DUMMYFUNCTION("""COMPUTED_VALUE"""),344.3)</f>
        <v>344.3</v>
      </c>
      <c r="V53" s="3">
        <f>IFERROR(__xludf.DUMMYFUNCTION("""COMPUTED_VALUE"""),44.58)</f>
        <v>44.58</v>
      </c>
      <c r="W53" s="3">
        <f>IFERROR(__xludf.DUMMYFUNCTION("""COMPUTED_VALUE"""),181.17)</f>
        <v>181.17</v>
      </c>
      <c r="X53" s="3">
        <f>IFERROR(__xludf.DUMMYFUNCTION("""COMPUTED_VALUE"""),157.54)</f>
        <v>157.54</v>
      </c>
      <c r="Y53" s="1">
        <f>IFERROR(__xludf.DUMMYFUNCTION("""COMPUTED_VALUE"""),341.15)</f>
        <v>341.15</v>
      </c>
      <c r="Z53" s="1">
        <f>IFERROR(__xludf.DUMMYFUNCTION("""COMPUTED_VALUE"""),43.24)</f>
        <v>43.24</v>
      </c>
      <c r="AA53" s="1">
        <f>IFERROR(__xludf.DUMMYFUNCTION("""COMPUTED_VALUE"""),66.07)</f>
        <v>66.07</v>
      </c>
      <c r="AB53" s="1">
        <f>IFERROR(__xludf.DUMMYFUNCTION("""COMPUTED_VALUE"""),95.92)</f>
        <v>95.92</v>
      </c>
      <c r="AC53" s="1">
        <f>IFERROR(__xludf.DUMMYFUNCTION("""COMPUTED_VALUE"""),147.37)</f>
        <v>147.37</v>
      </c>
      <c r="AD53" s="3">
        <f>IFERROR(__xludf.DUMMYFUNCTION("""COMPUTED_VALUE"""),102.63)</f>
        <v>102.63</v>
      </c>
      <c r="AE53" s="1">
        <f>IFERROR(__xludf.DUMMYFUNCTION("""COMPUTED_VALUE"""),425.17)</f>
        <v>425.17</v>
      </c>
      <c r="AF53" s="1">
        <f>IFERROR(__xludf.DUMMYFUNCTION("""COMPUTED_VALUE"""),53.12)</f>
        <v>53.12</v>
      </c>
      <c r="AG53" s="1">
        <f>IFERROR(__xludf.DUMMYFUNCTION("""COMPUTED_VALUE"""),117.43)</f>
        <v>117.43</v>
      </c>
      <c r="AH53" s="3">
        <f>IFERROR(__xludf.DUMMYFUNCTION("""COMPUTED_VALUE"""),298.59)</f>
        <v>298.59</v>
      </c>
      <c r="AI53" s="1">
        <f>IFERROR(__xludf.DUMMYFUNCTION("""COMPUTED_VALUE"""),405.92)</f>
        <v>405.92</v>
      </c>
      <c r="AJ53" s="1">
        <f>IFERROR(__xludf.DUMMYFUNCTION("""COMPUTED_VALUE"""),290.98)</f>
        <v>290.98</v>
      </c>
      <c r="AK53" s="3">
        <f>IFERROR(__xludf.DUMMYFUNCTION("""COMPUTED_VALUE"""),44.13)</f>
        <v>44.13</v>
      </c>
      <c r="AL53" s="1">
        <f>IFERROR(__xludf.DUMMYFUNCTION("""COMPUTED_VALUE"""),76.51)</f>
        <v>76.51</v>
      </c>
      <c r="AM53" s="1">
        <f>IFERROR(__xludf.DUMMYFUNCTION("""COMPUTED_VALUE"""),491.71)</f>
        <v>491.71</v>
      </c>
      <c r="AN53" s="1">
        <f>IFERROR(__xludf.DUMMYFUNCTION("""COMPUTED_VALUE"""),353.29)</f>
        <v>353.29</v>
      </c>
      <c r="AO53" s="1">
        <f>IFERROR(__xludf.DUMMYFUNCTION("""COMPUTED_VALUE"""),109.3)</f>
        <v>109.3</v>
      </c>
      <c r="AP53" s="1">
        <f>IFERROR(__xludf.DUMMYFUNCTION("""COMPUTED_VALUE"""),149.03)</f>
        <v>149.03</v>
      </c>
      <c r="AQ53" s="1">
        <f>IFERROR(__xludf.DUMMYFUNCTION("""COMPUTED_VALUE"""),436.74)</f>
        <v>436.74</v>
      </c>
      <c r="AR53" s="3">
        <f>IFERROR(__xludf.DUMMYFUNCTION("""COMPUTED_VALUE"""),208.67)</f>
        <v>208.67</v>
      </c>
      <c r="AS53" s="3">
        <f>IFERROR(__xludf.DUMMYFUNCTION("""COMPUTED_VALUE"""),521.4)</f>
        <v>521.4</v>
      </c>
      <c r="AT53" s="3">
        <f>IFERROR(__xludf.DUMMYFUNCTION("""COMPUTED_VALUE"""),247.32)</f>
        <v>247.32</v>
      </c>
      <c r="AU53" s="1">
        <f>IFERROR(__xludf.DUMMYFUNCTION("""COMPUTED_VALUE"""),25.81)</f>
        <v>25.81</v>
      </c>
      <c r="AV53" s="1">
        <f>IFERROR(__xludf.DUMMYFUNCTION("""COMPUTED_VALUE"""),78.46)</f>
        <v>78.46</v>
      </c>
      <c r="AW53" s="1">
        <f>IFERROR(__xludf.DUMMYFUNCTION("""COMPUTED_VALUE"""),75.32)</f>
        <v>75.32</v>
      </c>
      <c r="AX53" s="1">
        <f>IFERROR(__xludf.DUMMYFUNCTION("""COMPUTED_VALUE"""),13.8)</f>
        <v>13.8</v>
      </c>
      <c r="AY53" s="1">
        <f>IFERROR(__xludf.DUMMYFUNCTION("""COMPUTED_VALUE"""),418.4)</f>
        <v>418.4</v>
      </c>
      <c r="AZ53" s="3">
        <f>IFERROR(__xludf.DUMMYFUNCTION("""COMPUTED_VALUE"""),73.44)</f>
        <v>73.44</v>
      </c>
      <c r="BA53" s="3">
        <f>IFERROR(__xludf.DUMMYFUNCTION("""COMPUTED_VALUE"""),73.09)</f>
        <v>73.09</v>
      </c>
      <c r="BB53" s="3">
        <f>IFERROR(__xludf.DUMMYFUNCTION("""COMPUTED_VALUE"""),112.28)</f>
        <v>112.28</v>
      </c>
      <c r="BC53" s="1">
        <f>IFERROR(__xludf.DUMMYFUNCTION("""COMPUTED_VALUE"""),93.03)</f>
        <v>93.03</v>
      </c>
      <c r="BD53" s="1">
        <f>IFERROR(__xludf.DUMMYFUNCTION("""COMPUTED_VALUE"""),38.2)</f>
        <v>38.2</v>
      </c>
      <c r="BE53" s="1">
        <f>IFERROR(__xludf.DUMMYFUNCTION("""COMPUTED_VALUE"""),26.63)</f>
        <v>26.63</v>
      </c>
      <c r="BF53" s="1">
        <f>IFERROR(__xludf.DUMMYFUNCTION("""COMPUTED_VALUE"""),57.22)</f>
        <v>57.22</v>
      </c>
      <c r="BG53" s="1">
        <f>IFERROR(__xludf.DUMMYFUNCTION("""COMPUTED_VALUE"""),30.18)</f>
        <v>30.18</v>
      </c>
      <c r="BH53" s="1">
        <f>IFERROR(__xludf.DUMMYFUNCTION("""COMPUTED_VALUE"""),113.47)</f>
        <v>113.47</v>
      </c>
      <c r="BI53" s="1">
        <f>IFERROR(__xludf.DUMMYFUNCTION("""COMPUTED_VALUE"""),45.56)</f>
        <v>45.56</v>
      </c>
      <c r="BJ53" s="1">
        <f>IFERROR(__xludf.DUMMYFUNCTION("""COMPUTED_VALUE"""),175.14)</f>
        <v>175.14</v>
      </c>
      <c r="BK53" s="1">
        <f>IFERROR(__xludf.DUMMYFUNCTION("""COMPUTED_VALUE"""),594.5)</f>
        <v>594.5</v>
      </c>
      <c r="BL53" s="1">
        <f>IFERROR(__xludf.DUMMYFUNCTION("""COMPUTED_VALUE"""),195.25)</f>
        <v>195.25</v>
      </c>
      <c r="BM53" s="1">
        <f>IFERROR(__xludf.DUMMYFUNCTION("""COMPUTED_VALUE"""),145.99)</f>
        <v>145.99</v>
      </c>
      <c r="BN53" s="3">
        <f>IFERROR(__xludf.DUMMYFUNCTION("""COMPUTED_VALUE"""),6.77)</f>
        <v>6.77</v>
      </c>
      <c r="BO53" s="1">
        <f>IFERROR(__xludf.DUMMYFUNCTION("""COMPUTED_VALUE"""),235.35)</f>
        <v>235.35</v>
      </c>
      <c r="BP53" s="1">
        <f>IFERROR(__xludf.DUMMYFUNCTION("""COMPUTED_VALUE"""),559.68)</f>
        <v>559.68</v>
      </c>
      <c r="BQ53" s="36">
        <f>IFERROR(__xludf.DUMMYFUNCTION("""COMPUTED_VALUE"""),48.32)</f>
        <v>48.32</v>
      </c>
      <c r="BR53" s="1">
        <f>IFERROR(__xludf.DUMMYFUNCTION("""COMPUTED_VALUE"""),11.76)</f>
        <v>11.76</v>
      </c>
      <c r="BS53" s="1">
        <f>IFERROR(__xludf.DUMMYFUNCTION("""COMPUTED_VALUE"""),199.92)</f>
        <v>199.92</v>
      </c>
      <c r="BT53" s="1">
        <f>IFERROR(__xludf.DUMMYFUNCTION("""COMPUTED_VALUE"""),89.21)</f>
        <v>89.21</v>
      </c>
      <c r="BU53" s="3">
        <v>1.0</v>
      </c>
    </row>
    <row r="54">
      <c r="A54" s="25">
        <f>IFERROR(__xludf.DUMMYFUNCTION("""COMPUTED_VALUE"""),45499.66666666667)</f>
        <v>45499.66667</v>
      </c>
      <c r="B54" s="29">
        <f>'Master Scratch Work'!B53</f>
        <v>1264098.66</v>
      </c>
      <c r="C54" s="15">
        <f>IFERROR(__xludf.DUMMYFUNCTION("""COMPUTED_VALUE"""),5459.1)</f>
        <v>5459.1</v>
      </c>
      <c r="D54" s="15">
        <f>IFERROR(__xludf.DUMMYFUNCTION("""COMPUTED_VALUE"""),17357.88)</f>
        <v>17357.88</v>
      </c>
      <c r="E54" s="15">
        <f>IFERROR(__xludf.DUMMYFUNCTION("""COMPUTED_VALUE"""),40589.34)</f>
        <v>40589.34</v>
      </c>
      <c r="F54" s="15">
        <f>IFERROR(__xludf.DUMMYFUNCTION("""COMPUTED_VALUE"""),2260.07)</f>
        <v>2260.07</v>
      </c>
      <c r="G54" s="3">
        <f>IFERROR(__xludf.DUMMYFUNCTION("""COMPUTED_VALUE"""),544.44)</f>
        <v>544.44</v>
      </c>
      <c r="H54" s="3">
        <f>IFERROR(__xludf.DUMMYFUNCTION("""COMPUTED_VALUE"""),462.97)</f>
        <v>462.97</v>
      </c>
      <c r="I54" s="3">
        <f>IFERROR(__xludf.DUMMYFUNCTION("""COMPUTED_VALUE"""),542.44)</f>
        <v>542.44</v>
      </c>
      <c r="J54" s="3">
        <f>IFERROR(__xludf.DUMMYFUNCTION("""COMPUTED_VALUE"""),182.5)</f>
        <v>182.5</v>
      </c>
      <c r="K54" s="3">
        <f>IFERROR(__xludf.DUMMYFUNCTION("""COMPUTED_VALUE"""),141.71)</f>
        <v>141.71</v>
      </c>
      <c r="L54" s="3">
        <f>IFERROR(__xludf.DUMMYFUNCTION("""COMPUTED_VALUE"""),217.96)</f>
        <v>217.96</v>
      </c>
      <c r="M54" s="3">
        <f>IFERROR(__xludf.DUMMYFUNCTION("""COMPUTED_VALUE"""),206.47)</f>
        <v>206.47</v>
      </c>
      <c r="N54" s="3">
        <f>IFERROR(__xludf.DUMMYFUNCTION("""COMPUTED_VALUE"""),65.35)</f>
        <v>65.35</v>
      </c>
      <c r="O54" s="3">
        <f>IFERROR(__xludf.DUMMYFUNCTION("""COMPUTED_VALUE"""),11.98)</f>
        <v>11.98</v>
      </c>
      <c r="P54" s="3">
        <f>IFERROR(__xludf.DUMMYFUNCTION("""COMPUTED_VALUE"""),437.66)</f>
        <v>437.66</v>
      </c>
      <c r="Q54" s="3">
        <f>IFERROR(__xludf.DUMMYFUNCTION("""COMPUTED_VALUE"""),55.38)</f>
        <v>55.38</v>
      </c>
      <c r="R54" s="3">
        <f>IFERROR(__xludf.DUMMYFUNCTION("""COMPUTED_VALUE"""),211.17)</f>
        <v>211.17</v>
      </c>
      <c r="S54" s="3">
        <f>IFERROR(__xludf.DUMMYFUNCTION("""COMPUTED_VALUE"""),74.92)</f>
        <v>74.92</v>
      </c>
      <c r="T54" s="3">
        <f>IFERROR(__xludf.DUMMYFUNCTION("""COMPUTED_VALUE"""),66.77)</f>
        <v>66.77</v>
      </c>
      <c r="U54" s="3">
        <f>IFERROR(__xludf.DUMMYFUNCTION("""COMPUTED_VALUE"""),350.48)</f>
        <v>350.48</v>
      </c>
      <c r="V54" s="3">
        <f>IFERROR(__xludf.DUMMYFUNCTION("""COMPUTED_VALUE"""),45.19)</f>
        <v>45.19</v>
      </c>
      <c r="W54" s="3">
        <f>IFERROR(__xludf.DUMMYFUNCTION("""COMPUTED_VALUE"""),182.74)</f>
        <v>182.74</v>
      </c>
      <c r="X54" s="3">
        <f>IFERROR(__xludf.DUMMYFUNCTION("""COMPUTED_VALUE"""),157.84)</f>
        <v>157.84</v>
      </c>
      <c r="Y54" s="1">
        <f>IFERROR(__xludf.DUMMYFUNCTION("""COMPUTED_VALUE"""),343.64)</f>
        <v>343.64</v>
      </c>
      <c r="Z54" s="1">
        <f>IFERROR(__xludf.DUMMYFUNCTION("""COMPUTED_VALUE"""),43.23)</f>
        <v>43.23</v>
      </c>
      <c r="AA54" s="1">
        <f>IFERROR(__xludf.DUMMYFUNCTION("""COMPUTED_VALUE"""),67.05)</f>
        <v>67.05</v>
      </c>
      <c r="AB54" s="1">
        <f>IFERROR(__xludf.DUMMYFUNCTION("""COMPUTED_VALUE"""),96.44)</f>
        <v>96.44</v>
      </c>
      <c r="AC54" s="1">
        <f>IFERROR(__xludf.DUMMYFUNCTION("""COMPUTED_VALUE"""),145.65)</f>
        <v>145.65</v>
      </c>
      <c r="AD54" s="3">
        <f>IFERROR(__xludf.DUMMYFUNCTION("""COMPUTED_VALUE"""),103.93)</f>
        <v>103.93</v>
      </c>
      <c r="AE54" s="1">
        <f>IFERROR(__xludf.DUMMYFUNCTION("""COMPUTED_VALUE"""),417.45)</f>
        <v>417.45</v>
      </c>
      <c r="AF54" s="1">
        <f>IFERROR(__xludf.DUMMYFUNCTION("""COMPUTED_VALUE"""),54.18)</f>
        <v>54.18</v>
      </c>
      <c r="AG54" s="1">
        <f>IFERROR(__xludf.DUMMYFUNCTION("""COMPUTED_VALUE"""),117.33)</f>
        <v>117.33</v>
      </c>
      <c r="AH54" s="3">
        <f>IFERROR(__xludf.DUMMYFUNCTION("""COMPUTED_VALUE"""),300.14)</f>
        <v>300.14</v>
      </c>
      <c r="AI54" s="1">
        <f>IFERROR(__xludf.DUMMYFUNCTION("""COMPUTED_VALUE"""),413.8)</f>
        <v>413.8</v>
      </c>
      <c r="AJ54" s="1">
        <f>IFERROR(__xludf.DUMMYFUNCTION("""COMPUTED_VALUE"""),290.4)</f>
        <v>290.4</v>
      </c>
      <c r="AK54" s="3">
        <f>IFERROR(__xludf.DUMMYFUNCTION("""COMPUTED_VALUE"""),44.12)</f>
        <v>44.12</v>
      </c>
      <c r="AL54" s="1">
        <f>IFERROR(__xludf.DUMMYFUNCTION("""COMPUTED_VALUE"""),77.01)</f>
        <v>77.01</v>
      </c>
      <c r="AM54" s="1">
        <f>IFERROR(__xludf.DUMMYFUNCTION("""COMPUTED_VALUE"""),499.03)</f>
        <v>499.03</v>
      </c>
      <c r="AN54" s="1">
        <f>IFERROR(__xludf.DUMMYFUNCTION("""COMPUTED_VALUE"""),359.51)</f>
        <v>359.51</v>
      </c>
      <c r="AO54" s="1">
        <f>IFERROR(__xludf.DUMMYFUNCTION("""COMPUTED_VALUE"""),110.92)</f>
        <v>110.92</v>
      </c>
      <c r="AP54" s="1">
        <f>IFERROR(__xludf.DUMMYFUNCTION("""COMPUTED_VALUE"""),151.0)</f>
        <v>151</v>
      </c>
      <c r="AQ54" s="1">
        <f>IFERROR(__xludf.DUMMYFUNCTION("""COMPUTED_VALUE"""),441.3)</f>
        <v>441.3</v>
      </c>
      <c r="AR54" s="3">
        <f>IFERROR(__xludf.DUMMYFUNCTION("""COMPUTED_VALUE"""),212.24)</f>
        <v>212.24</v>
      </c>
      <c r="AS54" s="3">
        <f>IFERROR(__xludf.DUMMYFUNCTION("""COMPUTED_VALUE"""),524.8)</f>
        <v>524.8</v>
      </c>
      <c r="AT54" s="3">
        <f>IFERROR(__xludf.DUMMYFUNCTION("""COMPUTED_VALUE"""),253.5)</f>
        <v>253.5</v>
      </c>
      <c r="AU54" s="1">
        <f>IFERROR(__xludf.DUMMYFUNCTION("""COMPUTED_VALUE"""),26.0)</f>
        <v>26</v>
      </c>
      <c r="AV54" s="1">
        <f>IFERROR(__xludf.DUMMYFUNCTION("""COMPUTED_VALUE"""),78.7)</f>
        <v>78.7</v>
      </c>
      <c r="AW54" s="1">
        <f>IFERROR(__xludf.DUMMYFUNCTION("""COMPUTED_VALUE"""),76.0)</f>
        <v>76</v>
      </c>
      <c r="AX54" s="1">
        <f>IFERROR(__xludf.DUMMYFUNCTION("""COMPUTED_VALUE"""),13.9)</f>
        <v>13.9</v>
      </c>
      <c r="AY54" s="1">
        <f>IFERROR(__xludf.DUMMYFUNCTION("""COMPUTED_VALUE"""),425.27)</f>
        <v>425.27</v>
      </c>
      <c r="AZ54" s="3">
        <f>IFERROR(__xludf.DUMMYFUNCTION("""COMPUTED_VALUE"""),74.26)</f>
        <v>74.26</v>
      </c>
      <c r="BA54" s="3">
        <f>IFERROR(__xludf.DUMMYFUNCTION("""COMPUTED_VALUE"""),73.71)</f>
        <v>73.71</v>
      </c>
      <c r="BB54" s="3">
        <f>IFERROR(__xludf.DUMMYFUNCTION("""COMPUTED_VALUE"""),113.06)</f>
        <v>113.06</v>
      </c>
      <c r="BC54" s="1">
        <f>IFERROR(__xludf.DUMMYFUNCTION("""COMPUTED_VALUE"""),93.48)</f>
        <v>93.48</v>
      </c>
      <c r="BD54" s="1">
        <f>IFERROR(__xludf.DUMMYFUNCTION("""COMPUTED_VALUE"""),40.22)</f>
        <v>40.22</v>
      </c>
      <c r="BE54" s="1">
        <f>IFERROR(__xludf.DUMMYFUNCTION("""COMPUTED_VALUE"""),27.18)</f>
        <v>27.18</v>
      </c>
      <c r="BF54" s="1">
        <f>IFERROR(__xludf.DUMMYFUNCTION("""COMPUTED_VALUE"""),58.29)</f>
        <v>58.29</v>
      </c>
      <c r="BG54" s="1">
        <f>IFERROR(__xludf.DUMMYFUNCTION("""COMPUTED_VALUE"""),30.77)</f>
        <v>30.77</v>
      </c>
      <c r="BH54" s="1">
        <f>IFERROR(__xludf.DUMMYFUNCTION("""COMPUTED_VALUE"""),113.95)</f>
        <v>113.95</v>
      </c>
      <c r="BI54" s="1">
        <f>IFERROR(__xludf.DUMMYFUNCTION("""COMPUTED_VALUE"""),46.44)</f>
        <v>46.44</v>
      </c>
      <c r="BJ54" s="1">
        <f>IFERROR(__xludf.DUMMYFUNCTION("""COMPUTED_VALUE"""),175.53)</f>
        <v>175.53</v>
      </c>
      <c r="BK54" s="1">
        <f>IFERROR(__xludf.DUMMYFUNCTION("""COMPUTED_VALUE"""),607.14)</f>
        <v>607.14</v>
      </c>
      <c r="BL54" s="1">
        <f>IFERROR(__xludf.DUMMYFUNCTION("""COMPUTED_VALUE"""),192.52)</f>
        <v>192.52</v>
      </c>
      <c r="BM54" s="1">
        <f>IFERROR(__xludf.DUMMYFUNCTION("""COMPUTED_VALUE"""),140.49)</f>
        <v>140.49</v>
      </c>
      <c r="BN54" s="3">
        <f>IFERROR(__xludf.DUMMYFUNCTION("""COMPUTED_VALUE"""),6.89)</f>
        <v>6.89</v>
      </c>
      <c r="BO54" s="1">
        <f>IFERROR(__xludf.DUMMYFUNCTION("""COMPUTED_VALUE"""),240.36)</f>
        <v>240.36</v>
      </c>
      <c r="BP54" s="1">
        <f>IFERROR(__xludf.DUMMYFUNCTION("""COMPUTED_VALUE"""),569.72)</f>
        <v>569.72</v>
      </c>
      <c r="BQ54" s="36">
        <f>IFERROR(__xludf.DUMMYFUNCTION("""COMPUTED_VALUE"""),48.37)</f>
        <v>48.37</v>
      </c>
      <c r="BR54" s="1">
        <f>IFERROR(__xludf.DUMMYFUNCTION("""COMPUTED_VALUE"""),12.08)</f>
        <v>12.08</v>
      </c>
      <c r="BS54" s="1">
        <f>IFERROR(__xludf.DUMMYFUNCTION("""COMPUTED_VALUE"""),196.96)</f>
        <v>196.96</v>
      </c>
      <c r="BT54" s="1">
        <f>IFERROR(__xludf.DUMMYFUNCTION("""COMPUTED_VALUE"""),89.93)</f>
        <v>89.93</v>
      </c>
      <c r="BU54" s="3">
        <v>1.0</v>
      </c>
    </row>
    <row r="55">
      <c r="A55" s="25">
        <f>IFERROR(__xludf.DUMMYFUNCTION("""COMPUTED_VALUE"""),45502.66666666667)</f>
        <v>45502.66667</v>
      </c>
      <c r="B55" s="29">
        <f>'Master Scratch Work'!B54</f>
        <v>1264188.49</v>
      </c>
      <c r="C55" s="15">
        <f>IFERROR(__xludf.DUMMYFUNCTION("""COMPUTED_VALUE"""),5463.54)</f>
        <v>5463.54</v>
      </c>
      <c r="D55" s="15">
        <f>IFERROR(__xludf.DUMMYFUNCTION("""COMPUTED_VALUE"""),17370.2)</f>
        <v>17370.2</v>
      </c>
      <c r="E55" s="15">
        <f>IFERROR(__xludf.DUMMYFUNCTION("""COMPUTED_VALUE"""),40539.93)</f>
        <v>40539.93</v>
      </c>
      <c r="F55" s="15">
        <f>IFERROR(__xludf.DUMMYFUNCTION("""COMPUTED_VALUE"""),2235.33)</f>
        <v>2235.33</v>
      </c>
      <c r="G55" s="3">
        <f>IFERROR(__xludf.DUMMYFUNCTION("""COMPUTED_VALUE"""),544.76)</f>
        <v>544.76</v>
      </c>
      <c r="H55" s="3">
        <f>IFERROR(__xludf.DUMMYFUNCTION("""COMPUTED_VALUE"""),463.9)</f>
        <v>463.9</v>
      </c>
      <c r="I55" s="3">
        <f>IFERROR(__xludf.DUMMYFUNCTION("""COMPUTED_VALUE"""),536.61)</f>
        <v>536.61</v>
      </c>
      <c r="J55" s="3">
        <f>IFERROR(__xludf.DUMMYFUNCTION("""COMPUTED_VALUE"""),183.2)</f>
        <v>183.2</v>
      </c>
      <c r="K55" s="3">
        <f>IFERROR(__xludf.DUMMYFUNCTION("""COMPUTED_VALUE"""),141.36)</f>
        <v>141.36</v>
      </c>
      <c r="L55" s="3">
        <f>IFERROR(__xludf.DUMMYFUNCTION("""COMPUTED_VALUE"""),218.24)</f>
        <v>218.24</v>
      </c>
      <c r="M55" s="3">
        <f>IFERROR(__xludf.DUMMYFUNCTION("""COMPUTED_VALUE"""),205.57)</f>
        <v>205.57</v>
      </c>
      <c r="N55" s="3">
        <f>IFERROR(__xludf.DUMMYFUNCTION("""COMPUTED_VALUE"""),64.59)</f>
        <v>64.59</v>
      </c>
      <c r="O55" s="3">
        <f>IFERROR(__xludf.DUMMYFUNCTION("""COMPUTED_VALUE"""),11.94)</f>
        <v>11.94</v>
      </c>
      <c r="P55" s="3">
        <f>IFERROR(__xludf.DUMMYFUNCTION("""COMPUTED_VALUE"""),438.31)</f>
        <v>438.31</v>
      </c>
      <c r="Q55" s="3">
        <f>IFERROR(__xludf.DUMMYFUNCTION("""COMPUTED_VALUE"""),55.01)</f>
        <v>55.01</v>
      </c>
      <c r="R55" s="3">
        <f>IFERROR(__xludf.DUMMYFUNCTION("""COMPUTED_VALUE"""),214.43)</f>
        <v>214.43</v>
      </c>
      <c r="S55" s="3">
        <f>IFERROR(__xludf.DUMMYFUNCTION("""COMPUTED_VALUE"""),75.59)</f>
        <v>75.59</v>
      </c>
      <c r="T55" s="3">
        <f>IFERROR(__xludf.DUMMYFUNCTION("""COMPUTED_VALUE"""),67.62)</f>
        <v>67.62</v>
      </c>
      <c r="U55" s="3">
        <f>IFERROR(__xludf.DUMMYFUNCTION("""COMPUTED_VALUE"""),344.53)</f>
        <v>344.53</v>
      </c>
      <c r="V55" s="3">
        <f>IFERROR(__xludf.DUMMYFUNCTION("""COMPUTED_VALUE"""),44.64)</f>
        <v>44.64</v>
      </c>
      <c r="W55" s="3">
        <f>IFERROR(__xludf.DUMMYFUNCTION("""COMPUTED_VALUE"""),183.37)</f>
        <v>183.37</v>
      </c>
      <c r="X55" s="3">
        <f>IFERROR(__xludf.DUMMYFUNCTION("""COMPUTED_VALUE"""),156.6)</f>
        <v>156.6</v>
      </c>
      <c r="Y55" s="1">
        <f>IFERROR(__xludf.DUMMYFUNCTION("""COMPUTED_VALUE"""),346.54)</f>
        <v>346.54</v>
      </c>
      <c r="Z55" s="1">
        <f>IFERROR(__xludf.DUMMYFUNCTION("""COMPUTED_VALUE"""),43.0)</f>
        <v>43</v>
      </c>
      <c r="AA55" s="1">
        <f>IFERROR(__xludf.DUMMYFUNCTION("""COMPUTED_VALUE"""),66.83)</f>
        <v>66.83</v>
      </c>
      <c r="AB55" s="1">
        <f>IFERROR(__xludf.DUMMYFUNCTION("""COMPUTED_VALUE"""),96.87)</f>
        <v>96.87</v>
      </c>
      <c r="AC55" s="1">
        <f>IFERROR(__xludf.DUMMYFUNCTION("""COMPUTED_VALUE"""),147.19)</f>
        <v>147.19</v>
      </c>
      <c r="AD55" s="3">
        <f>IFERROR(__xludf.DUMMYFUNCTION("""COMPUTED_VALUE"""),103.74)</f>
        <v>103.74</v>
      </c>
      <c r="AE55" s="1">
        <f>IFERROR(__xludf.DUMMYFUNCTION("""COMPUTED_VALUE"""),428.13)</f>
        <v>428.13</v>
      </c>
      <c r="AF55" s="1">
        <f>IFERROR(__xludf.DUMMYFUNCTION("""COMPUTED_VALUE"""),54.61)</f>
        <v>54.61</v>
      </c>
      <c r="AG55" s="1">
        <f>IFERROR(__xludf.DUMMYFUNCTION("""COMPUTED_VALUE"""),116.1)</f>
        <v>116.1</v>
      </c>
      <c r="AH55" s="3">
        <f>IFERROR(__xludf.DUMMYFUNCTION("""COMPUTED_VALUE"""),299.23)</f>
        <v>299.23</v>
      </c>
      <c r="AI55" s="1">
        <f>IFERROR(__xludf.DUMMYFUNCTION("""COMPUTED_VALUE"""),411.7)</f>
        <v>411.7</v>
      </c>
      <c r="AJ55" s="1">
        <f>IFERROR(__xludf.DUMMYFUNCTION("""COMPUTED_VALUE"""),289.49)</f>
        <v>289.49</v>
      </c>
      <c r="AK55" s="3">
        <f>IFERROR(__xludf.DUMMYFUNCTION("""COMPUTED_VALUE"""),44.15)</f>
        <v>44.15</v>
      </c>
      <c r="AL55" s="1">
        <f>IFERROR(__xludf.DUMMYFUNCTION("""COMPUTED_VALUE"""),77.73)</f>
        <v>77.73</v>
      </c>
      <c r="AM55" s="1">
        <f>IFERROR(__xludf.DUMMYFUNCTION("""COMPUTED_VALUE"""),492.72)</f>
        <v>492.72</v>
      </c>
      <c r="AN55" s="1">
        <f>IFERROR(__xludf.DUMMYFUNCTION("""COMPUTED_VALUE"""),361.67)</f>
        <v>361.67</v>
      </c>
      <c r="AO55" s="1">
        <f>IFERROR(__xludf.DUMMYFUNCTION("""COMPUTED_VALUE"""),113.5)</f>
        <v>113.5</v>
      </c>
      <c r="AP55" s="1">
        <f>IFERROR(__xludf.DUMMYFUNCTION("""COMPUTED_VALUE"""),151.16)</f>
        <v>151.16</v>
      </c>
      <c r="AQ55" s="1">
        <f>IFERROR(__xludf.DUMMYFUNCTION("""COMPUTED_VALUE"""),443.66)</f>
        <v>443.66</v>
      </c>
      <c r="AR55" s="3">
        <f>IFERROR(__xludf.DUMMYFUNCTION("""COMPUTED_VALUE"""),210.85)</f>
        <v>210.85</v>
      </c>
      <c r="AS55" s="3">
        <f>IFERROR(__xludf.DUMMYFUNCTION("""COMPUTED_VALUE"""),527.64)</f>
        <v>527.64</v>
      </c>
      <c r="AT55" s="3">
        <f>IFERROR(__xludf.DUMMYFUNCTION("""COMPUTED_VALUE"""),259.03)</f>
        <v>259.03</v>
      </c>
      <c r="AU55" s="1">
        <f>IFERROR(__xludf.DUMMYFUNCTION("""COMPUTED_VALUE"""),25.9)</f>
        <v>25.9</v>
      </c>
      <c r="AV55" s="1">
        <f>IFERROR(__xludf.DUMMYFUNCTION("""COMPUTED_VALUE"""),80.0)</f>
        <v>80</v>
      </c>
      <c r="AW55" s="1">
        <f>IFERROR(__xludf.DUMMYFUNCTION("""COMPUTED_VALUE"""),75.5)</f>
        <v>75.5</v>
      </c>
      <c r="AX55" s="1">
        <f>IFERROR(__xludf.DUMMYFUNCTION("""COMPUTED_VALUE"""),13.43)</f>
        <v>13.43</v>
      </c>
      <c r="AY55" s="1">
        <f>IFERROR(__xludf.DUMMYFUNCTION("""COMPUTED_VALUE"""),426.73)</f>
        <v>426.73</v>
      </c>
      <c r="AZ55" s="3">
        <f>IFERROR(__xludf.DUMMYFUNCTION("""COMPUTED_VALUE"""),74.34)</f>
        <v>74.34</v>
      </c>
      <c r="BA55" s="3">
        <f>IFERROR(__xludf.DUMMYFUNCTION("""COMPUTED_VALUE"""),74.33)</f>
        <v>74.33</v>
      </c>
      <c r="BB55" s="3">
        <f>IFERROR(__xludf.DUMMYFUNCTION("""COMPUTED_VALUE"""),111.59)</f>
        <v>111.59</v>
      </c>
      <c r="BC55" s="1">
        <f>IFERROR(__xludf.DUMMYFUNCTION("""COMPUTED_VALUE"""),93.03)</f>
        <v>93.03</v>
      </c>
      <c r="BD55" s="1">
        <f>IFERROR(__xludf.DUMMYFUNCTION("""COMPUTED_VALUE"""),39.83)</f>
        <v>39.83</v>
      </c>
      <c r="BE55" s="1">
        <f>IFERROR(__xludf.DUMMYFUNCTION("""COMPUTED_VALUE"""),27.08)</f>
        <v>27.08</v>
      </c>
      <c r="BF55" s="1">
        <f>IFERROR(__xludf.DUMMYFUNCTION("""COMPUTED_VALUE"""),58.94)</f>
        <v>58.94</v>
      </c>
      <c r="BG55" s="1">
        <f>IFERROR(__xludf.DUMMYFUNCTION("""COMPUTED_VALUE"""),30.72)</f>
        <v>30.72</v>
      </c>
      <c r="BH55" s="1">
        <f>IFERROR(__xludf.DUMMYFUNCTION("""COMPUTED_VALUE"""),114.44)</f>
        <v>114.44</v>
      </c>
      <c r="BI55" s="1">
        <f>IFERROR(__xludf.DUMMYFUNCTION("""COMPUTED_VALUE"""),45.92)</f>
        <v>45.92</v>
      </c>
      <c r="BJ55" s="1">
        <f>IFERROR(__xludf.DUMMYFUNCTION("""COMPUTED_VALUE"""),176.87)</f>
        <v>176.87</v>
      </c>
      <c r="BK55" s="1">
        <f>IFERROR(__xludf.DUMMYFUNCTION("""COMPUTED_VALUE"""),604.12)</f>
        <v>604.12</v>
      </c>
      <c r="BL55" s="1">
        <f>IFERROR(__xludf.DUMMYFUNCTION("""COMPUTED_VALUE"""),192.48)</f>
        <v>192.48</v>
      </c>
      <c r="BM55" s="1">
        <f>IFERROR(__xludf.DUMMYFUNCTION("""COMPUTED_VALUE"""),139.0)</f>
        <v>139</v>
      </c>
      <c r="BN55" s="3">
        <f>IFERROR(__xludf.DUMMYFUNCTION("""COMPUTED_VALUE"""),6.92)</f>
        <v>6.92</v>
      </c>
      <c r="BO55" s="1">
        <f>IFERROR(__xludf.DUMMYFUNCTION("""COMPUTED_VALUE"""),242.15)</f>
        <v>242.15</v>
      </c>
      <c r="BP55" s="1">
        <f>IFERROR(__xludf.DUMMYFUNCTION("""COMPUTED_VALUE"""),566.75)</f>
        <v>566.75</v>
      </c>
      <c r="BQ55" s="36">
        <f>IFERROR(__xludf.DUMMYFUNCTION("""COMPUTED_VALUE"""),48.37)</f>
        <v>48.37</v>
      </c>
      <c r="BR55" s="1">
        <f>IFERROR(__xludf.DUMMYFUNCTION("""COMPUTED_VALUE"""),11.9)</f>
        <v>11.9</v>
      </c>
      <c r="BS55" s="1">
        <f>IFERROR(__xludf.DUMMYFUNCTION("""COMPUTED_VALUE"""),200.54)</f>
        <v>200.54</v>
      </c>
      <c r="BT55" s="1">
        <f>IFERROR(__xludf.DUMMYFUNCTION("""COMPUTED_VALUE"""),92.14)</f>
        <v>92.14</v>
      </c>
      <c r="BU55" s="3">
        <v>1.0</v>
      </c>
    </row>
    <row r="56">
      <c r="A56" s="25">
        <f>IFERROR(__xludf.DUMMYFUNCTION("""COMPUTED_VALUE"""),45503.66666666667)</f>
        <v>45503.66667</v>
      </c>
      <c r="B56" s="29">
        <f>'Master Scratch Work'!B55</f>
        <v>1265882.54</v>
      </c>
      <c r="C56" s="15">
        <f>IFERROR(__xludf.DUMMYFUNCTION("""COMPUTED_VALUE"""),5436.44)</f>
        <v>5436.44</v>
      </c>
      <c r="D56" s="15">
        <f>IFERROR(__xludf.DUMMYFUNCTION("""COMPUTED_VALUE"""),17147.42)</f>
        <v>17147.42</v>
      </c>
      <c r="E56" s="15">
        <f>IFERROR(__xludf.DUMMYFUNCTION("""COMPUTED_VALUE"""),40743.33)</f>
        <v>40743.33</v>
      </c>
      <c r="F56" s="15">
        <f>IFERROR(__xludf.DUMMYFUNCTION("""COMPUTED_VALUE"""),2243.14)</f>
        <v>2243.14</v>
      </c>
      <c r="G56" s="3">
        <f>IFERROR(__xludf.DUMMYFUNCTION("""COMPUTED_VALUE"""),542.0)</f>
        <v>542</v>
      </c>
      <c r="H56" s="3">
        <f>IFERROR(__xludf.DUMMYFUNCTION("""COMPUTED_VALUE"""),457.53)</f>
        <v>457.53</v>
      </c>
      <c r="I56" s="3">
        <f>IFERROR(__xludf.DUMMYFUNCTION("""COMPUTED_VALUE"""),538.71)</f>
        <v>538.71</v>
      </c>
      <c r="J56" s="3">
        <f>IFERROR(__xludf.DUMMYFUNCTION("""COMPUTED_VALUE"""),181.71)</f>
        <v>181.71</v>
      </c>
      <c r="K56" s="3">
        <f>IFERROR(__xludf.DUMMYFUNCTION("""COMPUTED_VALUE"""),143.67)</f>
        <v>143.67</v>
      </c>
      <c r="L56" s="3">
        <f>IFERROR(__xludf.DUMMYFUNCTION("""COMPUTED_VALUE"""),218.8)</f>
        <v>218.8</v>
      </c>
      <c r="M56" s="3">
        <f>IFERROR(__xludf.DUMMYFUNCTION("""COMPUTED_VALUE"""),196.74)</f>
        <v>196.74</v>
      </c>
      <c r="N56" s="3">
        <f>IFERROR(__xludf.DUMMYFUNCTION("""COMPUTED_VALUE"""),65.24)</f>
        <v>65.24</v>
      </c>
      <c r="O56" s="3">
        <f>IFERROR(__xludf.DUMMYFUNCTION("""COMPUTED_VALUE"""),11.99)</f>
        <v>11.99</v>
      </c>
      <c r="P56" s="3">
        <f>IFERROR(__xludf.DUMMYFUNCTION("""COMPUTED_VALUE"""),441.26)</f>
        <v>441.26</v>
      </c>
      <c r="Q56" s="3">
        <f>IFERROR(__xludf.DUMMYFUNCTION("""COMPUTED_VALUE"""),54.11)</f>
        <v>54.11</v>
      </c>
      <c r="R56" s="3">
        <f>IFERROR(__xludf.DUMMYFUNCTION("""COMPUTED_VALUE"""),211.89)</f>
        <v>211.89</v>
      </c>
      <c r="S56" s="3">
        <f>IFERROR(__xludf.DUMMYFUNCTION("""COMPUTED_VALUE"""),74.03)</f>
        <v>74.03</v>
      </c>
      <c r="T56" s="3">
        <f>IFERROR(__xludf.DUMMYFUNCTION("""COMPUTED_VALUE"""),67.43)</f>
        <v>67.43</v>
      </c>
      <c r="U56" s="3">
        <f>IFERROR(__xludf.DUMMYFUNCTION("""COMPUTED_VALUE"""),341.72)</f>
        <v>341.72</v>
      </c>
      <c r="V56" s="3">
        <f>IFERROR(__xludf.DUMMYFUNCTION("""COMPUTED_VALUE"""),44.28)</f>
        <v>44.28</v>
      </c>
      <c r="W56" s="3">
        <f>IFERROR(__xludf.DUMMYFUNCTION("""COMPUTED_VALUE"""),182.43)</f>
        <v>182.43</v>
      </c>
      <c r="X56" s="3">
        <f>IFERROR(__xludf.DUMMYFUNCTION("""COMPUTED_VALUE"""),159.57)</f>
        <v>159.57</v>
      </c>
      <c r="Y56" s="1">
        <f>IFERROR(__xludf.DUMMYFUNCTION("""COMPUTED_VALUE"""),352.77)</f>
        <v>352.77</v>
      </c>
      <c r="Z56" s="1">
        <f>IFERROR(__xludf.DUMMYFUNCTION("""COMPUTED_VALUE"""),43.2)</f>
        <v>43.2</v>
      </c>
      <c r="AA56" s="1">
        <f>IFERROR(__xludf.DUMMYFUNCTION("""COMPUTED_VALUE"""),67.68)</f>
        <v>67.68</v>
      </c>
      <c r="AB56" s="1">
        <f>IFERROR(__xludf.DUMMYFUNCTION("""COMPUTED_VALUE"""),98.16)</f>
        <v>98.16</v>
      </c>
      <c r="AC56" s="1">
        <f>IFERROR(__xludf.DUMMYFUNCTION("""COMPUTED_VALUE"""),145.04)</f>
        <v>145.04</v>
      </c>
      <c r="AD56" s="3">
        <f>IFERROR(__xludf.DUMMYFUNCTION("""COMPUTED_VALUE"""),105.33)</f>
        <v>105.33</v>
      </c>
      <c r="AE56" s="1">
        <f>IFERROR(__xludf.DUMMYFUNCTION("""COMPUTED_VALUE"""),429.15)</f>
        <v>429.15</v>
      </c>
      <c r="AF56" s="1">
        <f>IFERROR(__xludf.DUMMYFUNCTION("""COMPUTED_VALUE"""),55.4)</f>
        <v>55.4</v>
      </c>
      <c r="AG56" s="1">
        <f>IFERROR(__xludf.DUMMYFUNCTION("""COMPUTED_VALUE"""),118.17)</f>
        <v>118.17</v>
      </c>
      <c r="AH56" s="3">
        <f>IFERROR(__xludf.DUMMYFUNCTION("""COMPUTED_VALUE"""),300.88)</f>
        <v>300.88</v>
      </c>
      <c r="AI56" s="1">
        <f>IFERROR(__xludf.DUMMYFUNCTION("""COMPUTED_VALUE"""),410.27)</f>
        <v>410.27</v>
      </c>
      <c r="AJ56" s="1">
        <f>IFERROR(__xludf.DUMMYFUNCTION("""COMPUTED_VALUE"""),293.01)</f>
        <v>293.01</v>
      </c>
      <c r="AK56" s="3">
        <f>IFERROR(__xludf.DUMMYFUNCTION("""COMPUTED_VALUE"""),44.23)</f>
        <v>44.23</v>
      </c>
      <c r="AL56" s="1">
        <f>IFERROR(__xludf.DUMMYFUNCTION("""COMPUTED_VALUE"""),78.05)</f>
        <v>78.05</v>
      </c>
      <c r="AM56" s="1">
        <f>IFERROR(__xludf.DUMMYFUNCTION("""COMPUTED_VALUE"""),505.67)</f>
        <v>505.67</v>
      </c>
      <c r="AN56" s="1">
        <f>IFERROR(__xludf.DUMMYFUNCTION("""COMPUTED_VALUE"""),363.69)</f>
        <v>363.69</v>
      </c>
      <c r="AO56" s="1">
        <f>IFERROR(__xludf.DUMMYFUNCTION("""COMPUTED_VALUE"""),112.93)</f>
        <v>112.93</v>
      </c>
      <c r="AP56" s="1">
        <f>IFERROR(__xludf.DUMMYFUNCTION("""COMPUTED_VALUE"""),151.3)</f>
        <v>151.3</v>
      </c>
      <c r="AQ56" s="1">
        <f>IFERROR(__xludf.DUMMYFUNCTION("""COMPUTED_VALUE"""),432.69)</f>
        <v>432.69</v>
      </c>
      <c r="AR56" s="3">
        <f>IFERROR(__xludf.DUMMYFUNCTION("""COMPUTED_VALUE"""),215.19)</f>
        <v>215.19</v>
      </c>
      <c r="AS56" s="3">
        <f>IFERROR(__xludf.DUMMYFUNCTION("""COMPUTED_VALUE"""),537.66)</f>
        <v>537.66</v>
      </c>
      <c r="AT56" s="3">
        <f>IFERROR(__xludf.DUMMYFUNCTION("""COMPUTED_VALUE"""),256.0)</f>
        <v>256</v>
      </c>
      <c r="AU56" s="1">
        <f>IFERROR(__xludf.DUMMYFUNCTION("""COMPUTED_VALUE"""),26.1)</f>
        <v>26.1</v>
      </c>
      <c r="AV56" s="1">
        <f>IFERROR(__xludf.DUMMYFUNCTION("""COMPUTED_VALUE"""),80.81)</f>
        <v>80.81</v>
      </c>
      <c r="AW56" s="1">
        <f>IFERROR(__xludf.DUMMYFUNCTION("""COMPUTED_VALUE"""),76.75)</f>
        <v>76.75</v>
      </c>
      <c r="AX56" s="1">
        <f>IFERROR(__xludf.DUMMYFUNCTION("""COMPUTED_VALUE"""),13.18)</f>
        <v>13.18</v>
      </c>
      <c r="AY56" s="1">
        <f>IFERROR(__xludf.DUMMYFUNCTION("""COMPUTED_VALUE"""),422.92)</f>
        <v>422.92</v>
      </c>
      <c r="AZ56" s="3">
        <f>IFERROR(__xludf.DUMMYFUNCTION("""COMPUTED_VALUE"""),74.28)</f>
        <v>74.28</v>
      </c>
      <c r="BA56" s="3">
        <f>IFERROR(__xludf.DUMMYFUNCTION("""COMPUTED_VALUE"""),73.33)</f>
        <v>73.33</v>
      </c>
      <c r="BB56" s="3">
        <f>IFERROR(__xludf.DUMMYFUNCTION("""COMPUTED_VALUE"""),103.73)</f>
        <v>103.73</v>
      </c>
      <c r="BC56" s="1">
        <f>IFERROR(__xludf.DUMMYFUNCTION("""COMPUTED_VALUE"""),93.82)</f>
        <v>93.82</v>
      </c>
      <c r="BD56" s="1">
        <f>IFERROR(__xludf.DUMMYFUNCTION("""COMPUTED_VALUE"""),38.82)</f>
        <v>38.82</v>
      </c>
      <c r="BE56" s="1">
        <f>IFERROR(__xludf.DUMMYFUNCTION("""COMPUTED_VALUE"""),26.37)</f>
        <v>26.37</v>
      </c>
      <c r="BF56" s="1">
        <f>IFERROR(__xludf.DUMMYFUNCTION("""COMPUTED_VALUE"""),64.0)</f>
        <v>64</v>
      </c>
      <c r="BG56" s="1">
        <f>IFERROR(__xludf.DUMMYFUNCTION("""COMPUTED_VALUE"""),31.39)</f>
        <v>31.39</v>
      </c>
      <c r="BH56" s="1">
        <f>IFERROR(__xludf.DUMMYFUNCTION("""COMPUTED_VALUE"""),116.88)</f>
        <v>116.88</v>
      </c>
      <c r="BI56" s="1">
        <f>IFERROR(__xludf.DUMMYFUNCTION("""COMPUTED_VALUE"""),45.15)</f>
        <v>45.15</v>
      </c>
      <c r="BJ56" s="1">
        <f>IFERROR(__xludf.DUMMYFUNCTION("""COMPUTED_VALUE"""),175.36)</f>
        <v>175.36</v>
      </c>
      <c r="BK56" s="1">
        <f>IFERROR(__xludf.DUMMYFUNCTION("""COMPUTED_VALUE"""),615.06)</f>
        <v>615.06</v>
      </c>
      <c r="BL56" s="1">
        <f>IFERROR(__xludf.DUMMYFUNCTION("""COMPUTED_VALUE"""),193.11)</f>
        <v>193.11</v>
      </c>
      <c r="BM56" s="1">
        <f>IFERROR(__xludf.DUMMYFUNCTION("""COMPUTED_VALUE"""),138.43)</f>
        <v>138.43</v>
      </c>
      <c r="BN56" s="3">
        <f>IFERROR(__xludf.DUMMYFUNCTION("""COMPUTED_VALUE"""),6.98)</f>
        <v>6.98</v>
      </c>
      <c r="BO56" s="1">
        <f>IFERROR(__xludf.DUMMYFUNCTION("""COMPUTED_VALUE"""),245.43)</f>
        <v>245.43</v>
      </c>
      <c r="BP56" s="1">
        <f>IFERROR(__xludf.DUMMYFUNCTION("""COMPUTED_VALUE"""),576.33)</f>
        <v>576.33</v>
      </c>
      <c r="BQ56" s="36">
        <f>IFERROR(__xludf.DUMMYFUNCTION("""COMPUTED_VALUE"""),48.39)</f>
        <v>48.39</v>
      </c>
      <c r="BR56" s="1">
        <f>IFERROR(__xludf.DUMMYFUNCTION("""COMPUTED_VALUE"""),12.13)</f>
        <v>12.13</v>
      </c>
      <c r="BS56" s="1">
        <f>IFERROR(__xludf.DUMMYFUNCTION("""COMPUTED_VALUE"""),201.1)</f>
        <v>201.1</v>
      </c>
      <c r="BT56" s="1">
        <f>IFERROR(__xludf.DUMMYFUNCTION("""COMPUTED_VALUE"""),93.79)</f>
        <v>93.79</v>
      </c>
      <c r="BU56" s="3">
        <v>1.0</v>
      </c>
    </row>
    <row r="57">
      <c r="A57" s="25">
        <f>IFERROR(__xludf.DUMMYFUNCTION("""COMPUTED_VALUE"""),45504.66666666667)</f>
        <v>45504.66667</v>
      </c>
      <c r="B57" s="29">
        <f>'Master Scratch Work'!B56</f>
        <v>1280298.72</v>
      </c>
      <c r="C57" s="15">
        <f>IFERROR(__xludf.DUMMYFUNCTION("""COMPUTED_VALUE"""),5522.3)</f>
        <v>5522.3</v>
      </c>
      <c r="D57" s="15">
        <f>IFERROR(__xludf.DUMMYFUNCTION("""COMPUTED_VALUE"""),17599.4)</f>
        <v>17599.4</v>
      </c>
      <c r="E57" s="15">
        <f>IFERROR(__xludf.DUMMYFUNCTION("""COMPUTED_VALUE"""),40842.79)</f>
        <v>40842.79</v>
      </c>
      <c r="F57" s="15">
        <f>IFERROR(__xludf.DUMMYFUNCTION("""COMPUTED_VALUE"""),2254.48)</f>
        <v>2254.48</v>
      </c>
      <c r="G57" s="3">
        <f>IFERROR(__xludf.DUMMYFUNCTION("""COMPUTED_VALUE"""),550.81)</f>
        <v>550.81</v>
      </c>
      <c r="H57" s="3">
        <f>IFERROR(__xludf.DUMMYFUNCTION("""COMPUTED_VALUE"""),471.07)</f>
        <v>471.07</v>
      </c>
      <c r="I57" s="3">
        <f>IFERROR(__xludf.DUMMYFUNCTION("""COMPUTED_VALUE"""),551.65)</f>
        <v>551.65</v>
      </c>
      <c r="J57" s="3">
        <f>IFERROR(__xludf.DUMMYFUNCTION("""COMPUTED_VALUE"""),186.98)</f>
        <v>186.98</v>
      </c>
      <c r="K57" s="3">
        <f>IFERROR(__xludf.DUMMYFUNCTION("""COMPUTED_VALUE"""),142.36)</f>
        <v>142.36</v>
      </c>
      <c r="L57" s="3">
        <f>IFERROR(__xludf.DUMMYFUNCTION("""COMPUTED_VALUE"""),222.08)</f>
        <v>222.08</v>
      </c>
      <c r="M57" s="3">
        <f>IFERROR(__xludf.DUMMYFUNCTION("""COMPUTED_VALUE"""),212.2)</f>
        <v>212.2</v>
      </c>
      <c r="N57" s="3">
        <f>IFERROR(__xludf.DUMMYFUNCTION("""COMPUTED_VALUE"""),65.07)</f>
        <v>65.07</v>
      </c>
      <c r="O57" s="3">
        <f>IFERROR(__xludf.DUMMYFUNCTION("""COMPUTED_VALUE"""),11.92)</f>
        <v>11.92</v>
      </c>
      <c r="P57" s="3">
        <f>IFERROR(__xludf.DUMMYFUNCTION("""COMPUTED_VALUE"""),438.5)</f>
        <v>438.5</v>
      </c>
      <c r="Q57" s="3">
        <f>IFERROR(__xludf.DUMMYFUNCTION("""COMPUTED_VALUE"""),55.53)</f>
        <v>55.53</v>
      </c>
      <c r="R57" s="3">
        <f>IFERROR(__xludf.DUMMYFUNCTION("""COMPUTED_VALUE"""),213.2)</f>
        <v>213.2</v>
      </c>
      <c r="S57" s="3">
        <f>IFERROR(__xludf.DUMMYFUNCTION("""COMPUTED_VALUE"""),73.88)</f>
        <v>73.88</v>
      </c>
      <c r="T57" s="3">
        <f>IFERROR(__xludf.DUMMYFUNCTION("""COMPUTED_VALUE"""),68.11)</f>
        <v>68.11</v>
      </c>
      <c r="U57" s="3">
        <f>IFERROR(__xludf.DUMMYFUNCTION("""COMPUTED_VALUE"""),346.2)</f>
        <v>346.2</v>
      </c>
      <c r="V57" s="3">
        <f>IFERROR(__xludf.DUMMYFUNCTION("""COMPUTED_VALUE"""),45.49)</f>
        <v>45.49</v>
      </c>
      <c r="W57" s="3">
        <f>IFERROR(__xludf.DUMMYFUNCTION("""COMPUTED_VALUE"""),183.45)</f>
        <v>183.45</v>
      </c>
      <c r="X57" s="3">
        <f>IFERROR(__xludf.DUMMYFUNCTION("""COMPUTED_VALUE"""),160.47)</f>
        <v>160.47</v>
      </c>
      <c r="Y57" s="1">
        <f>IFERROR(__xludf.DUMMYFUNCTION("""COMPUTED_VALUE"""),348.67)</f>
        <v>348.67</v>
      </c>
      <c r="Z57" s="1">
        <f>IFERROR(__xludf.DUMMYFUNCTION("""COMPUTED_VALUE"""),42.67)</f>
        <v>42.67</v>
      </c>
      <c r="AA57" s="1">
        <f>IFERROR(__xludf.DUMMYFUNCTION("""COMPUTED_VALUE"""),66.74)</f>
        <v>66.74</v>
      </c>
      <c r="AB57" s="1">
        <f>IFERROR(__xludf.DUMMYFUNCTION("""COMPUTED_VALUE"""),97.52)</f>
        <v>97.52</v>
      </c>
      <c r="AC57" s="1">
        <f>IFERROR(__xludf.DUMMYFUNCTION("""COMPUTED_VALUE"""),149.49)</f>
        <v>149.49</v>
      </c>
      <c r="AD57" s="3">
        <f>IFERROR(__xludf.DUMMYFUNCTION("""COMPUTED_VALUE"""),104.34)</f>
        <v>104.34</v>
      </c>
      <c r="AE57" s="1">
        <f>IFERROR(__xludf.DUMMYFUNCTION("""COMPUTED_VALUE"""),428.7)</f>
        <v>428.7</v>
      </c>
      <c r="AF57" s="1">
        <f>IFERROR(__xludf.DUMMYFUNCTION("""COMPUTED_VALUE"""),55.61)</f>
        <v>55.61</v>
      </c>
      <c r="AG57" s="1">
        <f>IFERROR(__xludf.DUMMYFUNCTION("""COMPUTED_VALUE"""),118.59)</f>
        <v>118.59</v>
      </c>
      <c r="AH57" s="3">
        <f>IFERROR(__xludf.DUMMYFUNCTION("""COMPUTED_VALUE"""),302.25)</f>
        <v>302.25</v>
      </c>
      <c r="AI57" s="1">
        <f>IFERROR(__xludf.DUMMYFUNCTION("""COMPUTED_VALUE"""),413.01)</f>
        <v>413.01</v>
      </c>
      <c r="AJ57" s="1">
        <f>IFERROR(__xludf.DUMMYFUNCTION("""COMPUTED_VALUE"""),298.71)</f>
        <v>298.71</v>
      </c>
      <c r="AK57" s="3">
        <f>IFERROR(__xludf.DUMMYFUNCTION("""COMPUTED_VALUE"""),44.32)</f>
        <v>44.32</v>
      </c>
      <c r="AL57" s="1">
        <f>IFERROR(__xludf.DUMMYFUNCTION("""COMPUTED_VALUE"""),76.06)</f>
        <v>76.06</v>
      </c>
      <c r="AM57" s="1">
        <f>IFERROR(__xludf.DUMMYFUNCTION("""COMPUTED_VALUE"""),509.03)</f>
        <v>509.03</v>
      </c>
      <c r="AN57" s="1">
        <f>IFERROR(__xludf.DUMMYFUNCTION("""COMPUTED_VALUE"""),368.16)</f>
        <v>368.16</v>
      </c>
      <c r="AO57" s="1">
        <f>IFERROR(__xludf.DUMMYFUNCTION("""COMPUTED_VALUE"""),110.01)</f>
        <v>110.01</v>
      </c>
      <c r="AP57" s="1">
        <f>IFERROR(__xludf.DUMMYFUNCTION("""COMPUTED_VALUE"""),151.56)</f>
        <v>151.56</v>
      </c>
      <c r="AQ57" s="1">
        <f>IFERROR(__xludf.DUMMYFUNCTION("""COMPUTED_VALUE"""),444.61)</f>
        <v>444.61</v>
      </c>
      <c r="AR57" s="3">
        <f>IFERROR(__xludf.DUMMYFUNCTION("""COMPUTED_VALUE"""),212.8)</f>
        <v>212.8</v>
      </c>
      <c r="AS57" s="3">
        <f>IFERROR(__xludf.DUMMYFUNCTION("""COMPUTED_VALUE"""),541.92)</f>
        <v>541.92</v>
      </c>
      <c r="AT57" s="3">
        <f>IFERROR(__xludf.DUMMYFUNCTION("""COMPUTED_VALUE"""),258.66)</f>
        <v>258.66</v>
      </c>
      <c r="AU57" s="1">
        <f>IFERROR(__xludf.DUMMYFUNCTION("""COMPUTED_VALUE"""),26.63)</f>
        <v>26.63</v>
      </c>
      <c r="AV57" s="1">
        <f>IFERROR(__xludf.DUMMYFUNCTION("""COMPUTED_VALUE"""),80.32)</f>
        <v>80.32</v>
      </c>
      <c r="AW57" s="1">
        <f>IFERROR(__xludf.DUMMYFUNCTION("""COMPUTED_VALUE"""),76.85)</f>
        <v>76.85</v>
      </c>
      <c r="AX57" s="1">
        <f>IFERROR(__xludf.DUMMYFUNCTION("""COMPUTED_VALUE"""),13.52)</f>
        <v>13.52</v>
      </c>
      <c r="AY57" s="1">
        <f>IFERROR(__xludf.DUMMYFUNCTION("""COMPUTED_VALUE"""),418.35)</f>
        <v>418.35</v>
      </c>
      <c r="AZ57" s="3">
        <f>IFERROR(__xludf.DUMMYFUNCTION("""COMPUTED_VALUE"""),76.39)</f>
        <v>76.39</v>
      </c>
      <c r="BA57" s="3">
        <f>IFERROR(__xludf.DUMMYFUNCTION("""COMPUTED_VALUE"""),75.17)</f>
        <v>75.17</v>
      </c>
      <c r="BB57" s="3">
        <f>IFERROR(__xludf.DUMMYFUNCTION("""COMPUTED_VALUE"""),117.02)</f>
        <v>117.02</v>
      </c>
      <c r="BC57" s="1">
        <f>IFERROR(__xludf.DUMMYFUNCTION("""COMPUTED_VALUE"""),94.5)</f>
        <v>94.5</v>
      </c>
      <c r="BD57" s="1">
        <f>IFERROR(__xludf.DUMMYFUNCTION("""COMPUTED_VALUE"""),41.42)</f>
        <v>41.42</v>
      </c>
      <c r="BE57" s="1">
        <f>IFERROR(__xludf.DUMMYFUNCTION("""COMPUTED_VALUE"""),26.89)</f>
        <v>26.89</v>
      </c>
      <c r="BF57" s="1">
        <f>IFERROR(__xludf.DUMMYFUNCTION("""COMPUTED_VALUE"""),65.78)</f>
        <v>65.78</v>
      </c>
      <c r="BG57" s="1">
        <f>IFERROR(__xludf.DUMMYFUNCTION("""COMPUTED_VALUE"""),30.54)</f>
        <v>30.54</v>
      </c>
      <c r="BH57" s="1">
        <f>IFERROR(__xludf.DUMMYFUNCTION("""COMPUTED_VALUE"""),117.49)</f>
        <v>117.49</v>
      </c>
      <c r="BI57" s="1">
        <f>IFERROR(__xludf.DUMMYFUNCTION("""COMPUTED_VALUE"""),45.64)</f>
        <v>45.64</v>
      </c>
      <c r="BJ57" s="1">
        <f>IFERROR(__xludf.DUMMYFUNCTION("""COMPUTED_VALUE"""),182.28)</f>
        <v>182.28</v>
      </c>
      <c r="BK57" s="1">
        <f>IFERROR(__xludf.DUMMYFUNCTION("""COMPUTED_VALUE"""),613.34)</f>
        <v>613.34</v>
      </c>
      <c r="BL57" s="1">
        <f>IFERROR(__xludf.DUMMYFUNCTION("""COMPUTED_VALUE"""),193.55)</f>
        <v>193.55</v>
      </c>
      <c r="BM57" s="1">
        <f>IFERROR(__xludf.DUMMYFUNCTION("""COMPUTED_VALUE"""),142.26)</f>
        <v>142.26</v>
      </c>
      <c r="BN57" s="3">
        <f>IFERROR(__xludf.DUMMYFUNCTION("""COMPUTED_VALUE"""),6.97)</f>
        <v>6.97</v>
      </c>
      <c r="BO57" s="1">
        <f>IFERROR(__xludf.DUMMYFUNCTION("""COMPUTED_VALUE"""),246.73)</f>
        <v>246.73</v>
      </c>
      <c r="BP57" s="1">
        <f>IFERROR(__xludf.DUMMYFUNCTION("""COMPUTED_VALUE"""),576.16)</f>
        <v>576.16</v>
      </c>
      <c r="BQ57" s="36">
        <f>IFERROR(__xludf.DUMMYFUNCTION("""COMPUTED_VALUE"""),48.54)</f>
        <v>48.54</v>
      </c>
      <c r="BR57" s="1">
        <f>IFERROR(__xludf.DUMMYFUNCTION("""COMPUTED_VALUE"""),12.06)</f>
        <v>12.06</v>
      </c>
      <c r="BS57" s="1">
        <f>IFERROR(__xludf.DUMMYFUNCTION("""COMPUTED_VALUE"""),202.66)</f>
        <v>202.66</v>
      </c>
      <c r="BT57" s="1">
        <f>IFERROR(__xludf.DUMMYFUNCTION("""COMPUTED_VALUE"""),93.69)</f>
        <v>93.69</v>
      </c>
      <c r="BU57" s="3">
        <v>1.0</v>
      </c>
    </row>
    <row r="58">
      <c r="A58" s="25">
        <f>IFERROR(__xludf.DUMMYFUNCTION("""COMPUTED_VALUE"""),45505.66666666667)</f>
        <v>45505.66667</v>
      </c>
      <c r="B58" s="29">
        <f>'Master Scratch Work'!B57</f>
        <v>1265568.6</v>
      </c>
      <c r="C58" s="15">
        <f>IFERROR(__xludf.DUMMYFUNCTION("""COMPUTED_VALUE"""),5446.68)</f>
        <v>5446.68</v>
      </c>
      <c r="D58" s="15">
        <f>IFERROR(__xludf.DUMMYFUNCTION("""COMPUTED_VALUE"""),17194.15)</f>
        <v>17194.15</v>
      </c>
      <c r="E58" s="15">
        <f>IFERROR(__xludf.DUMMYFUNCTION("""COMPUTED_VALUE"""),40347.97)</f>
        <v>40347.97</v>
      </c>
      <c r="F58" s="15">
        <f>IFERROR(__xludf.DUMMYFUNCTION("""COMPUTED_VALUE"""),2186.16)</f>
        <v>2186.16</v>
      </c>
      <c r="G58" s="3">
        <f>IFERROR(__xludf.DUMMYFUNCTION("""COMPUTED_VALUE"""),543.01)</f>
        <v>543.01</v>
      </c>
      <c r="H58" s="3">
        <f>IFERROR(__xludf.DUMMYFUNCTION("""COMPUTED_VALUE"""),459.66)</f>
        <v>459.66</v>
      </c>
      <c r="I58" s="3">
        <f>IFERROR(__xludf.DUMMYFUNCTION("""COMPUTED_VALUE"""),546.41)</f>
        <v>546.41</v>
      </c>
      <c r="J58" s="3">
        <f>IFERROR(__xludf.DUMMYFUNCTION("""COMPUTED_VALUE"""),184.07)</f>
        <v>184.07</v>
      </c>
      <c r="K58" s="3">
        <f>IFERROR(__xludf.DUMMYFUNCTION("""COMPUTED_VALUE"""),144.5)</f>
        <v>144.5</v>
      </c>
      <c r="L58" s="3">
        <f>IFERROR(__xludf.DUMMYFUNCTION("""COMPUTED_VALUE"""),218.36)</f>
        <v>218.36</v>
      </c>
      <c r="M58" s="3">
        <f>IFERROR(__xludf.DUMMYFUNCTION("""COMPUTED_VALUE"""),196.3)</f>
        <v>196.3</v>
      </c>
      <c r="N58" s="3">
        <f>IFERROR(__xludf.DUMMYFUNCTION("""COMPUTED_VALUE"""),64.64)</f>
        <v>64.64</v>
      </c>
      <c r="O58" s="3">
        <f>IFERROR(__xludf.DUMMYFUNCTION("""COMPUTED_VALUE"""),11.31)</f>
        <v>11.31</v>
      </c>
      <c r="P58" s="3">
        <f>IFERROR(__xludf.DUMMYFUNCTION("""COMPUTED_VALUE"""),431.81)</f>
        <v>431.81</v>
      </c>
      <c r="Q58" s="3">
        <f>IFERROR(__xludf.DUMMYFUNCTION("""COMPUTED_VALUE"""),54.26)</f>
        <v>54.26</v>
      </c>
      <c r="R58" s="3">
        <f>IFERROR(__xludf.DUMMYFUNCTION("""COMPUTED_VALUE"""),210.7)</f>
        <v>210.7</v>
      </c>
      <c r="S58" s="3">
        <f>IFERROR(__xludf.DUMMYFUNCTION("""COMPUTED_VALUE"""),75.16)</f>
        <v>75.16</v>
      </c>
      <c r="T58" s="3">
        <f>IFERROR(__xludf.DUMMYFUNCTION("""COMPUTED_VALUE"""),66.06)</f>
        <v>66.06</v>
      </c>
      <c r="U58" s="3">
        <f>IFERROR(__xludf.DUMMYFUNCTION("""COMPUTED_VALUE"""),331.52)</f>
        <v>331.52</v>
      </c>
      <c r="V58" s="3">
        <f>IFERROR(__xludf.DUMMYFUNCTION("""COMPUTED_VALUE"""),41.02)</f>
        <v>41.02</v>
      </c>
      <c r="W58" s="3">
        <f>IFERROR(__xludf.DUMMYFUNCTION("""COMPUTED_VALUE"""),181.82)</f>
        <v>181.82</v>
      </c>
      <c r="X58" s="3">
        <f>IFERROR(__xludf.DUMMYFUNCTION("""COMPUTED_VALUE"""),152.62)</f>
        <v>152.62</v>
      </c>
      <c r="Y58" s="1">
        <f>IFERROR(__xludf.DUMMYFUNCTION("""COMPUTED_VALUE"""),332.6)</f>
        <v>332.6</v>
      </c>
      <c r="Z58" s="1">
        <f>IFERROR(__xludf.DUMMYFUNCTION("""COMPUTED_VALUE"""),40.71)</f>
        <v>40.71</v>
      </c>
      <c r="AA58" s="1">
        <f>IFERROR(__xludf.DUMMYFUNCTION("""COMPUTED_VALUE"""),67.96)</f>
        <v>67.96</v>
      </c>
      <c r="AB58" s="1">
        <f>IFERROR(__xludf.DUMMYFUNCTION("""COMPUTED_VALUE"""),100.21)</f>
        <v>100.21</v>
      </c>
      <c r="AC58" s="1">
        <f>IFERROR(__xludf.DUMMYFUNCTION("""COMPUTED_VALUE"""),152.29)</f>
        <v>152.29</v>
      </c>
      <c r="AD58" s="3">
        <f>IFERROR(__xludf.DUMMYFUNCTION("""COMPUTED_VALUE"""),99.75)</f>
        <v>99.75</v>
      </c>
      <c r="AE58" s="1">
        <f>IFERROR(__xludf.DUMMYFUNCTION("""COMPUTED_VALUE"""),426.64)</f>
        <v>426.64</v>
      </c>
      <c r="AF58" s="1">
        <f>IFERROR(__xludf.DUMMYFUNCTION("""COMPUTED_VALUE"""),56.23)</f>
        <v>56.23</v>
      </c>
      <c r="AG58" s="1">
        <f>IFERROR(__xludf.DUMMYFUNCTION("""COMPUTED_VALUE"""),116.95)</f>
        <v>116.95</v>
      </c>
      <c r="AH58" s="3">
        <f>IFERROR(__xludf.DUMMYFUNCTION("""COMPUTED_VALUE"""),297.83)</f>
        <v>297.83</v>
      </c>
      <c r="AI58" s="1">
        <f>IFERROR(__xludf.DUMMYFUNCTION("""COMPUTED_VALUE"""),421.62)</f>
        <v>421.62</v>
      </c>
      <c r="AJ58" s="1">
        <f>IFERROR(__xludf.DUMMYFUNCTION("""COMPUTED_VALUE"""),293.45)</f>
        <v>293.45</v>
      </c>
      <c r="AK58" s="3">
        <f>IFERROR(__xludf.DUMMYFUNCTION("""COMPUTED_VALUE"""),43.37)</f>
        <v>43.37</v>
      </c>
      <c r="AL58" s="1">
        <f>IFERROR(__xludf.DUMMYFUNCTION("""COMPUTED_VALUE"""),76.49)</f>
        <v>76.49</v>
      </c>
      <c r="AM58" s="1">
        <f>IFERROR(__xludf.DUMMYFUNCTION("""COMPUTED_VALUE"""),500.12)</f>
        <v>500.12</v>
      </c>
      <c r="AN58" s="1">
        <f>IFERROR(__xludf.DUMMYFUNCTION("""COMPUTED_VALUE"""),358.58)</f>
        <v>358.58</v>
      </c>
      <c r="AO58" s="1">
        <f>IFERROR(__xludf.DUMMYFUNCTION("""COMPUTED_VALUE"""),112.35)</f>
        <v>112.35</v>
      </c>
      <c r="AP58" s="1">
        <f>IFERROR(__xludf.DUMMYFUNCTION("""COMPUTED_VALUE"""),151.0)</f>
        <v>151</v>
      </c>
      <c r="AQ58" s="1">
        <f>IFERROR(__xludf.DUMMYFUNCTION("""COMPUTED_VALUE"""),450.94)</f>
        <v>450.94</v>
      </c>
      <c r="AR58" s="3">
        <f>IFERROR(__xludf.DUMMYFUNCTION("""COMPUTED_VALUE"""),207.96)</f>
        <v>207.96</v>
      </c>
      <c r="AS58" s="3">
        <f>IFERROR(__xludf.DUMMYFUNCTION("""COMPUTED_VALUE"""),548.86)</f>
        <v>548.86</v>
      </c>
      <c r="AT58" s="3">
        <f>IFERROR(__xludf.DUMMYFUNCTION("""COMPUTED_VALUE"""),249.05)</f>
        <v>249.05</v>
      </c>
      <c r="AU58" s="1">
        <f>IFERROR(__xludf.DUMMYFUNCTION("""COMPUTED_VALUE"""),25.67)</f>
        <v>25.67</v>
      </c>
      <c r="AV58" s="1">
        <f>IFERROR(__xludf.DUMMYFUNCTION("""COMPUTED_VALUE"""),80.49)</f>
        <v>80.49</v>
      </c>
      <c r="AW58" s="1">
        <f>IFERROR(__xludf.DUMMYFUNCTION("""COMPUTED_VALUE"""),75.78)</f>
        <v>75.78</v>
      </c>
      <c r="AX58" s="1">
        <f>IFERROR(__xludf.DUMMYFUNCTION("""COMPUTED_VALUE"""),12.68)</f>
        <v>12.68</v>
      </c>
      <c r="AY58" s="1">
        <f>IFERROR(__xludf.DUMMYFUNCTION("""COMPUTED_VALUE"""),417.11)</f>
        <v>417.11</v>
      </c>
      <c r="AZ58" s="3">
        <f>IFERROR(__xludf.DUMMYFUNCTION("""COMPUTED_VALUE"""),78.39)</f>
        <v>78.39</v>
      </c>
      <c r="BA58" s="3">
        <f>IFERROR(__xludf.DUMMYFUNCTION("""COMPUTED_VALUE"""),73.5)</f>
        <v>73.5</v>
      </c>
      <c r="BB58" s="3">
        <f>IFERROR(__xludf.DUMMYFUNCTION("""COMPUTED_VALUE"""),109.21)</f>
        <v>109.21</v>
      </c>
      <c r="BC58" s="1">
        <f>IFERROR(__xludf.DUMMYFUNCTION("""COMPUTED_VALUE"""),94.3)</f>
        <v>94.3</v>
      </c>
      <c r="BD58" s="1">
        <f>IFERROR(__xludf.DUMMYFUNCTION("""COMPUTED_VALUE"""),40.25)</f>
        <v>40.25</v>
      </c>
      <c r="BE58" s="1">
        <f>IFERROR(__xludf.DUMMYFUNCTION("""COMPUTED_VALUE"""),26.08)</f>
        <v>26.08</v>
      </c>
      <c r="BF58" s="1">
        <f>IFERROR(__xludf.DUMMYFUNCTION("""COMPUTED_VALUE"""),65.31)</f>
        <v>65.31</v>
      </c>
      <c r="BG58" s="1">
        <f>IFERROR(__xludf.DUMMYFUNCTION("""COMPUTED_VALUE"""),30.65)</f>
        <v>30.65</v>
      </c>
      <c r="BH58" s="1">
        <f>IFERROR(__xludf.DUMMYFUNCTION("""COMPUTED_VALUE"""),116.74)</f>
        <v>116.74</v>
      </c>
      <c r="BI58" s="1">
        <f>IFERROR(__xludf.DUMMYFUNCTION("""COMPUTED_VALUE"""),45.27)</f>
        <v>45.27</v>
      </c>
      <c r="BJ58" s="1">
        <f>IFERROR(__xludf.DUMMYFUNCTION("""COMPUTED_VALUE"""),187.07)</f>
        <v>187.07</v>
      </c>
      <c r="BK58" s="1">
        <f>IFERROR(__xludf.DUMMYFUNCTION("""COMPUTED_VALUE"""),621.77)</f>
        <v>621.77</v>
      </c>
      <c r="BL58" s="1">
        <f>IFERROR(__xludf.DUMMYFUNCTION("""COMPUTED_VALUE"""),179.07)</f>
        <v>179.07</v>
      </c>
      <c r="BM58" s="1">
        <f>IFERROR(__xludf.DUMMYFUNCTION("""COMPUTED_VALUE"""),151.51)</f>
        <v>151.51</v>
      </c>
      <c r="BN58" s="3">
        <f>IFERROR(__xludf.DUMMYFUNCTION("""COMPUTED_VALUE"""),6.8)</f>
        <v>6.8</v>
      </c>
      <c r="BO58" s="1">
        <f>IFERROR(__xludf.DUMMYFUNCTION("""COMPUTED_VALUE"""),244.47)</f>
        <v>244.47</v>
      </c>
      <c r="BP58" s="1">
        <f>IFERROR(__xludf.DUMMYFUNCTION("""COMPUTED_VALUE"""),572.77)</f>
        <v>572.77</v>
      </c>
      <c r="BQ58" s="36">
        <f>IFERROR(__xludf.DUMMYFUNCTION("""COMPUTED_VALUE"""),48.57)</f>
        <v>48.57</v>
      </c>
      <c r="BR58" s="1">
        <f>IFERROR(__xludf.DUMMYFUNCTION("""COMPUTED_VALUE"""),11.96)</f>
        <v>11.96</v>
      </c>
      <c r="BS58" s="1">
        <f>IFERROR(__xludf.DUMMYFUNCTION("""COMPUTED_VALUE"""),206.07)</f>
        <v>206.07</v>
      </c>
      <c r="BT58" s="1">
        <f>IFERROR(__xludf.DUMMYFUNCTION("""COMPUTED_VALUE"""),93.05)</f>
        <v>93.05</v>
      </c>
      <c r="BU58" s="3">
        <v>1.0</v>
      </c>
    </row>
    <row r="59">
      <c r="A59" s="25">
        <f>IFERROR(__xludf.DUMMYFUNCTION("""COMPUTED_VALUE"""),45506.66666666667)</f>
        <v>45506.66667</v>
      </c>
      <c r="B59" s="29">
        <f>'Master Scratch Work'!B58</f>
        <v>1247532.87</v>
      </c>
      <c r="C59" s="15">
        <f>IFERROR(__xludf.DUMMYFUNCTION("""COMPUTED_VALUE"""),5346.56)</f>
        <v>5346.56</v>
      </c>
      <c r="D59" s="15">
        <f>IFERROR(__xludf.DUMMYFUNCTION("""COMPUTED_VALUE"""),16776.16)</f>
        <v>16776.16</v>
      </c>
      <c r="E59" s="15">
        <f>IFERROR(__xludf.DUMMYFUNCTION("""COMPUTED_VALUE"""),39737.26)</f>
        <v>39737.26</v>
      </c>
      <c r="F59" s="15">
        <f>IFERROR(__xludf.DUMMYFUNCTION("""COMPUTED_VALUE"""),2109.31)</f>
        <v>2109.31</v>
      </c>
      <c r="G59" s="3">
        <f>IFERROR(__xludf.DUMMYFUNCTION("""COMPUTED_VALUE"""),532.9)</f>
        <v>532.9</v>
      </c>
      <c r="H59" s="3">
        <f>IFERROR(__xludf.DUMMYFUNCTION("""COMPUTED_VALUE"""),448.75)</f>
        <v>448.75</v>
      </c>
      <c r="I59" s="3">
        <f>IFERROR(__xludf.DUMMYFUNCTION("""COMPUTED_VALUE"""),526.17)</f>
        <v>526.17</v>
      </c>
      <c r="J59" s="3">
        <f>IFERROR(__xludf.DUMMYFUNCTION("""COMPUTED_VALUE"""),167.9)</f>
        <v>167.9</v>
      </c>
      <c r="K59" s="3">
        <f>IFERROR(__xludf.DUMMYFUNCTION("""COMPUTED_VALUE"""),147.35)</f>
        <v>147.35</v>
      </c>
      <c r="L59" s="3">
        <f>IFERROR(__xludf.DUMMYFUNCTION("""COMPUTED_VALUE"""),219.86)</f>
        <v>219.86</v>
      </c>
      <c r="M59" s="3">
        <f>IFERROR(__xludf.DUMMYFUNCTION("""COMPUTED_VALUE"""),181.81)</f>
        <v>181.81</v>
      </c>
      <c r="N59" s="3">
        <f>IFERROR(__xludf.DUMMYFUNCTION("""COMPUTED_VALUE"""),63.12)</f>
        <v>63.12</v>
      </c>
      <c r="O59" s="3">
        <f>IFERROR(__xludf.DUMMYFUNCTION("""COMPUTED_VALUE"""),10.73)</f>
        <v>10.73</v>
      </c>
      <c r="P59" s="3">
        <f>IFERROR(__xludf.DUMMYFUNCTION("""COMPUTED_VALUE"""),428.36)</f>
        <v>428.36</v>
      </c>
      <c r="Q59" s="3">
        <f>IFERROR(__xludf.DUMMYFUNCTION("""COMPUTED_VALUE"""),54.01)</f>
        <v>54.01</v>
      </c>
      <c r="R59" s="3">
        <f>IFERROR(__xludf.DUMMYFUNCTION("""COMPUTED_VALUE"""),205.66)</f>
        <v>205.66</v>
      </c>
      <c r="S59" s="3">
        <f>IFERROR(__xludf.DUMMYFUNCTION("""COMPUTED_VALUE"""),74.5)</f>
        <v>74.5</v>
      </c>
      <c r="T59" s="3">
        <f>IFERROR(__xludf.DUMMYFUNCTION("""COMPUTED_VALUE"""),63.99)</f>
        <v>63.99</v>
      </c>
      <c r="U59" s="3">
        <f>IFERROR(__xludf.DUMMYFUNCTION("""COMPUTED_VALUE"""),320.87)</f>
        <v>320.87</v>
      </c>
      <c r="V59" s="3">
        <f>IFERROR(__xludf.DUMMYFUNCTION("""COMPUTED_VALUE"""),38.03)</f>
        <v>38.03</v>
      </c>
      <c r="W59" s="3">
        <f>IFERROR(__xludf.DUMMYFUNCTION("""COMPUTED_VALUE"""),180.42)</f>
        <v>180.42</v>
      </c>
      <c r="X59" s="3">
        <f>IFERROR(__xludf.DUMMYFUNCTION("""COMPUTED_VALUE"""),148.55)</f>
        <v>148.55</v>
      </c>
      <c r="Y59" s="1">
        <f>IFERROR(__xludf.DUMMYFUNCTION("""COMPUTED_VALUE"""),337.33)</f>
        <v>337.33</v>
      </c>
      <c r="Z59" s="1">
        <f>IFERROR(__xludf.DUMMYFUNCTION("""COMPUTED_VALUE"""),39.2)</f>
        <v>39.2</v>
      </c>
      <c r="AA59" s="1">
        <f>IFERROR(__xludf.DUMMYFUNCTION("""COMPUTED_VALUE"""),69.33)</f>
        <v>69.33</v>
      </c>
      <c r="AB59" s="1">
        <f>IFERROR(__xludf.DUMMYFUNCTION("""COMPUTED_VALUE"""),101.83)</f>
        <v>101.83</v>
      </c>
      <c r="AC59" s="1">
        <f>IFERROR(__xludf.DUMMYFUNCTION("""COMPUTED_VALUE"""),150.84)</f>
        <v>150.84</v>
      </c>
      <c r="AD59" s="3">
        <f>IFERROR(__xludf.DUMMYFUNCTION("""COMPUTED_VALUE"""),99.53)</f>
        <v>99.53</v>
      </c>
      <c r="AE59" s="1">
        <f>IFERROR(__xludf.DUMMYFUNCTION("""COMPUTED_VALUE"""),429.0)</f>
        <v>429</v>
      </c>
      <c r="AF59" s="1">
        <f>IFERROR(__xludf.DUMMYFUNCTION("""COMPUTED_VALUE"""),56.2)</f>
        <v>56.2</v>
      </c>
      <c r="AG59" s="1">
        <f>IFERROR(__xludf.DUMMYFUNCTION("""COMPUTED_VALUE"""),116.88)</f>
        <v>116.88</v>
      </c>
      <c r="AH59" s="3">
        <f>IFERROR(__xludf.DUMMYFUNCTION("""COMPUTED_VALUE"""),292.3)</f>
        <v>292.3</v>
      </c>
      <c r="AI59" s="1">
        <f>IFERROR(__xludf.DUMMYFUNCTION("""COMPUTED_VALUE"""),433.59)</f>
        <v>433.59</v>
      </c>
      <c r="AJ59" s="1">
        <f>IFERROR(__xludf.DUMMYFUNCTION("""COMPUTED_VALUE"""),292.39)</f>
        <v>292.39</v>
      </c>
      <c r="AK59" s="3">
        <f>IFERROR(__xludf.DUMMYFUNCTION("""COMPUTED_VALUE"""),41.17)</f>
        <v>41.17</v>
      </c>
      <c r="AL59" s="1">
        <f>IFERROR(__xludf.DUMMYFUNCTION("""COMPUTED_VALUE"""),76.77)</f>
        <v>76.77</v>
      </c>
      <c r="AM59" s="1">
        <f>IFERROR(__xludf.DUMMYFUNCTION("""COMPUTED_VALUE"""),470.64)</f>
        <v>470.64</v>
      </c>
      <c r="AN59" s="1">
        <f>IFERROR(__xludf.DUMMYFUNCTION("""COMPUTED_VALUE"""),355.43)</f>
        <v>355.43</v>
      </c>
      <c r="AO59" s="1">
        <f>IFERROR(__xludf.DUMMYFUNCTION("""COMPUTED_VALUE"""),108.51)</f>
        <v>108.51</v>
      </c>
      <c r="AP59" s="1">
        <f>IFERROR(__xludf.DUMMYFUNCTION("""COMPUTED_VALUE"""),149.85)</f>
        <v>149.85</v>
      </c>
      <c r="AQ59" s="1">
        <f>IFERROR(__xludf.DUMMYFUNCTION("""COMPUTED_VALUE"""),449.73)</f>
        <v>449.73</v>
      </c>
      <c r="AR59" s="3">
        <f>IFERROR(__xludf.DUMMYFUNCTION("""COMPUTED_VALUE"""),199.14)</f>
        <v>199.14</v>
      </c>
      <c r="AS59" s="3">
        <f>IFERROR(__xludf.DUMMYFUNCTION("""COMPUTED_VALUE"""),548.77)</f>
        <v>548.77</v>
      </c>
      <c r="AT59" s="3">
        <f>IFERROR(__xludf.DUMMYFUNCTION("""COMPUTED_VALUE"""),236.0)</f>
        <v>236</v>
      </c>
      <c r="AU59" s="1">
        <f>IFERROR(__xludf.DUMMYFUNCTION("""COMPUTED_VALUE"""),24.74)</f>
        <v>24.74</v>
      </c>
      <c r="AV59" s="1">
        <f>IFERROR(__xludf.DUMMYFUNCTION("""COMPUTED_VALUE"""),81.51)</f>
        <v>81.51</v>
      </c>
      <c r="AW59" s="1">
        <f>IFERROR(__xludf.DUMMYFUNCTION("""COMPUTED_VALUE"""),70.56)</f>
        <v>70.56</v>
      </c>
      <c r="AX59" s="1">
        <f>IFERROR(__xludf.DUMMYFUNCTION("""COMPUTED_VALUE"""),11.17)</f>
        <v>11.17</v>
      </c>
      <c r="AY59" s="1">
        <f>IFERROR(__xludf.DUMMYFUNCTION("""COMPUTED_VALUE"""),408.49)</f>
        <v>408.49</v>
      </c>
      <c r="AZ59" s="3">
        <f>IFERROR(__xludf.DUMMYFUNCTION("""COMPUTED_VALUE"""),79.2)</f>
        <v>79.2</v>
      </c>
      <c r="BA59" s="3">
        <f>IFERROR(__xludf.DUMMYFUNCTION("""COMPUTED_VALUE"""),70.0)</f>
        <v>70</v>
      </c>
      <c r="BB59" s="3">
        <f>IFERROR(__xludf.DUMMYFUNCTION("""COMPUTED_VALUE"""),107.27)</f>
        <v>107.27</v>
      </c>
      <c r="BC59" s="1">
        <f>IFERROR(__xludf.DUMMYFUNCTION("""COMPUTED_VALUE"""),94.29)</f>
        <v>94.29</v>
      </c>
      <c r="BD59" s="1">
        <f>IFERROR(__xludf.DUMMYFUNCTION("""COMPUTED_VALUE"""),38.67)</f>
        <v>38.67</v>
      </c>
      <c r="BE59" s="1">
        <f>IFERROR(__xludf.DUMMYFUNCTION("""COMPUTED_VALUE"""),24.74)</f>
        <v>24.74</v>
      </c>
      <c r="BF59" s="1">
        <f>IFERROR(__xludf.DUMMYFUNCTION("""COMPUTED_VALUE"""),61.98)</f>
        <v>61.98</v>
      </c>
      <c r="BG59" s="1">
        <f>IFERROR(__xludf.DUMMYFUNCTION("""COMPUTED_VALUE"""),30.43)</f>
        <v>30.43</v>
      </c>
      <c r="BH59" s="1">
        <f>IFERROR(__xludf.DUMMYFUNCTION("""COMPUTED_VALUE"""),116.44)</f>
        <v>116.44</v>
      </c>
      <c r="BI59" s="1">
        <f>IFERROR(__xludf.DUMMYFUNCTION("""COMPUTED_VALUE"""),44.0)</f>
        <v>44</v>
      </c>
      <c r="BJ59" s="1">
        <f>IFERROR(__xludf.DUMMYFUNCTION("""COMPUTED_VALUE"""),188.76)</f>
        <v>188.76</v>
      </c>
      <c r="BK59" s="1">
        <f>IFERROR(__xludf.DUMMYFUNCTION("""COMPUTED_VALUE"""),615.69)</f>
        <v>615.69</v>
      </c>
      <c r="BL59" s="1">
        <f>IFERROR(__xludf.DUMMYFUNCTION("""COMPUTED_VALUE"""),173.02)</f>
        <v>173.02</v>
      </c>
      <c r="BM59" s="1">
        <f>IFERROR(__xludf.DUMMYFUNCTION("""COMPUTED_VALUE"""),150.1)</f>
        <v>150.1</v>
      </c>
      <c r="BN59" s="3">
        <f>IFERROR(__xludf.DUMMYFUNCTION("""COMPUTED_VALUE"""),6.5)</f>
        <v>6.5</v>
      </c>
      <c r="BO59" s="1">
        <f>IFERROR(__xludf.DUMMYFUNCTION("""COMPUTED_VALUE"""),239.97)</f>
        <v>239.97</v>
      </c>
      <c r="BP59" s="1">
        <f>IFERROR(__xludf.DUMMYFUNCTION("""COMPUTED_VALUE"""),589.83)</f>
        <v>589.83</v>
      </c>
      <c r="BQ59" s="36">
        <f>IFERROR(__xludf.DUMMYFUNCTION("""COMPUTED_VALUE"""),48.66)</f>
        <v>48.66</v>
      </c>
      <c r="BR59" s="1">
        <f>IFERROR(__xludf.DUMMYFUNCTION("""COMPUTED_VALUE"""),11.87)</f>
        <v>11.87</v>
      </c>
      <c r="BS59" s="1">
        <f>IFERROR(__xludf.DUMMYFUNCTION("""COMPUTED_VALUE"""),207.76)</f>
        <v>207.76</v>
      </c>
      <c r="BT59" s="1">
        <f>IFERROR(__xludf.DUMMYFUNCTION("""COMPUTED_VALUE"""),89.57)</f>
        <v>89.57</v>
      </c>
      <c r="BU59" s="3">
        <v>1.0</v>
      </c>
    </row>
    <row r="60">
      <c r="A60" s="25">
        <f>IFERROR(__xludf.DUMMYFUNCTION("""COMPUTED_VALUE"""),45509.66666666667)</f>
        <v>45509.66667</v>
      </c>
      <c r="B60" s="29">
        <f>'Master Scratch Work'!B59</f>
        <v>1217651.92</v>
      </c>
      <c r="C60" s="15">
        <f>IFERROR(__xludf.DUMMYFUNCTION("""COMPUTED_VALUE"""),5186.33)</f>
        <v>5186.33</v>
      </c>
      <c r="D60" s="15">
        <f>IFERROR(__xludf.DUMMYFUNCTION("""COMPUTED_VALUE"""),16200.08)</f>
        <v>16200.08</v>
      </c>
      <c r="E60" s="15">
        <f>IFERROR(__xludf.DUMMYFUNCTION("""COMPUTED_VALUE"""),38703.27)</f>
        <v>38703.27</v>
      </c>
      <c r="F60" s="15">
        <f>IFERROR(__xludf.DUMMYFUNCTION("""COMPUTED_VALUE"""),2039.16)</f>
        <v>2039.16</v>
      </c>
      <c r="G60" s="3">
        <f>IFERROR(__xludf.DUMMYFUNCTION("""COMPUTED_VALUE"""),517.38)</f>
        <v>517.38</v>
      </c>
      <c r="H60" s="3">
        <f>IFERROR(__xludf.DUMMYFUNCTION("""COMPUTED_VALUE"""),435.37)</f>
        <v>435.37</v>
      </c>
      <c r="I60" s="3">
        <f>IFERROR(__xludf.DUMMYFUNCTION("""COMPUTED_VALUE"""),509.32)</f>
        <v>509.32</v>
      </c>
      <c r="J60" s="3">
        <f>IFERROR(__xludf.DUMMYFUNCTION("""COMPUTED_VALUE"""),161.02)</f>
        <v>161.02</v>
      </c>
      <c r="K60" s="3">
        <f>IFERROR(__xludf.DUMMYFUNCTION("""COMPUTED_VALUE"""),142.72)</f>
        <v>142.72</v>
      </c>
      <c r="L60" s="3">
        <f>IFERROR(__xludf.DUMMYFUNCTION("""COMPUTED_VALUE"""),209.27)</f>
        <v>209.27</v>
      </c>
      <c r="M60" s="3">
        <f>IFERROR(__xludf.DUMMYFUNCTION("""COMPUTED_VALUE"""),181.89)</f>
        <v>181.89</v>
      </c>
      <c r="N60" s="3">
        <f>IFERROR(__xludf.DUMMYFUNCTION("""COMPUTED_VALUE"""),61.42)</f>
        <v>61.42</v>
      </c>
      <c r="O60" s="3">
        <f>IFERROR(__xludf.DUMMYFUNCTION("""COMPUTED_VALUE"""),10.59)</f>
        <v>10.59</v>
      </c>
      <c r="P60" s="3">
        <f>IFERROR(__xludf.DUMMYFUNCTION("""COMPUTED_VALUE"""),413.72)</f>
        <v>413.72</v>
      </c>
      <c r="Q60" s="3">
        <f>IFERROR(__xludf.DUMMYFUNCTION("""COMPUTED_VALUE"""),53.04)</f>
        <v>53.04</v>
      </c>
      <c r="R60" s="3">
        <f>IFERROR(__xludf.DUMMYFUNCTION("""COMPUTED_VALUE"""),198.39)</f>
        <v>198.39</v>
      </c>
      <c r="S60" s="3">
        <f>IFERROR(__xludf.DUMMYFUNCTION("""COMPUTED_VALUE"""),72.96)</f>
        <v>72.96</v>
      </c>
      <c r="T60" s="3">
        <f>IFERROR(__xludf.DUMMYFUNCTION("""COMPUTED_VALUE"""),63.55)</f>
        <v>63.55</v>
      </c>
      <c r="U60" s="3">
        <f>IFERROR(__xludf.DUMMYFUNCTION("""COMPUTED_VALUE"""),316.8)</f>
        <v>316.8</v>
      </c>
      <c r="V60" s="3">
        <f>IFERROR(__xludf.DUMMYFUNCTION("""COMPUTED_VALUE"""),36.9)</f>
        <v>36.9</v>
      </c>
      <c r="W60" s="3">
        <f>IFERROR(__xludf.DUMMYFUNCTION("""COMPUTED_VALUE"""),173.91)</f>
        <v>173.91</v>
      </c>
      <c r="X60" s="3">
        <f>IFERROR(__xludf.DUMMYFUNCTION("""COMPUTED_VALUE"""),144.66)</f>
        <v>144.66</v>
      </c>
      <c r="Y60" s="1">
        <f>IFERROR(__xludf.DUMMYFUNCTION("""COMPUTED_VALUE"""),325.71)</f>
        <v>325.71</v>
      </c>
      <c r="Z60" s="1">
        <f>IFERROR(__xludf.DUMMYFUNCTION("""COMPUTED_VALUE"""),38.3)</f>
        <v>38.3</v>
      </c>
      <c r="AA60" s="1">
        <f>IFERROR(__xludf.DUMMYFUNCTION("""COMPUTED_VALUE"""),68.1)</f>
        <v>68.1</v>
      </c>
      <c r="AB60" s="1">
        <f>IFERROR(__xludf.DUMMYFUNCTION("""COMPUTED_VALUE"""),100.7)</f>
        <v>100.7</v>
      </c>
      <c r="AC60" s="1">
        <f>IFERROR(__xludf.DUMMYFUNCTION("""COMPUTED_VALUE"""),144.47)</f>
        <v>144.47</v>
      </c>
      <c r="AD60" s="3">
        <f>IFERROR(__xludf.DUMMYFUNCTION("""COMPUTED_VALUE"""),96.5)</f>
        <v>96.5</v>
      </c>
      <c r="AE60" s="1">
        <f>IFERROR(__xludf.DUMMYFUNCTION("""COMPUTED_VALUE"""),429.22)</f>
        <v>429.22</v>
      </c>
      <c r="AF60" s="1">
        <f>IFERROR(__xludf.DUMMYFUNCTION("""COMPUTED_VALUE"""),54.66)</f>
        <v>54.66</v>
      </c>
      <c r="AG60" s="1">
        <f>IFERROR(__xludf.DUMMYFUNCTION("""COMPUTED_VALUE"""),114.77)</f>
        <v>114.77</v>
      </c>
      <c r="AH60" s="3">
        <f>IFERROR(__xludf.DUMMYFUNCTION("""COMPUTED_VALUE"""),283.09)</f>
        <v>283.09</v>
      </c>
      <c r="AI60" s="1">
        <f>IFERROR(__xludf.DUMMYFUNCTION("""COMPUTED_VALUE"""),422.78)</f>
        <v>422.78</v>
      </c>
      <c r="AJ60" s="1">
        <f>IFERROR(__xludf.DUMMYFUNCTION("""COMPUTED_VALUE"""),285.9)</f>
        <v>285.9</v>
      </c>
      <c r="AK60" s="3">
        <f>IFERROR(__xludf.DUMMYFUNCTION("""COMPUTED_VALUE"""),39.95)</f>
        <v>39.95</v>
      </c>
      <c r="AL60" s="1">
        <f>IFERROR(__xludf.DUMMYFUNCTION("""COMPUTED_VALUE"""),74.83)</f>
        <v>74.83</v>
      </c>
      <c r="AM60" s="1">
        <f>IFERROR(__xludf.DUMMYFUNCTION("""COMPUTED_VALUE"""),459.02)</f>
        <v>459.02</v>
      </c>
      <c r="AN60" s="1">
        <f>IFERROR(__xludf.DUMMYFUNCTION("""COMPUTED_VALUE"""),350.01)</f>
        <v>350.01</v>
      </c>
      <c r="AO60" s="1">
        <f>IFERROR(__xludf.DUMMYFUNCTION("""COMPUTED_VALUE"""),104.72)</f>
        <v>104.72</v>
      </c>
      <c r="AP60" s="1">
        <f>IFERROR(__xludf.DUMMYFUNCTION("""COMPUTED_VALUE"""),148.78)</f>
        <v>148.78</v>
      </c>
      <c r="AQ60" s="1">
        <f>IFERROR(__xludf.DUMMYFUNCTION("""COMPUTED_VALUE"""),438.0)</f>
        <v>438</v>
      </c>
      <c r="AR60" s="3">
        <f>IFERROR(__xludf.DUMMYFUNCTION("""COMPUTED_VALUE"""),194.9)</f>
        <v>194.9</v>
      </c>
      <c r="AS60" s="3">
        <f>IFERROR(__xludf.DUMMYFUNCTION("""COMPUTED_VALUE"""),545.38)</f>
        <v>545.38</v>
      </c>
      <c r="AT60" s="3">
        <f>IFERROR(__xludf.DUMMYFUNCTION("""COMPUTED_VALUE"""),233.4)</f>
        <v>233.4</v>
      </c>
      <c r="AU60" s="1">
        <f>IFERROR(__xludf.DUMMYFUNCTION("""COMPUTED_VALUE"""),24.19)</f>
        <v>24.19</v>
      </c>
      <c r="AV60" s="1">
        <f>IFERROR(__xludf.DUMMYFUNCTION("""COMPUTED_VALUE"""),80.33)</f>
        <v>80.33</v>
      </c>
      <c r="AW60" s="1">
        <f>IFERROR(__xludf.DUMMYFUNCTION("""COMPUTED_VALUE"""),67.96)</f>
        <v>67.96</v>
      </c>
      <c r="AX60" s="1">
        <f>IFERROR(__xludf.DUMMYFUNCTION("""COMPUTED_VALUE"""),10.52)</f>
        <v>10.52</v>
      </c>
      <c r="AY60" s="1">
        <f>IFERROR(__xludf.DUMMYFUNCTION("""COMPUTED_VALUE"""),395.15)</f>
        <v>395.15</v>
      </c>
      <c r="AZ60" s="3">
        <f>IFERROR(__xludf.DUMMYFUNCTION("""COMPUTED_VALUE"""),76.68)</f>
        <v>76.68</v>
      </c>
      <c r="BA60" s="3">
        <f>IFERROR(__xludf.DUMMYFUNCTION("""COMPUTED_VALUE"""),68.89)</f>
        <v>68.89</v>
      </c>
      <c r="BB60" s="3">
        <f>IFERROR(__xludf.DUMMYFUNCTION("""COMPUTED_VALUE"""),100.45)</f>
        <v>100.45</v>
      </c>
      <c r="BC60" s="1">
        <f>IFERROR(__xludf.DUMMYFUNCTION("""COMPUTED_VALUE"""),93.42)</f>
        <v>93.42</v>
      </c>
      <c r="BD60" s="1">
        <f>IFERROR(__xludf.DUMMYFUNCTION("""COMPUTED_VALUE"""),37.24)</f>
        <v>37.24</v>
      </c>
      <c r="BE60" s="1">
        <f>IFERROR(__xludf.DUMMYFUNCTION("""COMPUTED_VALUE"""),24.09)</f>
        <v>24.09</v>
      </c>
      <c r="BF60" s="1">
        <f>IFERROR(__xludf.DUMMYFUNCTION("""COMPUTED_VALUE"""),60.46)</f>
        <v>60.46</v>
      </c>
      <c r="BG60" s="1">
        <f>IFERROR(__xludf.DUMMYFUNCTION("""COMPUTED_VALUE"""),29.74)</f>
        <v>29.74</v>
      </c>
      <c r="BH60" s="1">
        <f>IFERROR(__xludf.DUMMYFUNCTION("""COMPUTED_VALUE"""),115.17)</f>
        <v>115.17</v>
      </c>
      <c r="BI60" s="1">
        <f>IFERROR(__xludf.DUMMYFUNCTION("""COMPUTED_VALUE"""),42.48)</f>
        <v>42.48</v>
      </c>
      <c r="BJ60" s="1">
        <f>IFERROR(__xludf.DUMMYFUNCTION("""COMPUTED_VALUE"""),186.87)</f>
        <v>186.87</v>
      </c>
      <c r="BK60" s="1">
        <f>IFERROR(__xludf.DUMMYFUNCTION("""COMPUTED_VALUE"""),598.03)</f>
        <v>598.03</v>
      </c>
      <c r="BL60" s="1">
        <f>IFERROR(__xludf.DUMMYFUNCTION("""COMPUTED_VALUE"""),168.35)</f>
        <v>168.35</v>
      </c>
      <c r="BM60" s="1">
        <f>IFERROR(__xludf.DUMMYFUNCTION("""COMPUTED_VALUE"""),148.45)</f>
        <v>148.45</v>
      </c>
      <c r="BN60" s="3">
        <f>IFERROR(__xludf.DUMMYFUNCTION("""COMPUTED_VALUE"""),6.37)</f>
        <v>6.37</v>
      </c>
      <c r="BO60" s="1">
        <f>IFERROR(__xludf.DUMMYFUNCTION("""COMPUTED_VALUE"""),234.87)</f>
        <v>234.87</v>
      </c>
      <c r="BP60" s="1">
        <f>IFERROR(__xludf.DUMMYFUNCTION("""COMPUTED_VALUE"""),569.96)</f>
        <v>569.96</v>
      </c>
      <c r="BQ60" s="36">
        <f>IFERROR(__xludf.DUMMYFUNCTION("""COMPUTED_VALUE"""),48.67)</f>
        <v>48.67</v>
      </c>
      <c r="BR60" s="1">
        <f>IFERROR(__xludf.DUMMYFUNCTION("""COMPUTED_VALUE"""),11.56)</f>
        <v>11.56</v>
      </c>
      <c r="BS60" s="1">
        <f>IFERROR(__xludf.DUMMYFUNCTION("""COMPUTED_VALUE"""),201.54)</f>
        <v>201.54</v>
      </c>
      <c r="BT60" s="1">
        <f>IFERROR(__xludf.DUMMYFUNCTION("""COMPUTED_VALUE"""),87.78)</f>
        <v>87.78</v>
      </c>
      <c r="BU60" s="3">
        <v>1.0</v>
      </c>
    </row>
    <row r="61">
      <c r="A61" s="25">
        <f>IFERROR(__xludf.DUMMYFUNCTION("""COMPUTED_VALUE"""),45510.66666666667)</f>
        <v>45510.66667</v>
      </c>
      <c r="B61" s="29">
        <f>'Master Scratch Work'!B60</f>
        <v>1229879.39</v>
      </c>
      <c r="C61" s="15">
        <f>IFERROR(__xludf.DUMMYFUNCTION("""COMPUTED_VALUE"""),5240.03)</f>
        <v>5240.03</v>
      </c>
      <c r="D61" s="15">
        <f>IFERROR(__xludf.DUMMYFUNCTION("""COMPUTED_VALUE"""),16366.86)</f>
        <v>16366.86</v>
      </c>
      <c r="E61" s="15">
        <f>IFERROR(__xludf.DUMMYFUNCTION("""COMPUTED_VALUE"""),38997.66)</f>
        <v>38997.66</v>
      </c>
      <c r="F61" s="15">
        <f>IFERROR(__xludf.DUMMYFUNCTION("""COMPUTED_VALUE"""),2064.3)</f>
        <v>2064.3</v>
      </c>
      <c r="G61" s="3">
        <f>IFERROR(__xludf.DUMMYFUNCTION("""COMPUTED_VALUE"""),522.15)</f>
        <v>522.15</v>
      </c>
      <c r="H61" s="3">
        <f>IFERROR(__xludf.DUMMYFUNCTION("""COMPUTED_VALUE"""),439.53)</f>
        <v>439.53</v>
      </c>
      <c r="I61" s="3">
        <f>IFERROR(__xludf.DUMMYFUNCTION("""COMPUTED_VALUE"""),514.2)</f>
        <v>514.2</v>
      </c>
      <c r="J61" s="3">
        <f>IFERROR(__xludf.DUMMYFUNCTION("""COMPUTED_VALUE"""),161.93)</f>
        <v>161.93</v>
      </c>
      <c r="K61" s="3">
        <f>IFERROR(__xludf.DUMMYFUNCTION("""COMPUTED_VALUE"""),143.6)</f>
        <v>143.6</v>
      </c>
      <c r="L61" s="3">
        <f>IFERROR(__xludf.DUMMYFUNCTION("""COMPUTED_VALUE"""),207.23)</f>
        <v>207.23</v>
      </c>
      <c r="M61" s="3">
        <f>IFERROR(__xludf.DUMMYFUNCTION("""COMPUTED_VALUE"""),183.31)</f>
        <v>183.31</v>
      </c>
      <c r="N61" s="3">
        <f>IFERROR(__xludf.DUMMYFUNCTION("""COMPUTED_VALUE"""),62.19)</f>
        <v>62.19</v>
      </c>
      <c r="O61" s="3">
        <f>IFERROR(__xludf.DUMMYFUNCTION("""COMPUTED_VALUE"""),10.72)</f>
        <v>10.72</v>
      </c>
      <c r="P61" s="3">
        <f>IFERROR(__xludf.DUMMYFUNCTION("""COMPUTED_VALUE"""),422.14)</f>
        <v>422.14</v>
      </c>
      <c r="Q61" s="3">
        <f>IFERROR(__xludf.DUMMYFUNCTION("""COMPUTED_VALUE"""),53.52)</f>
        <v>53.52</v>
      </c>
      <c r="R61" s="3">
        <f>IFERROR(__xludf.DUMMYFUNCTION("""COMPUTED_VALUE"""),200.13)</f>
        <v>200.13</v>
      </c>
      <c r="S61" s="3">
        <f>IFERROR(__xludf.DUMMYFUNCTION("""COMPUTED_VALUE"""),73.76)</f>
        <v>73.76</v>
      </c>
      <c r="T61" s="3">
        <f>IFERROR(__xludf.DUMMYFUNCTION("""COMPUTED_VALUE"""),64.14)</f>
        <v>64.14</v>
      </c>
      <c r="U61" s="3">
        <f>IFERROR(__xludf.DUMMYFUNCTION("""COMPUTED_VALUE"""),326.44)</f>
        <v>326.44</v>
      </c>
      <c r="V61" s="3">
        <f>IFERROR(__xludf.DUMMYFUNCTION("""COMPUTED_VALUE"""),38.18)</f>
        <v>38.18</v>
      </c>
      <c r="W61" s="3">
        <f>IFERROR(__xludf.DUMMYFUNCTION("""COMPUTED_VALUE"""),173.76)</f>
        <v>173.76</v>
      </c>
      <c r="X61" s="3">
        <f>IFERROR(__xludf.DUMMYFUNCTION("""COMPUTED_VALUE"""),143.23)</f>
        <v>143.23</v>
      </c>
      <c r="Y61" s="1">
        <f>IFERROR(__xludf.DUMMYFUNCTION("""COMPUTED_VALUE"""),329.29)</f>
        <v>329.29</v>
      </c>
      <c r="Z61" s="1">
        <f>IFERROR(__xludf.DUMMYFUNCTION("""COMPUTED_VALUE"""),38.85)</f>
        <v>38.85</v>
      </c>
      <c r="AA61" s="1">
        <f>IFERROR(__xludf.DUMMYFUNCTION("""COMPUTED_VALUE"""),68.05)</f>
        <v>68.05</v>
      </c>
      <c r="AB61" s="1">
        <f>IFERROR(__xludf.DUMMYFUNCTION("""COMPUTED_VALUE"""),100.89)</f>
        <v>100.89</v>
      </c>
      <c r="AC61" s="1">
        <f>IFERROR(__xludf.DUMMYFUNCTION("""COMPUTED_VALUE"""),148.63)</f>
        <v>148.63</v>
      </c>
      <c r="AD61" s="3">
        <f>IFERROR(__xludf.DUMMYFUNCTION("""COMPUTED_VALUE"""),96.58)</f>
        <v>96.58</v>
      </c>
      <c r="AE61" s="1">
        <f>IFERROR(__xludf.DUMMYFUNCTION("""COMPUTED_VALUE"""),428.98)</f>
        <v>428.98</v>
      </c>
      <c r="AF61" s="1">
        <f>IFERROR(__xludf.DUMMYFUNCTION("""COMPUTED_VALUE"""),55.92)</f>
        <v>55.92</v>
      </c>
      <c r="AG61" s="1">
        <f>IFERROR(__xludf.DUMMYFUNCTION("""COMPUTED_VALUE"""),114.16)</f>
        <v>114.16</v>
      </c>
      <c r="AH61" s="3">
        <f>IFERROR(__xludf.DUMMYFUNCTION("""COMPUTED_VALUE"""),285.73)</f>
        <v>285.73</v>
      </c>
      <c r="AI61" s="1">
        <f>IFERROR(__xludf.DUMMYFUNCTION("""COMPUTED_VALUE"""),416.82)</f>
        <v>416.82</v>
      </c>
      <c r="AJ61" s="1">
        <f>IFERROR(__xludf.DUMMYFUNCTION("""COMPUTED_VALUE"""),285.38)</f>
        <v>285.38</v>
      </c>
      <c r="AK61" s="3">
        <f>IFERROR(__xludf.DUMMYFUNCTION("""COMPUTED_VALUE"""),40.61)</f>
        <v>40.61</v>
      </c>
      <c r="AL61" s="1">
        <f>IFERROR(__xludf.DUMMYFUNCTION("""COMPUTED_VALUE"""),74.19)</f>
        <v>74.19</v>
      </c>
      <c r="AM61" s="1">
        <f>IFERROR(__xludf.DUMMYFUNCTION("""COMPUTED_VALUE"""),470.22)</f>
        <v>470.22</v>
      </c>
      <c r="AN61" s="1">
        <f>IFERROR(__xludf.DUMMYFUNCTION("""COMPUTED_VALUE"""),353.91)</f>
        <v>353.91</v>
      </c>
      <c r="AO61" s="1">
        <f>IFERROR(__xludf.DUMMYFUNCTION("""COMPUTED_VALUE"""),102.68)</f>
        <v>102.68</v>
      </c>
      <c r="AP61" s="1">
        <f>IFERROR(__xludf.DUMMYFUNCTION("""COMPUTED_VALUE"""),150.51)</f>
        <v>150.51</v>
      </c>
      <c r="AQ61" s="1">
        <f>IFERROR(__xludf.DUMMYFUNCTION("""COMPUTED_VALUE"""),447.66)</f>
        <v>447.66</v>
      </c>
      <c r="AR61" s="3">
        <f>IFERROR(__xludf.DUMMYFUNCTION("""COMPUTED_VALUE"""),200.34)</f>
        <v>200.34</v>
      </c>
      <c r="AS61" s="3">
        <f>IFERROR(__xludf.DUMMYFUNCTION("""COMPUTED_VALUE"""),541.56)</f>
        <v>541.56</v>
      </c>
      <c r="AT61" s="3">
        <f>IFERROR(__xludf.DUMMYFUNCTION("""COMPUTED_VALUE"""),236.9)</f>
        <v>236.9</v>
      </c>
      <c r="AU61" s="1">
        <f>IFERROR(__xludf.DUMMYFUNCTION("""COMPUTED_VALUE"""),24.65)</f>
        <v>24.65</v>
      </c>
      <c r="AV61" s="1">
        <f>IFERROR(__xludf.DUMMYFUNCTION("""COMPUTED_VALUE"""),80.78)</f>
        <v>80.78</v>
      </c>
      <c r="AW61" s="1">
        <f>IFERROR(__xludf.DUMMYFUNCTION("""COMPUTED_VALUE"""),68.6)</f>
        <v>68.6</v>
      </c>
      <c r="AX61" s="1">
        <f>IFERROR(__xludf.DUMMYFUNCTION("""COMPUTED_VALUE"""),10.98)</f>
        <v>10.98</v>
      </c>
      <c r="AY61" s="1">
        <f>IFERROR(__xludf.DUMMYFUNCTION("""COMPUTED_VALUE"""),399.61)</f>
        <v>399.61</v>
      </c>
      <c r="AZ61" s="3">
        <f>IFERROR(__xludf.DUMMYFUNCTION("""COMPUTED_VALUE"""),76.97)</f>
        <v>76.97</v>
      </c>
      <c r="BA61" s="3">
        <f>IFERROR(__xludf.DUMMYFUNCTION("""COMPUTED_VALUE"""),71.19)</f>
        <v>71.19</v>
      </c>
      <c r="BB61" s="3">
        <f>IFERROR(__xludf.DUMMYFUNCTION("""COMPUTED_VALUE"""),104.25)</f>
        <v>104.25</v>
      </c>
      <c r="BC61" s="1">
        <f>IFERROR(__xludf.DUMMYFUNCTION("""COMPUTED_VALUE"""),93.39)</f>
        <v>93.39</v>
      </c>
      <c r="BD61" s="1">
        <f>IFERROR(__xludf.DUMMYFUNCTION("""COMPUTED_VALUE"""),37.83)</f>
        <v>37.83</v>
      </c>
      <c r="BE61" s="1">
        <f>IFERROR(__xludf.DUMMYFUNCTION("""COMPUTED_VALUE"""),26.59)</f>
        <v>26.59</v>
      </c>
      <c r="BF61" s="1">
        <f>IFERROR(__xludf.DUMMYFUNCTION("""COMPUTED_VALUE"""),62.75)</f>
        <v>62.75</v>
      </c>
      <c r="BG61" s="1">
        <f>IFERROR(__xludf.DUMMYFUNCTION("""COMPUTED_VALUE"""),29.32)</f>
        <v>29.32</v>
      </c>
      <c r="BH61" s="1">
        <f>IFERROR(__xludf.DUMMYFUNCTION("""COMPUTED_VALUE"""),114.4)</f>
        <v>114.4</v>
      </c>
      <c r="BI61" s="1">
        <f>IFERROR(__xludf.DUMMYFUNCTION("""COMPUTED_VALUE"""),43.29)</f>
        <v>43.29</v>
      </c>
      <c r="BJ61" s="1">
        <f>IFERROR(__xludf.DUMMYFUNCTION("""COMPUTED_VALUE"""),189.86)</f>
        <v>189.86</v>
      </c>
      <c r="BK61" s="1">
        <f>IFERROR(__xludf.DUMMYFUNCTION("""COMPUTED_VALUE"""),602.02)</f>
        <v>602.02</v>
      </c>
      <c r="BL61" s="1">
        <f>IFERROR(__xludf.DUMMYFUNCTION("""COMPUTED_VALUE"""),169.6)</f>
        <v>169.6</v>
      </c>
      <c r="BM61" s="1">
        <f>IFERROR(__xludf.DUMMYFUNCTION("""COMPUTED_VALUE"""),156.1)</f>
        <v>156.1</v>
      </c>
      <c r="BN61" s="3">
        <f>IFERROR(__xludf.DUMMYFUNCTION("""COMPUTED_VALUE"""),6.47)</f>
        <v>6.47</v>
      </c>
      <c r="BO61" s="1">
        <f>IFERROR(__xludf.DUMMYFUNCTION("""COMPUTED_VALUE"""),238.55)</f>
        <v>238.55</v>
      </c>
      <c r="BP61" s="1">
        <f>IFERROR(__xludf.DUMMYFUNCTION("""COMPUTED_VALUE"""),568.35)</f>
        <v>568.35</v>
      </c>
      <c r="BQ61" s="36">
        <f>IFERROR(__xludf.DUMMYFUNCTION("""COMPUTED_VALUE"""),48.59)</f>
        <v>48.59</v>
      </c>
      <c r="BR61" s="1">
        <f>IFERROR(__xludf.DUMMYFUNCTION("""COMPUTED_VALUE"""),11.35)</f>
        <v>11.35</v>
      </c>
      <c r="BS61" s="1">
        <f>IFERROR(__xludf.DUMMYFUNCTION("""COMPUTED_VALUE"""),203.14)</f>
        <v>203.14</v>
      </c>
      <c r="BT61" s="1">
        <f>IFERROR(__xludf.DUMMYFUNCTION("""COMPUTED_VALUE"""),89.97)</f>
        <v>89.97</v>
      </c>
      <c r="BU61" s="3">
        <v>1.0</v>
      </c>
    </row>
    <row r="62">
      <c r="A62" s="25">
        <f>IFERROR(__xludf.DUMMYFUNCTION("""COMPUTED_VALUE"""),45511.66666666667)</f>
        <v>45511.66667</v>
      </c>
      <c r="B62" s="29">
        <f>'Master Scratch Work'!B61</f>
        <v>1222165.95</v>
      </c>
      <c r="C62" s="15">
        <f>IFERROR(__xludf.DUMMYFUNCTION("""COMPUTED_VALUE"""),5199.5)</f>
        <v>5199.5</v>
      </c>
      <c r="D62" s="15">
        <f>IFERROR(__xludf.DUMMYFUNCTION("""COMPUTED_VALUE"""),16195.81)</f>
        <v>16195.81</v>
      </c>
      <c r="E62" s="15">
        <f>IFERROR(__xludf.DUMMYFUNCTION("""COMPUTED_VALUE"""),38763.45)</f>
        <v>38763.45</v>
      </c>
      <c r="F62" s="15">
        <f>IFERROR(__xludf.DUMMYFUNCTION("""COMPUTED_VALUE"""),2035.11)</f>
        <v>2035.11</v>
      </c>
      <c r="G62" s="3">
        <f>IFERROR(__xludf.DUMMYFUNCTION("""COMPUTED_VALUE"""),518.66)</f>
        <v>518.66</v>
      </c>
      <c r="H62" s="3">
        <f>IFERROR(__xludf.DUMMYFUNCTION("""COMPUTED_VALUE"""),434.77)</f>
        <v>434.77</v>
      </c>
      <c r="I62" s="3">
        <f>IFERROR(__xludf.DUMMYFUNCTION("""COMPUTED_VALUE"""),513.62)</f>
        <v>513.62</v>
      </c>
      <c r="J62" s="3">
        <f>IFERROR(__xludf.DUMMYFUNCTION("""COMPUTED_VALUE"""),162.77)</f>
        <v>162.77</v>
      </c>
      <c r="K62" s="3">
        <f>IFERROR(__xludf.DUMMYFUNCTION("""COMPUTED_VALUE"""),143.79)</f>
        <v>143.79</v>
      </c>
      <c r="L62" s="3">
        <f>IFERROR(__xludf.DUMMYFUNCTION("""COMPUTED_VALUE"""),209.82)</f>
        <v>209.82</v>
      </c>
      <c r="M62" s="3">
        <f>IFERROR(__xludf.DUMMYFUNCTION("""COMPUTED_VALUE"""),178.51)</f>
        <v>178.51</v>
      </c>
      <c r="N62" s="3">
        <f>IFERROR(__xludf.DUMMYFUNCTION("""COMPUTED_VALUE"""),61.7)</f>
        <v>61.7</v>
      </c>
      <c r="O62" s="3">
        <f>IFERROR(__xludf.DUMMYFUNCTION("""COMPUTED_VALUE"""),10.84)</f>
        <v>10.84</v>
      </c>
      <c r="P62" s="3">
        <f>IFERROR(__xludf.DUMMYFUNCTION("""COMPUTED_VALUE"""),427.02)</f>
        <v>427.02</v>
      </c>
      <c r="Q62" s="3">
        <f>IFERROR(__xludf.DUMMYFUNCTION("""COMPUTED_VALUE"""),52.76)</f>
        <v>52.76</v>
      </c>
      <c r="R62" s="3">
        <f>IFERROR(__xludf.DUMMYFUNCTION("""COMPUTED_VALUE"""),199.78)</f>
        <v>199.78</v>
      </c>
      <c r="S62" s="3">
        <f>IFERROR(__xludf.DUMMYFUNCTION("""COMPUTED_VALUE"""),73.78)</f>
        <v>73.78</v>
      </c>
      <c r="T62" s="3">
        <f>IFERROR(__xludf.DUMMYFUNCTION("""COMPUTED_VALUE"""),63.11)</f>
        <v>63.11</v>
      </c>
      <c r="U62" s="3">
        <f>IFERROR(__xludf.DUMMYFUNCTION("""COMPUTED_VALUE"""),325.8)</f>
        <v>325.8</v>
      </c>
      <c r="V62" s="3">
        <f>IFERROR(__xludf.DUMMYFUNCTION("""COMPUTED_VALUE"""),38.11)</f>
        <v>38.11</v>
      </c>
      <c r="W62" s="3">
        <f>IFERROR(__xludf.DUMMYFUNCTION("""COMPUTED_VALUE"""),177.98)</f>
        <v>177.98</v>
      </c>
      <c r="X62" s="3">
        <f>IFERROR(__xludf.DUMMYFUNCTION("""COMPUTED_VALUE"""),142.41)</f>
        <v>142.41</v>
      </c>
      <c r="Y62" s="1">
        <f>IFERROR(__xludf.DUMMYFUNCTION("""COMPUTED_VALUE"""),329.01)</f>
        <v>329.01</v>
      </c>
      <c r="Z62" s="1">
        <f>IFERROR(__xludf.DUMMYFUNCTION("""COMPUTED_VALUE"""),38.39)</f>
        <v>38.39</v>
      </c>
      <c r="AA62" s="1">
        <f>IFERROR(__xludf.DUMMYFUNCTION("""COMPUTED_VALUE"""),68.46)</f>
        <v>68.46</v>
      </c>
      <c r="AB62" s="1">
        <f>IFERROR(__xludf.DUMMYFUNCTION("""COMPUTED_VALUE"""),101.19)</f>
        <v>101.19</v>
      </c>
      <c r="AC62" s="1">
        <f>IFERROR(__xludf.DUMMYFUNCTION("""COMPUTED_VALUE"""),147.14)</f>
        <v>147.14</v>
      </c>
      <c r="AD62" s="3">
        <f>IFERROR(__xludf.DUMMYFUNCTION("""COMPUTED_VALUE"""),95.03)</f>
        <v>95.03</v>
      </c>
      <c r="AE62" s="1">
        <f>IFERROR(__xludf.DUMMYFUNCTION("""COMPUTED_VALUE"""),427.57)</f>
        <v>427.57</v>
      </c>
      <c r="AF62" s="1">
        <f>IFERROR(__xludf.DUMMYFUNCTION("""COMPUTED_VALUE"""),55.11)</f>
        <v>55.11</v>
      </c>
      <c r="AG62" s="1">
        <f>IFERROR(__xludf.DUMMYFUNCTION("""COMPUTED_VALUE"""),115.68)</f>
        <v>115.68</v>
      </c>
      <c r="AH62" s="3">
        <f>IFERROR(__xludf.DUMMYFUNCTION("""COMPUTED_VALUE"""),278.13)</f>
        <v>278.13</v>
      </c>
      <c r="AI62" s="1">
        <f>IFERROR(__xludf.DUMMYFUNCTION("""COMPUTED_VALUE"""),417.95)</f>
        <v>417.95</v>
      </c>
      <c r="AJ62" s="1">
        <f>IFERROR(__xludf.DUMMYFUNCTION("""COMPUTED_VALUE"""),287.17)</f>
        <v>287.17</v>
      </c>
      <c r="AK62" s="3">
        <f>IFERROR(__xludf.DUMMYFUNCTION("""COMPUTED_VALUE"""),40.65)</f>
        <v>40.65</v>
      </c>
      <c r="AL62" s="1">
        <f>IFERROR(__xludf.DUMMYFUNCTION("""COMPUTED_VALUE"""),74.0)</f>
        <v>74</v>
      </c>
      <c r="AM62" s="1">
        <f>IFERROR(__xludf.DUMMYFUNCTION("""COMPUTED_VALUE"""),473.01)</f>
        <v>473.01</v>
      </c>
      <c r="AN62" s="1">
        <f>IFERROR(__xludf.DUMMYFUNCTION("""COMPUTED_VALUE"""),342.4)</f>
        <v>342.4</v>
      </c>
      <c r="AO62" s="1">
        <f>IFERROR(__xludf.DUMMYFUNCTION("""COMPUTED_VALUE"""),102.19)</f>
        <v>102.19</v>
      </c>
      <c r="AP62" s="1">
        <f>IFERROR(__xludf.DUMMYFUNCTION("""COMPUTED_VALUE"""),151.12)</f>
        <v>151.12</v>
      </c>
      <c r="AQ62" s="1">
        <f>IFERROR(__xludf.DUMMYFUNCTION("""COMPUTED_VALUE"""),449.26)</f>
        <v>449.26</v>
      </c>
      <c r="AR62" s="3">
        <f>IFERROR(__xludf.DUMMYFUNCTION("""COMPUTED_VALUE"""),200.4)</f>
        <v>200.4</v>
      </c>
      <c r="AS62" s="3">
        <f>IFERROR(__xludf.DUMMYFUNCTION("""COMPUTED_VALUE"""),548.51)</f>
        <v>548.51</v>
      </c>
      <c r="AT62" s="3">
        <f>IFERROR(__xludf.DUMMYFUNCTION("""COMPUTED_VALUE"""),233.44)</f>
        <v>233.44</v>
      </c>
      <c r="AU62" s="1">
        <f>IFERROR(__xludf.DUMMYFUNCTION("""COMPUTED_VALUE"""),24.13)</f>
        <v>24.13</v>
      </c>
      <c r="AV62" s="1">
        <f>IFERROR(__xludf.DUMMYFUNCTION("""COMPUTED_VALUE"""),81.09)</f>
        <v>81.09</v>
      </c>
      <c r="AW62" s="1">
        <f>IFERROR(__xludf.DUMMYFUNCTION("""COMPUTED_VALUE"""),68.73)</f>
        <v>68.73</v>
      </c>
      <c r="AX62" s="1">
        <f>IFERROR(__xludf.DUMMYFUNCTION("""COMPUTED_VALUE"""),10.49)</f>
        <v>10.49</v>
      </c>
      <c r="AY62" s="1">
        <f>IFERROR(__xludf.DUMMYFUNCTION("""COMPUTED_VALUE"""),398.43)</f>
        <v>398.43</v>
      </c>
      <c r="AZ62" s="3">
        <f>IFERROR(__xludf.DUMMYFUNCTION("""COMPUTED_VALUE"""),77.56)</f>
        <v>77.56</v>
      </c>
      <c r="BA62" s="3">
        <f>IFERROR(__xludf.DUMMYFUNCTION("""COMPUTED_VALUE"""),72.07)</f>
        <v>72.07</v>
      </c>
      <c r="BB62" s="3">
        <f>IFERROR(__xludf.DUMMYFUNCTION("""COMPUTED_VALUE"""),98.91)</f>
        <v>98.91</v>
      </c>
      <c r="BC62" s="1">
        <f>IFERROR(__xludf.DUMMYFUNCTION("""COMPUTED_VALUE"""),92.47)</f>
        <v>92.47</v>
      </c>
      <c r="BD62" s="1">
        <f>IFERROR(__xludf.DUMMYFUNCTION("""COMPUTED_VALUE"""),36.95)</f>
        <v>36.95</v>
      </c>
      <c r="BE62" s="1">
        <f>IFERROR(__xludf.DUMMYFUNCTION("""COMPUTED_VALUE"""),26.32)</f>
        <v>26.32</v>
      </c>
      <c r="BF62" s="1">
        <f>IFERROR(__xludf.DUMMYFUNCTION("""COMPUTED_VALUE"""),62.74)</f>
        <v>62.74</v>
      </c>
      <c r="BG62" s="1">
        <f>IFERROR(__xludf.DUMMYFUNCTION("""COMPUTED_VALUE"""),28.85)</f>
        <v>28.85</v>
      </c>
      <c r="BH62" s="1">
        <f>IFERROR(__xludf.DUMMYFUNCTION("""COMPUTED_VALUE"""),114.15)</f>
        <v>114.15</v>
      </c>
      <c r="BI62" s="1">
        <f>IFERROR(__xludf.DUMMYFUNCTION("""COMPUTED_VALUE"""),42.27)</f>
        <v>42.27</v>
      </c>
      <c r="BJ62" s="1">
        <f>IFERROR(__xludf.DUMMYFUNCTION("""COMPUTED_VALUE"""),190.59)</f>
        <v>190.59</v>
      </c>
      <c r="BK62" s="1">
        <f>IFERROR(__xludf.DUMMYFUNCTION("""COMPUTED_VALUE"""),587.37)</f>
        <v>587.37</v>
      </c>
      <c r="BL62" s="1">
        <f>IFERROR(__xludf.DUMMYFUNCTION("""COMPUTED_VALUE"""),167.18)</f>
        <v>167.18</v>
      </c>
      <c r="BM62" s="1">
        <f>IFERROR(__xludf.DUMMYFUNCTION("""COMPUTED_VALUE"""),145.85)</f>
        <v>145.85</v>
      </c>
      <c r="BN62" s="3">
        <f>IFERROR(__xludf.DUMMYFUNCTION("""COMPUTED_VALUE"""),6.47)</f>
        <v>6.47</v>
      </c>
      <c r="BO62" s="1">
        <f>IFERROR(__xludf.DUMMYFUNCTION("""COMPUTED_VALUE"""),236.84)</f>
        <v>236.84</v>
      </c>
      <c r="BP62" s="1">
        <f>IFERROR(__xludf.DUMMYFUNCTION("""COMPUTED_VALUE"""),566.08)</f>
        <v>566.08</v>
      </c>
      <c r="BQ62" s="36">
        <f>IFERROR(__xludf.DUMMYFUNCTION("""COMPUTED_VALUE"""),48.57)</f>
        <v>48.57</v>
      </c>
      <c r="BR62" s="1">
        <f>IFERROR(__xludf.DUMMYFUNCTION("""COMPUTED_VALUE"""),11.36)</f>
        <v>11.36</v>
      </c>
      <c r="BS62" s="1">
        <f>IFERROR(__xludf.DUMMYFUNCTION("""COMPUTED_VALUE"""),204.85)</f>
        <v>204.85</v>
      </c>
      <c r="BT62" s="1">
        <f>IFERROR(__xludf.DUMMYFUNCTION("""COMPUTED_VALUE"""),85.96)</f>
        <v>85.96</v>
      </c>
      <c r="BU62" s="3">
        <v>1.0</v>
      </c>
    </row>
    <row r="63">
      <c r="A63" s="25">
        <f>IFERROR(__xludf.DUMMYFUNCTION("""COMPUTED_VALUE"""),45512.66666666667)</f>
        <v>45512.66667</v>
      </c>
      <c r="B63" s="29">
        <f>'Master Scratch Work'!B62</f>
        <v>1245612.94</v>
      </c>
      <c r="C63" s="15">
        <f>IFERROR(__xludf.DUMMYFUNCTION("""COMPUTED_VALUE"""),5319.31)</f>
        <v>5319.31</v>
      </c>
      <c r="D63" s="15">
        <f>IFERROR(__xludf.DUMMYFUNCTION("""COMPUTED_VALUE"""),16660.02)</f>
        <v>16660.02</v>
      </c>
      <c r="E63" s="15">
        <f>IFERROR(__xludf.DUMMYFUNCTION("""COMPUTED_VALUE"""),39446.49)</f>
        <v>39446.49</v>
      </c>
      <c r="F63" s="15">
        <f>IFERROR(__xludf.DUMMYFUNCTION("""COMPUTED_VALUE"""),2084.42)</f>
        <v>2084.42</v>
      </c>
      <c r="G63" s="3">
        <f>IFERROR(__xludf.DUMMYFUNCTION("""COMPUTED_VALUE"""),530.65)</f>
        <v>530.65</v>
      </c>
      <c r="H63" s="3">
        <f>IFERROR(__xludf.DUMMYFUNCTION("""COMPUTED_VALUE"""),448.07)</f>
        <v>448.07</v>
      </c>
      <c r="I63" s="3">
        <f>IFERROR(__xludf.DUMMYFUNCTION("""COMPUTED_VALUE"""),530.24)</f>
        <v>530.24</v>
      </c>
      <c r="J63" s="3">
        <f>IFERROR(__xludf.DUMMYFUNCTION("""COMPUTED_VALUE"""),165.8)</f>
        <v>165.8</v>
      </c>
      <c r="K63" s="3">
        <f>IFERROR(__xludf.DUMMYFUNCTION("""COMPUTED_VALUE"""),144.71)</f>
        <v>144.71</v>
      </c>
      <c r="L63" s="3">
        <f>IFERROR(__xludf.DUMMYFUNCTION("""COMPUTED_VALUE"""),213.31)</f>
        <v>213.31</v>
      </c>
      <c r="M63" s="3">
        <f>IFERROR(__xludf.DUMMYFUNCTION("""COMPUTED_VALUE"""),190.55)</f>
        <v>190.55</v>
      </c>
      <c r="N63" s="3">
        <f>IFERROR(__xludf.DUMMYFUNCTION("""COMPUTED_VALUE"""),63.41)</f>
        <v>63.41</v>
      </c>
      <c r="O63" s="3">
        <f>IFERROR(__xludf.DUMMYFUNCTION("""COMPUTED_VALUE"""),11.0)</f>
        <v>11</v>
      </c>
      <c r="P63" s="3">
        <f>IFERROR(__xludf.DUMMYFUNCTION("""COMPUTED_VALUE"""),431.54)</f>
        <v>431.54</v>
      </c>
      <c r="Q63" s="3">
        <f>IFERROR(__xludf.DUMMYFUNCTION("""COMPUTED_VALUE"""),53.15)</f>
        <v>53.15</v>
      </c>
      <c r="R63" s="3">
        <f>IFERROR(__xludf.DUMMYFUNCTION("""COMPUTED_VALUE"""),204.07)</f>
        <v>204.07</v>
      </c>
      <c r="S63" s="3">
        <f>IFERROR(__xludf.DUMMYFUNCTION("""COMPUTED_VALUE"""),75.55)</f>
        <v>75.55</v>
      </c>
      <c r="T63" s="3">
        <f>IFERROR(__xludf.DUMMYFUNCTION("""COMPUTED_VALUE"""),64.48)</f>
        <v>64.48</v>
      </c>
      <c r="U63" s="3">
        <f>IFERROR(__xludf.DUMMYFUNCTION("""COMPUTED_VALUE"""),336.16)</f>
        <v>336.16</v>
      </c>
      <c r="V63" s="3">
        <f>IFERROR(__xludf.DUMMYFUNCTION("""COMPUTED_VALUE"""),39.15)</f>
        <v>39.15</v>
      </c>
      <c r="W63" s="3">
        <f>IFERROR(__xludf.DUMMYFUNCTION("""COMPUTED_VALUE"""),179.51)</f>
        <v>179.51</v>
      </c>
      <c r="X63" s="3">
        <f>IFERROR(__xludf.DUMMYFUNCTION("""COMPUTED_VALUE"""),144.49)</f>
        <v>144.49</v>
      </c>
      <c r="Y63" s="1">
        <f>IFERROR(__xludf.DUMMYFUNCTION("""COMPUTED_VALUE"""),335.02)</f>
        <v>335.02</v>
      </c>
      <c r="Z63" s="1">
        <f>IFERROR(__xludf.DUMMYFUNCTION("""COMPUTED_VALUE"""),39.77)</f>
        <v>39.77</v>
      </c>
      <c r="AA63" s="1">
        <f>IFERROR(__xludf.DUMMYFUNCTION("""COMPUTED_VALUE"""),68.73)</f>
        <v>68.73</v>
      </c>
      <c r="AB63" s="1">
        <f>IFERROR(__xludf.DUMMYFUNCTION("""COMPUTED_VALUE"""),100.5)</f>
        <v>100.5</v>
      </c>
      <c r="AC63" s="1">
        <f>IFERROR(__xludf.DUMMYFUNCTION("""COMPUTED_VALUE"""),149.66)</f>
        <v>149.66</v>
      </c>
      <c r="AD63" s="3">
        <f>IFERROR(__xludf.DUMMYFUNCTION("""COMPUTED_VALUE"""),94.93)</f>
        <v>94.93</v>
      </c>
      <c r="AE63" s="1">
        <f>IFERROR(__xludf.DUMMYFUNCTION("""COMPUTED_VALUE"""),437.61)</f>
        <v>437.61</v>
      </c>
      <c r="AF63" s="1">
        <f>IFERROR(__xludf.DUMMYFUNCTION("""COMPUTED_VALUE"""),55.94)</f>
        <v>55.94</v>
      </c>
      <c r="AG63" s="1">
        <f>IFERROR(__xludf.DUMMYFUNCTION("""COMPUTED_VALUE"""),117.89)</f>
        <v>117.89</v>
      </c>
      <c r="AH63" s="3">
        <f>IFERROR(__xludf.DUMMYFUNCTION("""COMPUTED_VALUE"""),278.62)</f>
        <v>278.62</v>
      </c>
      <c r="AI63" s="1">
        <f>IFERROR(__xludf.DUMMYFUNCTION("""COMPUTED_VALUE"""),420.55)</f>
        <v>420.55</v>
      </c>
      <c r="AJ63" s="1">
        <f>IFERROR(__xludf.DUMMYFUNCTION("""COMPUTED_VALUE"""),290.8)</f>
        <v>290.8</v>
      </c>
      <c r="AK63" s="3">
        <f>IFERROR(__xludf.DUMMYFUNCTION("""COMPUTED_VALUE"""),42.73)</f>
        <v>42.73</v>
      </c>
      <c r="AL63" s="1">
        <f>IFERROR(__xludf.DUMMYFUNCTION("""COMPUTED_VALUE"""),75.59)</f>
        <v>75.59</v>
      </c>
      <c r="AM63" s="1">
        <f>IFERROR(__xludf.DUMMYFUNCTION("""COMPUTED_VALUE"""),485.77)</f>
        <v>485.77</v>
      </c>
      <c r="AN63" s="1">
        <f>IFERROR(__xludf.DUMMYFUNCTION("""COMPUTED_VALUE"""),348.34)</f>
        <v>348.34</v>
      </c>
      <c r="AO63" s="1">
        <f>IFERROR(__xludf.DUMMYFUNCTION("""COMPUTED_VALUE"""),103.12)</f>
        <v>103.12</v>
      </c>
      <c r="AP63" s="1">
        <f>IFERROR(__xludf.DUMMYFUNCTION("""COMPUTED_VALUE"""),153.76)</f>
        <v>153.76</v>
      </c>
      <c r="AQ63" s="1">
        <f>IFERROR(__xludf.DUMMYFUNCTION("""COMPUTED_VALUE"""),463.61)</f>
        <v>463.61</v>
      </c>
      <c r="AR63" s="3">
        <f>IFERROR(__xludf.DUMMYFUNCTION("""COMPUTED_VALUE"""),204.06)</f>
        <v>204.06</v>
      </c>
      <c r="AS63" s="3">
        <f>IFERROR(__xludf.DUMMYFUNCTION("""COMPUTED_VALUE"""),551.62)</f>
        <v>551.62</v>
      </c>
      <c r="AT63" s="3">
        <f>IFERROR(__xludf.DUMMYFUNCTION("""COMPUTED_VALUE"""),241.75)</f>
        <v>241.75</v>
      </c>
      <c r="AU63" s="1">
        <f>IFERROR(__xludf.DUMMYFUNCTION("""COMPUTED_VALUE"""),24.75)</f>
        <v>24.75</v>
      </c>
      <c r="AV63" s="1">
        <f>IFERROR(__xludf.DUMMYFUNCTION("""COMPUTED_VALUE"""),82.21)</f>
        <v>82.21</v>
      </c>
      <c r="AW63" s="1">
        <f>IFERROR(__xludf.DUMMYFUNCTION("""COMPUTED_VALUE"""),69.65)</f>
        <v>69.65</v>
      </c>
      <c r="AX63" s="1">
        <f>IFERROR(__xludf.DUMMYFUNCTION("""COMPUTED_VALUE"""),10.97)</f>
        <v>10.97</v>
      </c>
      <c r="AY63" s="1">
        <f>IFERROR(__xludf.DUMMYFUNCTION("""COMPUTED_VALUE"""),402.69)</f>
        <v>402.69</v>
      </c>
      <c r="AZ63" s="3">
        <f>IFERROR(__xludf.DUMMYFUNCTION("""COMPUTED_VALUE"""),77.54)</f>
        <v>77.54</v>
      </c>
      <c r="BA63" s="3">
        <f>IFERROR(__xludf.DUMMYFUNCTION("""COMPUTED_VALUE"""),77.97)</f>
        <v>77.97</v>
      </c>
      <c r="BB63" s="3">
        <f>IFERROR(__xludf.DUMMYFUNCTION("""COMPUTED_VALUE"""),104.97)</f>
        <v>104.97</v>
      </c>
      <c r="BC63" s="1">
        <f>IFERROR(__xludf.DUMMYFUNCTION("""COMPUTED_VALUE"""),92.63)</f>
        <v>92.63</v>
      </c>
      <c r="BD63" s="1">
        <f>IFERROR(__xludf.DUMMYFUNCTION("""COMPUTED_VALUE"""),39.04)</f>
        <v>39.04</v>
      </c>
      <c r="BE63" s="1">
        <f>IFERROR(__xludf.DUMMYFUNCTION("""COMPUTED_VALUE"""),29.28)</f>
        <v>29.28</v>
      </c>
      <c r="BF63" s="1">
        <f>IFERROR(__xludf.DUMMYFUNCTION("""COMPUTED_VALUE"""),64.28)</f>
        <v>64.28</v>
      </c>
      <c r="BG63" s="1">
        <f>IFERROR(__xludf.DUMMYFUNCTION("""COMPUTED_VALUE"""),28.76)</f>
        <v>28.76</v>
      </c>
      <c r="BH63" s="1">
        <f>IFERROR(__xludf.DUMMYFUNCTION("""COMPUTED_VALUE"""),115.1)</f>
        <v>115.1</v>
      </c>
      <c r="BI63" s="1">
        <f>IFERROR(__xludf.DUMMYFUNCTION("""COMPUTED_VALUE"""),41.98)</f>
        <v>41.98</v>
      </c>
      <c r="BJ63" s="1">
        <f>IFERROR(__xludf.DUMMYFUNCTION("""COMPUTED_VALUE"""),193.61)</f>
        <v>193.61</v>
      </c>
      <c r="BK63" s="1">
        <f>IFERROR(__xludf.DUMMYFUNCTION("""COMPUTED_VALUE"""),600.04)</f>
        <v>600.04</v>
      </c>
      <c r="BL63" s="1">
        <f>IFERROR(__xludf.DUMMYFUNCTION("""COMPUTED_VALUE"""),169.37)</f>
        <v>169.37</v>
      </c>
      <c r="BM63" s="1">
        <f>IFERROR(__xludf.DUMMYFUNCTION("""COMPUTED_VALUE"""),161.85)</f>
        <v>161.85</v>
      </c>
      <c r="BN63" s="3">
        <f>IFERROR(__xludf.DUMMYFUNCTION("""COMPUTED_VALUE"""),7.71)</f>
        <v>7.71</v>
      </c>
      <c r="BO63" s="1">
        <f>IFERROR(__xludf.DUMMYFUNCTION("""COMPUTED_VALUE"""),240.54)</f>
        <v>240.54</v>
      </c>
      <c r="BP63" s="1">
        <f>IFERROR(__xludf.DUMMYFUNCTION("""COMPUTED_VALUE"""),566.24)</f>
        <v>566.24</v>
      </c>
      <c r="BQ63" s="36">
        <f>IFERROR(__xludf.DUMMYFUNCTION("""COMPUTED_VALUE"""),48.55)</f>
        <v>48.55</v>
      </c>
      <c r="BR63" s="1">
        <f>IFERROR(__xludf.DUMMYFUNCTION("""COMPUTED_VALUE"""),12.1)</f>
        <v>12.1</v>
      </c>
      <c r="BS63" s="1">
        <f>IFERROR(__xludf.DUMMYFUNCTION("""COMPUTED_VALUE"""),205.9)</f>
        <v>205.9</v>
      </c>
      <c r="BT63" s="1">
        <f>IFERROR(__xludf.DUMMYFUNCTION("""COMPUTED_VALUE"""),85.96)</f>
        <v>85.96</v>
      </c>
      <c r="BU63" s="3">
        <v>1.0</v>
      </c>
    </row>
    <row r="64">
      <c r="A64" s="25">
        <f>IFERROR(__xludf.DUMMYFUNCTION("""COMPUTED_VALUE"""),45513.66666666667)</f>
        <v>45513.66667</v>
      </c>
      <c r="B64" s="29">
        <f>'Master Scratch Work'!B63</f>
        <v>1248622.83</v>
      </c>
      <c r="C64" s="15">
        <f>IFERROR(__xludf.DUMMYFUNCTION("""COMPUTED_VALUE"""),5344.16)</f>
        <v>5344.16</v>
      </c>
      <c r="D64" s="15">
        <f>IFERROR(__xludf.DUMMYFUNCTION("""COMPUTED_VALUE"""),16745.3)</f>
        <v>16745.3</v>
      </c>
      <c r="E64" s="15">
        <f>IFERROR(__xludf.DUMMYFUNCTION("""COMPUTED_VALUE"""),39497.54)</f>
        <v>39497.54</v>
      </c>
      <c r="F64" s="15">
        <f>IFERROR(__xludf.DUMMYFUNCTION("""COMPUTED_VALUE"""),2080.92)</f>
        <v>2080.92</v>
      </c>
      <c r="G64" s="3">
        <f>IFERROR(__xludf.DUMMYFUNCTION("""COMPUTED_VALUE"""),532.99)</f>
        <v>532.99</v>
      </c>
      <c r="H64" s="3">
        <f>IFERROR(__xludf.DUMMYFUNCTION("""COMPUTED_VALUE"""),450.41)</f>
        <v>450.41</v>
      </c>
      <c r="I64" s="3">
        <f>IFERROR(__xludf.DUMMYFUNCTION("""COMPUTED_VALUE"""),536.3)</f>
        <v>536.3</v>
      </c>
      <c r="J64" s="3">
        <f>IFERROR(__xludf.DUMMYFUNCTION("""COMPUTED_VALUE"""),166.94)</f>
        <v>166.94</v>
      </c>
      <c r="K64" s="3">
        <f>IFERROR(__xludf.DUMMYFUNCTION("""COMPUTED_VALUE"""),142.28)</f>
        <v>142.28</v>
      </c>
      <c r="L64" s="3">
        <f>IFERROR(__xludf.DUMMYFUNCTION("""COMPUTED_VALUE"""),216.24)</f>
        <v>216.24</v>
      </c>
      <c r="M64" s="3">
        <f>IFERROR(__xludf.DUMMYFUNCTION("""COMPUTED_VALUE"""),191.18)</f>
        <v>191.18</v>
      </c>
      <c r="N64" s="3">
        <f>IFERROR(__xludf.DUMMYFUNCTION("""COMPUTED_VALUE"""),63.78)</f>
        <v>63.78</v>
      </c>
      <c r="O64" s="3">
        <f>IFERROR(__xludf.DUMMYFUNCTION("""COMPUTED_VALUE"""),11.26)</f>
        <v>11.26</v>
      </c>
      <c r="P64" s="3">
        <f>IFERROR(__xludf.DUMMYFUNCTION("""COMPUTED_VALUE"""),431.67)</f>
        <v>431.67</v>
      </c>
      <c r="Q64" s="3">
        <f>IFERROR(__xludf.DUMMYFUNCTION("""COMPUTED_VALUE"""),53.76)</f>
        <v>53.76</v>
      </c>
      <c r="R64" s="3">
        <f>IFERROR(__xludf.DUMMYFUNCTION("""COMPUTED_VALUE"""),202.0)</f>
        <v>202</v>
      </c>
      <c r="S64" s="3">
        <f>IFERROR(__xludf.DUMMYFUNCTION("""COMPUTED_VALUE"""),76.19)</f>
        <v>76.19</v>
      </c>
      <c r="T64" s="3">
        <f>IFERROR(__xludf.DUMMYFUNCTION("""COMPUTED_VALUE"""),64.38)</f>
        <v>64.38</v>
      </c>
      <c r="U64" s="3">
        <f>IFERROR(__xludf.DUMMYFUNCTION("""COMPUTED_VALUE"""),338.26)</f>
        <v>338.26</v>
      </c>
      <c r="V64" s="3">
        <f>IFERROR(__xludf.DUMMYFUNCTION("""COMPUTED_VALUE"""),39.55)</f>
        <v>39.55</v>
      </c>
      <c r="W64" s="3">
        <f>IFERROR(__xludf.DUMMYFUNCTION("""COMPUTED_VALUE"""),184.39)</f>
        <v>184.39</v>
      </c>
      <c r="X64" s="3">
        <f>IFERROR(__xludf.DUMMYFUNCTION("""COMPUTED_VALUE"""),144.99)</f>
        <v>144.99</v>
      </c>
      <c r="Y64" s="1">
        <f>IFERROR(__xludf.DUMMYFUNCTION("""COMPUTED_VALUE"""),336.14)</f>
        <v>336.14</v>
      </c>
      <c r="Z64" s="1">
        <f>IFERROR(__xludf.DUMMYFUNCTION("""COMPUTED_VALUE"""),39.59)</f>
        <v>39.59</v>
      </c>
      <c r="AA64" s="1">
        <f>IFERROR(__xludf.DUMMYFUNCTION("""COMPUTED_VALUE"""),68.68)</f>
        <v>68.68</v>
      </c>
      <c r="AB64" s="1">
        <f>IFERROR(__xludf.DUMMYFUNCTION("""COMPUTED_VALUE"""),101.02)</f>
        <v>101.02</v>
      </c>
      <c r="AC64" s="1">
        <f>IFERROR(__xludf.DUMMYFUNCTION("""COMPUTED_VALUE"""),150.12)</f>
        <v>150.12</v>
      </c>
      <c r="AD64" s="3">
        <f>IFERROR(__xludf.DUMMYFUNCTION("""COMPUTED_VALUE"""),95.05)</f>
        <v>95.05</v>
      </c>
      <c r="AE64" s="1">
        <f>IFERROR(__xludf.DUMMYFUNCTION("""COMPUTED_VALUE"""),438.4)</f>
        <v>438.4</v>
      </c>
      <c r="AF64" s="1">
        <f>IFERROR(__xludf.DUMMYFUNCTION("""COMPUTED_VALUE"""),56.52)</f>
        <v>56.52</v>
      </c>
      <c r="AG64" s="1">
        <f>IFERROR(__xludf.DUMMYFUNCTION("""COMPUTED_VALUE"""),118.85)</f>
        <v>118.85</v>
      </c>
      <c r="AH64" s="3">
        <f>IFERROR(__xludf.DUMMYFUNCTION("""COMPUTED_VALUE"""),277.41)</f>
        <v>277.41</v>
      </c>
      <c r="AI64" s="1">
        <f>IFERROR(__xludf.DUMMYFUNCTION("""COMPUTED_VALUE"""),420.11)</f>
        <v>420.11</v>
      </c>
      <c r="AJ64" s="1">
        <f>IFERROR(__xludf.DUMMYFUNCTION("""COMPUTED_VALUE"""),292.99)</f>
        <v>292.99</v>
      </c>
      <c r="AK64" s="3">
        <f>IFERROR(__xludf.DUMMYFUNCTION("""COMPUTED_VALUE"""),43.48)</f>
        <v>43.48</v>
      </c>
      <c r="AL64" s="1">
        <f>IFERROR(__xludf.DUMMYFUNCTION("""COMPUTED_VALUE"""),73.66)</f>
        <v>73.66</v>
      </c>
      <c r="AM64" s="1">
        <f>IFERROR(__xludf.DUMMYFUNCTION("""COMPUTED_VALUE"""),490.26)</f>
        <v>490.26</v>
      </c>
      <c r="AN64" s="1">
        <f>IFERROR(__xludf.DUMMYFUNCTION("""COMPUTED_VALUE"""),348.64)</f>
        <v>348.64</v>
      </c>
      <c r="AO64" s="1">
        <f>IFERROR(__xludf.DUMMYFUNCTION("""COMPUTED_VALUE"""),103.56)</f>
        <v>103.56</v>
      </c>
      <c r="AP64" s="1">
        <f>IFERROR(__xludf.DUMMYFUNCTION("""COMPUTED_VALUE"""),154.08)</f>
        <v>154.08</v>
      </c>
      <c r="AQ64" s="1">
        <f>IFERROR(__xludf.DUMMYFUNCTION("""COMPUTED_VALUE"""),463.43)</f>
        <v>463.43</v>
      </c>
      <c r="AR64" s="3">
        <f>IFERROR(__xludf.DUMMYFUNCTION("""COMPUTED_VALUE"""),205.8)</f>
        <v>205.8</v>
      </c>
      <c r="AS64" s="3">
        <f>IFERROR(__xludf.DUMMYFUNCTION("""COMPUTED_VALUE"""),551.58)</f>
        <v>551.58</v>
      </c>
      <c r="AT64" s="3">
        <f>IFERROR(__xludf.DUMMYFUNCTION("""COMPUTED_VALUE"""),238.72)</f>
        <v>238.72</v>
      </c>
      <c r="AU64" s="1">
        <f>IFERROR(__xludf.DUMMYFUNCTION("""COMPUTED_VALUE"""),25.08)</f>
        <v>25.08</v>
      </c>
      <c r="AV64" s="1">
        <f>IFERROR(__xludf.DUMMYFUNCTION("""COMPUTED_VALUE"""),82.04)</f>
        <v>82.04</v>
      </c>
      <c r="AW64" s="1">
        <f>IFERROR(__xludf.DUMMYFUNCTION("""COMPUTED_VALUE"""),70.13)</f>
        <v>70.13</v>
      </c>
      <c r="AX64" s="1">
        <f>IFERROR(__xludf.DUMMYFUNCTION("""COMPUTED_VALUE"""),11.14)</f>
        <v>11.14</v>
      </c>
      <c r="AY64" s="1">
        <f>IFERROR(__xludf.DUMMYFUNCTION("""COMPUTED_VALUE"""),406.02)</f>
        <v>406.02</v>
      </c>
      <c r="AZ64" s="3">
        <f>IFERROR(__xludf.DUMMYFUNCTION("""COMPUTED_VALUE"""),77.46)</f>
        <v>77.46</v>
      </c>
      <c r="BA64" s="3">
        <f>IFERROR(__xludf.DUMMYFUNCTION("""COMPUTED_VALUE"""),80.29)</f>
        <v>80.29</v>
      </c>
      <c r="BB64" s="3">
        <f>IFERROR(__xludf.DUMMYFUNCTION("""COMPUTED_VALUE"""),104.75)</f>
        <v>104.75</v>
      </c>
      <c r="BC64" s="1">
        <f>IFERROR(__xludf.DUMMYFUNCTION("""COMPUTED_VALUE"""),93.4)</f>
        <v>93.4</v>
      </c>
      <c r="BD64" s="1">
        <f>IFERROR(__xludf.DUMMYFUNCTION("""COMPUTED_VALUE"""),40.23)</f>
        <v>40.23</v>
      </c>
      <c r="BE64" s="1">
        <f>IFERROR(__xludf.DUMMYFUNCTION("""COMPUTED_VALUE"""),30.01)</f>
        <v>30.01</v>
      </c>
      <c r="BF64" s="1">
        <f>IFERROR(__xludf.DUMMYFUNCTION("""COMPUTED_VALUE"""),64.72)</f>
        <v>64.72</v>
      </c>
      <c r="BG64" s="1">
        <f>IFERROR(__xludf.DUMMYFUNCTION("""COMPUTED_VALUE"""),28.55)</f>
        <v>28.55</v>
      </c>
      <c r="BH64" s="1">
        <f>IFERROR(__xludf.DUMMYFUNCTION("""COMPUTED_VALUE"""),116.15)</f>
        <v>116.15</v>
      </c>
      <c r="BI64" s="1">
        <f>IFERROR(__xludf.DUMMYFUNCTION("""COMPUTED_VALUE"""),42.9)</f>
        <v>42.9</v>
      </c>
      <c r="BJ64" s="1">
        <f>IFERROR(__xludf.DUMMYFUNCTION("""COMPUTED_VALUE"""),194.2)</f>
        <v>194.2</v>
      </c>
      <c r="BK64" s="1">
        <f>IFERROR(__xludf.DUMMYFUNCTION("""COMPUTED_VALUE"""),596.18)</f>
        <v>596.18</v>
      </c>
      <c r="BL64" s="1">
        <f>IFERROR(__xludf.DUMMYFUNCTION("""COMPUTED_VALUE"""),168.59)</f>
        <v>168.59</v>
      </c>
      <c r="BM64" s="1">
        <f>IFERROR(__xludf.DUMMYFUNCTION("""COMPUTED_VALUE"""),162.89)</f>
        <v>162.89</v>
      </c>
      <c r="BN64" s="3">
        <f>IFERROR(__xludf.DUMMYFUNCTION("""COMPUTED_VALUE"""),7.9)</f>
        <v>7.9</v>
      </c>
      <c r="BO64" s="1">
        <f>IFERROR(__xludf.DUMMYFUNCTION("""COMPUTED_VALUE"""),237.52)</f>
        <v>237.52</v>
      </c>
      <c r="BP64" s="1">
        <f>IFERROR(__xludf.DUMMYFUNCTION("""COMPUTED_VALUE"""),558.76)</f>
        <v>558.76</v>
      </c>
      <c r="BQ64" s="36">
        <f>IFERROR(__xludf.DUMMYFUNCTION("""COMPUTED_VALUE"""),48.58)</f>
        <v>48.58</v>
      </c>
      <c r="BR64" s="1">
        <f>IFERROR(__xludf.DUMMYFUNCTION("""COMPUTED_VALUE"""),11.78)</f>
        <v>11.78</v>
      </c>
      <c r="BS64" s="1">
        <f>IFERROR(__xludf.DUMMYFUNCTION("""COMPUTED_VALUE"""),205.26)</f>
        <v>205.26</v>
      </c>
      <c r="BT64" s="1">
        <f>IFERROR(__xludf.DUMMYFUNCTION("""COMPUTED_VALUE"""),86.21)</f>
        <v>86.21</v>
      </c>
      <c r="BU64" s="3">
        <v>1.0</v>
      </c>
    </row>
    <row r="65">
      <c r="A65" s="25">
        <f>IFERROR(__xludf.DUMMYFUNCTION("""COMPUTED_VALUE"""),45516.66666666667)</f>
        <v>45516.66667</v>
      </c>
      <c r="B65" s="29">
        <f>'Master Scratch Work'!B64</f>
        <v>1248956.09</v>
      </c>
      <c r="C65" s="15">
        <f>IFERROR(__xludf.DUMMYFUNCTION("""COMPUTED_VALUE"""),5344.39)</f>
        <v>5344.39</v>
      </c>
      <c r="D65" s="15">
        <f>IFERROR(__xludf.DUMMYFUNCTION("""COMPUTED_VALUE"""),16780.61)</f>
        <v>16780.61</v>
      </c>
      <c r="E65" s="15">
        <f>IFERROR(__xludf.DUMMYFUNCTION("""COMPUTED_VALUE"""),39357.01)</f>
        <v>39357.01</v>
      </c>
      <c r="F65" s="15">
        <f>IFERROR(__xludf.DUMMYFUNCTION("""COMPUTED_VALUE"""),2062.08)</f>
        <v>2062.08</v>
      </c>
      <c r="G65" s="3">
        <f>IFERROR(__xludf.DUMMYFUNCTION("""COMPUTED_VALUE"""),533.27)</f>
        <v>533.27</v>
      </c>
      <c r="H65" s="3">
        <f>IFERROR(__xludf.DUMMYFUNCTION("""COMPUTED_VALUE"""),451.38)</f>
        <v>451.38</v>
      </c>
      <c r="I65" s="3">
        <f>IFERROR(__xludf.DUMMYFUNCTION("""COMPUTED_VALUE"""),530.93)</f>
        <v>530.93</v>
      </c>
      <c r="J65" s="3">
        <f>IFERROR(__xludf.DUMMYFUNCTION("""COMPUTED_VALUE"""),166.8)</f>
        <v>166.8</v>
      </c>
      <c r="K65" s="3">
        <f>IFERROR(__xludf.DUMMYFUNCTION("""COMPUTED_VALUE"""),142.56)</f>
        <v>142.56</v>
      </c>
      <c r="L65" s="3">
        <f>IFERROR(__xludf.DUMMYFUNCTION("""COMPUTED_VALUE"""),217.53)</f>
        <v>217.53</v>
      </c>
      <c r="M65" s="3">
        <f>IFERROR(__xludf.DUMMYFUNCTION("""COMPUTED_VALUE"""),193.09)</f>
        <v>193.09</v>
      </c>
      <c r="N65" s="3">
        <f>IFERROR(__xludf.DUMMYFUNCTION("""COMPUTED_VALUE"""),63.27)</f>
        <v>63.27</v>
      </c>
      <c r="O65" s="3">
        <f>IFERROR(__xludf.DUMMYFUNCTION("""COMPUTED_VALUE"""),11.23)</f>
        <v>11.23</v>
      </c>
      <c r="P65" s="3">
        <f>IFERROR(__xludf.DUMMYFUNCTION("""COMPUTED_VALUE"""),430.39)</f>
        <v>430.39</v>
      </c>
      <c r="Q65" s="3">
        <f>IFERROR(__xludf.DUMMYFUNCTION("""COMPUTED_VALUE"""),53.56)</f>
        <v>53.56</v>
      </c>
      <c r="R65" s="3">
        <f>IFERROR(__xludf.DUMMYFUNCTION("""COMPUTED_VALUE"""),201.04)</f>
        <v>201.04</v>
      </c>
      <c r="S65" s="3">
        <f>IFERROR(__xludf.DUMMYFUNCTION("""COMPUTED_VALUE"""),75.94)</f>
        <v>75.94</v>
      </c>
      <c r="T65" s="3">
        <f>IFERROR(__xludf.DUMMYFUNCTION("""COMPUTED_VALUE"""),64.29)</f>
        <v>64.29</v>
      </c>
      <c r="U65" s="3">
        <f>IFERROR(__xludf.DUMMYFUNCTION("""COMPUTED_VALUE"""),336.03)</f>
        <v>336.03</v>
      </c>
      <c r="V65" s="3">
        <f>IFERROR(__xludf.DUMMYFUNCTION("""COMPUTED_VALUE"""),39.09)</f>
        <v>39.09</v>
      </c>
      <c r="W65" s="3">
        <f>IFERROR(__xludf.DUMMYFUNCTION("""COMPUTED_VALUE"""),181.09)</f>
        <v>181.09</v>
      </c>
      <c r="X65" s="3">
        <f>IFERROR(__xludf.DUMMYFUNCTION("""COMPUTED_VALUE"""),145.02)</f>
        <v>145.02</v>
      </c>
      <c r="Y65" s="1">
        <f>IFERROR(__xludf.DUMMYFUNCTION("""COMPUTED_VALUE"""),328.1)</f>
        <v>328.1</v>
      </c>
      <c r="Z65" s="1">
        <f>IFERROR(__xludf.DUMMYFUNCTION("""COMPUTED_VALUE"""),39.5)</f>
        <v>39.5</v>
      </c>
      <c r="AA65" s="1">
        <f>IFERROR(__xludf.DUMMYFUNCTION("""COMPUTED_VALUE"""),68.17)</f>
        <v>68.17</v>
      </c>
      <c r="AB65" s="1">
        <f>IFERROR(__xludf.DUMMYFUNCTION("""COMPUTED_VALUE"""),101.94)</f>
        <v>101.94</v>
      </c>
      <c r="AC65" s="1">
        <f>IFERROR(__xludf.DUMMYFUNCTION("""COMPUTED_VALUE"""),148.75)</f>
        <v>148.75</v>
      </c>
      <c r="AD65" s="3">
        <f>IFERROR(__xludf.DUMMYFUNCTION("""COMPUTED_VALUE"""),93.9)</f>
        <v>93.9</v>
      </c>
      <c r="AE65" s="1">
        <f>IFERROR(__xludf.DUMMYFUNCTION("""COMPUTED_VALUE"""),444.9)</f>
        <v>444.9</v>
      </c>
      <c r="AF65" s="1">
        <f>IFERROR(__xludf.DUMMYFUNCTION("""COMPUTED_VALUE"""),55.81)</f>
        <v>55.81</v>
      </c>
      <c r="AG65" s="1">
        <f>IFERROR(__xludf.DUMMYFUNCTION("""COMPUTED_VALUE"""),119.0)</f>
        <v>119</v>
      </c>
      <c r="AH65" s="3">
        <f>IFERROR(__xludf.DUMMYFUNCTION("""COMPUTED_VALUE"""),279.15)</f>
        <v>279.15</v>
      </c>
      <c r="AI65" s="1">
        <f>IFERROR(__xludf.DUMMYFUNCTION("""COMPUTED_VALUE"""),422.33)</f>
        <v>422.33</v>
      </c>
      <c r="AJ65" s="1">
        <f>IFERROR(__xludf.DUMMYFUNCTION("""COMPUTED_VALUE"""),291.2)</f>
        <v>291.2</v>
      </c>
      <c r="AK65" s="3">
        <f>IFERROR(__xludf.DUMMYFUNCTION("""COMPUTED_VALUE"""),42.99)</f>
        <v>42.99</v>
      </c>
      <c r="AL65" s="1">
        <f>IFERROR(__xludf.DUMMYFUNCTION("""COMPUTED_VALUE"""),72.99)</f>
        <v>72.99</v>
      </c>
      <c r="AM65" s="1">
        <f>IFERROR(__xludf.DUMMYFUNCTION("""COMPUTED_VALUE"""),485.5)</f>
        <v>485.5</v>
      </c>
      <c r="AN65" s="1">
        <f>IFERROR(__xludf.DUMMYFUNCTION("""COMPUTED_VALUE"""),345.81)</f>
        <v>345.81</v>
      </c>
      <c r="AO65" s="1">
        <f>IFERROR(__xludf.DUMMYFUNCTION("""COMPUTED_VALUE"""),103.51)</f>
        <v>103.51</v>
      </c>
      <c r="AP65" s="1">
        <f>IFERROR(__xludf.DUMMYFUNCTION("""COMPUTED_VALUE"""),153.89)</f>
        <v>153.89</v>
      </c>
      <c r="AQ65" s="1">
        <f>IFERROR(__xludf.DUMMYFUNCTION("""COMPUTED_VALUE"""),465.53)</f>
        <v>465.53</v>
      </c>
      <c r="AR65" s="3">
        <f>IFERROR(__xludf.DUMMYFUNCTION("""COMPUTED_VALUE"""),206.19)</f>
        <v>206.19</v>
      </c>
      <c r="AS65" s="3">
        <f>IFERROR(__xludf.DUMMYFUNCTION("""COMPUTED_VALUE"""),556.91)</f>
        <v>556.91</v>
      </c>
      <c r="AT65" s="3">
        <f>IFERROR(__xludf.DUMMYFUNCTION("""COMPUTED_VALUE"""),239.7)</f>
        <v>239.7</v>
      </c>
      <c r="AU65" s="1">
        <f>IFERROR(__xludf.DUMMYFUNCTION("""COMPUTED_VALUE"""),24.96)</f>
        <v>24.96</v>
      </c>
      <c r="AV65" s="1">
        <f>IFERROR(__xludf.DUMMYFUNCTION("""COMPUTED_VALUE"""),81.19)</f>
        <v>81.19</v>
      </c>
      <c r="AW65" s="1">
        <f>IFERROR(__xludf.DUMMYFUNCTION("""COMPUTED_VALUE"""),69.85)</f>
        <v>69.85</v>
      </c>
      <c r="AX65" s="1">
        <f>IFERROR(__xludf.DUMMYFUNCTION("""COMPUTED_VALUE"""),11.14)</f>
        <v>11.14</v>
      </c>
      <c r="AY65" s="1">
        <f>IFERROR(__xludf.DUMMYFUNCTION("""COMPUTED_VALUE"""),406.81)</f>
        <v>406.81</v>
      </c>
      <c r="AZ65" s="3">
        <f>IFERROR(__xludf.DUMMYFUNCTION("""COMPUTED_VALUE"""),77.58)</f>
        <v>77.58</v>
      </c>
      <c r="BA65" s="3">
        <f>IFERROR(__xludf.DUMMYFUNCTION("""COMPUTED_VALUE"""),79.87)</f>
        <v>79.87</v>
      </c>
      <c r="BB65" s="3">
        <f>IFERROR(__xludf.DUMMYFUNCTION("""COMPUTED_VALUE"""),109.02)</f>
        <v>109.02</v>
      </c>
      <c r="BC65" s="1">
        <f>IFERROR(__xludf.DUMMYFUNCTION("""COMPUTED_VALUE"""),92.29)</f>
        <v>92.29</v>
      </c>
      <c r="BD65" s="1">
        <f>IFERROR(__xludf.DUMMYFUNCTION("""COMPUTED_VALUE"""),39.55)</f>
        <v>39.55</v>
      </c>
      <c r="BE65" s="1">
        <f>IFERROR(__xludf.DUMMYFUNCTION("""COMPUTED_VALUE"""),29.38)</f>
        <v>29.38</v>
      </c>
      <c r="BF65" s="1">
        <f>IFERROR(__xludf.DUMMYFUNCTION("""COMPUTED_VALUE"""),63.46)</f>
        <v>63.46</v>
      </c>
      <c r="BG65" s="1">
        <f>IFERROR(__xludf.DUMMYFUNCTION("""COMPUTED_VALUE"""),28.45)</f>
        <v>28.45</v>
      </c>
      <c r="BH65" s="1">
        <f>IFERROR(__xludf.DUMMYFUNCTION("""COMPUTED_VALUE"""),116.6)</f>
        <v>116.6</v>
      </c>
      <c r="BI65" s="1">
        <f>IFERROR(__xludf.DUMMYFUNCTION("""COMPUTED_VALUE"""),42.98)</f>
        <v>42.98</v>
      </c>
      <c r="BJ65" s="1">
        <f>IFERROR(__xludf.DUMMYFUNCTION("""COMPUTED_VALUE"""),194.95)</f>
        <v>194.95</v>
      </c>
      <c r="BK65" s="1">
        <f>IFERROR(__xludf.DUMMYFUNCTION("""COMPUTED_VALUE"""),599.07)</f>
        <v>599.07</v>
      </c>
      <c r="BL65" s="1">
        <f>IFERROR(__xludf.DUMMYFUNCTION("""COMPUTED_VALUE"""),167.97)</f>
        <v>167.97</v>
      </c>
      <c r="BM65" s="1">
        <f>IFERROR(__xludf.DUMMYFUNCTION("""COMPUTED_VALUE"""),163.03)</f>
        <v>163.03</v>
      </c>
      <c r="BN65" s="3">
        <f>IFERROR(__xludf.DUMMYFUNCTION("""COMPUTED_VALUE"""),7.83)</f>
        <v>7.83</v>
      </c>
      <c r="BO65" s="1">
        <f>IFERROR(__xludf.DUMMYFUNCTION("""COMPUTED_VALUE"""),236.75)</f>
        <v>236.75</v>
      </c>
      <c r="BP65" s="1">
        <f>IFERROR(__xludf.DUMMYFUNCTION("""COMPUTED_VALUE"""),565.29)</f>
        <v>565.29</v>
      </c>
      <c r="BQ65" s="36">
        <f>IFERROR(__xludf.DUMMYFUNCTION("""COMPUTED_VALUE"""),48.66)</f>
        <v>48.66</v>
      </c>
      <c r="BR65" s="1">
        <f>IFERROR(__xludf.DUMMYFUNCTION("""COMPUTED_VALUE"""),11.57)</f>
        <v>11.57</v>
      </c>
      <c r="BS65" s="1">
        <f>IFERROR(__xludf.DUMMYFUNCTION("""COMPUTED_VALUE"""),203.11)</f>
        <v>203.11</v>
      </c>
      <c r="BT65" s="1">
        <f>IFERROR(__xludf.DUMMYFUNCTION("""COMPUTED_VALUE"""),85.95)</f>
        <v>85.95</v>
      </c>
      <c r="BU65" s="3">
        <v>1.0</v>
      </c>
    </row>
    <row r="66">
      <c r="A66" s="25">
        <f>IFERROR(__xludf.DUMMYFUNCTION("""COMPUTED_VALUE"""),45517.66666666667)</f>
        <v>45517.66667</v>
      </c>
      <c r="B66" s="29">
        <f>'Master Scratch Work'!B65</f>
        <v>1261973.37</v>
      </c>
      <c r="C66" s="15">
        <f>IFERROR(__xludf.DUMMYFUNCTION("""COMPUTED_VALUE"""),5434.43)</f>
        <v>5434.43</v>
      </c>
      <c r="D66" s="15">
        <f>IFERROR(__xludf.DUMMYFUNCTION("""COMPUTED_VALUE"""),17187.61)</f>
        <v>17187.61</v>
      </c>
      <c r="E66" s="15">
        <f>IFERROR(__xludf.DUMMYFUNCTION("""COMPUTED_VALUE"""),39765.64)</f>
        <v>39765.64</v>
      </c>
      <c r="F66" s="15">
        <f>IFERROR(__xludf.DUMMYFUNCTION("""COMPUTED_VALUE"""),2095.19)</f>
        <v>2095.19</v>
      </c>
      <c r="G66" s="3">
        <f>IFERROR(__xludf.DUMMYFUNCTION("""COMPUTED_VALUE"""),542.04)</f>
        <v>542.04</v>
      </c>
      <c r="H66" s="3">
        <f>IFERROR(__xludf.DUMMYFUNCTION("""COMPUTED_VALUE"""),462.58)</f>
        <v>462.58</v>
      </c>
      <c r="I66" s="3">
        <f>IFERROR(__xludf.DUMMYFUNCTION("""COMPUTED_VALUE"""),535.22)</f>
        <v>535.22</v>
      </c>
      <c r="J66" s="3">
        <f>IFERROR(__xludf.DUMMYFUNCTION("""COMPUTED_VALUE"""),170.23)</f>
        <v>170.23</v>
      </c>
      <c r="K66" s="3">
        <f>IFERROR(__xludf.DUMMYFUNCTION("""COMPUTED_VALUE"""),141.39)</f>
        <v>141.39</v>
      </c>
      <c r="L66" s="3">
        <f>IFERROR(__xludf.DUMMYFUNCTION("""COMPUTED_VALUE"""),221.27)</f>
        <v>221.27</v>
      </c>
      <c r="M66" s="3">
        <f>IFERROR(__xludf.DUMMYFUNCTION("""COMPUTED_VALUE"""),200.8)</f>
        <v>200.8</v>
      </c>
      <c r="N66" s="3">
        <f>IFERROR(__xludf.DUMMYFUNCTION("""COMPUTED_VALUE"""),63.55)</f>
        <v>63.55</v>
      </c>
      <c r="O66" s="3">
        <f>IFERROR(__xludf.DUMMYFUNCTION("""COMPUTED_VALUE"""),11.4)</f>
        <v>11.4</v>
      </c>
      <c r="P66" s="3">
        <f>IFERROR(__xludf.DUMMYFUNCTION("""COMPUTED_VALUE"""),432.41)</f>
        <v>432.41</v>
      </c>
      <c r="Q66" s="3">
        <f>IFERROR(__xludf.DUMMYFUNCTION("""COMPUTED_VALUE"""),53.66)</f>
        <v>53.66</v>
      </c>
      <c r="R66" s="3">
        <f>IFERROR(__xludf.DUMMYFUNCTION("""COMPUTED_VALUE"""),204.05)</f>
        <v>204.05</v>
      </c>
      <c r="S66" s="3">
        <f>IFERROR(__xludf.DUMMYFUNCTION("""COMPUTED_VALUE"""),75.92)</f>
        <v>75.92</v>
      </c>
      <c r="T66" s="3">
        <f>IFERROR(__xludf.DUMMYFUNCTION("""COMPUTED_VALUE"""),65.47)</f>
        <v>65.47</v>
      </c>
      <c r="U66" s="3">
        <f>IFERROR(__xludf.DUMMYFUNCTION("""COMPUTED_VALUE"""),338.8)</f>
        <v>338.8</v>
      </c>
      <c r="V66" s="3">
        <f>IFERROR(__xludf.DUMMYFUNCTION("""COMPUTED_VALUE"""),39.22)</f>
        <v>39.22</v>
      </c>
      <c r="W66" s="3">
        <f>IFERROR(__xludf.DUMMYFUNCTION("""COMPUTED_VALUE"""),182.26)</f>
        <v>182.26</v>
      </c>
      <c r="X66" s="3">
        <f>IFERROR(__xludf.DUMMYFUNCTION("""COMPUTED_VALUE"""),144.15)</f>
        <v>144.15</v>
      </c>
      <c r="Y66" s="1">
        <f>IFERROR(__xludf.DUMMYFUNCTION("""COMPUTED_VALUE"""),332.72)</f>
        <v>332.72</v>
      </c>
      <c r="Z66" s="1">
        <f>IFERROR(__xludf.DUMMYFUNCTION("""COMPUTED_VALUE"""),39.69)</f>
        <v>39.69</v>
      </c>
      <c r="AA66" s="1">
        <f>IFERROR(__xludf.DUMMYFUNCTION("""COMPUTED_VALUE"""),68.46)</f>
        <v>68.46</v>
      </c>
      <c r="AB66" s="1">
        <f>IFERROR(__xludf.DUMMYFUNCTION("""COMPUTED_VALUE"""),101.6)</f>
        <v>101.6</v>
      </c>
      <c r="AC66" s="1">
        <f>IFERROR(__xludf.DUMMYFUNCTION("""COMPUTED_VALUE"""),149.57)</f>
        <v>149.57</v>
      </c>
      <c r="AD66" s="3">
        <f>IFERROR(__xludf.DUMMYFUNCTION("""COMPUTED_VALUE"""),92.45)</f>
        <v>92.45</v>
      </c>
      <c r="AE66" s="1">
        <f>IFERROR(__xludf.DUMMYFUNCTION("""COMPUTED_VALUE"""),441.3)</f>
        <v>441.3</v>
      </c>
      <c r="AF66" s="1">
        <f>IFERROR(__xludf.DUMMYFUNCTION("""COMPUTED_VALUE"""),55.7)</f>
        <v>55.7</v>
      </c>
      <c r="AG66" s="1">
        <f>IFERROR(__xludf.DUMMYFUNCTION("""COMPUTED_VALUE"""),117.86)</f>
        <v>117.86</v>
      </c>
      <c r="AH66" s="3">
        <f>IFERROR(__xludf.DUMMYFUNCTION("""COMPUTED_VALUE"""),283.1)</f>
        <v>283.1</v>
      </c>
      <c r="AI66" s="1">
        <f>IFERROR(__xludf.DUMMYFUNCTION("""COMPUTED_VALUE"""),431.81)</f>
        <v>431.81</v>
      </c>
      <c r="AJ66" s="1">
        <f>IFERROR(__xludf.DUMMYFUNCTION("""COMPUTED_VALUE"""),292.2)</f>
        <v>292.2</v>
      </c>
      <c r="AK66" s="3">
        <f>IFERROR(__xludf.DUMMYFUNCTION("""COMPUTED_VALUE"""),43.32)</f>
        <v>43.32</v>
      </c>
      <c r="AL66" s="1">
        <f>IFERROR(__xludf.DUMMYFUNCTION("""COMPUTED_VALUE"""),73.98)</f>
        <v>73.98</v>
      </c>
      <c r="AM66" s="1">
        <f>IFERROR(__xludf.DUMMYFUNCTION("""COMPUTED_VALUE"""),491.94)</f>
        <v>491.94</v>
      </c>
      <c r="AN66" s="1">
        <f>IFERROR(__xludf.DUMMYFUNCTION("""COMPUTED_VALUE"""),350.07)</f>
        <v>350.07</v>
      </c>
      <c r="AO66" s="1">
        <f>IFERROR(__xludf.DUMMYFUNCTION("""COMPUTED_VALUE"""),104.73)</f>
        <v>104.73</v>
      </c>
      <c r="AP66" s="1">
        <f>IFERROR(__xludf.DUMMYFUNCTION("""COMPUTED_VALUE"""),154.66)</f>
        <v>154.66</v>
      </c>
      <c r="AQ66" s="1">
        <f>IFERROR(__xludf.DUMMYFUNCTION("""COMPUTED_VALUE"""),469.23)</f>
        <v>469.23</v>
      </c>
      <c r="AR66" s="3">
        <f>IFERROR(__xludf.DUMMYFUNCTION("""COMPUTED_VALUE"""),207.94)</f>
        <v>207.94</v>
      </c>
      <c r="AS66" s="3">
        <f>IFERROR(__xludf.DUMMYFUNCTION("""COMPUTED_VALUE"""),559.42)</f>
        <v>559.42</v>
      </c>
      <c r="AT66" s="3">
        <f>IFERROR(__xludf.DUMMYFUNCTION("""COMPUTED_VALUE"""),241.95)</f>
        <v>241.95</v>
      </c>
      <c r="AU66" s="1">
        <f>IFERROR(__xludf.DUMMYFUNCTION("""COMPUTED_VALUE"""),25.46)</f>
        <v>25.46</v>
      </c>
      <c r="AV66" s="1">
        <f>IFERROR(__xludf.DUMMYFUNCTION("""COMPUTED_VALUE"""),82.27)</f>
        <v>82.27</v>
      </c>
      <c r="AW66" s="1">
        <f>IFERROR(__xludf.DUMMYFUNCTION("""COMPUTED_VALUE"""),70.41)</f>
        <v>70.41</v>
      </c>
      <c r="AX66" s="1">
        <f>IFERROR(__xludf.DUMMYFUNCTION("""COMPUTED_VALUE"""),11.44)</f>
        <v>11.44</v>
      </c>
      <c r="AY66" s="1">
        <f>IFERROR(__xludf.DUMMYFUNCTION("""COMPUTED_VALUE"""),414.01)</f>
        <v>414.01</v>
      </c>
      <c r="AZ66" s="3">
        <f>IFERROR(__xludf.DUMMYFUNCTION("""COMPUTED_VALUE"""),78.12)</f>
        <v>78.12</v>
      </c>
      <c r="BA66" s="3">
        <f>IFERROR(__xludf.DUMMYFUNCTION("""COMPUTED_VALUE"""),81.86)</f>
        <v>81.86</v>
      </c>
      <c r="BB66" s="3">
        <f>IFERROR(__xludf.DUMMYFUNCTION("""COMPUTED_VALUE"""),116.14)</f>
        <v>116.14</v>
      </c>
      <c r="BC66" s="1">
        <f>IFERROR(__xludf.DUMMYFUNCTION("""COMPUTED_VALUE"""),92.42)</f>
        <v>92.42</v>
      </c>
      <c r="BD66" s="1">
        <f>IFERROR(__xludf.DUMMYFUNCTION("""COMPUTED_VALUE"""),41.27)</f>
        <v>41.27</v>
      </c>
      <c r="BE66" s="1">
        <f>IFERROR(__xludf.DUMMYFUNCTION("""COMPUTED_VALUE"""),30.39)</f>
        <v>30.39</v>
      </c>
      <c r="BF66" s="1">
        <f>IFERROR(__xludf.DUMMYFUNCTION("""COMPUTED_VALUE"""),65.11)</f>
        <v>65.11</v>
      </c>
      <c r="BG66" s="1">
        <f>IFERROR(__xludf.DUMMYFUNCTION("""COMPUTED_VALUE"""),28.85)</f>
        <v>28.85</v>
      </c>
      <c r="BH66" s="1">
        <f>IFERROR(__xludf.DUMMYFUNCTION("""COMPUTED_VALUE"""),116.86)</f>
        <v>116.86</v>
      </c>
      <c r="BI66" s="1">
        <f>IFERROR(__xludf.DUMMYFUNCTION("""COMPUTED_VALUE"""),43.0)</f>
        <v>43</v>
      </c>
      <c r="BJ66" s="1">
        <f>IFERROR(__xludf.DUMMYFUNCTION("""COMPUTED_VALUE"""),195.33)</f>
        <v>195.33</v>
      </c>
      <c r="BK66" s="1">
        <f>IFERROR(__xludf.DUMMYFUNCTION("""COMPUTED_VALUE"""),604.21)</f>
        <v>604.21</v>
      </c>
      <c r="BL66" s="1">
        <f>IFERROR(__xludf.DUMMYFUNCTION("""COMPUTED_VALUE"""),172.39)</f>
        <v>172.39</v>
      </c>
      <c r="BM66" s="1">
        <f>IFERROR(__xludf.DUMMYFUNCTION("""COMPUTED_VALUE"""),161.99)</f>
        <v>161.99</v>
      </c>
      <c r="BN66" s="3">
        <f>IFERROR(__xludf.DUMMYFUNCTION("""COMPUTED_VALUE"""),8.09)</f>
        <v>8.09</v>
      </c>
      <c r="BO66" s="1">
        <f>IFERROR(__xludf.DUMMYFUNCTION("""COMPUTED_VALUE"""),237.27)</f>
        <v>237.27</v>
      </c>
      <c r="BP66" s="1">
        <f>IFERROR(__xludf.DUMMYFUNCTION("""COMPUTED_VALUE"""),574.24)</f>
        <v>574.24</v>
      </c>
      <c r="BQ66" s="36">
        <f>IFERROR(__xludf.DUMMYFUNCTION("""COMPUTED_VALUE"""),48.71)</f>
        <v>48.71</v>
      </c>
      <c r="BR66" s="1">
        <f>IFERROR(__xludf.DUMMYFUNCTION("""COMPUTED_VALUE"""),11.57)</f>
        <v>11.57</v>
      </c>
      <c r="BS66" s="1">
        <f>IFERROR(__xludf.DUMMYFUNCTION("""COMPUTED_VALUE"""),203.92)</f>
        <v>203.92</v>
      </c>
      <c r="BT66" s="1">
        <f>IFERROR(__xludf.DUMMYFUNCTION("""COMPUTED_VALUE"""),85.6)</f>
        <v>85.6</v>
      </c>
      <c r="BU66" s="3">
        <v>1.0</v>
      </c>
    </row>
    <row r="67">
      <c r="A67" s="25">
        <f>IFERROR(__xludf.DUMMYFUNCTION("""COMPUTED_VALUE"""),45518.66666666667)</f>
        <v>45518.66667</v>
      </c>
      <c r="B67" s="29">
        <f>'Master Scratch Work'!B66</f>
        <v>1269158.88</v>
      </c>
      <c r="C67" s="15">
        <f>IFERROR(__xludf.DUMMYFUNCTION("""COMPUTED_VALUE"""),5455.21)</f>
        <v>5455.21</v>
      </c>
      <c r="D67" s="15">
        <f>IFERROR(__xludf.DUMMYFUNCTION("""COMPUTED_VALUE"""),17192.6)</f>
        <v>17192.6</v>
      </c>
      <c r="E67" s="15">
        <f>IFERROR(__xludf.DUMMYFUNCTION("""COMPUTED_VALUE"""),40008.39)</f>
        <v>40008.39</v>
      </c>
      <c r="F67" s="15">
        <f>IFERROR(__xludf.DUMMYFUNCTION("""COMPUTED_VALUE"""),2084.32)</f>
        <v>2084.32</v>
      </c>
      <c r="G67" s="3">
        <f>IFERROR(__xludf.DUMMYFUNCTION("""COMPUTED_VALUE"""),543.75)</f>
        <v>543.75</v>
      </c>
      <c r="H67" s="3">
        <f>IFERROR(__xludf.DUMMYFUNCTION("""COMPUTED_VALUE"""),462.73)</f>
        <v>462.73</v>
      </c>
      <c r="I67" s="3">
        <f>IFERROR(__xludf.DUMMYFUNCTION("""COMPUTED_VALUE"""),539.79)</f>
        <v>539.79</v>
      </c>
      <c r="J67" s="3">
        <f>IFERROR(__xludf.DUMMYFUNCTION("""COMPUTED_VALUE"""),170.1)</f>
        <v>170.1</v>
      </c>
      <c r="K67" s="3">
        <f>IFERROR(__xludf.DUMMYFUNCTION("""COMPUTED_VALUE"""),141.67)</f>
        <v>141.67</v>
      </c>
      <c r="L67" s="3">
        <f>IFERROR(__xludf.DUMMYFUNCTION("""COMPUTED_VALUE"""),221.72)</f>
        <v>221.72</v>
      </c>
      <c r="M67" s="3">
        <f>IFERROR(__xludf.DUMMYFUNCTION("""COMPUTED_VALUE"""),201.63)</f>
        <v>201.63</v>
      </c>
      <c r="N67" s="3">
        <f>IFERROR(__xludf.DUMMYFUNCTION("""COMPUTED_VALUE"""),64.11)</f>
        <v>64.11</v>
      </c>
      <c r="O67" s="3">
        <f>IFERROR(__xludf.DUMMYFUNCTION("""COMPUTED_VALUE"""),11.46)</f>
        <v>11.46</v>
      </c>
      <c r="P67" s="3">
        <f>IFERROR(__xludf.DUMMYFUNCTION("""COMPUTED_VALUE"""),438.47)</f>
        <v>438.47</v>
      </c>
      <c r="Q67" s="3">
        <f>IFERROR(__xludf.DUMMYFUNCTION("""COMPUTED_VALUE"""),52.25)</f>
        <v>52.25</v>
      </c>
      <c r="R67" s="3">
        <f>IFERROR(__xludf.DUMMYFUNCTION("""COMPUTED_VALUE"""),200.59)</f>
        <v>200.59</v>
      </c>
      <c r="S67" s="3">
        <f>IFERROR(__xludf.DUMMYFUNCTION("""COMPUTED_VALUE"""),76.42)</f>
        <v>76.42</v>
      </c>
      <c r="T67" s="3">
        <f>IFERROR(__xludf.DUMMYFUNCTION("""COMPUTED_VALUE"""),65.68)</f>
        <v>65.68</v>
      </c>
      <c r="U67" s="3">
        <f>IFERROR(__xludf.DUMMYFUNCTION("""COMPUTED_VALUE"""),337.59)</f>
        <v>337.59</v>
      </c>
      <c r="V67" s="3">
        <f>IFERROR(__xludf.DUMMYFUNCTION("""COMPUTED_VALUE"""),39.85)</f>
        <v>39.85</v>
      </c>
      <c r="W67" s="3">
        <f>IFERROR(__xludf.DUMMYFUNCTION("""COMPUTED_VALUE"""),183.93)</f>
        <v>183.93</v>
      </c>
      <c r="X67" s="3">
        <f>IFERROR(__xludf.DUMMYFUNCTION("""COMPUTED_VALUE"""),144.67)</f>
        <v>144.67</v>
      </c>
      <c r="Y67" s="1">
        <f>IFERROR(__xludf.DUMMYFUNCTION("""COMPUTED_VALUE"""),334.9)</f>
        <v>334.9</v>
      </c>
      <c r="Z67" s="1">
        <f>IFERROR(__xludf.DUMMYFUNCTION("""COMPUTED_VALUE"""),40.11)</f>
        <v>40.11</v>
      </c>
      <c r="AA67" s="1">
        <f>IFERROR(__xludf.DUMMYFUNCTION("""COMPUTED_VALUE"""),68.58)</f>
        <v>68.58</v>
      </c>
      <c r="AB67" s="1">
        <f>IFERROR(__xludf.DUMMYFUNCTION("""COMPUTED_VALUE"""),100.86)</f>
        <v>100.86</v>
      </c>
      <c r="AC67" s="1">
        <f>IFERROR(__xludf.DUMMYFUNCTION("""COMPUTED_VALUE"""),151.18)</f>
        <v>151.18</v>
      </c>
      <c r="AD67" s="3">
        <f>IFERROR(__xludf.DUMMYFUNCTION("""COMPUTED_VALUE"""),92.37)</f>
        <v>92.37</v>
      </c>
      <c r="AE67" s="1">
        <f>IFERROR(__xludf.DUMMYFUNCTION("""COMPUTED_VALUE"""),442.24)</f>
        <v>442.24</v>
      </c>
      <c r="AF67" s="1">
        <f>IFERROR(__xludf.DUMMYFUNCTION("""COMPUTED_VALUE"""),55.76)</f>
        <v>55.76</v>
      </c>
      <c r="AG67" s="1">
        <f>IFERROR(__xludf.DUMMYFUNCTION("""COMPUTED_VALUE"""),118.95)</f>
        <v>118.95</v>
      </c>
      <c r="AH67" s="3">
        <f>IFERROR(__xludf.DUMMYFUNCTION("""COMPUTED_VALUE"""),283.33)</f>
        <v>283.33</v>
      </c>
      <c r="AI67" s="1">
        <f>IFERROR(__xludf.DUMMYFUNCTION("""COMPUTED_VALUE"""),452.9)</f>
        <v>452.9</v>
      </c>
      <c r="AJ67" s="1">
        <f>IFERROR(__xludf.DUMMYFUNCTION("""COMPUTED_VALUE"""),293.73)</f>
        <v>293.73</v>
      </c>
      <c r="AK67" s="3">
        <f>IFERROR(__xludf.DUMMYFUNCTION("""COMPUTED_VALUE"""),43.61)</f>
        <v>43.61</v>
      </c>
      <c r="AL67" s="1">
        <f>IFERROR(__xludf.DUMMYFUNCTION("""COMPUTED_VALUE"""),74.14)</f>
        <v>74.14</v>
      </c>
      <c r="AM67" s="1">
        <f>IFERROR(__xludf.DUMMYFUNCTION("""COMPUTED_VALUE"""),498.7)</f>
        <v>498.7</v>
      </c>
      <c r="AN67" s="1">
        <f>IFERROR(__xludf.DUMMYFUNCTION("""COMPUTED_VALUE"""),355.66)</f>
        <v>355.66</v>
      </c>
      <c r="AO67" s="1">
        <f>IFERROR(__xludf.DUMMYFUNCTION("""COMPUTED_VALUE"""),103.55)</f>
        <v>103.55</v>
      </c>
      <c r="AP67" s="1">
        <f>IFERROR(__xludf.DUMMYFUNCTION("""COMPUTED_VALUE"""),156.12)</f>
        <v>156.12</v>
      </c>
      <c r="AQ67" s="1">
        <f>IFERROR(__xludf.DUMMYFUNCTION("""COMPUTED_VALUE"""),471.21)</f>
        <v>471.21</v>
      </c>
      <c r="AR67" s="3">
        <f>IFERROR(__xludf.DUMMYFUNCTION("""COMPUTED_VALUE"""),210.24)</f>
        <v>210.24</v>
      </c>
      <c r="AS67" s="3">
        <f>IFERROR(__xludf.DUMMYFUNCTION("""COMPUTED_VALUE"""),563.22)</f>
        <v>563.22</v>
      </c>
      <c r="AT67" s="3">
        <f>IFERROR(__xludf.DUMMYFUNCTION("""COMPUTED_VALUE"""),240.49)</f>
        <v>240.49</v>
      </c>
      <c r="AU67" s="1">
        <f>IFERROR(__xludf.DUMMYFUNCTION("""COMPUTED_VALUE"""),25.87)</f>
        <v>25.87</v>
      </c>
      <c r="AV67" s="1">
        <f>IFERROR(__xludf.DUMMYFUNCTION("""COMPUTED_VALUE"""),81.74)</f>
        <v>81.74</v>
      </c>
      <c r="AW67" s="1">
        <f>IFERROR(__xludf.DUMMYFUNCTION("""COMPUTED_VALUE"""),71.18)</f>
        <v>71.18</v>
      </c>
      <c r="AX67" s="1">
        <f>IFERROR(__xludf.DUMMYFUNCTION("""COMPUTED_VALUE"""),11.6)</f>
        <v>11.6</v>
      </c>
      <c r="AY67" s="1">
        <f>IFERROR(__xludf.DUMMYFUNCTION("""COMPUTED_VALUE"""),416.86)</f>
        <v>416.86</v>
      </c>
      <c r="AZ67" s="3">
        <f>IFERROR(__xludf.DUMMYFUNCTION("""COMPUTED_VALUE"""),78.01)</f>
        <v>78.01</v>
      </c>
      <c r="BA67" s="3">
        <f>IFERROR(__xludf.DUMMYFUNCTION("""COMPUTED_VALUE"""),82.38)</f>
        <v>82.38</v>
      </c>
      <c r="BB67" s="3">
        <f>IFERROR(__xludf.DUMMYFUNCTION("""COMPUTED_VALUE"""),118.08)</f>
        <v>118.08</v>
      </c>
      <c r="BC67" s="1">
        <f>IFERROR(__xludf.DUMMYFUNCTION("""COMPUTED_VALUE"""),92.11)</f>
        <v>92.11</v>
      </c>
      <c r="BD67" s="1">
        <f>IFERROR(__xludf.DUMMYFUNCTION("""COMPUTED_VALUE"""),40.56)</f>
        <v>40.56</v>
      </c>
      <c r="BE67" s="1">
        <f>IFERROR(__xludf.DUMMYFUNCTION("""COMPUTED_VALUE"""),31.0)</f>
        <v>31</v>
      </c>
      <c r="BF67" s="1">
        <f>IFERROR(__xludf.DUMMYFUNCTION("""COMPUTED_VALUE"""),66.14)</f>
        <v>66.14</v>
      </c>
      <c r="BG67" s="1">
        <f>IFERROR(__xludf.DUMMYFUNCTION("""COMPUTED_VALUE"""),28.88)</f>
        <v>28.88</v>
      </c>
      <c r="BH67" s="1">
        <f>IFERROR(__xludf.DUMMYFUNCTION("""COMPUTED_VALUE"""),117.65)</f>
        <v>117.65</v>
      </c>
      <c r="BI67" s="1">
        <f>IFERROR(__xludf.DUMMYFUNCTION("""COMPUTED_VALUE"""),42.58)</f>
        <v>42.58</v>
      </c>
      <c r="BJ67" s="1">
        <f>IFERROR(__xludf.DUMMYFUNCTION("""COMPUTED_VALUE"""),196.49)</f>
        <v>196.49</v>
      </c>
      <c r="BK67" s="1">
        <f>IFERROR(__xludf.DUMMYFUNCTION("""COMPUTED_VALUE"""),602.1)</f>
        <v>602.1</v>
      </c>
      <c r="BL67" s="1">
        <f>IFERROR(__xludf.DUMMYFUNCTION("""COMPUTED_VALUE"""),177.01)</f>
        <v>177.01</v>
      </c>
      <c r="BM67" s="1">
        <f>IFERROR(__xludf.DUMMYFUNCTION("""COMPUTED_VALUE"""),163.08)</f>
        <v>163.08</v>
      </c>
      <c r="BN67" s="3">
        <f>IFERROR(__xludf.DUMMYFUNCTION("""COMPUTED_VALUE"""),7.95)</f>
        <v>7.95</v>
      </c>
      <c r="BO67" s="1">
        <f>IFERROR(__xludf.DUMMYFUNCTION("""COMPUTED_VALUE"""),241.22)</f>
        <v>241.22</v>
      </c>
      <c r="BP67" s="1">
        <f>IFERROR(__xludf.DUMMYFUNCTION("""COMPUTED_VALUE"""),579.67)</f>
        <v>579.67</v>
      </c>
      <c r="BQ67" s="36">
        <f>IFERROR(__xludf.DUMMYFUNCTION("""COMPUTED_VALUE"""),48.69)</f>
        <v>48.69</v>
      </c>
      <c r="BR67" s="1">
        <f>IFERROR(__xludf.DUMMYFUNCTION("""COMPUTED_VALUE"""),11.4)</f>
        <v>11.4</v>
      </c>
      <c r="BS67" s="1">
        <f>IFERROR(__xludf.DUMMYFUNCTION("""COMPUTED_VALUE"""),206.35)</f>
        <v>206.35</v>
      </c>
      <c r="BT67" s="1">
        <f>IFERROR(__xludf.DUMMYFUNCTION("""COMPUTED_VALUE"""),86.3)</f>
        <v>86.3</v>
      </c>
      <c r="BU67" s="3">
        <v>1.0</v>
      </c>
    </row>
    <row r="68">
      <c r="A68" s="25">
        <f>IFERROR(__xludf.DUMMYFUNCTION("""COMPUTED_VALUE"""),45519.66666666667)</f>
        <v>45519.66667</v>
      </c>
      <c r="B68" s="29">
        <f>'Master Scratch Work'!B67</f>
        <v>1285131.49</v>
      </c>
      <c r="C68" s="15">
        <f>IFERROR(__xludf.DUMMYFUNCTION("""COMPUTED_VALUE"""),5543.22)</f>
        <v>5543.22</v>
      </c>
      <c r="D68" s="15">
        <f>IFERROR(__xludf.DUMMYFUNCTION("""COMPUTED_VALUE"""),17594.5)</f>
        <v>17594.5</v>
      </c>
      <c r="E68" s="15">
        <f>IFERROR(__xludf.DUMMYFUNCTION("""COMPUTED_VALUE"""),40563.06)</f>
        <v>40563.06</v>
      </c>
      <c r="F68" s="15">
        <f>IFERROR(__xludf.DUMMYFUNCTION("""COMPUTED_VALUE"""),2135.47)</f>
        <v>2135.47</v>
      </c>
      <c r="G68" s="3">
        <f>IFERROR(__xludf.DUMMYFUNCTION("""COMPUTED_VALUE"""),553.07)</f>
        <v>553.07</v>
      </c>
      <c r="H68" s="3">
        <f>IFERROR(__xludf.DUMMYFUNCTION("""COMPUTED_VALUE"""),474.42)</f>
        <v>474.42</v>
      </c>
      <c r="I68" s="3">
        <f>IFERROR(__xludf.DUMMYFUNCTION("""COMPUTED_VALUE"""),554.16)</f>
        <v>554.16</v>
      </c>
      <c r="J68" s="3">
        <f>IFERROR(__xludf.DUMMYFUNCTION("""COMPUTED_VALUE"""),177.59)</f>
        <v>177.59</v>
      </c>
      <c r="K68" s="3">
        <f>IFERROR(__xludf.DUMMYFUNCTION("""COMPUTED_VALUE"""),142.03)</f>
        <v>142.03</v>
      </c>
      <c r="L68" s="3">
        <f>IFERROR(__xludf.DUMMYFUNCTION("""COMPUTED_VALUE"""),224.72)</f>
        <v>224.72</v>
      </c>
      <c r="M68" s="3">
        <f>IFERROR(__xludf.DUMMYFUNCTION("""COMPUTED_VALUE"""),211.83)</f>
        <v>211.83</v>
      </c>
      <c r="N68" s="3">
        <f>IFERROR(__xludf.DUMMYFUNCTION("""COMPUTED_VALUE"""),64.98)</f>
        <v>64.98</v>
      </c>
      <c r="O68" s="3">
        <f>IFERROR(__xludf.DUMMYFUNCTION("""COMPUTED_VALUE"""),11.86)</f>
        <v>11.86</v>
      </c>
      <c r="P68" s="3">
        <f>IFERROR(__xludf.DUMMYFUNCTION("""COMPUTED_VALUE"""),440.84)</f>
        <v>440.84</v>
      </c>
      <c r="Q68" s="3">
        <f>IFERROR(__xludf.DUMMYFUNCTION("""COMPUTED_VALUE"""),52.65)</f>
        <v>52.65</v>
      </c>
      <c r="R68" s="3">
        <f>IFERROR(__xludf.DUMMYFUNCTION("""COMPUTED_VALUE"""),201.63)</f>
        <v>201.63</v>
      </c>
      <c r="S68" s="3">
        <f>IFERROR(__xludf.DUMMYFUNCTION("""COMPUTED_VALUE"""),77.58)</f>
        <v>77.58</v>
      </c>
      <c r="T68" s="3">
        <f>IFERROR(__xludf.DUMMYFUNCTION("""COMPUTED_VALUE"""),68.4)</f>
        <v>68.4</v>
      </c>
      <c r="U68" s="3">
        <f>IFERROR(__xludf.DUMMYFUNCTION("""COMPUTED_VALUE"""),345.64)</f>
        <v>345.64</v>
      </c>
      <c r="V68" s="3">
        <f>IFERROR(__xludf.DUMMYFUNCTION("""COMPUTED_VALUE"""),40.78)</f>
        <v>40.78</v>
      </c>
      <c r="W68" s="3">
        <f>IFERROR(__xludf.DUMMYFUNCTION("""COMPUTED_VALUE"""),185.68)</f>
        <v>185.68</v>
      </c>
      <c r="X68" s="3">
        <f>IFERROR(__xludf.DUMMYFUNCTION("""COMPUTED_VALUE"""),146.8)</f>
        <v>146.8</v>
      </c>
      <c r="Y68" s="1">
        <f>IFERROR(__xludf.DUMMYFUNCTION("""COMPUTED_VALUE"""),336.7)</f>
        <v>336.7</v>
      </c>
      <c r="Z68" s="1">
        <f>IFERROR(__xludf.DUMMYFUNCTION("""COMPUTED_VALUE"""),40.59)</f>
        <v>40.59</v>
      </c>
      <c r="AA68" s="1">
        <f>IFERROR(__xludf.DUMMYFUNCTION("""COMPUTED_VALUE"""),68.65)</f>
        <v>68.65</v>
      </c>
      <c r="AB68" s="1">
        <f>IFERROR(__xludf.DUMMYFUNCTION("""COMPUTED_VALUE"""),99.23)</f>
        <v>99.23</v>
      </c>
      <c r="AC68" s="1">
        <f>IFERROR(__xludf.DUMMYFUNCTION("""COMPUTED_VALUE"""),149.86)</f>
        <v>149.86</v>
      </c>
      <c r="AD68" s="3">
        <f>IFERROR(__xludf.DUMMYFUNCTION("""COMPUTED_VALUE"""),97.19)</f>
        <v>97.19</v>
      </c>
      <c r="AE68" s="1">
        <f>IFERROR(__xludf.DUMMYFUNCTION("""COMPUTED_VALUE"""),444.58)</f>
        <v>444.58</v>
      </c>
      <c r="AF68" s="1">
        <f>IFERROR(__xludf.DUMMYFUNCTION("""COMPUTED_VALUE"""),55.83)</f>
        <v>55.83</v>
      </c>
      <c r="AG68" s="1">
        <f>IFERROR(__xludf.DUMMYFUNCTION("""COMPUTED_VALUE"""),118.73)</f>
        <v>118.73</v>
      </c>
      <c r="AH68" s="3">
        <f>IFERROR(__xludf.DUMMYFUNCTION("""COMPUTED_VALUE"""),284.18)</f>
        <v>284.18</v>
      </c>
      <c r="AI68" s="1">
        <f>IFERROR(__xludf.DUMMYFUNCTION("""COMPUTED_VALUE"""),454.13)</f>
        <v>454.13</v>
      </c>
      <c r="AJ68" s="1">
        <f>IFERROR(__xludf.DUMMYFUNCTION("""COMPUTED_VALUE"""),295.95)</f>
        <v>295.95</v>
      </c>
      <c r="AK68" s="3">
        <f>IFERROR(__xludf.DUMMYFUNCTION("""COMPUTED_VALUE"""),44.86)</f>
        <v>44.86</v>
      </c>
      <c r="AL68" s="1">
        <f>IFERROR(__xludf.DUMMYFUNCTION("""COMPUTED_VALUE"""),74.34)</f>
        <v>74.34</v>
      </c>
      <c r="AM68" s="1">
        <f>IFERROR(__xludf.DUMMYFUNCTION("""COMPUTED_VALUE"""),499.02)</f>
        <v>499.02</v>
      </c>
      <c r="AN68" s="1">
        <f>IFERROR(__xludf.DUMMYFUNCTION("""COMPUTED_VALUE"""),360.07)</f>
        <v>360.07</v>
      </c>
      <c r="AO68" s="1">
        <f>IFERROR(__xludf.DUMMYFUNCTION("""COMPUTED_VALUE"""),105.5)</f>
        <v>105.5</v>
      </c>
      <c r="AP68" s="1">
        <f>IFERROR(__xludf.DUMMYFUNCTION("""COMPUTED_VALUE"""),155.5)</f>
        <v>155.5</v>
      </c>
      <c r="AQ68" s="1">
        <f>IFERROR(__xludf.DUMMYFUNCTION("""COMPUTED_VALUE"""),480.17)</f>
        <v>480.17</v>
      </c>
      <c r="AR68" s="3">
        <f>IFERROR(__xludf.DUMMYFUNCTION("""COMPUTED_VALUE"""),211.55)</f>
        <v>211.55</v>
      </c>
      <c r="AS68" s="3">
        <f>IFERROR(__xludf.DUMMYFUNCTION("""COMPUTED_VALUE"""),560.29)</f>
        <v>560.29</v>
      </c>
      <c r="AT68" s="3">
        <f>IFERROR(__xludf.DUMMYFUNCTION("""COMPUTED_VALUE"""),256.55)</f>
        <v>256.55</v>
      </c>
      <c r="AU68" s="1">
        <f>IFERROR(__xludf.DUMMYFUNCTION("""COMPUTED_VALUE"""),26.0)</f>
        <v>26</v>
      </c>
      <c r="AV68" s="1">
        <f>IFERROR(__xludf.DUMMYFUNCTION("""COMPUTED_VALUE"""),83.65)</f>
        <v>83.65</v>
      </c>
      <c r="AW68" s="1">
        <f>IFERROR(__xludf.DUMMYFUNCTION("""COMPUTED_VALUE"""),71.73)</f>
        <v>71.73</v>
      </c>
      <c r="AX68" s="1">
        <f>IFERROR(__xludf.DUMMYFUNCTION("""COMPUTED_VALUE"""),12.35)</f>
        <v>12.35</v>
      </c>
      <c r="AY68" s="1">
        <f>IFERROR(__xludf.DUMMYFUNCTION("""COMPUTED_VALUE"""),421.03)</f>
        <v>421.03</v>
      </c>
      <c r="AZ68" s="3">
        <f>IFERROR(__xludf.DUMMYFUNCTION("""COMPUTED_VALUE"""),77.41)</f>
        <v>77.41</v>
      </c>
      <c r="BA68" s="3">
        <f>IFERROR(__xludf.DUMMYFUNCTION("""COMPUTED_VALUE"""),82.75)</f>
        <v>82.75</v>
      </c>
      <c r="BB68" s="3">
        <f>IFERROR(__xludf.DUMMYFUNCTION("""COMPUTED_VALUE"""),122.86)</f>
        <v>122.86</v>
      </c>
      <c r="BC68" s="1">
        <f>IFERROR(__xludf.DUMMYFUNCTION("""COMPUTED_VALUE"""),93.21)</f>
        <v>93.21</v>
      </c>
      <c r="BD68" s="1">
        <f>IFERROR(__xludf.DUMMYFUNCTION("""COMPUTED_VALUE"""),42.73)</f>
        <v>42.73</v>
      </c>
      <c r="BE68" s="1">
        <f>IFERROR(__xludf.DUMMYFUNCTION("""COMPUTED_VALUE"""),31.22)</f>
        <v>31.22</v>
      </c>
      <c r="BF68" s="1">
        <f>IFERROR(__xludf.DUMMYFUNCTION("""COMPUTED_VALUE"""),67.94)</f>
        <v>67.94</v>
      </c>
      <c r="BG68" s="1">
        <f>IFERROR(__xludf.DUMMYFUNCTION("""COMPUTED_VALUE"""),28.71)</f>
        <v>28.71</v>
      </c>
      <c r="BH68" s="1">
        <f>IFERROR(__xludf.DUMMYFUNCTION("""COMPUTED_VALUE"""),118.36)</f>
        <v>118.36</v>
      </c>
      <c r="BI68" s="1">
        <f>IFERROR(__xludf.DUMMYFUNCTION("""COMPUTED_VALUE"""),43.52)</f>
        <v>43.52</v>
      </c>
      <c r="BJ68" s="1">
        <f>IFERROR(__xludf.DUMMYFUNCTION("""COMPUTED_VALUE"""),194.63)</f>
        <v>194.63</v>
      </c>
      <c r="BK68" s="1">
        <f>IFERROR(__xludf.DUMMYFUNCTION("""COMPUTED_VALUE"""),603.69)</f>
        <v>603.69</v>
      </c>
      <c r="BL68" s="1">
        <f>IFERROR(__xludf.DUMMYFUNCTION("""COMPUTED_VALUE"""),181.79)</f>
        <v>181.79</v>
      </c>
      <c r="BM68" s="1">
        <f>IFERROR(__xludf.DUMMYFUNCTION("""COMPUTED_VALUE"""),169.95)</f>
        <v>169.95</v>
      </c>
      <c r="BN68" s="3">
        <f>IFERROR(__xludf.DUMMYFUNCTION("""COMPUTED_VALUE"""),8.13)</f>
        <v>8.13</v>
      </c>
      <c r="BO68" s="1">
        <f>IFERROR(__xludf.DUMMYFUNCTION("""COMPUTED_VALUE"""),243.71)</f>
        <v>243.71</v>
      </c>
      <c r="BP68" s="1">
        <f>IFERROR(__xludf.DUMMYFUNCTION("""COMPUTED_VALUE"""),579.61)</f>
        <v>579.61</v>
      </c>
      <c r="BQ68" s="36">
        <f>IFERROR(__xludf.DUMMYFUNCTION("""COMPUTED_VALUE"""),48.61)</f>
        <v>48.61</v>
      </c>
      <c r="BR68" s="1">
        <f>IFERROR(__xludf.DUMMYFUNCTION("""COMPUTED_VALUE"""),11.67)</f>
        <v>11.67</v>
      </c>
      <c r="BS68" s="1">
        <f>IFERROR(__xludf.DUMMYFUNCTION("""COMPUTED_VALUE"""),206.91)</f>
        <v>206.91</v>
      </c>
      <c r="BT68" s="1">
        <f>IFERROR(__xludf.DUMMYFUNCTION("""COMPUTED_VALUE"""),88.79)</f>
        <v>88.79</v>
      </c>
      <c r="BU68" s="3">
        <v>1.0</v>
      </c>
    </row>
    <row r="69">
      <c r="A69" s="25">
        <f>IFERROR(__xludf.DUMMYFUNCTION("""COMPUTED_VALUE"""),45520.66666666667)</f>
        <v>45520.66667</v>
      </c>
      <c r="B69" s="29">
        <f>'Master Scratch Work'!B68</f>
        <v>1289474.45</v>
      </c>
      <c r="C69" s="15">
        <f>IFERROR(__xludf.DUMMYFUNCTION("""COMPUTED_VALUE"""),5554.25)</f>
        <v>5554.25</v>
      </c>
      <c r="D69" s="15">
        <f>IFERROR(__xludf.DUMMYFUNCTION("""COMPUTED_VALUE"""),17631.72)</f>
        <v>17631.72</v>
      </c>
      <c r="E69" s="15">
        <f>IFERROR(__xludf.DUMMYFUNCTION("""COMPUTED_VALUE"""),40659.76)</f>
        <v>40659.76</v>
      </c>
      <c r="F69" s="15">
        <f>IFERROR(__xludf.DUMMYFUNCTION("""COMPUTED_VALUE"""),2141.92)</f>
        <v>2141.92</v>
      </c>
      <c r="G69" s="3">
        <f>IFERROR(__xludf.DUMMYFUNCTION("""COMPUTED_VALUE"""),554.31)</f>
        <v>554.31</v>
      </c>
      <c r="H69" s="3">
        <f>IFERROR(__xludf.DUMMYFUNCTION("""COMPUTED_VALUE"""),475.03)</f>
        <v>475.03</v>
      </c>
      <c r="I69" s="3">
        <f>IFERROR(__xludf.DUMMYFUNCTION("""COMPUTED_VALUE"""),553.46)</f>
        <v>553.46</v>
      </c>
      <c r="J69" s="3">
        <f>IFERROR(__xludf.DUMMYFUNCTION("""COMPUTED_VALUE"""),177.06)</f>
        <v>177.06</v>
      </c>
      <c r="K69" s="3">
        <f>IFERROR(__xludf.DUMMYFUNCTION("""COMPUTED_VALUE"""),140.98)</f>
        <v>140.98</v>
      </c>
      <c r="L69" s="3">
        <f>IFERROR(__xludf.DUMMYFUNCTION("""COMPUTED_VALUE"""),226.05)</f>
        <v>226.05</v>
      </c>
      <c r="M69" s="3">
        <f>IFERROR(__xludf.DUMMYFUNCTION("""COMPUTED_VALUE"""),207.9)</f>
        <v>207.9</v>
      </c>
      <c r="N69" s="3">
        <f>IFERROR(__xludf.DUMMYFUNCTION("""COMPUTED_VALUE"""),65.61)</f>
        <v>65.61</v>
      </c>
      <c r="O69" s="3">
        <f>IFERROR(__xludf.DUMMYFUNCTION("""COMPUTED_VALUE"""),11.87)</f>
        <v>11.87</v>
      </c>
      <c r="P69" s="3">
        <f>IFERROR(__xludf.DUMMYFUNCTION("""COMPUTED_VALUE"""),444.51)</f>
        <v>444.51</v>
      </c>
      <c r="Q69" s="3">
        <f>IFERROR(__xludf.DUMMYFUNCTION("""COMPUTED_VALUE"""),53.24)</f>
        <v>53.24</v>
      </c>
      <c r="R69" s="3">
        <f>IFERROR(__xludf.DUMMYFUNCTION("""COMPUTED_VALUE"""),201.91)</f>
        <v>201.91</v>
      </c>
      <c r="S69" s="3">
        <f>IFERROR(__xludf.DUMMYFUNCTION("""COMPUTED_VALUE"""),78.25)</f>
        <v>78.25</v>
      </c>
      <c r="T69" s="3">
        <f>IFERROR(__xludf.DUMMYFUNCTION("""COMPUTED_VALUE"""),67.38)</f>
        <v>67.38</v>
      </c>
      <c r="U69" s="3">
        <f>IFERROR(__xludf.DUMMYFUNCTION("""COMPUTED_VALUE"""),343.48)</f>
        <v>343.48</v>
      </c>
      <c r="V69" s="3">
        <f>IFERROR(__xludf.DUMMYFUNCTION("""COMPUTED_VALUE"""),40.26)</f>
        <v>40.26</v>
      </c>
      <c r="W69" s="3">
        <f>IFERROR(__xludf.DUMMYFUNCTION("""COMPUTED_VALUE"""),185.41)</f>
        <v>185.41</v>
      </c>
      <c r="X69" s="3">
        <f>IFERROR(__xludf.DUMMYFUNCTION("""COMPUTED_VALUE"""),147.27)</f>
        <v>147.27</v>
      </c>
      <c r="Y69" s="1">
        <f>IFERROR(__xludf.DUMMYFUNCTION("""COMPUTED_VALUE"""),342.32)</f>
        <v>342.32</v>
      </c>
      <c r="Z69" s="1">
        <f>IFERROR(__xludf.DUMMYFUNCTION("""COMPUTED_VALUE"""),41.23)</f>
        <v>41.23</v>
      </c>
      <c r="AA69" s="1">
        <f>IFERROR(__xludf.DUMMYFUNCTION("""COMPUTED_VALUE"""),69.18)</f>
        <v>69.18</v>
      </c>
      <c r="AB69" s="1">
        <f>IFERROR(__xludf.DUMMYFUNCTION("""COMPUTED_VALUE"""),100.1)</f>
        <v>100.1</v>
      </c>
      <c r="AC69" s="1">
        <f>IFERROR(__xludf.DUMMYFUNCTION("""COMPUTED_VALUE"""),149.6)</f>
        <v>149.6</v>
      </c>
      <c r="AD69" s="3">
        <f>IFERROR(__xludf.DUMMYFUNCTION("""COMPUTED_VALUE"""),98.78)</f>
        <v>98.78</v>
      </c>
      <c r="AE69" s="1">
        <f>IFERROR(__xludf.DUMMYFUNCTION("""COMPUTED_VALUE"""),442.91)</f>
        <v>442.91</v>
      </c>
      <c r="AF69" s="1">
        <f>IFERROR(__xludf.DUMMYFUNCTION("""COMPUTED_VALUE"""),55.5)</f>
        <v>55.5</v>
      </c>
      <c r="AG69" s="1">
        <f>IFERROR(__xludf.DUMMYFUNCTION("""COMPUTED_VALUE"""),118.17)</f>
        <v>118.17</v>
      </c>
      <c r="AH69" s="3">
        <f>IFERROR(__xludf.DUMMYFUNCTION("""COMPUTED_VALUE"""),285.4)</f>
        <v>285.4</v>
      </c>
      <c r="AI69" s="1">
        <f>IFERROR(__xludf.DUMMYFUNCTION("""COMPUTED_VALUE"""),459.7)</f>
        <v>459.7</v>
      </c>
      <c r="AJ69" s="1">
        <f>IFERROR(__xludf.DUMMYFUNCTION("""COMPUTED_VALUE"""),296.59)</f>
        <v>296.59</v>
      </c>
      <c r="AK69" s="3">
        <f>IFERROR(__xludf.DUMMYFUNCTION("""COMPUTED_VALUE"""),45.32)</f>
        <v>45.32</v>
      </c>
      <c r="AL69" s="1">
        <f>IFERROR(__xludf.DUMMYFUNCTION("""COMPUTED_VALUE"""),73.78)</f>
        <v>73.78</v>
      </c>
      <c r="AM69" s="1">
        <f>IFERROR(__xludf.DUMMYFUNCTION("""COMPUTED_VALUE"""),504.26)</f>
        <v>504.26</v>
      </c>
      <c r="AN69" s="1">
        <f>IFERROR(__xludf.DUMMYFUNCTION("""COMPUTED_VALUE"""),362.06)</f>
        <v>362.06</v>
      </c>
      <c r="AO69" s="1">
        <f>IFERROR(__xludf.DUMMYFUNCTION("""COMPUTED_VALUE"""),104.76)</f>
        <v>104.76</v>
      </c>
      <c r="AP69" s="1">
        <f>IFERROR(__xludf.DUMMYFUNCTION("""COMPUTED_VALUE"""),156.54)</f>
        <v>156.54</v>
      </c>
      <c r="AQ69" s="1">
        <f>IFERROR(__xludf.DUMMYFUNCTION("""COMPUTED_VALUE"""),478.98)</f>
        <v>478.98</v>
      </c>
      <c r="AR69" s="3">
        <f>IFERROR(__xludf.DUMMYFUNCTION("""COMPUTED_VALUE"""),213.97)</f>
        <v>213.97</v>
      </c>
      <c r="AS69" s="3">
        <f>IFERROR(__xludf.DUMMYFUNCTION("""COMPUTED_VALUE"""),560.13)</f>
        <v>560.13</v>
      </c>
      <c r="AT69" s="3">
        <f>IFERROR(__xludf.DUMMYFUNCTION("""COMPUTED_VALUE"""),258.1)</f>
        <v>258.1</v>
      </c>
      <c r="AU69" s="1">
        <f>IFERROR(__xludf.DUMMYFUNCTION("""COMPUTED_VALUE"""),26.14)</f>
        <v>26.14</v>
      </c>
      <c r="AV69" s="1">
        <f>IFERROR(__xludf.DUMMYFUNCTION("""COMPUTED_VALUE"""),84.6)</f>
        <v>84.6</v>
      </c>
      <c r="AW69" s="1">
        <f>IFERROR(__xludf.DUMMYFUNCTION("""COMPUTED_VALUE"""),73.05)</f>
        <v>73.05</v>
      </c>
      <c r="AX69" s="1">
        <f>IFERROR(__xludf.DUMMYFUNCTION("""COMPUTED_VALUE"""),11.89)</f>
        <v>11.89</v>
      </c>
      <c r="AY69" s="1">
        <f>IFERROR(__xludf.DUMMYFUNCTION("""COMPUTED_VALUE"""),418.47)</f>
        <v>418.47</v>
      </c>
      <c r="AZ69" s="3">
        <f>IFERROR(__xludf.DUMMYFUNCTION("""COMPUTED_VALUE"""),78.57)</f>
        <v>78.57</v>
      </c>
      <c r="BA69" s="3">
        <f>IFERROR(__xludf.DUMMYFUNCTION("""COMPUTED_VALUE"""),82.78)</f>
        <v>82.78</v>
      </c>
      <c r="BB69" s="3">
        <f>IFERROR(__xludf.DUMMYFUNCTION("""COMPUTED_VALUE"""),124.58)</f>
        <v>124.58</v>
      </c>
      <c r="BC69" s="1">
        <f>IFERROR(__xludf.DUMMYFUNCTION("""COMPUTED_VALUE"""),92.12)</f>
        <v>92.12</v>
      </c>
      <c r="BD69" s="1">
        <f>IFERROR(__xludf.DUMMYFUNCTION("""COMPUTED_VALUE"""),42.54)</f>
        <v>42.54</v>
      </c>
      <c r="BE69" s="1">
        <f>IFERROR(__xludf.DUMMYFUNCTION("""COMPUTED_VALUE"""),32.08)</f>
        <v>32.08</v>
      </c>
      <c r="BF69" s="1">
        <f>IFERROR(__xludf.DUMMYFUNCTION("""COMPUTED_VALUE"""),67.96)</f>
        <v>67.96</v>
      </c>
      <c r="BG69" s="1">
        <f>IFERROR(__xludf.DUMMYFUNCTION("""COMPUTED_VALUE"""),28.3)</f>
        <v>28.3</v>
      </c>
      <c r="BH69" s="1">
        <f>IFERROR(__xludf.DUMMYFUNCTION("""COMPUTED_VALUE"""),117.95)</f>
        <v>117.95</v>
      </c>
      <c r="BI69" s="1">
        <f>IFERROR(__xludf.DUMMYFUNCTION("""COMPUTED_VALUE"""),42.85)</f>
        <v>42.85</v>
      </c>
      <c r="BJ69" s="1">
        <f>IFERROR(__xludf.DUMMYFUNCTION("""COMPUTED_VALUE"""),196.56)</f>
        <v>196.56</v>
      </c>
      <c r="BK69" s="1">
        <f>IFERROR(__xludf.DUMMYFUNCTION("""COMPUTED_VALUE"""),603.98)</f>
        <v>603.98</v>
      </c>
      <c r="BL69" s="1">
        <f>IFERROR(__xludf.DUMMYFUNCTION("""COMPUTED_VALUE"""),182.67)</f>
        <v>182.67</v>
      </c>
      <c r="BM69" s="1">
        <f>IFERROR(__xludf.DUMMYFUNCTION("""COMPUTED_VALUE"""),170.28)</f>
        <v>170.28</v>
      </c>
      <c r="BN69" s="3">
        <f>IFERROR(__xludf.DUMMYFUNCTION("""COMPUTED_VALUE"""),8.0)</f>
        <v>8</v>
      </c>
      <c r="BO69" s="1">
        <f>IFERROR(__xludf.DUMMYFUNCTION("""COMPUTED_VALUE"""),244.53)</f>
        <v>244.53</v>
      </c>
      <c r="BP69" s="1">
        <f>IFERROR(__xludf.DUMMYFUNCTION("""COMPUTED_VALUE"""),577.68)</f>
        <v>577.68</v>
      </c>
      <c r="BQ69" s="36">
        <f>IFERROR(__xludf.DUMMYFUNCTION("""COMPUTED_VALUE"""),48.63)</f>
        <v>48.63</v>
      </c>
      <c r="BR69" s="1">
        <f>IFERROR(__xludf.DUMMYFUNCTION("""COMPUTED_VALUE"""),11.66)</f>
        <v>11.66</v>
      </c>
      <c r="BS69" s="1">
        <f>IFERROR(__xludf.DUMMYFUNCTION("""COMPUTED_VALUE"""),205.4)</f>
        <v>205.4</v>
      </c>
      <c r="BT69" s="1">
        <f>IFERROR(__xludf.DUMMYFUNCTION("""COMPUTED_VALUE"""),89.3)</f>
        <v>89.3</v>
      </c>
      <c r="BU69" s="3">
        <v>1.0</v>
      </c>
    </row>
    <row r="70">
      <c r="A70" s="25">
        <f>IFERROR(__xludf.DUMMYFUNCTION("""COMPUTED_VALUE"""),45523.66666666667)</f>
        <v>45523.66667</v>
      </c>
      <c r="B70" s="29">
        <f>'Master Scratch Work'!B69</f>
        <v>1297386.56</v>
      </c>
      <c r="C70" s="15">
        <f>IFERROR(__xludf.DUMMYFUNCTION("""COMPUTED_VALUE"""),5608.25)</f>
        <v>5608.25</v>
      </c>
      <c r="D70" s="15">
        <f>IFERROR(__xludf.DUMMYFUNCTION("""COMPUTED_VALUE"""),17876.77)</f>
        <v>17876.77</v>
      </c>
      <c r="E70" s="15">
        <f>IFERROR(__xludf.DUMMYFUNCTION("""COMPUTED_VALUE"""),40896.53)</f>
        <v>40896.53</v>
      </c>
      <c r="F70" s="15">
        <f>IFERROR(__xludf.DUMMYFUNCTION("""COMPUTED_VALUE"""),2167.5)</f>
        <v>2167.5</v>
      </c>
      <c r="G70" s="3">
        <f>IFERROR(__xludf.DUMMYFUNCTION("""COMPUTED_VALUE"""),559.61)</f>
        <v>559.61</v>
      </c>
      <c r="H70" s="3">
        <f>IFERROR(__xludf.DUMMYFUNCTION("""COMPUTED_VALUE"""),481.27)</f>
        <v>481.27</v>
      </c>
      <c r="I70" s="3">
        <f>IFERROR(__xludf.DUMMYFUNCTION("""COMPUTED_VALUE"""),563.12)</f>
        <v>563.12</v>
      </c>
      <c r="J70" s="3">
        <f>IFERROR(__xludf.DUMMYFUNCTION("""COMPUTED_VALUE"""),178.22)</f>
        <v>178.22</v>
      </c>
      <c r="K70" s="3">
        <f>IFERROR(__xludf.DUMMYFUNCTION("""COMPUTED_VALUE"""),141.57)</f>
        <v>141.57</v>
      </c>
      <c r="L70" s="3">
        <f>IFERROR(__xludf.DUMMYFUNCTION("""COMPUTED_VALUE"""),225.89)</f>
        <v>225.89</v>
      </c>
      <c r="M70" s="3">
        <f>IFERROR(__xludf.DUMMYFUNCTION("""COMPUTED_VALUE"""),210.94)</f>
        <v>210.94</v>
      </c>
      <c r="N70" s="3">
        <f>IFERROR(__xludf.DUMMYFUNCTION("""COMPUTED_VALUE"""),65.74)</f>
        <v>65.74</v>
      </c>
      <c r="O70" s="3">
        <f>IFERROR(__xludf.DUMMYFUNCTION("""COMPUTED_VALUE"""),11.98)</f>
        <v>11.98</v>
      </c>
      <c r="P70" s="3">
        <f>IFERROR(__xludf.DUMMYFUNCTION("""COMPUTED_VALUE"""),448.77)</f>
        <v>448.77</v>
      </c>
      <c r="Q70" s="3">
        <f>IFERROR(__xludf.DUMMYFUNCTION("""COMPUTED_VALUE"""),53.96)</f>
        <v>53.96</v>
      </c>
      <c r="R70" s="3">
        <f>IFERROR(__xludf.DUMMYFUNCTION("""COMPUTED_VALUE"""),206.06)</f>
        <v>206.06</v>
      </c>
      <c r="S70" s="3">
        <f>IFERROR(__xludf.DUMMYFUNCTION("""COMPUTED_VALUE"""),78.68)</f>
        <v>78.68</v>
      </c>
      <c r="T70" s="3">
        <f>IFERROR(__xludf.DUMMYFUNCTION("""COMPUTED_VALUE"""),68.64)</f>
        <v>68.64</v>
      </c>
      <c r="U70" s="3">
        <f>IFERROR(__xludf.DUMMYFUNCTION("""COMPUTED_VALUE"""),344.65)</f>
        <v>344.65</v>
      </c>
      <c r="V70" s="3">
        <f>IFERROR(__xludf.DUMMYFUNCTION("""COMPUTED_VALUE"""),41.22)</f>
        <v>41.22</v>
      </c>
      <c r="W70" s="3">
        <f>IFERROR(__xludf.DUMMYFUNCTION("""COMPUTED_VALUE"""),187.25)</f>
        <v>187.25</v>
      </c>
      <c r="X70" s="3">
        <f>IFERROR(__xludf.DUMMYFUNCTION("""COMPUTED_VALUE"""),146.83)</f>
        <v>146.83</v>
      </c>
      <c r="Y70" s="1">
        <f>IFERROR(__xludf.DUMMYFUNCTION("""COMPUTED_VALUE"""),342.33)</f>
        <v>342.33</v>
      </c>
      <c r="Z70" s="1">
        <f>IFERROR(__xludf.DUMMYFUNCTION("""COMPUTED_VALUE"""),41.6)</f>
        <v>41.6</v>
      </c>
      <c r="AA70" s="1">
        <f>IFERROR(__xludf.DUMMYFUNCTION("""COMPUTED_VALUE"""),68.98)</f>
        <v>68.98</v>
      </c>
      <c r="AB70" s="1">
        <f>IFERROR(__xludf.DUMMYFUNCTION("""COMPUTED_VALUE"""),100.41)</f>
        <v>100.41</v>
      </c>
      <c r="AC70" s="1">
        <f>IFERROR(__xludf.DUMMYFUNCTION("""COMPUTED_VALUE"""),148.62)</f>
        <v>148.62</v>
      </c>
      <c r="AD70" s="3">
        <f>IFERROR(__xludf.DUMMYFUNCTION("""COMPUTED_VALUE"""),100.51)</f>
        <v>100.51</v>
      </c>
      <c r="AE70" s="1">
        <f>IFERROR(__xludf.DUMMYFUNCTION("""COMPUTED_VALUE"""),432.84)</f>
        <v>432.84</v>
      </c>
      <c r="AF70" s="1">
        <f>IFERROR(__xludf.DUMMYFUNCTION("""COMPUTED_VALUE"""),56.68)</f>
        <v>56.68</v>
      </c>
      <c r="AG70" s="1">
        <f>IFERROR(__xludf.DUMMYFUNCTION("""COMPUTED_VALUE"""),118.53)</f>
        <v>118.53</v>
      </c>
      <c r="AH70" s="3">
        <f>IFERROR(__xludf.DUMMYFUNCTION("""COMPUTED_VALUE"""),288.42)</f>
        <v>288.42</v>
      </c>
      <c r="AI70" s="1">
        <f>IFERROR(__xludf.DUMMYFUNCTION("""COMPUTED_VALUE"""),463.06)</f>
        <v>463.06</v>
      </c>
      <c r="AJ70" s="1">
        <f>IFERROR(__xludf.DUMMYFUNCTION("""COMPUTED_VALUE"""),295.6)</f>
        <v>295.6</v>
      </c>
      <c r="AK70" s="3">
        <f>IFERROR(__xludf.DUMMYFUNCTION("""COMPUTED_VALUE"""),45.76)</f>
        <v>45.76</v>
      </c>
      <c r="AL70" s="1">
        <f>IFERROR(__xludf.DUMMYFUNCTION("""COMPUTED_VALUE"""),74.45)</f>
        <v>74.45</v>
      </c>
      <c r="AM70" s="1">
        <f>IFERROR(__xludf.DUMMYFUNCTION("""COMPUTED_VALUE"""),504.68)</f>
        <v>504.68</v>
      </c>
      <c r="AN70" s="1">
        <f>IFERROR(__xludf.DUMMYFUNCTION("""COMPUTED_VALUE"""),363.07)</f>
        <v>363.07</v>
      </c>
      <c r="AO70" s="1">
        <f>IFERROR(__xludf.DUMMYFUNCTION("""COMPUTED_VALUE"""),105.21)</f>
        <v>105.21</v>
      </c>
      <c r="AP70" s="1">
        <f>IFERROR(__xludf.DUMMYFUNCTION("""COMPUTED_VALUE"""),157.27)</f>
        <v>157.27</v>
      </c>
      <c r="AQ70" s="1">
        <f>IFERROR(__xludf.DUMMYFUNCTION("""COMPUTED_VALUE"""),482.16)</f>
        <v>482.16</v>
      </c>
      <c r="AR70" s="3">
        <f>IFERROR(__xludf.DUMMYFUNCTION("""COMPUTED_VALUE"""),215.45)</f>
        <v>215.45</v>
      </c>
      <c r="AS70" s="3">
        <f>IFERROR(__xludf.DUMMYFUNCTION("""COMPUTED_VALUE"""),558.39)</f>
        <v>558.39</v>
      </c>
      <c r="AT70" s="3">
        <f>IFERROR(__xludf.DUMMYFUNCTION("""COMPUTED_VALUE"""),259.12)</f>
        <v>259.12</v>
      </c>
      <c r="AU70" s="1">
        <f>IFERROR(__xludf.DUMMYFUNCTION("""COMPUTED_VALUE"""),26.31)</f>
        <v>26.31</v>
      </c>
      <c r="AV70" s="1">
        <f>IFERROR(__xludf.DUMMYFUNCTION("""COMPUTED_VALUE"""),84.82)</f>
        <v>84.82</v>
      </c>
      <c r="AW70" s="1">
        <f>IFERROR(__xludf.DUMMYFUNCTION("""COMPUTED_VALUE"""),73.25)</f>
        <v>73.25</v>
      </c>
      <c r="AX70" s="1">
        <f>IFERROR(__xludf.DUMMYFUNCTION("""COMPUTED_VALUE"""),12.47)</f>
        <v>12.47</v>
      </c>
      <c r="AY70" s="1">
        <f>IFERROR(__xludf.DUMMYFUNCTION("""COMPUTED_VALUE"""),421.53)</f>
        <v>421.53</v>
      </c>
      <c r="AZ70" s="3">
        <f>IFERROR(__xludf.DUMMYFUNCTION("""COMPUTED_VALUE"""),79.35)</f>
        <v>79.35</v>
      </c>
      <c r="BA70" s="3">
        <f>IFERROR(__xludf.DUMMYFUNCTION("""COMPUTED_VALUE"""),82.34)</f>
        <v>82.34</v>
      </c>
      <c r="BB70" s="3">
        <f>IFERROR(__xludf.DUMMYFUNCTION("""COMPUTED_VALUE"""),130.0)</f>
        <v>130</v>
      </c>
      <c r="BC70" s="1">
        <f>IFERROR(__xludf.DUMMYFUNCTION("""COMPUTED_VALUE"""),92.66)</f>
        <v>92.66</v>
      </c>
      <c r="BD70" s="1">
        <f>IFERROR(__xludf.DUMMYFUNCTION("""COMPUTED_VALUE"""),42.45)</f>
        <v>42.45</v>
      </c>
      <c r="BE70" s="1">
        <f>IFERROR(__xludf.DUMMYFUNCTION("""COMPUTED_VALUE"""),32.5)</f>
        <v>32.5</v>
      </c>
      <c r="BF70" s="1">
        <f>IFERROR(__xludf.DUMMYFUNCTION("""COMPUTED_VALUE"""),69.43)</f>
        <v>69.43</v>
      </c>
      <c r="BG70" s="1">
        <f>IFERROR(__xludf.DUMMYFUNCTION("""COMPUTED_VALUE"""),28.8)</f>
        <v>28.8</v>
      </c>
      <c r="BH70" s="1">
        <f>IFERROR(__xludf.DUMMYFUNCTION("""COMPUTED_VALUE"""),118.35)</f>
        <v>118.35</v>
      </c>
      <c r="BI70" s="1">
        <f>IFERROR(__xludf.DUMMYFUNCTION("""COMPUTED_VALUE"""),43.65)</f>
        <v>43.65</v>
      </c>
      <c r="BJ70" s="1">
        <f>IFERROR(__xludf.DUMMYFUNCTION("""COMPUTED_VALUE"""),197.58)</f>
        <v>197.58</v>
      </c>
      <c r="BK70" s="1">
        <f>IFERROR(__xludf.DUMMYFUNCTION("""COMPUTED_VALUE"""),607.6)</f>
        <v>607.6</v>
      </c>
      <c r="BL70" s="1">
        <f>IFERROR(__xludf.DUMMYFUNCTION("""COMPUTED_VALUE"""),183.7)</f>
        <v>183.7</v>
      </c>
      <c r="BM70" s="1">
        <f>IFERROR(__xludf.DUMMYFUNCTION("""COMPUTED_VALUE"""),167.07)</f>
        <v>167.07</v>
      </c>
      <c r="BN70" s="3">
        <f>IFERROR(__xludf.DUMMYFUNCTION("""COMPUTED_VALUE"""),8.31)</f>
        <v>8.31</v>
      </c>
      <c r="BO70" s="1">
        <f>IFERROR(__xludf.DUMMYFUNCTION("""COMPUTED_VALUE"""),246.07)</f>
        <v>246.07</v>
      </c>
      <c r="BP70" s="1">
        <f>IFERROR(__xludf.DUMMYFUNCTION("""COMPUTED_VALUE"""),578.78)</f>
        <v>578.78</v>
      </c>
      <c r="BQ70" s="36">
        <f>IFERROR(__xludf.DUMMYFUNCTION("""COMPUTED_VALUE"""),48.62)</f>
        <v>48.62</v>
      </c>
      <c r="BR70" s="1">
        <f>IFERROR(__xludf.DUMMYFUNCTION("""COMPUTED_VALUE"""),11.83)</f>
        <v>11.83</v>
      </c>
      <c r="BS70" s="1">
        <f>IFERROR(__xludf.DUMMYFUNCTION("""COMPUTED_VALUE"""),206.59)</f>
        <v>206.59</v>
      </c>
      <c r="BT70" s="1">
        <f>IFERROR(__xludf.DUMMYFUNCTION("""COMPUTED_VALUE"""),90.82)</f>
        <v>90.82</v>
      </c>
      <c r="BU70" s="3">
        <v>1.0</v>
      </c>
    </row>
    <row r="71">
      <c r="A71" s="25">
        <f>IFERROR(__xludf.DUMMYFUNCTION("""COMPUTED_VALUE"""),45524.66666666667)</f>
        <v>45524.66667</v>
      </c>
      <c r="B71" s="29">
        <f>'Master Scratch Work'!B70</f>
        <v>1294433.97</v>
      </c>
      <c r="C71" s="15">
        <f>IFERROR(__xludf.DUMMYFUNCTION("""COMPUTED_VALUE"""),5597.12)</f>
        <v>5597.12</v>
      </c>
      <c r="D71" s="15">
        <f>IFERROR(__xludf.DUMMYFUNCTION("""COMPUTED_VALUE"""),17816.94)</f>
        <v>17816.94</v>
      </c>
      <c r="E71" s="15">
        <f>IFERROR(__xludf.DUMMYFUNCTION("""COMPUTED_VALUE"""),40834.97)</f>
        <v>40834.97</v>
      </c>
      <c r="F71" s="15">
        <f>IFERROR(__xludf.DUMMYFUNCTION("""COMPUTED_VALUE"""),2142.19)</f>
        <v>2142.19</v>
      </c>
      <c r="G71" s="3">
        <f>IFERROR(__xludf.DUMMYFUNCTION("""COMPUTED_VALUE"""),558.7)</f>
        <v>558.7</v>
      </c>
      <c r="H71" s="3">
        <f>IFERROR(__xludf.DUMMYFUNCTION("""COMPUTED_VALUE"""),480.26)</f>
        <v>480.26</v>
      </c>
      <c r="I71" s="3">
        <f>IFERROR(__xludf.DUMMYFUNCTION("""COMPUTED_VALUE"""),562.25)</f>
        <v>562.25</v>
      </c>
      <c r="J71" s="3">
        <f>IFERROR(__xludf.DUMMYFUNCTION("""COMPUTED_VALUE"""),178.88)</f>
        <v>178.88</v>
      </c>
      <c r="K71" s="3">
        <f>IFERROR(__xludf.DUMMYFUNCTION("""COMPUTED_VALUE"""),141.27)</f>
        <v>141.27</v>
      </c>
      <c r="L71" s="3">
        <f>IFERROR(__xludf.DUMMYFUNCTION("""COMPUTED_VALUE"""),226.51)</f>
        <v>226.51</v>
      </c>
      <c r="M71" s="3">
        <f>IFERROR(__xludf.DUMMYFUNCTION("""COMPUTED_VALUE"""),206.16)</f>
        <v>206.16</v>
      </c>
      <c r="N71" s="3">
        <f>IFERROR(__xludf.DUMMYFUNCTION("""COMPUTED_VALUE"""),65.34)</f>
        <v>65.34</v>
      </c>
      <c r="O71" s="3">
        <f>IFERROR(__xludf.DUMMYFUNCTION("""COMPUTED_VALUE"""),11.82)</f>
        <v>11.82</v>
      </c>
      <c r="P71" s="3">
        <f>IFERROR(__xludf.DUMMYFUNCTION("""COMPUTED_VALUE"""),448.36)</f>
        <v>448.36</v>
      </c>
      <c r="Q71" s="3">
        <f>IFERROR(__xludf.DUMMYFUNCTION("""COMPUTED_VALUE"""),53.64)</f>
        <v>53.64</v>
      </c>
      <c r="R71" s="3">
        <f>IFERROR(__xludf.DUMMYFUNCTION("""COMPUTED_VALUE"""),205.49)</f>
        <v>205.49</v>
      </c>
      <c r="S71" s="3">
        <f>IFERROR(__xludf.DUMMYFUNCTION("""COMPUTED_VALUE"""),78.48)</f>
        <v>78.48</v>
      </c>
      <c r="T71" s="3">
        <f>IFERROR(__xludf.DUMMYFUNCTION("""COMPUTED_VALUE"""),68.56)</f>
        <v>68.56</v>
      </c>
      <c r="U71" s="3">
        <f>IFERROR(__xludf.DUMMYFUNCTION("""COMPUTED_VALUE"""),343.3)</f>
        <v>343.3</v>
      </c>
      <c r="V71" s="3">
        <f>IFERROR(__xludf.DUMMYFUNCTION("""COMPUTED_VALUE"""),41.38)</f>
        <v>41.38</v>
      </c>
      <c r="W71" s="3">
        <f>IFERROR(__xludf.DUMMYFUNCTION("""COMPUTED_VALUE"""),188.6)</f>
        <v>188.6</v>
      </c>
      <c r="X71" s="3">
        <f>IFERROR(__xludf.DUMMYFUNCTION("""COMPUTED_VALUE"""),144.69)</f>
        <v>144.69</v>
      </c>
      <c r="Y71" s="1">
        <f>IFERROR(__xludf.DUMMYFUNCTION("""COMPUTED_VALUE"""),342.6)</f>
        <v>342.6</v>
      </c>
      <c r="Z71" s="1">
        <f>IFERROR(__xludf.DUMMYFUNCTION("""COMPUTED_VALUE"""),41.21)</f>
        <v>41.21</v>
      </c>
      <c r="AA71" s="1">
        <f>IFERROR(__xludf.DUMMYFUNCTION("""COMPUTED_VALUE"""),69.38)</f>
        <v>69.38</v>
      </c>
      <c r="AB71" s="1">
        <f>IFERROR(__xludf.DUMMYFUNCTION("""COMPUTED_VALUE"""),100.17)</f>
        <v>100.17</v>
      </c>
      <c r="AC71" s="1">
        <f>IFERROR(__xludf.DUMMYFUNCTION("""COMPUTED_VALUE"""),149.1)</f>
        <v>149.1</v>
      </c>
      <c r="AD71" s="3">
        <f>IFERROR(__xludf.DUMMYFUNCTION("""COMPUTED_VALUE"""),99.19)</f>
        <v>99.19</v>
      </c>
      <c r="AE71" s="1">
        <f>IFERROR(__xludf.DUMMYFUNCTION("""COMPUTED_VALUE"""),427.06)</f>
        <v>427.06</v>
      </c>
      <c r="AF71" s="1">
        <f>IFERROR(__xludf.DUMMYFUNCTION("""COMPUTED_VALUE"""),56.94)</f>
        <v>56.94</v>
      </c>
      <c r="AG71" s="1">
        <f>IFERROR(__xludf.DUMMYFUNCTION("""COMPUTED_VALUE"""),114.58)</f>
        <v>114.58</v>
      </c>
      <c r="AH71" s="3">
        <f>IFERROR(__xludf.DUMMYFUNCTION("""COMPUTED_VALUE"""),288.44)</f>
        <v>288.44</v>
      </c>
      <c r="AI71" s="1">
        <f>IFERROR(__xludf.DUMMYFUNCTION("""COMPUTED_VALUE"""),466.73)</f>
        <v>466.73</v>
      </c>
      <c r="AJ71" s="1">
        <f>IFERROR(__xludf.DUMMYFUNCTION("""COMPUTED_VALUE"""),295.8)</f>
        <v>295.8</v>
      </c>
      <c r="AK71" s="3">
        <f>IFERROR(__xludf.DUMMYFUNCTION("""COMPUTED_VALUE"""),45.98)</f>
        <v>45.98</v>
      </c>
      <c r="AL71" s="1">
        <f>IFERROR(__xludf.DUMMYFUNCTION("""COMPUTED_VALUE"""),74.75)</f>
        <v>74.75</v>
      </c>
      <c r="AM71" s="1">
        <f>IFERROR(__xludf.DUMMYFUNCTION("""COMPUTED_VALUE"""),497.34)</f>
        <v>497.34</v>
      </c>
      <c r="AN71" s="1">
        <f>IFERROR(__xludf.DUMMYFUNCTION("""COMPUTED_VALUE"""),367.27)</f>
        <v>367.27</v>
      </c>
      <c r="AO71" s="1">
        <f>IFERROR(__xludf.DUMMYFUNCTION("""COMPUTED_VALUE"""),105.32)</f>
        <v>105.32</v>
      </c>
      <c r="AP71" s="1">
        <f>IFERROR(__xludf.DUMMYFUNCTION("""COMPUTED_VALUE"""),157.75)</f>
        <v>157.75</v>
      </c>
      <c r="AQ71" s="1">
        <f>IFERROR(__xludf.DUMMYFUNCTION("""COMPUTED_VALUE"""),483.21)</f>
        <v>483.21</v>
      </c>
      <c r="AR71" s="3">
        <f>IFERROR(__xludf.DUMMYFUNCTION("""COMPUTED_VALUE"""),214.52)</f>
        <v>214.52</v>
      </c>
      <c r="AS71" s="3">
        <f>IFERROR(__xludf.DUMMYFUNCTION("""COMPUTED_VALUE"""),557.01)</f>
        <v>557.01</v>
      </c>
      <c r="AT71" s="3">
        <f>IFERROR(__xludf.DUMMYFUNCTION("""COMPUTED_VALUE"""),260.6)</f>
        <v>260.6</v>
      </c>
      <c r="AU71" s="1">
        <f>IFERROR(__xludf.DUMMYFUNCTION("""COMPUTED_VALUE"""),26.07)</f>
        <v>26.07</v>
      </c>
      <c r="AV71" s="1">
        <f>IFERROR(__xludf.DUMMYFUNCTION("""COMPUTED_VALUE"""),85.38)</f>
        <v>85.38</v>
      </c>
      <c r="AW71" s="1">
        <f>IFERROR(__xludf.DUMMYFUNCTION("""COMPUTED_VALUE"""),72.72)</f>
        <v>72.72</v>
      </c>
      <c r="AX71" s="1">
        <f>IFERROR(__xludf.DUMMYFUNCTION("""COMPUTED_VALUE"""),12.31)</f>
        <v>12.31</v>
      </c>
      <c r="AY71" s="1">
        <f>IFERROR(__xludf.DUMMYFUNCTION("""COMPUTED_VALUE"""),424.8)</f>
        <v>424.8</v>
      </c>
      <c r="AZ71" s="3">
        <f>IFERROR(__xludf.DUMMYFUNCTION("""COMPUTED_VALUE"""),78.98)</f>
        <v>78.98</v>
      </c>
      <c r="BA71" s="3">
        <f>IFERROR(__xludf.DUMMYFUNCTION("""COMPUTED_VALUE"""),81.92)</f>
        <v>81.92</v>
      </c>
      <c r="BB71" s="3">
        <f>IFERROR(__xludf.DUMMYFUNCTION("""COMPUTED_VALUE"""),127.25)</f>
        <v>127.25</v>
      </c>
      <c r="BC71" s="1">
        <f>IFERROR(__xludf.DUMMYFUNCTION("""COMPUTED_VALUE"""),92.75)</f>
        <v>92.75</v>
      </c>
      <c r="BD71" s="1">
        <f>IFERROR(__xludf.DUMMYFUNCTION("""COMPUTED_VALUE"""),41.73)</f>
        <v>41.73</v>
      </c>
      <c r="BE71" s="1">
        <f>IFERROR(__xludf.DUMMYFUNCTION("""COMPUTED_VALUE"""),32.32)</f>
        <v>32.32</v>
      </c>
      <c r="BF71" s="1">
        <f>IFERROR(__xludf.DUMMYFUNCTION("""COMPUTED_VALUE"""),71.89)</f>
        <v>71.89</v>
      </c>
      <c r="BG71" s="1">
        <f>IFERROR(__xludf.DUMMYFUNCTION("""COMPUTED_VALUE"""),28.9)</f>
        <v>28.9</v>
      </c>
      <c r="BH71" s="1">
        <f>IFERROR(__xludf.DUMMYFUNCTION("""COMPUTED_VALUE"""),117.95)</f>
        <v>117.95</v>
      </c>
      <c r="BI71" s="1">
        <f>IFERROR(__xludf.DUMMYFUNCTION("""COMPUTED_VALUE"""),43.35)</f>
        <v>43.35</v>
      </c>
      <c r="BJ71" s="1">
        <f>IFERROR(__xludf.DUMMYFUNCTION("""COMPUTED_VALUE"""),196.22)</f>
        <v>196.22</v>
      </c>
      <c r="BK71" s="1">
        <f>IFERROR(__xludf.DUMMYFUNCTION("""COMPUTED_VALUE"""),614.54)</f>
        <v>614.54</v>
      </c>
      <c r="BL71" s="1">
        <f>IFERROR(__xludf.DUMMYFUNCTION("""COMPUTED_VALUE"""),181.34)</f>
        <v>181.34</v>
      </c>
      <c r="BM71" s="1">
        <f>IFERROR(__xludf.DUMMYFUNCTION("""COMPUTED_VALUE"""),166.18)</f>
        <v>166.18</v>
      </c>
      <c r="BN71" s="3">
        <f>IFERROR(__xludf.DUMMYFUNCTION("""COMPUTED_VALUE"""),8.39)</f>
        <v>8.39</v>
      </c>
      <c r="BO71" s="1">
        <f>IFERROR(__xludf.DUMMYFUNCTION("""COMPUTED_VALUE"""),246.5)</f>
        <v>246.5</v>
      </c>
      <c r="BP71" s="1">
        <f>IFERROR(__xludf.DUMMYFUNCTION("""COMPUTED_VALUE"""),580.65)</f>
        <v>580.65</v>
      </c>
      <c r="BQ71" s="36">
        <f>IFERROR(__xludf.DUMMYFUNCTION("""COMPUTED_VALUE"""),48.67)</f>
        <v>48.67</v>
      </c>
      <c r="BR71" s="1">
        <f>IFERROR(__xludf.DUMMYFUNCTION("""COMPUTED_VALUE"""),11.66)</f>
        <v>11.66</v>
      </c>
      <c r="BS71" s="1">
        <f>IFERROR(__xludf.DUMMYFUNCTION("""COMPUTED_VALUE"""),208.1)</f>
        <v>208.1</v>
      </c>
      <c r="BT71" s="1">
        <f>IFERROR(__xludf.DUMMYFUNCTION("""COMPUTED_VALUE"""),89.74)</f>
        <v>89.74</v>
      </c>
      <c r="BU71" s="3">
        <v>1.0</v>
      </c>
    </row>
    <row r="72">
      <c r="A72" s="25">
        <f>IFERROR(__xludf.DUMMYFUNCTION("""COMPUTED_VALUE"""),45525.66666666667)</f>
        <v>45525.66667</v>
      </c>
      <c r="B72" s="29">
        <f>'Master Scratch Work'!B71</f>
        <v>1299870.37</v>
      </c>
      <c r="C72" s="15">
        <f>IFERROR(__xludf.DUMMYFUNCTION("""COMPUTED_VALUE"""),5620.85)</f>
        <v>5620.85</v>
      </c>
      <c r="D72" s="15">
        <f>IFERROR(__xludf.DUMMYFUNCTION("""COMPUTED_VALUE"""),17918.99)</f>
        <v>17918.99</v>
      </c>
      <c r="E72" s="15">
        <f>IFERROR(__xludf.DUMMYFUNCTION("""COMPUTED_VALUE"""),40890.49)</f>
        <v>40890.49</v>
      </c>
      <c r="F72" s="15">
        <f>IFERROR(__xludf.DUMMYFUNCTION("""COMPUTED_VALUE"""),2170.56)</f>
        <v>2170.56</v>
      </c>
      <c r="G72" s="3">
        <f>IFERROR(__xludf.DUMMYFUNCTION("""COMPUTED_VALUE"""),560.62)</f>
        <v>560.62</v>
      </c>
      <c r="H72" s="3">
        <f>IFERROR(__xludf.DUMMYFUNCTION("""COMPUTED_VALUE"""),482.5)</f>
        <v>482.5</v>
      </c>
      <c r="I72" s="3">
        <f>IFERROR(__xludf.DUMMYFUNCTION("""COMPUTED_VALUE"""),565.79)</f>
        <v>565.79</v>
      </c>
      <c r="J72" s="3">
        <f>IFERROR(__xludf.DUMMYFUNCTION("""COMPUTED_VALUE"""),180.11)</f>
        <v>180.11</v>
      </c>
      <c r="K72" s="3">
        <f>IFERROR(__xludf.DUMMYFUNCTION("""COMPUTED_VALUE"""),140.77)</f>
        <v>140.77</v>
      </c>
      <c r="L72" s="3">
        <f>IFERROR(__xludf.DUMMYFUNCTION("""COMPUTED_VALUE"""),226.4)</f>
        <v>226.4</v>
      </c>
      <c r="M72" s="3">
        <f>IFERROR(__xludf.DUMMYFUNCTION("""COMPUTED_VALUE"""),209.12)</f>
        <v>209.12</v>
      </c>
      <c r="N72" s="3">
        <f>IFERROR(__xludf.DUMMYFUNCTION("""COMPUTED_VALUE"""),65.24)</f>
        <v>65.24</v>
      </c>
      <c r="O72" s="3">
        <f>IFERROR(__xludf.DUMMYFUNCTION("""COMPUTED_VALUE"""),11.87)</f>
        <v>11.87</v>
      </c>
      <c r="P72" s="3">
        <f>IFERROR(__xludf.DUMMYFUNCTION("""COMPUTED_VALUE"""),446.6)</f>
        <v>446.6</v>
      </c>
      <c r="Q72" s="3">
        <f>IFERROR(__xludf.DUMMYFUNCTION("""COMPUTED_VALUE"""),55.35)</f>
        <v>55.35</v>
      </c>
      <c r="R72" s="3">
        <f>IFERROR(__xludf.DUMMYFUNCTION("""COMPUTED_VALUE"""),206.18)</f>
        <v>206.18</v>
      </c>
      <c r="S72" s="3">
        <f>IFERROR(__xludf.DUMMYFUNCTION("""COMPUTED_VALUE"""),78.81)</f>
        <v>78.81</v>
      </c>
      <c r="T72" s="3">
        <f>IFERROR(__xludf.DUMMYFUNCTION("""COMPUTED_VALUE"""),69.66)</f>
        <v>69.66</v>
      </c>
      <c r="U72" s="3">
        <f>IFERROR(__xludf.DUMMYFUNCTION("""COMPUTED_VALUE"""),342.97)</f>
        <v>342.97</v>
      </c>
      <c r="V72" s="3">
        <f>IFERROR(__xludf.DUMMYFUNCTION("""COMPUTED_VALUE"""),41.41)</f>
        <v>41.41</v>
      </c>
      <c r="W72" s="3">
        <f>IFERROR(__xludf.DUMMYFUNCTION("""COMPUTED_VALUE"""),189.07)</f>
        <v>189.07</v>
      </c>
      <c r="X72" s="3">
        <f>IFERROR(__xludf.DUMMYFUNCTION("""COMPUTED_VALUE"""),145.32)</f>
        <v>145.32</v>
      </c>
      <c r="Y72" s="1">
        <f>IFERROR(__xludf.DUMMYFUNCTION("""COMPUTED_VALUE"""),342.4)</f>
        <v>342.4</v>
      </c>
      <c r="Z72" s="1">
        <f>IFERROR(__xludf.DUMMYFUNCTION("""COMPUTED_VALUE"""),41.13)</f>
        <v>41.13</v>
      </c>
      <c r="AA72" s="1">
        <f>IFERROR(__xludf.DUMMYFUNCTION("""COMPUTED_VALUE"""),69.57)</f>
        <v>69.57</v>
      </c>
      <c r="AB72" s="1">
        <f>IFERROR(__xludf.DUMMYFUNCTION("""COMPUTED_VALUE"""),100.42)</f>
        <v>100.42</v>
      </c>
      <c r="AC72" s="1">
        <f>IFERROR(__xludf.DUMMYFUNCTION("""COMPUTED_VALUE"""),149.76)</f>
        <v>149.76</v>
      </c>
      <c r="AD72" s="3">
        <f>IFERROR(__xludf.DUMMYFUNCTION("""COMPUTED_VALUE"""),99.98)</f>
        <v>99.98</v>
      </c>
      <c r="AE72" s="1">
        <f>IFERROR(__xludf.DUMMYFUNCTION("""COMPUTED_VALUE"""),427.7)</f>
        <v>427.7</v>
      </c>
      <c r="AF72" s="1">
        <f>IFERROR(__xludf.DUMMYFUNCTION("""COMPUTED_VALUE"""),58.68)</f>
        <v>58.68</v>
      </c>
      <c r="AG72" s="1">
        <f>IFERROR(__xludf.DUMMYFUNCTION("""COMPUTED_VALUE"""),113.85)</f>
        <v>113.85</v>
      </c>
      <c r="AH72" s="3">
        <f>IFERROR(__xludf.DUMMYFUNCTION("""COMPUTED_VALUE"""),291.52)</f>
        <v>291.52</v>
      </c>
      <c r="AI72" s="1">
        <f>IFERROR(__xludf.DUMMYFUNCTION("""COMPUTED_VALUE"""),478.79)</f>
        <v>478.79</v>
      </c>
      <c r="AJ72" s="1">
        <f>IFERROR(__xludf.DUMMYFUNCTION("""COMPUTED_VALUE"""),294.07)</f>
        <v>294.07</v>
      </c>
      <c r="AK72" s="3">
        <f>IFERROR(__xludf.DUMMYFUNCTION("""COMPUTED_VALUE"""),46.56)</f>
        <v>46.56</v>
      </c>
      <c r="AL72" s="1">
        <f>IFERROR(__xludf.DUMMYFUNCTION("""COMPUTED_VALUE"""),75.13)</f>
        <v>75.13</v>
      </c>
      <c r="AM72" s="1">
        <f>IFERROR(__xludf.DUMMYFUNCTION("""COMPUTED_VALUE"""),496.46)</f>
        <v>496.46</v>
      </c>
      <c r="AN72" s="1">
        <f>IFERROR(__xludf.DUMMYFUNCTION("""COMPUTED_VALUE"""),370.46)</f>
        <v>370.46</v>
      </c>
      <c r="AO72" s="1">
        <f>IFERROR(__xludf.DUMMYFUNCTION("""COMPUTED_VALUE"""),105.93)</f>
        <v>105.93</v>
      </c>
      <c r="AP72" s="1">
        <f>IFERROR(__xludf.DUMMYFUNCTION("""COMPUTED_VALUE"""),158.11)</f>
        <v>158.11</v>
      </c>
      <c r="AQ72" s="1">
        <f>IFERROR(__xludf.DUMMYFUNCTION("""COMPUTED_VALUE"""),487.42)</f>
        <v>487.42</v>
      </c>
      <c r="AR72" s="3">
        <f>IFERROR(__xludf.DUMMYFUNCTION("""COMPUTED_VALUE"""),214.6)</f>
        <v>214.6</v>
      </c>
      <c r="AS72" s="3">
        <f>IFERROR(__xludf.DUMMYFUNCTION("""COMPUTED_VALUE"""),553.76)</f>
        <v>553.76</v>
      </c>
      <c r="AT72" s="3">
        <f>IFERROR(__xludf.DUMMYFUNCTION("""COMPUTED_VALUE"""),265.63)</f>
        <v>265.63</v>
      </c>
      <c r="AU72" s="1">
        <f>IFERROR(__xludf.DUMMYFUNCTION("""COMPUTED_VALUE"""),26.09)</f>
        <v>26.09</v>
      </c>
      <c r="AV72" s="1">
        <f>IFERROR(__xludf.DUMMYFUNCTION("""COMPUTED_VALUE"""),87.54)</f>
        <v>87.54</v>
      </c>
      <c r="AW72" s="1">
        <f>IFERROR(__xludf.DUMMYFUNCTION("""COMPUTED_VALUE"""),72.81)</f>
        <v>72.81</v>
      </c>
      <c r="AX72" s="1">
        <f>IFERROR(__xludf.DUMMYFUNCTION("""COMPUTED_VALUE"""),13.18)</f>
        <v>13.18</v>
      </c>
      <c r="AY72" s="1">
        <f>IFERROR(__xludf.DUMMYFUNCTION("""COMPUTED_VALUE"""),424.14)</f>
        <v>424.14</v>
      </c>
      <c r="AZ72" s="3">
        <f>IFERROR(__xludf.DUMMYFUNCTION("""COMPUTED_VALUE"""),79.64)</f>
        <v>79.64</v>
      </c>
      <c r="BA72" s="3">
        <f>IFERROR(__xludf.DUMMYFUNCTION("""COMPUTED_VALUE"""),82.75)</f>
        <v>82.75</v>
      </c>
      <c r="BB72" s="3">
        <f>IFERROR(__xludf.DUMMYFUNCTION("""COMPUTED_VALUE"""),128.5)</f>
        <v>128.5</v>
      </c>
      <c r="BC72" s="1">
        <f>IFERROR(__xludf.DUMMYFUNCTION("""COMPUTED_VALUE"""),93.96)</f>
        <v>93.96</v>
      </c>
      <c r="BD72" s="1">
        <f>IFERROR(__xludf.DUMMYFUNCTION("""COMPUTED_VALUE"""),43.46)</f>
        <v>43.46</v>
      </c>
      <c r="BE72" s="1">
        <f>IFERROR(__xludf.DUMMYFUNCTION("""COMPUTED_VALUE"""),32.54)</f>
        <v>32.54</v>
      </c>
      <c r="BF72" s="1">
        <f>IFERROR(__xludf.DUMMYFUNCTION("""COMPUTED_VALUE"""),71.46)</f>
        <v>71.46</v>
      </c>
      <c r="BG72" s="1">
        <f>IFERROR(__xludf.DUMMYFUNCTION("""COMPUTED_VALUE"""),29.03)</f>
        <v>29.03</v>
      </c>
      <c r="BH72" s="1">
        <f>IFERROR(__xludf.DUMMYFUNCTION("""COMPUTED_VALUE"""),117.26)</f>
        <v>117.26</v>
      </c>
      <c r="BI72" s="1">
        <f>IFERROR(__xludf.DUMMYFUNCTION("""COMPUTED_VALUE"""),45.28)</f>
        <v>45.28</v>
      </c>
      <c r="BJ72" s="1">
        <f>IFERROR(__xludf.DUMMYFUNCTION("""COMPUTED_VALUE"""),195.46)</f>
        <v>195.46</v>
      </c>
      <c r="BK72" s="1">
        <f>IFERROR(__xludf.DUMMYFUNCTION("""COMPUTED_VALUE"""),610.17)</f>
        <v>610.17</v>
      </c>
      <c r="BL72" s="1">
        <f>IFERROR(__xludf.DUMMYFUNCTION("""COMPUTED_VALUE"""),183.62)</f>
        <v>183.62</v>
      </c>
      <c r="BM72" s="1">
        <f>IFERROR(__xludf.DUMMYFUNCTION("""COMPUTED_VALUE"""),172.95)</f>
        <v>172.95</v>
      </c>
      <c r="BN72" s="3">
        <f>IFERROR(__xludf.DUMMYFUNCTION("""COMPUTED_VALUE"""),8.4)</f>
        <v>8.4</v>
      </c>
      <c r="BO72" s="1">
        <f>IFERROR(__xludf.DUMMYFUNCTION("""COMPUTED_VALUE"""),245.73)</f>
        <v>245.73</v>
      </c>
      <c r="BP72" s="1">
        <f>IFERROR(__xludf.DUMMYFUNCTION("""COMPUTED_VALUE"""),578.07)</f>
        <v>578.07</v>
      </c>
      <c r="BQ72" s="36">
        <f>IFERROR(__xludf.DUMMYFUNCTION("""COMPUTED_VALUE"""),48.75)</f>
        <v>48.75</v>
      </c>
      <c r="BR72" s="1">
        <f>IFERROR(__xludf.DUMMYFUNCTION("""COMPUTED_VALUE"""),11.72)</f>
        <v>11.72</v>
      </c>
      <c r="BS72" s="1">
        <f>IFERROR(__xludf.DUMMYFUNCTION("""COMPUTED_VALUE"""),209.38)</f>
        <v>209.38</v>
      </c>
      <c r="BT72" s="1">
        <f>IFERROR(__xludf.DUMMYFUNCTION("""COMPUTED_VALUE"""),90.72)</f>
        <v>90.72</v>
      </c>
      <c r="BU72" s="3">
        <v>1.0</v>
      </c>
    </row>
    <row r="73">
      <c r="A73" s="25">
        <f>IFERROR(__xludf.DUMMYFUNCTION("""COMPUTED_VALUE"""),45526.66666666667)</f>
        <v>45526.66667</v>
      </c>
      <c r="B73" s="29">
        <f>'Master Scratch Work'!B72</f>
        <v>1293736.38</v>
      </c>
      <c r="C73" s="15">
        <f>IFERROR(__xludf.DUMMYFUNCTION("""COMPUTED_VALUE"""),5570.64)</f>
        <v>5570.64</v>
      </c>
      <c r="D73" s="15">
        <f>IFERROR(__xludf.DUMMYFUNCTION("""COMPUTED_VALUE"""),17619.35)</f>
        <v>17619.35</v>
      </c>
      <c r="E73" s="15">
        <f>IFERROR(__xludf.DUMMYFUNCTION("""COMPUTED_VALUE"""),40712.78)</f>
        <v>40712.78</v>
      </c>
      <c r="F73" s="15">
        <f>IFERROR(__xludf.DUMMYFUNCTION("""COMPUTED_VALUE"""),2150.03)</f>
        <v>2150.03</v>
      </c>
      <c r="G73" s="3">
        <f>IFERROR(__xludf.DUMMYFUNCTION("""COMPUTED_VALUE"""),556.22)</f>
        <v>556.22</v>
      </c>
      <c r="H73" s="3">
        <f>IFERROR(__xludf.DUMMYFUNCTION("""COMPUTED_VALUE"""),474.85)</f>
        <v>474.85</v>
      </c>
      <c r="I73" s="3">
        <f>IFERROR(__xludf.DUMMYFUNCTION("""COMPUTED_VALUE"""),557.44)</f>
        <v>557.44</v>
      </c>
      <c r="J73" s="3">
        <f>IFERROR(__xludf.DUMMYFUNCTION("""COMPUTED_VALUE"""),176.13)</f>
        <v>176.13</v>
      </c>
      <c r="K73" s="3">
        <f>IFERROR(__xludf.DUMMYFUNCTION("""COMPUTED_VALUE"""),140.02)</f>
        <v>140.02</v>
      </c>
      <c r="L73" s="3">
        <f>IFERROR(__xludf.DUMMYFUNCTION("""COMPUTED_VALUE"""),224.53)</f>
        <v>224.53</v>
      </c>
      <c r="M73" s="3">
        <f>IFERROR(__xludf.DUMMYFUNCTION("""COMPUTED_VALUE"""),200.2)</f>
        <v>200.2</v>
      </c>
      <c r="N73" s="3">
        <f>IFERROR(__xludf.DUMMYFUNCTION("""COMPUTED_VALUE"""),65.49)</f>
        <v>65.49</v>
      </c>
      <c r="O73" s="3">
        <f>IFERROR(__xludf.DUMMYFUNCTION("""COMPUTED_VALUE"""),11.9)</f>
        <v>11.9</v>
      </c>
      <c r="P73" s="3">
        <f>IFERROR(__xludf.DUMMYFUNCTION("""COMPUTED_VALUE"""),449.03)</f>
        <v>449.03</v>
      </c>
      <c r="Q73" s="3">
        <f>IFERROR(__xludf.DUMMYFUNCTION("""COMPUTED_VALUE"""),54.29)</f>
        <v>54.29</v>
      </c>
      <c r="R73" s="3">
        <f>IFERROR(__xludf.DUMMYFUNCTION("""COMPUTED_VALUE"""),203.32)</f>
        <v>203.32</v>
      </c>
      <c r="S73" s="3">
        <f>IFERROR(__xludf.DUMMYFUNCTION("""COMPUTED_VALUE"""),79.58)</f>
        <v>79.58</v>
      </c>
      <c r="T73" s="3">
        <f>IFERROR(__xludf.DUMMYFUNCTION("""COMPUTED_VALUE"""),69.58)</f>
        <v>69.58</v>
      </c>
      <c r="U73" s="3">
        <f>IFERROR(__xludf.DUMMYFUNCTION("""COMPUTED_VALUE"""),342.36)</f>
        <v>342.36</v>
      </c>
      <c r="V73" s="3">
        <f>IFERROR(__xludf.DUMMYFUNCTION("""COMPUTED_VALUE"""),40.36)</f>
        <v>40.36</v>
      </c>
      <c r="W73" s="3">
        <f>IFERROR(__xludf.DUMMYFUNCTION("""COMPUTED_VALUE"""),190.35)</f>
        <v>190.35</v>
      </c>
      <c r="X73" s="3">
        <f>IFERROR(__xludf.DUMMYFUNCTION("""COMPUTED_VALUE"""),145.73)</f>
        <v>145.73</v>
      </c>
      <c r="Y73" s="1">
        <f>IFERROR(__xludf.DUMMYFUNCTION("""COMPUTED_VALUE"""),346.47)</f>
        <v>346.47</v>
      </c>
      <c r="Z73" s="1">
        <f>IFERROR(__xludf.DUMMYFUNCTION("""COMPUTED_VALUE"""),41.38)</f>
        <v>41.38</v>
      </c>
      <c r="AA73" s="1">
        <f>IFERROR(__xludf.DUMMYFUNCTION("""COMPUTED_VALUE"""),69.33)</f>
        <v>69.33</v>
      </c>
      <c r="AB73" s="1">
        <f>IFERROR(__xludf.DUMMYFUNCTION("""COMPUTED_VALUE"""),100.67)</f>
        <v>100.67</v>
      </c>
      <c r="AC73" s="1">
        <f>IFERROR(__xludf.DUMMYFUNCTION("""COMPUTED_VALUE"""),150.69)</f>
        <v>150.69</v>
      </c>
      <c r="AD73" s="3">
        <f>IFERROR(__xludf.DUMMYFUNCTION("""COMPUTED_VALUE"""),97.96)</f>
        <v>97.96</v>
      </c>
      <c r="AE73" s="1">
        <f>IFERROR(__xludf.DUMMYFUNCTION("""COMPUTED_VALUE"""),416.23)</f>
        <v>416.23</v>
      </c>
      <c r="AF73" s="1">
        <f>IFERROR(__xludf.DUMMYFUNCTION("""COMPUTED_VALUE"""),59.02)</f>
        <v>59.02</v>
      </c>
      <c r="AG73" s="1">
        <f>IFERROR(__xludf.DUMMYFUNCTION("""COMPUTED_VALUE"""),114.73)</f>
        <v>114.73</v>
      </c>
      <c r="AH73" s="3">
        <f>IFERROR(__xludf.DUMMYFUNCTION("""COMPUTED_VALUE"""),294.28)</f>
        <v>294.28</v>
      </c>
      <c r="AI73" s="1">
        <f>IFERROR(__xludf.DUMMYFUNCTION("""COMPUTED_VALUE"""),477.04)</f>
        <v>477.04</v>
      </c>
      <c r="AJ73" s="1">
        <f>IFERROR(__xludf.DUMMYFUNCTION("""COMPUTED_VALUE"""),293.45)</f>
        <v>293.45</v>
      </c>
      <c r="AK73" s="3">
        <f>IFERROR(__xludf.DUMMYFUNCTION("""COMPUTED_VALUE"""),46.46)</f>
        <v>46.46</v>
      </c>
      <c r="AL73" s="1">
        <f>IFERROR(__xludf.DUMMYFUNCTION("""COMPUTED_VALUE"""),75.9)</f>
        <v>75.9</v>
      </c>
      <c r="AM73" s="1">
        <f>IFERROR(__xludf.DUMMYFUNCTION("""COMPUTED_VALUE"""),497.75)</f>
        <v>497.75</v>
      </c>
      <c r="AN73" s="1">
        <f>IFERROR(__xludf.DUMMYFUNCTION("""COMPUTED_VALUE"""),365.36)</f>
        <v>365.36</v>
      </c>
      <c r="AO73" s="1">
        <f>IFERROR(__xludf.DUMMYFUNCTION("""COMPUTED_VALUE"""),105.29)</f>
        <v>105.29</v>
      </c>
      <c r="AP73" s="1">
        <f>IFERROR(__xludf.DUMMYFUNCTION("""COMPUTED_VALUE"""),158.6)</f>
        <v>158.6</v>
      </c>
      <c r="AQ73" s="1">
        <f>IFERROR(__xludf.DUMMYFUNCTION("""COMPUTED_VALUE"""),490.43)</f>
        <v>490.43</v>
      </c>
      <c r="AR73" s="3">
        <f>IFERROR(__xludf.DUMMYFUNCTION("""COMPUTED_VALUE"""),216.63)</f>
        <v>216.63</v>
      </c>
      <c r="AS73" s="3">
        <f>IFERROR(__xludf.DUMMYFUNCTION("""COMPUTED_VALUE"""),557.03)</f>
        <v>557.03</v>
      </c>
      <c r="AT73" s="3">
        <f>IFERROR(__xludf.DUMMYFUNCTION("""COMPUTED_VALUE"""),263.45)</f>
        <v>263.45</v>
      </c>
      <c r="AU73" s="1">
        <f>IFERROR(__xludf.DUMMYFUNCTION("""COMPUTED_VALUE"""),26.18)</f>
        <v>26.18</v>
      </c>
      <c r="AV73" s="1">
        <f>IFERROR(__xludf.DUMMYFUNCTION("""COMPUTED_VALUE"""),87.83)</f>
        <v>87.83</v>
      </c>
      <c r="AW73" s="1">
        <f>IFERROR(__xludf.DUMMYFUNCTION("""COMPUTED_VALUE"""),73.85)</f>
        <v>73.85</v>
      </c>
      <c r="AX73" s="1">
        <f>IFERROR(__xludf.DUMMYFUNCTION("""COMPUTED_VALUE"""),12.48)</f>
        <v>12.48</v>
      </c>
      <c r="AY73" s="1">
        <f>IFERROR(__xludf.DUMMYFUNCTION("""COMPUTED_VALUE"""),415.55)</f>
        <v>415.55</v>
      </c>
      <c r="AZ73" s="3">
        <f>IFERROR(__xludf.DUMMYFUNCTION("""COMPUTED_VALUE"""),78.92)</f>
        <v>78.92</v>
      </c>
      <c r="BA73" s="3">
        <f>IFERROR(__xludf.DUMMYFUNCTION("""COMPUTED_VALUE"""),81.85)</f>
        <v>81.85</v>
      </c>
      <c r="BB73" s="3">
        <f>IFERROR(__xludf.DUMMYFUNCTION("""COMPUTED_VALUE"""),123.74)</f>
        <v>123.74</v>
      </c>
      <c r="BC73" s="1">
        <f>IFERROR(__xludf.DUMMYFUNCTION("""COMPUTED_VALUE"""),93.72)</f>
        <v>93.72</v>
      </c>
      <c r="BD73" s="1">
        <f>IFERROR(__xludf.DUMMYFUNCTION("""COMPUTED_VALUE"""),43.19)</f>
        <v>43.19</v>
      </c>
      <c r="BE73" s="1">
        <f>IFERROR(__xludf.DUMMYFUNCTION("""COMPUTED_VALUE"""),31.92)</f>
        <v>31.92</v>
      </c>
      <c r="BF73" s="1">
        <f>IFERROR(__xludf.DUMMYFUNCTION("""COMPUTED_VALUE"""),71.52)</f>
        <v>71.52</v>
      </c>
      <c r="BG73" s="1">
        <f>IFERROR(__xludf.DUMMYFUNCTION("""COMPUTED_VALUE"""),28.78)</f>
        <v>28.78</v>
      </c>
      <c r="BH73" s="1">
        <f>IFERROR(__xludf.DUMMYFUNCTION("""COMPUTED_VALUE"""),118.02)</f>
        <v>118.02</v>
      </c>
      <c r="BI73" s="1">
        <f>IFERROR(__xludf.DUMMYFUNCTION("""COMPUTED_VALUE"""),43.26)</f>
        <v>43.26</v>
      </c>
      <c r="BJ73" s="1">
        <f>IFERROR(__xludf.DUMMYFUNCTION("""COMPUTED_VALUE"""),196.44)</f>
        <v>196.44</v>
      </c>
      <c r="BK73" s="1">
        <f>IFERROR(__xludf.DUMMYFUNCTION("""COMPUTED_VALUE"""),603.86)</f>
        <v>603.86</v>
      </c>
      <c r="BL73" s="1">
        <f>IFERROR(__xludf.DUMMYFUNCTION("""COMPUTED_VALUE"""),181.5)</f>
        <v>181.5</v>
      </c>
      <c r="BM73" s="1">
        <f>IFERROR(__xludf.DUMMYFUNCTION("""COMPUTED_VALUE"""),173.34)</f>
        <v>173.34</v>
      </c>
      <c r="BN73" s="3">
        <f>IFERROR(__xludf.DUMMYFUNCTION("""COMPUTED_VALUE"""),8.3)</f>
        <v>8.3</v>
      </c>
      <c r="BO73" s="1">
        <f>IFERROR(__xludf.DUMMYFUNCTION("""COMPUTED_VALUE"""),244.32)</f>
        <v>244.32</v>
      </c>
      <c r="BP73" s="1">
        <f>IFERROR(__xludf.DUMMYFUNCTION("""COMPUTED_VALUE"""),578.72)</f>
        <v>578.72</v>
      </c>
      <c r="BQ73" s="36">
        <f>IFERROR(__xludf.DUMMYFUNCTION("""COMPUTED_VALUE"""),48.69)</f>
        <v>48.69</v>
      </c>
      <c r="BR73" s="1">
        <f>IFERROR(__xludf.DUMMYFUNCTION("""COMPUTED_VALUE"""),11.7)</f>
        <v>11.7</v>
      </c>
      <c r="BS73" s="1">
        <f>IFERROR(__xludf.DUMMYFUNCTION("""COMPUTED_VALUE"""),210.12)</f>
        <v>210.12</v>
      </c>
      <c r="BT73" s="1">
        <f>IFERROR(__xludf.DUMMYFUNCTION("""COMPUTED_VALUE"""),89.92)</f>
        <v>89.92</v>
      </c>
      <c r="BU73" s="3">
        <v>1.0</v>
      </c>
    </row>
    <row r="74">
      <c r="A74" s="25">
        <f>IFERROR(__xludf.DUMMYFUNCTION("""COMPUTED_VALUE"""),45527.66666666667)</f>
        <v>45527.66667</v>
      </c>
      <c r="B74" s="29">
        <f>'Master Scratch Work'!B73</f>
        <v>1309207.54</v>
      </c>
      <c r="C74" s="15">
        <f>IFERROR(__xludf.DUMMYFUNCTION("""COMPUTED_VALUE"""),5634.61)</f>
        <v>5634.61</v>
      </c>
      <c r="D74" s="15">
        <f>IFERROR(__xludf.DUMMYFUNCTION("""COMPUTED_VALUE"""),17877.79)</f>
        <v>17877.79</v>
      </c>
      <c r="E74" s="15">
        <f>IFERROR(__xludf.DUMMYFUNCTION("""COMPUTED_VALUE"""),41175.08)</f>
        <v>41175.08</v>
      </c>
      <c r="F74" s="15">
        <f>IFERROR(__xludf.DUMMYFUNCTION("""COMPUTED_VALUE"""),2218.7)</f>
        <v>2218.7</v>
      </c>
      <c r="G74" s="3">
        <f>IFERROR(__xludf.DUMMYFUNCTION("""COMPUTED_VALUE"""),562.13)</f>
        <v>562.13</v>
      </c>
      <c r="H74" s="3">
        <f>IFERROR(__xludf.DUMMYFUNCTION("""COMPUTED_VALUE"""),480.0)</f>
        <v>480</v>
      </c>
      <c r="I74" s="3">
        <f>IFERROR(__xludf.DUMMYFUNCTION("""COMPUTED_VALUE"""),558.3)</f>
        <v>558.3</v>
      </c>
      <c r="J74" s="3">
        <f>IFERROR(__xludf.DUMMYFUNCTION("""COMPUTED_VALUE"""),177.04)</f>
        <v>177.04</v>
      </c>
      <c r="K74" s="3">
        <f>IFERROR(__xludf.DUMMYFUNCTION("""COMPUTED_VALUE"""),140.42)</f>
        <v>140.42</v>
      </c>
      <c r="L74" s="3">
        <f>IFERROR(__xludf.DUMMYFUNCTION("""COMPUTED_VALUE"""),226.84)</f>
        <v>226.84</v>
      </c>
      <c r="M74" s="3">
        <f>IFERROR(__xludf.DUMMYFUNCTION("""COMPUTED_VALUE"""),202.67)</f>
        <v>202.67</v>
      </c>
      <c r="N74" s="3">
        <f>IFERROR(__xludf.DUMMYFUNCTION("""COMPUTED_VALUE"""),66.4)</f>
        <v>66.4</v>
      </c>
      <c r="O74" s="3">
        <f>IFERROR(__xludf.DUMMYFUNCTION("""COMPUTED_VALUE"""),12.22)</f>
        <v>12.22</v>
      </c>
      <c r="P74" s="3">
        <f>IFERROR(__xludf.DUMMYFUNCTION("""COMPUTED_VALUE"""),453.38)</f>
        <v>453.38</v>
      </c>
      <c r="Q74" s="3">
        <f>IFERROR(__xludf.DUMMYFUNCTION("""COMPUTED_VALUE"""),55.19)</f>
        <v>55.19</v>
      </c>
      <c r="R74" s="3">
        <f>IFERROR(__xludf.DUMMYFUNCTION("""COMPUTED_VALUE"""),205.0)</f>
        <v>205</v>
      </c>
      <c r="S74" s="3">
        <f>IFERROR(__xludf.DUMMYFUNCTION("""COMPUTED_VALUE"""),79.17)</f>
        <v>79.17</v>
      </c>
      <c r="T74" s="3">
        <f>IFERROR(__xludf.DUMMYFUNCTION("""COMPUTED_VALUE"""),71.25)</f>
        <v>71.25</v>
      </c>
      <c r="U74" s="3">
        <f>IFERROR(__xludf.DUMMYFUNCTION("""COMPUTED_VALUE"""),348.41)</f>
        <v>348.41</v>
      </c>
      <c r="V74" s="3">
        <f>IFERROR(__xludf.DUMMYFUNCTION("""COMPUTED_VALUE"""),42.61)</f>
        <v>42.61</v>
      </c>
      <c r="W74" s="3">
        <f>IFERROR(__xludf.DUMMYFUNCTION("""COMPUTED_VALUE"""),190.31)</f>
        <v>190.31</v>
      </c>
      <c r="X74" s="3">
        <f>IFERROR(__xludf.DUMMYFUNCTION("""COMPUTED_VALUE"""),147.62)</f>
        <v>147.62</v>
      </c>
      <c r="Y74" s="1">
        <f>IFERROR(__xludf.DUMMYFUNCTION("""COMPUTED_VALUE"""),353.99)</f>
        <v>353.99</v>
      </c>
      <c r="Z74" s="1">
        <f>IFERROR(__xludf.DUMMYFUNCTION("""COMPUTED_VALUE"""),42.89)</f>
        <v>42.89</v>
      </c>
      <c r="AA74" s="1">
        <f>IFERROR(__xludf.DUMMYFUNCTION("""COMPUTED_VALUE"""),69.79)</f>
        <v>69.79</v>
      </c>
      <c r="AB74" s="1">
        <f>IFERROR(__xludf.DUMMYFUNCTION("""COMPUTED_VALUE"""),100.6)</f>
        <v>100.6</v>
      </c>
      <c r="AC74" s="1">
        <f>IFERROR(__xludf.DUMMYFUNCTION("""COMPUTED_VALUE"""),152.18)</f>
        <v>152.18</v>
      </c>
      <c r="AD74" s="3">
        <f>IFERROR(__xludf.DUMMYFUNCTION("""COMPUTED_VALUE"""),97.0)</f>
        <v>97</v>
      </c>
      <c r="AE74" s="1">
        <f>IFERROR(__xludf.DUMMYFUNCTION("""COMPUTED_VALUE"""),425.28)</f>
        <v>425.28</v>
      </c>
      <c r="AF74" s="1">
        <f>IFERROR(__xludf.DUMMYFUNCTION("""COMPUTED_VALUE"""),58.88)</f>
        <v>58.88</v>
      </c>
      <c r="AG74" s="1">
        <f>IFERROR(__xludf.DUMMYFUNCTION("""COMPUTED_VALUE"""),116.32)</f>
        <v>116.32</v>
      </c>
      <c r="AH74" s="3">
        <f>IFERROR(__xludf.DUMMYFUNCTION("""COMPUTED_VALUE"""),297.18)</f>
        <v>297.18</v>
      </c>
      <c r="AI74" s="1">
        <f>IFERROR(__xludf.DUMMYFUNCTION("""COMPUTED_VALUE"""),483.94)</f>
        <v>483.94</v>
      </c>
      <c r="AJ74" s="1">
        <f>IFERROR(__xludf.DUMMYFUNCTION("""COMPUTED_VALUE"""),291.45)</f>
        <v>291.45</v>
      </c>
      <c r="AK74" s="3">
        <f>IFERROR(__xludf.DUMMYFUNCTION("""COMPUTED_VALUE"""),48.57)</f>
        <v>48.57</v>
      </c>
      <c r="AL74" s="1">
        <f>IFERROR(__xludf.DUMMYFUNCTION("""COMPUTED_VALUE"""),76.72)</f>
        <v>76.72</v>
      </c>
      <c r="AM74" s="1">
        <f>IFERROR(__xludf.DUMMYFUNCTION("""COMPUTED_VALUE"""),509.42)</f>
        <v>509.42</v>
      </c>
      <c r="AN74" s="1">
        <f>IFERROR(__xludf.DUMMYFUNCTION("""COMPUTED_VALUE"""),375.59)</f>
        <v>375.59</v>
      </c>
      <c r="AO74" s="1">
        <f>IFERROR(__xludf.DUMMYFUNCTION("""COMPUTED_VALUE"""),107.64)</f>
        <v>107.64</v>
      </c>
      <c r="AP74" s="1">
        <f>IFERROR(__xludf.DUMMYFUNCTION("""COMPUTED_VALUE"""),160.01)</f>
        <v>160.01</v>
      </c>
      <c r="AQ74" s="1">
        <f>IFERROR(__xludf.DUMMYFUNCTION("""COMPUTED_VALUE"""),486.55)</f>
        <v>486.55</v>
      </c>
      <c r="AR74" s="3">
        <f>IFERROR(__xludf.DUMMYFUNCTION("""COMPUTED_VALUE"""),218.31)</f>
        <v>218.31</v>
      </c>
      <c r="AS74" s="3">
        <f>IFERROR(__xludf.DUMMYFUNCTION("""COMPUTED_VALUE"""),555.01)</f>
        <v>555.01</v>
      </c>
      <c r="AT74" s="3">
        <f>IFERROR(__xludf.DUMMYFUNCTION("""COMPUTED_VALUE"""),268.55)</f>
        <v>268.55</v>
      </c>
      <c r="AU74" s="1">
        <f>IFERROR(__xludf.DUMMYFUNCTION("""COMPUTED_VALUE"""),27.15)</f>
        <v>27.15</v>
      </c>
      <c r="AV74" s="1">
        <f>IFERROR(__xludf.DUMMYFUNCTION("""COMPUTED_VALUE"""),88.35)</f>
        <v>88.35</v>
      </c>
      <c r="AW74" s="1">
        <f>IFERROR(__xludf.DUMMYFUNCTION("""COMPUTED_VALUE"""),74.34)</f>
        <v>74.34</v>
      </c>
      <c r="AX74" s="1">
        <f>IFERROR(__xludf.DUMMYFUNCTION("""COMPUTED_VALUE"""),12.95)</f>
        <v>12.95</v>
      </c>
      <c r="AY74" s="1">
        <f>IFERROR(__xludf.DUMMYFUNCTION("""COMPUTED_VALUE"""),416.79)</f>
        <v>416.79</v>
      </c>
      <c r="AZ74" s="3">
        <f>IFERROR(__xludf.DUMMYFUNCTION("""COMPUTED_VALUE"""),79.66)</f>
        <v>79.66</v>
      </c>
      <c r="BA74" s="3">
        <f>IFERROR(__xludf.DUMMYFUNCTION("""COMPUTED_VALUE"""),83.5)</f>
        <v>83.5</v>
      </c>
      <c r="BB74" s="3">
        <f>IFERROR(__xludf.DUMMYFUNCTION("""COMPUTED_VALUE"""),129.37)</f>
        <v>129.37</v>
      </c>
      <c r="BC74" s="1">
        <f>IFERROR(__xludf.DUMMYFUNCTION("""COMPUTED_VALUE"""),94.2)</f>
        <v>94.2</v>
      </c>
      <c r="BD74" s="1">
        <f>IFERROR(__xludf.DUMMYFUNCTION("""COMPUTED_VALUE"""),44.57)</f>
        <v>44.57</v>
      </c>
      <c r="BE74" s="1">
        <f>IFERROR(__xludf.DUMMYFUNCTION("""COMPUTED_VALUE"""),31.78)</f>
        <v>31.78</v>
      </c>
      <c r="BF74" s="1">
        <f>IFERROR(__xludf.DUMMYFUNCTION("""COMPUTED_VALUE"""),71.7)</f>
        <v>71.7</v>
      </c>
      <c r="BG74" s="1">
        <f>IFERROR(__xludf.DUMMYFUNCTION("""COMPUTED_VALUE"""),28.9)</f>
        <v>28.9</v>
      </c>
      <c r="BH74" s="1">
        <f>IFERROR(__xludf.DUMMYFUNCTION("""COMPUTED_VALUE"""),118.52)</f>
        <v>118.52</v>
      </c>
      <c r="BI74" s="1">
        <f>IFERROR(__xludf.DUMMYFUNCTION("""COMPUTED_VALUE"""),43.64)</f>
        <v>43.64</v>
      </c>
      <c r="BJ74" s="1">
        <f>IFERROR(__xludf.DUMMYFUNCTION("""COMPUTED_VALUE"""),198.58)</f>
        <v>198.58</v>
      </c>
      <c r="BK74" s="1">
        <f>IFERROR(__xludf.DUMMYFUNCTION("""COMPUTED_VALUE"""),606.12)</f>
        <v>606.12</v>
      </c>
      <c r="BL74" s="1">
        <f>IFERROR(__xludf.DUMMYFUNCTION("""COMPUTED_VALUE"""),185.09)</f>
        <v>185.09</v>
      </c>
      <c r="BM74" s="1">
        <f>IFERROR(__xludf.DUMMYFUNCTION("""COMPUTED_VALUE"""),175.66)</f>
        <v>175.66</v>
      </c>
      <c r="BN74" s="3">
        <f>IFERROR(__xludf.DUMMYFUNCTION("""COMPUTED_VALUE"""),8.58)</f>
        <v>8.58</v>
      </c>
      <c r="BO74" s="1">
        <f>IFERROR(__xludf.DUMMYFUNCTION("""COMPUTED_VALUE"""),246.85)</f>
        <v>246.85</v>
      </c>
      <c r="BP74" s="1">
        <f>IFERROR(__xludf.DUMMYFUNCTION("""COMPUTED_VALUE"""),584.51)</f>
        <v>584.51</v>
      </c>
      <c r="BQ74" s="36">
        <f>IFERROR(__xludf.DUMMYFUNCTION("""COMPUTED_VALUE"""),48.83)</f>
        <v>48.83</v>
      </c>
      <c r="BR74" s="1">
        <f>IFERROR(__xludf.DUMMYFUNCTION("""COMPUTED_VALUE"""),11.76)</f>
        <v>11.76</v>
      </c>
      <c r="BS74" s="1">
        <f>IFERROR(__xludf.DUMMYFUNCTION("""COMPUTED_VALUE"""),209.98)</f>
        <v>209.98</v>
      </c>
      <c r="BT74" s="1">
        <f>IFERROR(__xludf.DUMMYFUNCTION("""COMPUTED_VALUE"""),90.56)</f>
        <v>90.56</v>
      </c>
      <c r="BU74" s="3">
        <v>1.0</v>
      </c>
    </row>
    <row r="75">
      <c r="A75" s="25">
        <f>IFERROR(__xludf.DUMMYFUNCTION("""COMPUTED_VALUE"""),45530.66666666667)</f>
        <v>45530.66667</v>
      </c>
      <c r="B75" s="29">
        <f>'Master Scratch Work'!B74</f>
        <v>1307702.39</v>
      </c>
      <c r="C75" s="15">
        <f>IFERROR(__xludf.DUMMYFUNCTION("""COMPUTED_VALUE"""),5616.84)</f>
        <v>5616.84</v>
      </c>
      <c r="D75" s="15">
        <f>IFERROR(__xludf.DUMMYFUNCTION("""COMPUTED_VALUE"""),17725.77)</f>
        <v>17725.77</v>
      </c>
      <c r="E75" s="15">
        <f>IFERROR(__xludf.DUMMYFUNCTION("""COMPUTED_VALUE"""),41240.52)</f>
        <v>41240.52</v>
      </c>
      <c r="F75" s="15">
        <f>IFERROR(__xludf.DUMMYFUNCTION("""COMPUTED_VALUE"""),2217.92)</f>
        <v>2217.92</v>
      </c>
      <c r="G75" s="3">
        <f>IFERROR(__xludf.DUMMYFUNCTION("""COMPUTED_VALUE"""),560.79)</f>
        <v>560.79</v>
      </c>
      <c r="H75" s="3">
        <f>IFERROR(__xludf.DUMMYFUNCTION("""COMPUTED_VALUE"""),475.34)</f>
        <v>475.34</v>
      </c>
      <c r="I75" s="3">
        <f>IFERROR(__xludf.DUMMYFUNCTION("""COMPUTED_VALUE"""),559.44)</f>
        <v>559.44</v>
      </c>
      <c r="J75" s="3">
        <f>IFERROR(__xludf.DUMMYFUNCTION("""COMPUTED_VALUE"""),175.5)</f>
        <v>175.5</v>
      </c>
      <c r="K75" s="3">
        <f>IFERROR(__xludf.DUMMYFUNCTION("""COMPUTED_VALUE"""),141.06)</f>
        <v>141.06</v>
      </c>
      <c r="L75" s="3">
        <f>IFERROR(__xludf.DUMMYFUNCTION("""COMPUTED_VALUE"""),227.18)</f>
        <v>227.18</v>
      </c>
      <c r="M75" s="3">
        <f>IFERROR(__xludf.DUMMYFUNCTION("""COMPUTED_VALUE"""),196.23)</f>
        <v>196.23</v>
      </c>
      <c r="N75" s="3">
        <f>IFERROR(__xludf.DUMMYFUNCTION("""COMPUTED_VALUE"""),67.0)</f>
        <v>67</v>
      </c>
      <c r="O75" s="3">
        <f>IFERROR(__xludf.DUMMYFUNCTION("""COMPUTED_VALUE"""),12.21)</f>
        <v>12.21</v>
      </c>
      <c r="P75" s="3">
        <f>IFERROR(__xludf.DUMMYFUNCTION("""COMPUTED_VALUE"""),454.49)</f>
        <v>454.49</v>
      </c>
      <c r="Q75" s="3">
        <f>IFERROR(__xludf.DUMMYFUNCTION("""COMPUTED_VALUE"""),55.51)</f>
        <v>55.51</v>
      </c>
      <c r="R75" s="3">
        <f>IFERROR(__xludf.DUMMYFUNCTION("""COMPUTED_VALUE"""),204.86)</f>
        <v>204.86</v>
      </c>
      <c r="S75" s="3">
        <f>IFERROR(__xludf.DUMMYFUNCTION("""COMPUTED_VALUE"""),79.47)</f>
        <v>79.47</v>
      </c>
      <c r="T75" s="3">
        <f>IFERROR(__xludf.DUMMYFUNCTION("""COMPUTED_VALUE"""),71.7)</f>
        <v>71.7</v>
      </c>
      <c r="U75" s="3">
        <f>IFERROR(__xludf.DUMMYFUNCTION("""COMPUTED_VALUE"""),351.16)</f>
        <v>351.16</v>
      </c>
      <c r="V75" s="3">
        <f>IFERROR(__xludf.DUMMYFUNCTION("""COMPUTED_VALUE"""),42.33)</f>
        <v>42.33</v>
      </c>
      <c r="W75" s="3">
        <f>IFERROR(__xludf.DUMMYFUNCTION("""COMPUTED_VALUE"""),189.51)</f>
        <v>189.51</v>
      </c>
      <c r="X75" s="3">
        <f>IFERROR(__xludf.DUMMYFUNCTION("""COMPUTED_VALUE"""),148.5)</f>
        <v>148.5</v>
      </c>
      <c r="Y75" s="1">
        <f>IFERROR(__xludf.DUMMYFUNCTION("""COMPUTED_VALUE"""),353.94)</f>
        <v>353.94</v>
      </c>
      <c r="Z75" s="1">
        <f>IFERROR(__xludf.DUMMYFUNCTION("""COMPUTED_VALUE"""),42.71)</f>
        <v>42.71</v>
      </c>
      <c r="AA75" s="1">
        <f>IFERROR(__xludf.DUMMYFUNCTION("""COMPUTED_VALUE"""),70.84)</f>
        <v>70.84</v>
      </c>
      <c r="AB75" s="1">
        <f>IFERROR(__xludf.DUMMYFUNCTION("""COMPUTED_VALUE"""),100.9)</f>
        <v>100.9</v>
      </c>
      <c r="AC75" s="1">
        <f>IFERROR(__xludf.DUMMYFUNCTION("""COMPUTED_VALUE"""),150.59)</f>
        <v>150.59</v>
      </c>
      <c r="AD75" s="3">
        <f>IFERROR(__xludf.DUMMYFUNCTION("""COMPUTED_VALUE"""),96.55)</f>
        <v>96.55</v>
      </c>
      <c r="AE75" s="1">
        <f>IFERROR(__xludf.DUMMYFUNCTION("""COMPUTED_VALUE"""),424.48)</f>
        <v>424.48</v>
      </c>
      <c r="AF75" s="1">
        <f>IFERROR(__xludf.DUMMYFUNCTION("""COMPUTED_VALUE"""),59.0)</f>
        <v>59</v>
      </c>
      <c r="AG75" s="1">
        <f>IFERROR(__xludf.DUMMYFUNCTION("""COMPUTED_VALUE"""),118.81)</f>
        <v>118.81</v>
      </c>
      <c r="AH75" s="3">
        <f>IFERROR(__xludf.DUMMYFUNCTION("""COMPUTED_VALUE"""),297.24)</f>
        <v>297.24</v>
      </c>
      <c r="AI75" s="1">
        <f>IFERROR(__xludf.DUMMYFUNCTION("""COMPUTED_VALUE"""),479.85)</f>
        <v>479.85</v>
      </c>
      <c r="AJ75" s="1">
        <f>IFERROR(__xludf.DUMMYFUNCTION("""COMPUTED_VALUE"""),291.0)</f>
        <v>291</v>
      </c>
      <c r="AK75" s="3">
        <f>IFERROR(__xludf.DUMMYFUNCTION("""COMPUTED_VALUE"""),48.75)</f>
        <v>48.75</v>
      </c>
      <c r="AL75" s="1">
        <f>IFERROR(__xludf.DUMMYFUNCTION("""COMPUTED_VALUE"""),76.96)</f>
        <v>76.96</v>
      </c>
      <c r="AM75" s="1">
        <f>IFERROR(__xludf.DUMMYFUNCTION("""COMPUTED_VALUE"""),507.87)</f>
        <v>507.87</v>
      </c>
      <c r="AN75" s="1">
        <f>IFERROR(__xludf.DUMMYFUNCTION("""COMPUTED_VALUE"""),374.11)</f>
        <v>374.11</v>
      </c>
      <c r="AO75" s="1">
        <f>IFERROR(__xludf.DUMMYFUNCTION("""COMPUTED_VALUE"""),107.57)</f>
        <v>107.57</v>
      </c>
      <c r="AP75" s="1">
        <f>IFERROR(__xludf.DUMMYFUNCTION("""COMPUTED_VALUE"""),160.31)</f>
        <v>160.31</v>
      </c>
      <c r="AQ75" s="1">
        <f>IFERROR(__xludf.DUMMYFUNCTION("""COMPUTED_VALUE"""),479.19)</f>
        <v>479.19</v>
      </c>
      <c r="AR75" s="3">
        <f>IFERROR(__xludf.DUMMYFUNCTION("""COMPUTED_VALUE"""),219.17)</f>
        <v>219.17</v>
      </c>
      <c r="AS75" s="3">
        <f>IFERROR(__xludf.DUMMYFUNCTION("""COMPUTED_VALUE"""),558.1)</f>
        <v>558.1</v>
      </c>
      <c r="AT75" s="3">
        <f>IFERROR(__xludf.DUMMYFUNCTION("""COMPUTED_VALUE"""),271.66)</f>
        <v>271.66</v>
      </c>
      <c r="AU75" s="1">
        <f>IFERROR(__xludf.DUMMYFUNCTION("""COMPUTED_VALUE"""),27.18)</f>
        <v>27.18</v>
      </c>
      <c r="AV75" s="1">
        <f>IFERROR(__xludf.DUMMYFUNCTION("""COMPUTED_VALUE"""),89.34)</f>
        <v>89.34</v>
      </c>
      <c r="AW75" s="1">
        <f>IFERROR(__xludf.DUMMYFUNCTION("""COMPUTED_VALUE"""),74.74)</f>
        <v>74.74</v>
      </c>
      <c r="AX75" s="1">
        <f>IFERROR(__xludf.DUMMYFUNCTION("""COMPUTED_VALUE"""),12.9)</f>
        <v>12.9</v>
      </c>
      <c r="AY75" s="1">
        <f>IFERROR(__xludf.DUMMYFUNCTION("""COMPUTED_VALUE"""),413.49)</f>
        <v>413.49</v>
      </c>
      <c r="AZ75" s="3">
        <f>IFERROR(__xludf.DUMMYFUNCTION("""COMPUTED_VALUE"""),80.64)</f>
        <v>80.64</v>
      </c>
      <c r="BA75" s="3">
        <f>IFERROR(__xludf.DUMMYFUNCTION("""COMPUTED_VALUE"""),83.75)</f>
        <v>83.75</v>
      </c>
      <c r="BB75" s="3">
        <f>IFERROR(__xludf.DUMMYFUNCTION("""COMPUTED_VALUE"""),126.46)</f>
        <v>126.46</v>
      </c>
      <c r="BC75" s="1">
        <f>IFERROR(__xludf.DUMMYFUNCTION("""COMPUTED_VALUE"""),93.65)</f>
        <v>93.65</v>
      </c>
      <c r="BD75" s="1">
        <f>IFERROR(__xludf.DUMMYFUNCTION("""COMPUTED_VALUE"""),45.9)</f>
        <v>45.9</v>
      </c>
      <c r="BE75" s="1">
        <f>IFERROR(__xludf.DUMMYFUNCTION("""COMPUTED_VALUE"""),30.85)</f>
        <v>30.85</v>
      </c>
      <c r="BF75" s="1">
        <f>IFERROR(__xludf.DUMMYFUNCTION("""COMPUTED_VALUE"""),72.04)</f>
        <v>72.04</v>
      </c>
      <c r="BG75" s="1">
        <f>IFERROR(__xludf.DUMMYFUNCTION("""COMPUTED_VALUE"""),28.92)</f>
        <v>28.92</v>
      </c>
      <c r="BH75" s="1">
        <f>IFERROR(__xludf.DUMMYFUNCTION("""COMPUTED_VALUE"""),118.7)</f>
        <v>118.7</v>
      </c>
      <c r="BI75" s="1">
        <f>IFERROR(__xludf.DUMMYFUNCTION("""COMPUTED_VALUE"""),44.06)</f>
        <v>44.06</v>
      </c>
      <c r="BJ75" s="1">
        <f>IFERROR(__xludf.DUMMYFUNCTION("""COMPUTED_VALUE"""),200.43)</f>
        <v>200.43</v>
      </c>
      <c r="BK75" s="1">
        <f>IFERROR(__xludf.DUMMYFUNCTION("""COMPUTED_VALUE"""),605.59)</f>
        <v>605.59</v>
      </c>
      <c r="BL75" s="1">
        <f>IFERROR(__xludf.DUMMYFUNCTION("""COMPUTED_VALUE"""),180.57)</f>
        <v>180.57</v>
      </c>
      <c r="BM75" s="1">
        <f>IFERROR(__xludf.DUMMYFUNCTION("""COMPUTED_VALUE"""),170.17)</f>
        <v>170.17</v>
      </c>
      <c r="BN75" s="3">
        <f>IFERROR(__xludf.DUMMYFUNCTION("""COMPUTED_VALUE"""),8.42)</f>
        <v>8.42</v>
      </c>
      <c r="BO75" s="1">
        <f>IFERROR(__xludf.DUMMYFUNCTION("""COMPUTED_VALUE"""),247.84)</f>
        <v>247.84</v>
      </c>
      <c r="BP75" s="1">
        <f>IFERROR(__xludf.DUMMYFUNCTION("""COMPUTED_VALUE"""),587.13)</f>
        <v>587.13</v>
      </c>
      <c r="BQ75" s="36">
        <f>IFERROR(__xludf.DUMMYFUNCTION("""COMPUTED_VALUE"""),48.85)</f>
        <v>48.85</v>
      </c>
      <c r="BR75" s="1">
        <f>IFERROR(__xludf.DUMMYFUNCTION("""COMPUTED_VALUE"""),11.75)</f>
        <v>11.75</v>
      </c>
      <c r="BS75" s="1">
        <f>IFERROR(__xludf.DUMMYFUNCTION("""COMPUTED_VALUE"""),208.82)</f>
        <v>208.82</v>
      </c>
      <c r="BT75" s="1">
        <f>IFERROR(__xludf.DUMMYFUNCTION("""COMPUTED_VALUE"""),91.78)</f>
        <v>91.78</v>
      </c>
      <c r="BU75" s="3">
        <v>1.0</v>
      </c>
    </row>
    <row r="76">
      <c r="A76" s="25">
        <f>IFERROR(__xludf.DUMMYFUNCTION("""COMPUTED_VALUE"""),45531.66666666667)</f>
        <v>45531.66667</v>
      </c>
      <c r="B76" s="29">
        <f>'Master Scratch Work'!B75</f>
        <v>1311614.86</v>
      </c>
      <c r="C76" s="15">
        <f>IFERROR(__xludf.DUMMYFUNCTION("""COMPUTED_VALUE"""),5625.8)</f>
        <v>5625.8</v>
      </c>
      <c r="D76" s="15">
        <f>IFERROR(__xludf.DUMMYFUNCTION("""COMPUTED_VALUE"""),17754.82)</f>
        <v>17754.82</v>
      </c>
      <c r="E76" s="15">
        <f>IFERROR(__xludf.DUMMYFUNCTION("""COMPUTED_VALUE"""),41250.5)</f>
        <v>41250.5</v>
      </c>
      <c r="F76" s="15">
        <f>IFERROR(__xludf.DUMMYFUNCTION("""COMPUTED_VALUE"""),2203.0)</f>
        <v>2203</v>
      </c>
      <c r="G76" s="3">
        <f>IFERROR(__xludf.DUMMYFUNCTION("""COMPUTED_VALUE"""),561.56)</f>
        <v>561.56</v>
      </c>
      <c r="H76" s="3">
        <f>IFERROR(__xludf.DUMMYFUNCTION("""COMPUTED_VALUE"""),476.76)</f>
        <v>476.76</v>
      </c>
      <c r="I76" s="3">
        <f>IFERROR(__xludf.DUMMYFUNCTION("""COMPUTED_VALUE"""),567.82)</f>
        <v>567.82</v>
      </c>
      <c r="J76" s="3">
        <f>IFERROR(__xludf.DUMMYFUNCTION("""COMPUTED_VALUE"""),173.12)</f>
        <v>173.12</v>
      </c>
      <c r="K76" s="3">
        <f>IFERROR(__xludf.DUMMYFUNCTION("""COMPUTED_VALUE"""),140.17)</f>
        <v>140.17</v>
      </c>
      <c r="L76" s="3">
        <f>IFERROR(__xludf.DUMMYFUNCTION("""COMPUTED_VALUE"""),228.03)</f>
        <v>228.03</v>
      </c>
      <c r="M76" s="3">
        <f>IFERROR(__xludf.DUMMYFUNCTION("""COMPUTED_VALUE"""),195.77)</f>
        <v>195.77</v>
      </c>
      <c r="N76" s="3">
        <f>IFERROR(__xludf.DUMMYFUNCTION("""COMPUTED_VALUE"""),67.21)</f>
        <v>67.21</v>
      </c>
      <c r="O76" s="3">
        <f>IFERROR(__xludf.DUMMYFUNCTION("""COMPUTED_VALUE"""),12.45)</f>
        <v>12.45</v>
      </c>
      <c r="P76" s="3">
        <f>IFERROR(__xludf.DUMMYFUNCTION("""COMPUTED_VALUE"""),460.63)</f>
        <v>460.63</v>
      </c>
      <c r="Q76" s="3">
        <f>IFERROR(__xludf.DUMMYFUNCTION("""COMPUTED_VALUE"""),55.67)</f>
        <v>55.67</v>
      </c>
      <c r="R76" s="3">
        <f>IFERROR(__xludf.DUMMYFUNCTION("""COMPUTED_VALUE"""),203.3)</f>
        <v>203.3</v>
      </c>
      <c r="S76" s="3">
        <f>IFERROR(__xludf.DUMMYFUNCTION("""COMPUTED_VALUE"""),79.83)</f>
        <v>79.83</v>
      </c>
      <c r="T76" s="3">
        <f>IFERROR(__xludf.DUMMYFUNCTION("""COMPUTED_VALUE"""),71.76)</f>
        <v>71.76</v>
      </c>
      <c r="U76" s="3">
        <f>IFERROR(__xludf.DUMMYFUNCTION("""COMPUTED_VALUE"""),351.12)</f>
        <v>351.12</v>
      </c>
      <c r="V76" s="3">
        <f>IFERROR(__xludf.DUMMYFUNCTION("""COMPUTED_VALUE"""),41.9)</f>
        <v>41.9</v>
      </c>
      <c r="W76" s="3">
        <f>IFERROR(__xludf.DUMMYFUNCTION("""COMPUTED_VALUE"""),188.2)</f>
        <v>188.2</v>
      </c>
      <c r="X76" s="3">
        <f>IFERROR(__xludf.DUMMYFUNCTION("""COMPUTED_VALUE"""),146.95)</f>
        <v>146.95</v>
      </c>
      <c r="Y76" s="1">
        <f>IFERROR(__xludf.DUMMYFUNCTION("""COMPUTED_VALUE"""),353.89)</f>
        <v>353.89</v>
      </c>
      <c r="Z76" s="1">
        <f>IFERROR(__xludf.DUMMYFUNCTION("""COMPUTED_VALUE"""),42.27)</f>
        <v>42.27</v>
      </c>
      <c r="AA76" s="1">
        <f>IFERROR(__xludf.DUMMYFUNCTION("""COMPUTED_VALUE"""),71.5)</f>
        <v>71.5</v>
      </c>
      <c r="AB76" s="1">
        <f>IFERROR(__xludf.DUMMYFUNCTION("""COMPUTED_VALUE"""),99.59)</f>
        <v>99.59</v>
      </c>
      <c r="AC76" s="1">
        <f>IFERROR(__xludf.DUMMYFUNCTION("""COMPUTED_VALUE"""),150.61)</f>
        <v>150.61</v>
      </c>
      <c r="AD76" s="3">
        <f>IFERROR(__xludf.DUMMYFUNCTION("""COMPUTED_VALUE"""),95.4)</f>
        <v>95.4</v>
      </c>
      <c r="AE76" s="1">
        <f>IFERROR(__xludf.DUMMYFUNCTION("""COMPUTED_VALUE"""),418.41)</f>
        <v>418.41</v>
      </c>
      <c r="AF76" s="1">
        <f>IFERROR(__xludf.DUMMYFUNCTION("""COMPUTED_VALUE"""),59.37)</f>
        <v>59.37</v>
      </c>
      <c r="AG76" s="1">
        <f>IFERROR(__xludf.DUMMYFUNCTION("""COMPUTED_VALUE"""),117.68)</f>
        <v>117.68</v>
      </c>
      <c r="AH76" s="3">
        <f>IFERROR(__xludf.DUMMYFUNCTION("""COMPUTED_VALUE"""),294.9)</f>
        <v>294.9</v>
      </c>
      <c r="AI76" s="1">
        <f>IFERROR(__xludf.DUMMYFUNCTION("""COMPUTED_VALUE"""),489.26)</f>
        <v>489.26</v>
      </c>
      <c r="AJ76" s="1">
        <f>IFERROR(__xludf.DUMMYFUNCTION("""COMPUTED_VALUE"""),290.2)</f>
        <v>290.2</v>
      </c>
      <c r="AK76" s="3">
        <f>IFERROR(__xludf.DUMMYFUNCTION("""COMPUTED_VALUE"""),49.25)</f>
        <v>49.25</v>
      </c>
      <c r="AL76" s="1">
        <f>IFERROR(__xludf.DUMMYFUNCTION("""COMPUTED_VALUE"""),77.0)</f>
        <v>77</v>
      </c>
      <c r="AM76" s="1">
        <f>IFERROR(__xludf.DUMMYFUNCTION("""COMPUTED_VALUE"""),507.26)</f>
        <v>507.26</v>
      </c>
      <c r="AN76" s="1">
        <f>IFERROR(__xludf.DUMMYFUNCTION("""COMPUTED_VALUE"""),373.18)</f>
        <v>373.18</v>
      </c>
      <c r="AO76" s="1">
        <f>IFERROR(__xludf.DUMMYFUNCTION("""COMPUTED_VALUE"""),107.79)</f>
        <v>107.79</v>
      </c>
      <c r="AP76" s="1">
        <f>IFERROR(__xludf.DUMMYFUNCTION("""COMPUTED_VALUE"""),160.6)</f>
        <v>160.6</v>
      </c>
      <c r="AQ76" s="1">
        <f>IFERROR(__xludf.DUMMYFUNCTION("""COMPUTED_VALUE"""),482.35)</f>
        <v>482.35</v>
      </c>
      <c r="AR76" s="3">
        <f>IFERROR(__xludf.DUMMYFUNCTION("""COMPUTED_VALUE"""),220.18)</f>
        <v>220.18</v>
      </c>
      <c r="AS76" s="3">
        <f>IFERROR(__xludf.DUMMYFUNCTION("""COMPUTED_VALUE"""),560.41)</f>
        <v>560.41</v>
      </c>
      <c r="AT76" s="3">
        <f>IFERROR(__xludf.DUMMYFUNCTION("""COMPUTED_VALUE"""),271.18)</f>
        <v>271.18</v>
      </c>
      <c r="AU76" s="1">
        <f>IFERROR(__xludf.DUMMYFUNCTION("""COMPUTED_VALUE"""),27.4)</f>
        <v>27.4</v>
      </c>
      <c r="AV76" s="1">
        <f>IFERROR(__xludf.DUMMYFUNCTION("""COMPUTED_VALUE"""),88.8)</f>
        <v>88.8</v>
      </c>
      <c r="AW76" s="1">
        <f>IFERROR(__xludf.DUMMYFUNCTION("""COMPUTED_VALUE"""),75.02)</f>
        <v>75.02</v>
      </c>
      <c r="AX76" s="1">
        <f>IFERROR(__xludf.DUMMYFUNCTION("""COMPUTED_VALUE"""),12.8)</f>
        <v>12.8</v>
      </c>
      <c r="AY76" s="1">
        <f>IFERROR(__xludf.DUMMYFUNCTION("""COMPUTED_VALUE"""),413.84)</f>
        <v>413.84</v>
      </c>
      <c r="AZ76" s="3">
        <f>IFERROR(__xludf.DUMMYFUNCTION("""COMPUTED_VALUE"""),79.61)</f>
        <v>79.61</v>
      </c>
      <c r="BA76" s="3">
        <f>IFERROR(__xludf.DUMMYFUNCTION("""COMPUTED_VALUE"""),83.6)</f>
        <v>83.6</v>
      </c>
      <c r="BB76" s="3">
        <f>IFERROR(__xludf.DUMMYFUNCTION("""COMPUTED_VALUE"""),128.3)</f>
        <v>128.3</v>
      </c>
      <c r="BC76" s="1">
        <f>IFERROR(__xludf.DUMMYFUNCTION("""COMPUTED_VALUE"""),93.13)</f>
        <v>93.13</v>
      </c>
      <c r="BD76" s="1">
        <f>IFERROR(__xludf.DUMMYFUNCTION("""COMPUTED_VALUE"""),47.92)</f>
        <v>47.92</v>
      </c>
      <c r="BE76" s="1">
        <f>IFERROR(__xludf.DUMMYFUNCTION("""COMPUTED_VALUE"""),30.84)</f>
        <v>30.84</v>
      </c>
      <c r="BF76" s="1">
        <f>IFERROR(__xludf.DUMMYFUNCTION("""COMPUTED_VALUE"""),71.59)</f>
        <v>71.59</v>
      </c>
      <c r="BG76" s="1">
        <f>IFERROR(__xludf.DUMMYFUNCTION("""COMPUTED_VALUE"""),28.82)</f>
        <v>28.82</v>
      </c>
      <c r="BH76" s="1">
        <f>IFERROR(__xludf.DUMMYFUNCTION("""COMPUTED_VALUE"""),119.49)</f>
        <v>119.49</v>
      </c>
      <c r="BI76" s="1">
        <f>IFERROR(__xludf.DUMMYFUNCTION("""COMPUTED_VALUE"""),43.59)</f>
        <v>43.59</v>
      </c>
      <c r="BJ76" s="1">
        <f>IFERROR(__xludf.DUMMYFUNCTION("""COMPUTED_VALUE"""),204.03)</f>
        <v>204.03</v>
      </c>
      <c r="BK76" s="1">
        <f>IFERROR(__xludf.DUMMYFUNCTION("""COMPUTED_VALUE"""),610.4)</f>
        <v>610.4</v>
      </c>
      <c r="BL76" s="1">
        <f>IFERROR(__xludf.DUMMYFUNCTION("""COMPUTED_VALUE"""),185.75)</f>
        <v>185.75</v>
      </c>
      <c r="BM76" s="1">
        <f>IFERROR(__xludf.DUMMYFUNCTION("""COMPUTED_VALUE"""),176.11)</f>
        <v>176.11</v>
      </c>
      <c r="BN76" s="3">
        <f>IFERROR(__xludf.DUMMYFUNCTION("""COMPUTED_VALUE"""),8.37)</f>
        <v>8.37</v>
      </c>
      <c r="BO76" s="1">
        <f>IFERROR(__xludf.DUMMYFUNCTION("""COMPUTED_VALUE"""),250.35)</f>
        <v>250.35</v>
      </c>
      <c r="BP76" s="1">
        <f>IFERROR(__xludf.DUMMYFUNCTION("""COMPUTED_VALUE"""),587.35)</f>
        <v>587.35</v>
      </c>
      <c r="BQ76" s="36">
        <f>IFERROR(__xludf.DUMMYFUNCTION("""COMPUTED_VALUE"""),48.87)</f>
        <v>48.87</v>
      </c>
      <c r="BR76" s="1">
        <f>IFERROR(__xludf.DUMMYFUNCTION("""COMPUTED_VALUE"""),11.69)</f>
        <v>11.69</v>
      </c>
      <c r="BS76" s="1">
        <f>IFERROR(__xludf.DUMMYFUNCTION("""COMPUTED_VALUE"""),209.2)</f>
        <v>209.2</v>
      </c>
      <c r="BT76" s="1">
        <f>IFERROR(__xludf.DUMMYFUNCTION("""COMPUTED_VALUE"""),90.9)</f>
        <v>90.9</v>
      </c>
      <c r="BU76" s="3">
        <v>1.0</v>
      </c>
    </row>
    <row r="77">
      <c r="A77" s="25">
        <f>IFERROR(__xludf.DUMMYFUNCTION("""COMPUTED_VALUE"""),45532.66666666667)</f>
        <v>45532.66667</v>
      </c>
      <c r="B77" s="29">
        <f>'Master Scratch Work'!B76</f>
        <v>1305407.04</v>
      </c>
      <c r="C77" s="15">
        <f>IFERROR(__xludf.DUMMYFUNCTION("""COMPUTED_VALUE"""),5592.18)</f>
        <v>5592.18</v>
      </c>
      <c r="D77" s="15">
        <f>IFERROR(__xludf.DUMMYFUNCTION("""COMPUTED_VALUE"""),17556.03)</f>
        <v>17556.03</v>
      </c>
      <c r="E77" s="15">
        <f>IFERROR(__xludf.DUMMYFUNCTION("""COMPUTED_VALUE"""),41091.42)</f>
        <v>41091.42</v>
      </c>
      <c r="F77" s="15">
        <f>IFERROR(__xludf.DUMMYFUNCTION("""COMPUTED_VALUE"""),2188.64)</f>
        <v>2188.64</v>
      </c>
      <c r="G77" s="3">
        <f>IFERROR(__xludf.DUMMYFUNCTION("""COMPUTED_VALUE"""),558.3)</f>
        <v>558.3</v>
      </c>
      <c r="H77" s="3">
        <f>IFERROR(__xludf.DUMMYFUNCTION("""COMPUTED_VALUE"""),471.35)</f>
        <v>471.35</v>
      </c>
      <c r="I77" s="3">
        <f>IFERROR(__xludf.DUMMYFUNCTION("""COMPUTED_VALUE"""),560.54)</f>
        <v>560.54</v>
      </c>
      <c r="J77" s="3">
        <f>IFERROR(__xludf.DUMMYFUNCTION("""COMPUTED_VALUE"""),170.8)</f>
        <v>170.8</v>
      </c>
      <c r="K77" s="3">
        <f>IFERROR(__xludf.DUMMYFUNCTION("""COMPUTED_VALUE"""),141.77)</f>
        <v>141.77</v>
      </c>
      <c r="L77" s="3">
        <f>IFERROR(__xludf.DUMMYFUNCTION("""COMPUTED_VALUE"""),226.49)</f>
        <v>226.49</v>
      </c>
      <c r="M77" s="3">
        <f>IFERROR(__xludf.DUMMYFUNCTION("""COMPUTED_VALUE"""),192.89)</f>
        <v>192.89</v>
      </c>
      <c r="N77" s="3">
        <f>IFERROR(__xludf.DUMMYFUNCTION("""COMPUTED_VALUE"""),67.0)</f>
        <v>67</v>
      </c>
      <c r="O77" s="3">
        <f>IFERROR(__xludf.DUMMYFUNCTION("""COMPUTED_VALUE"""),11.87)</f>
        <v>11.87</v>
      </c>
      <c r="P77" s="3">
        <f>IFERROR(__xludf.DUMMYFUNCTION("""COMPUTED_VALUE"""),464.59)</f>
        <v>464.59</v>
      </c>
      <c r="Q77" s="3">
        <f>IFERROR(__xludf.DUMMYFUNCTION("""COMPUTED_VALUE"""),54.42)</f>
        <v>54.42</v>
      </c>
      <c r="R77" s="3">
        <f>IFERROR(__xludf.DUMMYFUNCTION("""COMPUTED_VALUE"""),204.2)</f>
        <v>204.2</v>
      </c>
      <c r="S77" s="3">
        <f>IFERROR(__xludf.DUMMYFUNCTION("""COMPUTED_VALUE"""),79.52)</f>
        <v>79.52</v>
      </c>
      <c r="T77" s="3">
        <f>IFERROR(__xludf.DUMMYFUNCTION("""COMPUTED_VALUE"""),71.11)</f>
        <v>71.11</v>
      </c>
      <c r="U77" s="3">
        <f>IFERROR(__xludf.DUMMYFUNCTION("""COMPUTED_VALUE"""),348.2)</f>
        <v>348.2</v>
      </c>
      <c r="V77" s="3">
        <f>IFERROR(__xludf.DUMMYFUNCTION("""COMPUTED_VALUE"""),40.71)</f>
        <v>40.71</v>
      </c>
      <c r="W77" s="3">
        <f>IFERROR(__xludf.DUMMYFUNCTION("""COMPUTED_VALUE"""),189.57)</f>
        <v>189.57</v>
      </c>
      <c r="X77" s="3">
        <f>IFERROR(__xludf.DUMMYFUNCTION("""COMPUTED_VALUE"""),146.0)</f>
        <v>146</v>
      </c>
      <c r="Y77" s="1">
        <f>IFERROR(__xludf.DUMMYFUNCTION("""COMPUTED_VALUE"""),357.93)</f>
        <v>357.93</v>
      </c>
      <c r="Z77" s="1">
        <f>IFERROR(__xludf.DUMMYFUNCTION("""COMPUTED_VALUE"""),42.71)</f>
        <v>42.71</v>
      </c>
      <c r="AA77" s="1">
        <f>IFERROR(__xludf.DUMMYFUNCTION("""COMPUTED_VALUE"""),71.75)</f>
        <v>71.75</v>
      </c>
      <c r="AB77" s="1">
        <f>IFERROR(__xludf.DUMMYFUNCTION("""COMPUTED_VALUE"""),100.39)</f>
        <v>100.39</v>
      </c>
      <c r="AC77" s="1">
        <f>IFERROR(__xludf.DUMMYFUNCTION("""COMPUTED_VALUE"""),150.11)</f>
        <v>150.11</v>
      </c>
      <c r="AD77" s="3">
        <f>IFERROR(__xludf.DUMMYFUNCTION("""COMPUTED_VALUE"""),94.46)</f>
        <v>94.46</v>
      </c>
      <c r="AE77" s="1">
        <f>IFERROR(__xludf.DUMMYFUNCTION("""COMPUTED_VALUE"""),416.09)</f>
        <v>416.09</v>
      </c>
      <c r="AF77" s="1">
        <f>IFERROR(__xludf.DUMMYFUNCTION("""COMPUTED_VALUE"""),57.78)</f>
        <v>57.78</v>
      </c>
      <c r="AG77" s="1">
        <f>IFERROR(__xludf.DUMMYFUNCTION("""COMPUTED_VALUE"""),116.52)</f>
        <v>116.52</v>
      </c>
      <c r="AH77" s="3">
        <f>IFERROR(__xludf.DUMMYFUNCTION("""COMPUTED_VALUE"""),296.13)</f>
        <v>296.13</v>
      </c>
      <c r="AI77" s="1">
        <f>IFERROR(__xludf.DUMMYFUNCTION("""COMPUTED_VALUE"""),486.74)</f>
        <v>486.74</v>
      </c>
      <c r="AJ77" s="1">
        <f>IFERROR(__xludf.DUMMYFUNCTION("""COMPUTED_VALUE"""),296.64)</f>
        <v>296.64</v>
      </c>
      <c r="AK77" s="3">
        <f>IFERROR(__xludf.DUMMYFUNCTION("""COMPUTED_VALUE"""),49.05)</f>
        <v>49.05</v>
      </c>
      <c r="AL77" s="1">
        <f>IFERROR(__xludf.DUMMYFUNCTION("""COMPUTED_VALUE"""),78.56)</f>
        <v>78.56</v>
      </c>
      <c r="AM77" s="1">
        <f>IFERROR(__xludf.DUMMYFUNCTION("""COMPUTED_VALUE"""),503.33)</f>
        <v>503.33</v>
      </c>
      <c r="AN77" s="1">
        <f>IFERROR(__xludf.DUMMYFUNCTION("""COMPUTED_VALUE"""),372.69)</f>
        <v>372.69</v>
      </c>
      <c r="AO77" s="1">
        <f>IFERROR(__xludf.DUMMYFUNCTION("""COMPUTED_VALUE"""),106.7)</f>
        <v>106.7</v>
      </c>
      <c r="AP77" s="1">
        <f>IFERROR(__xludf.DUMMYFUNCTION("""COMPUTED_VALUE"""),160.77)</f>
        <v>160.77</v>
      </c>
      <c r="AQ77" s="1">
        <f>IFERROR(__xludf.DUMMYFUNCTION("""COMPUTED_VALUE"""),482.21)</f>
        <v>482.21</v>
      </c>
      <c r="AR77" s="3">
        <f>IFERROR(__xludf.DUMMYFUNCTION("""COMPUTED_VALUE"""),221.29)</f>
        <v>221.29</v>
      </c>
      <c r="AS77" s="3">
        <f>IFERROR(__xludf.DUMMYFUNCTION("""COMPUTED_VALUE"""),563.98)</f>
        <v>563.98</v>
      </c>
      <c r="AT77" s="3">
        <f>IFERROR(__xludf.DUMMYFUNCTION("""COMPUTED_VALUE"""),258.83)</f>
        <v>258.83</v>
      </c>
      <c r="AU77" s="1">
        <f>IFERROR(__xludf.DUMMYFUNCTION("""COMPUTED_VALUE"""),27.3)</f>
        <v>27.3</v>
      </c>
      <c r="AV77" s="1">
        <f>IFERROR(__xludf.DUMMYFUNCTION("""COMPUTED_VALUE"""),88.33)</f>
        <v>88.33</v>
      </c>
      <c r="AW77" s="1">
        <f>IFERROR(__xludf.DUMMYFUNCTION("""COMPUTED_VALUE"""),75.75)</f>
        <v>75.75</v>
      </c>
      <c r="AX77" s="1">
        <f>IFERROR(__xludf.DUMMYFUNCTION("""COMPUTED_VALUE"""),12.5)</f>
        <v>12.5</v>
      </c>
      <c r="AY77" s="1">
        <f>IFERROR(__xludf.DUMMYFUNCTION("""COMPUTED_VALUE"""),410.6)</f>
        <v>410.6</v>
      </c>
      <c r="AZ77" s="3">
        <f>IFERROR(__xludf.DUMMYFUNCTION("""COMPUTED_VALUE"""),79.41)</f>
        <v>79.41</v>
      </c>
      <c r="BA77" s="3">
        <f>IFERROR(__xludf.DUMMYFUNCTION("""COMPUTED_VALUE"""),80.27)</f>
        <v>80.27</v>
      </c>
      <c r="BB77" s="3">
        <f>IFERROR(__xludf.DUMMYFUNCTION("""COMPUTED_VALUE"""),125.61)</f>
        <v>125.61</v>
      </c>
      <c r="BC77" s="1">
        <f>IFERROR(__xludf.DUMMYFUNCTION("""COMPUTED_VALUE"""),93.41)</f>
        <v>93.41</v>
      </c>
      <c r="BD77" s="1">
        <f>IFERROR(__xludf.DUMMYFUNCTION("""COMPUTED_VALUE"""),46.37)</f>
        <v>46.37</v>
      </c>
      <c r="BE77" s="1">
        <f>IFERROR(__xludf.DUMMYFUNCTION("""COMPUTED_VALUE"""),30.36)</f>
        <v>30.36</v>
      </c>
      <c r="BF77" s="1">
        <f>IFERROR(__xludf.DUMMYFUNCTION("""COMPUTED_VALUE"""),70.43)</f>
        <v>70.43</v>
      </c>
      <c r="BG77" s="1">
        <f>IFERROR(__xludf.DUMMYFUNCTION("""COMPUTED_VALUE"""),28.75)</f>
        <v>28.75</v>
      </c>
      <c r="BH77" s="1">
        <f>IFERROR(__xludf.DUMMYFUNCTION("""COMPUTED_VALUE"""),120.84)</f>
        <v>120.84</v>
      </c>
      <c r="BI77" s="1">
        <f>IFERROR(__xludf.DUMMYFUNCTION("""COMPUTED_VALUE"""),42.65)</f>
        <v>42.65</v>
      </c>
      <c r="BJ77" s="1">
        <f>IFERROR(__xludf.DUMMYFUNCTION("""COMPUTED_VALUE"""),201.41)</f>
        <v>201.41</v>
      </c>
      <c r="BK77" s="1">
        <f>IFERROR(__xludf.DUMMYFUNCTION("""COMPUTED_VALUE"""),613.14)</f>
        <v>613.14</v>
      </c>
      <c r="BL77" s="1">
        <f>IFERROR(__xludf.DUMMYFUNCTION("""COMPUTED_VALUE"""),187.67)</f>
        <v>187.67</v>
      </c>
      <c r="BM77" s="1">
        <f>IFERROR(__xludf.DUMMYFUNCTION("""COMPUTED_VALUE"""),169.0)</f>
        <v>169</v>
      </c>
      <c r="BN77" s="3">
        <f>IFERROR(__xludf.DUMMYFUNCTION("""COMPUTED_VALUE"""),7.78)</f>
        <v>7.78</v>
      </c>
      <c r="BO77" s="1">
        <f>IFERROR(__xludf.DUMMYFUNCTION("""COMPUTED_VALUE"""),252.67)</f>
        <v>252.67</v>
      </c>
      <c r="BP77" s="1">
        <f>IFERROR(__xludf.DUMMYFUNCTION("""COMPUTED_VALUE"""),588.54)</f>
        <v>588.54</v>
      </c>
      <c r="BQ77" s="36">
        <f>IFERROR(__xludf.DUMMYFUNCTION("""COMPUTED_VALUE"""),48.86)</f>
        <v>48.86</v>
      </c>
      <c r="BR77" s="1">
        <f>IFERROR(__xludf.DUMMYFUNCTION("""COMPUTED_VALUE"""),11.9)</f>
        <v>11.9</v>
      </c>
      <c r="BS77" s="1">
        <f>IFERROR(__xludf.DUMMYFUNCTION("""COMPUTED_VALUE"""),209.31)</f>
        <v>209.31</v>
      </c>
      <c r="BT77" s="1">
        <f>IFERROR(__xludf.DUMMYFUNCTION("""COMPUTED_VALUE"""),89.49)</f>
        <v>89.49</v>
      </c>
      <c r="BU77" s="3">
        <v>1.0</v>
      </c>
    </row>
    <row r="78">
      <c r="A78" s="25">
        <f>IFERROR(__xludf.DUMMYFUNCTION("""COMPUTED_VALUE"""),45533.66666666667)</f>
        <v>45533.66667</v>
      </c>
      <c r="B78" s="29">
        <f>'Master Scratch Work'!B77</f>
        <v>1303912.91</v>
      </c>
      <c r="C78" s="15">
        <f>IFERROR(__xludf.DUMMYFUNCTION("""COMPUTED_VALUE"""),5591.96)</f>
        <v>5591.96</v>
      </c>
      <c r="D78" s="15">
        <f>IFERROR(__xludf.DUMMYFUNCTION("""COMPUTED_VALUE"""),17516.43)</f>
        <v>17516.43</v>
      </c>
      <c r="E78" s="15">
        <f>IFERROR(__xludf.DUMMYFUNCTION("""COMPUTED_VALUE"""),41335.05)</f>
        <v>41335.05</v>
      </c>
      <c r="F78" s="15">
        <f>IFERROR(__xludf.DUMMYFUNCTION("""COMPUTED_VALUE"""),2202.98)</f>
        <v>2202.98</v>
      </c>
      <c r="G78" s="3">
        <f>IFERROR(__xludf.DUMMYFUNCTION("""COMPUTED_VALUE"""),558.35)</f>
        <v>558.35</v>
      </c>
      <c r="H78" s="3">
        <f>IFERROR(__xludf.DUMMYFUNCTION("""COMPUTED_VALUE"""),470.66)</f>
        <v>470.66</v>
      </c>
      <c r="I78" s="3">
        <f>IFERROR(__xludf.DUMMYFUNCTION("""COMPUTED_VALUE"""),569.63)</f>
        <v>569.63</v>
      </c>
      <c r="J78" s="3">
        <f>IFERROR(__xludf.DUMMYFUNCTION("""COMPUTED_VALUE"""),172.12)</f>
        <v>172.12</v>
      </c>
      <c r="K78" s="3">
        <f>IFERROR(__xludf.DUMMYFUNCTION("""COMPUTED_VALUE"""),141.82)</f>
        <v>141.82</v>
      </c>
      <c r="L78" s="3">
        <f>IFERROR(__xludf.DUMMYFUNCTION("""COMPUTED_VALUE"""),229.79)</f>
        <v>229.79</v>
      </c>
      <c r="M78" s="3">
        <f>IFERROR(__xludf.DUMMYFUNCTION("""COMPUTED_VALUE"""),192.98)</f>
        <v>192.98</v>
      </c>
      <c r="N78" s="3">
        <f>IFERROR(__xludf.DUMMYFUNCTION("""COMPUTED_VALUE"""),67.25)</f>
        <v>67.25</v>
      </c>
      <c r="O78" s="3">
        <f>IFERROR(__xludf.DUMMYFUNCTION("""COMPUTED_VALUE"""),12.06)</f>
        <v>12.06</v>
      </c>
      <c r="P78" s="3">
        <f>IFERROR(__xludf.DUMMYFUNCTION("""COMPUTED_VALUE"""),468.37)</f>
        <v>468.37</v>
      </c>
      <c r="Q78" s="3">
        <f>IFERROR(__xludf.DUMMYFUNCTION("""COMPUTED_VALUE"""),55.13)</f>
        <v>55.13</v>
      </c>
      <c r="R78" s="3">
        <f>IFERROR(__xludf.DUMMYFUNCTION("""COMPUTED_VALUE"""),204.82)</f>
        <v>204.82</v>
      </c>
      <c r="S78" s="3">
        <f>IFERROR(__xludf.DUMMYFUNCTION("""COMPUTED_VALUE"""),80.67)</f>
        <v>80.67</v>
      </c>
      <c r="T78" s="3">
        <f>IFERROR(__xludf.DUMMYFUNCTION("""COMPUTED_VALUE"""),71.09)</f>
        <v>71.09</v>
      </c>
      <c r="U78" s="3">
        <f>IFERROR(__xludf.DUMMYFUNCTION("""COMPUTED_VALUE"""),351.64)</f>
        <v>351.64</v>
      </c>
      <c r="V78" s="3">
        <f>IFERROR(__xludf.DUMMYFUNCTION("""COMPUTED_VALUE"""),40.25)</f>
        <v>40.25</v>
      </c>
      <c r="W78" s="3">
        <f>IFERROR(__xludf.DUMMYFUNCTION("""COMPUTED_VALUE"""),191.61)</f>
        <v>191.61</v>
      </c>
      <c r="X78" s="3">
        <f>IFERROR(__xludf.DUMMYFUNCTION("""COMPUTED_VALUE"""),147.42)</f>
        <v>147.42</v>
      </c>
      <c r="Y78" s="1">
        <f>IFERROR(__xludf.DUMMYFUNCTION("""COMPUTED_VALUE"""),361.06)</f>
        <v>361.06</v>
      </c>
      <c r="Z78" s="1">
        <f>IFERROR(__xludf.DUMMYFUNCTION("""COMPUTED_VALUE"""),42.68)</f>
        <v>42.68</v>
      </c>
      <c r="AA78" s="1">
        <f>IFERROR(__xludf.DUMMYFUNCTION("""COMPUTED_VALUE"""),72.05)</f>
        <v>72.05</v>
      </c>
      <c r="AB78" s="1">
        <f>IFERROR(__xludf.DUMMYFUNCTION("""COMPUTED_VALUE"""),100.81)</f>
        <v>100.81</v>
      </c>
      <c r="AC78" s="1">
        <f>IFERROR(__xludf.DUMMYFUNCTION("""COMPUTED_VALUE"""),149.5)</f>
        <v>149.5</v>
      </c>
      <c r="AD78" s="3">
        <f>IFERROR(__xludf.DUMMYFUNCTION("""COMPUTED_VALUE"""),84.79)</f>
        <v>84.79</v>
      </c>
      <c r="AE78" s="1">
        <f>IFERROR(__xludf.DUMMYFUNCTION("""COMPUTED_VALUE"""),412.96)</f>
        <v>412.96</v>
      </c>
      <c r="AF78" s="1">
        <f>IFERROR(__xludf.DUMMYFUNCTION("""COMPUTED_VALUE"""),58.6)</f>
        <v>58.6</v>
      </c>
      <c r="AG78" s="1">
        <f>IFERROR(__xludf.DUMMYFUNCTION("""COMPUTED_VALUE"""),118.13)</f>
        <v>118.13</v>
      </c>
      <c r="AH78" s="3">
        <f>IFERROR(__xludf.DUMMYFUNCTION("""COMPUTED_VALUE"""),296.25)</f>
        <v>296.25</v>
      </c>
      <c r="AI78" s="1">
        <f>IFERROR(__xludf.DUMMYFUNCTION("""COMPUTED_VALUE"""),490.59)</f>
        <v>490.59</v>
      </c>
      <c r="AJ78" s="1">
        <f>IFERROR(__xludf.DUMMYFUNCTION("""COMPUTED_VALUE"""),297.83)</f>
        <v>297.83</v>
      </c>
      <c r="AK78" s="3">
        <f>IFERROR(__xludf.DUMMYFUNCTION("""COMPUTED_VALUE"""),49.47)</f>
        <v>49.47</v>
      </c>
      <c r="AL78" s="1">
        <f>IFERROR(__xludf.DUMMYFUNCTION("""COMPUTED_VALUE"""),79.45)</f>
        <v>79.45</v>
      </c>
      <c r="AM78" s="1">
        <f>IFERROR(__xludf.DUMMYFUNCTION("""COMPUTED_VALUE"""),510.1)</f>
        <v>510.1</v>
      </c>
      <c r="AN78" s="1">
        <f>IFERROR(__xludf.DUMMYFUNCTION("""COMPUTED_VALUE"""),367.06)</f>
        <v>367.06</v>
      </c>
      <c r="AO78" s="1">
        <f>IFERROR(__xludf.DUMMYFUNCTION("""COMPUTED_VALUE"""),107.94)</f>
        <v>107.94</v>
      </c>
      <c r="AP78" s="1">
        <f>IFERROR(__xludf.DUMMYFUNCTION("""COMPUTED_VALUE"""),160.22)</f>
        <v>160.22</v>
      </c>
      <c r="AQ78" s="1">
        <f>IFERROR(__xludf.DUMMYFUNCTION("""COMPUTED_VALUE"""),487.17)</f>
        <v>487.17</v>
      </c>
      <c r="AR78" s="3">
        <f>IFERROR(__xludf.DUMMYFUNCTION("""COMPUTED_VALUE"""),222.21)</f>
        <v>222.21</v>
      </c>
      <c r="AS78" s="3">
        <f>IFERROR(__xludf.DUMMYFUNCTION("""COMPUTED_VALUE"""),566.85)</f>
        <v>566.85</v>
      </c>
      <c r="AT78" s="3">
        <f>IFERROR(__xludf.DUMMYFUNCTION("""COMPUTED_VALUE"""),259.01)</f>
        <v>259.01</v>
      </c>
      <c r="AU78" s="1">
        <f>IFERROR(__xludf.DUMMYFUNCTION("""COMPUTED_VALUE"""),27.38)</f>
        <v>27.38</v>
      </c>
      <c r="AV78" s="1">
        <f>IFERROR(__xludf.DUMMYFUNCTION("""COMPUTED_VALUE"""),88.19)</f>
        <v>88.19</v>
      </c>
      <c r="AW78" s="1">
        <f>IFERROR(__xludf.DUMMYFUNCTION("""COMPUTED_VALUE"""),76.73)</f>
        <v>76.73</v>
      </c>
      <c r="AX78" s="1">
        <f>IFERROR(__xludf.DUMMYFUNCTION("""COMPUTED_VALUE"""),12.9)</f>
        <v>12.9</v>
      </c>
      <c r="AY78" s="1">
        <f>IFERROR(__xludf.DUMMYFUNCTION("""COMPUTED_VALUE"""),413.12)</f>
        <v>413.12</v>
      </c>
      <c r="AZ78" s="3">
        <f>IFERROR(__xludf.DUMMYFUNCTION("""COMPUTED_VALUE"""),80.03)</f>
        <v>80.03</v>
      </c>
      <c r="BA78" s="3">
        <f>IFERROR(__xludf.DUMMYFUNCTION("""COMPUTED_VALUE"""),82.62)</f>
        <v>82.62</v>
      </c>
      <c r="BB78" s="3">
        <f>IFERROR(__xludf.DUMMYFUNCTION("""COMPUTED_VALUE"""),117.59)</f>
        <v>117.59</v>
      </c>
      <c r="BC78" s="1">
        <f>IFERROR(__xludf.DUMMYFUNCTION("""COMPUTED_VALUE"""),93.83)</f>
        <v>93.83</v>
      </c>
      <c r="BD78" s="1">
        <f>IFERROR(__xludf.DUMMYFUNCTION("""COMPUTED_VALUE"""),46.92)</f>
        <v>46.92</v>
      </c>
      <c r="BE78" s="1">
        <f>IFERROR(__xludf.DUMMYFUNCTION("""COMPUTED_VALUE"""),31.0)</f>
        <v>31</v>
      </c>
      <c r="BF78" s="1">
        <f>IFERROR(__xludf.DUMMYFUNCTION("""COMPUTED_VALUE"""),73.16)</f>
        <v>73.16</v>
      </c>
      <c r="BG78" s="1">
        <f>IFERROR(__xludf.DUMMYFUNCTION("""COMPUTED_VALUE"""),28.72)</f>
        <v>28.72</v>
      </c>
      <c r="BH78" s="1">
        <f>IFERROR(__xludf.DUMMYFUNCTION("""COMPUTED_VALUE"""),122.29)</f>
        <v>122.29</v>
      </c>
      <c r="BI78" s="1">
        <f>IFERROR(__xludf.DUMMYFUNCTION("""COMPUTED_VALUE"""),41.8)</f>
        <v>41.8</v>
      </c>
      <c r="BJ78" s="1">
        <f>IFERROR(__xludf.DUMMYFUNCTION("""COMPUTED_VALUE"""),200.08)</f>
        <v>200.08</v>
      </c>
      <c r="BK78" s="1">
        <f>IFERROR(__xludf.DUMMYFUNCTION("""COMPUTED_VALUE"""),611.68)</f>
        <v>611.68</v>
      </c>
      <c r="BL78" s="1">
        <f>IFERROR(__xludf.DUMMYFUNCTION("""COMPUTED_VALUE"""),187.77)</f>
        <v>187.77</v>
      </c>
      <c r="BM78" s="1">
        <f>IFERROR(__xludf.DUMMYFUNCTION("""COMPUTED_VALUE"""),166.65)</f>
        <v>166.65</v>
      </c>
      <c r="BN78" s="3">
        <f>IFERROR(__xludf.DUMMYFUNCTION("""COMPUTED_VALUE"""),7.74)</f>
        <v>7.74</v>
      </c>
      <c r="BO78" s="1">
        <f>IFERROR(__xludf.DUMMYFUNCTION("""COMPUTED_VALUE"""),253.2)</f>
        <v>253.2</v>
      </c>
      <c r="BP78" s="1">
        <f>IFERROR(__xludf.DUMMYFUNCTION("""COMPUTED_VALUE"""),591.57)</f>
        <v>591.57</v>
      </c>
      <c r="BQ78" s="36">
        <f>IFERROR(__xludf.DUMMYFUNCTION("""COMPUTED_VALUE"""),48.85)</f>
        <v>48.85</v>
      </c>
      <c r="BR78" s="1">
        <f>IFERROR(__xludf.DUMMYFUNCTION("""COMPUTED_VALUE"""),11.89)</f>
        <v>11.89</v>
      </c>
      <c r="BS78" s="1">
        <f>IFERROR(__xludf.DUMMYFUNCTION("""COMPUTED_VALUE"""),209.88)</f>
        <v>209.88</v>
      </c>
      <c r="BT78" s="1">
        <f>IFERROR(__xludf.DUMMYFUNCTION("""COMPUTED_VALUE"""),89.81)</f>
        <v>89.81</v>
      </c>
      <c r="BU78" s="3">
        <v>1.0</v>
      </c>
    </row>
    <row r="79">
      <c r="A79" s="25">
        <f>IFERROR(__xludf.DUMMYFUNCTION("""COMPUTED_VALUE"""),45534.66666666667)</f>
        <v>45534.66667</v>
      </c>
      <c r="B79" s="29">
        <f>'Master Scratch Work'!B78</f>
        <v>1312803.57</v>
      </c>
      <c r="C79" s="15">
        <f>IFERROR(__xludf.DUMMYFUNCTION("""COMPUTED_VALUE"""),5648.4)</f>
        <v>5648.4</v>
      </c>
      <c r="D79" s="15">
        <f>IFERROR(__xludf.DUMMYFUNCTION("""COMPUTED_VALUE"""),17713.62)</f>
        <v>17713.62</v>
      </c>
      <c r="E79" s="15">
        <f>IFERROR(__xludf.DUMMYFUNCTION("""COMPUTED_VALUE"""),41563.08)</f>
        <v>41563.08</v>
      </c>
      <c r="F79" s="15">
        <f>IFERROR(__xludf.DUMMYFUNCTION("""COMPUTED_VALUE"""),2217.63)</f>
        <v>2217.63</v>
      </c>
      <c r="G79" s="3">
        <f>IFERROR(__xludf.DUMMYFUNCTION("""COMPUTED_VALUE"""),563.68)</f>
        <v>563.68</v>
      </c>
      <c r="H79" s="3">
        <f>IFERROR(__xludf.DUMMYFUNCTION("""COMPUTED_VALUE"""),476.27)</f>
        <v>476.27</v>
      </c>
      <c r="I79" s="3">
        <f>IFERROR(__xludf.DUMMYFUNCTION("""COMPUTED_VALUE"""),574.41)</f>
        <v>574.41</v>
      </c>
      <c r="J79" s="3">
        <f>IFERROR(__xludf.DUMMYFUNCTION("""COMPUTED_VALUE"""),178.5)</f>
        <v>178.5</v>
      </c>
      <c r="K79" s="3">
        <f>IFERROR(__xludf.DUMMYFUNCTION("""COMPUTED_VALUE"""),143.12)</f>
        <v>143.12</v>
      </c>
      <c r="L79" s="3">
        <f>IFERROR(__xludf.DUMMYFUNCTION("""COMPUTED_VALUE"""),229.0)</f>
        <v>229</v>
      </c>
      <c r="M79" s="3">
        <f>IFERROR(__xludf.DUMMYFUNCTION("""COMPUTED_VALUE"""),197.26)</f>
        <v>197.26</v>
      </c>
      <c r="N79" s="3">
        <f>IFERROR(__xludf.DUMMYFUNCTION("""COMPUTED_VALUE"""),68.22)</f>
        <v>68.22</v>
      </c>
      <c r="O79" s="3">
        <f>IFERROR(__xludf.DUMMYFUNCTION("""COMPUTED_VALUE"""),12.17)</f>
        <v>12.17</v>
      </c>
      <c r="P79" s="3">
        <f>IFERROR(__xludf.DUMMYFUNCTION("""COMPUTED_VALUE"""),475.92)</f>
        <v>475.92</v>
      </c>
      <c r="Q79" s="3">
        <f>IFERROR(__xludf.DUMMYFUNCTION("""COMPUTED_VALUE"""),55.13)</f>
        <v>55.13</v>
      </c>
      <c r="R79" s="3">
        <f>IFERROR(__xludf.DUMMYFUNCTION("""COMPUTED_VALUE"""),204.76)</f>
        <v>204.76</v>
      </c>
      <c r="S79" s="3">
        <f>IFERROR(__xludf.DUMMYFUNCTION("""COMPUTED_VALUE"""),81.79)</f>
        <v>81.79</v>
      </c>
      <c r="T79" s="3">
        <f>IFERROR(__xludf.DUMMYFUNCTION("""COMPUTED_VALUE"""),72.78)</f>
        <v>72.78</v>
      </c>
      <c r="U79" s="3">
        <f>IFERROR(__xludf.DUMMYFUNCTION("""COMPUTED_VALUE"""),356.1)</f>
        <v>356.1</v>
      </c>
      <c r="V79" s="3">
        <f>IFERROR(__xludf.DUMMYFUNCTION("""COMPUTED_VALUE"""),40.84)</f>
        <v>40.84</v>
      </c>
      <c r="W79" s="3">
        <f>IFERROR(__xludf.DUMMYFUNCTION("""COMPUTED_VALUE"""),192.5)</f>
        <v>192.5</v>
      </c>
      <c r="X79" s="3">
        <f>IFERROR(__xludf.DUMMYFUNCTION("""COMPUTED_VALUE"""),147.95)</f>
        <v>147.95</v>
      </c>
      <c r="Y79" s="1">
        <f>IFERROR(__xludf.DUMMYFUNCTION("""COMPUTED_VALUE"""),361.81)</f>
        <v>361.81</v>
      </c>
      <c r="Z79" s="1">
        <f>IFERROR(__xludf.DUMMYFUNCTION("""COMPUTED_VALUE"""),43.05)</f>
        <v>43.05</v>
      </c>
      <c r="AA79" s="1">
        <f>IFERROR(__xludf.DUMMYFUNCTION("""COMPUTED_VALUE"""),72.47)</f>
        <v>72.47</v>
      </c>
      <c r="AB79" s="1">
        <f>IFERROR(__xludf.DUMMYFUNCTION("""COMPUTED_VALUE"""),101.56)</f>
        <v>101.56</v>
      </c>
      <c r="AC79" s="1">
        <f>IFERROR(__xludf.DUMMYFUNCTION("""COMPUTED_VALUE"""),151.61)</f>
        <v>151.61</v>
      </c>
      <c r="AD79" s="3">
        <f>IFERROR(__xludf.DUMMYFUNCTION("""COMPUTED_VALUE"""),84.49)</f>
        <v>84.49</v>
      </c>
      <c r="AE79" s="1">
        <f>IFERROR(__xludf.DUMMYFUNCTION("""COMPUTED_VALUE"""),414.21)</f>
        <v>414.21</v>
      </c>
      <c r="AF79" s="1">
        <f>IFERROR(__xludf.DUMMYFUNCTION("""COMPUTED_VALUE"""),59.1)</f>
        <v>59.1</v>
      </c>
      <c r="AG79" s="1">
        <f>IFERROR(__xludf.DUMMYFUNCTION("""COMPUTED_VALUE"""),117.94)</f>
        <v>117.94</v>
      </c>
      <c r="AH79" s="3">
        <f>IFERROR(__xludf.DUMMYFUNCTION("""COMPUTED_VALUE"""),298.77)</f>
        <v>298.77</v>
      </c>
      <c r="AI79" s="1">
        <f>IFERROR(__xludf.DUMMYFUNCTION("""COMPUTED_VALUE"""),496.79)</f>
        <v>496.79</v>
      </c>
      <c r="AJ79" s="1">
        <f>IFERROR(__xludf.DUMMYFUNCTION("""COMPUTED_VALUE"""),299.36)</f>
        <v>299.36</v>
      </c>
      <c r="AK79" s="3">
        <f>IFERROR(__xludf.DUMMYFUNCTION("""COMPUTED_VALUE"""),49.78)</f>
        <v>49.78</v>
      </c>
      <c r="AL79" s="1">
        <f>IFERROR(__xludf.DUMMYFUNCTION("""COMPUTED_VALUE"""),79.0)</f>
        <v>79</v>
      </c>
      <c r="AM79" s="1">
        <f>IFERROR(__xludf.DUMMYFUNCTION("""COMPUTED_VALUE"""),510.25)</f>
        <v>510.25</v>
      </c>
      <c r="AN79" s="1">
        <f>IFERROR(__xludf.DUMMYFUNCTION("""COMPUTED_VALUE"""),368.5)</f>
        <v>368.5</v>
      </c>
      <c r="AO79" s="1">
        <f>IFERROR(__xludf.DUMMYFUNCTION("""COMPUTED_VALUE"""),110.44)</f>
        <v>110.44</v>
      </c>
      <c r="AP79" s="1">
        <f>IFERROR(__xludf.DUMMYFUNCTION("""COMPUTED_VALUE"""),161.55)</f>
        <v>161.55</v>
      </c>
      <c r="AQ79" s="1">
        <f>IFERROR(__xludf.DUMMYFUNCTION("""COMPUTED_VALUE"""),492.63)</f>
        <v>492.63</v>
      </c>
      <c r="AR79" s="3">
        <f>IFERROR(__xludf.DUMMYFUNCTION("""COMPUTED_VALUE"""),224.8)</f>
        <v>224.8</v>
      </c>
      <c r="AS79" s="3">
        <f>IFERROR(__xludf.DUMMYFUNCTION("""COMPUTED_VALUE"""),568.1)</f>
        <v>568.1</v>
      </c>
      <c r="AT79" s="3">
        <f>IFERROR(__xludf.DUMMYFUNCTION("""COMPUTED_VALUE"""),259.47)</f>
        <v>259.47</v>
      </c>
      <c r="AU79" s="1">
        <f>IFERROR(__xludf.DUMMYFUNCTION("""COMPUTED_VALUE"""),27.61)</f>
        <v>27.61</v>
      </c>
      <c r="AV79" s="1">
        <f>IFERROR(__xludf.DUMMYFUNCTION("""COMPUTED_VALUE"""),88.58)</f>
        <v>88.58</v>
      </c>
      <c r="AW79" s="1">
        <f>IFERROR(__xludf.DUMMYFUNCTION("""COMPUTED_VALUE"""),77.48)</f>
        <v>77.48</v>
      </c>
      <c r="AX79" s="1">
        <f>IFERROR(__xludf.DUMMYFUNCTION("""COMPUTED_VALUE"""),12.9)</f>
        <v>12.9</v>
      </c>
      <c r="AY79" s="1">
        <f>IFERROR(__xludf.DUMMYFUNCTION("""COMPUTED_VALUE"""),417.14)</f>
        <v>417.14</v>
      </c>
      <c r="AZ79" s="3">
        <f>IFERROR(__xludf.DUMMYFUNCTION("""COMPUTED_VALUE"""),80.51)</f>
        <v>80.51</v>
      </c>
      <c r="BA79" s="3">
        <f>IFERROR(__xludf.DUMMYFUNCTION("""COMPUTED_VALUE"""),85.01)</f>
        <v>85.01</v>
      </c>
      <c r="BB79" s="3">
        <f>IFERROR(__xludf.DUMMYFUNCTION("""COMPUTED_VALUE"""),119.37)</f>
        <v>119.37</v>
      </c>
      <c r="BC79" s="1">
        <f>IFERROR(__xludf.DUMMYFUNCTION("""COMPUTED_VALUE"""),94.69)</f>
        <v>94.69</v>
      </c>
      <c r="BD79" s="1">
        <f>IFERROR(__xludf.DUMMYFUNCTION("""COMPUTED_VALUE"""),46.98)</f>
        <v>46.98</v>
      </c>
      <c r="BE79" s="1">
        <f>IFERROR(__xludf.DUMMYFUNCTION("""COMPUTED_VALUE"""),31.48)</f>
        <v>31.48</v>
      </c>
      <c r="BF79" s="1">
        <f>IFERROR(__xludf.DUMMYFUNCTION("""COMPUTED_VALUE"""),72.43)</f>
        <v>72.43</v>
      </c>
      <c r="BG79" s="1">
        <f>IFERROR(__xludf.DUMMYFUNCTION("""COMPUTED_VALUE"""),29.01)</f>
        <v>29.01</v>
      </c>
      <c r="BH79" s="1">
        <f>IFERROR(__xludf.DUMMYFUNCTION("""COMPUTED_VALUE"""),123.34)</f>
        <v>123.34</v>
      </c>
      <c r="BI79" s="1">
        <f>IFERROR(__xludf.DUMMYFUNCTION("""COMPUTED_VALUE"""),42.63)</f>
        <v>42.63</v>
      </c>
      <c r="BJ79" s="1">
        <f>IFERROR(__xludf.DUMMYFUNCTION("""COMPUTED_VALUE"""),198.72)</f>
        <v>198.72</v>
      </c>
      <c r="BK79" s="1">
        <f>IFERROR(__xludf.DUMMYFUNCTION("""COMPUTED_VALUE"""),615.07)</f>
        <v>615.07</v>
      </c>
      <c r="BL79" s="1">
        <f>IFERROR(__xludf.DUMMYFUNCTION("""COMPUTED_VALUE"""),189.8)</f>
        <v>189.8</v>
      </c>
      <c r="BM79" s="1">
        <f>IFERROR(__xludf.DUMMYFUNCTION("""COMPUTED_VALUE"""),168.06)</f>
        <v>168.06</v>
      </c>
      <c r="BN79" s="3">
        <f>IFERROR(__xludf.DUMMYFUNCTION("""COMPUTED_VALUE"""),7.69)</f>
        <v>7.69</v>
      </c>
      <c r="BO79" s="1">
        <f>IFERROR(__xludf.DUMMYFUNCTION("""COMPUTED_VALUE"""),256.09)</f>
        <v>256.09</v>
      </c>
      <c r="BP79" s="1">
        <f>IFERROR(__xludf.DUMMYFUNCTION("""COMPUTED_VALUE"""),590.2)</f>
        <v>590.2</v>
      </c>
      <c r="BQ79" s="36">
        <f>IFERROR(__xludf.DUMMYFUNCTION("""COMPUTED_VALUE"""),48.81)</f>
        <v>48.81</v>
      </c>
      <c r="BR79" s="1">
        <f>IFERROR(__xludf.DUMMYFUNCTION("""COMPUTED_VALUE"""),12.08)</f>
        <v>12.08</v>
      </c>
      <c r="BS79" s="1">
        <f>IFERROR(__xludf.DUMMYFUNCTION("""COMPUTED_VALUE"""),212.04)</f>
        <v>212.04</v>
      </c>
      <c r="BT79" s="1">
        <f>IFERROR(__xludf.DUMMYFUNCTION("""COMPUTED_VALUE"""),90.38)</f>
        <v>90.38</v>
      </c>
      <c r="BU79" s="3">
        <v>1.0</v>
      </c>
    </row>
    <row r="80">
      <c r="A80" s="25">
        <f>IFERROR(__xludf.DUMMYFUNCTION("""COMPUTED_VALUE"""),45538.66666666667)</f>
        <v>45538.66667</v>
      </c>
      <c r="B80" s="29">
        <f>'Master Scratch Work'!B79</f>
        <v>1291340.24</v>
      </c>
      <c r="C80" s="15">
        <f>IFERROR(__xludf.DUMMYFUNCTION("""COMPUTED_VALUE"""),5528.93)</f>
        <v>5528.93</v>
      </c>
      <c r="D80" s="15">
        <f>IFERROR(__xludf.DUMMYFUNCTION("""COMPUTED_VALUE"""),17136.3)</f>
        <v>17136.3</v>
      </c>
      <c r="E80" s="15">
        <f>IFERROR(__xludf.DUMMYFUNCTION("""COMPUTED_VALUE"""),40936.93)</f>
        <v>40936.93</v>
      </c>
      <c r="F80" s="15">
        <f>IFERROR(__xludf.DUMMYFUNCTION("""COMPUTED_VALUE"""),2149.21)</f>
        <v>2149.21</v>
      </c>
      <c r="G80" s="3">
        <f>IFERROR(__xludf.DUMMYFUNCTION("""COMPUTED_VALUE"""),552.08)</f>
        <v>552.08</v>
      </c>
      <c r="H80" s="3">
        <f>IFERROR(__xludf.DUMMYFUNCTION("""COMPUTED_VALUE"""),461.81)</f>
        <v>461.81</v>
      </c>
      <c r="I80" s="3">
        <f>IFERROR(__xludf.DUMMYFUNCTION("""COMPUTED_VALUE"""),571.04)</f>
        <v>571.04</v>
      </c>
      <c r="J80" s="3">
        <f>IFERROR(__xludf.DUMMYFUNCTION("""COMPUTED_VALUE"""),176.25)</f>
        <v>176.25</v>
      </c>
      <c r="K80" s="3">
        <f>IFERROR(__xludf.DUMMYFUNCTION("""COMPUTED_VALUE"""),143.48)</f>
        <v>143.48</v>
      </c>
      <c r="L80" s="3">
        <f>IFERROR(__xludf.DUMMYFUNCTION("""COMPUTED_VALUE"""),222.77)</f>
        <v>222.77</v>
      </c>
      <c r="M80" s="3">
        <f>IFERROR(__xludf.DUMMYFUNCTION("""COMPUTED_VALUE"""),183.37)</f>
        <v>183.37</v>
      </c>
      <c r="N80" s="3">
        <f>IFERROR(__xludf.DUMMYFUNCTION("""COMPUTED_VALUE"""),67.89)</f>
        <v>67.89</v>
      </c>
      <c r="O80" s="3">
        <f>IFERROR(__xludf.DUMMYFUNCTION("""COMPUTED_VALUE"""),11.73)</f>
        <v>11.73</v>
      </c>
      <c r="P80" s="3">
        <f>IFERROR(__xludf.DUMMYFUNCTION("""COMPUTED_VALUE"""),476.83)</f>
        <v>476.83</v>
      </c>
      <c r="Q80" s="3">
        <f>IFERROR(__xludf.DUMMYFUNCTION("""COMPUTED_VALUE"""),52.34)</f>
        <v>52.34</v>
      </c>
      <c r="R80" s="3">
        <f>IFERROR(__xludf.DUMMYFUNCTION("""COMPUTED_VALUE"""),204.84)</f>
        <v>204.84</v>
      </c>
      <c r="S80" s="3">
        <f>IFERROR(__xludf.DUMMYFUNCTION("""COMPUTED_VALUE"""),81.14)</f>
        <v>81.14</v>
      </c>
      <c r="T80" s="3">
        <f>IFERROR(__xludf.DUMMYFUNCTION("""COMPUTED_VALUE"""),70.06)</f>
        <v>70.06</v>
      </c>
      <c r="U80" s="3">
        <f>IFERROR(__xludf.DUMMYFUNCTION("""COMPUTED_VALUE"""),340.24)</f>
        <v>340.24</v>
      </c>
      <c r="V80" s="3">
        <f>IFERROR(__xludf.DUMMYFUNCTION("""COMPUTED_VALUE"""),37.95)</f>
        <v>37.95</v>
      </c>
      <c r="W80" s="3">
        <f>IFERROR(__xludf.DUMMYFUNCTION("""COMPUTED_VALUE"""),189.99)</f>
        <v>189.99</v>
      </c>
      <c r="X80" s="3">
        <f>IFERROR(__xludf.DUMMYFUNCTION("""COMPUTED_VALUE"""),144.66)</f>
        <v>144.66</v>
      </c>
      <c r="Y80" s="1">
        <f>IFERROR(__xludf.DUMMYFUNCTION("""COMPUTED_VALUE"""),365.48)</f>
        <v>365.48</v>
      </c>
      <c r="Z80" s="1">
        <f>IFERROR(__xludf.DUMMYFUNCTION("""COMPUTED_VALUE"""),42.67)</f>
        <v>42.67</v>
      </c>
      <c r="AA80" s="1">
        <f>IFERROR(__xludf.DUMMYFUNCTION("""COMPUTED_VALUE"""),73.01)</f>
        <v>73.01</v>
      </c>
      <c r="AB80" s="1">
        <f>IFERROR(__xludf.DUMMYFUNCTION("""COMPUTED_VALUE"""),103.28)</f>
        <v>103.28</v>
      </c>
      <c r="AC80" s="1">
        <f>IFERROR(__xludf.DUMMYFUNCTION("""COMPUTED_VALUE"""),149.79)</f>
        <v>149.79</v>
      </c>
      <c r="AD80" s="3">
        <f>IFERROR(__xludf.DUMMYFUNCTION("""COMPUTED_VALUE"""),81.65)</f>
        <v>81.65</v>
      </c>
      <c r="AE80" s="1">
        <f>IFERROR(__xludf.DUMMYFUNCTION("""COMPUTED_VALUE"""),403.55)</f>
        <v>403.55</v>
      </c>
      <c r="AF80" s="1">
        <f>IFERROR(__xludf.DUMMYFUNCTION("""COMPUTED_VALUE"""),58.8)</f>
        <v>58.8</v>
      </c>
      <c r="AG80" s="1">
        <f>IFERROR(__xludf.DUMMYFUNCTION("""COMPUTED_VALUE"""),115.47)</f>
        <v>115.47</v>
      </c>
      <c r="AH80" s="3">
        <f>IFERROR(__xludf.DUMMYFUNCTION("""COMPUTED_VALUE"""),293.48)</f>
        <v>293.48</v>
      </c>
      <c r="AI80" s="1">
        <f>IFERROR(__xludf.DUMMYFUNCTION("""COMPUTED_VALUE"""),486.68)</f>
        <v>486.68</v>
      </c>
      <c r="AJ80" s="1">
        <f>IFERROR(__xludf.DUMMYFUNCTION("""COMPUTED_VALUE"""),294.92)</f>
        <v>294.92</v>
      </c>
      <c r="AK80" s="3">
        <f>IFERROR(__xludf.DUMMYFUNCTION("""COMPUTED_VALUE"""),48.41)</f>
        <v>48.41</v>
      </c>
      <c r="AL80" s="1">
        <f>IFERROR(__xludf.DUMMYFUNCTION("""COMPUTED_VALUE"""),79.7)</f>
        <v>79.7</v>
      </c>
      <c r="AM80" s="1">
        <f>IFERROR(__xludf.DUMMYFUNCTION("""COMPUTED_VALUE"""),487.46)</f>
        <v>487.46</v>
      </c>
      <c r="AN80" s="1">
        <f>IFERROR(__xludf.DUMMYFUNCTION("""COMPUTED_VALUE"""),364.74)</f>
        <v>364.74</v>
      </c>
      <c r="AO80" s="1">
        <f>IFERROR(__xludf.DUMMYFUNCTION("""COMPUTED_VALUE"""),108.86)</f>
        <v>108.86</v>
      </c>
      <c r="AP80" s="1">
        <f>IFERROR(__xludf.DUMMYFUNCTION("""COMPUTED_VALUE"""),161.44)</f>
        <v>161.44</v>
      </c>
      <c r="AQ80" s="1">
        <f>IFERROR(__xludf.DUMMYFUNCTION("""COMPUTED_VALUE"""),483.44)</f>
        <v>483.44</v>
      </c>
      <c r="AR80" s="3">
        <f>IFERROR(__xludf.DUMMYFUNCTION("""COMPUTED_VALUE"""),220.3)</f>
        <v>220.3</v>
      </c>
      <c r="AS80" s="3">
        <f>IFERROR(__xludf.DUMMYFUNCTION("""COMPUTED_VALUE"""),567.22)</f>
        <v>567.22</v>
      </c>
      <c r="AT80" s="3">
        <f>IFERROR(__xludf.DUMMYFUNCTION("""COMPUTED_VALUE"""),258.08)</f>
        <v>258.08</v>
      </c>
      <c r="AU80" s="1">
        <f>IFERROR(__xludf.DUMMYFUNCTION("""COMPUTED_VALUE"""),27.43)</f>
        <v>27.43</v>
      </c>
      <c r="AV80" s="1">
        <f>IFERROR(__xludf.DUMMYFUNCTION("""COMPUTED_VALUE"""),88.96)</f>
        <v>88.96</v>
      </c>
      <c r="AW80" s="1">
        <f>IFERROR(__xludf.DUMMYFUNCTION("""COMPUTED_VALUE"""),77.76)</f>
        <v>77.76</v>
      </c>
      <c r="AX80" s="1">
        <f>IFERROR(__xludf.DUMMYFUNCTION("""COMPUTED_VALUE"""),12.96)</f>
        <v>12.96</v>
      </c>
      <c r="AY80" s="1">
        <f>IFERROR(__xludf.DUMMYFUNCTION("""COMPUTED_VALUE"""),409.44)</f>
        <v>409.44</v>
      </c>
      <c r="AZ80" s="3">
        <f>IFERROR(__xludf.DUMMYFUNCTION("""COMPUTED_VALUE"""),79.93)</f>
        <v>79.93</v>
      </c>
      <c r="BA80" s="3">
        <f>IFERROR(__xludf.DUMMYFUNCTION("""COMPUTED_VALUE"""),79.75)</f>
        <v>79.75</v>
      </c>
      <c r="BB80" s="3">
        <f>IFERROR(__xludf.DUMMYFUNCTION("""COMPUTED_VALUE"""),108.0)</f>
        <v>108</v>
      </c>
      <c r="BC80" s="1">
        <f>IFERROR(__xludf.DUMMYFUNCTION("""COMPUTED_VALUE"""),95.03)</f>
        <v>95.03</v>
      </c>
      <c r="BD80" s="1">
        <f>IFERROR(__xludf.DUMMYFUNCTION("""COMPUTED_VALUE"""),46.07)</f>
        <v>46.07</v>
      </c>
      <c r="BE80" s="1">
        <f>IFERROR(__xludf.DUMMYFUNCTION("""COMPUTED_VALUE"""),30.51)</f>
        <v>30.51</v>
      </c>
      <c r="BF80" s="1">
        <f>IFERROR(__xludf.DUMMYFUNCTION("""COMPUTED_VALUE"""),72.0)</f>
        <v>72</v>
      </c>
      <c r="BG80" s="1">
        <f>IFERROR(__xludf.DUMMYFUNCTION("""COMPUTED_VALUE"""),28.3)</f>
        <v>28.3</v>
      </c>
      <c r="BH80" s="1">
        <f>IFERROR(__xludf.DUMMYFUNCTION("""COMPUTED_VALUE"""),120.99)</f>
        <v>120.99</v>
      </c>
      <c r="BI80" s="1">
        <f>IFERROR(__xludf.DUMMYFUNCTION("""COMPUTED_VALUE"""),41.56)</f>
        <v>41.56</v>
      </c>
      <c r="BJ80" s="1">
        <f>IFERROR(__xludf.DUMMYFUNCTION("""COMPUTED_VALUE"""),200.53)</f>
        <v>200.53</v>
      </c>
      <c r="BK80" s="1">
        <f>IFERROR(__xludf.DUMMYFUNCTION("""COMPUTED_VALUE"""),606.43)</f>
        <v>606.43</v>
      </c>
      <c r="BL80" s="1">
        <f>IFERROR(__xludf.DUMMYFUNCTION("""COMPUTED_VALUE"""),186.15)</f>
        <v>186.15</v>
      </c>
      <c r="BM80" s="1">
        <f>IFERROR(__xludf.DUMMYFUNCTION("""COMPUTED_VALUE"""),159.38)</f>
        <v>159.38</v>
      </c>
      <c r="BN80" s="3">
        <f>IFERROR(__xludf.DUMMYFUNCTION("""COMPUTED_VALUE"""),8.2)</f>
        <v>8.2</v>
      </c>
      <c r="BO80" s="1">
        <f>IFERROR(__xludf.DUMMYFUNCTION("""COMPUTED_VALUE"""),255.21)</f>
        <v>255.21</v>
      </c>
      <c r="BP80" s="1">
        <f>IFERROR(__xludf.DUMMYFUNCTION("""COMPUTED_VALUE"""),598.68)</f>
        <v>598.68</v>
      </c>
      <c r="BQ80" s="36">
        <f>IFERROR(__xludf.DUMMYFUNCTION("""COMPUTED_VALUE"""),48.82)</f>
        <v>48.82</v>
      </c>
      <c r="BR80" s="1">
        <f>IFERROR(__xludf.DUMMYFUNCTION("""COMPUTED_VALUE"""),11.89)</f>
        <v>11.89</v>
      </c>
      <c r="BS80" s="1">
        <f>IFERROR(__xludf.DUMMYFUNCTION("""COMPUTED_VALUE"""),209.4)</f>
        <v>209.4</v>
      </c>
      <c r="BT80" s="1">
        <f>IFERROR(__xludf.DUMMYFUNCTION("""COMPUTED_VALUE"""),89.13)</f>
        <v>89.13</v>
      </c>
      <c r="BU80" s="3">
        <v>1.0</v>
      </c>
    </row>
    <row r="81">
      <c r="A81" s="25">
        <f>IFERROR(__xludf.DUMMYFUNCTION("""COMPUTED_VALUE"""),45539.66666666667)</f>
        <v>45539.66667</v>
      </c>
      <c r="B81" s="29">
        <f>'Master Scratch Work'!B80</f>
        <v>1282943.45</v>
      </c>
      <c r="C81" s="15">
        <f>IFERROR(__xludf.DUMMYFUNCTION("""COMPUTED_VALUE"""),5520.07)</f>
        <v>5520.07</v>
      </c>
      <c r="D81" s="15">
        <f>IFERROR(__xludf.DUMMYFUNCTION("""COMPUTED_VALUE"""),17084.3)</f>
        <v>17084.3</v>
      </c>
      <c r="E81" s="15">
        <f>IFERROR(__xludf.DUMMYFUNCTION("""COMPUTED_VALUE"""),40974.97)</f>
        <v>40974.97</v>
      </c>
      <c r="F81" s="15">
        <f>IFERROR(__xludf.DUMMYFUNCTION("""COMPUTED_VALUE"""),2145.22)</f>
        <v>2145.22</v>
      </c>
      <c r="G81" s="3">
        <f>IFERROR(__xludf.DUMMYFUNCTION("""COMPUTED_VALUE"""),550.95)</f>
        <v>550.95</v>
      </c>
      <c r="H81" s="3">
        <f>IFERROR(__xludf.DUMMYFUNCTION("""COMPUTED_VALUE"""),460.61)</f>
        <v>460.61</v>
      </c>
      <c r="I81" s="3">
        <f>IFERROR(__xludf.DUMMYFUNCTION("""COMPUTED_VALUE"""),575.25)</f>
        <v>575.25</v>
      </c>
      <c r="J81" s="3">
        <f>IFERROR(__xludf.DUMMYFUNCTION("""COMPUTED_VALUE"""),173.33)</f>
        <v>173.33</v>
      </c>
      <c r="K81" s="3">
        <f>IFERROR(__xludf.DUMMYFUNCTION("""COMPUTED_VALUE"""),144.15)</f>
        <v>144.15</v>
      </c>
      <c r="L81" s="3">
        <f>IFERROR(__xludf.DUMMYFUNCTION("""COMPUTED_VALUE"""),220.85)</f>
        <v>220.85</v>
      </c>
      <c r="M81" s="3">
        <f>IFERROR(__xludf.DUMMYFUNCTION("""COMPUTED_VALUE"""),182.38)</f>
        <v>182.38</v>
      </c>
      <c r="N81" s="3">
        <f>IFERROR(__xludf.DUMMYFUNCTION("""COMPUTED_VALUE"""),67.74)</f>
        <v>67.74</v>
      </c>
      <c r="O81" s="3">
        <f>IFERROR(__xludf.DUMMYFUNCTION("""COMPUTED_VALUE"""),11.74)</f>
        <v>11.74</v>
      </c>
      <c r="P81" s="3">
        <f>IFERROR(__xludf.DUMMYFUNCTION("""COMPUTED_VALUE"""),478.57)</f>
        <v>478.57</v>
      </c>
      <c r="Q81" s="3">
        <f>IFERROR(__xludf.DUMMYFUNCTION("""COMPUTED_VALUE"""),52.25)</f>
        <v>52.25</v>
      </c>
      <c r="R81" s="3">
        <f>IFERROR(__xludf.DUMMYFUNCTION("""COMPUTED_VALUE"""),204.95)</f>
        <v>204.95</v>
      </c>
      <c r="S81" s="3">
        <f>IFERROR(__xludf.DUMMYFUNCTION("""COMPUTED_VALUE"""),81.96)</f>
        <v>81.96</v>
      </c>
      <c r="T81" s="3">
        <f>IFERROR(__xludf.DUMMYFUNCTION("""COMPUTED_VALUE"""),69.11)</f>
        <v>69.11</v>
      </c>
      <c r="U81" s="3">
        <f>IFERROR(__xludf.DUMMYFUNCTION("""COMPUTED_VALUE"""),336.75)</f>
        <v>336.75</v>
      </c>
      <c r="V81" s="3">
        <f>IFERROR(__xludf.DUMMYFUNCTION("""COMPUTED_VALUE"""),39.0)</f>
        <v>39</v>
      </c>
      <c r="W81" s="3">
        <f>IFERROR(__xludf.DUMMYFUNCTION("""COMPUTED_VALUE"""),190.29)</f>
        <v>190.29</v>
      </c>
      <c r="X81" s="3">
        <f>IFERROR(__xludf.DUMMYFUNCTION("""COMPUTED_VALUE"""),142.07)</f>
        <v>142.07</v>
      </c>
      <c r="Y81" s="1">
        <f>IFERROR(__xludf.DUMMYFUNCTION("""COMPUTED_VALUE"""),366.64)</f>
        <v>366.64</v>
      </c>
      <c r="Z81" s="1">
        <f>IFERROR(__xludf.DUMMYFUNCTION("""COMPUTED_VALUE"""),41.97)</f>
        <v>41.97</v>
      </c>
      <c r="AA81" s="1">
        <f>IFERROR(__xludf.DUMMYFUNCTION("""COMPUTED_VALUE"""),72.56)</f>
        <v>72.56</v>
      </c>
      <c r="AB81" s="1">
        <f>IFERROR(__xludf.DUMMYFUNCTION("""COMPUTED_VALUE"""),104.4)</f>
        <v>104.4</v>
      </c>
      <c r="AC81" s="1">
        <f>IFERROR(__xludf.DUMMYFUNCTION("""COMPUTED_VALUE"""),149.09)</f>
        <v>149.09</v>
      </c>
      <c r="AD81" s="3">
        <f>IFERROR(__xludf.DUMMYFUNCTION("""COMPUTED_VALUE"""),63.56)</f>
        <v>63.56</v>
      </c>
      <c r="AE81" s="1">
        <f>IFERROR(__xludf.DUMMYFUNCTION("""COMPUTED_VALUE"""),405.53)</f>
        <v>405.53</v>
      </c>
      <c r="AF81" s="1">
        <f>IFERROR(__xludf.DUMMYFUNCTION("""COMPUTED_VALUE"""),58.95)</f>
        <v>58.95</v>
      </c>
      <c r="AG81" s="1">
        <f>IFERROR(__xludf.DUMMYFUNCTION("""COMPUTED_VALUE"""),114.06)</f>
        <v>114.06</v>
      </c>
      <c r="AH81" s="3">
        <f>IFERROR(__xludf.DUMMYFUNCTION("""COMPUTED_VALUE"""),292.84)</f>
        <v>292.84</v>
      </c>
      <c r="AI81" s="1">
        <f>IFERROR(__xludf.DUMMYFUNCTION("""COMPUTED_VALUE"""),486.92)</f>
        <v>486.92</v>
      </c>
      <c r="AJ81" s="1">
        <f>IFERROR(__xludf.DUMMYFUNCTION("""COMPUTED_VALUE"""),294.35)</f>
        <v>294.35</v>
      </c>
      <c r="AK81" s="3">
        <f>IFERROR(__xludf.DUMMYFUNCTION("""COMPUTED_VALUE"""),48.45)</f>
        <v>48.45</v>
      </c>
      <c r="AL81" s="1">
        <f>IFERROR(__xludf.DUMMYFUNCTION("""COMPUTED_VALUE"""),79.13)</f>
        <v>79.13</v>
      </c>
      <c r="AM81" s="1">
        <f>IFERROR(__xludf.DUMMYFUNCTION("""COMPUTED_VALUE"""),490.64)</f>
        <v>490.64</v>
      </c>
      <c r="AN81" s="1">
        <f>IFERROR(__xludf.DUMMYFUNCTION("""COMPUTED_VALUE"""),364.67)</f>
        <v>364.67</v>
      </c>
      <c r="AO81" s="1">
        <f>IFERROR(__xludf.DUMMYFUNCTION("""COMPUTED_VALUE"""),108.08)</f>
        <v>108.08</v>
      </c>
      <c r="AP81" s="1">
        <f>IFERROR(__xludf.DUMMYFUNCTION("""COMPUTED_VALUE"""),162.43)</f>
        <v>162.43</v>
      </c>
      <c r="AQ81" s="1">
        <f>IFERROR(__xludf.DUMMYFUNCTION("""COMPUTED_VALUE"""),481.73)</f>
        <v>481.73</v>
      </c>
      <c r="AR81" s="3">
        <f>IFERROR(__xludf.DUMMYFUNCTION("""COMPUTED_VALUE"""),219.33)</f>
        <v>219.33</v>
      </c>
      <c r="AS81" s="3">
        <f>IFERROR(__xludf.DUMMYFUNCTION("""COMPUTED_VALUE"""),574.78)</f>
        <v>574.78</v>
      </c>
      <c r="AT81" s="3">
        <f>IFERROR(__xludf.DUMMYFUNCTION("""COMPUTED_VALUE"""),255.51)</f>
        <v>255.51</v>
      </c>
      <c r="AU81" s="1">
        <f>IFERROR(__xludf.DUMMYFUNCTION("""COMPUTED_VALUE"""),27.6)</f>
        <v>27.6</v>
      </c>
      <c r="AV81" s="1">
        <f>IFERROR(__xludf.DUMMYFUNCTION("""COMPUTED_VALUE"""),91.03)</f>
        <v>91.03</v>
      </c>
      <c r="AW81" s="1">
        <f>IFERROR(__xludf.DUMMYFUNCTION("""COMPUTED_VALUE"""),77.52)</f>
        <v>77.52</v>
      </c>
      <c r="AX81" s="1">
        <f>IFERROR(__xludf.DUMMYFUNCTION("""COMPUTED_VALUE"""),13.97)</f>
        <v>13.97</v>
      </c>
      <c r="AY81" s="1">
        <f>IFERROR(__xludf.DUMMYFUNCTION("""COMPUTED_VALUE"""),408.9)</f>
        <v>408.9</v>
      </c>
      <c r="AZ81" s="3">
        <f>IFERROR(__xludf.DUMMYFUNCTION("""COMPUTED_VALUE"""),81.08)</f>
        <v>81.08</v>
      </c>
      <c r="BA81" s="3">
        <f>IFERROR(__xludf.DUMMYFUNCTION("""COMPUTED_VALUE"""),79.13)</f>
        <v>79.13</v>
      </c>
      <c r="BB81" s="3">
        <f>IFERROR(__xludf.DUMMYFUNCTION("""COMPUTED_VALUE"""),106.21)</f>
        <v>106.21</v>
      </c>
      <c r="BC81" s="1">
        <f>IFERROR(__xludf.DUMMYFUNCTION("""COMPUTED_VALUE"""),94.26)</f>
        <v>94.26</v>
      </c>
      <c r="BD81" s="1">
        <f>IFERROR(__xludf.DUMMYFUNCTION("""COMPUTED_VALUE"""),45.7)</f>
        <v>45.7</v>
      </c>
      <c r="BE81" s="1">
        <f>IFERROR(__xludf.DUMMYFUNCTION("""COMPUTED_VALUE"""),30.59)</f>
        <v>30.59</v>
      </c>
      <c r="BF81" s="1">
        <f>IFERROR(__xludf.DUMMYFUNCTION("""COMPUTED_VALUE"""),72.61)</f>
        <v>72.61</v>
      </c>
      <c r="BG81" s="1">
        <f>IFERROR(__xludf.DUMMYFUNCTION("""COMPUTED_VALUE"""),28.39)</f>
        <v>28.39</v>
      </c>
      <c r="BH81" s="1">
        <f>IFERROR(__xludf.DUMMYFUNCTION("""COMPUTED_VALUE"""),121.11)</f>
        <v>121.11</v>
      </c>
      <c r="BI81" s="1">
        <f>IFERROR(__xludf.DUMMYFUNCTION("""COMPUTED_VALUE"""),42.41)</f>
        <v>42.41</v>
      </c>
      <c r="BJ81" s="1">
        <f>IFERROR(__xludf.DUMMYFUNCTION("""COMPUTED_VALUE"""),198.8)</f>
        <v>198.8</v>
      </c>
      <c r="BK81" s="1">
        <f>IFERROR(__xludf.DUMMYFUNCTION("""COMPUTED_VALUE"""),611.9)</f>
        <v>611.9</v>
      </c>
      <c r="BL81" s="1">
        <f>IFERROR(__xludf.DUMMYFUNCTION("""COMPUTED_VALUE"""),184.71)</f>
        <v>184.71</v>
      </c>
      <c r="BM81" s="1">
        <f>IFERROR(__xludf.DUMMYFUNCTION("""COMPUTED_VALUE"""),150.98)</f>
        <v>150.98</v>
      </c>
      <c r="BN81" s="3">
        <f>IFERROR(__xludf.DUMMYFUNCTION("""COMPUTED_VALUE"""),8.23)</f>
        <v>8.23</v>
      </c>
      <c r="BO81" s="1">
        <f>IFERROR(__xludf.DUMMYFUNCTION("""COMPUTED_VALUE"""),255.7)</f>
        <v>255.7</v>
      </c>
      <c r="BP81" s="1">
        <f>IFERROR(__xludf.DUMMYFUNCTION("""COMPUTED_VALUE"""),604.18)</f>
        <v>604.18</v>
      </c>
      <c r="BQ81" s="36">
        <f>IFERROR(__xludf.DUMMYFUNCTION("""COMPUTED_VALUE"""),48.87)</f>
        <v>48.87</v>
      </c>
      <c r="BR81" s="1">
        <f>IFERROR(__xludf.DUMMYFUNCTION("""COMPUTED_VALUE"""),11.78)</f>
        <v>11.78</v>
      </c>
      <c r="BS81" s="1">
        <f>IFERROR(__xludf.DUMMYFUNCTION("""COMPUTED_VALUE"""),209.32)</f>
        <v>209.32</v>
      </c>
      <c r="BT81" s="1">
        <f>IFERROR(__xludf.DUMMYFUNCTION("""COMPUTED_VALUE"""),89.25)</f>
        <v>89.25</v>
      </c>
      <c r="BU81" s="3">
        <v>1.0</v>
      </c>
    </row>
    <row r="82">
      <c r="A82" s="25">
        <f>IFERROR(__xludf.DUMMYFUNCTION("""COMPUTED_VALUE"""),45540.66666666667)</f>
        <v>45540.66667</v>
      </c>
      <c r="B82" s="29">
        <f>'Master Scratch Work'!B81</f>
        <v>1275125.49</v>
      </c>
      <c r="C82" s="15">
        <f>IFERROR(__xludf.DUMMYFUNCTION("""COMPUTED_VALUE"""),5503.41)</f>
        <v>5503.41</v>
      </c>
      <c r="D82" s="15">
        <f>IFERROR(__xludf.DUMMYFUNCTION("""COMPUTED_VALUE"""),17127.66)</f>
        <v>17127.66</v>
      </c>
      <c r="E82" s="15">
        <f>IFERROR(__xludf.DUMMYFUNCTION("""COMPUTED_VALUE"""),40755.75)</f>
        <v>40755.75</v>
      </c>
      <c r="F82" s="15">
        <f>IFERROR(__xludf.DUMMYFUNCTION("""COMPUTED_VALUE"""),2132.05)</f>
        <v>2132.05</v>
      </c>
      <c r="G82" s="3">
        <f>IFERROR(__xludf.DUMMYFUNCTION("""COMPUTED_VALUE"""),549.61)</f>
        <v>549.61</v>
      </c>
      <c r="H82" s="3">
        <f>IFERROR(__xludf.DUMMYFUNCTION("""COMPUTED_VALUE"""),461.04)</f>
        <v>461.04</v>
      </c>
      <c r="I82" s="3">
        <f>IFERROR(__xludf.DUMMYFUNCTION("""COMPUTED_VALUE"""),567.93)</f>
        <v>567.93</v>
      </c>
      <c r="J82" s="3">
        <f>IFERROR(__xludf.DUMMYFUNCTION("""COMPUTED_VALUE"""),177.89)</f>
        <v>177.89</v>
      </c>
      <c r="K82" s="3">
        <f>IFERROR(__xludf.DUMMYFUNCTION("""COMPUTED_VALUE"""),144.51)</f>
        <v>144.51</v>
      </c>
      <c r="L82" s="3">
        <f>IFERROR(__xludf.DUMMYFUNCTION("""COMPUTED_VALUE"""),222.38)</f>
        <v>222.38</v>
      </c>
      <c r="M82" s="3">
        <f>IFERROR(__xludf.DUMMYFUNCTION("""COMPUTED_VALUE"""),180.24)</f>
        <v>180.24</v>
      </c>
      <c r="N82" s="3">
        <f>IFERROR(__xludf.DUMMYFUNCTION("""COMPUTED_VALUE"""),68.0)</f>
        <v>68</v>
      </c>
      <c r="O82" s="3">
        <f>IFERROR(__xludf.DUMMYFUNCTION("""COMPUTED_VALUE"""),12.12)</f>
        <v>12.12</v>
      </c>
      <c r="P82" s="3">
        <f>IFERROR(__xludf.DUMMYFUNCTION("""COMPUTED_VALUE"""),464.92)</f>
        <v>464.92</v>
      </c>
      <c r="Q82" s="3">
        <f>IFERROR(__xludf.DUMMYFUNCTION("""COMPUTED_VALUE"""),52.51)</f>
        <v>52.51</v>
      </c>
      <c r="R82" s="3">
        <f>IFERROR(__xludf.DUMMYFUNCTION("""COMPUTED_VALUE"""),201.8)</f>
        <v>201.8</v>
      </c>
      <c r="S82" s="3">
        <f>IFERROR(__xludf.DUMMYFUNCTION("""COMPUTED_VALUE"""),81.37)</f>
        <v>81.37</v>
      </c>
      <c r="T82" s="3">
        <f>IFERROR(__xludf.DUMMYFUNCTION("""COMPUTED_VALUE"""),69.04)</f>
        <v>69.04</v>
      </c>
      <c r="U82" s="3">
        <f>IFERROR(__xludf.DUMMYFUNCTION("""COMPUTED_VALUE"""),333.56)</f>
        <v>333.56</v>
      </c>
      <c r="V82" s="3">
        <f>IFERROR(__xludf.DUMMYFUNCTION("""COMPUTED_VALUE"""),38.1)</f>
        <v>38.1</v>
      </c>
      <c r="W82" s="3">
        <f>IFERROR(__xludf.DUMMYFUNCTION("""COMPUTED_VALUE"""),188.14)</f>
        <v>188.14</v>
      </c>
      <c r="X82" s="3">
        <f>IFERROR(__xludf.DUMMYFUNCTION("""COMPUTED_VALUE"""),140.93)</f>
        <v>140.93</v>
      </c>
      <c r="Y82" s="1">
        <f>IFERROR(__xludf.DUMMYFUNCTION("""COMPUTED_VALUE"""),355.12)</f>
        <v>355.12</v>
      </c>
      <c r="Z82" s="1">
        <f>IFERROR(__xludf.DUMMYFUNCTION("""COMPUTED_VALUE"""),41.6)</f>
        <v>41.6</v>
      </c>
      <c r="AA82" s="1">
        <f>IFERROR(__xludf.DUMMYFUNCTION("""COMPUTED_VALUE"""),71.17)</f>
        <v>71.17</v>
      </c>
      <c r="AB82" s="1">
        <f>IFERROR(__xludf.DUMMYFUNCTION("""COMPUTED_VALUE"""),103.79)</f>
        <v>103.79</v>
      </c>
      <c r="AC82" s="1">
        <f>IFERROR(__xludf.DUMMYFUNCTION("""COMPUTED_VALUE"""),149.91)</f>
        <v>149.91</v>
      </c>
      <c r="AD82" s="3">
        <f>IFERROR(__xludf.DUMMYFUNCTION("""COMPUTED_VALUE"""),68.47)</f>
        <v>68.47</v>
      </c>
      <c r="AE82" s="1">
        <f>IFERROR(__xludf.DUMMYFUNCTION("""COMPUTED_VALUE"""),410.26)</f>
        <v>410.26</v>
      </c>
      <c r="AF82" s="1">
        <f>IFERROR(__xludf.DUMMYFUNCTION("""COMPUTED_VALUE"""),59.12)</f>
        <v>59.12</v>
      </c>
      <c r="AG82" s="1">
        <f>IFERROR(__xludf.DUMMYFUNCTION("""COMPUTED_VALUE"""),113.17)</f>
        <v>113.17</v>
      </c>
      <c r="AH82" s="3">
        <f>IFERROR(__xludf.DUMMYFUNCTION("""COMPUTED_VALUE"""),285.31)</f>
        <v>285.31</v>
      </c>
      <c r="AI82" s="1">
        <f>IFERROR(__xludf.DUMMYFUNCTION("""COMPUTED_VALUE"""),477.15)</f>
        <v>477.15</v>
      </c>
      <c r="AJ82" s="1">
        <f>IFERROR(__xludf.DUMMYFUNCTION("""COMPUTED_VALUE"""),297.29)</f>
        <v>297.29</v>
      </c>
      <c r="AK82" s="3">
        <f>IFERROR(__xludf.DUMMYFUNCTION("""COMPUTED_VALUE"""),48.15)</f>
        <v>48.15</v>
      </c>
      <c r="AL82" s="1">
        <f>IFERROR(__xludf.DUMMYFUNCTION("""COMPUTED_VALUE"""),78.77)</f>
        <v>78.77</v>
      </c>
      <c r="AM82" s="1">
        <f>IFERROR(__xludf.DUMMYFUNCTION("""COMPUTED_VALUE"""),487.88)</f>
        <v>487.88</v>
      </c>
      <c r="AN82" s="1">
        <f>IFERROR(__xludf.DUMMYFUNCTION("""COMPUTED_VALUE"""),361.85)</f>
        <v>361.85</v>
      </c>
      <c r="AO82" s="1">
        <f>IFERROR(__xludf.DUMMYFUNCTION("""COMPUTED_VALUE"""),107.22)</f>
        <v>107.22</v>
      </c>
      <c r="AP82" s="1">
        <f>IFERROR(__xludf.DUMMYFUNCTION("""COMPUTED_VALUE"""),162.6)</f>
        <v>162.6</v>
      </c>
      <c r="AQ82" s="1">
        <f>IFERROR(__xludf.DUMMYFUNCTION("""COMPUTED_VALUE"""),476.69)</f>
        <v>476.69</v>
      </c>
      <c r="AR82" s="3">
        <f>IFERROR(__xludf.DUMMYFUNCTION("""COMPUTED_VALUE"""),217.63)</f>
        <v>217.63</v>
      </c>
      <c r="AS82" s="3">
        <f>IFERROR(__xludf.DUMMYFUNCTION("""COMPUTED_VALUE"""),568.59)</f>
        <v>568.59</v>
      </c>
      <c r="AT82" s="3">
        <f>IFERROR(__xludf.DUMMYFUNCTION("""COMPUTED_VALUE"""),253.7)</f>
        <v>253.7</v>
      </c>
      <c r="AU82" s="1">
        <f>IFERROR(__xludf.DUMMYFUNCTION("""COMPUTED_VALUE"""),27.57)</f>
        <v>27.57</v>
      </c>
      <c r="AV82" s="1">
        <f>IFERROR(__xludf.DUMMYFUNCTION("""COMPUTED_VALUE"""),89.39)</f>
        <v>89.39</v>
      </c>
      <c r="AW82" s="1">
        <f>IFERROR(__xludf.DUMMYFUNCTION("""COMPUTED_VALUE"""),76.58)</f>
        <v>76.58</v>
      </c>
      <c r="AX82" s="1">
        <f>IFERROR(__xludf.DUMMYFUNCTION("""COMPUTED_VALUE"""),13.69)</f>
        <v>13.69</v>
      </c>
      <c r="AY82" s="1">
        <f>IFERROR(__xludf.DUMMYFUNCTION("""COMPUTED_VALUE"""),408.39)</f>
        <v>408.39</v>
      </c>
      <c r="AZ82" s="3">
        <f>IFERROR(__xludf.DUMMYFUNCTION("""COMPUTED_VALUE"""),80.33)</f>
        <v>80.33</v>
      </c>
      <c r="BA82" s="3">
        <f>IFERROR(__xludf.DUMMYFUNCTION("""COMPUTED_VALUE"""),78.53)</f>
        <v>78.53</v>
      </c>
      <c r="BB82" s="3">
        <f>IFERROR(__xludf.DUMMYFUNCTION("""COMPUTED_VALUE"""),107.21)</f>
        <v>107.21</v>
      </c>
      <c r="BC82" s="1">
        <f>IFERROR(__xludf.DUMMYFUNCTION("""COMPUTED_VALUE"""),92.43)</f>
        <v>92.43</v>
      </c>
      <c r="BD82" s="1">
        <f>IFERROR(__xludf.DUMMYFUNCTION("""COMPUTED_VALUE"""),44.78)</f>
        <v>44.78</v>
      </c>
      <c r="BE82" s="1">
        <f>IFERROR(__xludf.DUMMYFUNCTION("""COMPUTED_VALUE"""),30.16)</f>
        <v>30.16</v>
      </c>
      <c r="BF82" s="1">
        <f>IFERROR(__xludf.DUMMYFUNCTION("""COMPUTED_VALUE"""),72.03)</f>
        <v>72.03</v>
      </c>
      <c r="BG82" s="1">
        <f>IFERROR(__xludf.DUMMYFUNCTION("""COMPUTED_VALUE"""),28.51)</f>
        <v>28.51</v>
      </c>
      <c r="BH82" s="1">
        <f>IFERROR(__xludf.DUMMYFUNCTION("""COMPUTED_VALUE"""),119.64)</f>
        <v>119.64</v>
      </c>
      <c r="BI82" s="1">
        <f>IFERROR(__xludf.DUMMYFUNCTION("""COMPUTED_VALUE"""),43.24)</f>
        <v>43.24</v>
      </c>
      <c r="BJ82" s="1">
        <f>IFERROR(__xludf.DUMMYFUNCTION("""COMPUTED_VALUE"""),197.18)</f>
        <v>197.18</v>
      </c>
      <c r="BK82" s="1">
        <f>IFERROR(__xludf.DUMMYFUNCTION("""COMPUTED_VALUE"""),606.88)</f>
        <v>606.88</v>
      </c>
      <c r="BL82" s="1">
        <f>IFERROR(__xludf.DUMMYFUNCTION("""COMPUTED_VALUE"""),182.8)</f>
        <v>182.8</v>
      </c>
      <c r="BM82" s="1">
        <f>IFERROR(__xludf.DUMMYFUNCTION("""COMPUTED_VALUE"""),143.39)</f>
        <v>143.39</v>
      </c>
      <c r="BN82" s="3">
        <f>IFERROR(__xludf.DUMMYFUNCTION("""COMPUTED_VALUE"""),7.86)</f>
        <v>7.86</v>
      </c>
      <c r="BO82" s="1">
        <f>IFERROR(__xludf.DUMMYFUNCTION("""COMPUTED_VALUE"""),251.53)</f>
        <v>251.53</v>
      </c>
      <c r="BP82" s="1">
        <f>IFERROR(__xludf.DUMMYFUNCTION("""COMPUTED_VALUE"""),595.49)</f>
        <v>595.49</v>
      </c>
      <c r="BQ82" s="36">
        <f>IFERROR(__xludf.DUMMYFUNCTION("""COMPUTED_VALUE"""),48.87)</f>
        <v>48.87</v>
      </c>
      <c r="BR82" s="1">
        <f>IFERROR(__xludf.DUMMYFUNCTION("""COMPUTED_VALUE"""),11.67)</f>
        <v>11.67</v>
      </c>
      <c r="BS82" s="1">
        <f>IFERROR(__xludf.DUMMYFUNCTION("""COMPUTED_VALUE"""),208.4)</f>
        <v>208.4</v>
      </c>
      <c r="BT82" s="1">
        <f>IFERROR(__xludf.DUMMYFUNCTION("""COMPUTED_VALUE"""),88.65)</f>
        <v>88.65</v>
      </c>
      <c r="BU82" s="3">
        <v>1.0</v>
      </c>
    </row>
    <row r="83">
      <c r="A83" s="25">
        <f>IFERROR(__xludf.DUMMYFUNCTION("""COMPUTED_VALUE"""),45541.66666666667)</f>
        <v>45541.66667</v>
      </c>
      <c r="B83" s="29">
        <f>'Master Scratch Work'!B82</f>
        <v>1258749.35</v>
      </c>
      <c r="C83" s="15">
        <f>IFERROR(__xludf.DUMMYFUNCTION("""COMPUTED_VALUE"""),5408.42)</f>
        <v>5408.42</v>
      </c>
      <c r="D83" s="15">
        <f>IFERROR(__xludf.DUMMYFUNCTION("""COMPUTED_VALUE"""),16690.83)</f>
        <v>16690.83</v>
      </c>
      <c r="E83" s="15">
        <f>IFERROR(__xludf.DUMMYFUNCTION("""COMPUTED_VALUE"""),40345.41)</f>
        <v>40345.41</v>
      </c>
      <c r="F83" s="15">
        <f>IFERROR(__xludf.DUMMYFUNCTION("""COMPUTED_VALUE"""),2091.41)</f>
        <v>2091.41</v>
      </c>
      <c r="G83" s="3">
        <f>IFERROR(__xludf.DUMMYFUNCTION("""COMPUTED_VALUE"""),540.36)</f>
        <v>540.36</v>
      </c>
      <c r="H83" s="3">
        <f>IFERROR(__xludf.DUMMYFUNCTION("""COMPUTED_VALUE"""),448.69)</f>
        <v>448.69</v>
      </c>
      <c r="I83" s="3">
        <f>IFERROR(__xludf.DUMMYFUNCTION("""COMPUTED_VALUE"""),563.41)</f>
        <v>563.41</v>
      </c>
      <c r="J83" s="3">
        <f>IFERROR(__xludf.DUMMYFUNCTION("""COMPUTED_VALUE"""),171.39)</f>
        <v>171.39</v>
      </c>
      <c r="K83" s="3">
        <f>IFERROR(__xludf.DUMMYFUNCTION("""COMPUTED_VALUE"""),143.94)</f>
        <v>143.94</v>
      </c>
      <c r="L83" s="3">
        <f>IFERROR(__xludf.DUMMYFUNCTION("""COMPUTED_VALUE"""),220.82)</f>
        <v>220.82</v>
      </c>
      <c r="M83" s="3">
        <f>IFERROR(__xludf.DUMMYFUNCTION("""COMPUTED_VALUE"""),174.75)</f>
        <v>174.75</v>
      </c>
      <c r="N83" s="3">
        <f>IFERROR(__xludf.DUMMYFUNCTION("""COMPUTED_VALUE"""),66.41)</f>
        <v>66.41</v>
      </c>
      <c r="O83" s="3">
        <f>IFERROR(__xludf.DUMMYFUNCTION("""COMPUTED_VALUE"""),11.55)</f>
        <v>11.55</v>
      </c>
      <c r="P83" s="3">
        <f>IFERROR(__xludf.DUMMYFUNCTION("""COMPUTED_VALUE"""),459.42)</f>
        <v>459.42</v>
      </c>
      <c r="Q83" s="3">
        <f>IFERROR(__xludf.DUMMYFUNCTION("""COMPUTED_VALUE"""),51.39)</f>
        <v>51.39</v>
      </c>
      <c r="R83" s="3">
        <f>IFERROR(__xludf.DUMMYFUNCTION("""COMPUTED_VALUE"""),200.81)</f>
        <v>200.81</v>
      </c>
      <c r="S83" s="3">
        <f>IFERROR(__xludf.DUMMYFUNCTION("""COMPUTED_VALUE"""),81.6)</f>
        <v>81.6</v>
      </c>
      <c r="T83" s="3">
        <f>IFERROR(__xludf.DUMMYFUNCTION("""COMPUTED_VALUE"""),69.48)</f>
        <v>69.48</v>
      </c>
      <c r="U83" s="3">
        <f>IFERROR(__xludf.DUMMYFUNCTION("""COMPUTED_VALUE"""),329.36)</f>
        <v>329.36</v>
      </c>
      <c r="V83" s="3">
        <f>IFERROR(__xludf.DUMMYFUNCTION("""COMPUTED_VALUE"""),36.96)</f>
        <v>36.96</v>
      </c>
      <c r="W83" s="3">
        <f>IFERROR(__xludf.DUMMYFUNCTION("""COMPUTED_VALUE"""),188.42)</f>
        <v>188.42</v>
      </c>
      <c r="X83" s="3">
        <f>IFERROR(__xludf.DUMMYFUNCTION("""COMPUTED_VALUE"""),138.56)</f>
        <v>138.56</v>
      </c>
      <c r="Y83" s="1">
        <f>IFERROR(__xludf.DUMMYFUNCTION("""COMPUTED_VALUE"""),353.49)</f>
        <v>353.49</v>
      </c>
      <c r="Z83" s="1">
        <f>IFERROR(__xludf.DUMMYFUNCTION("""COMPUTED_VALUE"""),40.69)</f>
        <v>40.69</v>
      </c>
      <c r="AA83" s="1">
        <f>IFERROR(__xludf.DUMMYFUNCTION("""COMPUTED_VALUE"""),71.14)</f>
        <v>71.14</v>
      </c>
      <c r="AB83" s="1">
        <f>IFERROR(__xludf.DUMMYFUNCTION("""COMPUTED_VALUE"""),103.28)</f>
        <v>103.28</v>
      </c>
      <c r="AC83" s="1">
        <f>IFERROR(__xludf.DUMMYFUNCTION("""COMPUTED_VALUE"""),148.22)</f>
        <v>148.22</v>
      </c>
      <c r="AD83" s="3">
        <f>IFERROR(__xludf.DUMMYFUNCTION("""COMPUTED_VALUE"""),66.5)</f>
        <v>66.5</v>
      </c>
      <c r="AE83" s="1">
        <f>IFERROR(__xludf.DUMMYFUNCTION("""COMPUTED_VALUE"""),408.49)</f>
        <v>408.49</v>
      </c>
      <c r="AF83" s="1">
        <f>IFERROR(__xludf.DUMMYFUNCTION("""COMPUTED_VALUE"""),59.2)</f>
        <v>59.2</v>
      </c>
      <c r="AG83" s="1">
        <f>IFERROR(__xludf.DUMMYFUNCTION("""COMPUTED_VALUE"""),112.64)</f>
        <v>112.64</v>
      </c>
      <c r="AH83" s="3">
        <f>IFERROR(__xludf.DUMMYFUNCTION("""COMPUTED_VALUE"""),283.04)</f>
        <v>283.04</v>
      </c>
      <c r="AI83" s="1">
        <f>IFERROR(__xludf.DUMMYFUNCTION("""COMPUTED_VALUE"""),470.7)</f>
        <v>470.7</v>
      </c>
      <c r="AJ83" s="1">
        <f>IFERROR(__xludf.DUMMYFUNCTION("""COMPUTED_VALUE"""),292.78)</f>
        <v>292.78</v>
      </c>
      <c r="AK83" s="3">
        <f>IFERROR(__xludf.DUMMYFUNCTION("""COMPUTED_VALUE"""),47.14)</f>
        <v>47.14</v>
      </c>
      <c r="AL83" s="1">
        <f>IFERROR(__xludf.DUMMYFUNCTION("""COMPUTED_VALUE"""),78.72)</f>
        <v>78.72</v>
      </c>
      <c r="AM83" s="1">
        <f>IFERROR(__xludf.DUMMYFUNCTION("""COMPUTED_VALUE"""),479.61)</f>
        <v>479.61</v>
      </c>
      <c r="AN83" s="1">
        <f>IFERROR(__xludf.DUMMYFUNCTION("""COMPUTED_VALUE"""),360.05)</f>
        <v>360.05</v>
      </c>
      <c r="AO83" s="1">
        <f>IFERROR(__xludf.DUMMYFUNCTION("""COMPUTED_VALUE"""),104.45)</f>
        <v>104.45</v>
      </c>
      <c r="AP83" s="1">
        <f>IFERROR(__xludf.DUMMYFUNCTION("""COMPUTED_VALUE"""),160.49)</f>
        <v>160.49</v>
      </c>
      <c r="AQ83" s="1">
        <f>IFERROR(__xludf.DUMMYFUNCTION("""COMPUTED_VALUE"""),471.82)</f>
        <v>471.82</v>
      </c>
      <c r="AR83" s="3">
        <f>IFERROR(__xludf.DUMMYFUNCTION("""COMPUTED_VALUE"""),212.46)</f>
        <v>212.46</v>
      </c>
      <c r="AS83" s="3">
        <f>IFERROR(__xludf.DUMMYFUNCTION("""COMPUTED_VALUE"""),566.63)</f>
        <v>566.63</v>
      </c>
      <c r="AT83" s="3">
        <f>IFERROR(__xludf.DUMMYFUNCTION("""COMPUTED_VALUE"""),253.84)</f>
        <v>253.84</v>
      </c>
      <c r="AU83" s="1">
        <f>IFERROR(__xludf.DUMMYFUNCTION("""COMPUTED_VALUE"""),27.06)</f>
        <v>27.06</v>
      </c>
      <c r="AV83" s="1">
        <f>IFERROR(__xludf.DUMMYFUNCTION("""COMPUTED_VALUE"""),89.89)</f>
        <v>89.89</v>
      </c>
      <c r="AW83" s="1">
        <f>IFERROR(__xludf.DUMMYFUNCTION("""COMPUTED_VALUE"""),74.08)</f>
        <v>74.08</v>
      </c>
      <c r="AX83" s="1">
        <f>IFERROR(__xludf.DUMMYFUNCTION("""COMPUTED_VALUE"""),13.91)</f>
        <v>13.91</v>
      </c>
      <c r="AY83" s="1">
        <f>IFERROR(__xludf.DUMMYFUNCTION("""COMPUTED_VALUE"""),401.7)</f>
        <v>401.7</v>
      </c>
      <c r="AZ83" s="3">
        <f>IFERROR(__xludf.DUMMYFUNCTION("""COMPUTED_VALUE"""),79.98)</f>
        <v>79.98</v>
      </c>
      <c r="BA83" s="3">
        <f>IFERROR(__xludf.DUMMYFUNCTION("""COMPUTED_VALUE"""),76.51)</f>
        <v>76.51</v>
      </c>
      <c r="BB83" s="3">
        <f>IFERROR(__xludf.DUMMYFUNCTION("""COMPUTED_VALUE"""),102.83)</f>
        <v>102.83</v>
      </c>
      <c r="BC83" s="1">
        <f>IFERROR(__xludf.DUMMYFUNCTION("""COMPUTED_VALUE"""),91.43)</f>
        <v>91.43</v>
      </c>
      <c r="BD83" s="1">
        <f>IFERROR(__xludf.DUMMYFUNCTION("""COMPUTED_VALUE"""),44.44)</f>
        <v>44.44</v>
      </c>
      <c r="BE83" s="1">
        <f>IFERROR(__xludf.DUMMYFUNCTION("""COMPUTED_VALUE"""),30.33)</f>
        <v>30.33</v>
      </c>
      <c r="BF83" s="1">
        <f>IFERROR(__xludf.DUMMYFUNCTION("""COMPUTED_VALUE"""),68.89)</f>
        <v>68.89</v>
      </c>
      <c r="BG83" s="1">
        <f>IFERROR(__xludf.DUMMYFUNCTION("""COMPUTED_VALUE"""),28.56)</f>
        <v>28.56</v>
      </c>
      <c r="BH83" s="1">
        <f>IFERROR(__xludf.DUMMYFUNCTION("""COMPUTED_VALUE"""),118.44)</f>
        <v>118.44</v>
      </c>
      <c r="BI83" s="1">
        <f>IFERROR(__xludf.DUMMYFUNCTION("""COMPUTED_VALUE"""),41.84)</f>
        <v>41.84</v>
      </c>
      <c r="BJ83" s="1">
        <f>IFERROR(__xludf.DUMMYFUNCTION("""COMPUTED_VALUE"""),193.0)</f>
        <v>193</v>
      </c>
      <c r="BK83" s="1">
        <f>IFERROR(__xludf.DUMMYFUNCTION("""COMPUTED_VALUE"""),611.33)</f>
        <v>611.33</v>
      </c>
      <c r="BL83" s="1">
        <f>IFERROR(__xludf.DUMMYFUNCTION("""COMPUTED_VALUE"""),177.18)</f>
        <v>177.18</v>
      </c>
      <c r="BM83" s="1">
        <f>IFERROR(__xludf.DUMMYFUNCTION("""COMPUTED_VALUE"""),139.88)</f>
        <v>139.88</v>
      </c>
      <c r="BN83" s="3">
        <f>IFERROR(__xludf.DUMMYFUNCTION("""COMPUTED_VALUE"""),7.79)</f>
        <v>7.79</v>
      </c>
      <c r="BO83" s="1">
        <f>IFERROR(__xludf.DUMMYFUNCTION("""COMPUTED_VALUE"""),249.63)</f>
        <v>249.63</v>
      </c>
      <c r="BP83" s="1">
        <f>IFERROR(__xludf.DUMMYFUNCTION("""COMPUTED_VALUE"""),596.88)</f>
        <v>596.88</v>
      </c>
      <c r="BQ83" s="36">
        <f>IFERROR(__xludf.DUMMYFUNCTION("""COMPUTED_VALUE"""),48.94)</f>
        <v>48.94</v>
      </c>
      <c r="BR83" s="1">
        <f>IFERROR(__xludf.DUMMYFUNCTION("""COMPUTED_VALUE"""),11.27)</f>
        <v>11.27</v>
      </c>
      <c r="BS83" s="1">
        <f>IFERROR(__xludf.DUMMYFUNCTION("""COMPUTED_VALUE"""),204.73)</f>
        <v>204.73</v>
      </c>
      <c r="BT83" s="1">
        <f>IFERROR(__xludf.DUMMYFUNCTION("""COMPUTED_VALUE"""),87.94)</f>
        <v>87.94</v>
      </c>
      <c r="BU83" s="3">
        <v>1.0</v>
      </c>
    </row>
    <row r="84">
      <c r="A84" s="25">
        <f>IFERROR(__xludf.DUMMYFUNCTION("""COMPUTED_VALUE"""),45544.66666666667)</f>
        <v>45544.66667</v>
      </c>
      <c r="B84" s="29">
        <f>'Master Scratch Work'!B83</f>
        <v>1271277.75</v>
      </c>
      <c r="C84" s="15">
        <f>IFERROR(__xludf.DUMMYFUNCTION("""COMPUTED_VALUE"""),5471.05)</f>
        <v>5471.05</v>
      </c>
      <c r="D84" s="15">
        <f>IFERROR(__xludf.DUMMYFUNCTION("""COMPUTED_VALUE"""),16884.6)</f>
        <v>16884.6</v>
      </c>
      <c r="E84" s="15">
        <f>IFERROR(__xludf.DUMMYFUNCTION("""COMPUTED_VALUE"""),40829.59)</f>
        <v>40829.59</v>
      </c>
      <c r="F84" s="15">
        <f>IFERROR(__xludf.DUMMYFUNCTION("""COMPUTED_VALUE"""),2097.78)</f>
        <v>2097.78</v>
      </c>
      <c r="G84" s="3">
        <f>IFERROR(__xludf.DUMMYFUNCTION("""COMPUTED_VALUE"""),546.41)</f>
        <v>546.41</v>
      </c>
      <c r="H84" s="3">
        <f>IFERROR(__xludf.DUMMYFUNCTION("""COMPUTED_VALUE"""),454.46)</f>
        <v>454.46</v>
      </c>
      <c r="I84" s="3">
        <f>IFERROR(__xludf.DUMMYFUNCTION("""COMPUTED_VALUE"""),569.88)</f>
        <v>569.88</v>
      </c>
      <c r="J84" s="3">
        <f>IFERROR(__xludf.DUMMYFUNCTION("""COMPUTED_VALUE"""),175.4)</f>
        <v>175.4</v>
      </c>
      <c r="K84" s="3">
        <f>IFERROR(__xludf.DUMMYFUNCTION("""COMPUTED_VALUE"""),146.01)</f>
        <v>146.01</v>
      </c>
      <c r="L84" s="3">
        <f>IFERROR(__xludf.DUMMYFUNCTION("""COMPUTED_VALUE"""),220.91)</f>
        <v>220.91</v>
      </c>
      <c r="M84" s="3">
        <f>IFERROR(__xludf.DUMMYFUNCTION("""COMPUTED_VALUE"""),177.55)</f>
        <v>177.55</v>
      </c>
      <c r="N84" s="3">
        <f>IFERROR(__xludf.DUMMYFUNCTION("""COMPUTED_VALUE"""),67.72)</f>
        <v>67.72</v>
      </c>
      <c r="O84" s="3">
        <f>IFERROR(__xludf.DUMMYFUNCTION("""COMPUTED_VALUE"""),11.79)</f>
        <v>11.79</v>
      </c>
      <c r="P84" s="3">
        <f>IFERROR(__xludf.DUMMYFUNCTION("""COMPUTED_VALUE"""),459.61)</f>
        <v>459.61</v>
      </c>
      <c r="Q84" s="3">
        <f>IFERROR(__xludf.DUMMYFUNCTION("""COMPUTED_VALUE"""),51.78)</f>
        <v>51.78</v>
      </c>
      <c r="R84" s="3">
        <f>IFERROR(__xludf.DUMMYFUNCTION("""COMPUTED_VALUE"""),199.27)</f>
        <v>199.27</v>
      </c>
      <c r="S84" s="3">
        <f>IFERROR(__xludf.DUMMYFUNCTION("""COMPUTED_VALUE"""),82.65)</f>
        <v>82.65</v>
      </c>
      <c r="T84" s="3">
        <f>IFERROR(__xludf.DUMMYFUNCTION("""COMPUTED_VALUE"""),70.73)</f>
        <v>70.73</v>
      </c>
      <c r="U84" s="3">
        <f>IFERROR(__xludf.DUMMYFUNCTION("""COMPUTED_VALUE"""),334.04)</f>
        <v>334.04</v>
      </c>
      <c r="V84" s="3">
        <f>IFERROR(__xludf.DUMMYFUNCTION("""COMPUTED_VALUE"""),37.04)</f>
        <v>37.04</v>
      </c>
      <c r="W84" s="3">
        <f>IFERROR(__xludf.DUMMYFUNCTION("""COMPUTED_VALUE"""),188.65)</f>
        <v>188.65</v>
      </c>
      <c r="X84" s="3">
        <f>IFERROR(__xludf.DUMMYFUNCTION("""COMPUTED_VALUE"""),140.3)</f>
        <v>140.3</v>
      </c>
      <c r="Y84" s="1">
        <f>IFERROR(__xludf.DUMMYFUNCTION("""COMPUTED_VALUE"""),357.61)</f>
        <v>357.61</v>
      </c>
      <c r="Z84" s="1">
        <f>IFERROR(__xludf.DUMMYFUNCTION("""COMPUTED_VALUE"""),41.45)</f>
        <v>41.45</v>
      </c>
      <c r="AA84" s="1">
        <f>IFERROR(__xludf.DUMMYFUNCTION("""COMPUTED_VALUE"""),71.85)</f>
        <v>71.85</v>
      </c>
      <c r="AB84" s="1">
        <f>IFERROR(__xludf.DUMMYFUNCTION("""COMPUTED_VALUE"""),104.75)</f>
        <v>104.75</v>
      </c>
      <c r="AC84" s="1">
        <f>IFERROR(__xludf.DUMMYFUNCTION("""COMPUTED_VALUE"""),149.34)</f>
        <v>149.34</v>
      </c>
      <c r="AD84" s="3">
        <f>IFERROR(__xludf.DUMMYFUNCTION("""COMPUTED_VALUE"""),67.42)</f>
        <v>67.42</v>
      </c>
      <c r="AE84" s="1">
        <f>IFERROR(__xludf.DUMMYFUNCTION("""COMPUTED_VALUE"""),420.16)</f>
        <v>420.16</v>
      </c>
      <c r="AF84" s="1">
        <f>IFERROR(__xludf.DUMMYFUNCTION("""COMPUTED_VALUE"""),59.43)</f>
        <v>59.43</v>
      </c>
      <c r="AG84" s="1">
        <f>IFERROR(__xludf.DUMMYFUNCTION("""COMPUTED_VALUE"""),115.01)</f>
        <v>115.01</v>
      </c>
      <c r="AH84" s="3">
        <f>IFERROR(__xludf.DUMMYFUNCTION("""COMPUTED_VALUE"""),283.3)</f>
        <v>283.3</v>
      </c>
      <c r="AI84" s="1">
        <f>IFERROR(__xludf.DUMMYFUNCTION("""COMPUTED_VALUE"""),471.98)</f>
        <v>471.98</v>
      </c>
      <c r="AJ84" s="1">
        <f>IFERROR(__xludf.DUMMYFUNCTION("""COMPUTED_VALUE"""),301.56)</f>
        <v>301.56</v>
      </c>
      <c r="AK84" s="3">
        <f>IFERROR(__xludf.DUMMYFUNCTION("""COMPUTED_VALUE"""),47.4)</f>
        <v>47.4</v>
      </c>
      <c r="AL84" s="1">
        <f>IFERROR(__xludf.DUMMYFUNCTION("""COMPUTED_VALUE"""),79.17)</f>
        <v>79.17</v>
      </c>
      <c r="AM84" s="1">
        <f>IFERROR(__xludf.DUMMYFUNCTION("""COMPUTED_VALUE"""),488.57)</f>
        <v>488.57</v>
      </c>
      <c r="AN84" s="1">
        <f>IFERROR(__xludf.DUMMYFUNCTION("""COMPUTED_VALUE"""),365.52)</f>
        <v>365.52</v>
      </c>
      <c r="AO84" s="1">
        <f>IFERROR(__xludf.DUMMYFUNCTION("""COMPUTED_VALUE"""),105.57)</f>
        <v>105.57</v>
      </c>
      <c r="AP84" s="1">
        <f>IFERROR(__xludf.DUMMYFUNCTION("""COMPUTED_VALUE"""),161.7)</f>
        <v>161.7</v>
      </c>
      <c r="AQ84" s="1">
        <f>IFERROR(__xludf.DUMMYFUNCTION("""COMPUTED_VALUE"""),479.39)</f>
        <v>479.39</v>
      </c>
      <c r="AR84" s="3">
        <f>IFERROR(__xludf.DUMMYFUNCTION("""COMPUTED_VALUE"""),216.81)</f>
        <v>216.81</v>
      </c>
      <c r="AS84" s="3">
        <f>IFERROR(__xludf.DUMMYFUNCTION("""COMPUTED_VALUE"""),576.57)</f>
        <v>576.57</v>
      </c>
      <c r="AT84" s="3">
        <f>IFERROR(__xludf.DUMMYFUNCTION("""COMPUTED_VALUE"""),248.59)</f>
        <v>248.59</v>
      </c>
      <c r="AU84" s="1">
        <f>IFERROR(__xludf.DUMMYFUNCTION("""COMPUTED_VALUE"""),27.36)</f>
        <v>27.36</v>
      </c>
      <c r="AV84" s="1">
        <f>IFERROR(__xludf.DUMMYFUNCTION("""COMPUTED_VALUE"""),90.62)</f>
        <v>90.62</v>
      </c>
      <c r="AW84" s="1">
        <f>IFERROR(__xludf.DUMMYFUNCTION("""COMPUTED_VALUE"""),75.48)</f>
        <v>75.48</v>
      </c>
      <c r="AX84" s="1">
        <f>IFERROR(__xludf.DUMMYFUNCTION("""COMPUTED_VALUE"""),13.59)</f>
        <v>13.59</v>
      </c>
      <c r="AY84" s="1">
        <f>IFERROR(__xludf.DUMMYFUNCTION("""COMPUTED_VALUE"""),405.72)</f>
        <v>405.72</v>
      </c>
      <c r="AZ84" s="3">
        <f>IFERROR(__xludf.DUMMYFUNCTION("""COMPUTED_VALUE"""),81.19)</f>
        <v>81.19</v>
      </c>
      <c r="BA84" s="3">
        <f>IFERROR(__xludf.DUMMYFUNCTION("""COMPUTED_VALUE"""),77.92)</f>
        <v>77.92</v>
      </c>
      <c r="BB84" s="3">
        <f>IFERROR(__xludf.DUMMYFUNCTION("""COMPUTED_VALUE"""),106.47)</f>
        <v>106.47</v>
      </c>
      <c r="BC84" s="1">
        <f>IFERROR(__xludf.DUMMYFUNCTION("""COMPUTED_VALUE"""),91.68)</f>
        <v>91.68</v>
      </c>
      <c r="BD84" s="1">
        <f>IFERROR(__xludf.DUMMYFUNCTION("""COMPUTED_VALUE"""),44.36)</f>
        <v>44.36</v>
      </c>
      <c r="BE84" s="1">
        <f>IFERROR(__xludf.DUMMYFUNCTION("""COMPUTED_VALUE"""),34.6)</f>
        <v>34.6</v>
      </c>
      <c r="BF84" s="1">
        <f>IFERROR(__xludf.DUMMYFUNCTION("""COMPUTED_VALUE"""),69.35)</f>
        <v>69.35</v>
      </c>
      <c r="BG84" s="1">
        <f>IFERROR(__xludf.DUMMYFUNCTION("""COMPUTED_VALUE"""),29.41)</f>
        <v>29.41</v>
      </c>
      <c r="BH84" s="1">
        <f>IFERROR(__xludf.DUMMYFUNCTION("""COMPUTED_VALUE"""),121.16)</f>
        <v>121.16</v>
      </c>
      <c r="BI84" s="1">
        <f>IFERROR(__xludf.DUMMYFUNCTION("""COMPUTED_VALUE"""),42.12)</f>
        <v>42.12</v>
      </c>
      <c r="BJ84" s="1">
        <f>IFERROR(__xludf.DUMMYFUNCTION("""COMPUTED_VALUE"""),195.3)</f>
        <v>195.3</v>
      </c>
      <c r="BK84" s="1">
        <f>IFERROR(__xludf.DUMMYFUNCTION("""COMPUTED_VALUE"""),620.42)</f>
        <v>620.42</v>
      </c>
      <c r="BL84" s="1">
        <f>IFERROR(__xludf.DUMMYFUNCTION("""COMPUTED_VALUE"""),176.08)</f>
        <v>176.08</v>
      </c>
      <c r="BM84" s="1">
        <f>IFERROR(__xludf.DUMMYFUNCTION("""COMPUTED_VALUE"""),139.31)</f>
        <v>139.31</v>
      </c>
      <c r="BN84" s="3">
        <f>IFERROR(__xludf.DUMMYFUNCTION("""COMPUTED_VALUE"""),7.46)</f>
        <v>7.46</v>
      </c>
      <c r="BO84" s="1">
        <f>IFERROR(__xludf.DUMMYFUNCTION("""COMPUTED_VALUE"""),251.11)</f>
        <v>251.11</v>
      </c>
      <c r="BP84" s="1">
        <f>IFERROR(__xludf.DUMMYFUNCTION("""COMPUTED_VALUE"""),594.1)</f>
        <v>594.1</v>
      </c>
      <c r="BQ84" s="36">
        <f>IFERROR(__xludf.DUMMYFUNCTION("""COMPUTED_VALUE"""),48.96)</f>
        <v>48.96</v>
      </c>
      <c r="BR84" s="1">
        <f>IFERROR(__xludf.DUMMYFUNCTION("""COMPUTED_VALUE"""),11.13)</f>
        <v>11.13</v>
      </c>
      <c r="BS84" s="1">
        <f>IFERROR(__xludf.DUMMYFUNCTION("""COMPUTED_VALUE"""),208.46)</f>
        <v>208.46</v>
      </c>
      <c r="BT84" s="1">
        <f>IFERROR(__xludf.DUMMYFUNCTION("""COMPUTED_VALUE"""),88.34)</f>
        <v>88.34</v>
      </c>
      <c r="BU84" s="3">
        <v>1.0</v>
      </c>
    </row>
    <row r="85">
      <c r="A85" s="25">
        <f>IFERROR(__xludf.DUMMYFUNCTION("""COMPUTED_VALUE"""),45545.66666666667)</f>
        <v>45545.66667</v>
      </c>
      <c r="B85" s="29">
        <f>'Master Scratch Work'!B84</f>
        <v>1270110.52</v>
      </c>
      <c r="C85" s="15">
        <f>IFERROR(__xludf.DUMMYFUNCTION("""COMPUTED_VALUE"""),5495.52)</f>
        <v>5495.52</v>
      </c>
      <c r="D85" s="15">
        <f>IFERROR(__xludf.DUMMYFUNCTION("""COMPUTED_VALUE"""),17025.88)</f>
        <v>17025.88</v>
      </c>
      <c r="E85" s="15">
        <f>IFERROR(__xludf.DUMMYFUNCTION("""COMPUTED_VALUE"""),40736.96)</f>
        <v>40736.96</v>
      </c>
      <c r="F85" s="15">
        <f>IFERROR(__xludf.DUMMYFUNCTION("""COMPUTED_VALUE"""),2097.44)</f>
        <v>2097.44</v>
      </c>
      <c r="G85" s="3">
        <f>IFERROR(__xludf.DUMMYFUNCTION("""COMPUTED_VALUE"""),548.79)</f>
        <v>548.79</v>
      </c>
      <c r="H85" s="3">
        <f>IFERROR(__xludf.DUMMYFUNCTION("""COMPUTED_VALUE"""),458.66)</f>
        <v>458.66</v>
      </c>
      <c r="I85" s="3">
        <f>IFERROR(__xludf.DUMMYFUNCTION("""COMPUTED_VALUE"""),574.48)</f>
        <v>574.48</v>
      </c>
      <c r="J85" s="3">
        <f>IFERROR(__xludf.DUMMYFUNCTION("""COMPUTED_VALUE"""),179.55)</f>
        <v>179.55</v>
      </c>
      <c r="K85" s="3">
        <f>IFERROR(__xludf.DUMMYFUNCTION("""COMPUTED_VALUE"""),148.2)</f>
        <v>148.2</v>
      </c>
      <c r="L85" s="3">
        <f>IFERROR(__xludf.DUMMYFUNCTION("""COMPUTED_VALUE"""),220.11)</f>
        <v>220.11</v>
      </c>
      <c r="M85" s="3">
        <f>IFERROR(__xludf.DUMMYFUNCTION("""COMPUTED_VALUE"""),178.05)</f>
        <v>178.05</v>
      </c>
      <c r="N85" s="3">
        <f>IFERROR(__xludf.DUMMYFUNCTION("""COMPUTED_VALUE"""),67.51)</f>
        <v>67.51</v>
      </c>
      <c r="O85" s="3">
        <f>IFERROR(__xludf.DUMMYFUNCTION("""COMPUTED_VALUE"""),11.51)</f>
        <v>11.51</v>
      </c>
      <c r="P85" s="3">
        <f>IFERROR(__xludf.DUMMYFUNCTION("""COMPUTED_VALUE"""),458.92)</f>
        <v>458.92</v>
      </c>
      <c r="Q85" s="3">
        <f>IFERROR(__xludf.DUMMYFUNCTION("""COMPUTED_VALUE"""),51.32)</f>
        <v>51.32</v>
      </c>
      <c r="R85" s="3">
        <f>IFERROR(__xludf.DUMMYFUNCTION("""COMPUTED_VALUE"""),200.64)</f>
        <v>200.64</v>
      </c>
      <c r="S85" s="3">
        <f>IFERROR(__xludf.DUMMYFUNCTION("""COMPUTED_VALUE"""),83.06)</f>
        <v>83.06</v>
      </c>
      <c r="T85" s="3">
        <f>IFERROR(__xludf.DUMMYFUNCTION("""COMPUTED_VALUE"""),71.83)</f>
        <v>71.83</v>
      </c>
      <c r="U85" s="3">
        <f>IFERROR(__xludf.DUMMYFUNCTION("""COMPUTED_VALUE"""),334.16)</f>
        <v>334.16</v>
      </c>
      <c r="V85" s="3">
        <f>IFERROR(__xludf.DUMMYFUNCTION("""COMPUTED_VALUE"""),37.7)</f>
        <v>37.7</v>
      </c>
      <c r="W85" s="3">
        <f>IFERROR(__xludf.DUMMYFUNCTION("""COMPUTED_VALUE"""),189.85)</f>
        <v>189.85</v>
      </c>
      <c r="X85" s="3">
        <f>IFERROR(__xludf.DUMMYFUNCTION("""COMPUTED_VALUE"""),138.23)</f>
        <v>138.23</v>
      </c>
      <c r="Y85" s="1">
        <f>IFERROR(__xludf.DUMMYFUNCTION("""COMPUTED_VALUE"""),358.1)</f>
        <v>358.1</v>
      </c>
      <c r="Z85" s="1">
        <f>IFERROR(__xludf.DUMMYFUNCTION("""COMPUTED_VALUE"""),40.0)</f>
        <v>40</v>
      </c>
      <c r="AA85" s="1">
        <f>IFERROR(__xludf.DUMMYFUNCTION("""COMPUTED_VALUE"""),71.55)</f>
        <v>71.55</v>
      </c>
      <c r="AB85" s="1">
        <f>IFERROR(__xludf.DUMMYFUNCTION("""COMPUTED_VALUE"""),104.97)</f>
        <v>104.97</v>
      </c>
      <c r="AC85" s="1">
        <f>IFERROR(__xludf.DUMMYFUNCTION("""COMPUTED_VALUE"""),156.76)</f>
        <v>156.76</v>
      </c>
      <c r="AD85" s="3">
        <f>IFERROR(__xludf.DUMMYFUNCTION("""COMPUTED_VALUE"""),65.39)</f>
        <v>65.39</v>
      </c>
      <c r="AE85" s="1">
        <f>IFERROR(__xludf.DUMMYFUNCTION("""COMPUTED_VALUE"""),416.77)</f>
        <v>416.77</v>
      </c>
      <c r="AF85" s="1">
        <f>IFERROR(__xludf.DUMMYFUNCTION("""COMPUTED_VALUE"""),60.26)</f>
        <v>60.26</v>
      </c>
      <c r="AG85" s="1">
        <f>IFERROR(__xludf.DUMMYFUNCTION("""COMPUTED_VALUE"""),110.82)</f>
        <v>110.82</v>
      </c>
      <c r="AH85" s="3">
        <f>IFERROR(__xludf.DUMMYFUNCTION("""COMPUTED_VALUE"""),283.85)</f>
        <v>283.85</v>
      </c>
      <c r="AI85" s="1">
        <f>IFERROR(__xludf.DUMMYFUNCTION("""COMPUTED_VALUE"""),467.08)</f>
        <v>467.08</v>
      </c>
      <c r="AJ85" s="1">
        <f>IFERROR(__xludf.DUMMYFUNCTION("""COMPUTED_VALUE"""),302.4)</f>
        <v>302.4</v>
      </c>
      <c r="AK85" s="3">
        <f>IFERROR(__xludf.DUMMYFUNCTION("""COMPUTED_VALUE"""),44.82)</f>
        <v>44.82</v>
      </c>
      <c r="AL85" s="1">
        <f>IFERROR(__xludf.DUMMYFUNCTION("""COMPUTED_VALUE"""),81.44)</f>
        <v>81.44</v>
      </c>
      <c r="AM85" s="1">
        <f>IFERROR(__xludf.DUMMYFUNCTION("""COMPUTED_VALUE"""),467.13)</f>
        <v>467.13</v>
      </c>
      <c r="AN85" s="1">
        <f>IFERROR(__xludf.DUMMYFUNCTION("""COMPUTED_VALUE"""),370.87)</f>
        <v>370.87</v>
      </c>
      <c r="AO85" s="1">
        <f>IFERROR(__xludf.DUMMYFUNCTION("""COMPUTED_VALUE"""),105.52)</f>
        <v>105.52</v>
      </c>
      <c r="AP85" s="1">
        <f>IFERROR(__xludf.DUMMYFUNCTION("""COMPUTED_VALUE"""),161.97)</f>
        <v>161.97</v>
      </c>
      <c r="AQ85" s="1">
        <f>IFERROR(__xludf.DUMMYFUNCTION("""COMPUTED_VALUE"""),484.24)</f>
        <v>484.24</v>
      </c>
      <c r="AR85" s="3">
        <f>IFERROR(__xludf.DUMMYFUNCTION("""COMPUTED_VALUE"""),205.56)</f>
        <v>205.56</v>
      </c>
      <c r="AS85" s="3">
        <f>IFERROR(__xludf.DUMMYFUNCTION("""COMPUTED_VALUE"""),572.19)</f>
        <v>572.19</v>
      </c>
      <c r="AT85" s="3">
        <f>IFERROR(__xludf.DUMMYFUNCTION("""COMPUTED_VALUE"""),247.18)</f>
        <v>247.18</v>
      </c>
      <c r="AU85" s="1">
        <f>IFERROR(__xludf.DUMMYFUNCTION("""COMPUTED_VALUE"""),27.46)</f>
        <v>27.46</v>
      </c>
      <c r="AV85" s="1">
        <f>IFERROR(__xludf.DUMMYFUNCTION("""COMPUTED_VALUE"""),90.99)</f>
        <v>90.99</v>
      </c>
      <c r="AW85" s="1">
        <f>IFERROR(__xludf.DUMMYFUNCTION("""COMPUTED_VALUE"""),74.63)</f>
        <v>74.63</v>
      </c>
      <c r="AX85" s="1">
        <f>IFERROR(__xludf.DUMMYFUNCTION("""COMPUTED_VALUE"""),13.86)</f>
        <v>13.86</v>
      </c>
      <c r="AY85" s="1">
        <f>IFERROR(__xludf.DUMMYFUNCTION("""COMPUTED_VALUE"""),414.2)</f>
        <v>414.2</v>
      </c>
      <c r="AZ85" s="3">
        <f>IFERROR(__xludf.DUMMYFUNCTION("""COMPUTED_VALUE"""),82.3)</f>
        <v>82.3</v>
      </c>
      <c r="BA85" s="3">
        <f>IFERROR(__xludf.DUMMYFUNCTION("""COMPUTED_VALUE"""),77.94)</f>
        <v>77.94</v>
      </c>
      <c r="BB85" s="3">
        <f>IFERROR(__xludf.DUMMYFUNCTION("""COMPUTED_VALUE"""),108.1)</f>
        <v>108.1</v>
      </c>
      <c r="BC85" s="1">
        <f>IFERROR(__xludf.DUMMYFUNCTION("""COMPUTED_VALUE"""),92.15)</f>
        <v>92.15</v>
      </c>
      <c r="BD85" s="1">
        <f>IFERROR(__xludf.DUMMYFUNCTION("""COMPUTED_VALUE"""),45.26)</f>
        <v>45.26</v>
      </c>
      <c r="BE85" s="1">
        <f>IFERROR(__xludf.DUMMYFUNCTION("""COMPUTED_VALUE"""),34.76)</f>
        <v>34.76</v>
      </c>
      <c r="BF85" s="1">
        <f>IFERROR(__xludf.DUMMYFUNCTION("""COMPUTED_VALUE"""),68.85)</f>
        <v>68.85</v>
      </c>
      <c r="BG85" s="1">
        <f>IFERROR(__xludf.DUMMYFUNCTION("""COMPUTED_VALUE"""),29.74)</f>
        <v>29.74</v>
      </c>
      <c r="BH85" s="1">
        <f>IFERROR(__xludf.DUMMYFUNCTION("""COMPUTED_VALUE"""),120.3)</f>
        <v>120.3</v>
      </c>
      <c r="BI85" s="1">
        <f>IFERROR(__xludf.DUMMYFUNCTION("""COMPUTED_VALUE"""),41.63)</f>
        <v>41.63</v>
      </c>
      <c r="BJ85" s="1">
        <f>IFERROR(__xludf.DUMMYFUNCTION("""COMPUTED_VALUE"""),196.5)</f>
        <v>196.5</v>
      </c>
      <c r="BK85" s="1">
        <f>IFERROR(__xludf.DUMMYFUNCTION("""COMPUTED_VALUE"""),624.21)</f>
        <v>624.21</v>
      </c>
      <c r="BL85" s="1">
        <f>IFERROR(__xludf.DUMMYFUNCTION("""COMPUTED_VALUE"""),174.18)</f>
        <v>174.18</v>
      </c>
      <c r="BM85" s="1">
        <f>IFERROR(__xludf.DUMMYFUNCTION("""COMPUTED_VALUE"""),135.68)</f>
        <v>135.68</v>
      </c>
      <c r="BN85" s="3">
        <f>IFERROR(__xludf.DUMMYFUNCTION("""COMPUTED_VALUE"""),6.81)</f>
        <v>6.81</v>
      </c>
      <c r="BO85" s="1">
        <f>IFERROR(__xludf.DUMMYFUNCTION("""COMPUTED_VALUE"""),252.58)</f>
        <v>252.58</v>
      </c>
      <c r="BP85" s="1">
        <f>IFERROR(__xludf.DUMMYFUNCTION("""COMPUTED_VALUE"""),599.03)</f>
        <v>599.03</v>
      </c>
      <c r="BQ85" s="36">
        <f>IFERROR(__xludf.DUMMYFUNCTION("""COMPUTED_VALUE"""),49.02)</f>
        <v>49.02</v>
      </c>
      <c r="BR85" s="1">
        <f>IFERROR(__xludf.DUMMYFUNCTION("""COMPUTED_VALUE"""),11.17)</f>
        <v>11.17</v>
      </c>
      <c r="BS85" s="1">
        <f>IFERROR(__xludf.DUMMYFUNCTION("""COMPUTED_VALUE"""),208.25)</f>
        <v>208.25</v>
      </c>
      <c r="BT85" s="1">
        <f>IFERROR(__xludf.DUMMYFUNCTION("""COMPUTED_VALUE"""),88.4)</f>
        <v>88.4</v>
      </c>
      <c r="BU85" s="3">
        <v>1.0</v>
      </c>
    </row>
    <row r="86">
      <c r="A86" s="25">
        <f>IFERROR(__xludf.DUMMYFUNCTION("""COMPUTED_VALUE"""),45546.66666666667)</f>
        <v>45546.66667</v>
      </c>
      <c r="B86" s="29">
        <f>'Master Scratch Work'!B85</f>
        <v>1279491.99</v>
      </c>
      <c r="C86" s="15">
        <f>IFERROR(__xludf.DUMMYFUNCTION("""COMPUTED_VALUE"""),5554.13)</f>
        <v>5554.13</v>
      </c>
      <c r="D86" s="15">
        <f>IFERROR(__xludf.DUMMYFUNCTION("""COMPUTED_VALUE"""),17395.53)</f>
        <v>17395.53</v>
      </c>
      <c r="E86" s="15">
        <f>IFERROR(__xludf.DUMMYFUNCTION("""COMPUTED_VALUE"""),40861.71)</f>
        <v>40861.71</v>
      </c>
      <c r="F86" s="15">
        <f>IFERROR(__xludf.DUMMYFUNCTION("""COMPUTED_VALUE"""),2103.85)</f>
        <v>2103.85</v>
      </c>
      <c r="G86" s="3">
        <f>IFERROR(__xludf.DUMMYFUNCTION("""COMPUTED_VALUE"""),554.42)</f>
        <v>554.42</v>
      </c>
      <c r="H86" s="3">
        <f>IFERROR(__xludf.DUMMYFUNCTION("""COMPUTED_VALUE"""),468.62)</f>
        <v>468.62</v>
      </c>
      <c r="I86" s="3">
        <f>IFERROR(__xludf.DUMMYFUNCTION("""COMPUTED_VALUE"""),580.38)</f>
        <v>580.38</v>
      </c>
      <c r="J86" s="3">
        <f>IFERROR(__xludf.DUMMYFUNCTION("""COMPUTED_VALUE"""),184.52)</f>
        <v>184.52</v>
      </c>
      <c r="K86" s="3">
        <f>IFERROR(__xludf.DUMMYFUNCTION("""COMPUTED_VALUE"""),147.04)</f>
        <v>147.04</v>
      </c>
      <c r="L86" s="3">
        <f>IFERROR(__xludf.DUMMYFUNCTION("""COMPUTED_VALUE"""),222.66)</f>
        <v>222.66</v>
      </c>
      <c r="M86" s="3">
        <f>IFERROR(__xludf.DUMMYFUNCTION("""COMPUTED_VALUE"""),185.94)</f>
        <v>185.94</v>
      </c>
      <c r="N86" s="3">
        <f>IFERROR(__xludf.DUMMYFUNCTION("""COMPUTED_VALUE"""),68.1)</f>
        <v>68.1</v>
      </c>
      <c r="O86" s="3">
        <f>IFERROR(__xludf.DUMMYFUNCTION("""COMPUTED_VALUE"""),11.49)</f>
        <v>11.49</v>
      </c>
      <c r="P86" s="3">
        <f>IFERROR(__xludf.DUMMYFUNCTION("""COMPUTED_VALUE"""),453.1)</f>
        <v>453.1</v>
      </c>
      <c r="Q86" s="3">
        <f>IFERROR(__xludf.DUMMYFUNCTION("""COMPUTED_VALUE"""),52.81)</f>
        <v>52.81</v>
      </c>
      <c r="R86" s="3">
        <f>IFERROR(__xludf.DUMMYFUNCTION("""COMPUTED_VALUE"""),199.09)</f>
        <v>199.09</v>
      </c>
      <c r="S86" s="3">
        <f>IFERROR(__xludf.DUMMYFUNCTION("""COMPUTED_VALUE"""),82.94)</f>
        <v>82.94</v>
      </c>
      <c r="T86" s="3">
        <f>IFERROR(__xludf.DUMMYFUNCTION("""COMPUTED_VALUE"""),73.67)</f>
        <v>73.67</v>
      </c>
      <c r="U86" s="3">
        <f>IFERROR(__xludf.DUMMYFUNCTION("""COMPUTED_VALUE"""),335.0)</f>
        <v>335</v>
      </c>
      <c r="V86" s="3">
        <f>IFERROR(__xludf.DUMMYFUNCTION("""COMPUTED_VALUE"""),39.98)</f>
        <v>39.98</v>
      </c>
      <c r="W86" s="3">
        <f>IFERROR(__xludf.DUMMYFUNCTION("""COMPUTED_VALUE"""),189.9)</f>
        <v>189.9</v>
      </c>
      <c r="X86" s="3">
        <f>IFERROR(__xludf.DUMMYFUNCTION("""COMPUTED_VALUE"""),137.88)</f>
        <v>137.88</v>
      </c>
      <c r="Y86" s="1">
        <f>IFERROR(__xludf.DUMMYFUNCTION("""COMPUTED_VALUE"""),357.78)</f>
        <v>357.78</v>
      </c>
      <c r="Z86" s="1">
        <f>IFERROR(__xludf.DUMMYFUNCTION("""COMPUTED_VALUE"""),39.66)</f>
        <v>39.66</v>
      </c>
      <c r="AA86" s="1">
        <f>IFERROR(__xludf.DUMMYFUNCTION("""COMPUTED_VALUE"""),71.08)</f>
        <v>71.08</v>
      </c>
      <c r="AB86" s="1">
        <f>IFERROR(__xludf.DUMMYFUNCTION("""COMPUTED_VALUE"""),103.82)</f>
        <v>103.82</v>
      </c>
      <c r="AC86" s="1">
        <f>IFERROR(__xludf.DUMMYFUNCTION("""COMPUTED_VALUE"""),158.42)</f>
        <v>158.42</v>
      </c>
      <c r="AD86" s="3">
        <f>IFERROR(__xludf.DUMMYFUNCTION("""COMPUTED_VALUE"""),66.58)</f>
        <v>66.58</v>
      </c>
      <c r="AE86" s="1">
        <f>IFERROR(__xludf.DUMMYFUNCTION("""COMPUTED_VALUE"""),407.97)</f>
        <v>407.97</v>
      </c>
      <c r="AF86" s="1">
        <f>IFERROR(__xludf.DUMMYFUNCTION("""COMPUTED_VALUE"""),60.73)</f>
        <v>60.73</v>
      </c>
      <c r="AG86" s="1">
        <f>IFERROR(__xludf.DUMMYFUNCTION("""COMPUTED_VALUE"""),109.72)</f>
        <v>109.72</v>
      </c>
      <c r="AH86" s="3">
        <f>IFERROR(__xludf.DUMMYFUNCTION("""COMPUTED_VALUE"""),284.86)</f>
        <v>284.86</v>
      </c>
      <c r="AI86" s="1">
        <f>IFERROR(__xludf.DUMMYFUNCTION("""COMPUTED_VALUE"""),475.05)</f>
        <v>475.05</v>
      </c>
      <c r="AJ86" s="1">
        <f>IFERROR(__xludf.DUMMYFUNCTION("""COMPUTED_VALUE"""),299.59)</f>
        <v>299.59</v>
      </c>
      <c r="AK86" s="3">
        <f>IFERROR(__xludf.DUMMYFUNCTION("""COMPUTED_VALUE"""),44.67)</f>
        <v>44.67</v>
      </c>
      <c r="AL86" s="1">
        <f>IFERROR(__xludf.DUMMYFUNCTION("""COMPUTED_VALUE"""),80.94)</f>
        <v>80.94</v>
      </c>
      <c r="AM86" s="1">
        <f>IFERROR(__xludf.DUMMYFUNCTION("""COMPUTED_VALUE"""),471.17)</f>
        <v>471.17</v>
      </c>
      <c r="AN86" s="1">
        <f>IFERROR(__xludf.DUMMYFUNCTION("""COMPUTED_VALUE"""),370.49)</f>
        <v>370.49</v>
      </c>
      <c r="AO86" s="1">
        <f>IFERROR(__xludf.DUMMYFUNCTION("""COMPUTED_VALUE"""),104.93)</f>
        <v>104.93</v>
      </c>
      <c r="AP86" s="1">
        <f>IFERROR(__xludf.DUMMYFUNCTION("""COMPUTED_VALUE"""),159.99)</f>
        <v>159.99</v>
      </c>
      <c r="AQ86" s="1">
        <f>IFERROR(__xludf.DUMMYFUNCTION("""COMPUTED_VALUE"""),490.93)</f>
        <v>490.93</v>
      </c>
      <c r="AR86" s="3">
        <f>IFERROR(__xludf.DUMMYFUNCTION("""COMPUTED_VALUE"""),207.23)</f>
        <v>207.23</v>
      </c>
      <c r="AS86" s="3">
        <f>IFERROR(__xludf.DUMMYFUNCTION("""COMPUTED_VALUE"""),566.96)</f>
        <v>566.96</v>
      </c>
      <c r="AT86" s="3">
        <f>IFERROR(__xludf.DUMMYFUNCTION("""COMPUTED_VALUE"""),255.2)</f>
        <v>255.2</v>
      </c>
      <c r="AU86" s="1">
        <f>IFERROR(__xludf.DUMMYFUNCTION("""COMPUTED_VALUE"""),27.66)</f>
        <v>27.66</v>
      </c>
      <c r="AV86" s="1">
        <f>IFERROR(__xludf.DUMMYFUNCTION("""COMPUTED_VALUE"""),90.35)</f>
        <v>90.35</v>
      </c>
      <c r="AW86" s="1">
        <f>IFERROR(__xludf.DUMMYFUNCTION("""COMPUTED_VALUE"""),74.74)</f>
        <v>74.74</v>
      </c>
      <c r="AX86" s="1">
        <f>IFERROR(__xludf.DUMMYFUNCTION("""COMPUTED_VALUE"""),13.84)</f>
        <v>13.84</v>
      </c>
      <c r="AY86" s="1">
        <f>IFERROR(__xludf.DUMMYFUNCTION("""COMPUTED_VALUE"""),423.04)</f>
        <v>423.04</v>
      </c>
      <c r="AZ86" s="3">
        <f>IFERROR(__xludf.DUMMYFUNCTION("""COMPUTED_VALUE"""),83.43)</f>
        <v>83.43</v>
      </c>
      <c r="BA86" s="3">
        <f>IFERROR(__xludf.DUMMYFUNCTION("""COMPUTED_VALUE"""),80.07)</f>
        <v>80.07</v>
      </c>
      <c r="BB86" s="3">
        <f>IFERROR(__xludf.DUMMYFUNCTION("""COMPUTED_VALUE"""),116.91)</f>
        <v>116.91</v>
      </c>
      <c r="BC86" s="1">
        <f>IFERROR(__xludf.DUMMYFUNCTION("""COMPUTED_VALUE"""),92.49)</f>
        <v>92.49</v>
      </c>
      <c r="BD86" s="1">
        <f>IFERROR(__xludf.DUMMYFUNCTION("""COMPUTED_VALUE"""),46.42)</f>
        <v>46.42</v>
      </c>
      <c r="BE86" s="1">
        <f>IFERROR(__xludf.DUMMYFUNCTION("""COMPUTED_VALUE"""),34.85)</f>
        <v>34.85</v>
      </c>
      <c r="BF86" s="1">
        <f>IFERROR(__xludf.DUMMYFUNCTION("""COMPUTED_VALUE"""),69.35)</f>
        <v>69.35</v>
      </c>
      <c r="BG86" s="1">
        <f>IFERROR(__xludf.DUMMYFUNCTION("""COMPUTED_VALUE"""),29.66)</f>
        <v>29.66</v>
      </c>
      <c r="BH86" s="1">
        <f>IFERROR(__xludf.DUMMYFUNCTION("""COMPUTED_VALUE"""),119.26)</f>
        <v>119.26</v>
      </c>
      <c r="BI86" s="1">
        <f>IFERROR(__xludf.DUMMYFUNCTION("""COMPUTED_VALUE"""),41.66)</f>
        <v>41.66</v>
      </c>
      <c r="BJ86" s="1">
        <f>IFERROR(__xludf.DUMMYFUNCTION("""COMPUTED_VALUE"""),198.54)</f>
        <v>198.54</v>
      </c>
      <c r="BK86" s="1">
        <f>IFERROR(__xludf.DUMMYFUNCTION("""COMPUTED_VALUE"""),618.46)</f>
        <v>618.46</v>
      </c>
      <c r="BL86" s="1">
        <f>IFERROR(__xludf.DUMMYFUNCTION("""COMPUTED_VALUE"""),174.69)</f>
        <v>174.69</v>
      </c>
      <c r="BM86" s="1">
        <f>IFERROR(__xludf.DUMMYFUNCTION("""COMPUTED_VALUE"""),143.81)</f>
        <v>143.81</v>
      </c>
      <c r="BN86" s="3">
        <f>IFERROR(__xludf.DUMMYFUNCTION("""COMPUTED_VALUE"""),6.79)</f>
        <v>6.79</v>
      </c>
      <c r="BO86" s="1">
        <f>IFERROR(__xludf.DUMMYFUNCTION("""COMPUTED_VALUE"""),247.5)</f>
        <v>247.5</v>
      </c>
      <c r="BP86" s="1">
        <f>IFERROR(__xludf.DUMMYFUNCTION("""COMPUTED_VALUE"""),589.75)</f>
        <v>589.75</v>
      </c>
      <c r="BQ86" s="36">
        <f>IFERROR(__xludf.DUMMYFUNCTION("""COMPUTED_VALUE"""),49.05)</f>
        <v>49.05</v>
      </c>
      <c r="BR86" s="1">
        <f>IFERROR(__xludf.DUMMYFUNCTION("""COMPUTED_VALUE"""),11.34)</f>
        <v>11.34</v>
      </c>
      <c r="BS86" s="1">
        <f>IFERROR(__xludf.DUMMYFUNCTION("""COMPUTED_VALUE"""),207.64)</f>
        <v>207.64</v>
      </c>
      <c r="BT86" s="1">
        <f>IFERROR(__xludf.DUMMYFUNCTION("""COMPUTED_VALUE"""),88.32)</f>
        <v>88.32</v>
      </c>
      <c r="BU86" s="3">
        <v>1.0</v>
      </c>
    </row>
    <row r="87">
      <c r="A87" s="25">
        <f>IFERROR(__xludf.DUMMYFUNCTION("""COMPUTED_VALUE"""),45547.66666666667)</f>
        <v>45547.66667</v>
      </c>
      <c r="B87" s="29">
        <f>'Master Scratch Work'!B86</f>
        <v>1289107.25</v>
      </c>
      <c r="C87" s="15">
        <f>IFERROR(__xludf.DUMMYFUNCTION("""COMPUTED_VALUE"""),5595.76)</f>
        <v>5595.76</v>
      </c>
      <c r="D87" s="15">
        <f>IFERROR(__xludf.DUMMYFUNCTION("""COMPUTED_VALUE"""),17569.68)</f>
        <v>17569.68</v>
      </c>
      <c r="E87" s="15">
        <f>IFERROR(__xludf.DUMMYFUNCTION("""COMPUTED_VALUE"""),41096.77)</f>
        <v>41096.77</v>
      </c>
      <c r="F87" s="15">
        <f>IFERROR(__xludf.DUMMYFUNCTION("""COMPUTED_VALUE"""),2129.43)</f>
        <v>2129.43</v>
      </c>
      <c r="G87" s="3">
        <f>IFERROR(__xludf.DUMMYFUNCTION("""COMPUTED_VALUE"""),559.09)</f>
        <v>559.09</v>
      </c>
      <c r="H87" s="3">
        <f>IFERROR(__xludf.DUMMYFUNCTION("""COMPUTED_VALUE"""),473.22)</f>
        <v>473.22</v>
      </c>
      <c r="I87" s="3">
        <f>IFERROR(__xludf.DUMMYFUNCTION("""COMPUTED_VALUE"""),586.55)</f>
        <v>586.55</v>
      </c>
      <c r="J87" s="3">
        <f>IFERROR(__xludf.DUMMYFUNCTION("""COMPUTED_VALUE"""),187.0)</f>
        <v>187</v>
      </c>
      <c r="K87" s="3">
        <f>IFERROR(__xludf.DUMMYFUNCTION("""COMPUTED_VALUE"""),147.13)</f>
        <v>147.13</v>
      </c>
      <c r="L87" s="3">
        <f>IFERROR(__xludf.DUMMYFUNCTION("""COMPUTED_VALUE"""),222.77)</f>
        <v>222.77</v>
      </c>
      <c r="M87" s="3">
        <f>IFERROR(__xludf.DUMMYFUNCTION("""COMPUTED_VALUE"""),183.21)</f>
        <v>183.21</v>
      </c>
      <c r="N87" s="3">
        <f>IFERROR(__xludf.DUMMYFUNCTION("""COMPUTED_VALUE"""),69.02)</f>
        <v>69.02</v>
      </c>
      <c r="O87" s="3">
        <f>IFERROR(__xludf.DUMMYFUNCTION("""COMPUTED_VALUE"""),11.56)</f>
        <v>11.56</v>
      </c>
      <c r="P87" s="3">
        <f>IFERROR(__xludf.DUMMYFUNCTION("""COMPUTED_VALUE"""),450.87)</f>
        <v>450.87</v>
      </c>
      <c r="Q87" s="3">
        <f>IFERROR(__xludf.DUMMYFUNCTION("""COMPUTED_VALUE"""),53.68)</f>
        <v>53.68</v>
      </c>
      <c r="R87" s="3">
        <f>IFERROR(__xludf.DUMMYFUNCTION("""COMPUTED_VALUE"""),197.89)</f>
        <v>197.89</v>
      </c>
      <c r="S87" s="3">
        <f>IFERROR(__xludf.DUMMYFUNCTION("""COMPUTED_VALUE"""),83.83)</f>
        <v>83.83</v>
      </c>
      <c r="T87" s="3">
        <f>IFERROR(__xludf.DUMMYFUNCTION("""COMPUTED_VALUE"""),75.37)</f>
        <v>75.37</v>
      </c>
      <c r="U87" s="3">
        <f>IFERROR(__xludf.DUMMYFUNCTION("""COMPUTED_VALUE"""),339.58)</f>
        <v>339.58</v>
      </c>
      <c r="V87" s="3">
        <f>IFERROR(__xludf.DUMMYFUNCTION("""COMPUTED_VALUE"""),40.74)</f>
        <v>40.74</v>
      </c>
      <c r="W87" s="3">
        <f>IFERROR(__xludf.DUMMYFUNCTION("""COMPUTED_VALUE"""),190.55)</f>
        <v>190.55</v>
      </c>
      <c r="X87" s="3">
        <f>IFERROR(__xludf.DUMMYFUNCTION("""COMPUTED_VALUE"""),139.21)</f>
        <v>139.21</v>
      </c>
      <c r="Y87" s="1">
        <f>IFERROR(__xludf.DUMMYFUNCTION("""COMPUTED_VALUE"""),362.17)</f>
        <v>362.17</v>
      </c>
      <c r="Z87" s="1">
        <f>IFERROR(__xludf.DUMMYFUNCTION("""COMPUTED_VALUE"""),39.71)</f>
        <v>39.71</v>
      </c>
      <c r="AA87" s="1">
        <f>IFERROR(__xludf.DUMMYFUNCTION("""COMPUTED_VALUE"""),71.23)</f>
        <v>71.23</v>
      </c>
      <c r="AB87" s="1">
        <f>IFERROR(__xludf.DUMMYFUNCTION("""COMPUTED_VALUE"""),103.39)</f>
        <v>103.39</v>
      </c>
      <c r="AC87" s="1">
        <f>IFERROR(__xludf.DUMMYFUNCTION("""COMPUTED_VALUE"""),160.49)</f>
        <v>160.49</v>
      </c>
      <c r="AD87" s="3">
        <f>IFERROR(__xludf.DUMMYFUNCTION("""COMPUTED_VALUE"""),67.89)</f>
        <v>67.89</v>
      </c>
      <c r="AE87" s="1">
        <f>IFERROR(__xludf.DUMMYFUNCTION("""COMPUTED_VALUE"""),405.84)</f>
        <v>405.84</v>
      </c>
      <c r="AF87" s="1">
        <f>IFERROR(__xludf.DUMMYFUNCTION("""COMPUTED_VALUE"""),63.18)</f>
        <v>63.18</v>
      </c>
      <c r="AG87" s="1">
        <f>IFERROR(__xludf.DUMMYFUNCTION("""COMPUTED_VALUE"""),111.23)</f>
        <v>111.23</v>
      </c>
      <c r="AH87" s="3">
        <f>IFERROR(__xludf.DUMMYFUNCTION("""COMPUTED_VALUE"""),286.0)</f>
        <v>286</v>
      </c>
      <c r="AI87" s="1">
        <f>IFERROR(__xludf.DUMMYFUNCTION("""COMPUTED_VALUE"""),471.9)</f>
        <v>471.9</v>
      </c>
      <c r="AJ87" s="1">
        <f>IFERROR(__xludf.DUMMYFUNCTION("""COMPUTED_VALUE"""),300.67)</f>
        <v>300.67</v>
      </c>
      <c r="AK87" s="3">
        <f>IFERROR(__xludf.DUMMYFUNCTION("""COMPUTED_VALUE"""),46.12)</f>
        <v>46.12</v>
      </c>
      <c r="AL87" s="1">
        <f>IFERROR(__xludf.DUMMYFUNCTION("""COMPUTED_VALUE"""),83.16)</f>
        <v>83.16</v>
      </c>
      <c r="AM87" s="1">
        <f>IFERROR(__xludf.DUMMYFUNCTION("""COMPUTED_VALUE"""),474.06)</f>
        <v>474.06</v>
      </c>
      <c r="AN87" s="1">
        <f>IFERROR(__xludf.DUMMYFUNCTION("""COMPUTED_VALUE"""),374.43)</f>
        <v>374.43</v>
      </c>
      <c r="AO87" s="1">
        <f>IFERROR(__xludf.DUMMYFUNCTION("""COMPUTED_VALUE"""),105.75)</f>
        <v>105.75</v>
      </c>
      <c r="AP87" s="1">
        <f>IFERROR(__xludf.DUMMYFUNCTION("""COMPUTED_VALUE"""),161.14)</f>
        <v>161.14</v>
      </c>
      <c r="AQ87" s="1">
        <f>IFERROR(__xludf.DUMMYFUNCTION("""COMPUTED_VALUE"""),494.01)</f>
        <v>494.01</v>
      </c>
      <c r="AR87" s="3">
        <f>IFERROR(__xludf.DUMMYFUNCTION("""COMPUTED_VALUE"""),206.6)</f>
        <v>206.6</v>
      </c>
      <c r="AS87" s="3">
        <f>IFERROR(__xludf.DUMMYFUNCTION("""COMPUTED_VALUE"""),568.27)</f>
        <v>568.27</v>
      </c>
      <c r="AT87" s="3">
        <f>IFERROR(__xludf.DUMMYFUNCTION("""COMPUTED_VALUE"""),260.14)</f>
        <v>260.14</v>
      </c>
      <c r="AU87" s="1">
        <f>IFERROR(__xludf.DUMMYFUNCTION("""COMPUTED_VALUE"""),27.95)</f>
        <v>27.95</v>
      </c>
      <c r="AV87" s="1">
        <f>IFERROR(__xludf.DUMMYFUNCTION("""COMPUTED_VALUE"""),90.0)</f>
        <v>90</v>
      </c>
      <c r="AW87" s="1">
        <f>IFERROR(__xludf.DUMMYFUNCTION("""COMPUTED_VALUE"""),75.47)</f>
        <v>75.47</v>
      </c>
      <c r="AX87" s="1">
        <f>IFERROR(__xludf.DUMMYFUNCTION("""COMPUTED_VALUE"""),13.79)</f>
        <v>13.79</v>
      </c>
      <c r="AY87" s="1">
        <f>IFERROR(__xludf.DUMMYFUNCTION("""COMPUTED_VALUE"""),427.0)</f>
        <v>427</v>
      </c>
      <c r="AZ87" s="3">
        <f>IFERROR(__xludf.DUMMYFUNCTION("""COMPUTED_VALUE"""),83.46)</f>
        <v>83.46</v>
      </c>
      <c r="BA87" s="3">
        <f>IFERROR(__xludf.DUMMYFUNCTION("""COMPUTED_VALUE"""),79.8)</f>
        <v>79.8</v>
      </c>
      <c r="BB87" s="3">
        <f>IFERROR(__xludf.DUMMYFUNCTION("""COMPUTED_VALUE"""),119.14)</f>
        <v>119.14</v>
      </c>
      <c r="BC87" s="1">
        <f>IFERROR(__xludf.DUMMYFUNCTION("""COMPUTED_VALUE"""),92.72)</f>
        <v>92.72</v>
      </c>
      <c r="BD87" s="1">
        <f>IFERROR(__xludf.DUMMYFUNCTION("""COMPUTED_VALUE"""),49.05)</f>
        <v>49.05</v>
      </c>
      <c r="BE87" s="1">
        <f>IFERROR(__xludf.DUMMYFUNCTION("""COMPUTED_VALUE"""),34.91)</f>
        <v>34.91</v>
      </c>
      <c r="BF87" s="1">
        <f>IFERROR(__xludf.DUMMYFUNCTION("""COMPUTED_VALUE"""),70.36)</f>
        <v>70.36</v>
      </c>
      <c r="BG87" s="1">
        <f>IFERROR(__xludf.DUMMYFUNCTION("""COMPUTED_VALUE"""),29.16)</f>
        <v>29.16</v>
      </c>
      <c r="BH87" s="1">
        <f>IFERROR(__xludf.DUMMYFUNCTION("""COMPUTED_VALUE"""),120.1)</f>
        <v>120.1</v>
      </c>
      <c r="BI87" s="1">
        <f>IFERROR(__xludf.DUMMYFUNCTION("""COMPUTED_VALUE"""),41.97)</f>
        <v>41.97</v>
      </c>
      <c r="BJ87" s="1">
        <f>IFERROR(__xludf.DUMMYFUNCTION("""COMPUTED_VALUE"""),202.41)</f>
        <v>202.41</v>
      </c>
      <c r="BK87" s="1">
        <f>IFERROR(__xludf.DUMMYFUNCTION("""COMPUTED_VALUE"""),614.16)</f>
        <v>614.16</v>
      </c>
      <c r="BL87" s="1">
        <f>IFERROR(__xludf.DUMMYFUNCTION("""COMPUTED_VALUE"""),176.18)</f>
        <v>176.18</v>
      </c>
      <c r="BM87" s="1">
        <f>IFERROR(__xludf.DUMMYFUNCTION("""COMPUTED_VALUE"""),149.14)</f>
        <v>149.14</v>
      </c>
      <c r="BN87" s="3">
        <f>IFERROR(__xludf.DUMMYFUNCTION("""COMPUTED_VALUE"""),7.31)</f>
        <v>7.31</v>
      </c>
      <c r="BO87" s="1">
        <f>IFERROR(__xludf.DUMMYFUNCTION("""COMPUTED_VALUE"""),248.89)</f>
        <v>248.89</v>
      </c>
      <c r="BP87" s="1">
        <f>IFERROR(__xludf.DUMMYFUNCTION("""COMPUTED_VALUE"""),588.42)</f>
        <v>588.42</v>
      </c>
      <c r="BQ87" s="36">
        <f>IFERROR(__xludf.DUMMYFUNCTION("""COMPUTED_VALUE"""),49.09)</f>
        <v>49.09</v>
      </c>
      <c r="BR87" s="1">
        <f>IFERROR(__xludf.DUMMYFUNCTION("""COMPUTED_VALUE"""),11.75)</f>
        <v>11.75</v>
      </c>
      <c r="BS87" s="1">
        <f>IFERROR(__xludf.DUMMYFUNCTION("""COMPUTED_VALUE"""),207.86)</f>
        <v>207.86</v>
      </c>
      <c r="BT87" s="1">
        <f>IFERROR(__xludf.DUMMYFUNCTION("""COMPUTED_VALUE"""),89.3)</f>
        <v>89.3</v>
      </c>
      <c r="BU87" s="3">
        <v>1.0</v>
      </c>
    </row>
    <row r="88">
      <c r="A88" s="25">
        <f>IFERROR(__xludf.DUMMYFUNCTION("""COMPUTED_VALUE"""),45548.66666666667)</f>
        <v>45548.66667</v>
      </c>
      <c r="B88" s="29">
        <f>'Master Scratch Work'!B87</f>
        <v>1294293.57</v>
      </c>
      <c r="C88" s="15">
        <f>IFERROR(__xludf.DUMMYFUNCTION("""COMPUTED_VALUE"""),5626.02)</f>
        <v>5626.02</v>
      </c>
      <c r="D88" s="15">
        <f>IFERROR(__xludf.DUMMYFUNCTION("""COMPUTED_VALUE"""),17683.98)</f>
        <v>17683.98</v>
      </c>
      <c r="E88" s="15">
        <f>IFERROR(__xludf.DUMMYFUNCTION("""COMPUTED_VALUE"""),41393.78)</f>
        <v>41393.78</v>
      </c>
      <c r="F88" s="15">
        <f>IFERROR(__xludf.DUMMYFUNCTION("""COMPUTED_VALUE"""),2182.49)</f>
        <v>2182.49</v>
      </c>
      <c r="G88" s="3">
        <f>IFERROR(__xludf.DUMMYFUNCTION("""COMPUTED_VALUE"""),562.01)</f>
        <v>562.01</v>
      </c>
      <c r="H88" s="3">
        <f>IFERROR(__xludf.DUMMYFUNCTION("""COMPUTED_VALUE"""),475.34)</f>
        <v>475.34</v>
      </c>
      <c r="I88" s="3">
        <f>IFERROR(__xludf.DUMMYFUNCTION("""COMPUTED_VALUE"""),536.87)</f>
        <v>536.87</v>
      </c>
      <c r="J88" s="3">
        <f>IFERROR(__xludf.DUMMYFUNCTION("""COMPUTED_VALUE"""),186.49)</f>
        <v>186.49</v>
      </c>
      <c r="K88" s="3">
        <f>IFERROR(__xludf.DUMMYFUNCTION("""COMPUTED_VALUE"""),148.13)</f>
        <v>148.13</v>
      </c>
      <c r="L88" s="3">
        <f>IFERROR(__xludf.DUMMYFUNCTION("""COMPUTED_VALUE"""),222.5)</f>
        <v>222.5</v>
      </c>
      <c r="M88" s="3">
        <f>IFERROR(__xludf.DUMMYFUNCTION("""COMPUTED_VALUE"""),188.47)</f>
        <v>188.47</v>
      </c>
      <c r="N88" s="3">
        <f>IFERROR(__xludf.DUMMYFUNCTION("""COMPUTED_VALUE"""),68.7)</f>
        <v>68.7</v>
      </c>
      <c r="O88" s="3">
        <f>IFERROR(__xludf.DUMMYFUNCTION("""COMPUTED_VALUE"""),11.74)</f>
        <v>11.74</v>
      </c>
      <c r="P88" s="3">
        <f>IFERROR(__xludf.DUMMYFUNCTION("""COMPUTED_VALUE"""),447.61)</f>
        <v>447.61</v>
      </c>
      <c r="Q88" s="3">
        <f>IFERROR(__xludf.DUMMYFUNCTION("""COMPUTED_VALUE"""),52.89)</f>
        <v>52.89</v>
      </c>
      <c r="R88" s="3">
        <f>IFERROR(__xludf.DUMMYFUNCTION("""COMPUTED_VALUE"""),195.63)</f>
        <v>195.63</v>
      </c>
      <c r="S88" s="3">
        <f>IFERROR(__xludf.DUMMYFUNCTION("""COMPUTED_VALUE"""),83.31)</f>
        <v>83.31</v>
      </c>
      <c r="T88" s="3">
        <f>IFERROR(__xludf.DUMMYFUNCTION("""COMPUTED_VALUE"""),76.51)</f>
        <v>76.51</v>
      </c>
      <c r="U88" s="3">
        <f>IFERROR(__xludf.DUMMYFUNCTION("""COMPUTED_VALUE"""),345.31)</f>
        <v>345.31</v>
      </c>
      <c r="V88" s="3">
        <f>IFERROR(__xludf.DUMMYFUNCTION("""COMPUTED_VALUE"""),40.33)</f>
        <v>40.33</v>
      </c>
      <c r="W88" s="3">
        <f>IFERROR(__xludf.DUMMYFUNCTION("""COMPUTED_VALUE"""),195.17)</f>
        <v>195.17</v>
      </c>
      <c r="X88" s="3">
        <f>IFERROR(__xludf.DUMMYFUNCTION("""COMPUTED_VALUE"""),140.61)</f>
        <v>140.61</v>
      </c>
      <c r="Y88" s="1">
        <f>IFERROR(__xludf.DUMMYFUNCTION("""COMPUTED_VALUE"""),364.72)</f>
        <v>364.72</v>
      </c>
      <c r="Z88" s="1">
        <f>IFERROR(__xludf.DUMMYFUNCTION("""COMPUTED_VALUE"""),40.09)</f>
        <v>40.09</v>
      </c>
      <c r="AA88" s="1">
        <f>IFERROR(__xludf.DUMMYFUNCTION("""COMPUTED_VALUE"""),71.41)</f>
        <v>71.41</v>
      </c>
      <c r="AB88" s="1">
        <f>IFERROR(__xludf.DUMMYFUNCTION("""COMPUTED_VALUE"""),104.56)</f>
        <v>104.56</v>
      </c>
      <c r="AC88" s="1">
        <f>IFERROR(__xludf.DUMMYFUNCTION("""COMPUTED_VALUE"""),158.93)</f>
        <v>158.93</v>
      </c>
      <c r="AD88" s="3">
        <f>IFERROR(__xludf.DUMMYFUNCTION("""COMPUTED_VALUE"""),69.7)</f>
        <v>69.7</v>
      </c>
      <c r="AE88" s="1">
        <f>IFERROR(__xludf.DUMMYFUNCTION("""COMPUTED_VALUE"""),402.52)</f>
        <v>402.52</v>
      </c>
      <c r="AF88" s="1">
        <f>IFERROR(__xludf.DUMMYFUNCTION("""COMPUTED_VALUE"""),63.44)</f>
        <v>63.44</v>
      </c>
      <c r="AG88" s="1">
        <f>IFERROR(__xludf.DUMMYFUNCTION("""COMPUTED_VALUE"""),111.15)</f>
        <v>111.15</v>
      </c>
      <c r="AH88" s="3">
        <f>IFERROR(__xludf.DUMMYFUNCTION("""COMPUTED_VALUE"""),286.38)</f>
        <v>286.38</v>
      </c>
      <c r="AI88" s="1">
        <f>IFERROR(__xludf.DUMMYFUNCTION("""COMPUTED_VALUE"""),469.09)</f>
        <v>469.09</v>
      </c>
      <c r="AJ88" s="1">
        <f>IFERROR(__xludf.DUMMYFUNCTION("""COMPUTED_VALUE"""),304.8)</f>
        <v>304.8</v>
      </c>
      <c r="AK88" s="3">
        <f>IFERROR(__xludf.DUMMYFUNCTION("""COMPUTED_VALUE"""),46.3)</f>
        <v>46.3</v>
      </c>
      <c r="AL88" s="1">
        <f>IFERROR(__xludf.DUMMYFUNCTION("""COMPUTED_VALUE"""),82.81)</f>
        <v>82.81</v>
      </c>
      <c r="AM88" s="1">
        <f>IFERROR(__xludf.DUMMYFUNCTION("""COMPUTED_VALUE"""),478.99)</f>
        <v>478.99</v>
      </c>
      <c r="AN88" s="1">
        <f>IFERROR(__xludf.DUMMYFUNCTION("""COMPUTED_VALUE"""),379.99)</f>
        <v>379.99</v>
      </c>
      <c r="AO88" s="1">
        <f>IFERROR(__xludf.DUMMYFUNCTION("""COMPUTED_VALUE"""),107.42)</f>
        <v>107.42</v>
      </c>
      <c r="AP88" s="1">
        <f>IFERROR(__xludf.DUMMYFUNCTION("""COMPUTED_VALUE"""),161.36)</f>
        <v>161.36</v>
      </c>
      <c r="AQ88" s="1">
        <f>IFERROR(__xludf.DUMMYFUNCTION("""COMPUTED_VALUE"""),489.86)</f>
        <v>489.86</v>
      </c>
      <c r="AR88" s="3">
        <f>IFERROR(__xludf.DUMMYFUNCTION("""COMPUTED_VALUE"""),204.32)</f>
        <v>204.32</v>
      </c>
      <c r="AS88" s="3">
        <f>IFERROR(__xludf.DUMMYFUNCTION("""COMPUTED_VALUE"""),569.91)</f>
        <v>569.91</v>
      </c>
      <c r="AT88" s="3">
        <f>IFERROR(__xludf.DUMMYFUNCTION("""COMPUTED_VALUE"""),266.76)</f>
        <v>266.76</v>
      </c>
      <c r="AU88" s="1">
        <f>IFERROR(__xludf.DUMMYFUNCTION("""COMPUTED_VALUE"""),28.08)</f>
        <v>28.08</v>
      </c>
      <c r="AV88" s="1">
        <f>IFERROR(__xludf.DUMMYFUNCTION("""COMPUTED_VALUE"""),90.0)</f>
        <v>90</v>
      </c>
      <c r="AW88" s="1">
        <f>IFERROR(__xludf.DUMMYFUNCTION("""COMPUTED_VALUE"""),76.19)</f>
        <v>76.19</v>
      </c>
      <c r="AX88" s="1">
        <f>IFERROR(__xludf.DUMMYFUNCTION("""COMPUTED_VALUE"""),13.8)</f>
        <v>13.8</v>
      </c>
      <c r="AY88" s="1">
        <f>IFERROR(__xludf.DUMMYFUNCTION("""COMPUTED_VALUE"""),430.59)</f>
        <v>430.59</v>
      </c>
      <c r="AZ88" s="3">
        <f>IFERROR(__xludf.DUMMYFUNCTION("""COMPUTED_VALUE"""),84.65)</f>
        <v>84.65</v>
      </c>
      <c r="BA88" s="3">
        <f>IFERROR(__xludf.DUMMYFUNCTION("""COMPUTED_VALUE"""),81.04)</f>
        <v>81.04</v>
      </c>
      <c r="BB88" s="3">
        <f>IFERROR(__xludf.DUMMYFUNCTION("""COMPUTED_VALUE"""),119.1)</f>
        <v>119.1</v>
      </c>
      <c r="BC88" s="1">
        <f>IFERROR(__xludf.DUMMYFUNCTION("""COMPUTED_VALUE"""),94.18)</f>
        <v>94.18</v>
      </c>
      <c r="BD88" s="1">
        <f>IFERROR(__xludf.DUMMYFUNCTION("""COMPUTED_VALUE"""),48.63)</f>
        <v>48.63</v>
      </c>
      <c r="BE88" s="1">
        <f>IFERROR(__xludf.DUMMYFUNCTION("""COMPUTED_VALUE"""),35.59)</f>
        <v>35.59</v>
      </c>
      <c r="BF88" s="1">
        <f>IFERROR(__xludf.DUMMYFUNCTION("""COMPUTED_VALUE"""),70.1)</f>
        <v>70.1</v>
      </c>
      <c r="BG88" s="1">
        <f>IFERROR(__xludf.DUMMYFUNCTION("""COMPUTED_VALUE"""),29.27)</f>
        <v>29.27</v>
      </c>
      <c r="BH88" s="1">
        <f>IFERROR(__xludf.DUMMYFUNCTION("""COMPUTED_VALUE"""),119.12)</f>
        <v>119.12</v>
      </c>
      <c r="BI88" s="1">
        <f>IFERROR(__xludf.DUMMYFUNCTION("""COMPUTED_VALUE"""),43.7)</f>
        <v>43.7</v>
      </c>
      <c r="BJ88" s="1">
        <f>IFERROR(__xludf.DUMMYFUNCTION("""COMPUTED_VALUE"""),202.83)</f>
        <v>202.83</v>
      </c>
      <c r="BK88" s="1">
        <f>IFERROR(__xludf.DUMMYFUNCTION("""COMPUTED_VALUE"""),611.17)</f>
        <v>611.17</v>
      </c>
      <c r="BL88" s="1">
        <f>IFERROR(__xludf.DUMMYFUNCTION("""COMPUTED_VALUE"""),175.39)</f>
        <v>175.39</v>
      </c>
      <c r="BM88" s="1">
        <f>IFERROR(__xludf.DUMMYFUNCTION("""COMPUTED_VALUE"""),151.42)</f>
        <v>151.42</v>
      </c>
      <c r="BN88" s="3">
        <f>IFERROR(__xludf.DUMMYFUNCTION("""COMPUTED_VALUE"""),7.65)</f>
        <v>7.65</v>
      </c>
      <c r="BO88" s="1">
        <f>IFERROR(__xludf.DUMMYFUNCTION("""COMPUTED_VALUE"""),249.12)</f>
        <v>249.12</v>
      </c>
      <c r="BP88" s="1">
        <f>IFERROR(__xludf.DUMMYFUNCTION("""COMPUTED_VALUE"""),594.32)</f>
        <v>594.32</v>
      </c>
      <c r="BQ88" s="36">
        <f>IFERROR(__xludf.DUMMYFUNCTION("""COMPUTED_VALUE"""),49.18)</f>
        <v>49.18</v>
      </c>
      <c r="BR88" s="1">
        <f>IFERROR(__xludf.DUMMYFUNCTION("""COMPUTED_VALUE"""),11.66)</f>
        <v>11.66</v>
      </c>
      <c r="BS88" s="1">
        <f>IFERROR(__xludf.DUMMYFUNCTION("""COMPUTED_VALUE"""),208.05)</f>
        <v>208.05</v>
      </c>
      <c r="BT88" s="1">
        <f>IFERROR(__xludf.DUMMYFUNCTION("""COMPUTED_VALUE"""),90.55)</f>
        <v>90.55</v>
      </c>
      <c r="BU88" s="3">
        <v>1.0</v>
      </c>
    </row>
    <row r="89">
      <c r="A89" s="25">
        <f>IFERROR(__xludf.DUMMYFUNCTION("""COMPUTED_VALUE"""),45551.66666666667)</f>
        <v>45551.66667</v>
      </c>
      <c r="B89" s="29">
        <f>'Master Scratch Work'!B88</f>
        <v>1298111.64</v>
      </c>
      <c r="C89" s="15">
        <f>IFERROR(__xludf.DUMMYFUNCTION("""COMPUTED_VALUE"""),5633.09)</f>
        <v>5633.09</v>
      </c>
      <c r="D89" s="15">
        <f>IFERROR(__xludf.DUMMYFUNCTION("""COMPUTED_VALUE"""),17592.13)</f>
        <v>17592.13</v>
      </c>
      <c r="E89" s="15">
        <f>IFERROR(__xludf.DUMMYFUNCTION("""COMPUTED_VALUE"""),41622.08)</f>
        <v>41622.08</v>
      </c>
      <c r="F89" s="15">
        <f>IFERROR(__xludf.DUMMYFUNCTION("""COMPUTED_VALUE"""),2189.17)</f>
        <v>2189.17</v>
      </c>
      <c r="G89" s="3">
        <f>IFERROR(__xludf.DUMMYFUNCTION("""COMPUTED_VALUE"""),562.84)</f>
        <v>562.84</v>
      </c>
      <c r="H89" s="3">
        <f>IFERROR(__xludf.DUMMYFUNCTION("""COMPUTED_VALUE"""),473.24)</f>
        <v>473.24</v>
      </c>
      <c r="I89" s="3">
        <f>IFERROR(__xludf.DUMMYFUNCTION("""COMPUTED_VALUE"""),521.5)</f>
        <v>521.5</v>
      </c>
      <c r="J89" s="3">
        <f>IFERROR(__xludf.DUMMYFUNCTION("""COMPUTED_VALUE"""),184.89)</f>
        <v>184.89</v>
      </c>
      <c r="K89" s="3">
        <f>IFERROR(__xludf.DUMMYFUNCTION("""COMPUTED_VALUE"""),149.09)</f>
        <v>149.09</v>
      </c>
      <c r="L89" s="3">
        <f>IFERROR(__xludf.DUMMYFUNCTION("""COMPUTED_VALUE"""),216.32)</f>
        <v>216.32</v>
      </c>
      <c r="M89" s="3">
        <f>IFERROR(__xludf.DUMMYFUNCTION("""COMPUTED_VALUE"""),187.58)</f>
        <v>187.58</v>
      </c>
      <c r="N89" s="3">
        <f>IFERROR(__xludf.DUMMYFUNCTION("""COMPUTED_VALUE"""),70.53)</f>
        <v>70.53</v>
      </c>
      <c r="O89" s="3">
        <f>IFERROR(__xludf.DUMMYFUNCTION("""COMPUTED_VALUE"""),11.85)</f>
        <v>11.85</v>
      </c>
      <c r="P89" s="3">
        <f>IFERROR(__xludf.DUMMYFUNCTION("""COMPUTED_VALUE"""),451.78)</f>
        <v>451.78</v>
      </c>
      <c r="Q89" s="3">
        <f>IFERROR(__xludf.DUMMYFUNCTION("""COMPUTED_VALUE"""),53.54)</f>
        <v>53.54</v>
      </c>
      <c r="R89" s="3">
        <f>IFERROR(__xludf.DUMMYFUNCTION("""COMPUTED_VALUE"""),199.58)</f>
        <v>199.58</v>
      </c>
      <c r="S89" s="3">
        <f>IFERROR(__xludf.DUMMYFUNCTION("""COMPUTED_VALUE"""),83.51)</f>
        <v>83.51</v>
      </c>
      <c r="T89" s="3">
        <f>IFERROR(__xludf.DUMMYFUNCTION("""COMPUTED_VALUE"""),77.11)</f>
        <v>77.11</v>
      </c>
      <c r="U89" s="3">
        <f>IFERROR(__xludf.DUMMYFUNCTION("""COMPUTED_VALUE"""),347.96)</f>
        <v>347.96</v>
      </c>
      <c r="V89" s="3">
        <f>IFERROR(__xludf.DUMMYFUNCTION("""COMPUTED_VALUE"""),40.59)</f>
        <v>40.59</v>
      </c>
      <c r="W89" s="3">
        <f>IFERROR(__xludf.DUMMYFUNCTION("""COMPUTED_VALUE"""),192.97)</f>
        <v>192.97</v>
      </c>
      <c r="X89" s="3">
        <f>IFERROR(__xludf.DUMMYFUNCTION("""COMPUTED_VALUE"""),142.09)</f>
        <v>142.09</v>
      </c>
      <c r="Y89" s="1">
        <f>IFERROR(__xludf.DUMMYFUNCTION("""COMPUTED_VALUE"""),366.85)</f>
        <v>366.85</v>
      </c>
      <c r="Z89" s="1">
        <f>IFERROR(__xludf.DUMMYFUNCTION("""COMPUTED_VALUE"""),40.6)</f>
        <v>40.6</v>
      </c>
      <c r="AA89" s="1">
        <f>IFERROR(__xludf.DUMMYFUNCTION("""COMPUTED_VALUE"""),72.1)</f>
        <v>72.1</v>
      </c>
      <c r="AB89" s="1">
        <f>IFERROR(__xludf.DUMMYFUNCTION("""COMPUTED_VALUE"""),104.85)</f>
        <v>104.85</v>
      </c>
      <c r="AC89" s="1">
        <f>IFERROR(__xludf.DUMMYFUNCTION("""COMPUTED_VALUE"""),160.87)</f>
        <v>160.87</v>
      </c>
      <c r="AD89" s="3">
        <f>IFERROR(__xludf.DUMMYFUNCTION("""COMPUTED_VALUE"""),71.91)</f>
        <v>71.91</v>
      </c>
      <c r="AE89" s="1">
        <f>IFERROR(__xludf.DUMMYFUNCTION("""COMPUTED_VALUE"""),408.97)</f>
        <v>408.97</v>
      </c>
      <c r="AF89" s="1">
        <f>IFERROR(__xludf.DUMMYFUNCTION("""COMPUTED_VALUE"""),64.36)</f>
        <v>64.36</v>
      </c>
      <c r="AG89" s="1">
        <f>IFERROR(__xludf.DUMMYFUNCTION("""COMPUTED_VALUE"""),112.71)</f>
        <v>112.71</v>
      </c>
      <c r="AH89" s="3">
        <f>IFERROR(__xludf.DUMMYFUNCTION("""COMPUTED_VALUE"""),292.63)</f>
        <v>292.63</v>
      </c>
      <c r="AI89" s="1">
        <f>IFERROR(__xludf.DUMMYFUNCTION("""COMPUTED_VALUE"""),463.66)</f>
        <v>463.66</v>
      </c>
      <c r="AJ89" s="1">
        <f>IFERROR(__xludf.DUMMYFUNCTION("""COMPUTED_VALUE"""),307.55)</f>
        <v>307.55</v>
      </c>
      <c r="AK89" s="3">
        <f>IFERROR(__xludf.DUMMYFUNCTION("""COMPUTED_VALUE"""),46.87)</f>
        <v>46.87</v>
      </c>
      <c r="AL89" s="1">
        <f>IFERROR(__xludf.DUMMYFUNCTION("""COMPUTED_VALUE"""),83.16)</f>
        <v>83.16</v>
      </c>
      <c r="AM89" s="1">
        <f>IFERROR(__xludf.DUMMYFUNCTION("""COMPUTED_VALUE"""),485.16)</f>
        <v>485.16</v>
      </c>
      <c r="AN89" s="1">
        <f>IFERROR(__xludf.DUMMYFUNCTION("""COMPUTED_VALUE"""),382.01)</f>
        <v>382.01</v>
      </c>
      <c r="AO89" s="1">
        <f>IFERROR(__xludf.DUMMYFUNCTION("""COMPUTED_VALUE"""),107.15)</f>
        <v>107.15</v>
      </c>
      <c r="AP89" s="1">
        <f>IFERROR(__xludf.DUMMYFUNCTION("""COMPUTED_VALUE"""),161.91)</f>
        <v>161.91</v>
      </c>
      <c r="AQ89" s="1">
        <f>IFERROR(__xludf.DUMMYFUNCTION("""COMPUTED_VALUE"""),491.39)</f>
        <v>491.39</v>
      </c>
      <c r="AR89" s="3">
        <f>IFERROR(__xludf.DUMMYFUNCTION("""COMPUTED_VALUE"""),207.86)</f>
        <v>207.86</v>
      </c>
      <c r="AS89" s="3">
        <f>IFERROR(__xludf.DUMMYFUNCTION("""COMPUTED_VALUE"""),572.92)</f>
        <v>572.92</v>
      </c>
      <c r="AT89" s="3">
        <f>IFERROR(__xludf.DUMMYFUNCTION("""COMPUTED_VALUE"""),265.3)</f>
        <v>265.3</v>
      </c>
      <c r="AU89" s="1">
        <f>IFERROR(__xludf.DUMMYFUNCTION("""COMPUTED_VALUE"""),28.3)</f>
        <v>28.3</v>
      </c>
      <c r="AV89" s="1">
        <f>IFERROR(__xludf.DUMMYFUNCTION("""COMPUTED_VALUE"""),90.11)</f>
        <v>90.11</v>
      </c>
      <c r="AW89" s="1">
        <f>IFERROR(__xludf.DUMMYFUNCTION("""COMPUTED_VALUE"""),77.38)</f>
        <v>77.38</v>
      </c>
      <c r="AX89" s="1">
        <f>IFERROR(__xludf.DUMMYFUNCTION("""COMPUTED_VALUE"""),14.01)</f>
        <v>14.01</v>
      </c>
      <c r="AY89" s="1">
        <f>IFERROR(__xludf.DUMMYFUNCTION("""COMPUTED_VALUE"""),431.34)</f>
        <v>431.34</v>
      </c>
      <c r="AZ89" s="3">
        <f>IFERROR(__xludf.DUMMYFUNCTION("""COMPUTED_VALUE"""),84.64)</f>
        <v>84.64</v>
      </c>
      <c r="BA89" s="3">
        <f>IFERROR(__xludf.DUMMYFUNCTION("""COMPUTED_VALUE"""),80.78)</f>
        <v>80.78</v>
      </c>
      <c r="BB89" s="3">
        <f>IFERROR(__xludf.DUMMYFUNCTION("""COMPUTED_VALUE"""),116.78)</f>
        <v>116.78</v>
      </c>
      <c r="BC89" s="1">
        <f>IFERROR(__xludf.DUMMYFUNCTION("""COMPUTED_VALUE"""),94.81)</f>
        <v>94.81</v>
      </c>
      <c r="BD89" s="1">
        <f>IFERROR(__xludf.DUMMYFUNCTION("""COMPUTED_VALUE"""),49.88)</f>
        <v>49.88</v>
      </c>
      <c r="BE89" s="1">
        <f>IFERROR(__xludf.DUMMYFUNCTION("""COMPUTED_VALUE"""),36.31)</f>
        <v>36.31</v>
      </c>
      <c r="BF89" s="1">
        <f>IFERROR(__xludf.DUMMYFUNCTION("""COMPUTED_VALUE"""),71.07)</f>
        <v>71.07</v>
      </c>
      <c r="BG89" s="1">
        <f>IFERROR(__xludf.DUMMYFUNCTION("""COMPUTED_VALUE"""),30.07)</f>
        <v>30.07</v>
      </c>
      <c r="BH89" s="1">
        <f>IFERROR(__xludf.DUMMYFUNCTION("""COMPUTED_VALUE"""),119.2)</f>
        <v>119.2</v>
      </c>
      <c r="BI89" s="1">
        <f>IFERROR(__xludf.DUMMYFUNCTION("""COMPUTED_VALUE"""),44.54)</f>
        <v>44.54</v>
      </c>
      <c r="BJ89" s="1">
        <f>IFERROR(__xludf.DUMMYFUNCTION("""COMPUTED_VALUE"""),205.85)</f>
        <v>205.85</v>
      </c>
      <c r="BK89" s="1">
        <f>IFERROR(__xludf.DUMMYFUNCTION("""COMPUTED_VALUE"""),614.15)</f>
        <v>614.15</v>
      </c>
      <c r="BL89" s="1">
        <f>IFERROR(__xludf.DUMMYFUNCTION("""COMPUTED_VALUE"""),176.23)</f>
        <v>176.23</v>
      </c>
      <c r="BM89" s="1">
        <f>IFERROR(__xludf.DUMMYFUNCTION("""COMPUTED_VALUE"""),151.21)</f>
        <v>151.21</v>
      </c>
      <c r="BN89" s="3">
        <f>IFERROR(__xludf.DUMMYFUNCTION("""COMPUTED_VALUE"""),7.92)</f>
        <v>7.92</v>
      </c>
      <c r="BO89" s="1">
        <f>IFERROR(__xludf.DUMMYFUNCTION("""COMPUTED_VALUE"""),252.43)</f>
        <v>252.43</v>
      </c>
      <c r="BP89" s="1">
        <f>IFERROR(__xludf.DUMMYFUNCTION("""COMPUTED_VALUE"""),589.14)</f>
        <v>589.14</v>
      </c>
      <c r="BQ89" s="36">
        <f>IFERROR(__xludf.DUMMYFUNCTION("""COMPUTED_VALUE"""),49.23)</f>
        <v>49.23</v>
      </c>
      <c r="BR89" s="1">
        <f>IFERROR(__xludf.DUMMYFUNCTION("""COMPUTED_VALUE"""),11.81)</f>
        <v>11.81</v>
      </c>
      <c r="BS89" s="1">
        <f>IFERROR(__xludf.DUMMYFUNCTION("""COMPUTED_VALUE"""),208.32)</f>
        <v>208.32</v>
      </c>
      <c r="BT89" s="1">
        <f>IFERROR(__xludf.DUMMYFUNCTION("""COMPUTED_VALUE"""),91.85)</f>
        <v>91.85</v>
      </c>
      <c r="BU89" s="3">
        <v>1.0</v>
      </c>
    </row>
    <row r="90">
      <c r="A90" s="25">
        <f>IFERROR(__xludf.DUMMYFUNCTION("""COMPUTED_VALUE"""),45552.66666666667)</f>
        <v>45552.66667</v>
      </c>
      <c r="B90" s="29">
        <f>'Master Scratch Work'!B89</f>
        <v>1299652.04</v>
      </c>
      <c r="C90" s="15">
        <f>IFERROR(__xludf.DUMMYFUNCTION("""COMPUTED_VALUE"""),5634.58)</f>
        <v>5634.58</v>
      </c>
      <c r="D90" s="15">
        <f>IFERROR(__xludf.DUMMYFUNCTION("""COMPUTED_VALUE"""),17628.06)</f>
        <v>17628.06</v>
      </c>
      <c r="E90" s="15">
        <f>IFERROR(__xludf.DUMMYFUNCTION("""COMPUTED_VALUE"""),41606.18)</f>
        <v>41606.18</v>
      </c>
      <c r="F90" s="15">
        <f>IFERROR(__xludf.DUMMYFUNCTION("""COMPUTED_VALUE"""),2205.48)</f>
        <v>2205.48</v>
      </c>
      <c r="G90" s="3">
        <f>IFERROR(__xludf.DUMMYFUNCTION("""COMPUTED_VALUE"""),563.07)</f>
        <v>563.07</v>
      </c>
      <c r="H90" s="3">
        <f>IFERROR(__xludf.DUMMYFUNCTION("""COMPUTED_VALUE"""),473.49)</f>
        <v>473.49</v>
      </c>
      <c r="I90" s="3">
        <f>IFERROR(__xludf.DUMMYFUNCTION("""COMPUTED_VALUE"""),515.03)</f>
        <v>515.03</v>
      </c>
      <c r="J90" s="3">
        <f>IFERROR(__xludf.DUMMYFUNCTION("""COMPUTED_VALUE"""),186.88)</f>
        <v>186.88</v>
      </c>
      <c r="K90" s="3">
        <f>IFERROR(__xludf.DUMMYFUNCTION("""COMPUTED_VALUE"""),149.9)</f>
        <v>149.9</v>
      </c>
      <c r="L90" s="3">
        <f>IFERROR(__xludf.DUMMYFUNCTION("""COMPUTED_VALUE"""),216.79)</f>
        <v>216.79</v>
      </c>
      <c r="M90" s="3">
        <f>IFERROR(__xludf.DUMMYFUNCTION("""COMPUTED_VALUE"""),188.59)</f>
        <v>188.59</v>
      </c>
      <c r="N90" s="3">
        <f>IFERROR(__xludf.DUMMYFUNCTION("""COMPUTED_VALUE"""),70.81)</f>
        <v>70.81</v>
      </c>
      <c r="O90" s="3">
        <f>IFERROR(__xludf.DUMMYFUNCTION("""COMPUTED_VALUE"""),11.91)</f>
        <v>11.91</v>
      </c>
      <c r="P90" s="3">
        <f>IFERROR(__xludf.DUMMYFUNCTION("""COMPUTED_VALUE"""),456.68)</f>
        <v>456.68</v>
      </c>
      <c r="Q90" s="3">
        <f>IFERROR(__xludf.DUMMYFUNCTION("""COMPUTED_VALUE"""),53.45)</f>
        <v>53.45</v>
      </c>
      <c r="R90" s="3">
        <f>IFERROR(__xludf.DUMMYFUNCTION("""COMPUTED_VALUE"""),198.21)</f>
        <v>198.21</v>
      </c>
      <c r="S90" s="3">
        <f>IFERROR(__xludf.DUMMYFUNCTION("""COMPUTED_VALUE"""),82.52)</f>
        <v>82.52</v>
      </c>
      <c r="T90" s="3">
        <f>IFERROR(__xludf.DUMMYFUNCTION("""COMPUTED_VALUE"""),77.96)</f>
        <v>77.96</v>
      </c>
      <c r="U90" s="3">
        <f>IFERROR(__xludf.DUMMYFUNCTION("""COMPUTED_VALUE"""),353.69)</f>
        <v>353.69</v>
      </c>
      <c r="V90" s="3">
        <f>IFERROR(__xludf.DUMMYFUNCTION("""COMPUTED_VALUE"""),40.3)</f>
        <v>40.3</v>
      </c>
      <c r="W90" s="3">
        <f>IFERROR(__xludf.DUMMYFUNCTION("""COMPUTED_VALUE"""),191.7)</f>
        <v>191.7</v>
      </c>
      <c r="X90" s="3">
        <f>IFERROR(__xludf.DUMMYFUNCTION("""COMPUTED_VALUE"""),143.41)</f>
        <v>143.41</v>
      </c>
      <c r="Y90" s="1">
        <f>IFERROR(__xludf.DUMMYFUNCTION("""COMPUTED_VALUE"""),356.23)</f>
        <v>356.23</v>
      </c>
      <c r="Z90" s="1">
        <f>IFERROR(__xludf.DUMMYFUNCTION("""COMPUTED_VALUE"""),40.54)</f>
        <v>40.54</v>
      </c>
      <c r="AA90" s="1">
        <f>IFERROR(__xludf.DUMMYFUNCTION("""COMPUTED_VALUE"""),71.8)</f>
        <v>71.8</v>
      </c>
      <c r="AB90" s="1">
        <f>IFERROR(__xludf.DUMMYFUNCTION("""COMPUTED_VALUE"""),104.54)</f>
        <v>104.54</v>
      </c>
      <c r="AC90" s="1">
        <f>IFERROR(__xludf.DUMMYFUNCTION("""COMPUTED_VALUE"""),157.58)</f>
        <v>157.58</v>
      </c>
      <c r="AD90" s="3">
        <f>IFERROR(__xludf.DUMMYFUNCTION("""COMPUTED_VALUE"""),73.5)</f>
        <v>73.5</v>
      </c>
      <c r="AE90" s="1">
        <f>IFERROR(__xludf.DUMMYFUNCTION("""COMPUTED_VALUE"""),412.44)</f>
        <v>412.44</v>
      </c>
      <c r="AF90" s="1">
        <f>IFERROR(__xludf.DUMMYFUNCTION("""COMPUTED_VALUE"""),64.88)</f>
        <v>64.88</v>
      </c>
      <c r="AG90" s="1">
        <f>IFERROR(__xludf.DUMMYFUNCTION("""COMPUTED_VALUE"""),114.18)</f>
        <v>114.18</v>
      </c>
      <c r="AH90" s="3">
        <f>IFERROR(__xludf.DUMMYFUNCTION("""COMPUTED_VALUE"""),297.34)</f>
        <v>297.34</v>
      </c>
      <c r="AI90" s="1">
        <f>IFERROR(__xludf.DUMMYFUNCTION("""COMPUTED_VALUE"""),462.82)</f>
        <v>462.82</v>
      </c>
      <c r="AJ90" s="1">
        <f>IFERROR(__xludf.DUMMYFUNCTION("""COMPUTED_VALUE"""),303.85)</f>
        <v>303.85</v>
      </c>
      <c r="AK90" s="3">
        <f>IFERROR(__xludf.DUMMYFUNCTION("""COMPUTED_VALUE"""),47.52)</f>
        <v>47.52</v>
      </c>
      <c r="AL90" s="1">
        <f>IFERROR(__xludf.DUMMYFUNCTION("""COMPUTED_VALUE"""),83.05)</f>
        <v>83.05</v>
      </c>
      <c r="AM90" s="1">
        <f>IFERROR(__xludf.DUMMYFUNCTION("""COMPUTED_VALUE"""),485.39)</f>
        <v>485.39</v>
      </c>
      <c r="AN90" s="1">
        <f>IFERROR(__xludf.DUMMYFUNCTION("""COMPUTED_VALUE"""),383.24)</f>
        <v>383.24</v>
      </c>
      <c r="AO90" s="1">
        <f>IFERROR(__xludf.DUMMYFUNCTION("""COMPUTED_VALUE"""),107.37)</f>
        <v>107.37</v>
      </c>
      <c r="AP90" s="1">
        <f>IFERROR(__xludf.DUMMYFUNCTION("""COMPUTED_VALUE"""),162.81)</f>
        <v>162.81</v>
      </c>
      <c r="AQ90" s="1">
        <f>IFERROR(__xludf.DUMMYFUNCTION("""COMPUTED_VALUE"""),483.32)</f>
        <v>483.32</v>
      </c>
      <c r="AR90" s="3">
        <f>IFERROR(__xludf.DUMMYFUNCTION("""COMPUTED_VALUE"""),209.25)</f>
        <v>209.25</v>
      </c>
      <c r="AS90" s="3">
        <f>IFERROR(__xludf.DUMMYFUNCTION("""COMPUTED_VALUE"""),567.01)</f>
        <v>567.01</v>
      </c>
      <c r="AT90" s="3">
        <f>IFERROR(__xludf.DUMMYFUNCTION("""COMPUTED_VALUE"""),268.41)</f>
        <v>268.41</v>
      </c>
      <c r="AU90" s="1">
        <f>IFERROR(__xludf.DUMMYFUNCTION("""COMPUTED_VALUE"""),28.26)</f>
        <v>28.26</v>
      </c>
      <c r="AV90" s="1">
        <f>IFERROR(__xludf.DUMMYFUNCTION("""COMPUTED_VALUE"""),88.63)</f>
        <v>88.63</v>
      </c>
      <c r="AW90" s="1">
        <f>IFERROR(__xludf.DUMMYFUNCTION("""COMPUTED_VALUE"""),78.28)</f>
        <v>78.28</v>
      </c>
      <c r="AX90" s="1">
        <f>IFERROR(__xludf.DUMMYFUNCTION("""COMPUTED_VALUE"""),14.21)</f>
        <v>14.21</v>
      </c>
      <c r="AY90" s="1">
        <f>IFERROR(__xludf.DUMMYFUNCTION("""COMPUTED_VALUE"""),435.15)</f>
        <v>435.15</v>
      </c>
      <c r="AZ90" s="3">
        <f>IFERROR(__xludf.DUMMYFUNCTION("""COMPUTED_VALUE"""),84.97)</f>
        <v>84.97</v>
      </c>
      <c r="BA90" s="3">
        <f>IFERROR(__xludf.DUMMYFUNCTION("""COMPUTED_VALUE"""),81.32)</f>
        <v>81.32</v>
      </c>
      <c r="BB90" s="3">
        <f>IFERROR(__xludf.DUMMYFUNCTION("""COMPUTED_VALUE"""),115.59)</f>
        <v>115.59</v>
      </c>
      <c r="BC90" s="1">
        <f>IFERROR(__xludf.DUMMYFUNCTION("""COMPUTED_VALUE"""),96.09)</f>
        <v>96.09</v>
      </c>
      <c r="BD90" s="1">
        <f>IFERROR(__xludf.DUMMYFUNCTION("""COMPUTED_VALUE"""),49.25)</f>
        <v>49.25</v>
      </c>
      <c r="BE90" s="1">
        <f>IFERROR(__xludf.DUMMYFUNCTION("""COMPUTED_VALUE"""),36.45)</f>
        <v>36.45</v>
      </c>
      <c r="BF90" s="1">
        <f>IFERROR(__xludf.DUMMYFUNCTION("""COMPUTED_VALUE"""),71.77)</f>
        <v>71.77</v>
      </c>
      <c r="BG90" s="1">
        <f>IFERROR(__xludf.DUMMYFUNCTION("""COMPUTED_VALUE"""),29.83)</f>
        <v>29.83</v>
      </c>
      <c r="BH90" s="1">
        <f>IFERROR(__xludf.DUMMYFUNCTION("""COMPUTED_VALUE"""),118.73)</f>
        <v>118.73</v>
      </c>
      <c r="BI90" s="1">
        <f>IFERROR(__xludf.DUMMYFUNCTION("""COMPUTED_VALUE"""),43.77)</f>
        <v>43.77</v>
      </c>
      <c r="BJ90" s="1">
        <f>IFERROR(__xludf.DUMMYFUNCTION("""COMPUTED_VALUE"""),202.7)</f>
        <v>202.7</v>
      </c>
      <c r="BK90" s="1">
        <f>IFERROR(__xludf.DUMMYFUNCTION("""COMPUTED_VALUE"""),610.49)</f>
        <v>610.49</v>
      </c>
      <c r="BL90" s="1">
        <f>IFERROR(__xludf.DUMMYFUNCTION("""COMPUTED_VALUE"""),173.15)</f>
        <v>173.15</v>
      </c>
      <c r="BM90" s="1">
        <f>IFERROR(__xludf.DUMMYFUNCTION("""COMPUTED_VALUE"""),156.08)</f>
        <v>156.08</v>
      </c>
      <c r="BN90" s="3">
        <f>IFERROR(__xludf.DUMMYFUNCTION("""COMPUTED_VALUE"""),7.79)</f>
        <v>7.79</v>
      </c>
      <c r="BO90" s="1">
        <f>IFERROR(__xludf.DUMMYFUNCTION("""COMPUTED_VALUE"""),253.55)</f>
        <v>253.55</v>
      </c>
      <c r="BP90" s="1">
        <f>IFERROR(__xludf.DUMMYFUNCTION("""COMPUTED_VALUE"""),577.96)</f>
        <v>577.96</v>
      </c>
      <c r="BQ90" s="36">
        <f>IFERROR(__xludf.DUMMYFUNCTION("""COMPUTED_VALUE"""),49.25)</f>
        <v>49.25</v>
      </c>
      <c r="BR90" s="1">
        <f>IFERROR(__xludf.DUMMYFUNCTION("""COMPUTED_VALUE"""),11.82)</f>
        <v>11.82</v>
      </c>
      <c r="BS90" s="1">
        <f>IFERROR(__xludf.DUMMYFUNCTION("""COMPUTED_VALUE"""),203.12)</f>
        <v>203.12</v>
      </c>
      <c r="BT90" s="1">
        <f>IFERROR(__xludf.DUMMYFUNCTION("""COMPUTED_VALUE"""),92.86)</f>
        <v>92.86</v>
      </c>
      <c r="BU90" s="3">
        <v>1.0</v>
      </c>
    </row>
    <row r="91">
      <c r="A91" s="25">
        <f>IFERROR(__xludf.DUMMYFUNCTION("""COMPUTED_VALUE"""),45553.66666666667)</f>
        <v>45553.66667</v>
      </c>
      <c r="B91" s="29">
        <f>'Master Scratch Work'!B90</f>
        <v>1296685.2</v>
      </c>
      <c r="C91" s="15">
        <f>IFERROR(__xludf.DUMMYFUNCTION("""COMPUTED_VALUE"""),5618.26)</f>
        <v>5618.26</v>
      </c>
      <c r="D91" s="15">
        <f>IFERROR(__xludf.DUMMYFUNCTION("""COMPUTED_VALUE"""),17573.3)</f>
        <v>17573.3</v>
      </c>
      <c r="E91" s="15">
        <f>IFERROR(__xludf.DUMMYFUNCTION("""COMPUTED_VALUE"""),41503.1)</f>
        <v>41503.1</v>
      </c>
      <c r="F91" s="15">
        <f>IFERROR(__xludf.DUMMYFUNCTION("""COMPUTED_VALUE"""),2206.34)</f>
        <v>2206.34</v>
      </c>
      <c r="G91" s="3">
        <f>IFERROR(__xludf.DUMMYFUNCTION("""COMPUTED_VALUE"""),561.4)</f>
        <v>561.4</v>
      </c>
      <c r="H91" s="3">
        <f>IFERROR(__xludf.DUMMYFUNCTION("""COMPUTED_VALUE"""),471.44)</f>
        <v>471.44</v>
      </c>
      <c r="I91" s="3">
        <f>IFERROR(__xludf.DUMMYFUNCTION("""COMPUTED_VALUE"""),508.13)</f>
        <v>508.13</v>
      </c>
      <c r="J91" s="3">
        <f>IFERROR(__xludf.DUMMYFUNCTION("""COMPUTED_VALUE"""),186.43)</f>
        <v>186.43</v>
      </c>
      <c r="K91" s="3">
        <f>IFERROR(__xludf.DUMMYFUNCTION("""COMPUTED_VALUE"""),148.94)</f>
        <v>148.94</v>
      </c>
      <c r="L91" s="3">
        <f>IFERROR(__xludf.DUMMYFUNCTION("""COMPUTED_VALUE"""),220.69)</f>
        <v>220.69</v>
      </c>
      <c r="M91" s="3">
        <f>IFERROR(__xludf.DUMMYFUNCTION("""COMPUTED_VALUE"""),186.14)</f>
        <v>186.14</v>
      </c>
      <c r="N91" s="3">
        <f>IFERROR(__xludf.DUMMYFUNCTION("""COMPUTED_VALUE"""),71.04)</f>
        <v>71.04</v>
      </c>
      <c r="O91" s="3">
        <f>IFERROR(__xludf.DUMMYFUNCTION("""COMPUTED_VALUE"""),11.95)</f>
        <v>11.95</v>
      </c>
      <c r="P91" s="3">
        <f>IFERROR(__xludf.DUMMYFUNCTION("""COMPUTED_VALUE"""),456.6)</f>
        <v>456.6</v>
      </c>
      <c r="Q91" s="3">
        <f>IFERROR(__xludf.DUMMYFUNCTION("""COMPUTED_VALUE"""),53.05)</f>
        <v>53.05</v>
      </c>
      <c r="R91" s="3">
        <f>IFERROR(__xludf.DUMMYFUNCTION("""COMPUTED_VALUE"""),197.59)</f>
        <v>197.59</v>
      </c>
      <c r="S91" s="3">
        <f>IFERROR(__xludf.DUMMYFUNCTION("""COMPUTED_VALUE"""),82.57)</f>
        <v>82.57</v>
      </c>
      <c r="T91" s="3">
        <f>IFERROR(__xludf.DUMMYFUNCTION("""COMPUTED_VALUE"""),78.19)</f>
        <v>78.19</v>
      </c>
      <c r="U91" s="3">
        <f>IFERROR(__xludf.DUMMYFUNCTION("""COMPUTED_VALUE"""),355.12)</f>
        <v>355.12</v>
      </c>
      <c r="V91" s="3">
        <f>IFERROR(__xludf.DUMMYFUNCTION("""COMPUTED_VALUE"""),40.11)</f>
        <v>40.11</v>
      </c>
      <c r="W91" s="3">
        <f>IFERROR(__xludf.DUMMYFUNCTION("""COMPUTED_VALUE"""),188.99)</f>
        <v>188.99</v>
      </c>
      <c r="X91" s="3">
        <f>IFERROR(__xludf.DUMMYFUNCTION("""COMPUTED_VALUE"""),143.96)</f>
        <v>143.96</v>
      </c>
      <c r="Y91" s="1">
        <f>IFERROR(__xludf.DUMMYFUNCTION("""COMPUTED_VALUE"""),355.39)</f>
        <v>355.39</v>
      </c>
      <c r="Z91" s="1">
        <f>IFERROR(__xludf.DUMMYFUNCTION("""COMPUTED_VALUE"""),40.72)</f>
        <v>40.72</v>
      </c>
      <c r="AA91" s="1">
        <f>IFERROR(__xludf.DUMMYFUNCTION("""COMPUTED_VALUE"""),71.75)</f>
        <v>71.75</v>
      </c>
      <c r="AB91" s="1">
        <f>IFERROR(__xludf.DUMMYFUNCTION("""COMPUTED_VALUE"""),103.41)</f>
        <v>103.41</v>
      </c>
      <c r="AC91" s="1">
        <f>IFERROR(__xludf.DUMMYFUNCTION("""COMPUTED_VALUE"""),158.25)</f>
        <v>158.25</v>
      </c>
      <c r="AD91" s="3">
        <f>IFERROR(__xludf.DUMMYFUNCTION("""COMPUTED_VALUE"""),75.67)</f>
        <v>75.67</v>
      </c>
      <c r="AE91" s="1">
        <f>IFERROR(__xludf.DUMMYFUNCTION("""COMPUTED_VALUE"""),409.02)</f>
        <v>409.02</v>
      </c>
      <c r="AF91" s="1">
        <f>IFERROR(__xludf.DUMMYFUNCTION("""COMPUTED_VALUE"""),63.17)</f>
        <v>63.17</v>
      </c>
      <c r="AG91" s="1">
        <f>IFERROR(__xludf.DUMMYFUNCTION("""COMPUTED_VALUE"""),114.58)</f>
        <v>114.58</v>
      </c>
      <c r="AH91" s="3">
        <f>IFERROR(__xludf.DUMMYFUNCTION("""COMPUTED_VALUE"""),298.17)</f>
        <v>298.17</v>
      </c>
      <c r="AI91" s="1">
        <f>IFERROR(__xludf.DUMMYFUNCTION("""COMPUTED_VALUE"""),457.53)</f>
        <v>457.53</v>
      </c>
      <c r="AJ91" s="1">
        <f>IFERROR(__xludf.DUMMYFUNCTION("""COMPUTED_VALUE"""),302.38)</f>
        <v>302.38</v>
      </c>
      <c r="AK91" s="3">
        <f>IFERROR(__xludf.DUMMYFUNCTION("""COMPUTED_VALUE"""),48.66)</f>
        <v>48.66</v>
      </c>
      <c r="AL91" s="1">
        <f>IFERROR(__xludf.DUMMYFUNCTION("""COMPUTED_VALUE"""),83.89)</f>
        <v>83.89</v>
      </c>
      <c r="AM91" s="1">
        <f>IFERROR(__xludf.DUMMYFUNCTION("""COMPUTED_VALUE"""),484.58)</f>
        <v>484.58</v>
      </c>
      <c r="AN91" s="1">
        <f>IFERROR(__xludf.DUMMYFUNCTION("""COMPUTED_VALUE"""),384.01)</f>
        <v>384.01</v>
      </c>
      <c r="AO91" s="1">
        <f>IFERROR(__xludf.DUMMYFUNCTION("""COMPUTED_VALUE"""),106.9)</f>
        <v>106.9</v>
      </c>
      <c r="AP91" s="1">
        <f>IFERROR(__xludf.DUMMYFUNCTION("""COMPUTED_VALUE"""),161.22)</f>
        <v>161.22</v>
      </c>
      <c r="AQ91" s="1">
        <f>IFERROR(__xludf.DUMMYFUNCTION("""COMPUTED_VALUE"""),482.09)</f>
        <v>482.09</v>
      </c>
      <c r="AR91" s="3">
        <f>IFERROR(__xludf.DUMMYFUNCTION("""COMPUTED_VALUE"""),207.53)</f>
        <v>207.53</v>
      </c>
      <c r="AS91" s="3">
        <f>IFERROR(__xludf.DUMMYFUNCTION("""COMPUTED_VALUE"""),565.49)</f>
        <v>565.49</v>
      </c>
      <c r="AT91" s="3">
        <f>IFERROR(__xludf.DUMMYFUNCTION("""COMPUTED_VALUE"""),270.2)</f>
        <v>270.2</v>
      </c>
      <c r="AU91" s="1">
        <f>IFERROR(__xludf.DUMMYFUNCTION("""COMPUTED_VALUE"""),28.24)</f>
        <v>28.24</v>
      </c>
      <c r="AV91" s="1">
        <f>IFERROR(__xludf.DUMMYFUNCTION("""COMPUTED_VALUE"""),88.13)</f>
        <v>88.13</v>
      </c>
      <c r="AW91" s="1">
        <f>IFERROR(__xludf.DUMMYFUNCTION("""COMPUTED_VALUE"""),79.25)</f>
        <v>79.25</v>
      </c>
      <c r="AX91" s="1">
        <f>IFERROR(__xludf.DUMMYFUNCTION("""COMPUTED_VALUE"""),14.12)</f>
        <v>14.12</v>
      </c>
      <c r="AY91" s="1">
        <f>IFERROR(__xludf.DUMMYFUNCTION("""COMPUTED_VALUE"""),430.81)</f>
        <v>430.81</v>
      </c>
      <c r="AZ91" s="3">
        <f>IFERROR(__xludf.DUMMYFUNCTION("""COMPUTED_VALUE"""),84.28)</f>
        <v>84.28</v>
      </c>
      <c r="BA91" s="3">
        <f>IFERROR(__xludf.DUMMYFUNCTION("""COMPUTED_VALUE"""),81.95)</f>
        <v>81.95</v>
      </c>
      <c r="BB91" s="3">
        <f>IFERROR(__xludf.DUMMYFUNCTION("""COMPUTED_VALUE"""),113.37)</f>
        <v>113.37</v>
      </c>
      <c r="BC91" s="1">
        <f>IFERROR(__xludf.DUMMYFUNCTION("""COMPUTED_VALUE"""),93.99)</f>
        <v>93.99</v>
      </c>
      <c r="BD91" s="1">
        <f>IFERROR(__xludf.DUMMYFUNCTION("""COMPUTED_VALUE"""),50.94)</f>
        <v>50.94</v>
      </c>
      <c r="BE91" s="1">
        <f>IFERROR(__xludf.DUMMYFUNCTION("""COMPUTED_VALUE"""),36.38)</f>
        <v>36.38</v>
      </c>
      <c r="BF91" s="1">
        <f>IFERROR(__xludf.DUMMYFUNCTION("""COMPUTED_VALUE"""),73.12)</f>
        <v>73.12</v>
      </c>
      <c r="BG91" s="1">
        <f>IFERROR(__xludf.DUMMYFUNCTION("""COMPUTED_VALUE"""),29.75)</f>
        <v>29.75</v>
      </c>
      <c r="BH91" s="1">
        <f>IFERROR(__xludf.DUMMYFUNCTION("""COMPUTED_VALUE"""),118.04)</f>
        <v>118.04</v>
      </c>
      <c r="BI91" s="1">
        <f>IFERROR(__xludf.DUMMYFUNCTION("""COMPUTED_VALUE"""),44.06)</f>
        <v>44.06</v>
      </c>
      <c r="BJ91" s="1">
        <f>IFERROR(__xludf.DUMMYFUNCTION("""COMPUTED_VALUE"""),196.68)</f>
        <v>196.68</v>
      </c>
      <c r="BK91" s="1">
        <f>IFERROR(__xludf.DUMMYFUNCTION("""COMPUTED_VALUE"""),610.12)</f>
        <v>610.12</v>
      </c>
      <c r="BL91" s="1">
        <f>IFERROR(__xludf.DUMMYFUNCTION("""COMPUTED_VALUE"""),176.71)</f>
        <v>176.71</v>
      </c>
      <c r="BM91" s="1">
        <f>IFERROR(__xludf.DUMMYFUNCTION("""COMPUTED_VALUE"""),155.96)</f>
        <v>155.96</v>
      </c>
      <c r="BN91" s="3">
        <f>IFERROR(__xludf.DUMMYFUNCTION("""COMPUTED_VALUE"""),7.69)</f>
        <v>7.69</v>
      </c>
      <c r="BO91" s="1">
        <f>IFERROR(__xludf.DUMMYFUNCTION("""COMPUTED_VALUE"""),251.2)</f>
        <v>251.2</v>
      </c>
      <c r="BP91" s="1">
        <f>IFERROR(__xludf.DUMMYFUNCTION("""COMPUTED_VALUE"""),580.65)</f>
        <v>580.65</v>
      </c>
      <c r="BQ91" s="36">
        <f>IFERROR(__xludf.DUMMYFUNCTION("""COMPUTED_VALUE"""),49.21)</f>
        <v>49.21</v>
      </c>
      <c r="BR91" s="1">
        <f>IFERROR(__xludf.DUMMYFUNCTION("""COMPUTED_VALUE"""),11.9)</f>
        <v>11.9</v>
      </c>
      <c r="BS91" s="1">
        <f>IFERROR(__xludf.DUMMYFUNCTION("""COMPUTED_VALUE"""),201.88)</f>
        <v>201.88</v>
      </c>
      <c r="BT91" s="1">
        <f>IFERROR(__xludf.DUMMYFUNCTION("""COMPUTED_VALUE"""),93.58)</f>
        <v>93.58</v>
      </c>
      <c r="BU91" s="3">
        <v>1.0</v>
      </c>
    </row>
    <row r="92">
      <c r="A92" s="25">
        <f>IFERROR(__xludf.DUMMYFUNCTION("""COMPUTED_VALUE"""),45554.66666666667)</f>
        <v>45554.66667</v>
      </c>
      <c r="B92" s="29">
        <f>'Master Scratch Work'!B91</f>
        <v>1317305.94</v>
      </c>
      <c r="C92" s="15">
        <f>IFERROR(__xludf.DUMMYFUNCTION("""COMPUTED_VALUE"""),5713.64)</f>
        <v>5713.64</v>
      </c>
      <c r="D92" s="15">
        <f>IFERROR(__xludf.DUMMYFUNCTION("""COMPUTED_VALUE"""),18013.98)</f>
        <v>18013.98</v>
      </c>
      <c r="E92" s="15">
        <f>IFERROR(__xludf.DUMMYFUNCTION("""COMPUTED_VALUE"""),42025.19)</f>
        <v>42025.19</v>
      </c>
      <c r="F92" s="15">
        <f>IFERROR(__xludf.DUMMYFUNCTION("""COMPUTED_VALUE"""),2252.71)</f>
        <v>2252.71</v>
      </c>
      <c r="G92" s="3">
        <f>IFERROR(__xludf.DUMMYFUNCTION("""COMPUTED_VALUE"""),570.98)</f>
        <v>570.98</v>
      </c>
      <c r="H92" s="3">
        <f>IFERROR(__xludf.DUMMYFUNCTION("""COMPUTED_VALUE"""),483.36)</f>
        <v>483.36</v>
      </c>
      <c r="I92" s="3">
        <f>IFERROR(__xludf.DUMMYFUNCTION("""COMPUTED_VALUE"""),526.44)</f>
        <v>526.44</v>
      </c>
      <c r="J92" s="3">
        <f>IFERROR(__xludf.DUMMYFUNCTION("""COMPUTED_VALUE"""),189.87)</f>
        <v>189.87</v>
      </c>
      <c r="K92" s="3">
        <f>IFERROR(__xludf.DUMMYFUNCTION("""COMPUTED_VALUE"""),149.08)</f>
        <v>149.08</v>
      </c>
      <c r="L92" s="3">
        <f>IFERROR(__xludf.DUMMYFUNCTION("""COMPUTED_VALUE"""),228.87)</f>
        <v>228.87</v>
      </c>
      <c r="M92" s="3">
        <f>IFERROR(__xludf.DUMMYFUNCTION("""COMPUTED_VALUE"""),196.71)</f>
        <v>196.71</v>
      </c>
      <c r="N92" s="3">
        <f>IFERROR(__xludf.DUMMYFUNCTION("""COMPUTED_VALUE"""),71.72)</f>
        <v>71.72</v>
      </c>
      <c r="O92" s="3">
        <f>IFERROR(__xludf.DUMMYFUNCTION("""COMPUTED_VALUE"""),12.25)</f>
        <v>12.25</v>
      </c>
      <c r="P92" s="3">
        <f>IFERROR(__xludf.DUMMYFUNCTION("""COMPUTED_VALUE"""),459.71)</f>
        <v>459.71</v>
      </c>
      <c r="Q92" s="3">
        <f>IFERROR(__xludf.DUMMYFUNCTION("""COMPUTED_VALUE"""),55.19)</f>
        <v>55.19</v>
      </c>
      <c r="R92" s="3">
        <f>IFERROR(__xludf.DUMMYFUNCTION("""COMPUTED_VALUE"""),201.44)</f>
        <v>201.44</v>
      </c>
      <c r="S92" s="3">
        <f>IFERROR(__xludf.DUMMYFUNCTION("""COMPUTED_VALUE"""),83.71)</f>
        <v>83.71</v>
      </c>
      <c r="T92" s="3">
        <f>IFERROR(__xludf.DUMMYFUNCTION("""COMPUTED_VALUE"""),80.57)</f>
        <v>80.57</v>
      </c>
      <c r="U92" s="3">
        <f>IFERROR(__xludf.DUMMYFUNCTION("""COMPUTED_VALUE"""),373.31)</f>
        <v>373.31</v>
      </c>
      <c r="V92" s="3">
        <f>IFERROR(__xludf.DUMMYFUNCTION("""COMPUTED_VALUE"""),41.08)</f>
        <v>41.08</v>
      </c>
      <c r="W92" s="3">
        <f>IFERROR(__xludf.DUMMYFUNCTION("""COMPUTED_VALUE"""),191.09)</f>
        <v>191.09</v>
      </c>
      <c r="X92" s="3">
        <f>IFERROR(__xludf.DUMMYFUNCTION("""COMPUTED_VALUE"""),144.99)</f>
        <v>144.99</v>
      </c>
      <c r="Y92" s="1">
        <f>IFERROR(__xludf.DUMMYFUNCTION("""COMPUTED_VALUE"""),357.26)</f>
        <v>357.26</v>
      </c>
      <c r="Z92" s="1">
        <f>IFERROR(__xludf.DUMMYFUNCTION("""COMPUTED_VALUE"""),42.21)</f>
        <v>42.21</v>
      </c>
      <c r="AA92" s="1">
        <f>IFERROR(__xludf.DUMMYFUNCTION("""COMPUTED_VALUE"""),70.62)</f>
        <v>70.62</v>
      </c>
      <c r="AB92" s="1">
        <f>IFERROR(__xludf.DUMMYFUNCTION("""COMPUTED_VALUE"""),102.12)</f>
        <v>102.12</v>
      </c>
      <c r="AC92" s="1">
        <f>IFERROR(__xludf.DUMMYFUNCTION("""COMPUTED_VALUE"""),158.9)</f>
        <v>158.9</v>
      </c>
      <c r="AD92" s="3">
        <f>IFERROR(__xludf.DUMMYFUNCTION("""COMPUTED_VALUE"""),73.88)</f>
        <v>73.88</v>
      </c>
      <c r="AE92" s="1">
        <f>IFERROR(__xludf.DUMMYFUNCTION("""COMPUTED_VALUE"""),411.71)</f>
        <v>411.71</v>
      </c>
      <c r="AF92" s="1">
        <f>IFERROR(__xludf.DUMMYFUNCTION("""COMPUTED_VALUE"""),63.22)</f>
        <v>63.22</v>
      </c>
      <c r="AG92" s="1">
        <f>IFERROR(__xludf.DUMMYFUNCTION("""COMPUTED_VALUE"""),116.0)</f>
        <v>116</v>
      </c>
      <c r="AH92" s="3">
        <f>IFERROR(__xludf.DUMMYFUNCTION("""COMPUTED_VALUE"""),300.39)</f>
        <v>300.39</v>
      </c>
      <c r="AI92" s="1">
        <f>IFERROR(__xludf.DUMMYFUNCTION("""COMPUTED_VALUE"""),474.06)</f>
        <v>474.06</v>
      </c>
      <c r="AJ92" s="1">
        <f>IFERROR(__xludf.DUMMYFUNCTION("""COMPUTED_VALUE"""),304.73)</f>
        <v>304.73</v>
      </c>
      <c r="AK92" s="3">
        <f>IFERROR(__xludf.DUMMYFUNCTION("""COMPUTED_VALUE"""),48.62)</f>
        <v>48.62</v>
      </c>
      <c r="AL92" s="1">
        <f>IFERROR(__xludf.DUMMYFUNCTION("""COMPUTED_VALUE"""),83.9)</f>
        <v>83.9</v>
      </c>
      <c r="AM92" s="1">
        <f>IFERROR(__xludf.DUMMYFUNCTION("""COMPUTED_VALUE"""),503.83)</f>
        <v>503.83</v>
      </c>
      <c r="AN92" s="1">
        <f>IFERROR(__xludf.DUMMYFUNCTION("""COMPUTED_VALUE"""),390.34)</f>
        <v>390.34</v>
      </c>
      <c r="AO92" s="1">
        <f>IFERROR(__xludf.DUMMYFUNCTION("""COMPUTED_VALUE"""),109.83)</f>
        <v>109.83</v>
      </c>
      <c r="AP92" s="1">
        <f>IFERROR(__xludf.DUMMYFUNCTION("""COMPUTED_VALUE"""),158.87)</f>
        <v>158.87</v>
      </c>
      <c r="AQ92" s="1">
        <f>IFERROR(__xludf.DUMMYFUNCTION("""COMPUTED_VALUE"""),490.01)</f>
        <v>490.01</v>
      </c>
      <c r="AR92" s="3">
        <f>IFERROR(__xludf.DUMMYFUNCTION("""COMPUTED_VALUE"""),210.48)</f>
        <v>210.48</v>
      </c>
      <c r="AS92" s="3">
        <f>IFERROR(__xludf.DUMMYFUNCTION("""COMPUTED_VALUE"""),565.18)</f>
        <v>565.18</v>
      </c>
      <c r="AT92" s="3">
        <f>IFERROR(__xludf.DUMMYFUNCTION("""COMPUTED_VALUE"""),270.76)</f>
        <v>270.76</v>
      </c>
      <c r="AU92" s="1">
        <f>IFERROR(__xludf.DUMMYFUNCTION("""COMPUTED_VALUE"""),28.87)</f>
        <v>28.87</v>
      </c>
      <c r="AV92" s="1">
        <f>IFERROR(__xludf.DUMMYFUNCTION("""COMPUTED_VALUE"""),89.47)</f>
        <v>89.47</v>
      </c>
      <c r="AW92" s="1">
        <f>IFERROR(__xludf.DUMMYFUNCTION("""COMPUTED_VALUE"""),81.09)</f>
        <v>81.09</v>
      </c>
      <c r="AX92" s="1">
        <f>IFERROR(__xludf.DUMMYFUNCTION("""COMPUTED_VALUE"""),14.2)</f>
        <v>14.2</v>
      </c>
      <c r="AY92" s="1">
        <f>IFERROR(__xludf.DUMMYFUNCTION("""COMPUTED_VALUE"""),438.69)</f>
        <v>438.69</v>
      </c>
      <c r="AZ92" s="3">
        <f>IFERROR(__xludf.DUMMYFUNCTION("""COMPUTED_VALUE"""),82.29)</f>
        <v>82.29</v>
      </c>
      <c r="BA92" s="3">
        <f>IFERROR(__xludf.DUMMYFUNCTION("""COMPUTED_VALUE"""),81.83)</f>
        <v>81.83</v>
      </c>
      <c r="BB92" s="3">
        <f>IFERROR(__xludf.DUMMYFUNCTION("""COMPUTED_VALUE"""),117.87)</f>
        <v>117.87</v>
      </c>
      <c r="BC92" s="1">
        <f>IFERROR(__xludf.DUMMYFUNCTION("""COMPUTED_VALUE"""),96.38)</f>
        <v>96.38</v>
      </c>
      <c r="BD92" s="1">
        <f>IFERROR(__xludf.DUMMYFUNCTION("""COMPUTED_VALUE"""),49.73)</f>
        <v>49.73</v>
      </c>
      <c r="BE92" s="3">
        <f>IFERROR(__xludf.DUMMYFUNCTION("""COMPUTED_VALUE"""),36.83)</f>
        <v>36.83</v>
      </c>
      <c r="BF92" s="1">
        <f>IFERROR(__xludf.DUMMYFUNCTION("""COMPUTED_VALUE"""),77.57)</f>
        <v>77.57</v>
      </c>
      <c r="BG92" s="1">
        <f>IFERROR(__xludf.DUMMYFUNCTION("""COMPUTED_VALUE"""),29.66)</f>
        <v>29.66</v>
      </c>
      <c r="BH92" s="1">
        <f>IFERROR(__xludf.DUMMYFUNCTION("""COMPUTED_VALUE"""),118.82)</f>
        <v>118.82</v>
      </c>
      <c r="BI92" s="1">
        <f>IFERROR(__xludf.DUMMYFUNCTION("""COMPUTED_VALUE"""),46.18)</f>
        <v>46.18</v>
      </c>
      <c r="BJ92" s="1">
        <f>IFERROR(__xludf.DUMMYFUNCTION("""COMPUTED_VALUE"""),199.64)</f>
        <v>199.64</v>
      </c>
      <c r="BK92" s="1">
        <f>IFERROR(__xludf.DUMMYFUNCTION("""COMPUTED_VALUE"""),620.25)</f>
        <v>620.25</v>
      </c>
      <c r="BL92" s="1">
        <f>IFERROR(__xludf.DUMMYFUNCTION("""COMPUTED_VALUE"""),183.47)</f>
        <v>183.47</v>
      </c>
      <c r="BM92" s="1">
        <f>IFERROR(__xludf.DUMMYFUNCTION("""COMPUTED_VALUE"""),165.98)</f>
        <v>165.98</v>
      </c>
      <c r="BN92" s="3">
        <f>IFERROR(__xludf.DUMMYFUNCTION("""COMPUTED_VALUE"""),7.93)</f>
        <v>7.93</v>
      </c>
      <c r="BO92" s="1">
        <f>IFERROR(__xludf.DUMMYFUNCTION("""COMPUTED_VALUE"""),248.44)</f>
        <v>248.44</v>
      </c>
      <c r="BP92" s="1">
        <f>IFERROR(__xludf.DUMMYFUNCTION("""COMPUTED_VALUE"""),577.07)</f>
        <v>577.07</v>
      </c>
      <c r="BQ92" s="36">
        <f>IFERROR(__xludf.DUMMYFUNCTION("""COMPUTED_VALUE"""),49.3)</f>
        <v>49.3</v>
      </c>
      <c r="BR92" s="1">
        <f>IFERROR(__xludf.DUMMYFUNCTION("""COMPUTED_VALUE"""),11.9)</f>
        <v>11.9</v>
      </c>
      <c r="BS92" s="1">
        <f>IFERROR(__xludf.DUMMYFUNCTION("""COMPUTED_VALUE"""),204.64)</f>
        <v>204.64</v>
      </c>
      <c r="BT92" s="1">
        <f>IFERROR(__xludf.DUMMYFUNCTION("""COMPUTED_VALUE"""),93.45)</f>
        <v>93.45</v>
      </c>
      <c r="BU92" s="3">
        <v>1.0</v>
      </c>
    </row>
    <row r="93">
      <c r="A93" s="25">
        <f>IFERROR(__xludf.DUMMYFUNCTION("""COMPUTED_VALUE"""),45555.66666666667)</f>
        <v>45555.66667</v>
      </c>
      <c r="B93" s="29">
        <f>'Master Scratch Work'!B92</f>
        <v>1313732.34</v>
      </c>
      <c r="C93" s="15">
        <f>IFERROR(__xludf.DUMMYFUNCTION("""COMPUTED_VALUE"""),5702.55)</f>
        <v>5702.55</v>
      </c>
      <c r="D93" s="15">
        <f>IFERROR(__xludf.DUMMYFUNCTION("""COMPUTED_VALUE"""),17948.32)</f>
        <v>17948.32</v>
      </c>
      <c r="E93" s="15">
        <f>IFERROR(__xludf.DUMMYFUNCTION("""COMPUTED_VALUE"""),42063.36)</f>
        <v>42063.36</v>
      </c>
      <c r="F93" s="15">
        <f>IFERROR(__xludf.DUMMYFUNCTION("""COMPUTED_VALUE"""),2227.89)</f>
        <v>2227.89</v>
      </c>
      <c r="G93" s="3">
        <f>IFERROR(__xludf.DUMMYFUNCTION("""COMPUTED_VALUE"""),568.25)</f>
        <v>568.25</v>
      </c>
      <c r="H93" s="3">
        <f>IFERROR(__xludf.DUMMYFUNCTION("""COMPUTED_VALUE"""),482.44)</f>
        <v>482.44</v>
      </c>
      <c r="I93" s="3">
        <f>IFERROR(__xludf.DUMMYFUNCTION("""COMPUTED_VALUE"""),522.3)</f>
        <v>522.3</v>
      </c>
      <c r="J93" s="3">
        <f>IFERROR(__xludf.DUMMYFUNCTION("""COMPUTED_VALUE"""),191.6)</f>
        <v>191.6</v>
      </c>
      <c r="K93" s="3">
        <f>IFERROR(__xludf.DUMMYFUNCTION("""COMPUTED_VALUE"""),147.23)</f>
        <v>147.23</v>
      </c>
      <c r="L93" s="3">
        <f>IFERROR(__xludf.DUMMYFUNCTION("""COMPUTED_VALUE"""),228.2)</f>
        <v>228.2</v>
      </c>
      <c r="M93" s="3">
        <f>IFERROR(__xludf.DUMMYFUNCTION("""COMPUTED_VALUE"""),192.16)</f>
        <v>192.16</v>
      </c>
      <c r="N93" s="3">
        <f>IFERROR(__xludf.DUMMYFUNCTION("""COMPUTED_VALUE"""),71.82)</f>
        <v>71.82</v>
      </c>
      <c r="O93" s="3">
        <f>IFERROR(__xludf.DUMMYFUNCTION("""COMPUTED_VALUE"""),12.22)</f>
        <v>12.22</v>
      </c>
      <c r="P93" s="3">
        <f>IFERROR(__xludf.DUMMYFUNCTION("""COMPUTED_VALUE"""),455.31)</f>
        <v>455.31</v>
      </c>
      <c r="Q93" s="3">
        <f>IFERROR(__xludf.DUMMYFUNCTION("""COMPUTED_VALUE"""),53.79)</f>
        <v>53.79</v>
      </c>
      <c r="R93" s="3">
        <f>IFERROR(__xludf.DUMMYFUNCTION("""COMPUTED_VALUE"""),199.36)</f>
        <v>199.36</v>
      </c>
      <c r="S93" s="3">
        <f>IFERROR(__xludf.DUMMYFUNCTION("""COMPUTED_VALUE"""),83.92)</f>
        <v>83.92</v>
      </c>
      <c r="T93" s="3">
        <f>IFERROR(__xludf.DUMMYFUNCTION("""COMPUTED_VALUE"""),79.92)</f>
        <v>79.92</v>
      </c>
      <c r="U93" s="3">
        <f>IFERROR(__xludf.DUMMYFUNCTION("""COMPUTED_VALUE"""),368.82)</f>
        <v>368.82</v>
      </c>
      <c r="V93" s="3">
        <f>IFERROR(__xludf.DUMMYFUNCTION("""COMPUTED_VALUE"""),44.4)</f>
        <v>44.4</v>
      </c>
      <c r="W93" s="3">
        <f>IFERROR(__xludf.DUMMYFUNCTION("""COMPUTED_VALUE"""),194.09)</f>
        <v>194.09</v>
      </c>
      <c r="X93" s="3">
        <f>IFERROR(__xludf.DUMMYFUNCTION("""COMPUTED_VALUE"""),145.68)</f>
        <v>145.68</v>
      </c>
      <c r="Y93" s="1">
        <f>IFERROR(__xludf.DUMMYFUNCTION("""COMPUTED_VALUE"""),356.14)</f>
        <v>356.14</v>
      </c>
      <c r="Z93" s="1">
        <f>IFERROR(__xludf.DUMMYFUNCTION("""COMPUTED_VALUE"""),41.65)</f>
        <v>41.65</v>
      </c>
      <c r="AA93" s="1">
        <f>IFERROR(__xludf.DUMMYFUNCTION("""COMPUTED_VALUE"""),71.64)</f>
        <v>71.64</v>
      </c>
      <c r="AB93" s="1">
        <f>IFERROR(__xludf.DUMMYFUNCTION("""COMPUTED_VALUE"""),103.35)</f>
        <v>103.35</v>
      </c>
      <c r="AC93" s="1">
        <f>IFERROR(__xludf.DUMMYFUNCTION("""COMPUTED_VALUE"""),158.7)</f>
        <v>158.7</v>
      </c>
      <c r="AD93" s="3">
        <f>IFERROR(__xludf.DUMMYFUNCTION("""COMPUTED_VALUE"""),71.73)</f>
        <v>71.73</v>
      </c>
      <c r="AE93" s="1">
        <f>IFERROR(__xludf.DUMMYFUNCTION("""COMPUTED_VALUE"""),414.42)</f>
        <v>414.42</v>
      </c>
      <c r="AF93" s="1">
        <f>IFERROR(__xludf.DUMMYFUNCTION("""COMPUTED_VALUE"""),62.72)</f>
        <v>62.72</v>
      </c>
      <c r="AG93" s="1">
        <f>IFERROR(__xludf.DUMMYFUNCTION("""COMPUTED_VALUE"""),115.27)</f>
        <v>115.27</v>
      </c>
      <c r="AH93" s="3">
        <f>IFERROR(__xludf.DUMMYFUNCTION("""COMPUTED_VALUE"""),254.64)</f>
        <v>254.64</v>
      </c>
      <c r="AI93" s="1">
        <f>IFERROR(__xludf.DUMMYFUNCTION("""COMPUTED_VALUE"""),470.56)</f>
        <v>470.56</v>
      </c>
      <c r="AJ93" s="1">
        <f>IFERROR(__xludf.DUMMYFUNCTION("""COMPUTED_VALUE"""),306.87)</f>
        <v>306.87</v>
      </c>
      <c r="AK93" s="3">
        <f>IFERROR(__xludf.DUMMYFUNCTION("""COMPUTED_VALUE"""),48.88)</f>
        <v>48.88</v>
      </c>
      <c r="AL93" s="1">
        <f>IFERROR(__xludf.DUMMYFUNCTION("""COMPUTED_VALUE"""),83.94)</f>
        <v>83.94</v>
      </c>
      <c r="AM93" s="1">
        <f>IFERROR(__xludf.DUMMYFUNCTION("""COMPUTED_VALUE"""),498.43)</f>
        <v>498.43</v>
      </c>
      <c r="AN93" s="1">
        <f>IFERROR(__xludf.DUMMYFUNCTION("""COMPUTED_VALUE"""),389.86)</f>
        <v>389.86</v>
      </c>
      <c r="AO93" s="1">
        <f>IFERROR(__xludf.DUMMYFUNCTION("""COMPUTED_VALUE"""),110.55)</f>
        <v>110.55</v>
      </c>
      <c r="AP93" s="1">
        <f>IFERROR(__xludf.DUMMYFUNCTION("""COMPUTED_VALUE"""),159.84)</f>
        <v>159.84</v>
      </c>
      <c r="AQ93" s="1">
        <f>IFERROR(__xludf.DUMMYFUNCTION("""COMPUTED_VALUE"""),486.2)</f>
        <v>486.2</v>
      </c>
      <c r="AR93" s="3">
        <f>IFERROR(__xludf.DUMMYFUNCTION("""COMPUTED_VALUE"""),211.09)</f>
        <v>211.09</v>
      </c>
      <c r="AS93" s="3">
        <f>IFERROR(__xludf.DUMMYFUNCTION("""COMPUTED_VALUE"""),571.92)</f>
        <v>571.92</v>
      </c>
      <c r="AT93" s="3">
        <f>IFERROR(__xludf.DUMMYFUNCTION("""COMPUTED_VALUE"""),262.61)</f>
        <v>262.61</v>
      </c>
      <c r="AU93" s="1">
        <f>IFERROR(__xludf.DUMMYFUNCTION("""COMPUTED_VALUE"""),28.77)</f>
        <v>28.77</v>
      </c>
      <c r="AV93" s="1">
        <f>IFERROR(__xludf.DUMMYFUNCTION("""COMPUTED_VALUE"""),89.34)</f>
        <v>89.34</v>
      </c>
      <c r="AW93" s="1">
        <f>IFERROR(__xludf.DUMMYFUNCTION("""COMPUTED_VALUE"""),80.85)</f>
        <v>80.85</v>
      </c>
      <c r="AX93" s="1">
        <f>IFERROR(__xludf.DUMMYFUNCTION("""COMPUTED_VALUE"""),13.89)</f>
        <v>13.89</v>
      </c>
      <c r="AY93" s="1">
        <f>IFERROR(__xludf.DUMMYFUNCTION("""COMPUTED_VALUE"""),435.27)</f>
        <v>435.27</v>
      </c>
      <c r="AZ93" s="3">
        <f>IFERROR(__xludf.DUMMYFUNCTION("""COMPUTED_VALUE"""),82.76)</f>
        <v>82.76</v>
      </c>
      <c r="BA93" s="3">
        <f>IFERROR(__xludf.DUMMYFUNCTION("""COMPUTED_VALUE"""),87.09)</f>
        <v>87.09</v>
      </c>
      <c r="BB93" s="3">
        <f>IFERROR(__xludf.DUMMYFUNCTION("""COMPUTED_VALUE"""),116.0)</f>
        <v>116</v>
      </c>
      <c r="BC93" s="1">
        <f>IFERROR(__xludf.DUMMYFUNCTION("""COMPUTED_VALUE"""),95.52)</f>
        <v>95.52</v>
      </c>
      <c r="BD93" s="1">
        <f>IFERROR(__xludf.DUMMYFUNCTION("""COMPUTED_VALUE"""),49.95)</f>
        <v>49.95</v>
      </c>
      <c r="BE93" s="3">
        <f>IFERROR(__xludf.DUMMYFUNCTION("""COMPUTED_VALUE"""),37.2)</f>
        <v>37.2</v>
      </c>
      <c r="BF93" s="1">
        <f>IFERROR(__xludf.DUMMYFUNCTION("""COMPUTED_VALUE"""),76.76)</f>
        <v>76.76</v>
      </c>
      <c r="BG93" s="1">
        <f>IFERROR(__xludf.DUMMYFUNCTION("""COMPUTED_VALUE"""),29.42)</f>
        <v>29.42</v>
      </c>
      <c r="BH93" s="1">
        <f>IFERROR(__xludf.DUMMYFUNCTION("""COMPUTED_VALUE"""),118.15)</f>
        <v>118.15</v>
      </c>
      <c r="BI93" s="1">
        <f>IFERROR(__xludf.DUMMYFUNCTION("""COMPUTED_VALUE"""),45.42)</f>
        <v>45.42</v>
      </c>
      <c r="BJ93" s="1">
        <f>IFERROR(__xludf.DUMMYFUNCTION("""COMPUTED_VALUE"""),199.44)</f>
        <v>199.44</v>
      </c>
      <c r="BK93" s="1">
        <f>IFERROR(__xludf.DUMMYFUNCTION("""COMPUTED_VALUE"""),613.69)</f>
        <v>613.69</v>
      </c>
      <c r="BL93" s="1">
        <f>IFERROR(__xludf.DUMMYFUNCTION("""COMPUTED_VALUE"""),184.07)</f>
        <v>184.07</v>
      </c>
      <c r="BM93" s="1">
        <f>IFERROR(__xludf.DUMMYFUNCTION("""COMPUTED_VALUE"""),165.0)</f>
        <v>165</v>
      </c>
      <c r="BN93" s="3">
        <f>IFERROR(__xludf.DUMMYFUNCTION("""COMPUTED_VALUE"""),7.99)</f>
        <v>7.99</v>
      </c>
      <c r="BO93" s="1">
        <f>IFERROR(__xludf.DUMMYFUNCTION("""COMPUTED_VALUE"""),245.39)</f>
        <v>245.39</v>
      </c>
      <c r="BP93" s="1">
        <f>IFERROR(__xludf.DUMMYFUNCTION("""COMPUTED_VALUE"""),575.0)</f>
        <v>575</v>
      </c>
      <c r="BQ93" s="36">
        <f>IFERROR(__xludf.DUMMYFUNCTION("""COMPUTED_VALUE"""),49.32)</f>
        <v>49.32</v>
      </c>
      <c r="BR93" s="1">
        <f>IFERROR(__xludf.DUMMYFUNCTION("""COMPUTED_VALUE"""),11.39)</f>
        <v>11.39</v>
      </c>
      <c r="BS93" s="1">
        <f>IFERROR(__xludf.DUMMYFUNCTION("""COMPUTED_VALUE"""),204.1)</f>
        <v>204.1</v>
      </c>
      <c r="BT93" s="1">
        <f>IFERROR(__xludf.DUMMYFUNCTION("""COMPUTED_VALUE"""),93.75)</f>
        <v>93.75</v>
      </c>
      <c r="BU93" s="3">
        <v>1.0</v>
      </c>
    </row>
    <row r="94">
      <c r="A94" s="25">
        <f>IFERROR(__xludf.DUMMYFUNCTION("""COMPUTED_VALUE"""),45558.66666666667)</f>
        <v>45558.66667</v>
      </c>
      <c r="B94" s="29">
        <f>'Master Scratch Work'!B93</f>
        <v>1315567.71</v>
      </c>
      <c r="C94" s="15">
        <f>IFERROR(__xludf.DUMMYFUNCTION("""COMPUTED_VALUE"""),5718.57)</f>
        <v>5718.57</v>
      </c>
      <c r="D94" s="15">
        <f>IFERROR(__xludf.DUMMYFUNCTION("""COMPUTED_VALUE"""),17974.27)</f>
        <v>17974.27</v>
      </c>
      <c r="E94" s="15">
        <f>IFERROR(__xludf.DUMMYFUNCTION("""COMPUTED_VALUE"""),42124.65)</f>
        <v>42124.65</v>
      </c>
      <c r="F94" s="15">
        <f>IFERROR(__xludf.DUMMYFUNCTION("""COMPUTED_VALUE"""),2220.28)</f>
        <v>2220.28</v>
      </c>
      <c r="G94" s="3">
        <f>IFERROR(__xludf.DUMMYFUNCTION("""COMPUTED_VALUE"""),569.67)</f>
        <v>569.67</v>
      </c>
      <c r="H94" s="3">
        <f>IFERROR(__xludf.DUMMYFUNCTION("""COMPUTED_VALUE"""),483.04)</f>
        <v>483.04</v>
      </c>
      <c r="I94" s="3">
        <f>IFERROR(__xludf.DUMMYFUNCTION("""COMPUTED_VALUE"""),527.87)</f>
        <v>527.87</v>
      </c>
      <c r="J94" s="3">
        <f>IFERROR(__xludf.DUMMYFUNCTION("""COMPUTED_VALUE"""),193.88)</f>
        <v>193.88</v>
      </c>
      <c r="K94" s="3">
        <f>IFERROR(__xludf.DUMMYFUNCTION("""COMPUTED_VALUE"""),147.54)</f>
        <v>147.54</v>
      </c>
      <c r="L94" s="3">
        <f>IFERROR(__xludf.DUMMYFUNCTION("""COMPUTED_VALUE"""),226.47)</f>
        <v>226.47</v>
      </c>
      <c r="M94" s="3">
        <f>IFERROR(__xludf.DUMMYFUNCTION("""COMPUTED_VALUE"""),194.04)</f>
        <v>194.04</v>
      </c>
      <c r="N94" s="3">
        <f>IFERROR(__xludf.DUMMYFUNCTION("""COMPUTED_VALUE"""),72.14)</f>
        <v>72.14</v>
      </c>
      <c r="O94" s="3">
        <f>IFERROR(__xludf.DUMMYFUNCTION("""COMPUTED_VALUE"""),12.03)</f>
        <v>12.03</v>
      </c>
      <c r="P94" s="3">
        <f>IFERROR(__xludf.DUMMYFUNCTION("""COMPUTED_VALUE"""),454.98)</f>
        <v>454.98</v>
      </c>
      <c r="Q94" s="3">
        <f>IFERROR(__xludf.DUMMYFUNCTION("""COMPUTED_VALUE"""),54.59)</f>
        <v>54.59</v>
      </c>
      <c r="R94" s="3">
        <f>IFERROR(__xludf.DUMMYFUNCTION("""COMPUTED_VALUE"""),195.81)</f>
        <v>195.81</v>
      </c>
      <c r="S94" s="3">
        <f>IFERROR(__xludf.DUMMYFUNCTION("""COMPUTED_VALUE"""),84.0)</f>
        <v>84</v>
      </c>
      <c r="T94" s="3">
        <f>IFERROR(__xludf.DUMMYFUNCTION("""COMPUTED_VALUE"""),80.88)</f>
        <v>80.88</v>
      </c>
      <c r="U94" s="3">
        <f>IFERROR(__xludf.DUMMYFUNCTION("""COMPUTED_VALUE"""),371.17)</f>
        <v>371.17</v>
      </c>
      <c r="V94" s="3">
        <f>IFERROR(__xludf.DUMMYFUNCTION("""COMPUTED_VALUE"""),46.02)</f>
        <v>46.02</v>
      </c>
      <c r="W94" s="3">
        <f>IFERROR(__xludf.DUMMYFUNCTION("""COMPUTED_VALUE"""),195.47)</f>
        <v>195.47</v>
      </c>
      <c r="X94" s="3">
        <f>IFERROR(__xludf.DUMMYFUNCTION("""COMPUTED_VALUE"""),147.54)</f>
        <v>147.54</v>
      </c>
      <c r="Y94" s="1">
        <f>IFERROR(__xludf.DUMMYFUNCTION("""COMPUTED_VALUE"""),354.94)</f>
        <v>354.94</v>
      </c>
      <c r="Z94" s="1">
        <f>IFERROR(__xludf.DUMMYFUNCTION("""COMPUTED_VALUE"""),41.06)</f>
        <v>41.06</v>
      </c>
      <c r="AA94" s="1">
        <f>IFERROR(__xludf.DUMMYFUNCTION("""COMPUTED_VALUE"""),71.73)</f>
        <v>71.73</v>
      </c>
      <c r="AB94" s="1">
        <f>IFERROR(__xludf.DUMMYFUNCTION("""COMPUTED_VALUE"""),104.02)</f>
        <v>104.02</v>
      </c>
      <c r="AC94" s="1">
        <f>IFERROR(__xludf.DUMMYFUNCTION("""COMPUTED_VALUE"""),160.96)</f>
        <v>160.96</v>
      </c>
      <c r="AD94" s="3">
        <f>IFERROR(__xludf.DUMMYFUNCTION("""COMPUTED_VALUE"""),71.76)</f>
        <v>71.76</v>
      </c>
      <c r="AE94" s="1">
        <f>IFERROR(__xludf.DUMMYFUNCTION("""COMPUTED_VALUE"""),420.7)</f>
        <v>420.7</v>
      </c>
      <c r="AF94" s="1">
        <f>IFERROR(__xludf.DUMMYFUNCTION("""COMPUTED_VALUE"""),63.45)</f>
        <v>63.45</v>
      </c>
      <c r="AG94" s="1">
        <f>IFERROR(__xludf.DUMMYFUNCTION("""COMPUTED_VALUE"""),117.36)</f>
        <v>117.36</v>
      </c>
      <c r="AH94" s="3">
        <f>IFERROR(__xludf.DUMMYFUNCTION("""COMPUTED_VALUE"""),258.79)</f>
        <v>258.79</v>
      </c>
      <c r="AI94" s="1">
        <f>IFERROR(__xludf.DUMMYFUNCTION("""COMPUTED_VALUE"""),476.96)</f>
        <v>476.96</v>
      </c>
      <c r="AJ94" s="1">
        <f>IFERROR(__xludf.DUMMYFUNCTION("""COMPUTED_VALUE"""),308.09)</f>
        <v>308.09</v>
      </c>
      <c r="AK94" s="3">
        <f>IFERROR(__xludf.DUMMYFUNCTION("""COMPUTED_VALUE"""),48.04)</f>
        <v>48.04</v>
      </c>
      <c r="AL94" s="1">
        <f>IFERROR(__xludf.DUMMYFUNCTION("""COMPUTED_VALUE"""),83.99)</f>
        <v>83.99</v>
      </c>
      <c r="AM94" s="1">
        <f>IFERROR(__xludf.DUMMYFUNCTION("""COMPUTED_VALUE"""),497.41)</f>
        <v>497.41</v>
      </c>
      <c r="AN94" s="1">
        <f>IFERROR(__xludf.DUMMYFUNCTION("""COMPUTED_VALUE"""),391.96)</f>
        <v>391.96</v>
      </c>
      <c r="AO94" s="1">
        <f>IFERROR(__xludf.DUMMYFUNCTION("""COMPUTED_VALUE"""),109.38)</f>
        <v>109.38</v>
      </c>
      <c r="AP94" s="1">
        <f>IFERROR(__xludf.DUMMYFUNCTION("""COMPUTED_VALUE"""),159.95)</f>
        <v>159.95</v>
      </c>
      <c r="AQ94" s="1">
        <f>IFERROR(__xludf.DUMMYFUNCTION("""COMPUTED_VALUE"""),489.07)</f>
        <v>489.07</v>
      </c>
      <c r="AR94" s="3">
        <f>IFERROR(__xludf.DUMMYFUNCTION("""COMPUTED_VALUE"""),211.44)</f>
        <v>211.44</v>
      </c>
      <c r="AS94" s="3">
        <f>IFERROR(__xludf.DUMMYFUNCTION("""COMPUTED_VALUE"""),580.51)</f>
        <v>580.51</v>
      </c>
      <c r="AT94" s="3">
        <f>IFERROR(__xludf.DUMMYFUNCTION("""COMPUTED_VALUE"""),259.8)</f>
        <v>259.8</v>
      </c>
      <c r="AU94" s="1">
        <f>IFERROR(__xludf.DUMMYFUNCTION("""COMPUTED_VALUE"""),28.84)</f>
        <v>28.84</v>
      </c>
      <c r="AV94" s="1">
        <f>IFERROR(__xludf.DUMMYFUNCTION("""COMPUTED_VALUE"""),89.86)</f>
        <v>89.86</v>
      </c>
      <c r="AW94" s="1">
        <f>IFERROR(__xludf.DUMMYFUNCTION("""COMPUTED_VALUE"""),81.46)</f>
        <v>81.46</v>
      </c>
      <c r="AX94" s="1">
        <f>IFERROR(__xludf.DUMMYFUNCTION("""COMPUTED_VALUE"""),14.23)</f>
        <v>14.23</v>
      </c>
      <c r="AY94" s="1">
        <f>IFERROR(__xludf.DUMMYFUNCTION("""COMPUTED_VALUE"""),433.51)</f>
        <v>433.51</v>
      </c>
      <c r="AZ94" s="3">
        <f>IFERROR(__xludf.DUMMYFUNCTION("""COMPUTED_VALUE"""),84.82)</f>
        <v>84.82</v>
      </c>
      <c r="BA94" s="3">
        <f>IFERROR(__xludf.DUMMYFUNCTION("""COMPUTED_VALUE"""),88.0)</f>
        <v>88</v>
      </c>
      <c r="BB94" s="3">
        <f>IFERROR(__xludf.DUMMYFUNCTION("""COMPUTED_VALUE"""),116.26)</f>
        <v>116.26</v>
      </c>
      <c r="BC94" s="1">
        <f>IFERROR(__xludf.DUMMYFUNCTION("""COMPUTED_VALUE"""),96.25)</f>
        <v>96.25</v>
      </c>
      <c r="BD94" s="1">
        <f>IFERROR(__xludf.DUMMYFUNCTION("""COMPUTED_VALUE"""),50.41)</f>
        <v>50.41</v>
      </c>
      <c r="BE94" s="3">
        <f>IFERROR(__xludf.DUMMYFUNCTION("""COMPUTED_VALUE"""),37.95)</f>
        <v>37.95</v>
      </c>
      <c r="BF94" s="1">
        <f>IFERROR(__xludf.DUMMYFUNCTION("""COMPUTED_VALUE"""),77.67)</f>
        <v>77.67</v>
      </c>
      <c r="BG94" s="1">
        <f>IFERROR(__xludf.DUMMYFUNCTION("""COMPUTED_VALUE"""),29.31)</f>
        <v>29.31</v>
      </c>
      <c r="BH94" s="1">
        <f>IFERROR(__xludf.DUMMYFUNCTION("""COMPUTED_VALUE"""),120.27)</f>
        <v>120.27</v>
      </c>
      <c r="BI94" s="1">
        <f>IFERROR(__xludf.DUMMYFUNCTION("""COMPUTED_VALUE"""),42.63)</f>
        <v>42.63</v>
      </c>
      <c r="BJ94" s="1">
        <f>IFERROR(__xludf.DUMMYFUNCTION("""COMPUTED_VALUE"""),202.46)</f>
        <v>202.46</v>
      </c>
      <c r="BK94" s="1">
        <f>IFERROR(__xludf.DUMMYFUNCTION("""COMPUTED_VALUE"""),610.35)</f>
        <v>610.35</v>
      </c>
      <c r="BL94" s="1">
        <f>IFERROR(__xludf.DUMMYFUNCTION("""COMPUTED_VALUE"""),185.4)</f>
        <v>185.4</v>
      </c>
      <c r="BM94" s="1">
        <f>IFERROR(__xludf.DUMMYFUNCTION("""COMPUTED_VALUE"""),159.5)</f>
        <v>159.5</v>
      </c>
      <c r="BN94" s="3">
        <f>IFERROR(__xludf.DUMMYFUNCTION("""COMPUTED_VALUE"""),7.76)</f>
        <v>7.76</v>
      </c>
      <c r="BO94" s="1">
        <f>IFERROR(__xludf.DUMMYFUNCTION("""COMPUTED_VALUE"""),244.0)</f>
        <v>244</v>
      </c>
      <c r="BP94" s="1">
        <f>IFERROR(__xludf.DUMMYFUNCTION("""COMPUTED_VALUE"""),573.41)</f>
        <v>573.41</v>
      </c>
      <c r="BQ94" s="36">
        <f>IFERROR(__xludf.DUMMYFUNCTION("""COMPUTED_VALUE"""),49.31)</f>
        <v>49.31</v>
      </c>
      <c r="BR94" s="1">
        <f>IFERROR(__xludf.DUMMYFUNCTION("""COMPUTED_VALUE"""),11.47)</f>
        <v>11.47</v>
      </c>
      <c r="BS94" s="1">
        <f>IFERROR(__xludf.DUMMYFUNCTION("""COMPUTED_VALUE"""),207.1)</f>
        <v>207.1</v>
      </c>
      <c r="BT94" s="1">
        <f>IFERROR(__xludf.DUMMYFUNCTION("""COMPUTED_VALUE"""),92.97)</f>
        <v>92.97</v>
      </c>
      <c r="BU94" s="3">
        <v>1.0</v>
      </c>
    </row>
    <row r="95">
      <c r="A95" s="25">
        <f>IFERROR(__xludf.DUMMYFUNCTION("""COMPUTED_VALUE"""),45559.66666666667)</f>
        <v>45559.66667</v>
      </c>
      <c r="B95" s="29">
        <f>'Master Scratch Work'!B94</f>
        <v>1318799.04</v>
      </c>
      <c r="C95" s="15">
        <f>IFERROR(__xludf.DUMMYFUNCTION("""COMPUTED_VALUE"""),5732.93)</f>
        <v>5732.93</v>
      </c>
      <c r="D95" s="15">
        <f>IFERROR(__xludf.DUMMYFUNCTION("""COMPUTED_VALUE"""),18074.52)</f>
        <v>18074.52</v>
      </c>
      <c r="E95" s="15">
        <f>IFERROR(__xludf.DUMMYFUNCTION("""COMPUTED_VALUE"""),42208.22)</f>
        <v>42208.22</v>
      </c>
      <c r="F95" s="15">
        <f>IFERROR(__xludf.DUMMYFUNCTION("""COMPUTED_VALUE"""),2223.99)</f>
        <v>2223.99</v>
      </c>
      <c r="G95" s="3">
        <f>IFERROR(__xludf.DUMMYFUNCTION("""COMPUTED_VALUE"""),571.3)</f>
        <v>571.3</v>
      </c>
      <c r="H95" s="3">
        <f>IFERROR(__xludf.DUMMYFUNCTION("""COMPUTED_VALUE"""),485.37)</f>
        <v>485.37</v>
      </c>
      <c r="I95" s="3">
        <f>IFERROR(__xludf.DUMMYFUNCTION("""COMPUTED_VALUE"""),524.07)</f>
        <v>524.07</v>
      </c>
      <c r="J95" s="3">
        <f>IFERROR(__xludf.DUMMYFUNCTION("""COMPUTED_VALUE"""),193.96)</f>
        <v>193.96</v>
      </c>
      <c r="K95" s="3">
        <f>IFERROR(__xludf.DUMMYFUNCTION("""COMPUTED_VALUE"""),145.04)</f>
        <v>145.04</v>
      </c>
      <c r="L95" s="3">
        <f>IFERROR(__xludf.DUMMYFUNCTION("""COMPUTED_VALUE"""),227.37)</f>
        <v>227.37</v>
      </c>
      <c r="M95" s="3">
        <f>IFERROR(__xludf.DUMMYFUNCTION("""COMPUTED_VALUE"""),196.78)</f>
        <v>196.78</v>
      </c>
      <c r="N95" s="3">
        <f>IFERROR(__xludf.DUMMYFUNCTION("""COMPUTED_VALUE"""),71.82)</f>
        <v>71.82</v>
      </c>
      <c r="O95" s="3">
        <f>IFERROR(__xludf.DUMMYFUNCTION("""COMPUTED_VALUE"""),12.22)</f>
        <v>12.22</v>
      </c>
      <c r="P95" s="3">
        <f>IFERROR(__xludf.DUMMYFUNCTION("""COMPUTED_VALUE"""),454.56)</f>
        <v>454.56</v>
      </c>
      <c r="Q95" s="3">
        <f>IFERROR(__xludf.DUMMYFUNCTION("""COMPUTED_VALUE"""),57.35)</f>
        <v>57.35</v>
      </c>
      <c r="R95" s="3">
        <f>IFERROR(__xludf.DUMMYFUNCTION("""COMPUTED_VALUE"""),194.12)</f>
        <v>194.12</v>
      </c>
      <c r="S95" s="3">
        <f>IFERROR(__xludf.DUMMYFUNCTION("""COMPUTED_VALUE"""),83.51)</f>
        <v>83.51</v>
      </c>
      <c r="T95" s="3">
        <f>IFERROR(__xludf.DUMMYFUNCTION("""COMPUTED_VALUE"""),80.41)</f>
        <v>80.41</v>
      </c>
      <c r="U95" s="3">
        <f>IFERROR(__xludf.DUMMYFUNCTION("""COMPUTED_VALUE"""),385.93)</f>
        <v>385.93</v>
      </c>
      <c r="V95" s="3">
        <f>IFERROR(__xludf.DUMMYFUNCTION("""COMPUTED_VALUE"""),46.77)</f>
        <v>46.77</v>
      </c>
      <c r="W95" s="3">
        <f>IFERROR(__xludf.DUMMYFUNCTION("""COMPUTED_VALUE"""),195.29)</f>
        <v>195.29</v>
      </c>
      <c r="X95" s="3">
        <f>IFERROR(__xludf.DUMMYFUNCTION("""COMPUTED_VALUE"""),147.45)</f>
        <v>147.45</v>
      </c>
      <c r="Y95" s="1">
        <f>IFERROR(__xludf.DUMMYFUNCTION("""COMPUTED_VALUE"""),353.17)</f>
        <v>353.17</v>
      </c>
      <c r="Z95" s="1">
        <f>IFERROR(__xludf.DUMMYFUNCTION("""COMPUTED_VALUE"""),40.76)</f>
        <v>40.76</v>
      </c>
      <c r="AA95" s="1">
        <f>IFERROR(__xludf.DUMMYFUNCTION("""COMPUTED_VALUE"""),71.33)</f>
        <v>71.33</v>
      </c>
      <c r="AB95" s="1">
        <f>IFERROR(__xludf.DUMMYFUNCTION("""COMPUTED_VALUE"""),102.82)</f>
        <v>102.82</v>
      </c>
      <c r="AC95" s="1">
        <f>IFERROR(__xludf.DUMMYFUNCTION("""COMPUTED_VALUE"""),162.13)</f>
        <v>162.13</v>
      </c>
      <c r="AD95" s="3">
        <f>IFERROR(__xludf.DUMMYFUNCTION("""COMPUTED_VALUE"""),71.29)</f>
        <v>71.29</v>
      </c>
      <c r="AE95" s="1">
        <f>IFERROR(__xludf.DUMMYFUNCTION("""COMPUTED_VALUE"""),426.54)</f>
        <v>426.54</v>
      </c>
      <c r="AF95" s="1">
        <f>IFERROR(__xludf.DUMMYFUNCTION("""COMPUTED_VALUE"""),65.44)</f>
        <v>65.44</v>
      </c>
      <c r="AG95" s="1">
        <f>IFERROR(__xludf.DUMMYFUNCTION("""COMPUTED_VALUE"""),117.05)</f>
        <v>117.05</v>
      </c>
      <c r="AH95" s="3">
        <f>IFERROR(__xludf.DUMMYFUNCTION("""COMPUTED_VALUE"""),267.13)</f>
        <v>267.13</v>
      </c>
      <c r="AI95" s="1">
        <f>IFERROR(__xludf.DUMMYFUNCTION("""COMPUTED_VALUE"""),477.93)</f>
        <v>477.93</v>
      </c>
      <c r="AJ95" s="1">
        <f>IFERROR(__xludf.DUMMYFUNCTION("""COMPUTED_VALUE"""),304.67)</f>
        <v>304.67</v>
      </c>
      <c r="AK95" s="3">
        <f>IFERROR(__xludf.DUMMYFUNCTION("""COMPUTED_VALUE"""),48.07)</f>
        <v>48.07</v>
      </c>
      <c r="AL95" s="1">
        <f>IFERROR(__xludf.DUMMYFUNCTION("""COMPUTED_VALUE"""),83.79)</f>
        <v>83.79</v>
      </c>
      <c r="AM95" s="1">
        <f>IFERROR(__xludf.DUMMYFUNCTION("""COMPUTED_VALUE"""),498.02)</f>
        <v>498.02</v>
      </c>
      <c r="AN95" s="1">
        <f>IFERROR(__xludf.DUMMYFUNCTION("""COMPUTED_VALUE"""),400.66)</f>
        <v>400.66</v>
      </c>
      <c r="AO95" s="1">
        <f>IFERROR(__xludf.DUMMYFUNCTION("""COMPUTED_VALUE"""),109.11)</f>
        <v>109.11</v>
      </c>
      <c r="AP95" s="1">
        <f>IFERROR(__xludf.DUMMYFUNCTION("""COMPUTED_VALUE"""),158.75)</f>
        <v>158.75</v>
      </c>
      <c r="AQ95" s="1">
        <f>IFERROR(__xludf.DUMMYFUNCTION("""COMPUTED_VALUE"""),484.4)</f>
        <v>484.4</v>
      </c>
      <c r="AR95" s="3">
        <f>IFERROR(__xludf.DUMMYFUNCTION("""COMPUTED_VALUE"""),211.59)</f>
        <v>211.59</v>
      </c>
      <c r="AS95" s="3">
        <f>IFERROR(__xludf.DUMMYFUNCTION("""COMPUTED_VALUE"""),578.63)</f>
        <v>578.63</v>
      </c>
      <c r="AT95" s="3">
        <f>IFERROR(__xludf.DUMMYFUNCTION("""COMPUTED_VALUE"""),263.55)</f>
        <v>263.55</v>
      </c>
      <c r="AU95" s="1">
        <f>IFERROR(__xludf.DUMMYFUNCTION("""COMPUTED_VALUE"""),29.21)</f>
        <v>29.21</v>
      </c>
      <c r="AV95" s="1">
        <f>IFERROR(__xludf.DUMMYFUNCTION("""COMPUTED_VALUE"""),89.76)</f>
        <v>89.76</v>
      </c>
      <c r="AW95" s="1">
        <f>IFERROR(__xludf.DUMMYFUNCTION("""COMPUTED_VALUE"""),80.45)</f>
        <v>80.45</v>
      </c>
      <c r="AX95" s="1">
        <f>IFERROR(__xludf.DUMMYFUNCTION("""COMPUTED_VALUE"""),16.0)</f>
        <v>16</v>
      </c>
      <c r="AY95" s="1">
        <f>IFERROR(__xludf.DUMMYFUNCTION("""COMPUTED_VALUE"""),429.17)</f>
        <v>429.17</v>
      </c>
      <c r="AZ95" s="3">
        <f>IFERROR(__xludf.DUMMYFUNCTION("""COMPUTED_VALUE"""),84.29)</f>
        <v>84.29</v>
      </c>
      <c r="BA95" s="3">
        <f>IFERROR(__xludf.DUMMYFUNCTION("""COMPUTED_VALUE"""),87.92)</f>
        <v>87.92</v>
      </c>
      <c r="BB95" s="3">
        <f>IFERROR(__xludf.DUMMYFUNCTION("""COMPUTED_VALUE"""),120.87)</f>
        <v>120.87</v>
      </c>
      <c r="BC95" s="1">
        <f>IFERROR(__xludf.DUMMYFUNCTION("""COMPUTED_VALUE"""),98.93)</f>
        <v>98.93</v>
      </c>
      <c r="BD95" s="1">
        <f>IFERROR(__xludf.DUMMYFUNCTION("""COMPUTED_VALUE"""),50.57)</f>
        <v>50.57</v>
      </c>
      <c r="BE95" s="3">
        <f>IFERROR(__xludf.DUMMYFUNCTION("""COMPUTED_VALUE"""),36.9)</f>
        <v>36.9</v>
      </c>
      <c r="BF95" s="1">
        <f>IFERROR(__xludf.DUMMYFUNCTION("""COMPUTED_VALUE"""),78.34)</f>
        <v>78.34</v>
      </c>
      <c r="BG95" s="1">
        <f>IFERROR(__xludf.DUMMYFUNCTION("""COMPUTED_VALUE"""),29.5)</f>
        <v>29.5</v>
      </c>
      <c r="BH95" s="1">
        <f>IFERROR(__xludf.DUMMYFUNCTION("""COMPUTED_VALUE"""),120.04)</f>
        <v>120.04</v>
      </c>
      <c r="BI95" s="1">
        <f>IFERROR(__xludf.DUMMYFUNCTION("""COMPUTED_VALUE"""),44.4)</f>
        <v>44.4</v>
      </c>
      <c r="BJ95" s="1">
        <f>IFERROR(__xludf.DUMMYFUNCTION("""COMPUTED_VALUE"""),201.44)</f>
        <v>201.44</v>
      </c>
      <c r="BK95" s="1">
        <f>IFERROR(__xludf.DUMMYFUNCTION("""COMPUTED_VALUE"""),611.88)</f>
        <v>611.88</v>
      </c>
      <c r="BL95" s="1">
        <f>IFERROR(__xludf.DUMMYFUNCTION("""COMPUTED_VALUE"""),183.53)</f>
        <v>183.53</v>
      </c>
      <c r="BM95" s="1">
        <f>IFERROR(__xludf.DUMMYFUNCTION("""COMPUTED_VALUE"""),156.0)</f>
        <v>156</v>
      </c>
      <c r="BN95" s="3">
        <f>IFERROR(__xludf.DUMMYFUNCTION("""COMPUTED_VALUE"""),7.99)</f>
        <v>7.99</v>
      </c>
      <c r="BO95" s="1">
        <f>IFERROR(__xludf.DUMMYFUNCTION("""COMPUTED_VALUE"""),248.96)</f>
        <v>248.96</v>
      </c>
      <c r="BP95" s="1">
        <f>IFERROR(__xludf.DUMMYFUNCTION("""COMPUTED_VALUE"""),575.19)</f>
        <v>575.19</v>
      </c>
      <c r="BQ95" s="36">
        <f>IFERROR(__xludf.DUMMYFUNCTION("""COMPUTED_VALUE"""),49.39)</f>
        <v>49.39</v>
      </c>
      <c r="BR95" s="1">
        <f>IFERROR(__xludf.DUMMYFUNCTION("""COMPUTED_VALUE"""),11.45)</f>
        <v>11.45</v>
      </c>
      <c r="BS95" s="1">
        <f>IFERROR(__xludf.DUMMYFUNCTION("""COMPUTED_VALUE"""),207.52)</f>
        <v>207.52</v>
      </c>
      <c r="BT95" s="1">
        <f>IFERROR(__xludf.DUMMYFUNCTION("""COMPUTED_VALUE"""),93.69)</f>
        <v>93.69</v>
      </c>
      <c r="BU95" s="3">
        <v>1.0</v>
      </c>
    </row>
    <row r="96">
      <c r="A96" s="25">
        <f>IFERROR(__xludf.DUMMYFUNCTION("""COMPUTED_VALUE"""),45560.66666666667)</f>
        <v>45560.66667</v>
      </c>
      <c r="B96" s="29">
        <f>'Master Scratch Work'!B95</f>
        <v>1310035.28</v>
      </c>
      <c r="C96" s="15">
        <f>IFERROR(__xludf.DUMMYFUNCTION("""COMPUTED_VALUE"""),5722.26)</f>
        <v>5722.26</v>
      </c>
      <c r="D96" s="15">
        <f>IFERROR(__xludf.DUMMYFUNCTION("""COMPUTED_VALUE"""),18082.21)</f>
        <v>18082.21</v>
      </c>
      <c r="E96" s="15">
        <f>IFERROR(__xludf.DUMMYFUNCTION("""COMPUTED_VALUE"""),41914.75)</f>
        <v>41914.75</v>
      </c>
      <c r="F96" s="15">
        <f>IFERROR(__xludf.DUMMYFUNCTION("""COMPUTED_VALUE"""),2197.45)</f>
        <v>2197.45</v>
      </c>
      <c r="G96" s="3">
        <f>IFERROR(__xludf.DUMMYFUNCTION("""COMPUTED_VALUE"""),570.04)</f>
        <v>570.04</v>
      </c>
      <c r="H96" s="3">
        <f>IFERROR(__xludf.DUMMYFUNCTION("""COMPUTED_VALUE"""),485.82)</f>
        <v>485.82</v>
      </c>
      <c r="I96" s="3">
        <f>IFERROR(__xludf.DUMMYFUNCTION("""COMPUTED_VALUE"""),517.9)</f>
        <v>517.9</v>
      </c>
      <c r="J96" s="3">
        <f>IFERROR(__xludf.DUMMYFUNCTION("""COMPUTED_VALUE"""),192.53)</f>
        <v>192.53</v>
      </c>
      <c r="K96" s="3">
        <f>IFERROR(__xludf.DUMMYFUNCTION("""COMPUTED_VALUE"""),144.12)</f>
        <v>144.12</v>
      </c>
      <c r="L96" s="3">
        <f>IFERROR(__xludf.DUMMYFUNCTION("""COMPUTED_VALUE"""),226.37)</f>
        <v>226.37</v>
      </c>
      <c r="M96" s="3">
        <f>IFERROR(__xludf.DUMMYFUNCTION("""COMPUTED_VALUE"""),197.31)</f>
        <v>197.31</v>
      </c>
      <c r="N96" s="3">
        <f>IFERROR(__xludf.DUMMYFUNCTION("""COMPUTED_VALUE"""),72.17)</f>
        <v>72.17</v>
      </c>
      <c r="O96" s="3">
        <f>IFERROR(__xludf.DUMMYFUNCTION("""COMPUTED_VALUE"""),11.97)</f>
        <v>11.97</v>
      </c>
      <c r="P96" s="3">
        <f>IFERROR(__xludf.DUMMYFUNCTION("""COMPUTED_VALUE"""),452.36)</f>
        <v>452.36</v>
      </c>
      <c r="Q96" s="3">
        <f>IFERROR(__xludf.DUMMYFUNCTION("""COMPUTED_VALUE"""),57.73)</f>
        <v>57.73</v>
      </c>
      <c r="R96" s="3">
        <f>IFERROR(__xludf.DUMMYFUNCTION("""COMPUTED_VALUE"""),189.07)</f>
        <v>189.07</v>
      </c>
      <c r="S96" s="3">
        <f>IFERROR(__xludf.DUMMYFUNCTION("""COMPUTED_VALUE"""),83.5)</f>
        <v>83.5</v>
      </c>
      <c r="T96" s="3">
        <f>IFERROR(__xludf.DUMMYFUNCTION("""COMPUTED_VALUE"""),79.67)</f>
        <v>79.67</v>
      </c>
      <c r="U96" s="3">
        <f>IFERROR(__xludf.DUMMYFUNCTION("""COMPUTED_VALUE"""),378.25)</f>
        <v>378.25</v>
      </c>
      <c r="V96" s="3">
        <f>IFERROR(__xludf.DUMMYFUNCTION("""COMPUTED_VALUE"""),47.59)</f>
        <v>47.59</v>
      </c>
      <c r="W96" s="3">
        <f>IFERROR(__xludf.DUMMYFUNCTION("""COMPUTED_VALUE"""),194.04)</f>
        <v>194.04</v>
      </c>
      <c r="X96" s="3">
        <f>IFERROR(__xludf.DUMMYFUNCTION("""COMPUTED_VALUE"""),143.97)</f>
        <v>143.97</v>
      </c>
      <c r="Y96" s="1">
        <f>IFERROR(__xludf.DUMMYFUNCTION("""COMPUTED_VALUE"""),348.86)</f>
        <v>348.86</v>
      </c>
      <c r="Z96" s="1">
        <f>IFERROR(__xludf.DUMMYFUNCTION("""COMPUTED_VALUE"""),40.24)</f>
        <v>40.24</v>
      </c>
      <c r="AA96" s="1">
        <f>IFERROR(__xludf.DUMMYFUNCTION("""COMPUTED_VALUE"""),71.45)</f>
        <v>71.45</v>
      </c>
      <c r="AB96" s="1">
        <f>IFERROR(__xludf.DUMMYFUNCTION("""COMPUTED_VALUE"""),103.16)</f>
        <v>103.16</v>
      </c>
      <c r="AC96" s="1">
        <f>IFERROR(__xludf.DUMMYFUNCTION("""COMPUTED_VALUE"""),162.9)</f>
        <v>162.9</v>
      </c>
      <c r="AD96" s="3">
        <f>IFERROR(__xludf.DUMMYFUNCTION("""COMPUTED_VALUE"""),70.55)</f>
        <v>70.55</v>
      </c>
      <c r="AE96" s="1">
        <f>IFERROR(__xludf.DUMMYFUNCTION("""COMPUTED_VALUE"""),425.92)</f>
        <v>425.92</v>
      </c>
      <c r="AF96" s="1">
        <f>IFERROR(__xludf.DUMMYFUNCTION("""COMPUTED_VALUE"""),64.1)</f>
        <v>64.1</v>
      </c>
      <c r="AG96" s="1">
        <f>IFERROR(__xludf.DUMMYFUNCTION("""COMPUTED_VALUE"""),114.77)</f>
        <v>114.77</v>
      </c>
      <c r="AH96" s="3">
        <f>IFERROR(__xludf.DUMMYFUNCTION("""COMPUTED_VALUE"""),263.77)</f>
        <v>263.77</v>
      </c>
      <c r="AI96" s="1">
        <f>IFERROR(__xludf.DUMMYFUNCTION("""COMPUTED_VALUE"""),474.11)</f>
        <v>474.11</v>
      </c>
      <c r="AJ96" s="1">
        <f>IFERROR(__xludf.DUMMYFUNCTION("""COMPUTED_VALUE"""),301.69)</f>
        <v>301.69</v>
      </c>
      <c r="AK96" s="3">
        <f>IFERROR(__xludf.DUMMYFUNCTION("""COMPUTED_VALUE"""),45.73)</f>
        <v>45.73</v>
      </c>
      <c r="AL96" s="1">
        <f>IFERROR(__xludf.DUMMYFUNCTION("""COMPUTED_VALUE"""),82.21)</f>
        <v>82.21</v>
      </c>
      <c r="AM96" s="1">
        <f>IFERROR(__xludf.DUMMYFUNCTION("""COMPUTED_VALUE"""),491.14)</f>
        <v>491.14</v>
      </c>
      <c r="AN96" s="1">
        <f>IFERROR(__xludf.DUMMYFUNCTION("""COMPUTED_VALUE"""),396.93)</f>
        <v>396.93</v>
      </c>
      <c r="AO96" s="1">
        <f>IFERROR(__xludf.DUMMYFUNCTION("""COMPUTED_VALUE"""),108.27)</f>
        <v>108.27</v>
      </c>
      <c r="AP96" s="1">
        <f>IFERROR(__xludf.DUMMYFUNCTION("""COMPUTED_VALUE"""),159.45)</f>
        <v>159.45</v>
      </c>
      <c r="AQ96" s="1">
        <f>IFERROR(__xludf.DUMMYFUNCTION("""COMPUTED_VALUE"""),484.39)</f>
        <v>484.39</v>
      </c>
      <c r="AR96" s="3">
        <f>IFERROR(__xludf.DUMMYFUNCTION("""COMPUTED_VALUE"""),210.19)</f>
        <v>210.19</v>
      </c>
      <c r="AS96" s="3">
        <f>IFERROR(__xludf.DUMMYFUNCTION("""COMPUTED_VALUE"""),577.94)</f>
        <v>577.94</v>
      </c>
      <c r="AT96" s="3">
        <f>IFERROR(__xludf.DUMMYFUNCTION("""COMPUTED_VALUE"""),259.74)</f>
        <v>259.74</v>
      </c>
      <c r="AU96" s="1">
        <f>IFERROR(__xludf.DUMMYFUNCTION("""COMPUTED_VALUE"""),29.13)</f>
        <v>29.13</v>
      </c>
      <c r="AV96" s="1">
        <f>IFERROR(__xludf.DUMMYFUNCTION("""COMPUTED_VALUE"""),89.39)</f>
        <v>89.39</v>
      </c>
      <c r="AW96" s="1">
        <f>IFERROR(__xludf.DUMMYFUNCTION("""COMPUTED_VALUE"""),80.74)</f>
        <v>80.74</v>
      </c>
      <c r="AX96" s="1">
        <f>IFERROR(__xludf.DUMMYFUNCTION("""COMPUTED_VALUE"""),16.16)</f>
        <v>16.16</v>
      </c>
      <c r="AY96" s="1">
        <f>IFERROR(__xludf.DUMMYFUNCTION("""COMPUTED_VALUE"""),432.11)</f>
        <v>432.11</v>
      </c>
      <c r="AZ96" s="3">
        <f>IFERROR(__xludf.DUMMYFUNCTION("""COMPUTED_VALUE"""),84.62)</f>
        <v>84.62</v>
      </c>
      <c r="BA96" s="3">
        <f>IFERROR(__xludf.DUMMYFUNCTION("""COMPUTED_VALUE"""),89.24)</f>
        <v>89.24</v>
      </c>
      <c r="BB96" s="3">
        <f>IFERROR(__xludf.DUMMYFUNCTION("""COMPUTED_VALUE"""),123.51)</f>
        <v>123.51</v>
      </c>
      <c r="BC96" s="1">
        <f>IFERROR(__xludf.DUMMYFUNCTION("""COMPUTED_VALUE"""),99.54)</f>
        <v>99.54</v>
      </c>
      <c r="BD96" s="1">
        <f>IFERROR(__xludf.DUMMYFUNCTION("""COMPUTED_VALUE"""),50.2)</f>
        <v>50.2</v>
      </c>
      <c r="BE96" s="3">
        <f>IFERROR(__xludf.DUMMYFUNCTION("""COMPUTED_VALUE"""),37.12)</f>
        <v>37.12</v>
      </c>
      <c r="BF96" s="1">
        <f>IFERROR(__xludf.DUMMYFUNCTION("""COMPUTED_VALUE"""),77.36)</f>
        <v>77.36</v>
      </c>
      <c r="BG96" s="1">
        <f>IFERROR(__xludf.DUMMYFUNCTION("""COMPUTED_VALUE"""),28.93)</f>
        <v>28.93</v>
      </c>
      <c r="BH96" s="1">
        <f>IFERROR(__xludf.DUMMYFUNCTION("""COMPUTED_VALUE"""),120.9)</f>
        <v>120.9</v>
      </c>
      <c r="BI96" s="1">
        <f>IFERROR(__xludf.DUMMYFUNCTION("""COMPUTED_VALUE"""),44.86)</f>
        <v>44.86</v>
      </c>
      <c r="BJ96" s="1">
        <f>IFERROR(__xludf.DUMMYFUNCTION("""COMPUTED_VALUE"""),203.31)</f>
        <v>203.31</v>
      </c>
      <c r="BK96" s="1">
        <f>IFERROR(__xludf.DUMMYFUNCTION("""COMPUTED_VALUE"""),599.78)</f>
        <v>599.78</v>
      </c>
      <c r="BL96" s="1">
        <f>IFERROR(__xludf.DUMMYFUNCTION("""COMPUTED_VALUE"""),184.16)</f>
        <v>184.16</v>
      </c>
      <c r="BM96" s="1">
        <f>IFERROR(__xludf.DUMMYFUNCTION("""COMPUTED_VALUE"""),148.28)</f>
        <v>148.28</v>
      </c>
      <c r="BN96" s="3">
        <f>IFERROR(__xludf.DUMMYFUNCTION("""COMPUTED_VALUE"""),8.29)</f>
        <v>8.29</v>
      </c>
      <c r="BO96" s="1">
        <f>IFERROR(__xludf.DUMMYFUNCTION("""COMPUTED_VALUE"""),245.5)</f>
        <v>245.5</v>
      </c>
      <c r="BP96" s="1">
        <f>IFERROR(__xludf.DUMMYFUNCTION("""COMPUTED_VALUE"""),576.31)</f>
        <v>576.31</v>
      </c>
      <c r="BQ96" s="36">
        <f>IFERROR(__xludf.DUMMYFUNCTION("""COMPUTED_VALUE"""),49.35)</f>
        <v>49.35</v>
      </c>
      <c r="BR96" s="1">
        <f>IFERROR(__xludf.DUMMYFUNCTION("""COMPUTED_VALUE"""),11.27)</f>
        <v>11.27</v>
      </c>
      <c r="BS96" s="1">
        <f>IFERROR(__xludf.DUMMYFUNCTION("""COMPUTED_VALUE"""),207.69)</f>
        <v>207.69</v>
      </c>
      <c r="BT96" s="1">
        <f>IFERROR(__xludf.DUMMYFUNCTION("""COMPUTED_VALUE"""),93.92)</f>
        <v>93.92</v>
      </c>
      <c r="BU96" s="3">
        <v>1.0</v>
      </c>
    </row>
    <row r="97">
      <c r="A97" s="25">
        <f>IFERROR(__xludf.DUMMYFUNCTION("""COMPUTED_VALUE"""),45561.66666666667)</f>
        <v>45561.66667</v>
      </c>
      <c r="B97" s="29">
        <f>'Master Scratch Work'!B96</f>
        <v>1315214.42</v>
      </c>
      <c r="C97" s="15">
        <f>IFERROR(__xludf.DUMMYFUNCTION("""COMPUTED_VALUE"""),5745.37)</f>
        <v>5745.37</v>
      </c>
      <c r="D97" s="15">
        <f>IFERROR(__xludf.DUMMYFUNCTION("""COMPUTED_VALUE"""),18190.29)</f>
        <v>18190.29</v>
      </c>
      <c r="E97" s="15">
        <f>IFERROR(__xludf.DUMMYFUNCTION("""COMPUTED_VALUE"""),42175.11)</f>
        <v>42175.11</v>
      </c>
      <c r="F97" s="15">
        <f>IFERROR(__xludf.DUMMYFUNCTION("""COMPUTED_VALUE"""),2209.87)</f>
        <v>2209.87</v>
      </c>
      <c r="G97" s="3">
        <f>IFERROR(__xludf.DUMMYFUNCTION("""COMPUTED_VALUE"""),572.3)</f>
        <v>572.3</v>
      </c>
      <c r="H97" s="3">
        <f>IFERROR(__xludf.DUMMYFUNCTION("""COMPUTED_VALUE"""),489.47)</f>
        <v>489.47</v>
      </c>
      <c r="I97" s="3">
        <f>IFERROR(__xludf.DUMMYFUNCTION("""COMPUTED_VALUE"""),515.38)</f>
        <v>515.38</v>
      </c>
      <c r="J97" s="3">
        <f>IFERROR(__xludf.DUMMYFUNCTION("""COMPUTED_VALUE"""),191.16)</f>
        <v>191.16</v>
      </c>
      <c r="K97" s="3">
        <f>IFERROR(__xludf.DUMMYFUNCTION("""COMPUTED_VALUE"""),143.18)</f>
        <v>143.18</v>
      </c>
      <c r="L97" s="3">
        <f>IFERROR(__xludf.DUMMYFUNCTION("""COMPUTED_VALUE"""),227.52)</f>
        <v>227.52</v>
      </c>
      <c r="M97" s="3">
        <f>IFERROR(__xludf.DUMMYFUNCTION("""COMPUTED_VALUE"""),209.61)</f>
        <v>209.61</v>
      </c>
      <c r="N97" s="3">
        <f>IFERROR(__xludf.DUMMYFUNCTION("""COMPUTED_VALUE"""),71.5)</f>
        <v>71.5</v>
      </c>
      <c r="O97" s="3">
        <f>IFERROR(__xludf.DUMMYFUNCTION("""COMPUTED_VALUE"""),12.35)</f>
        <v>12.35</v>
      </c>
      <c r="P97" s="3">
        <f>IFERROR(__xludf.DUMMYFUNCTION("""COMPUTED_VALUE"""),454.18)</f>
        <v>454.18</v>
      </c>
      <c r="Q97" s="3">
        <f>IFERROR(__xludf.DUMMYFUNCTION("""COMPUTED_VALUE"""),60.91)</f>
        <v>60.91</v>
      </c>
      <c r="R97" s="3">
        <f>IFERROR(__xludf.DUMMYFUNCTION("""COMPUTED_VALUE"""),193.6)</f>
        <v>193.6</v>
      </c>
      <c r="S97" s="3">
        <f>IFERROR(__xludf.DUMMYFUNCTION("""COMPUTED_VALUE"""),83.08)</f>
        <v>83.08</v>
      </c>
      <c r="T97" s="3">
        <f>IFERROR(__xludf.DUMMYFUNCTION("""COMPUTED_VALUE"""),79.78)</f>
        <v>79.78</v>
      </c>
      <c r="U97" s="3">
        <f>IFERROR(__xludf.DUMMYFUNCTION("""COMPUTED_VALUE"""),390.96)</f>
        <v>390.96</v>
      </c>
      <c r="V97" s="3">
        <f>IFERROR(__xludf.DUMMYFUNCTION("""COMPUTED_VALUE"""),48.06)</f>
        <v>48.06</v>
      </c>
      <c r="W97" s="3">
        <f>IFERROR(__xludf.DUMMYFUNCTION("""COMPUTED_VALUE"""),195.0)</f>
        <v>195</v>
      </c>
      <c r="X97" s="3">
        <f>IFERROR(__xludf.DUMMYFUNCTION("""COMPUTED_VALUE"""),141.99)</f>
        <v>141.99</v>
      </c>
      <c r="Y97" s="1">
        <f>IFERROR(__xludf.DUMMYFUNCTION("""COMPUTED_VALUE"""),344.99)</f>
        <v>344.99</v>
      </c>
      <c r="Z97" s="1">
        <f>IFERROR(__xludf.DUMMYFUNCTION("""COMPUTED_VALUE"""),40.52)</f>
        <v>40.52</v>
      </c>
      <c r="AA97" s="1">
        <f>IFERROR(__xludf.DUMMYFUNCTION("""COMPUTED_VALUE"""),71.4)</f>
        <v>71.4</v>
      </c>
      <c r="AB97" s="1">
        <f>IFERROR(__xludf.DUMMYFUNCTION("""COMPUTED_VALUE"""),103.12)</f>
        <v>103.12</v>
      </c>
      <c r="AC97" s="1">
        <f>IFERROR(__xludf.DUMMYFUNCTION("""COMPUTED_VALUE"""),162.06)</f>
        <v>162.06</v>
      </c>
      <c r="AD97" s="3">
        <f>IFERROR(__xludf.DUMMYFUNCTION("""COMPUTED_VALUE"""),72.88)</f>
        <v>72.88</v>
      </c>
      <c r="AE97" s="1">
        <f>IFERROR(__xludf.DUMMYFUNCTION("""COMPUTED_VALUE"""),432.35)</f>
        <v>432.35</v>
      </c>
      <c r="AF97" s="1">
        <f>IFERROR(__xludf.DUMMYFUNCTION("""COMPUTED_VALUE"""),63.94)</f>
        <v>63.94</v>
      </c>
      <c r="AG97" s="1">
        <f>IFERROR(__xludf.DUMMYFUNCTION("""COMPUTED_VALUE"""),112.8)</f>
        <v>112.8</v>
      </c>
      <c r="AH97" s="3">
        <f>IFERROR(__xludf.DUMMYFUNCTION("""COMPUTED_VALUE"""),266.33)</f>
        <v>266.33</v>
      </c>
      <c r="AI97" s="1">
        <f>IFERROR(__xludf.DUMMYFUNCTION("""COMPUTED_VALUE"""),478.03)</f>
        <v>478.03</v>
      </c>
      <c r="AJ97" s="1">
        <f>IFERROR(__xludf.DUMMYFUNCTION("""COMPUTED_VALUE"""),300.49)</f>
        <v>300.49</v>
      </c>
      <c r="AK97" s="3">
        <f>IFERROR(__xludf.DUMMYFUNCTION("""COMPUTED_VALUE"""),45.81)</f>
        <v>45.81</v>
      </c>
      <c r="AL97" s="1">
        <f>IFERROR(__xludf.DUMMYFUNCTION("""COMPUTED_VALUE"""),83.04)</f>
        <v>83.04</v>
      </c>
      <c r="AM97" s="1">
        <f>IFERROR(__xludf.DUMMYFUNCTION("""COMPUTED_VALUE"""),496.92)</f>
        <v>496.92</v>
      </c>
      <c r="AN97" s="1">
        <f>IFERROR(__xludf.DUMMYFUNCTION("""COMPUTED_VALUE"""),396.7)</f>
        <v>396.7</v>
      </c>
      <c r="AO97" s="1">
        <f>IFERROR(__xludf.DUMMYFUNCTION("""COMPUTED_VALUE"""),108.1)</f>
        <v>108.1</v>
      </c>
      <c r="AP97" s="1">
        <f>IFERROR(__xludf.DUMMYFUNCTION("""COMPUTED_VALUE"""),158.12)</f>
        <v>158.12</v>
      </c>
      <c r="AQ97" s="1">
        <f>IFERROR(__xludf.DUMMYFUNCTION("""COMPUTED_VALUE"""),486.33)</f>
        <v>486.33</v>
      </c>
      <c r="AR97" s="3">
        <f>IFERROR(__xludf.DUMMYFUNCTION("""COMPUTED_VALUE"""),209.78)</f>
        <v>209.78</v>
      </c>
      <c r="AS97" s="3">
        <f>IFERROR(__xludf.DUMMYFUNCTION("""COMPUTED_VALUE"""),577.4)</f>
        <v>577.4</v>
      </c>
      <c r="AT97" s="3">
        <f>IFERROR(__xludf.DUMMYFUNCTION("""COMPUTED_VALUE"""),268.82)</f>
        <v>268.82</v>
      </c>
      <c r="AU97" s="1">
        <f>IFERROR(__xludf.DUMMYFUNCTION("""COMPUTED_VALUE"""),29.63)</f>
        <v>29.63</v>
      </c>
      <c r="AV97" s="1">
        <f>IFERROR(__xludf.DUMMYFUNCTION("""COMPUTED_VALUE"""),89.45)</f>
        <v>89.45</v>
      </c>
      <c r="AW97" s="1">
        <f>IFERROR(__xludf.DUMMYFUNCTION("""COMPUTED_VALUE"""),81.54)</f>
        <v>81.54</v>
      </c>
      <c r="AX97" s="1">
        <f>IFERROR(__xludf.DUMMYFUNCTION("""COMPUTED_VALUE"""),16.9)</f>
        <v>16.9</v>
      </c>
      <c r="AY97" s="1">
        <f>IFERROR(__xludf.DUMMYFUNCTION("""COMPUTED_VALUE"""),431.31)</f>
        <v>431.31</v>
      </c>
      <c r="AZ97" s="3">
        <f>IFERROR(__xludf.DUMMYFUNCTION("""COMPUTED_VALUE"""),83.46)</f>
        <v>83.46</v>
      </c>
      <c r="BA97" s="3">
        <f>IFERROR(__xludf.DUMMYFUNCTION("""COMPUTED_VALUE"""),90.58)</f>
        <v>90.58</v>
      </c>
      <c r="BB97" s="3">
        <f>IFERROR(__xludf.DUMMYFUNCTION("""COMPUTED_VALUE"""),124.04)</f>
        <v>124.04</v>
      </c>
      <c r="BC97" s="1">
        <f>IFERROR(__xludf.DUMMYFUNCTION("""COMPUTED_VALUE"""),103.38)</f>
        <v>103.38</v>
      </c>
      <c r="BD97" s="1">
        <f>IFERROR(__xludf.DUMMYFUNCTION("""COMPUTED_VALUE"""),51.57)</f>
        <v>51.57</v>
      </c>
      <c r="BE97" s="3">
        <f>IFERROR(__xludf.DUMMYFUNCTION("""COMPUTED_VALUE"""),37.1)</f>
        <v>37.1</v>
      </c>
      <c r="BF97" s="1">
        <f>IFERROR(__xludf.DUMMYFUNCTION("""COMPUTED_VALUE"""),80.08)</f>
        <v>80.08</v>
      </c>
      <c r="BG97" s="1">
        <f>IFERROR(__xludf.DUMMYFUNCTION("""COMPUTED_VALUE"""),28.97)</f>
        <v>28.97</v>
      </c>
      <c r="BH97" s="1">
        <f>IFERROR(__xludf.DUMMYFUNCTION("""COMPUTED_VALUE"""),120.32)</f>
        <v>120.32</v>
      </c>
      <c r="BI97" s="1">
        <f>IFERROR(__xludf.DUMMYFUNCTION("""COMPUTED_VALUE"""),43.86)</f>
        <v>43.86</v>
      </c>
      <c r="BJ97" s="1">
        <f>IFERROR(__xludf.DUMMYFUNCTION("""COMPUTED_VALUE"""),203.25)</f>
        <v>203.25</v>
      </c>
      <c r="BK97" s="1">
        <f>IFERROR(__xludf.DUMMYFUNCTION("""COMPUTED_VALUE"""),619.33)</f>
        <v>619.33</v>
      </c>
      <c r="BL97" s="1">
        <f>IFERROR(__xludf.DUMMYFUNCTION("""COMPUTED_VALUE"""),189.36)</f>
        <v>189.36</v>
      </c>
      <c r="BM97" s="1">
        <f>IFERROR(__xludf.DUMMYFUNCTION("""COMPUTED_VALUE"""),144.56)</f>
        <v>144.56</v>
      </c>
      <c r="BN97" s="3">
        <f>IFERROR(__xludf.DUMMYFUNCTION("""COMPUTED_VALUE"""),8.74)</f>
        <v>8.74</v>
      </c>
      <c r="BO97" s="1">
        <f>IFERROR(__xludf.DUMMYFUNCTION("""COMPUTED_VALUE"""),243.23)</f>
        <v>243.23</v>
      </c>
      <c r="BP97" s="1">
        <f>IFERROR(__xludf.DUMMYFUNCTION("""COMPUTED_VALUE"""),574.81)</f>
        <v>574.81</v>
      </c>
      <c r="BQ97" s="36">
        <f>IFERROR(__xludf.DUMMYFUNCTION("""COMPUTED_VALUE"""),49.27)</f>
        <v>49.27</v>
      </c>
      <c r="BR97" s="1">
        <f>IFERROR(__xludf.DUMMYFUNCTION("""COMPUTED_VALUE"""),11.62)</f>
        <v>11.62</v>
      </c>
      <c r="BS97" s="3">
        <f>IFERROR(__xludf.DUMMYFUNCTION("""COMPUTED_VALUE"""),205.34)</f>
        <v>205.34</v>
      </c>
      <c r="BT97" s="1">
        <f>IFERROR(__xludf.DUMMYFUNCTION("""COMPUTED_VALUE"""),95.2)</f>
        <v>95.2</v>
      </c>
      <c r="BU97" s="3">
        <v>1.0</v>
      </c>
    </row>
    <row r="98">
      <c r="A98" s="25">
        <f>IFERROR(__xludf.DUMMYFUNCTION("""COMPUTED_VALUE"""),45562.66666666667)</f>
        <v>45562.66667</v>
      </c>
      <c r="B98" s="29">
        <f>'Master Scratch Work'!B97</f>
        <v>1351553.19</v>
      </c>
      <c r="C98" s="15">
        <f>IFERROR(__xludf.DUMMYFUNCTION("""COMPUTED_VALUE"""),5738.17)</f>
        <v>5738.17</v>
      </c>
      <c r="D98" s="15">
        <f>IFERROR(__xludf.DUMMYFUNCTION("""COMPUTED_VALUE"""),18119.59)</f>
        <v>18119.59</v>
      </c>
      <c r="E98" s="15">
        <f>IFERROR(__xludf.DUMMYFUNCTION("""COMPUTED_VALUE"""),42313.0)</f>
        <v>42313</v>
      </c>
      <c r="F98" s="15">
        <f>IFERROR(__xludf.DUMMYFUNCTION("""COMPUTED_VALUE"""),2224.7)</f>
        <v>2224.7</v>
      </c>
      <c r="G98" s="3">
        <f>IFERROR(__xludf.DUMMYFUNCTION("""COMPUTED_VALUE"""),571.47)</f>
        <v>571.47</v>
      </c>
      <c r="H98" s="3">
        <f>IFERROR(__xludf.DUMMYFUNCTION("""COMPUTED_VALUE"""),486.75)</f>
        <v>486.75</v>
      </c>
      <c r="I98" s="3">
        <f>IFERROR(__xludf.DUMMYFUNCTION("""COMPUTED_VALUE"""),515.48)</f>
        <v>515.48</v>
      </c>
      <c r="J98" s="3">
        <f>IFERROR(__xludf.DUMMYFUNCTION("""COMPUTED_VALUE"""),187.97)</f>
        <v>187.97</v>
      </c>
      <c r="K98" s="3">
        <f>IFERROR(__xludf.DUMMYFUNCTION("""COMPUTED_VALUE"""),144.93)</f>
        <v>144.93</v>
      </c>
      <c r="L98" s="3">
        <f>IFERROR(__xludf.DUMMYFUNCTION("""COMPUTED_VALUE"""),227.79)</f>
        <v>227.79</v>
      </c>
      <c r="M98" s="3">
        <f>IFERROR(__xludf.DUMMYFUNCTION("""COMPUTED_VALUE"""),204.92)</f>
        <v>204.92</v>
      </c>
      <c r="N98" s="3">
        <f>IFERROR(__xludf.DUMMYFUNCTION("""COMPUTED_VALUE"""),71.7)</f>
        <v>71.7</v>
      </c>
      <c r="O98" s="3">
        <f>IFERROR(__xludf.DUMMYFUNCTION("""COMPUTED_VALUE"""),12.3)</f>
        <v>12.3</v>
      </c>
      <c r="P98" s="3">
        <f>IFERROR(__xludf.DUMMYFUNCTION("""COMPUTED_VALUE"""),457.47)</f>
        <v>457.47</v>
      </c>
      <c r="Q98" s="3">
        <f>IFERROR(__xludf.DUMMYFUNCTION("""COMPUTED_VALUE"""),62.01)</f>
        <v>62.01</v>
      </c>
      <c r="R98" s="3">
        <f>IFERROR(__xludf.DUMMYFUNCTION("""COMPUTED_VALUE"""),194.67)</f>
        <v>194.67</v>
      </c>
      <c r="S98" s="3">
        <f>IFERROR(__xludf.DUMMYFUNCTION("""COMPUTED_VALUE"""),83.35)</f>
        <v>83.35</v>
      </c>
      <c r="T98" s="3">
        <f>IFERROR(__xludf.DUMMYFUNCTION("""COMPUTED_VALUE"""),80.52)</f>
        <v>80.52</v>
      </c>
      <c r="U98" s="3">
        <f>IFERROR(__xludf.DUMMYFUNCTION("""COMPUTED_VALUE"""),391.08)</f>
        <v>391.08</v>
      </c>
      <c r="V98" s="3">
        <f>IFERROR(__xludf.DUMMYFUNCTION("""COMPUTED_VALUE"""),47.98)</f>
        <v>47.98</v>
      </c>
      <c r="W98" s="3">
        <f>IFERROR(__xludf.DUMMYFUNCTION("""COMPUTED_VALUE"""),193.04)</f>
        <v>193.04</v>
      </c>
      <c r="X98" s="3">
        <f>IFERROR(__xludf.DUMMYFUNCTION("""COMPUTED_VALUE"""),145.49)</f>
        <v>145.49</v>
      </c>
      <c r="Y98" s="1">
        <f>IFERROR(__xludf.DUMMYFUNCTION("""COMPUTED_VALUE"""),347.7)</f>
        <v>347.7</v>
      </c>
      <c r="Z98" s="1">
        <f>IFERROR(__xludf.DUMMYFUNCTION("""COMPUTED_VALUE"""),40.8)</f>
        <v>40.8</v>
      </c>
      <c r="AA98" s="1">
        <f>IFERROR(__xludf.DUMMYFUNCTION("""COMPUTED_VALUE"""),71.79)</f>
        <v>71.79</v>
      </c>
      <c r="AB98" s="1">
        <f>IFERROR(__xludf.DUMMYFUNCTION("""COMPUTED_VALUE"""),104.05)</f>
        <v>104.05</v>
      </c>
      <c r="AC98" s="1">
        <f>IFERROR(__xludf.DUMMYFUNCTION("""COMPUTED_VALUE"""),161.16)</f>
        <v>161.16</v>
      </c>
      <c r="AD98" s="3">
        <f>IFERROR(__xludf.DUMMYFUNCTION("""COMPUTED_VALUE"""),73.12)</f>
        <v>73.12</v>
      </c>
      <c r="AE98" s="1">
        <f>IFERROR(__xludf.DUMMYFUNCTION("""COMPUTED_VALUE"""),429.03)</f>
        <v>429.03</v>
      </c>
      <c r="AF98" s="1">
        <f>IFERROR(__xludf.DUMMYFUNCTION("""COMPUTED_VALUE"""),64.0)</f>
        <v>64</v>
      </c>
      <c r="AG98" s="1">
        <f>IFERROR(__xludf.DUMMYFUNCTION("""COMPUTED_VALUE"""),115.82)</f>
        <v>115.82</v>
      </c>
      <c r="AH98" s="3">
        <f>IFERROR(__xludf.DUMMYFUNCTION("""COMPUTED_VALUE"""),267.55)</f>
        <v>267.55</v>
      </c>
      <c r="AI98" s="1">
        <f>IFERROR(__xludf.DUMMYFUNCTION("""COMPUTED_VALUE"""),471.68)</f>
        <v>471.68</v>
      </c>
      <c r="AJ98" s="1">
        <f>IFERROR(__xludf.DUMMYFUNCTION("""COMPUTED_VALUE"""),300.13)</f>
        <v>300.13</v>
      </c>
      <c r="AK98" s="3">
        <f>IFERROR(__xludf.DUMMYFUNCTION("""COMPUTED_VALUE"""),46.48)</f>
        <v>46.48</v>
      </c>
      <c r="AL98" s="1">
        <f>IFERROR(__xludf.DUMMYFUNCTION("""COMPUTED_VALUE"""),83.61)</f>
        <v>83.61</v>
      </c>
      <c r="AM98" s="1">
        <f>IFERROR(__xludf.DUMMYFUNCTION("""COMPUTED_VALUE"""),498.51)</f>
        <v>498.51</v>
      </c>
      <c r="AN98" s="1">
        <f>IFERROR(__xludf.DUMMYFUNCTION("""COMPUTED_VALUE"""),399.53)</f>
        <v>399.53</v>
      </c>
      <c r="AO98" s="1">
        <f>IFERROR(__xludf.DUMMYFUNCTION("""COMPUTED_VALUE"""),108.01)</f>
        <v>108.01</v>
      </c>
      <c r="AP98" s="1">
        <f>IFERROR(__xludf.DUMMYFUNCTION("""COMPUTED_VALUE"""),158.62)</f>
        <v>158.62</v>
      </c>
      <c r="AQ98" s="1">
        <f>IFERROR(__xludf.DUMMYFUNCTION("""COMPUTED_VALUE"""),479.18)</f>
        <v>479.18</v>
      </c>
      <c r="AR98" s="3">
        <f>IFERROR(__xludf.DUMMYFUNCTION("""COMPUTED_VALUE"""),210.5)</f>
        <v>210.5</v>
      </c>
      <c r="AS98" s="3">
        <f>IFERROR(__xludf.DUMMYFUNCTION("""COMPUTED_VALUE"""),582.36)</f>
        <v>582.36</v>
      </c>
      <c r="AT98" s="3">
        <f>IFERROR(__xludf.DUMMYFUNCTION("""COMPUTED_VALUE"""),280.01)</f>
        <v>280.01</v>
      </c>
      <c r="AU98" s="1">
        <f>IFERROR(__xludf.DUMMYFUNCTION("""COMPUTED_VALUE"""),29.53)</f>
        <v>29.53</v>
      </c>
      <c r="AV98" s="1">
        <f>IFERROR(__xludf.DUMMYFUNCTION("""COMPUTED_VALUE"""),89.32)</f>
        <v>89.32</v>
      </c>
      <c r="AW98" s="1">
        <f>IFERROR(__xludf.DUMMYFUNCTION("""COMPUTED_VALUE"""),82.48)</f>
        <v>82.48</v>
      </c>
      <c r="AX98" s="1">
        <f>IFERROR(__xludf.DUMMYFUNCTION("""COMPUTED_VALUE"""),18.39)</f>
        <v>18.39</v>
      </c>
      <c r="AY98" s="1">
        <f>IFERROR(__xludf.DUMMYFUNCTION("""COMPUTED_VALUE"""),428.02)</f>
        <v>428.02</v>
      </c>
      <c r="AZ98" s="3">
        <f>IFERROR(__xludf.DUMMYFUNCTION("""COMPUTED_VALUE"""),84.54)</f>
        <v>84.54</v>
      </c>
      <c r="BA98" s="3">
        <f>IFERROR(__xludf.DUMMYFUNCTION("""COMPUTED_VALUE"""),91.22)</f>
        <v>91.22</v>
      </c>
      <c r="BB98" s="3">
        <f>IFERROR(__xludf.DUMMYFUNCTION("""COMPUTED_VALUE"""),121.4)</f>
        <v>121.4</v>
      </c>
      <c r="BC98" s="1">
        <f>IFERROR(__xludf.DUMMYFUNCTION("""COMPUTED_VALUE"""),104.43)</f>
        <v>104.43</v>
      </c>
      <c r="BD98" s="1">
        <f>IFERROR(__xludf.DUMMYFUNCTION("""COMPUTED_VALUE"""),51.13)</f>
        <v>51.13</v>
      </c>
      <c r="BE98" s="3">
        <f>IFERROR(__xludf.DUMMYFUNCTION("""COMPUTED_VALUE"""),36.84)</f>
        <v>36.84</v>
      </c>
      <c r="BF98" s="1">
        <f>IFERROR(__xludf.DUMMYFUNCTION("""COMPUTED_VALUE"""),77.88)</f>
        <v>77.88</v>
      </c>
      <c r="BG98" s="1">
        <f>IFERROR(__xludf.DUMMYFUNCTION("""COMPUTED_VALUE"""),29.09)</f>
        <v>29.09</v>
      </c>
      <c r="BH98" s="1">
        <f>IFERROR(__xludf.DUMMYFUNCTION("""COMPUTED_VALUE"""),120.39)</f>
        <v>120.39</v>
      </c>
      <c r="BI98" s="1">
        <f>IFERROR(__xludf.DUMMYFUNCTION("""COMPUTED_VALUE"""),44.17)</f>
        <v>44.17</v>
      </c>
      <c r="BJ98" s="1">
        <f>IFERROR(__xludf.DUMMYFUNCTION("""COMPUTED_VALUE"""),205.18)</f>
        <v>205.18</v>
      </c>
      <c r="BK98" s="1">
        <f>IFERROR(__xludf.DUMMYFUNCTION("""COMPUTED_VALUE"""),614.42)</f>
        <v>614.42</v>
      </c>
      <c r="BL98" s="1">
        <f>IFERROR(__xludf.DUMMYFUNCTION("""COMPUTED_VALUE"""),182.82)</f>
        <v>182.82</v>
      </c>
      <c r="BM98" s="1">
        <f>IFERROR(__xludf.DUMMYFUNCTION("""COMPUTED_VALUE"""),159.14)</f>
        <v>159.14</v>
      </c>
      <c r="BN98" s="3">
        <f>IFERROR(__xludf.DUMMYFUNCTION("""COMPUTED_VALUE"""),8.94)</f>
        <v>8.94</v>
      </c>
      <c r="BO98" s="1">
        <f>IFERROR(__xludf.DUMMYFUNCTION("""COMPUTED_VALUE"""),244.22)</f>
        <v>244.22</v>
      </c>
      <c r="BP98" s="1">
        <f>IFERROR(__xludf.DUMMYFUNCTION("""COMPUTED_VALUE"""),581.85)</f>
        <v>581.85</v>
      </c>
      <c r="BQ98" s="36">
        <f>IFERROR(__xludf.DUMMYFUNCTION("""COMPUTED_VALUE"""),49.36)</f>
        <v>49.36</v>
      </c>
      <c r="BR98" s="1">
        <f>IFERROR(__xludf.DUMMYFUNCTION("""COMPUTED_VALUE"""),11.55)</f>
        <v>11.55</v>
      </c>
      <c r="BS98" s="3">
        <f>IFERROR(__xludf.DUMMYFUNCTION("""COMPUTED_VALUE"""),205.51)</f>
        <v>205.51</v>
      </c>
      <c r="BT98" s="1">
        <f>IFERROR(__xludf.DUMMYFUNCTION("""COMPUTED_VALUE"""),96.01)</f>
        <v>96.01</v>
      </c>
      <c r="BU98" s="3">
        <v>1.0</v>
      </c>
    </row>
    <row r="99">
      <c r="A99" s="25">
        <f>IFERROR(__xludf.DUMMYFUNCTION("""COMPUTED_VALUE"""),45565.66666666667)</f>
        <v>45565.66667</v>
      </c>
      <c r="B99" s="29">
        <f>'Master Scratch Work'!B98</f>
        <v>1353699</v>
      </c>
      <c r="C99" s="15">
        <f>IFERROR(__xludf.DUMMYFUNCTION("""COMPUTED_VALUE"""),5762.48)</f>
        <v>5762.48</v>
      </c>
      <c r="D99" s="15">
        <f>IFERROR(__xludf.DUMMYFUNCTION("""COMPUTED_VALUE"""),18189.17)</f>
        <v>18189.17</v>
      </c>
      <c r="E99" s="15">
        <f>IFERROR(__xludf.DUMMYFUNCTION("""COMPUTED_VALUE"""),42330.15)</f>
        <v>42330.15</v>
      </c>
      <c r="F99" s="15">
        <f>IFERROR(__xludf.DUMMYFUNCTION("""COMPUTED_VALUE"""),2229.97)</f>
        <v>2229.97</v>
      </c>
      <c r="G99" s="3">
        <f>IFERROR(__xludf.DUMMYFUNCTION("""COMPUTED_VALUE"""),573.76)</f>
        <v>573.76</v>
      </c>
      <c r="H99" s="3">
        <f>IFERROR(__xludf.DUMMYFUNCTION("""COMPUTED_VALUE"""),488.07)</f>
        <v>488.07</v>
      </c>
      <c r="I99" s="3">
        <f>IFERROR(__xludf.DUMMYFUNCTION("""COMPUTED_VALUE"""),517.78)</f>
        <v>517.78</v>
      </c>
      <c r="J99" s="3">
        <f>IFERROR(__xludf.DUMMYFUNCTION("""COMPUTED_VALUE"""),186.33)</f>
        <v>186.33</v>
      </c>
      <c r="K99" s="3">
        <f>IFERROR(__xludf.DUMMYFUNCTION("""COMPUTED_VALUE"""),146.24)</f>
        <v>146.24</v>
      </c>
      <c r="L99" s="3">
        <f>IFERROR(__xludf.DUMMYFUNCTION("""COMPUTED_VALUE"""),233.0)</f>
        <v>233</v>
      </c>
      <c r="M99" s="3">
        <f>IFERROR(__xludf.DUMMYFUNCTION("""COMPUTED_VALUE"""),202.05)</f>
        <v>202.05</v>
      </c>
      <c r="N99" s="3">
        <f>IFERROR(__xludf.DUMMYFUNCTION("""COMPUTED_VALUE"""),71.86)</f>
        <v>71.86</v>
      </c>
      <c r="O99" s="3">
        <f>IFERROR(__xludf.DUMMYFUNCTION("""COMPUTED_VALUE"""),12.15)</f>
        <v>12.15</v>
      </c>
      <c r="P99" s="3">
        <f>IFERROR(__xludf.DUMMYFUNCTION("""COMPUTED_VALUE"""),460.26)</f>
        <v>460.26</v>
      </c>
      <c r="Q99" s="3">
        <f>IFERROR(__xludf.DUMMYFUNCTION("""COMPUTED_VALUE"""),62.11)</f>
        <v>62.11</v>
      </c>
      <c r="R99" s="3">
        <f>IFERROR(__xludf.DUMMYFUNCTION("""COMPUTED_VALUE"""),193.84)</f>
        <v>193.84</v>
      </c>
      <c r="S99" s="3">
        <f>IFERROR(__xludf.DUMMYFUNCTION("""COMPUTED_VALUE"""),83.8)</f>
        <v>83.8</v>
      </c>
      <c r="T99" s="3">
        <f>IFERROR(__xludf.DUMMYFUNCTION("""COMPUTED_VALUE"""),80.49)</f>
        <v>80.49</v>
      </c>
      <c r="U99" s="3">
        <f>IFERROR(__xludf.DUMMYFUNCTION("""COMPUTED_VALUE"""),391.12)</f>
        <v>391.12</v>
      </c>
      <c r="V99" s="3">
        <f>IFERROR(__xludf.DUMMYFUNCTION("""COMPUTED_VALUE"""),47.76)</f>
        <v>47.76</v>
      </c>
      <c r="W99" s="3">
        <f>IFERROR(__xludf.DUMMYFUNCTION("""COMPUTED_VALUE"""),192.81)</f>
        <v>192.81</v>
      </c>
      <c r="X99" s="3">
        <f>IFERROR(__xludf.DUMMYFUNCTION("""COMPUTED_VALUE"""),147.27)</f>
        <v>147.27</v>
      </c>
      <c r="Y99" s="1">
        <f>IFERROR(__xludf.DUMMYFUNCTION("""COMPUTED_VALUE"""),346.44)</f>
        <v>346.44</v>
      </c>
      <c r="Z99" s="1">
        <f>IFERROR(__xludf.DUMMYFUNCTION("""COMPUTED_VALUE"""),41.07)</f>
        <v>41.07</v>
      </c>
      <c r="AA99" s="1">
        <f>IFERROR(__xludf.DUMMYFUNCTION("""COMPUTED_VALUE"""),71.86)</f>
        <v>71.86</v>
      </c>
      <c r="AB99" s="1">
        <f>IFERROR(__xludf.DUMMYFUNCTION("""COMPUTED_VALUE"""),104.13)</f>
        <v>104.13</v>
      </c>
      <c r="AC99" s="1">
        <f>IFERROR(__xludf.DUMMYFUNCTION("""COMPUTED_VALUE"""),161.83)</f>
        <v>161.83</v>
      </c>
      <c r="AD99" s="3">
        <f>IFERROR(__xludf.DUMMYFUNCTION("""COMPUTED_VALUE"""),70.32)</f>
        <v>70.32</v>
      </c>
      <c r="AE99" s="1">
        <f>IFERROR(__xludf.DUMMYFUNCTION("""COMPUTED_VALUE"""),430.14)</f>
        <v>430.14</v>
      </c>
      <c r="AF99" s="1">
        <f>IFERROR(__xludf.DUMMYFUNCTION("""COMPUTED_VALUE"""),65.11)</f>
        <v>65.11</v>
      </c>
      <c r="AG99" s="1">
        <f>IFERROR(__xludf.DUMMYFUNCTION("""COMPUTED_VALUE"""),117.22)</f>
        <v>117.22</v>
      </c>
      <c r="AH99" s="3">
        <f>IFERROR(__xludf.DUMMYFUNCTION("""COMPUTED_VALUE"""),273.68)</f>
        <v>273.68</v>
      </c>
      <c r="AI99" s="1">
        <f>IFERROR(__xludf.DUMMYFUNCTION("""COMPUTED_VALUE"""),470.11)</f>
        <v>470.11</v>
      </c>
      <c r="AJ99" s="1">
        <f>IFERROR(__xludf.DUMMYFUNCTION("""COMPUTED_VALUE"""),302.2)</f>
        <v>302.2</v>
      </c>
      <c r="AK99" s="3">
        <f>IFERROR(__xludf.DUMMYFUNCTION("""COMPUTED_VALUE"""),44.84)</f>
        <v>44.84</v>
      </c>
      <c r="AL99" s="1">
        <f>IFERROR(__xludf.DUMMYFUNCTION("""COMPUTED_VALUE"""),83.84)</f>
        <v>83.84</v>
      </c>
      <c r="AM99" s="1">
        <f>IFERROR(__xludf.DUMMYFUNCTION("""COMPUTED_VALUE"""),495.11)</f>
        <v>495.11</v>
      </c>
      <c r="AN99" s="1">
        <f>IFERROR(__xludf.DUMMYFUNCTION("""COMPUTED_VALUE"""),405.2)</f>
        <v>405.2</v>
      </c>
      <c r="AO99" s="1">
        <f>IFERROR(__xludf.DUMMYFUNCTION("""COMPUTED_VALUE"""),108.7)</f>
        <v>108.7</v>
      </c>
      <c r="AP99" s="1">
        <f>IFERROR(__xludf.DUMMYFUNCTION("""COMPUTED_VALUE"""),160.64)</f>
        <v>160.64</v>
      </c>
      <c r="AQ99" s="1">
        <f>IFERROR(__xludf.DUMMYFUNCTION("""COMPUTED_VALUE"""),491.27)</f>
        <v>491.27</v>
      </c>
      <c r="AR99" s="3">
        <f>IFERROR(__xludf.DUMMYFUNCTION("""COMPUTED_VALUE"""),210.86)</f>
        <v>210.86</v>
      </c>
      <c r="AS99" s="3">
        <f>IFERROR(__xludf.DUMMYFUNCTION("""COMPUTED_VALUE"""),584.56)</f>
        <v>584.56</v>
      </c>
      <c r="AT99" s="3">
        <f>IFERROR(__xludf.DUMMYFUNCTION("""COMPUTED_VALUE"""),271.35)</f>
        <v>271.35</v>
      </c>
      <c r="AU99" s="1">
        <f>IFERROR(__xludf.DUMMYFUNCTION("""COMPUTED_VALUE"""),29.55)</f>
        <v>29.55</v>
      </c>
      <c r="AV99" s="1">
        <f>IFERROR(__xludf.DUMMYFUNCTION("""COMPUTED_VALUE"""),90.03)</f>
        <v>90.03</v>
      </c>
      <c r="AW99" s="1">
        <f>IFERROR(__xludf.DUMMYFUNCTION("""COMPUTED_VALUE"""),82.48)</f>
        <v>82.48</v>
      </c>
      <c r="AX99" s="1">
        <f>IFERROR(__xludf.DUMMYFUNCTION("""COMPUTED_VALUE"""),17.65)</f>
        <v>17.65</v>
      </c>
      <c r="AY99" s="1">
        <f>IFERROR(__xludf.DUMMYFUNCTION("""COMPUTED_VALUE"""),430.3)</f>
        <v>430.3</v>
      </c>
      <c r="AZ99" s="3">
        <f>IFERROR(__xludf.DUMMYFUNCTION("""COMPUTED_VALUE"""),84.53)</f>
        <v>84.53</v>
      </c>
      <c r="BA99" s="3">
        <f>IFERROR(__xludf.DUMMYFUNCTION("""COMPUTED_VALUE"""),91.1)</f>
        <v>91.1</v>
      </c>
      <c r="BB99" s="3">
        <f>IFERROR(__xludf.DUMMYFUNCTION("""COMPUTED_VALUE"""),121.44)</f>
        <v>121.44</v>
      </c>
      <c r="BC99" s="1">
        <f>IFERROR(__xludf.DUMMYFUNCTION("""COMPUTED_VALUE"""),103.94)</f>
        <v>103.94</v>
      </c>
      <c r="BD99" s="1">
        <f>IFERROR(__xludf.DUMMYFUNCTION("""COMPUTED_VALUE"""),50.15)</f>
        <v>50.15</v>
      </c>
      <c r="BE99" s="3">
        <f>IFERROR(__xludf.DUMMYFUNCTION("""COMPUTED_VALUE"""),37.2)</f>
        <v>37.2</v>
      </c>
      <c r="BF99" s="1">
        <f>IFERROR(__xludf.DUMMYFUNCTION("""COMPUTED_VALUE"""),78.03)</f>
        <v>78.03</v>
      </c>
      <c r="BG99" s="1">
        <f>IFERROR(__xludf.DUMMYFUNCTION("""COMPUTED_VALUE"""),28.94)</f>
        <v>28.94</v>
      </c>
      <c r="BH99" s="1">
        <f>IFERROR(__xludf.DUMMYFUNCTION("""COMPUTED_VALUE"""),121.16)</f>
        <v>121.16</v>
      </c>
      <c r="BI99" s="1">
        <f>IFERROR(__xludf.DUMMYFUNCTION("""COMPUTED_VALUE"""),45.35)</f>
        <v>45.35</v>
      </c>
      <c r="BJ99" s="1">
        <f>IFERROR(__xludf.DUMMYFUNCTION("""COMPUTED_VALUE"""),206.36)</f>
        <v>206.36</v>
      </c>
      <c r="BK99" s="1">
        <f>IFERROR(__xludf.DUMMYFUNCTION("""COMPUTED_VALUE"""),618.57)</f>
        <v>618.57</v>
      </c>
      <c r="BL99" s="1">
        <f>IFERROR(__xludf.DUMMYFUNCTION("""COMPUTED_VALUE"""),178.57)</f>
        <v>178.57</v>
      </c>
      <c r="BM99" s="1">
        <f>IFERROR(__xludf.DUMMYFUNCTION("""COMPUTED_VALUE"""),157.0)</f>
        <v>157</v>
      </c>
      <c r="BN99" s="3">
        <f>IFERROR(__xludf.DUMMYFUNCTION("""COMPUTED_VALUE"""),8.91)</f>
        <v>8.91</v>
      </c>
      <c r="BO99" s="1">
        <f>IFERROR(__xludf.DUMMYFUNCTION("""COMPUTED_VALUE"""),246.48)</f>
        <v>246.48</v>
      </c>
      <c r="BP99" s="1">
        <f>IFERROR(__xludf.DUMMYFUNCTION("""COMPUTED_VALUE"""),584.68)</f>
        <v>584.68</v>
      </c>
      <c r="BQ99" s="36">
        <f>IFERROR(__xludf.DUMMYFUNCTION("""COMPUTED_VALUE"""),49.31)</f>
        <v>49.31</v>
      </c>
      <c r="BR99" s="1">
        <f>IFERROR(__xludf.DUMMYFUNCTION("""COMPUTED_VALUE"""),11.61)</f>
        <v>11.61</v>
      </c>
      <c r="BS99" s="3">
        <f>IFERROR(__xludf.DUMMYFUNCTION("""COMPUTED_VALUE"""),207.6)</f>
        <v>207.6</v>
      </c>
      <c r="BT99" s="1">
        <f>IFERROR(__xludf.DUMMYFUNCTION("""COMPUTED_VALUE"""),96.19)</f>
        <v>96.19</v>
      </c>
      <c r="BU99" s="3">
        <v>1.0</v>
      </c>
    </row>
    <row r="100">
      <c r="A100" s="25">
        <f>IFERROR(__xludf.DUMMYFUNCTION("""COMPUTED_VALUE"""),45566.66666666667)</f>
        <v>45566.66667</v>
      </c>
      <c r="B100" s="29">
        <f>'Master Scratch Work'!B99</f>
        <v>1344027.11</v>
      </c>
      <c r="C100" s="15">
        <f>IFERROR(__xludf.DUMMYFUNCTION("""COMPUTED_VALUE"""),5708.75)</f>
        <v>5708.75</v>
      </c>
      <c r="D100" s="15">
        <f>IFERROR(__xludf.DUMMYFUNCTION("""COMPUTED_VALUE"""),17910.36)</f>
        <v>17910.36</v>
      </c>
      <c r="E100" s="15">
        <f>IFERROR(__xludf.DUMMYFUNCTION("""COMPUTED_VALUE"""),42156.97)</f>
        <v>42156.97</v>
      </c>
      <c r="F100" s="15">
        <f>IFERROR(__xludf.DUMMYFUNCTION("""COMPUTED_VALUE"""),2197.03)</f>
        <v>2197.03</v>
      </c>
      <c r="G100" s="3">
        <f>IFERROR(__xludf.DUMMYFUNCTION("""COMPUTED_VALUE"""),568.62)</f>
        <v>568.62</v>
      </c>
      <c r="H100" s="3">
        <f>IFERROR(__xludf.DUMMYFUNCTION("""COMPUTED_VALUE"""),481.27)</f>
        <v>481.27</v>
      </c>
      <c r="I100" s="3">
        <f>IFERROR(__xludf.DUMMYFUNCTION("""COMPUTED_VALUE"""),502.8)</f>
        <v>502.8</v>
      </c>
      <c r="J100" s="3">
        <f>IFERROR(__xludf.DUMMYFUNCTION("""COMPUTED_VALUE"""),185.13)</f>
        <v>185.13</v>
      </c>
      <c r="K100" s="3">
        <f>IFERROR(__xludf.DUMMYFUNCTION("""COMPUTED_VALUE"""),145.67)</f>
        <v>145.67</v>
      </c>
      <c r="L100" s="3">
        <f>IFERROR(__xludf.DUMMYFUNCTION("""COMPUTED_VALUE"""),226.21)</f>
        <v>226.21</v>
      </c>
      <c r="M100" s="3">
        <f>IFERROR(__xludf.DUMMYFUNCTION("""COMPUTED_VALUE"""),197.2)</f>
        <v>197.2</v>
      </c>
      <c r="N100" s="3">
        <f>IFERROR(__xludf.DUMMYFUNCTION("""COMPUTED_VALUE"""),71.11)</f>
        <v>71.11</v>
      </c>
      <c r="O100" s="3">
        <f>IFERROR(__xludf.DUMMYFUNCTION("""COMPUTED_VALUE"""),11.77)</f>
        <v>11.77</v>
      </c>
      <c r="P100" s="3">
        <f>IFERROR(__xludf.DUMMYFUNCTION("""COMPUTED_VALUE"""),457.41)</f>
        <v>457.41</v>
      </c>
      <c r="Q100" s="3">
        <f>IFERROR(__xludf.DUMMYFUNCTION("""COMPUTED_VALUE"""),62.39)</f>
        <v>62.39</v>
      </c>
      <c r="R100" s="3">
        <f>IFERROR(__xludf.DUMMYFUNCTION("""COMPUTED_VALUE"""),190.8)</f>
        <v>190.8</v>
      </c>
      <c r="S100" s="3">
        <f>IFERROR(__xludf.DUMMYFUNCTION("""COMPUTED_VALUE"""),84.14)</f>
        <v>84.14</v>
      </c>
      <c r="T100" s="3">
        <f>IFERROR(__xludf.DUMMYFUNCTION("""COMPUTED_VALUE"""),79.35)</f>
        <v>79.35</v>
      </c>
      <c r="U100" s="3">
        <f>IFERROR(__xludf.DUMMYFUNCTION("""COMPUTED_VALUE"""),392.39)</f>
        <v>392.39</v>
      </c>
      <c r="V100" s="3">
        <f>IFERROR(__xludf.DUMMYFUNCTION("""COMPUTED_VALUE"""),48.64)</f>
        <v>48.64</v>
      </c>
      <c r="W100" s="3">
        <f>IFERROR(__xludf.DUMMYFUNCTION("""COMPUTED_VALUE"""),188.99)</f>
        <v>188.99</v>
      </c>
      <c r="X100" s="3">
        <f>IFERROR(__xludf.DUMMYFUNCTION("""COMPUTED_VALUE"""),149.7)</f>
        <v>149.7</v>
      </c>
      <c r="Y100" s="1">
        <f>IFERROR(__xludf.DUMMYFUNCTION("""COMPUTED_VALUE"""),348.09)</f>
        <v>348.09</v>
      </c>
      <c r="Z100" s="1">
        <f>IFERROR(__xludf.DUMMYFUNCTION("""COMPUTED_VALUE"""),39.92)</f>
        <v>39.92</v>
      </c>
      <c r="AA100" s="1">
        <f>IFERROR(__xludf.DUMMYFUNCTION("""COMPUTED_VALUE"""),71.71)</f>
        <v>71.71</v>
      </c>
      <c r="AB100" s="1">
        <f>IFERROR(__xludf.DUMMYFUNCTION("""COMPUTED_VALUE"""),105.15)</f>
        <v>105.15</v>
      </c>
      <c r="AC100" s="1">
        <f>IFERROR(__xludf.DUMMYFUNCTION("""COMPUTED_VALUE"""),160.27)</f>
        <v>160.27</v>
      </c>
      <c r="AD100" s="3">
        <f>IFERROR(__xludf.DUMMYFUNCTION("""COMPUTED_VALUE"""),70.44)</f>
        <v>70.44</v>
      </c>
      <c r="AE100" s="1">
        <f>IFERROR(__xludf.DUMMYFUNCTION("""COMPUTED_VALUE"""),430.66)</f>
        <v>430.66</v>
      </c>
      <c r="AF100" s="1">
        <f>IFERROR(__xludf.DUMMYFUNCTION("""COMPUTED_VALUE"""),65.83)</f>
        <v>65.83</v>
      </c>
      <c r="AG100" s="1">
        <f>IFERROR(__xludf.DUMMYFUNCTION("""COMPUTED_VALUE"""),119.93)</f>
        <v>119.93</v>
      </c>
      <c r="AH100" s="3">
        <f>IFERROR(__xludf.DUMMYFUNCTION("""COMPUTED_VALUE"""),269.56)</f>
        <v>269.56</v>
      </c>
      <c r="AI100" s="1">
        <f>IFERROR(__xludf.DUMMYFUNCTION("""COMPUTED_VALUE"""),455.86)</f>
        <v>455.86</v>
      </c>
      <c r="AJ100" s="1">
        <f>IFERROR(__xludf.DUMMYFUNCTION("""COMPUTED_VALUE"""),305.33)</f>
        <v>305.33</v>
      </c>
      <c r="AK100" s="3">
        <f>IFERROR(__xludf.DUMMYFUNCTION("""COMPUTED_VALUE"""),44.88)</f>
        <v>44.88</v>
      </c>
      <c r="AL100" s="1">
        <f>IFERROR(__xludf.DUMMYFUNCTION("""COMPUTED_VALUE"""),83.94)</f>
        <v>83.94</v>
      </c>
      <c r="AM100" s="1">
        <f>IFERROR(__xludf.DUMMYFUNCTION("""COMPUTED_VALUE"""),490.17)</f>
        <v>490.17</v>
      </c>
      <c r="AN100" s="1">
        <f>IFERROR(__xludf.DUMMYFUNCTION("""COMPUTED_VALUE"""),409.05)</f>
        <v>409.05</v>
      </c>
      <c r="AO100" s="1">
        <f>IFERROR(__xludf.DUMMYFUNCTION("""COMPUTED_VALUE"""),107.58)</f>
        <v>107.58</v>
      </c>
      <c r="AP100" s="1">
        <f>IFERROR(__xludf.DUMMYFUNCTION("""COMPUTED_VALUE"""),161.14)</f>
        <v>161.14</v>
      </c>
      <c r="AQ100" s="1">
        <f>IFERROR(__xludf.DUMMYFUNCTION("""COMPUTED_VALUE"""),484.76)</f>
        <v>484.76</v>
      </c>
      <c r="AR100" s="3">
        <f>IFERROR(__xludf.DUMMYFUNCTION("""COMPUTED_VALUE"""),207.04)</f>
        <v>207.04</v>
      </c>
      <c r="AS100" s="3">
        <f>IFERROR(__xludf.DUMMYFUNCTION("""COMPUTED_VALUE"""),605.86)</f>
        <v>605.86</v>
      </c>
      <c r="AT100" s="3">
        <f>IFERROR(__xludf.DUMMYFUNCTION("""COMPUTED_VALUE"""),266.45)</f>
        <v>266.45</v>
      </c>
      <c r="AU100" s="1">
        <f>IFERROR(__xludf.DUMMYFUNCTION("""COMPUTED_VALUE"""),29.52)</f>
        <v>29.52</v>
      </c>
      <c r="AV100" s="1">
        <f>IFERROR(__xludf.DUMMYFUNCTION("""COMPUTED_VALUE"""),90.0)</f>
        <v>90</v>
      </c>
      <c r="AW100" s="1">
        <f>IFERROR(__xludf.DUMMYFUNCTION("""COMPUTED_VALUE"""),81.78)</f>
        <v>81.78</v>
      </c>
      <c r="AX100" s="1">
        <f>IFERROR(__xludf.DUMMYFUNCTION("""COMPUTED_VALUE"""),17.54)</f>
        <v>17.54</v>
      </c>
      <c r="AY100" s="1">
        <f>IFERROR(__xludf.DUMMYFUNCTION("""COMPUTED_VALUE"""),420.69)</f>
        <v>420.69</v>
      </c>
      <c r="AZ100" s="3">
        <f>IFERROR(__xludf.DUMMYFUNCTION("""COMPUTED_VALUE"""),85.27)</f>
        <v>85.27</v>
      </c>
      <c r="BA100" s="3">
        <f>IFERROR(__xludf.DUMMYFUNCTION("""COMPUTED_VALUE"""),92.65)</f>
        <v>92.65</v>
      </c>
      <c r="BB100" s="3">
        <f>IFERROR(__xludf.DUMMYFUNCTION("""COMPUTED_VALUE"""),117.0)</f>
        <v>117</v>
      </c>
      <c r="BC100" s="1">
        <f>IFERROR(__xludf.DUMMYFUNCTION("""COMPUTED_VALUE"""),103.77)</f>
        <v>103.77</v>
      </c>
      <c r="BD100" s="1">
        <f>IFERROR(__xludf.DUMMYFUNCTION("""COMPUTED_VALUE"""),49.35)</f>
        <v>49.35</v>
      </c>
      <c r="BE100" s="3">
        <f>IFERROR(__xludf.DUMMYFUNCTION("""COMPUTED_VALUE"""),36.46)</f>
        <v>36.46</v>
      </c>
      <c r="BF100" s="1">
        <f>IFERROR(__xludf.DUMMYFUNCTION("""COMPUTED_VALUE"""),77.47)</f>
        <v>77.47</v>
      </c>
      <c r="BG100" s="1">
        <f>IFERROR(__xludf.DUMMYFUNCTION("""COMPUTED_VALUE"""),28.67)</f>
        <v>28.67</v>
      </c>
      <c r="BH100" s="1">
        <f>IFERROR(__xludf.DUMMYFUNCTION("""COMPUTED_VALUE"""),124.39)</f>
        <v>124.39</v>
      </c>
      <c r="BI100" s="1">
        <f>IFERROR(__xludf.DUMMYFUNCTION("""COMPUTED_VALUE"""),45.17)</f>
        <v>45.17</v>
      </c>
      <c r="BJ100" s="1">
        <f>IFERROR(__xludf.DUMMYFUNCTION("""COMPUTED_VALUE"""),206.1)</f>
        <v>206.1</v>
      </c>
      <c r="BK100" s="1">
        <f>IFERROR(__xludf.DUMMYFUNCTION("""COMPUTED_VALUE"""),612.94)</f>
        <v>612.94</v>
      </c>
      <c r="BL100" s="1">
        <f>IFERROR(__xludf.DUMMYFUNCTION("""COMPUTED_VALUE"""),178.06)</f>
        <v>178.06</v>
      </c>
      <c r="BM100" s="1">
        <f>IFERROR(__xludf.DUMMYFUNCTION("""COMPUTED_VALUE"""),144.82)</f>
        <v>144.82</v>
      </c>
      <c r="BN100" s="3">
        <f>IFERROR(__xludf.DUMMYFUNCTION("""COMPUTED_VALUE"""),8.86)</f>
        <v>8.86</v>
      </c>
      <c r="BO100" s="1">
        <f>IFERROR(__xludf.DUMMYFUNCTION("""COMPUTED_VALUE"""),245.55)</f>
        <v>245.55</v>
      </c>
      <c r="BP100" s="1">
        <f>IFERROR(__xludf.DUMMYFUNCTION("""COMPUTED_VALUE"""),583.3)</f>
        <v>583.3</v>
      </c>
      <c r="BQ100" s="36">
        <f>IFERROR(__xludf.DUMMYFUNCTION("""COMPUTED_VALUE"""),49.08)</f>
        <v>49.08</v>
      </c>
      <c r="BR100" s="1">
        <f>IFERROR(__xludf.DUMMYFUNCTION("""COMPUTED_VALUE"""),11.49)</f>
        <v>11.49</v>
      </c>
      <c r="BS100" s="3">
        <f>IFERROR(__xludf.DUMMYFUNCTION("""COMPUTED_VALUE"""),207.93)</f>
        <v>207.93</v>
      </c>
      <c r="BT100" s="1">
        <f>IFERROR(__xludf.DUMMYFUNCTION("""COMPUTED_VALUE"""),94.05)</f>
        <v>94.05</v>
      </c>
      <c r="BU100" s="3">
        <v>1.0</v>
      </c>
    </row>
    <row r="101">
      <c r="A101" s="25">
        <f>IFERROR(__xludf.DUMMYFUNCTION("""COMPUTED_VALUE"""),45567.66666666667)</f>
        <v>45567.66667</v>
      </c>
      <c r="B101" s="29">
        <f>'Master Scratch Work'!B100</f>
        <v>1344499.27</v>
      </c>
      <c r="C101" s="15">
        <f>IFERROR(__xludf.DUMMYFUNCTION("""COMPUTED_VALUE"""),5709.54)</f>
        <v>5709.54</v>
      </c>
      <c r="D101" s="15">
        <f>IFERROR(__xludf.DUMMYFUNCTION("""COMPUTED_VALUE"""),17925.12)</f>
        <v>17925.12</v>
      </c>
      <c r="E101" s="15">
        <f>IFERROR(__xludf.DUMMYFUNCTION("""COMPUTED_VALUE"""),42196.52)</f>
        <v>42196.52</v>
      </c>
      <c r="F101" s="15">
        <f>IFERROR(__xludf.DUMMYFUNCTION("""COMPUTED_VALUE"""),2195.01)</f>
        <v>2195.01</v>
      </c>
      <c r="G101" s="3">
        <f>IFERROR(__xludf.DUMMYFUNCTION("""COMPUTED_VALUE"""),568.86)</f>
        <v>568.86</v>
      </c>
      <c r="H101" s="3">
        <f>IFERROR(__xludf.DUMMYFUNCTION("""COMPUTED_VALUE"""),481.95)</f>
        <v>481.95</v>
      </c>
      <c r="I101" s="3">
        <f>IFERROR(__xludf.DUMMYFUNCTION("""COMPUTED_VALUE"""),505.81)</f>
        <v>505.81</v>
      </c>
      <c r="J101" s="3">
        <f>IFERROR(__xludf.DUMMYFUNCTION("""COMPUTED_VALUE"""),184.76)</f>
        <v>184.76</v>
      </c>
      <c r="K101" s="3">
        <f>IFERROR(__xludf.DUMMYFUNCTION("""COMPUTED_VALUE"""),146.1)</f>
        <v>146.1</v>
      </c>
      <c r="L101" s="3">
        <f>IFERROR(__xludf.DUMMYFUNCTION("""COMPUTED_VALUE"""),226.78)</f>
        <v>226.78</v>
      </c>
      <c r="M101" s="3">
        <f>IFERROR(__xludf.DUMMYFUNCTION("""COMPUTED_VALUE"""),201.15)</f>
        <v>201.15</v>
      </c>
      <c r="N101" s="3">
        <f>IFERROR(__xludf.DUMMYFUNCTION("""COMPUTED_VALUE"""),70.95)</f>
        <v>70.95</v>
      </c>
      <c r="O101" s="3">
        <f>IFERROR(__xludf.DUMMYFUNCTION("""COMPUTED_VALUE"""),11.79)</f>
        <v>11.79</v>
      </c>
      <c r="P101" s="3">
        <f>IFERROR(__xludf.DUMMYFUNCTION("""COMPUTED_VALUE"""),456.67)</f>
        <v>456.67</v>
      </c>
      <c r="Q101" s="3">
        <f>IFERROR(__xludf.DUMMYFUNCTION("""COMPUTED_VALUE"""),62.43)</f>
        <v>62.43</v>
      </c>
      <c r="R101" s="3">
        <f>IFERROR(__xludf.DUMMYFUNCTION("""COMPUTED_VALUE"""),188.74)</f>
        <v>188.74</v>
      </c>
      <c r="S101" s="3">
        <f>IFERROR(__xludf.DUMMYFUNCTION("""COMPUTED_VALUE"""),84.49)</f>
        <v>84.49</v>
      </c>
      <c r="T101" s="3">
        <f>IFERROR(__xludf.DUMMYFUNCTION("""COMPUTED_VALUE"""),80.54)</f>
        <v>80.54</v>
      </c>
      <c r="U101" s="3">
        <f>IFERROR(__xludf.DUMMYFUNCTION("""COMPUTED_VALUE"""),394.05)</f>
        <v>394.05</v>
      </c>
      <c r="V101" s="3">
        <f>IFERROR(__xludf.DUMMYFUNCTION("""COMPUTED_VALUE"""),49.44)</f>
        <v>49.44</v>
      </c>
      <c r="W101" s="3">
        <f>IFERROR(__xludf.DUMMYFUNCTION("""COMPUTED_VALUE"""),191.19)</f>
        <v>191.19</v>
      </c>
      <c r="X101" s="3">
        <f>IFERROR(__xludf.DUMMYFUNCTION("""COMPUTED_VALUE"""),150.95)</f>
        <v>150.95</v>
      </c>
      <c r="Y101" s="1">
        <f>IFERROR(__xludf.DUMMYFUNCTION("""COMPUTED_VALUE"""),340.71)</f>
        <v>340.71</v>
      </c>
      <c r="Z101" s="1">
        <f>IFERROR(__xludf.DUMMYFUNCTION("""COMPUTED_VALUE"""),40.05)</f>
        <v>40.05</v>
      </c>
      <c r="AA101" s="1">
        <f>IFERROR(__xludf.DUMMYFUNCTION("""COMPUTED_VALUE"""),71.01)</f>
        <v>71.01</v>
      </c>
      <c r="AB101" s="1">
        <f>IFERROR(__xludf.DUMMYFUNCTION("""COMPUTED_VALUE"""),104.45)</f>
        <v>104.45</v>
      </c>
      <c r="AC101" s="1">
        <f>IFERROR(__xludf.DUMMYFUNCTION("""COMPUTED_VALUE"""),159.6)</f>
        <v>159.6</v>
      </c>
      <c r="AD101" s="3">
        <f>IFERROR(__xludf.DUMMYFUNCTION("""COMPUTED_VALUE"""),69.49)</f>
        <v>69.49</v>
      </c>
      <c r="AE101" s="1">
        <f>IFERROR(__xludf.DUMMYFUNCTION("""COMPUTED_VALUE"""),423.2)</f>
        <v>423.2</v>
      </c>
      <c r="AF101" s="1">
        <f>IFERROR(__xludf.DUMMYFUNCTION("""COMPUTED_VALUE"""),65.2)</f>
        <v>65.2</v>
      </c>
      <c r="AG101" s="1">
        <f>IFERROR(__xludf.DUMMYFUNCTION("""COMPUTED_VALUE"""),121.52)</f>
        <v>121.52</v>
      </c>
      <c r="AH101" s="3">
        <f>IFERROR(__xludf.DUMMYFUNCTION("""COMPUTED_VALUE"""),266.93)</f>
        <v>266.93</v>
      </c>
      <c r="AI101" s="1">
        <f>IFERROR(__xludf.DUMMYFUNCTION("""COMPUTED_VALUE"""),457.16)</f>
        <v>457.16</v>
      </c>
      <c r="AJ101" s="1">
        <f>IFERROR(__xludf.DUMMYFUNCTION("""COMPUTED_VALUE"""),303.92)</f>
        <v>303.92</v>
      </c>
      <c r="AK101" s="3">
        <f>IFERROR(__xludf.DUMMYFUNCTION("""COMPUTED_VALUE"""),44.82)</f>
        <v>44.82</v>
      </c>
      <c r="AL101" s="1">
        <f>IFERROR(__xludf.DUMMYFUNCTION("""COMPUTED_VALUE"""),84.74)</f>
        <v>84.74</v>
      </c>
      <c r="AM101" s="1">
        <f>IFERROR(__xludf.DUMMYFUNCTION("""COMPUTED_VALUE"""),491.99)</f>
        <v>491.99</v>
      </c>
      <c r="AN101" s="1">
        <f>IFERROR(__xludf.DUMMYFUNCTION("""COMPUTED_VALUE"""),411.26)</f>
        <v>411.26</v>
      </c>
      <c r="AO101" s="1">
        <f>IFERROR(__xludf.DUMMYFUNCTION("""COMPUTED_VALUE"""),106.03)</f>
        <v>106.03</v>
      </c>
      <c r="AP101" s="1">
        <f>IFERROR(__xludf.DUMMYFUNCTION("""COMPUTED_VALUE"""),160.92)</f>
        <v>160.92</v>
      </c>
      <c r="AQ101" s="1">
        <f>IFERROR(__xludf.DUMMYFUNCTION("""COMPUTED_VALUE"""),486.62)</f>
        <v>486.62</v>
      </c>
      <c r="AR101" s="3">
        <f>IFERROR(__xludf.DUMMYFUNCTION("""COMPUTED_VALUE"""),207.29)</f>
        <v>207.29</v>
      </c>
      <c r="AS101" s="3">
        <f>IFERROR(__xludf.DUMMYFUNCTION("""COMPUTED_VALUE"""),603.2)</f>
        <v>603.2</v>
      </c>
      <c r="AT101" s="3">
        <f>IFERROR(__xludf.DUMMYFUNCTION("""COMPUTED_VALUE"""),260.53)</f>
        <v>260.53</v>
      </c>
      <c r="AU101" s="1">
        <f>IFERROR(__xludf.DUMMYFUNCTION("""COMPUTED_VALUE"""),29.68)</f>
        <v>29.68</v>
      </c>
      <c r="AV101" s="1">
        <f>IFERROR(__xludf.DUMMYFUNCTION("""COMPUTED_VALUE"""),89.12)</f>
        <v>89.12</v>
      </c>
      <c r="AW101" s="1">
        <f>IFERROR(__xludf.DUMMYFUNCTION("""COMPUTED_VALUE"""),81.79)</f>
        <v>81.79</v>
      </c>
      <c r="AX101" s="1">
        <f>IFERROR(__xludf.DUMMYFUNCTION("""COMPUTED_VALUE"""),16.96)</f>
        <v>16.96</v>
      </c>
      <c r="AY101" s="1">
        <f>IFERROR(__xludf.DUMMYFUNCTION("""COMPUTED_VALUE"""),417.13)</f>
        <v>417.13</v>
      </c>
      <c r="AZ101" s="3">
        <f>IFERROR(__xludf.DUMMYFUNCTION("""COMPUTED_VALUE"""),85.43)</f>
        <v>85.43</v>
      </c>
      <c r="BA101" s="3">
        <f>IFERROR(__xludf.DUMMYFUNCTION("""COMPUTED_VALUE"""),92.49)</f>
        <v>92.49</v>
      </c>
      <c r="BB101" s="3">
        <f>IFERROR(__xludf.DUMMYFUNCTION("""COMPUTED_VALUE"""),118.85)</f>
        <v>118.85</v>
      </c>
      <c r="BC101" s="1">
        <f>IFERROR(__xludf.DUMMYFUNCTION("""COMPUTED_VALUE"""),104.81)</f>
        <v>104.81</v>
      </c>
      <c r="BD101" s="1">
        <f>IFERROR(__xludf.DUMMYFUNCTION("""COMPUTED_VALUE"""),49.21)</f>
        <v>49.21</v>
      </c>
      <c r="BE101" s="3">
        <f>IFERROR(__xludf.DUMMYFUNCTION("""COMPUTED_VALUE"""),37.49)</f>
        <v>37.49</v>
      </c>
      <c r="BF101" s="1">
        <f>IFERROR(__xludf.DUMMYFUNCTION("""COMPUTED_VALUE"""),77.44)</f>
        <v>77.44</v>
      </c>
      <c r="BG101" s="1">
        <f>IFERROR(__xludf.DUMMYFUNCTION("""COMPUTED_VALUE"""),28.61)</f>
        <v>28.61</v>
      </c>
      <c r="BH101" s="1">
        <f>IFERROR(__xludf.DUMMYFUNCTION("""COMPUTED_VALUE"""),124.04)</f>
        <v>124.04</v>
      </c>
      <c r="BI101" s="1">
        <f>IFERROR(__xludf.DUMMYFUNCTION("""COMPUTED_VALUE"""),45.98)</f>
        <v>45.98</v>
      </c>
      <c r="BJ101" s="1">
        <f>IFERROR(__xludf.DUMMYFUNCTION("""COMPUTED_VALUE"""),208.08)</f>
        <v>208.08</v>
      </c>
      <c r="BK101" s="1">
        <f>IFERROR(__xludf.DUMMYFUNCTION("""COMPUTED_VALUE"""),612.72)</f>
        <v>612.72</v>
      </c>
      <c r="BL101" s="1">
        <f>IFERROR(__xludf.DUMMYFUNCTION("""COMPUTED_VALUE"""),180.5)</f>
        <v>180.5</v>
      </c>
      <c r="BM101" s="1">
        <f>IFERROR(__xludf.DUMMYFUNCTION("""COMPUTED_VALUE"""),143.62)</f>
        <v>143.62</v>
      </c>
      <c r="BN101" s="3">
        <f>IFERROR(__xludf.DUMMYFUNCTION("""COMPUTED_VALUE"""),8.64)</f>
        <v>8.64</v>
      </c>
      <c r="BO101" s="1">
        <f>IFERROR(__xludf.DUMMYFUNCTION("""COMPUTED_VALUE"""),243.35)</f>
        <v>243.35</v>
      </c>
      <c r="BP101" s="1">
        <f>IFERROR(__xludf.DUMMYFUNCTION("""COMPUTED_VALUE"""),592.31)</f>
        <v>592.31</v>
      </c>
      <c r="BQ101" s="36">
        <f>IFERROR(__xludf.DUMMYFUNCTION("""COMPUTED_VALUE"""),49.09)</f>
        <v>49.09</v>
      </c>
      <c r="BR101" s="1">
        <f>IFERROR(__xludf.DUMMYFUNCTION("""COMPUTED_VALUE"""),11.47)</f>
        <v>11.47</v>
      </c>
      <c r="BS101" s="3">
        <f>IFERROR(__xludf.DUMMYFUNCTION("""COMPUTED_VALUE"""),207.32)</f>
        <v>207.32</v>
      </c>
      <c r="BT101" s="1">
        <f>IFERROR(__xludf.DUMMYFUNCTION("""COMPUTED_VALUE"""),94.15)</f>
        <v>94.15</v>
      </c>
      <c r="BU101" s="3">
        <v>1.0</v>
      </c>
    </row>
    <row r="102">
      <c r="A102" s="25">
        <f>IFERROR(__xludf.DUMMYFUNCTION("""COMPUTED_VALUE"""),45568.66666666667)</f>
        <v>45568.66667</v>
      </c>
      <c r="B102" s="29">
        <f>'Master Scratch Work'!B101</f>
        <v>1339859.32</v>
      </c>
      <c r="C102" s="15">
        <f>IFERROR(__xludf.DUMMYFUNCTION("""COMPUTED_VALUE"""),5699.94)</f>
        <v>5699.94</v>
      </c>
      <c r="D102" s="15">
        <f>IFERROR(__xludf.DUMMYFUNCTION("""COMPUTED_VALUE"""),17918.48)</f>
        <v>17918.48</v>
      </c>
      <c r="E102" s="15">
        <f>IFERROR(__xludf.DUMMYFUNCTION("""COMPUTED_VALUE"""),42011.59)</f>
        <v>42011.59</v>
      </c>
      <c r="F102" s="15">
        <f>IFERROR(__xludf.DUMMYFUNCTION("""COMPUTED_VALUE"""),2180.15)</f>
        <v>2180.15</v>
      </c>
      <c r="G102" s="3">
        <f>IFERROR(__xludf.DUMMYFUNCTION("""COMPUTED_VALUE"""),567.82)</f>
        <v>567.82</v>
      </c>
      <c r="H102" s="3">
        <f>IFERROR(__xludf.DUMMYFUNCTION("""COMPUTED_VALUE"""),481.59)</f>
        <v>481.59</v>
      </c>
      <c r="I102" s="3">
        <f>IFERROR(__xludf.DUMMYFUNCTION("""COMPUTED_VALUE"""),503.8)</f>
        <v>503.8</v>
      </c>
      <c r="J102" s="3">
        <f>IFERROR(__xludf.DUMMYFUNCTION("""COMPUTED_VALUE"""),181.96)</f>
        <v>181.96</v>
      </c>
      <c r="K102" s="3">
        <f>IFERROR(__xludf.DUMMYFUNCTION("""COMPUTED_VALUE"""),144.68)</f>
        <v>144.68</v>
      </c>
      <c r="L102" s="3">
        <f>IFERROR(__xludf.DUMMYFUNCTION("""COMPUTED_VALUE"""),225.67)</f>
        <v>225.67</v>
      </c>
      <c r="M102" s="3">
        <f>IFERROR(__xludf.DUMMYFUNCTION("""COMPUTED_VALUE"""),199.59)</f>
        <v>199.59</v>
      </c>
      <c r="N102" s="3">
        <f>IFERROR(__xludf.DUMMYFUNCTION("""COMPUTED_VALUE"""),70.82)</f>
        <v>70.82</v>
      </c>
      <c r="O102" s="3">
        <f>IFERROR(__xludf.DUMMYFUNCTION("""COMPUTED_VALUE"""),11.64)</f>
        <v>11.64</v>
      </c>
      <c r="P102" s="3">
        <f>IFERROR(__xludf.DUMMYFUNCTION("""COMPUTED_VALUE"""),452.96)</f>
        <v>452.96</v>
      </c>
      <c r="Q102" s="3">
        <f>IFERROR(__xludf.DUMMYFUNCTION("""COMPUTED_VALUE"""),60.89)</f>
        <v>60.89</v>
      </c>
      <c r="R102" s="3">
        <f>IFERROR(__xludf.DUMMYFUNCTION("""COMPUTED_VALUE"""),184.78)</f>
        <v>184.78</v>
      </c>
      <c r="S102" s="3">
        <f>IFERROR(__xludf.DUMMYFUNCTION("""COMPUTED_VALUE"""),83.82)</f>
        <v>83.82</v>
      </c>
      <c r="T102" s="3">
        <f>IFERROR(__xludf.DUMMYFUNCTION("""COMPUTED_VALUE"""),80.05)</f>
        <v>80.05</v>
      </c>
      <c r="U102" s="3">
        <f>IFERROR(__xludf.DUMMYFUNCTION("""COMPUTED_VALUE"""),391.09)</f>
        <v>391.09</v>
      </c>
      <c r="V102" s="3">
        <f>IFERROR(__xludf.DUMMYFUNCTION("""COMPUTED_VALUE"""),49.96)</f>
        <v>49.96</v>
      </c>
      <c r="W102" s="3">
        <f>IFERROR(__xludf.DUMMYFUNCTION("""COMPUTED_VALUE"""),190.9)</f>
        <v>190.9</v>
      </c>
      <c r="X102" s="3">
        <f>IFERROR(__xludf.DUMMYFUNCTION("""COMPUTED_VALUE"""),151.25)</f>
        <v>151.25</v>
      </c>
      <c r="Y102" s="1">
        <f>IFERROR(__xludf.DUMMYFUNCTION("""COMPUTED_VALUE"""),340.56)</f>
        <v>340.56</v>
      </c>
      <c r="Z102" s="1">
        <f>IFERROR(__xludf.DUMMYFUNCTION("""COMPUTED_VALUE"""),40.03)</f>
        <v>40.03</v>
      </c>
      <c r="AA102" s="1">
        <f>IFERROR(__xludf.DUMMYFUNCTION("""COMPUTED_VALUE"""),70.52)</f>
        <v>70.52</v>
      </c>
      <c r="AB102" s="1">
        <f>IFERROR(__xludf.DUMMYFUNCTION("""COMPUTED_VALUE"""),104.02)</f>
        <v>104.02</v>
      </c>
      <c r="AC102" s="1">
        <f>IFERROR(__xludf.DUMMYFUNCTION("""COMPUTED_VALUE"""),157.3)</f>
        <v>157.3</v>
      </c>
      <c r="AD102" s="3">
        <f>IFERROR(__xludf.DUMMYFUNCTION("""COMPUTED_VALUE"""),69.08)</f>
        <v>69.08</v>
      </c>
      <c r="AE102" s="1">
        <f>IFERROR(__xludf.DUMMYFUNCTION("""COMPUTED_VALUE"""),420.89)</f>
        <v>420.89</v>
      </c>
      <c r="AF102" s="1">
        <f>IFERROR(__xludf.DUMMYFUNCTION("""COMPUTED_VALUE"""),65.38)</f>
        <v>65.38</v>
      </c>
      <c r="AG102" s="1">
        <f>IFERROR(__xludf.DUMMYFUNCTION("""COMPUTED_VALUE"""),122.58)</f>
        <v>122.58</v>
      </c>
      <c r="AH102" s="3">
        <f>IFERROR(__xludf.DUMMYFUNCTION("""COMPUTED_VALUE"""),262.08)</f>
        <v>262.08</v>
      </c>
      <c r="AI102" s="1">
        <f>IFERROR(__xludf.DUMMYFUNCTION("""COMPUTED_VALUE"""),450.09)</f>
        <v>450.09</v>
      </c>
      <c r="AJ102" s="1">
        <f>IFERROR(__xludf.DUMMYFUNCTION("""COMPUTED_VALUE"""),299.61)</f>
        <v>299.61</v>
      </c>
      <c r="AK102" s="3">
        <f>IFERROR(__xludf.DUMMYFUNCTION("""COMPUTED_VALUE"""),44.98)</f>
        <v>44.98</v>
      </c>
      <c r="AL102" s="1">
        <f>IFERROR(__xludf.DUMMYFUNCTION("""COMPUTED_VALUE"""),84.17)</f>
        <v>84.17</v>
      </c>
      <c r="AM102" s="1">
        <f>IFERROR(__xludf.DUMMYFUNCTION("""COMPUTED_VALUE"""),486.1)</f>
        <v>486.1</v>
      </c>
      <c r="AN102" s="1">
        <f>IFERROR(__xludf.DUMMYFUNCTION("""COMPUTED_VALUE"""),411.58)</f>
        <v>411.58</v>
      </c>
      <c r="AO102" s="1">
        <f>IFERROR(__xludf.DUMMYFUNCTION("""COMPUTED_VALUE"""),105.01)</f>
        <v>105.01</v>
      </c>
      <c r="AP102" s="1">
        <f>IFERROR(__xludf.DUMMYFUNCTION("""COMPUTED_VALUE"""),163.26)</f>
        <v>163.26</v>
      </c>
      <c r="AQ102" s="1">
        <f>IFERROR(__xludf.DUMMYFUNCTION("""COMPUTED_VALUE"""),479.63)</f>
        <v>479.63</v>
      </c>
      <c r="AR102" s="3">
        <f>IFERROR(__xludf.DUMMYFUNCTION("""COMPUTED_VALUE"""),205.23)</f>
        <v>205.23</v>
      </c>
      <c r="AS102" s="3">
        <f>IFERROR(__xludf.DUMMYFUNCTION("""COMPUTED_VALUE"""),605.82)</f>
        <v>605.82</v>
      </c>
      <c r="AT102" s="3">
        <f>IFERROR(__xludf.DUMMYFUNCTION("""COMPUTED_VALUE"""),262.56)</f>
        <v>262.56</v>
      </c>
      <c r="AU102" s="1">
        <f>IFERROR(__xludf.DUMMYFUNCTION("""COMPUTED_VALUE"""),29.62)</f>
        <v>29.62</v>
      </c>
      <c r="AV102" s="1">
        <f>IFERROR(__xludf.DUMMYFUNCTION("""COMPUTED_VALUE"""),87.77)</f>
        <v>87.77</v>
      </c>
      <c r="AW102" s="1">
        <f>IFERROR(__xludf.DUMMYFUNCTION("""COMPUTED_VALUE"""),81.26)</f>
        <v>81.26</v>
      </c>
      <c r="AX102" s="1">
        <f>IFERROR(__xludf.DUMMYFUNCTION("""COMPUTED_VALUE"""),16.96)</f>
        <v>16.96</v>
      </c>
      <c r="AY102" s="1">
        <f>IFERROR(__xludf.DUMMYFUNCTION("""COMPUTED_VALUE"""),416.54)</f>
        <v>416.54</v>
      </c>
      <c r="AZ102" s="3">
        <f>IFERROR(__xludf.DUMMYFUNCTION("""COMPUTED_VALUE"""),85.05)</f>
        <v>85.05</v>
      </c>
      <c r="BA102" s="3">
        <f>IFERROR(__xludf.DUMMYFUNCTION("""COMPUTED_VALUE"""),94.05)</f>
        <v>94.05</v>
      </c>
      <c r="BB102" s="3">
        <f>IFERROR(__xludf.DUMMYFUNCTION("""COMPUTED_VALUE"""),122.85)</f>
        <v>122.85</v>
      </c>
      <c r="BC102" s="1">
        <f>IFERROR(__xludf.DUMMYFUNCTION("""COMPUTED_VALUE"""),104.3)</f>
        <v>104.3</v>
      </c>
      <c r="BD102" s="1">
        <f>IFERROR(__xludf.DUMMYFUNCTION("""COMPUTED_VALUE"""),49.67)</f>
        <v>49.67</v>
      </c>
      <c r="BE102" s="3">
        <f>IFERROR(__xludf.DUMMYFUNCTION("""COMPUTED_VALUE"""),39.24)</f>
        <v>39.24</v>
      </c>
      <c r="BF102" s="1">
        <f>IFERROR(__xludf.DUMMYFUNCTION("""COMPUTED_VALUE"""),77.31)</f>
        <v>77.31</v>
      </c>
      <c r="BG102" s="1">
        <f>IFERROR(__xludf.DUMMYFUNCTION("""COMPUTED_VALUE"""),28.34)</f>
        <v>28.34</v>
      </c>
      <c r="BH102" s="1">
        <f>IFERROR(__xludf.DUMMYFUNCTION("""COMPUTED_VALUE"""),123.67)</f>
        <v>123.67</v>
      </c>
      <c r="BI102" s="1">
        <f>IFERROR(__xludf.DUMMYFUNCTION("""COMPUTED_VALUE"""),46.13)</f>
        <v>46.13</v>
      </c>
      <c r="BJ102" s="1">
        <f>IFERROR(__xludf.DUMMYFUNCTION("""COMPUTED_VALUE"""),208.03)</f>
        <v>208.03</v>
      </c>
      <c r="BK102" s="1">
        <f>IFERROR(__xludf.DUMMYFUNCTION("""COMPUTED_VALUE"""),600.92)</f>
        <v>600.92</v>
      </c>
      <c r="BL102" s="1">
        <f>IFERROR(__xludf.DUMMYFUNCTION("""COMPUTED_VALUE"""),176.17)</f>
        <v>176.17</v>
      </c>
      <c r="BM102" s="1">
        <f>IFERROR(__xludf.DUMMYFUNCTION("""COMPUTED_VALUE"""),143.8)</f>
        <v>143.8</v>
      </c>
      <c r="BN102" s="3">
        <f>IFERROR(__xludf.DUMMYFUNCTION("""COMPUTED_VALUE"""),8.6)</f>
        <v>8.6</v>
      </c>
      <c r="BO102" s="1">
        <f>IFERROR(__xludf.DUMMYFUNCTION("""COMPUTED_VALUE"""),240.63)</f>
        <v>240.63</v>
      </c>
      <c r="BP102" s="1">
        <f>IFERROR(__xludf.DUMMYFUNCTION("""COMPUTED_VALUE"""),592.75)</f>
        <v>592.75</v>
      </c>
      <c r="BQ102" s="36">
        <f>IFERROR(__xludf.DUMMYFUNCTION("""COMPUTED_VALUE"""),49.04)</f>
        <v>49.04</v>
      </c>
      <c r="BR102" s="1">
        <f>IFERROR(__xludf.DUMMYFUNCTION("""COMPUTED_VALUE"""),11.43)</f>
        <v>11.43</v>
      </c>
      <c r="BS102" s="3">
        <f>IFERROR(__xludf.DUMMYFUNCTION("""COMPUTED_VALUE"""),209.09)</f>
        <v>209.09</v>
      </c>
      <c r="BT102" s="1">
        <f>IFERROR(__xludf.DUMMYFUNCTION("""COMPUTED_VALUE"""),93.63)</f>
        <v>93.63</v>
      </c>
      <c r="BU102" s="3">
        <v>1.0</v>
      </c>
    </row>
    <row r="103">
      <c r="A103" s="25">
        <f>IFERROR(__xludf.DUMMYFUNCTION("""COMPUTED_VALUE"""),45569.66666666667)</f>
        <v>45569.66667</v>
      </c>
      <c r="B103" s="29">
        <f>'Master Scratch Work'!B102</f>
        <v>1348478.88</v>
      </c>
      <c r="C103" s="15">
        <f>IFERROR(__xludf.DUMMYFUNCTION("""COMPUTED_VALUE"""),5751.07)</f>
        <v>5751.07</v>
      </c>
      <c r="D103" s="15">
        <f>IFERROR(__xludf.DUMMYFUNCTION("""COMPUTED_VALUE"""),18137.85)</f>
        <v>18137.85</v>
      </c>
      <c r="E103" s="15">
        <f>IFERROR(__xludf.DUMMYFUNCTION("""COMPUTED_VALUE"""),42352.75)</f>
        <v>42352.75</v>
      </c>
      <c r="F103" s="15">
        <f>IFERROR(__xludf.DUMMYFUNCTION("""COMPUTED_VALUE"""),2212.8)</f>
        <v>2212.8</v>
      </c>
      <c r="G103" s="3">
        <f>IFERROR(__xludf.DUMMYFUNCTION("""COMPUTED_VALUE"""),572.98)</f>
        <v>572.98</v>
      </c>
      <c r="H103" s="3">
        <f>IFERROR(__xludf.DUMMYFUNCTION("""COMPUTED_VALUE"""),487.32)</f>
        <v>487.32</v>
      </c>
      <c r="I103" s="3">
        <f>IFERROR(__xludf.DUMMYFUNCTION("""COMPUTED_VALUE"""),507.22)</f>
        <v>507.22</v>
      </c>
      <c r="J103" s="3">
        <f>IFERROR(__xludf.DUMMYFUNCTION("""COMPUTED_VALUE"""),186.51)</f>
        <v>186.51</v>
      </c>
      <c r="K103" s="3">
        <f>IFERROR(__xludf.DUMMYFUNCTION("""COMPUTED_VALUE"""),142.57)</f>
        <v>142.57</v>
      </c>
      <c r="L103" s="3">
        <f>IFERROR(__xludf.DUMMYFUNCTION("""COMPUTED_VALUE"""),226.8)</f>
        <v>226.8</v>
      </c>
      <c r="M103" s="3">
        <f>IFERROR(__xludf.DUMMYFUNCTION("""COMPUTED_VALUE"""),201.97)</f>
        <v>201.97</v>
      </c>
      <c r="N103" s="3">
        <f>IFERROR(__xludf.DUMMYFUNCTION("""COMPUTED_VALUE"""),71.98)</f>
        <v>71.98</v>
      </c>
      <c r="O103" s="3">
        <f>IFERROR(__xludf.DUMMYFUNCTION("""COMPUTED_VALUE"""),12.07)</f>
        <v>12.07</v>
      </c>
      <c r="P103" s="3">
        <f>IFERROR(__xludf.DUMMYFUNCTION("""COMPUTED_VALUE"""),461.97)</f>
        <v>461.97</v>
      </c>
      <c r="Q103" s="3">
        <f>IFERROR(__xludf.DUMMYFUNCTION("""COMPUTED_VALUE"""),60.57)</f>
        <v>60.57</v>
      </c>
      <c r="R103" s="3">
        <f>IFERROR(__xludf.DUMMYFUNCTION("""COMPUTED_VALUE"""),185.68)</f>
        <v>185.68</v>
      </c>
      <c r="S103" s="3">
        <f>IFERROR(__xludf.DUMMYFUNCTION("""COMPUTED_VALUE"""),84.54)</f>
        <v>84.54</v>
      </c>
      <c r="T103" s="3">
        <f>IFERROR(__xludf.DUMMYFUNCTION("""COMPUTED_VALUE"""),80.8)</f>
        <v>80.8</v>
      </c>
      <c r="U103" s="3">
        <f>IFERROR(__xludf.DUMMYFUNCTION("""COMPUTED_VALUE"""),397.09)</f>
        <v>397.09</v>
      </c>
      <c r="V103" s="3">
        <f>IFERROR(__xludf.DUMMYFUNCTION("""COMPUTED_VALUE"""),51.84)</f>
        <v>51.84</v>
      </c>
      <c r="W103" s="3">
        <f>IFERROR(__xludf.DUMMYFUNCTION("""COMPUTED_VALUE"""),193.93)</f>
        <v>193.93</v>
      </c>
      <c r="X103" s="3">
        <f>IFERROR(__xludf.DUMMYFUNCTION("""COMPUTED_VALUE"""),150.74)</f>
        <v>150.74</v>
      </c>
      <c r="Y103" s="1">
        <f>IFERROR(__xludf.DUMMYFUNCTION("""COMPUTED_VALUE"""),341.7)</f>
        <v>341.7</v>
      </c>
      <c r="Z103" s="1">
        <f>IFERROR(__xludf.DUMMYFUNCTION("""COMPUTED_VALUE"""),41.18)</f>
        <v>41.18</v>
      </c>
      <c r="AA103" s="1">
        <f>IFERROR(__xludf.DUMMYFUNCTION("""COMPUTED_VALUE"""),70.17)</f>
        <v>70.17</v>
      </c>
      <c r="AB103" s="1">
        <f>IFERROR(__xludf.DUMMYFUNCTION("""COMPUTED_VALUE"""),103.15)</f>
        <v>103.15</v>
      </c>
      <c r="AC103" s="1">
        <f>IFERROR(__xludf.DUMMYFUNCTION("""COMPUTED_VALUE"""),157.0)</f>
        <v>157</v>
      </c>
      <c r="AD103" s="3">
        <f>IFERROR(__xludf.DUMMYFUNCTION("""COMPUTED_VALUE"""),70.9)</f>
        <v>70.9</v>
      </c>
      <c r="AE103" s="1">
        <f>IFERROR(__xludf.DUMMYFUNCTION("""COMPUTED_VALUE"""),425.31)</f>
        <v>425.31</v>
      </c>
      <c r="AF103" s="1">
        <f>IFERROR(__xludf.DUMMYFUNCTION("""COMPUTED_VALUE"""),66.29)</f>
        <v>66.29</v>
      </c>
      <c r="AG103" s="1">
        <f>IFERROR(__xludf.DUMMYFUNCTION("""COMPUTED_VALUE"""),124.83)</f>
        <v>124.83</v>
      </c>
      <c r="AH103" s="3">
        <f>IFERROR(__xludf.DUMMYFUNCTION("""COMPUTED_VALUE"""),260.84)</f>
        <v>260.84</v>
      </c>
      <c r="AI103" s="1">
        <f>IFERROR(__xludf.DUMMYFUNCTION("""COMPUTED_VALUE"""),449.81)</f>
        <v>449.81</v>
      </c>
      <c r="AJ103" s="1">
        <f>IFERROR(__xludf.DUMMYFUNCTION("""COMPUTED_VALUE"""),300.66)</f>
        <v>300.66</v>
      </c>
      <c r="AK103" s="3">
        <f>IFERROR(__xludf.DUMMYFUNCTION("""COMPUTED_VALUE"""),45.68)</f>
        <v>45.68</v>
      </c>
      <c r="AL103" s="1">
        <f>IFERROR(__xludf.DUMMYFUNCTION("""COMPUTED_VALUE"""),84.59)</f>
        <v>84.59</v>
      </c>
      <c r="AM103" s="1">
        <f>IFERROR(__xludf.DUMMYFUNCTION("""COMPUTED_VALUE"""),495.16)</f>
        <v>495.16</v>
      </c>
      <c r="AN103" s="1">
        <f>IFERROR(__xludf.DUMMYFUNCTION("""COMPUTED_VALUE"""),408.36)</f>
        <v>408.36</v>
      </c>
      <c r="AO103" s="1">
        <f>IFERROR(__xludf.DUMMYFUNCTION("""COMPUTED_VALUE"""),106.86)</f>
        <v>106.86</v>
      </c>
      <c r="AP103" s="1">
        <f>IFERROR(__xludf.DUMMYFUNCTION("""COMPUTED_VALUE"""),162.76)</f>
        <v>162.76</v>
      </c>
      <c r="AQ103" s="1">
        <f>IFERROR(__xludf.DUMMYFUNCTION("""COMPUTED_VALUE"""),481.95)</f>
        <v>481.95</v>
      </c>
      <c r="AR103" s="3">
        <f>IFERROR(__xludf.DUMMYFUNCTION("""COMPUTED_VALUE"""),211.22)</f>
        <v>211.22</v>
      </c>
      <c r="AS103" s="3">
        <f>IFERROR(__xludf.DUMMYFUNCTION("""COMPUTED_VALUE"""),605.13)</f>
        <v>605.13</v>
      </c>
      <c r="AT103" s="3">
        <f>IFERROR(__xludf.DUMMYFUNCTION("""COMPUTED_VALUE"""),270.38)</f>
        <v>270.38</v>
      </c>
      <c r="AU103" s="1">
        <f>IFERROR(__xludf.DUMMYFUNCTION("""COMPUTED_VALUE"""),30.24)</f>
        <v>30.24</v>
      </c>
      <c r="AV103" s="1">
        <f>IFERROR(__xludf.DUMMYFUNCTION("""COMPUTED_VALUE"""),88.26)</f>
        <v>88.26</v>
      </c>
      <c r="AW103" s="1">
        <f>IFERROR(__xludf.DUMMYFUNCTION("""COMPUTED_VALUE"""),84.04)</f>
        <v>84.04</v>
      </c>
      <c r="AX103" s="1">
        <f>IFERROR(__xludf.DUMMYFUNCTION("""COMPUTED_VALUE"""),17.38)</f>
        <v>17.38</v>
      </c>
      <c r="AY103" s="1">
        <f>IFERROR(__xludf.DUMMYFUNCTION("""COMPUTED_VALUE"""),416.06)</f>
        <v>416.06</v>
      </c>
      <c r="AZ103" s="3">
        <f>IFERROR(__xludf.DUMMYFUNCTION("""COMPUTED_VALUE"""),83.85)</f>
        <v>83.85</v>
      </c>
      <c r="BA103" s="3">
        <f>IFERROR(__xludf.DUMMYFUNCTION("""COMPUTED_VALUE"""),95.35)</f>
        <v>95.35</v>
      </c>
      <c r="BB103" s="3">
        <f>IFERROR(__xludf.DUMMYFUNCTION("""COMPUTED_VALUE"""),124.92)</f>
        <v>124.92</v>
      </c>
      <c r="BC103" s="1">
        <f>IFERROR(__xludf.DUMMYFUNCTION("""COMPUTED_VALUE"""),104.56)</f>
        <v>104.56</v>
      </c>
      <c r="BD103" s="1">
        <f>IFERROR(__xludf.DUMMYFUNCTION("""COMPUTED_VALUE"""),51.71)</f>
        <v>51.71</v>
      </c>
      <c r="BE103" s="3">
        <f>IFERROR(__xludf.DUMMYFUNCTION("""COMPUTED_VALUE"""),40.01)</f>
        <v>40.01</v>
      </c>
      <c r="BF103" s="1">
        <f>IFERROR(__xludf.DUMMYFUNCTION("""COMPUTED_VALUE"""),79.36)</f>
        <v>79.36</v>
      </c>
      <c r="BG103" s="1">
        <f>IFERROR(__xludf.DUMMYFUNCTION("""COMPUTED_VALUE"""),28.58)</f>
        <v>28.58</v>
      </c>
      <c r="BH103" s="1">
        <f>IFERROR(__xludf.DUMMYFUNCTION("""COMPUTED_VALUE"""),124.91)</f>
        <v>124.91</v>
      </c>
      <c r="BI103" s="1">
        <f>IFERROR(__xludf.DUMMYFUNCTION("""COMPUTED_VALUE"""),47.32)</f>
        <v>47.32</v>
      </c>
      <c r="BJ103" s="1">
        <f>IFERROR(__xludf.DUMMYFUNCTION("""COMPUTED_VALUE"""),208.28)</f>
        <v>208.28</v>
      </c>
      <c r="BK103" s="1">
        <f>IFERROR(__xludf.DUMMYFUNCTION("""COMPUTED_VALUE"""),598.61)</f>
        <v>598.61</v>
      </c>
      <c r="BL103" s="1">
        <f>IFERROR(__xludf.DUMMYFUNCTION("""COMPUTED_VALUE"""),180.02)</f>
        <v>180.02</v>
      </c>
      <c r="BM103" s="1">
        <f>IFERROR(__xludf.DUMMYFUNCTION("""COMPUTED_VALUE"""),138.97)</f>
        <v>138.97</v>
      </c>
      <c r="BN103" s="3">
        <f>IFERROR(__xludf.DUMMYFUNCTION("""COMPUTED_VALUE"""),8.84)</f>
        <v>8.84</v>
      </c>
      <c r="BO103" s="1">
        <f>IFERROR(__xludf.DUMMYFUNCTION("""COMPUTED_VALUE"""),238.86)</f>
        <v>238.86</v>
      </c>
      <c r="BP103" s="1">
        <f>IFERROR(__xludf.DUMMYFUNCTION("""COMPUTED_VALUE"""),591.2)</f>
        <v>591.2</v>
      </c>
      <c r="BQ103" s="36">
        <f>IFERROR(__xludf.DUMMYFUNCTION("""COMPUTED_VALUE"""),48.86)</f>
        <v>48.86</v>
      </c>
      <c r="BR103" s="1">
        <f>IFERROR(__xludf.DUMMYFUNCTION("""COMPUTED_VALUE"""),11.59)</f>
        <v>11.59</v>
      </c>
      <c r="BS103" s="3">
        <f>IFERROR(__xludf.DUMMYFUNCTION("""COMPUTED_VALUE"""),208.09)</f>
        <v>208.09</v>
      </c>
      <c r="BT103" s="1">
        <f>IFERROR(__xludf.DUMMYFUNCTION("""COMPUTED_VALUE"""),95.15)</f>
        <v>95.15</v>
      </c>
      <c r="BU103" s="3">
        <v>1.0</v>
      </c>
    </row>
    <row r="104">
      <c r="A104" s="25">
        <f>IFERROR(__xludf.DUMMYFUNCTION("""COMPUTED_VALUE"""),45572.66666666667)</f>
        <v>45572.66667</v>
      </c>
      <c r="B104" s="29">
        <f>'Master Scratch Work'!B103</f>
        <v>1336210.68</v>
      </c>
      <c r="C104" s="15">
        <f>IFERROR(__xludf.DUMMYFUNCTION("""COMPUTED_VALUE"""),5695.94)</f>
        <v>5695.94</v>
      </c>
      <c r="D104" s="15">
        <f>IFERROR(__xludf.DUMMYFUNCTION("""COMPUTED_VALUE"""),17923.9)</f>
        <v>17923.9</v>
      </c>
      <c r="E104" s="15">
        <f>IFERROR(__xludf.DUMMYFUNCTION("""COMPUTED_VALUE"""),41954.24)</f>
        <v>41954.24</v>
      </c>
      <c r="F104" s="15">
        <f>IFERROR(__xludf.DUMMYFUNCTION("""COMPUTED_VALUE"""),2193.09)</f>
        <v>2193.09</v>
      </c>
      <c r="G104" s="3">
        <f>IFERROR(__xludf.DUMMYFUNCTION("""COMPUTED_VALUE"""),567.8)</f>
        <v>567.8</v>
      </c>
      <c r="H104" s="3">
        <f>IFERROR(__xludf.DUMMYFUNCTION("""COMPUTED_VALUE"""),482.1)</f>
        <v>482.1</v>
      </c>
      <c r="I104" s="3">
        <f>IFERROR(__xludf.DUMMYFUNCTION("""COMPUTED_VALUE"""),487.3)</f>
        <v>487.3</v>
      </c>
      <c r="J104" s="3">
        <f>IFERROR(__xludf.DUMMYFUNCTION("""COMPUTED_VALUE"""),180.8)</f>
        <v>180.8</v>
      </c>
      <c r="K104" s="3">
        <f>IFERROR(__xludf.DUMMYFUNCTION("""COMPUTED_VALUE"""),136.99)</f>
        <v>136.99</v>
      </c>
      <c r="L104" s="3">
        <f>IFERROR(__xludf.DUMMYFUNCTION("""COMPUTED_VALUE"""),221.69)</f>
        <v>221.69</v>
      </c>
      <c r="M104" s="3">
        <f>IFERROR(__xludf.DUMMYFUNCTION("""COMPUTED_VALUE"""),200.13)</f>
        <v>200.13</v>
      </c>
      <c r="N104" s="3">
        <f>IFERROR(__xludf.DUMMYFUNCTION("""COMPUTED_VALUE"""),72.44)</f>
        <v>72.44</v>
      </c>
      <c r="O104" s="3">
        <f>IFERROR(__xludf.DUMMYFUNCTION("""COMPUTED_VALUE"""),12.12)</f>
        <v>12.12</v>
      </c>
      <c r="P104" s="3">
        <f>IFERROR(__xludf.DUMMYFUNCTION("""COMPUTED_VALUE"""),453.5)</f>
        <v>453.5</v>
      </c>
      <c r="Q104" s="3">
        <f>IFERROR(__xludf.DUMMYFUNCTION("""COMPUTED_VALUE"""),60.81)</f>
        <v>60.81</v>
      </c>
      <c r="R104" s="3">
        <f>IFERROR(__xludf.DUMMYFUNCTION("""COMPUTED_VALUE"""),183.34)</f>
        <v>183.34</v>
      </c>
      <c r="S104" s="3">
        <f>IFERROR(__xludf.DUMMYFUNCTION("""COMPUTED_VALUE"""),84.41)</f>
        <v>84.41</v>
      </c>
      <c r="T104" s="3">
        <f>IFERROR(__xludf.DUMMYFUNCTION("""COMPUTED_VALUE"""),80.42)</f>
        <v>80.42</v>
      </c>
      <c r="U104" s="3">
        <f>IFERROR(__xludf.DUMMYFUNCTION("""COMPUTED_VALUE"""),398.25)</f>
        <v>398.25</v>
      </c>
      <c r="V104" s="3">
        <f>IFERROR(__xludf.DUMMYFUNCTION("""COMPUTED_VALUE"""),51.42)</f>
        <v>51.42</v>
      </c>
      <c r="W104" s="3">
        <f>IFERROR(__xludf.DUMMYFUNCTION("""COMPUTED_VALUE"""),191.5)</f>
        <v>191.5</v>
      </c>
      <c r="X104" s="3">
        <f>IFERROR(__xludf.DUMMYFUNCTION("""COMPUTED_VALUE"""),151.12)</f>
        <v>151.12</v>
      </c>
      <c r="Y104" s="1">
        <f>IFERROR(__xludf.DUMMYFUNCTION("""COMPUTED_VALUE"""),340.27)</f>
        <v>340.27</v>
      </c>
      <c r="Z104" s="1">
        <f>IFERROR(__xludf.DUMMYFUNCTION("""COMPUTED_VALUE"""),41.17)</f>
        <v>41.17</v>
      </c>
      <c r="AA104" s="1">
        <f>IFERROR(__xludf.DUMMYFUNCTION("""COMPUTED_VALUE"""),69.01)</f>
        <v>69.01</v>
      </c>
      <c r="AB104" s="1">
        <f>IFERROR(__xludf.DUMMYFUNCTION("""COMPUTED_VALUE"""),101.14)</f>
        <v>101.14</v>
      </c>
      <c r="AC104" s="1">
        <f>IFERROR(__xludf.DUMMYFUNCTION("""COMPUTED_VALUE"""),156.47)</f>
        <v>156.47</v>
      </c>
      <c r="AD104" s="3">
        <f>IFERROR(__xludf.DUMMYFUNCTION("""COMPUTED_VALUE"""),69.46)</f>
        <v>69.46</v>
      </c>
      <c r="AE104" s="1">
        <f>IFERROR(__xludf.DUMMYFUNCTION("""COMPUTED_VALUE"""),410.0)</f>
        <v>410</v>
      </c>
      <c r="AF104" s="1">
        <f>IFERROR(__xludf.DUMMYFUNCTION("""COMPUTED_VALUE"""),66.77)</f>
        <v>66.77</v>
      </c>
      <c r="AG104" s="1">
        <f>IFERROR(__xludf.DUMMYFUNCTION("""COMPUTED_VALUE"""),125.37)</f>
        <v>125.37</v>
      </c>
      <c r="AH104" s="3">
        <f>IFERROR(__xludf.DUMMYFUNCTION("""COMPUTED_VALUE"""),260.5)</f>
        <v>260.5</v>
      </c>
      <c r="AI104" s="1">
        <f>IFERROR(__xludf.DUMMYFUNCTION("""COMPUTED_VALUE"""),449.53)</f>
        <v>449.53</v>
      </c>
      <c r="AJ104" s="1">
        <f>IFERROR(__xludf.DUMMYFUNCTION("""COMPUTED_VALUE"""),297.29)</f>
        <v>297.29</v>
      </c>
      <c r="AK104" s="3">
        <f>IFERROR(__xludf.DUMMYFUNCTION("""COMPUTED_VALUE"""),45.98)</f>
        <v>45.98</v>
      </c>
      <c r="AL104" s="1">
        <f>IFERROR(__xludf.DUMMYFUNCTION("""COMPUTED_VALUE"""),84.43)</f>
        <v>84.43</v>
      </c>
      <c r="AM104" s="1">
        <f>IFERROR(__xludf.DUMMYFUNCTION("""COMPUTED_VALUE"""),494.62)</f>
        <v>494.62</v>
      </c>
      <c r="AN104" s="1">
        <f>IFERROR(__xludf.DUMMYFUNCTION("""COMPUTED_VALUE"""),408.06)</f>
        <v>408.06</v>
      </c>
      <c r="AO104" s="1">
        <f>IFERROR(__xludf.DUMMYFUNCTION("""COMPUTED_VALUE"""),105.65)</f>
        <v>105.65</v>
      </c>
      <c r="AP104" s="1">
        <f>IFERROR(__xludf.DUMMYFUNCTION("""COMPUTED_VALUE"""),159.54)</f>
        <v>159.54</v>
      </c>
      <c r="AQ104" s="1">
        <f>IFERROR(__xludf.DUMMYFUNCTION("""COMPUTED_VALUE"""),471.23)</f>
        <v>471.23</v>
      </c>
      <c r="AR104" s="3">
        <f>IFERROR(__xludf.DUMMYFUNCTION("""COMPUTED_VALUE"""),210.93)</f>
        <v>210.93</v>
      </c>
      <c r="AS104" s="3">
        <f>IFERROR(__xludf.DUMMYFUNCTION("""COMPUTED_VALUE"""),605.54)</f>
        <v>605.54</v>
      </c>
      <c r="AT104" s="3">
        <f>IFERROR(__xludf.DUMMYFUNCTION("""COMPUTED_VALUE"""),272.48)</f>
        <v>272.48</v>
      </c>
      <c r="AU104" s="1">
        <f>IFERROR(__xludf.DUMMYFUNCTION("""COMPUTED_VALUE"""),29.89)</f>
        <v>29.89</v>
      </c>
      <c r="AV104" s="1">
        <f>IFERROR(__xludf.DUMMYFUNCTION("""COMPUTED_VALUE"""),87.04)</f>
        <v>87.04</v>
      </c>
      <c r="AW104" s="1">
        <f>IFERROR(__xludf.DUMMYFUNCTION("""COMPUTED_VALUE"""),83.0)</f>
        <v>83</v>
      </c>
      <c r="AX104" s="1">
        <f>IFERROR(__xludf.DUMMYFUNCTION("""COMPUTED_VALUE"""),17.84)</f>
        <v>17.84</v>
      </c>
      <c r="AY104" s="1">
        <f>IFERROR(__xludf.DUMMYFUNCTION("""COMPUTED_VALUE"""),409.54)</f>
        <v>409.54</v>
      </c>
      <c r="AZ104" s="3">
        <f>IFERROR(__xludf.DUMMYFUNCTION("""COMPUTED_VALUE"""),80.29)</f>
        <v>80.29</v>
      </c>
      <c r="BA104" s="3">
        <f>IFERROR(__xludf.DUMMYFUNCTION("""COMPUTED_VALUE"""),94.29)</f>
        <v>94.29</v>
      </c>
      <c r="BB104" s="3">
        <f>IFERROR(__xludf.DUMMYFUNCTION("""COMPUTED_VALUE"""),127.72)</f>
        <v>127.72</v>
      </c>
      <c r="BC104" s="1">
        <f>IFERROR(__xludf.DUMMYFUNCTION("""COMPUTED_VALUE"""),104.02)</f>
        <v>104.02</v>
      </c>
      <c r="BD104" s="1">
        <f>IFERROR(__xludf.DUMMYFUNCTION("""COMPUTED_VALUE"""),50.4)</f>
        <v>50.4</v>
      </c>
      <c r="BE104" s="3">
        <f>IFERROR(__xludf.DUMMYFUNCTION("""COMPUTED_VALUE"""),38.89)</f>
        <v>38.89</v>
      </c>
      <c r="BF104" s="1">
        <f>IFERROR(__xludf.DUMMYFUNCTION("""COMPUTED_VALUE"""),80.26)</f>
        <v>80.26</v>
      </c>
      <c r="BG104" s="1">
        <f>IFERROR(__xludf.DUMMYFUNCTION("""COMPUTED_VALUE"""),29.2)</f>
        <v>29.2</v>
      </c>
      <c r="BH104" s="1">
        <f>IFERROR(__xludf.DUMMYFUNCTION("""COMPUTED_VALUE"""),125.05)</f>
        <v>125.05</v>
      </c>
      <c r="BI104" s="1">
        <f>IFERROR(__xludf.DUMMYFUNCTION("""COMPUTED_VALUE"""),47.34)</f>
        <v>47.34</v>
      </c>
      <c r="BJ104" s="1">
        <f>IFERROR(__xludf.DUMMYFUNCTION("""COMPUTED_VALUE"""),208.33)</f>
        <v>208.33</v>
      </c>
      <c r="BK104" s="1">
        <f>IFERROR(__xludf.DUMMYFUNCTION("""COMPUTED_VALUE"""),598.85)</f>
        <v>598.85</v>
      </c>
      <c r="BL104" s="1">
        <f>IFERROR(__xludf.DUMMYFUNCTION("""COMPUTED_VALUE"""),177.32)</f>
        <v>177.32</v>
      </c>
      <c r="BM104" s="1">
        <f>IFERROR(__xludf.DUMMYFUNCTION("""COMPUTED_VALUE"""),134.11)</f>
        <v>134.11</v>
      </c>
      <c r="BN104" s="3">
        <f>IFERROR(__xludf.DUMMYFUNCTION("""COMPUTED_VALUE"""),8.5)</f>
        <v>8.5</v>
      </c>
      <c r="BO104" s="1">
        <f>IFERROR(__xludf.DUMMYFUNCTION("""COMPUTED_VALUE"""),236.87)</f>
        <v>236.87</v>
      </c>
      <c r="BP104" s="1">
        <f>IFERROR(__xludf.DUMMYFUNCTION("""COMPUTED_VALUE"""),583.56)</f>
        <v>583.56</v>
      </c>
      <c r="BQ104" s="36">
        <f>IFERROR(__xludf.DUMMYFUNCTION("""COMPUTED_VALUE"""),48.84)</f>
        <v>48.84</v>
      </c>
      <c r="BR104" s="1">
        <f>IFERROR(__xludf.DUMMYFUNCTION("""COMPUTED_VALUE"""),11.33)</f>
        <v>11.33</v>
      </c>
      <c r="BS104" s="3">
        <f>IFERROR(__xludf.DUMMYFUNCTION("""COMPUTED_VALUE"""),205.41)</f>
        <v>205.41</v>
      </c>
      <c r="BT104" s="1">
        <f>IFERROR(__xludf.DUMMYFUNCTION("""COMPUTED_VALUE"""),92.39)</f>
        <v>92.39</v>
      </c>
      <c r="BU104" s="3">
        <v>1.0</v>
      </c>
    </row>
    <row r="105">
      <c r="A105" s="25">
        <f>IFERROR(__xludf.DUMMYFUNCTION("""COMPUTED_VALUE"""),45573.66666666667)</f>
        <v>45573.66667</v>
      </c>
      <c r="B105" s="29">
        <f>'Master Scratch Work'!B104</f>
        <v>1343210.03</v>
      </c>
      <c r="C105" s="15">
        <f>IFERROR(__xludf.DUMMYFUNCTION("""COMPUTED_VALUE"""),5751.13)</f>
        <v>5751.13</v>
      </c>
      <c r="D105" s="15">
        <f>IFERROR(__xludf.DUMMYFUNCTION("""COMPUTED_VALUE"""),18182.92)</f>
        <v>18182.92</v>
      </c>
      <c r="E105" s="15">
        <f>IFERROR(__xludf.DUMMYFUNCTION("""COMPUTED_VALUE"""),42080.37)</f>
        <v>42080.37</v>
      </c>
      <c r="F105" s="15">
        <f>IFERROR(__xludf.DUMMYFUNCTION("""COMPUTED_VALUE"""),2194.98)</f>
        <v>2194.98</v>
      </c>
      <c r="G105" s="3">
        <f>IFERROR(__xludf.DUMMYFUNCTION("""COMPUTED_VALUE"""),573.17)</f>
        <v>573.17</v>
      </c>
      <c r="H105" s="3">
        <f>IFERROR(__xludf.DUMMYFUNCTION("""COMPUTED_VALUE"""),489.3)</f>
        <v>489.3</v>
      </c>
      <c r="I105" s="3">
        <f>IFERROR(__xludf.DUMMYFUNCTION("""COMPUTED_VALUE"""),496.24)</f>
        <v>496.24</v>
      </c>
      <c r="J105" s="3">
        <f>IFERROR(__xludf.DUMMYFUNCTION("""COMPUTED_VALUE"""),182.72)</f>
        <v>182.72</v>
      </c>
      <c r="K105" s="3">
        <f>IFERROR(__xludf.DUMMYFUNCTION("""COMPUTED_VALUE"""),137.39)</f>
        <v>137.39</v>
      </c>
      <c r="L105" s="3">
        <f>IFERROR(__xludf.DUMMYFUNCTION("""COMPUTED_VALUE"""),225.77)</f>
        <v>225.77</v>
      </c>
      <c r="M105" s="3">
        <f>IFERROR(__xludf.DUMMYFUNCTION("""COMPUTED_VALUE"""),200.88)</f>
        <v>200.88</v>
      </c>
      <c r="N105" s="3">
        <f>IFERROR(__xludf.DUMMYFUNCTION("""COMPUTED_VALUE"""),73.2)</f>
        <v>73.2</v>
      </c>
      <c r="O105" s="3">
        <f>IFERROR(__xludf.DUMMYFUNCTION("""COMPUTED_VALUE"""),12.12)</f>
        <v>12.12</v>
      </c>
      <c r="P105" s="3">
        <f>IFERROR(__xludf.DUMMYFUNCTION("""COMPUTED_VALUE"""),453.8)</f>
        <v>453.8</v>
      </c>
      <c r="Q105" s="3">
        <f>IFERROR(__xludf.DUMMYFUNCTION("""COMPUTED_VALUE"""),58.4)</f>
        <v>58.4</v>
      </c>
      <c r="R105" s="3">
        <f>IFERROR(__xludf.DUMMYFUNCTION("""COMPUTED_VALUE"""),182.3)</f>
        <v>182.3</v>
      </c>
      <c r="S105" s="3">
        <f>IFERROR(__xludf.DUMMYFUNCTION("""COMPUTED_VALUE"""),85.84)</f>
        <v>85.84</v>
      </c>
      <c r="T105" s="3">
        <f>IFERROR(__xludf.DUMMYFUNCTION("""COMPUTED_VALUE"""),80.84)</f>
        <v>80.84</v>
      </c>
      <c r="U105" s="3">
        <f>IFERROR(__xludf.DUMMYFUNCTION("""COMPUTED_VALUE"""),387.96)</f>
        <v>387.96</v>
      </c>
      <c r="V105" s="3">
        <f>IFERROR(__xludf.DUMMYFUNCTION("""COMPUTED_VALUE"""),51.58)</f>
        <v>51.58</v>
      </c>
      <c r="W105" s="3">
        <f>IFERROR(__xludf.DUMMYFUNCTION("""COMPUTED_VALUE"""),197.54)</f>
        <v>197.54</v>
      </c>
      <c r="X105" s="3">
        <f>IFERROR(__xludf.DUMMYFUNCTION("""COMPUTED_VALUE"""),148.75)</f>
        <v>148.75</v>
      </c>
      <c r="Y105" s="1">
        <f>IFERROR(__xludf.DUMMYFUNCTION("""COMPUTED_VALUE"""),343.93)</f>
        <v>343.93</v>
      </c>
      <c r="Z105" s="1">
        <f>IFERROR(__xludf.DUMMYFUNCTION("""COMPUTED_VALUE"""),41.21)</f>
        <v>41.21</v>
      </c>
      <c r="AA105" s="1">
        <f>IFERROR(__xludf.DUMMYFUNCTION("""COMPUTED_VALUE"""),69.18)</f>
        <v>69.18</v>
      </c>
      <c r="AB105" s="1">
        <f>IFERROR(__xludf.DUMMYFUNCTION("""COMPUTED_VALUE"""),102.11)</f>
        <v>102.11</v>
      </c>
      <c r="AC105" s="1">
        <f>IFERROR(__xludf.DUMMYFUNCTION("""COMPUTED_VALUE"""),158.28)</f>
        <v>158.28</v>
      </c>
      <c r="AD105" s="3">
        <f>IFERROR(__xludf.DUMMYFUNCTION("""COMPUTED_VALUE"""),69.48)</f>
        <v>69.48</v>
      </c>
      <c r="AE105" s="1">
        <f>IFERROR(__xludf.DUMMYFUNCTION("""COMPUTED_VALUE"""),411.15)</f>
        <v>411.15</v>
      </c>
      <c r="AF105" s="1">
        <f>IFERROR(__xludf.DUMMYFUNCTION("""COMPUTED_VALUE"""),67.17)</f>
        <v>67.17</v>
      </c>
      <c r="AG105" s="1">
        <f>IFERROR(__xludf.DUMMYFUNCTION("""COMPUTED_VALUE"""),122.04)</f>
        <v>122.04</v>
      </c>
      <c r="AH105" s="3">
        <f>IFERROR(__xludf.DUMMYFUNCTION("""COMPUTED_VALUE"""),261.4)</f>
        <v>261.4</v>
      </c>
      <c r="AI105" s="1">
        <f>IFERROR(__xludf.DUMMYFUNCTION("""COMPUTED_VALUE"""),461.06)</f>
        <v>461.06</v>
      </c>
      <c r="AJ105" s="1">
        <f>IFERROR(__xludf.DUMMYFUNCTION("""COMPUTED_VALUE"""),296.9)</f>
        <v>296.9</v>
      </c>
      <c r="AK105" s="3">
        <f>IFERROR(__xludf.DUMMYFUNCTION("""COMPUTED_VALUE"""),46.01)</f>
        <v>46.01</v>
      </c>
      <c r="AL105" s="1">
        <f>IFERROR(__xludf.DUMMYFUNCTION("""COMPUTED_VALUE"""),85.21)</f>
        <v>85.21</v>
      </c>
      <c r="AM105" s="1">
        <f>IFERROR(__xludf.DUMMYFUNCTION("""COMPUTED_VALUE"""),496.57)</f>
        <v>496.57</v>
      </c>
      <c r="AN105" s="1">
        <f>IFERROR(__xludf.DUMMYFUNCTION("""COMPUTED_VALUE"""),414.18)</f>
        <v>414.18</v>
      </c>
      <c r="AO105" s="1">
        <f>IFERROR(__xludf.DUMMYFUNCTION("""COMPUTED_VALUE"""),106.03)</f>
        <v>106.03</v>
      </c>
      <c r="AP105" s="1">
        <f>IFERROR(__xludf.DUMMYFUNCTION("""COMPUTED_VALUE"""),162.09)</f>
        <v>162.09</v>
      </c>
      <c r="AQ105" s="1">
        <f>IFERROR(__xludf.DUMMYFUNCTION("""COMPUTED_VALUE"""),480.79)</f>
        <v>480.79</v>
      </c>
      <c r="AR105" s="3">
        <f>IFERROR(__xludf.DUMMYFUNCTION("""COMPUTED_VALUE"""),210.75)</f>
        <v>210.75</v>
      </c>
      <c r="AS105" s="3">
        <f>IFERROR(__xludf.DUMMYFUNCTION("""COMPUTED_VALUE"""),608.05)</f>
        <v>608.05</v>
      </c>
      <c r="AT105" s="3">
        <f>IFERROR(__xludf.DUMMYFUNCTION("""COMPUTED_VALUE"""),276.59)</f>
        <v>276.59</v>
      </c>
      <c r="AU105" s="1">
        <f>IFERROR(__xludf.DUMMYFUNCTION("""COMPUTED_VALUE"""),29.82)</f>
        <v>29.82</v>
      </c>
      <c r="AV105" s="1">
        <f>IFERROR(__xludf.DUMMYFUNCTION("""COMPUTED_VALUE"""),88.14)</f>
        <v>88.14</v>
      </c>
      <c r="AW105" s="1">
        <f>IFERROR(__xludf.DUMMYFUNCTION("""COMPUTED_VALUE"""),83.28)</f>
        <v>83.28</v>
      </c>
      <c r="AX105" s="1">
        <f>IFERROR(__xludf.DUMMYFUNCTION("""COMPUTED_VALUE"""),17.0)</f>
        <v>17</v>
      </c>
      <c r="AY105" s="1">
        <f>IFERROR(__xludf.DUMMYFUNCTION("""COMPUTED_VALUE"""),414.71)</f>
        <v>414.71</v>
      </c>
      <c r="AZ105" s="3">
        <f>IFERROR(__xludf.DUMMYFUNCTION("""COMPUTED_VALUE"""),80.5)</f>
        <v>80.5</v>
      </c>
      <c r="BA105" s="3">
        <f>IFERROR(__xludf.DUMMYFUNCTION("""COMPUTED_VALUE"""),93.56)</f>
        <v>93.56</v>
      </c>
      <c r="BB105" s="3">
        <f>IFERROR(__xludf.DUMMYFUNCTION("""COMPUTED_VALUE"""),132.89)</f>
        <v>132.89</v>
      </c>
      <c r="BC105" s="1">
        <f>IFERROR(__xludf.DUMMYFUNCTION("""COMPUTED_VALUE"""),101.15)</f>
        <v>101.15</v>
      </c>
      <c r="BD105" s="1">
        <f>IFERROR(__xludf.DUMMYFUNCTION("""COMPUTED_VALUE"""),51.75)</f>
        <v>51.75</v>
      </c>
      <c r="BE105" s="3">
        <f>IFERROR(__xludf.DUMMYFUNCTION("""COMPUTED_VALUE"""),41.45)</f>
        <v>41.45</v>
      </c>
      <c r="BF105" s="1">
        <f>IFERROR(__xludf.DUMMYFUNCTION("""COMPUTED_VALUE"""),81.16)</f>
        <v>81.16</v>
      </c>
      <c r="BG105" s="1">
        <f>IFERROR(__xludf.DUMMYFUNCTION("""COMPUTED_VALUE"""),29.18)</f>
        <v>29.18</v>
      </c>
      <c r="BH105" s="1">
        <f>IFERROR(__xludf.DUMMYFUNCTION("""COMPUTED_VALUE"""),123.5)</f>
        <v>123.5</v>
      </c>
      <c r="BI105" s="1">
        <f>IFERROR(__xludf.DUMMYFUNCTION("""COMPUTED_VALUE"""),49.77)</f>
        <v>49.77</v>
      </c>
      <c r="BJ105" s="1">
        <f>IFERROR(__xludf.DUMMYFUNCTION("""COMPUTED_VALUE"""),211.17)</f>
        <v>211.17</v>
      </c>
      <c r="BK105" s="1">
        <f>IFERROR(__xludf.DUMMYFUNCTION("""COMPUTED_VALUE"""),595.45)</f>
        <v>595.45</v>
      </c>
      <c r="BL105" s="1">
        <f>IFERROR(__xludf.DUMMYFUNCTION("""COMPUTED_VALUE"""),175.76)</f>
        <v>175.76</v>
      </c>
      <c r="BM105" s="1">
        <f>IFERROR(__xludf.DUMMYFUNCTION("""COMPUTED_VALUE"""),138.12)</f>
        <v>138.12</v>
      </c>
      <c r="BN105" s="3">
        <f>IFERROR(__xludf.DUMMYFUNCTION("""COMPUTED_VALUE"""),8.49)</f>
        <v>8.49</v>
      </c>
      <c r="BO105" s="1">
        <f>IFERROR(__xludf.DUMMYFUNCTION("""COMPUTED_VALUE"""),237.56)</f>
        <v>237.56</v>
      </c>
      <c r="BP105" s="1">
        <f>IFERROR(__xludf.DUMMYFUNCTION("""COMPUTED_VALUE"""),581.58)</f>
        <v>581.58</v>
      </c>
      <c r="BQ105" s="36">
        <f>IFERROR(__xludf.DUMMYFUNCTION("""COMPUTED_VALUE"""),48.86)</f>
        <v>48.86</v>
      </c>
      <c r="BR105" s="1">
        <f>IFERROR(__xludf.DUMMYFUNCTION("""COMPUTED_VALUE"""),11.32)</f>
        <v>11.32</v>
      </c>
      <c r="BS105" s="3">
        <f>IFERROR(__xludf.DUMMYFUNCTION("""COMPUTED_VALUE"""),208.68)</f>
        <v>208.68</v>
      </c>
      <c r="BT105" s="1">
        <f>IFERROR(__xludf.DUMMYFUNCTION("""COMPUTED_VALUE"""),92.51)</f>
        <v>92.51</v>
      </c>
      <c r="BU105" s="3">
        <v>1.0</v>
      </c>
    </row>
    <row r="106">
      <c r="A106" s="25">
        <f>IFERROR(__xludf.DUMMYFUNCTION("""COMPUTED_VALUE"""),45574.66666666667)</f>
        <v>45574.66667</v>
      </c>
      <c r="B106" s="29">
        <f>'Master Scratch Work'!B105</f>
        <v>1352008.71</v>
      </c>
      <c r="C106" s="15">
        <f>IFERROR(__xludf.DUMMYFUNCTION("""COMPUTED_VALUE"""),5792.04)</f>
        <v>5792.04</v>
      </c>
      <c r="D106" s="15">
        <f>IFERROR(__xludf.DUMMYFUNCTION("""COMPUTED_VALUE"""),18291.62)</f>
        <v>18291.62</v>
      </c>
      <c r="E106" s="15">
        <f>IFERROR(__xludf.DUMMYFUNCTION("""COMPUTED_VALUE"""),42512.0)</f>
        <v>42512</v>
      </c>
      <c r="F106" s="15">
        <f>IFERROR(__xludf.DUMMYFUNCTION("""COMPUTED_VALUE"""),2200.59)</f>
        <v>2200.59</v>
      </c>
      <c r="G106" s="3">
        <f>IFERROR(__xludf.DUMMYFUNCTION("""COMPUTED_VALUE"""),577.14)</f>
        <v>577.14</v>
      </c>
      <c r="H106" s="3">
        <f>IFERROR(__xludf.DUMMYFUNCTION("""COMPUTED_VALUE"""),493.15)</f>
        <v>493.15</v>
      </c>
      <c r="I106" s="3">
        <f>IFERROR(__xludf.DUMMYFUNCTION("""COMPUTED_VALUE"""),494.08)</f>
        <v>494.08</v>
      </c>
      <c r="J106" s="3">
        <f>IFERROR(__xludf.DUMMYFUNCTION("""COMPUTED_VALUE"""),185.17)</f>
        <v>185.17</v>
      </c>
      <c r="K106" s="3">
        <f>IFERROR(__xludf.DUMMYFUNCTION("""COMPUTED_VALUE"""),136.18)</f>
        <v>136.18</v>
      </c>
      <c r="L106" s="3">
        <f>IFERROR(__xludf.DUMMYFUNCTION("""COMPUTED_VALUE"""),229.54)</f>
        <v>229.54</v>
      </c>
      <c r="M106" s="3">
        <f>IFERROR(__xludf.DUMMYFUNCTION("""COMPUTED_VALUE"""),205.06)</f>
        <v>205.06</v>
      </c>
      <c r="N106" s="3">
        <f>IFERROR(__xludf.DUMMYFUNCTION("""COMPUTED_VALUE"""),74.02)</f>
        <v>74.02</v>
      </c>
      <c r="O106" s="3">
        <f>IFERROR(__xludf.DUMMYFUNCTION("""COMPUTED_VALUE"""),12.19)</f>
        <v>12.19</v>
      </c>
      <c r="P106" s="3">
        <f>IFERROR(__xludf.DUMMYFUNCTION("""COMPUTED_VALUE"""),455.9)</f>
        <v>455.9</v>
      </c>
      <c r="Q106" s="3">
        <f>IFERROR(__xludf.DUMMYFUNCTION("""COMPUTED_VALUE"""),58.18)</f>
        <v>58.18</v>
      </c>
      <c r="R106" s="3">
        <f>IFERROR(__xludf.DUMMYFUNCTION("""COMPUTED_VALUE"""),185.76)</f>
        <v>185.76</v>
      </c>
      <c r="S106" s="3">
        <f>IFERROR(__xludf.DUMMYFUNCTION("""COMPUTED_VALUE"""),86.7)</f>
        <v>86.7</v>
      </c>
      <c r="T106" s="3">
        <f>IFERROR(__xludf.DUMMYFUNCTION("""COMPUTED_VALUE"""),82.08)</f>
        <v>82.08</v>
      </c>
      <c r="U106" s="3">
        <f>IFERROR(__xludf.DUMMYFUNCTION("""COMPUTED_VALUE"""),396.19)</f>
        <v>396.19</v>
      </c>
      <c r="V106" s="3">
        <f>IFERROR(__xludf.DUMMYFUNCTION("""COMPUTED_VALUE"""),50.58)</f>
        <v>50.58</v>
      </c>
      <c r="W106" s="3">
        <f>IFERROR(__xludf.DUMMYFUNCTION("""COMPUTED_VALUE"""),203.42)</f>
        <v>203.42</v>
      </c>
      <c r="X106" s="3">
        <f>IFERROR(__xludf.DUMMYFUNCTION("""COMPUTED_VALUE"""),149.65)</f>
        <v>149.65</v>
      </c>
      <c r="Y106" s="1">
        <f>IFERROR(__xludf.DUMMYFUNCTION("""COMPUTED_VALUE"""),346.72)</f>
        <v>346.72</v>
      </c>
      <c r="Z106" s="1">
        <f>IFERROR(__xludf.DUMMYFUNCTION("""COMPUTED_VALUE"""),41.47)</f>
        <v>41.47</v>
      </c>
      <c r="AA106" s="1">
        <f>IFERROR(__xludf.DUMMYFUNCTION("""COMPUTED_VALUE"""),69.57)</f>
        <v>69.57</v>
      </c>
      <c r="AB106" s="1">
        <f>IFERROR(__xludf.DUMMYFUNCTION("""COMPUTED_VALUE"""),102.37)</f>
        <v>102.37</v>
      </c>
      <c r="AC106" s="1">
        <f>IFERROR(__xludf.DUMMYFUNCTION("""COMPUTED_VALUE"""),159.13)</f>
        <v>159.13</v>
      </c>
      <c r="AD106" s="3">
        <f>IFERROR(__xludf.DUMMYFUNCTION("""COMPUTED_VALUE"""),69.63)</f>
        <v>69.63</v>
      </c>
      <c r="AE106" s="1">
        <f>IFERROR(__xludf.DUMMYFUNCTION("""COMPUTED_VALUE"""),413.2)</f>
        <v>413.2</v>
      </c>
      <c r="AF106" s="1">
        <f>IFERROR(__xludf.DUMMYFUNCTION("""COMPUTED_VALUE"""),66.95)</f>
        <v>66.95</v>
      </c>
      <c r="AG106" s="1">
        <f>IFERROR(__xludf.DUMMYFUNCTION("""COMPUTED_VALUE"""),122.09)</f>
        <v>122.09</v>
      </c>
      <c r="AH106" s="3">
        <f>IFERROR(__xludf.DUMMYFUNCTION("""COMPUTED_VALUE"""),264.64)</f>
        <v>264.64</v>
      </c>
      <c r="AI106" s="1">
        <f>IFERROR(__xludf.DUMMYFUNCTION("""COMPUTED_VALUE"""),456.5)</f>
        <v>456.5</v>
      </c>
      <c r="AJ106" s="1">
        <f>IFERROR(__xludf.DUMMYFUNCTION("""COMPUTED_VALUE"""),298.69)</f>
        <v>298.69</v>
      </c>
      <c r="AK106" s="3">
        <f>IFERROR(__xludf.DUMMYFUNCTION("""COMPUTED_VALUE"""),47.93)</f>
        <v>47.93</v>
      </c>
      <c r="AL106" s="1">
        <f>IFERROR(__xludf.DUMMYFUNCTION("""COMPUTED_VALUE"""),86.14)</f>
        <v>86.14</v>
      </c>
      <c r="AM106" s="1">
        <f>IFERROR(__xludf.DUMMYFUNCTION("""COMPUTED_VALUE"""),505.18)</f>
        <v>505.18</v>
      </c>
      <c r="AN106" s="1">
        <f>IFERROR(__xludf.DUMMYFUNCTION("""COMPUTED_VALUE"""),416.07)</f>
        <v>416.07</v>
      </c>
      <c r="AO106" s="1">
        <f>IFERROR(__xludf.DUMMYFUNCTION("""COMPUTED_VALUE"""),105.75)</f>
        <v>105.75</v>
      </c>
      <c r="AP106" s="1">
        <f>IFERROR(__xludf.DUMMYFUNCTION("""COMPUTED_VALUE"""),161.74)</f>
        <v>161.74</v>
      </c>
      <c r="AQ106" s="1">
        <f>IFERROR(__xludf.DUMMYFUNCTION("""COMPUTED_VALUE"""),490.38)</f>
        <v>490.38</v>
      </c>
      <c r="AR106" s="3">
        <f>IFERROR(__xludf.DUMMYFUNCTION("""COMPUTED_VALUE"""),213.42)</f>
        <v>213.42</v>
      </c>
      <c r="AS106" s="3">
        <f>IFERROR(__xludf.DUMMYFUNCTION("""COMPUTED_VALUE"""),605.11)</f>
        <v>605.11</v>
      </c>
      <c r="AT106" s="3">
        <f>IFERROR(__xludf.DUMMYFUNCTION("""COMPUTED_VALUE"""),274.12)</f>
        <v>274.12</v>
      </c>
      <c r="AU106" s="1">
        <f>IFERROR(__xludf.DUMMYFUNCTION("""COMPUTED_VALUE"""),29.77)</f>
        <v>29.77</v>
      </c>
      <c r="AV106" s="1">
        <f>IFERROR(__xludf.DUMMYFUNCTION("""COMPUTED_VALUE"""),88.35)</f>
        <v>88.35</v>
      </c>
      <c r="AW106" s="1">
        <f>IFERROR(__xludf.DUMMYFUNCTION("""COMPUTED_VALUE"""),84.54)</f>
        <v>84.54</v>
      </c>
      <c r="AX106" s="1">
        <f>IFERROR(__xludf.DUMMYFUNCTION("""COMPUTED_VALUE"""),17.15)</f>
        <v>17.15</v>
      </c>
      <c r="AY106" s="1">
        <f>IFERROR(__xludf.DUMMYFUNCTION("""COMPUTED_VALUE"""),417.46)</f>
        <v>417.46</v>
      </c>
      <c r="AZ106" s="3">
        <f>IFERROR(__xludf.DUMMYFUNCTION("""COMPUTED_VALUE"""),80.58)</f>
        <v>80.58</v>
      </c>
      <c r="BA106" s="3">
        <f>IFERROR(__xludf.DUMMYFUNCTION("""COMPUTED_VALUE"""),88.56)</f>
        <v>88.56</v>
      </c>
      <c r="BB106" s="3">
        <f>IFERROR(__xludf.DUMMYFUNCTION("""COMPUTED_VALUE"""),132.65)</f>
        <v>132.65</v>
      </c>
      <c r="BC106" s="1">
        <f>IFERROR(__xludf.DUMMYFUNCTION("""COMPUTED_VALUE"""),102.9)</f>
        <v>102.9</v>
      </c>
      <c r="BD106" s="1">
        <f>IFERROR(__xludf.DUMMYFUNCTION("""COMPUTED_VALUE"""),50.95)</f>
        <v>50.95</v>
      </c>
      <c r="BE106" s="3">
        <f>IFERROR(__xludf.DUMMYFUNCTION("""COMPUTED_VALUE"""),43.13)</f>
        <v>43.13</v>
      </c>
      <c r="BF106" s="1">
        <f>IFERROR(__xludf.DUMMYFUNCTION("""COMPUTED_VALUE"""),81.65)</f>
        <v>81.65</v>
      </c>
      <c r="BG106" s="1">
        <f>IFERROR(__xludf.DUMMYFUNCTION("""COMPUTED_VALUE"""),30.19)</f>
        <v>30.19</v>
      </c>
      <c r="BH106" s="1">
        <f>IFERROR(__xludf.DUMMYFUNCTION("""COMPUTED_VALUE"""),123.95)</f>
        <v>123.95</v>
      </c>
      <c r="BI106" s="1">
        <f>IFERROR(__xludf.DUMMYFUNCTION("""COMPUTED_VALUE"""),49.49)</f>
        <v>49.49</v>
      </c>
      <c r="BJ106" s="1">
        <f>IFERROR(__xludf.DUMMYFUNCTION("""COMPUTED_VALUE"""),212.09)</f>
        <v>212.09</v>
      </c>
      <c r="BK106" s="1">
        <f>IFERROR(__xludf.DUMMYFUNCTION("""COMPUTED_VALUE"""),599.25)</f>
        <v>599.25</v>
      </c>
      <c r="BL106" s="1">
        <f>IFERROR(__xludf.DUMMYFUNCTION("""COMPUTED_VALUE"""),173.99)</f>
        <v>173.99</v>
      </c>
      <c r="BM106" s="1">
        <f>IFERROR(__xludf.DUMMYFUNCTION("""COMPUTED_VALUE"""),137.18)</f>
        <v>137.18</v>
      </c>
      <c r="BN106" s="3">
        <f>IFERROR(__xludf.DUMMYFUNCTION("""COMPUTED_VALUE"""),8.41)</f>
        <v>8.41</v>
      </c>
      <c r="BO106" s="1">
        <f>IFERROR(__xludf.DUMMYFUNCTION("""COMPUTED_VALUE"""),237.68)</f>
        <v>237.68</v>
      </c>
      <c r="BP106" s="1">
        <f>IFERROR(__xludf.DUMMYFUNCTION("""COMPUTED_VALUE"""),591.22)</f>
        <v>591.22</v>
      </c>
      <c r="BQ106" s="36">
        <f>IFERROR(__xludf.DUMMYFUNCTION("""COMPUTED_VALUE"""),48.82)</f>
        <v>48.82</v>
      </c>
      <c r="BR106" s="1">
        <f>IFERROR(__xludf.DUMMYFUNCTION("""COMPUTED_VALUE"""),11.41)</f>
        <v>11.41</v>
      </c>
      <c r="BS106" s="3">
        <f>IFERROR(__xludf.DUMMYFUNCTION("""COMPUTED_VALUE"""),212.23)</f>
        <v>212.23</v>
      </c>
      <c r="BT106" s="1">
        <f>IFERROR(__xludf.DUMMYFUNCTION("""COMPUTED_VALUE"""),93.6)</f>
        <v>93.6</v>
      </c>
      <c r="BU106" s="3">
        <v>1.0</v>
      </c>
    </row>
    <row r="107">
      <c r="A107" s="25">
        <f>IFERROR(__xludf.DUMMYFUNCTION("""COMPUTED_VALUE"""),45575.66666666667)</f>
        <v>45575.66667</v>
      </c>
      <c r="B107" s="29">
        <f>'Master Scratch Work'!B106</f>
        <v>1351404.05</v>
      </c>
      <c r="C107" s="15">
        <f>IFERROR(__xludf.DUMMYFUNCTION("""COMPUTED_VALUE"""),5780.05)</f>
        <v>5780.05</v>
      </c>
      <c r="D107" s="15">
        <f>IFERROR(__xludf.DUMMYFUNCTION("""COMPUTED_VALUE"""),18282.05)</f>
        <v>18282.05</v>
      </c>
      <c r="E107" s="15">
        <f>IFERROR(__xludf.DUMMYFUNCTION("""COMPUTED_VALUE"""),42454.12)</f>
        <v>42454.12</v>
      </c>
      <c r="F107" s="15">
        <f>IFERROR(__xludf.DUMMYFUNCTION("""COMPUTED_VALUE"""),2188.42)</f>
        <v>2188.42</v>
      </c>
      <c r="G107" s="3">
        <f>IFERROR(__xludf.DUMMYFUNCTION("""COMPUTED_VALUE"""),576.13)</f>
        <v>576.13</v>
      </c>
      <c r="H107" s="3">
        <f>IFERROR(__xludf.DUMMYFUNCTION("""COMPUTED_VALUE"""),492.59)</f>
        <v>492.59</v>
      </c>
      <c r="I107" s="3">
        <f>IFERROR(__xludf.DUMMYFUNCTION("""COMPUTED_VALUE"""),503.57)</f>
        <v>503.57</v>
      </c>
      <c r="J107" s="3">
        <f>IFERROR(__xludf.DUMMYFUNCTION("""COMPUTED_VALUE"""),186.65)</f>
        <v>186.65</v>
      </c>
      <c r="K107" s="3">
        <f>IFERROR(__xludf.DUMMYFUNCTION("""COMPUTED_VALUE"""),136.22)</f>
        <v>136.22</v>
      </c>
      <c r="L107" s="3">
        <f>IFERROR(__xludf.DUMMYFUNCTION("""COMPUTED_VALUE"""),229.04)</f>
        <v>229.04</v>
      </c>
      <c r="M107" s="3">
        <f>IFERROR(__xludf.DUMMYFUNCTION("""COMPUTED_VALUE"""),203.96)</f>
        <v>203.96</v>
      </c>
      <c r="N107" s="3">
        <f>IFERROR(__xludf.DUMMYFUNCTION("""COMPUTED_VALUE"""),74.45)</f>
        <v>74.45</v>
      </c>
      <c r="O107" s="3">
        <f>IFERROR(__xludf.DUMMYFUNCTION("""COMPUTED_VALUE"""),12.26)</f>
        <v>12.26</v>
      </c>
      <c r="P107" s="3">
        <f>IFERROR(__xludf.DUMMYFUNCTION("""COMPUTED_VALUE"""),454.93)</f>
        <v>454.93</v>
      </c>
      <c r="Q107" s="3">
        <f>IFERROR(__xludf.DUMMYFUNCTION("""COMPUTED_VALUE"""),58.91)</f>
        <v>58.91</v>
      </c>
      <c r="R107" s="3">
        <f>IFERROR(__xludf.DUMMYFUNCTION("""COMPUTED_VALUE"""),188.59)</f>
        <v>188.59</v>
      </c>
      <c r="S107" s="3">
        <f>IFERROR(__xludf.DUMMYFUNCTION("""COMPUTED_VALUE"""),86.2)</f>
        <v>86.2</v>
      </c>
      <c r="T107" s="3">
        <f>IFERROR(__xludf.DUMMYFUNCTION("""COMPUTED_VALUE"""),80.43)</f>
        <v>80.43</v>
      </c>
      <c r="U107" s="3">
        <f>IFERROR(__xludf.DUMMYFUNCTION("""COMPUTED_VALUE"""),396.64)</f>
        <v>396.64</v>
      </c>
      <c r="V107" s="3">
        <f>IFERROR(__xludf.DUMMYFUNCTION("""COMPUTED_VALUE"""),50.49)</f>
        <v>50.49</v>
      </c>
      <c r="W107" s="3">
        <f>IFERROR(__xludf.DUMMYFUNCTION("""COMPUTED_VALUE"""),209.01)</f>
        <v>209.01</v>
      </c>
      <c r="X107" s="3">
        <f>IFERROR(__xludf.DUMMYFUNCTION("""COMPUTED_VALUE"""),150.62)</f>
        <v>150.62</v>
      </c>
      <c r="Y107" s="1">
        <f>IFERROR(__xludf.DUMMYFUNCTION("""COMPUTED_VALUE"""),350.5)</f>
        <v>350.5</v>
      </c>
      <c r="Z107" s="1">
        <f>IFERROR(__xludf.DUMMYFUNCTION("""COMPUTED_VALUE"""),41.3)</f>
        <v>41.3</v>
      </c>
      <c r="AA107" s="1">
        <f>IFERROR(__xludf.DUMMYFUNCTION("""COMPUTED_VALUE"""),69.25)</f>
        <v>69.25</v>
      </c>
      <c r="AB107" s="1">
        <f>IFERROR(__xludf.DUMMYFUNCTION("""COMPUTED_VALUE"""),101.58)</f>
        <v>101.58</v>
      </c>
      <c r="AC107" s="1">
        <f>IFERROR(__xludf.DUMMYFUNCTION("""COMPUTED_VALUE"""),158.85)</f>
        <v>158.85</v>
      </c>
      <c r="AD107" s="3">
        <f>IFERROR(__xludf.DUMMYFUNCTION("""COMPUTED_VALUE"""),69.36)</f>
        <v>69.36</v>
      </c>
      <c r="AE107" s="1">
        <f>IFERROR(__xludf.DUMMYFUNCTION("""COMPUTED_VALUE"""),408.75)</f>
        <v>408.75</v>
      </c>
      <c r="AF107" s="1">
        <f>IFERROR(__xludf.DUMMYFUNCTION("""COMPUTED_VALUE"""),66.05)</f>
        <v>66.05</v>
      </c>
      <c r="AG107" s="1">
        <f>IFERROR(__xludf.DUMMYFUNCTION("""COMPUTED_VALUE"""),123.14)</f>
        <v>123.14</v>
      </c>
      <c r="AH107" s="3">
        <f>IFERROR(__xludf.DUMMYFUNCTION("""COMPUTED_VALUE"""),264.27)</f>
        <v>264.27</v>
      </c>
      <c r="AI107" s="1">
        <f>IFERROR(__xludf.DUMMYFUNCTION("""COMPUTED_VALUE"""),453.27)</f>
        <v>453.27</v>
      </c>
      <c r="AJ107" s="1">
        <f>IFERROR(__xludf.DUMMYFUNCTION("""COMPUTED_VALUE"""),296.05)</f>
        <v>296.05</v>
      </c>
      <c r="AK107" s="3">
        <f>IFERROR(__xludf.DUMMYFUNCTION("""COMPUTED_VALUE"""),47.69)</f>
        <v>47.69</v>
      </c>
      <c r="AL107" s="1">
        <f>IFERROR(__xludf.DUMMYFUNCTION("""COMPUTED_VALUE"""),84.67)</f>
        <v>84.67</v>
      </c>
      <c r="AM107" s="1">
        <f>IFERROR(__xludf.DUMMYFUNCTION("""COMPUTED_VALUE"""),503.72)</f>
        <v>503.72</v>
      </c>
      <c r="AN107" s="1">
        <f>IFERROR(__xludf.DUMMYFUNCTION("""COMPUTED_VALUE"""),409.96)</f>
        <v>409.96</v>
      </c>
      <c r="AO107" s="1">
        <f>IFERROR(__xludf.DUMMYFUNCTION("""COMPUTED_VALUE"""),105.39)</f>
        <v>105.39</v>
      </c>
      <c r="AP107" s="1">
        <f>IFERROR(__xludf.DUMMYFUNCTION("""COMPUTED_VALUE"""),160.65)</f>
        <v>160.65</v>
      </c>
      <c r="AQ107" s="1">
        <f>IFERROR(__xludf.DUMMYFUNCTION("""COMPUTED_VALUE"""),483.84)</f>
        <v>483.84</v>
      </c>
      <c r="AR107" s="3">
        <f>IFERROR(__xludf.DUMMYFUNCTION("""COMPUTED_VALUE"""),212.84)</f>
        <v>212.84</v>
      </c>
      <c r="AS107" s="3">
        <f>IFERROR(__xludf.DUMMYFUNCTION("""COMPUTED_VALUE"""),597.49)</f>
        <v>597.49</v>
      </c>
      <c r="AT107" s="3">
        <f>IFERROR(__xludf.DUMMYFUNCTION("""COMPUTED_VALUE"""),273.58)</f>
        <v>273.58</v>
      </c>
      <c r="AU107" s="1">
        <f>IFERROR(__xludf.DUMMYFUNCTION("""COMPUTED_VALUE"""),30.09)</f>
        <v>30.09</v>
      </c>
      <c r="AV107" s="1">
        <f>IFERROR(__xludf.DUMMYFUNCTION("""COMPUTED_VALUE"""),88.85)</f>
        <v>88.85</v>
      </c>
      <c r="AW107" s="1">
        <f>IFERROR(__xludf.DUMMYFUNCTION("""COMPUTED_VALUE"""),84.03)</f>
        <v>84.03</v>
      </c>
      <c r="AX107" s="1">
        <f>IFERROR(__xludf.DUMMYFUNCTION("""COMPUTED_VALUE"""),17.37)</f>
        <v>17.37</v>
      </c>
      <c r="AY107" s="1">
        <f>IFERROR(__xludf.DUMMYFUNCTION("""COMPUTED_VALUE"""),415.84)</f>
        <v>415.84</v>
      </c>
      <c r="AZ107" s="3">
        <f>IFERROR(__xludf.DUMMYFUNCTION("""COMPUTED_VALUE"""),80.94)</f>
        <v>80.94</v>
      </c>
      <c r="BA107" s="3">
        <f>IFERROR(__xludf.DUMMYFUNCTION("""COMPUTED_VALUE"""),87.6)</f>
        <v>87.6</v>
      </c>
      <c r="BB107" s="3">
        <f>IFERROR(__xludf.DUMMYFUNCTION("""COMPUTED_VALUE"""),134.81)</f>
        <v>134.81</v>
      </c>
      <c r="BC107" s="1">
        <f>IFERROR(__xludf.DUMMYFUNCTION("""COMPUTED_VALUE"""),102.98)</f>
        <v>102.98</v>
      </c>
      <c r="BD107" s="1">
        <f>IFERROR(__xludf.DUMMYFUNCTION("""COMPUTED_VALUE"""),49.95)</f>
        <v>49.95</v>
      </c>
      <c r="BE107" s="3">
        <f>IFERROR(__xludf.DUMMYFUNCTION("""COMPUTED_VALUE"""),43.52)</f>
        <v>43.52</v>
      </c>
      <c r="BF107" s="1">
        <f>IFERROR(__xludf.DUMMYFUNCTION("""COMPUTED_VALUE"""),78.98)</f>
        <v>78.98</v>
      </c>
      <c r="BG107" s="1">
        <f>IFERROR(__xludf.DUMMYFUNCTION("""COMPUTED_VALUE"""),29.34)</f>
        <v>29.34</v>
      </c>
      <c r="BH107" s="1">
        <f>IFERROR(__xludf.DUMMYFUNCTION("""COMPUTED_VALUE"""),122.94)</f>
        <v>122.94</v>
      </c>
      <c r="BI107" s="1">
        <f>IFERROR(__xludf.DUMMYFUNCTION("""COMPUTED_VALUE"""),49.5)</f>
        <v>49.5</v>
      </c>
      <c r="BJ107" s="1">
        <f>IFERROR(__xludf.DUMMYFUNCTION("""COMPUTED_VALUE"""),211.45)</f>
        <v>211.45</v>
      </c>
      <c r="BK107" s="1">
        <f>IFERROR(__xludf.DUMMYFUNCTION("""COMPUTED_VALUE"""),593.79)</f>
        <v>593.79</v>
      </c>
      <c r="BL107" s="1">
        <f>IFERROR(__xludf.DUMMYFUNCTION("""COMPUTED_VALUE"""),174.35)</f>
        <v>174.35</v>
      </c>
      <c r="BM107" s="1">
        <f>IFERROR(__xludf.DUMMYFUNCTION("""COMPUTED_VALUE"""),135.9)</f>
        <v>135.9</v>
      </c>
      <c r="BN107" s="3">
        <f>IFERROR(__xludf.DUMMYFUNCTION("""COMPUTED_VALUE"""),8.36)</f>
        <v>8.36</v>
      </c>
      <c r="BO107" s="1">
        <f>IFERROR(__xludf.DUMMYFUNCTION("""COMPUTED_VALUE"""),238.82)</f>
        <v>238.82</v>
      </c>
      <c r="BP107" s="1">
        <f>IFERROR(__xludf.DUMMYFUNCTION("""COMPUTED_VALUE"""),597.7)</f>
        <v>597.7</v>
      </c>
      <c r="BQ107" s="36">
        <f>IFERROR(__xludf.DUMMYFUNCTION("""COMPUTED_VALUE"""),48.94)</f>
        <v>48.94</v>
      </c>
      <c r="BR107" s="1">
        <f>IFERROR(__xludf.DUMMYFUNCTION("""COMPUTED_VALUE"""),11.33)</f>
        <v>11.33</v>
      </c>
      <c r="BS107" s="3">
        <f>IFERROR(__xludf.DUMMYFUNCTION("""COMPUTED_VALUE"""),211.24)</f>
        <v>211.24</v>
      </c>
      <c r="BT107" s="1">
        <f>IFERROR(__xludf.DUMMYFUNCTION("""COMPUTED_VALUE"""),92.99)</f>
        <v>92.99</v>
      </c>
      <c r="BU107" s="3">
        <v>1.0</v>
      </c>
    </row>
    <row r="108">
      <c r="A108" s="25">
        <f>IFERROR(__xludf.DUMMYFUNCTION("""COMPUTED_VALUE"""),45576.66666666667)</f>
        <v>45576.66667</v>
      </c>
      <c r="B108" s="29">
        <f>'Master Scratch Work'!B107</f>
        <v>1361492.51</v>
      </c>
      <c r="C108" s="15">
        <f>IFERROR(__xludf.DUMMYFUNCTION("""COMPUTED_VALUE"""),5815.03)</f>
        <v>5815.03</v>
      </c>
      <c r="D108" s="15">
        <f>IFERROR(__xludf.DUMMYFUNCTION("""COMPUTED_VALUE"""),18342.94)</f>
        <v>18342.94</v>
      </c>
      <c r="E108" s="15">
        <f>IFERROR(__xludf.DUMMYFUNCTION("""COMPUTED_VALUE"""),42863.86)</f>
        <v>42863.86</v>
      </c>
      <c r="F108" s="15">
        <f>IFERROR(__xludf.DUMMYFUNCTION("""COMPUTED_VALUE"""),2234.41)</f>
        <v>2234.41</v>
      </c>
      <c r="G108" s="3">
        <f>IFERROR(__xludf.DUMMYFUNCTION("""COMPUTED_VALUE"""),579.58)</f>
        <v>579.58</v>
      </c>
      <c r="H108" s="3">
        <f>IFERROR(__xludf.DUMMYFUNCTION("""COMPUTED_VALUE"""),493.36)</f>
        <v>493.36</v>
      </c>
      <c r="I108" s="3">
        <f>IFERROR(__xludf.DUMMYFUNCTION("""COMPUTED_VALUE"""),495.42)</f>
        <v>495.42</v>
      </c>
      <c r="J108" s="3">
        <f>IFERROR(__xludf.DUMMYFUNCTION("""COMPUTED_VALUE"""),188.82)</f>
        <v>188.82</v>
      </c>
      <c r="K108" s="3">
        <f>IFERROR(__xludf.DUMMYFUNCTION("""COMPUTED_VALUE"""),138.87)</f>
        <v>138.87</v>
      </c>
      <c r="L108" s="3">
        <f>IFERROR(__xludf.DUMMYFUNCTION("""COMPUTED_VALUE"""),227.55)</f>
        <v>227.55</v>
      </c>
      <c r="M108" s="3">
        <f>IFERROR(__xludf.DUMMYFUNCTION("""COMPUTED_VALUE"""),205.06)</f>
        <v>205.06</v>
      </c>
      <c r="N108" s="3">
        <f>IFERROR(__xludf.DUMMYFUNCTION("""COMPUTED_VALUE"""),74.15)</f>
        <v>74.15</v>
      </c>
      <c r="O108" s="3">
        <f>IFERROR(__xludf.DUMMYFUNCTION("""COMPUTED_VALUE"""),12.45)</f>
        <v>12.45</v>
      </c>
      <c r="P108" s="3">
        <f>IFERROR(__xludf.DUMMYFUNCTION("""COMPUTED_VALUE"""),460.21)</f>
        <v>460.21</v>
      </c>
      <c r="Q108" s="3">
        <f>IFERROR(__xludf.DUMMYFUNCTION("""COMPUTED_VALUE"""),58.95)</f>
        <v>58.95</v>
      </c>
      <c r="R108" s="3">
        <f>IFERROR(__xludf.DUMMYFUNCTION("""COMPUTED_VALUE"""),188.38)</f>
        <v>188.38</v>
      </c>
      <c r="S108" s="3">
        <f>IFERROR(__xludf.DUMMYFUNCTION("""COMPUTED_VALUE"""),87.1)</f>
        <v>87.1</v>
      </c>
      <c r="T108" s="3">
        <f>IFERROR(__xludf.DUMMYFUNCTION("""COMPUTED_VALUE"""),81.61)</f>
        <v>81.61</v>
      </c>
      <c r="U108" s="3">
        <f>IFERROR(__xludf.DUMMYFUNCTION("""COMPUTED_VALUE"""),402.02)</f>
        <v>402.02</v>
      </c>
      <c r="V108" s="3">
        <f>IFERROR(__xludf.DUMMYFUNCTION("""COMPUTED_VALUE"""),51.35)</f>
        <v>51.35</v>
      </c>
      <c r="W108" s="3">
        <f>IFERROR(__xludf.DUMMYFUNCTION("""COMPUTED_VALUE"""),208.54)</f>
        <v>208.54</v>
      </c>
      <c r="X108" s="3">
        <f>IFERROR(__xludf.DUMMYFUNCTION("""COMPUTED_VALUE"""),151.42)</f>
        <v>151.42</v>
      </c>
      <c r="Y108" s="1">
        <f>IFERROR(__xludf.DUMMYFUNCTION("""COMPUTED_VALUE"""),350.3)</f>
        <v>350.3</v>
      </c>
      <c r="Z108" s="1">
        <f>IFERROR(__xludf.DUMMYFUNCTION("""COMPUTED_VALUE"""),42.61)</f>
        <v>42.61</v>
      </c>
      <c r="AA108" s="1">
        <f>IFERROR(__xludf.DUMMYFUNCTION("""COMPUTED_VALUE"""),69.57)</f>
        <v>69.57</v>
      </c>
      <c r="AB108" s="1">
        <f>IFERROR(__xludf.DUMMYFUNCTION("""COMPUTED_VALUE"""),102.32)</f>
        <v>102.32</v>
      </c>
      <c r="AC108" s="1">
        <f>IFERROR(__xludf.DUMMYFUNCTION("""COMPUTED_VALUE"""),160.73)</f>
        <v>160.73</v>
      </c>
      <c r="AD108" s="3">
        <f>IFERROR(__xludf.DUMMYFUNCTION("""COMPUTED_VALUE"""),68.94)</f>
        <v>68.94</v>
      </c>
      <c r="AE108" s="1">
        <f>IFERROR(__xludf.DUMMYFUNCTION("""COMPUTED_VALUE"""),429.67)</f>
        <v>429.67</v>
      </c>
      <c r="AF108" s="1">
        <f>IFERROR(__xludf.DUMMYFUNCTION("""COMPUTED_VALUE"""),66.33)</f>
        <v>66.33</v>
      </c>
      <c r="AG108" s="1">
        <f>IFERROR(__xludf.DUMMYFUNCTION("""COMPUTED_VALUE"""),123.61)</f>
        <v>123.61</v>
      </c>
      <c r="AH108" s="3">
        <f>IFERROR(__xludf.DUMMYFUNCTION("""COMPUTED_VALUE"""),264.36)</f>
        <v>264.36</v>
      </c>
      <c r="AI108" s="1">
        <f>IFERROR(__xludf.DUMMYFUNCTION("""COMPUTED_VALUE"""),469.08)</f>
        <v>469.08</v>
      </c>
      <c r="AJ108" s="1">
        <f>IFERROR(__xludf.DUMMYFUNCTION("""COMPUTED_VALUE"""),299.44)</f>
        <v>299.44</v>
      </c>
      <c r="AK108" s="3">
        <f>IFERROR(__xludf.DUMMYFUNCTION("""COMPUTED_VALUE"""),47.87)</f>
        <v>47.87</v>
      </c>
      <c r="AL108" s="1">
        <f>IFERROR(__xludf.DUMMYFUNCTION("""COMPUTED_VALUE"""),84.95)</f>
        <v>84.95</v>
      </c>
      <c r="AM108" s="1">
        <f>IFERROR(__xludf.DUMMYFUNCTION("""COMPUTED_VALUE"""),516.3)</f>
        <v>516.3</v>
      </c>
      <c r="AN108" s="1">
        <f>IFERROR(__xludf.DUMMYFUNCTION("""COMPUTED_VALUE"""),411.9)</f>
        <v>411.9</v>
      </c>
      <c r="AO108" s="1">
        <f>IFERROR(__xludf.DUMMYFUNCTION("""COMPUTED_VALUE"""),106.61)</f>
        <v>106.61</v>
      </c>
      <c r="AP108" s="1">
        <f>IFERROR(__xludf.DUMMYFUNCTION("""COMPUTED_VALUE"""),162.57)</f>
        <v>162.57</v>
      </c>
      <c r="AQ108" s="1">
        <f>IFERROR(__xludf.DUMMYFUNCTION("""COMPUTED_VALUE"""),484.78)</f>
        <v>484.78</v>
      </c>
      <c r="AR108" s="3">
        <f>IFERROR(__xludf.DUMMYFUNCTION("""COMPUTED_VALUE"""),222.29)</f>
        <v>222.29</v>
      </c>
      <c r="AS108" s="3">
        <f>IFERROR(__xludf.DUMMYFUNCTION("""COMPUTED_VALUE"""),604.17)</f>
        <v>604.17</v>
      </c>
      <c r="AT108" s="3">
        <f>IFERROR(__xludf.DUMMYFUNCTION("""COMPUTED_VALUE"""),278.25)</f>
        <v>278.25</v>
      </c>
      <c r="AU108" s="1">
        <f>IFERROR(__xludf.DUMMYFUNCTION("""COMPUTED_VALUE"""),30.39)</f>
        <v>30.39</v>
      </c>
      <c r="AV108" s="1">
        <f>IFERROR(__xludf.DUMMYFUNCTION("""COMPUTED_VALUE"""),89.36)</f>
        <v>89.36</v>
      </c>
      <c r="AW108" s="1">
        <f>IFERROR(__xludf.DUMMYFUNCTION("""COMPUTED_VALUE"""),85.51)</f>
        <v>85.51</v>
      </c>
      <c r="AX108" s="1">
        <f>IFERROR(__xludf.DUMMYFUNCTION("""COMPUTED_VALUE"""),17.81)</f>
        <v>17.81</v>
      </c>
      <c r="AY108" s="1">
        <f>IFERROR(__xludf.DUMMYFUNCTION("""COMPUTED_VALUE"""),416.32)</f>
        <v>416.32</v>
      </c>
      <c r="AZ108" s="3">
        <f>IFERROR(__xludf.DUMMYFUNCTION("""COMPUTED_VALUE"""),81.86)</f>
        <v>81.86</v>
      </c>
      <c r="BA108" s="3">
        <f>IFERROR(__xludf.DUMMYFUNCTION("""COMPUTED_VALUE"""),89.75)</f>
        <v>89.75</v>
      </c>
      <c r="BB108" s="3">
        <f>IFERROR(__xludf.DUMMYFUNCTION("""COMPUTED_VALUE"""),134.8)</f>
        <v>134.8</v>
      </c>
      <c r="BC108" s="1">
        <f>IFERROR(__xludf.DUMMYFUNCTION("""COMPUTED_VALUE"""),104.03)</f>
        <v>104.03</v>
      </c>
      <c r="BD108" s="1">
        <f>IFERROR(__xludf.DUMMYFUNCTION("""COMPUTED_VALUE"""),50.0)</f>
        <v>50</v>
      </c>
      <c r="BE108" s="3">
        <f>IFERROR(__xludf.DUMMYFUNCTION("""COMPUTED_VALUE"""),43.51)</f>
        <v>43.51</v>
      </c>
      <c r="BF108" s="1">
        <f>IFERROR(__xludf.DUMMYFUNCTION("""COMPUTED_VALUE"""),80.51)</f>
        <v>80.51</v>
      </c>
      <c r="BG108" s="1">
        <f>IFERROR(__xludf.DUMMYFUNCTION("""COMPUTED_VALUE"""),29.16)</f>
        <v>29.16</v>
      </c>
      <c r="BH108" s="1">
        <f>IFERROR(__xludf.DUMMYFUNCTION("""COMPUTED_VALUE"""),123.93)</f>
        <v>123.93</v>
      </c>
      <c r="BI108" s="1">
        <f>IFERROR(__xludf.DUMMYFUNCTION("""COMPUTED_VALUE"""),50.48)</f>
        <v>50.48</v>
      </c>
      <c r="BJ108" s="1">
        <f>IFERROR(__xludf.DUMMYFUNCTION("""COMPUTED_VALUE"""),213.04)</f>
        <v>213.04</v>
      </c>
      <c r="BK108" s="1">
        <f>IFERROR(__xludf.DUMMYFUNCTION("""COMPUTED_VALUE"""),596.92)</f>
        <v>596.92</v>
      </c>
      <c r="BL108" s="1">
        <f>IFERROR(__xludf.DUMMYFUNCTION("""COMPUTED_VALUE"""),174.06)</f>
        <v>174.06</v>
      </c>
      <c r="BM108" s="1">
        <f>IFERROR(__xludf.DUMMYFUNCTION("""COMPUTED_VALUE"""),135.19)</f>
        <v>135.19</v>
      </c>
      <c r="BN108" s="3">
        <f>IFERROR(__xludf.DUMMYFUNCTION("""COMPUTED_VALUE"""),8.31)</f>
        <v>8.31</v>
      </c>
      <c r="BO108" s="1">
        <f>IFERROR(__xludf.DUMMYFUNCTION("""COMPUTED_VALUE"""),242.31)</f>
        <v>242.31</v>
      </c>
      <c r="BP108" s="1">
        <f>IFERROR(__xludf.DUMMYFUNCTION("""COMPUTED_VALUE"""),598.05)</f>
        <v>598.05</v>
      </c>
      <c r="BQ108" s="36">
        <f>IFERROR(__xludf.DUMMYFUNCTION("""COMPUTED_VALUE"""),48.97)</f>
        <v>48.97</v>
      </c>
      <c r="BR108" s="1">
        <f>IFERROR(__xludf.DUMMYFUNCTION("""COMPUTED_VALUE"""),11.38)</f>
        <v>11.38</v>
      </c>
      <c r="BS108" s="3">
        <f>IFERROR(__xludf.DUMMYFUNCTION("""COMPUTED_VALUE"""),211.81)</f>
        <v>211.81</v>
      </c>
      <c r="BT108" s="1">
        <f>IFERROR(__xludf.DUMMYFUNCTION("""COMPUTED_VALUE"""),94.13)</f>
        <v>94.13</v>
      </c>
      <c r="BU108" s="3">
        <v>1.0</v>
      </c>
    </row>
    <row r="109">
      <c r="A109" s="25">
        <f>IFERROR(__xludf.DUMMYFUNCTION("""COMPUTED_VALUE"""),45579.66666666667)</f>
        <v>45579.66667</v>
      </c>
      <c r="B109" s="29">
        <f>'Master Scratch Work'!B108</f>
        <v>1369067.93</v>
      </c>
      <c r="C109" s="15">
        <f>IFERROR(__xludf.DUMMYFUNCTION("""COMPUTED_VALUE"""),5859.85)</f>
        <v>5859.85</v>
      </c>
      <c r="D109" s="15">
        <f>IFERROR(__xludf.DUMMYFUNCTION("""COMPUTED_VALUE"""),18502.69)</f>
        <v>18502.69</v>
      </c>
      <c r="E109" s="15">
        <f>IFERROR(__xludf.DUMMYFUNCTION("""COMPUTED_VALUE"""),43065.22)</f>
        <v>43065.22</v>
      </c>
      <c r="F109" s="15">
        <f>IFERROR(__xludf.DUMMYFUNCTION("""COMPUTED_VALUE"""),2248.64)</f>
        <v>2248.64</v>
      </c>
      <c r="G109" s="3">
        <f>IFERROR(__xludf.DUMMYFUNCTION("""COMPUTED_VALUE"""),584.32)</f>
        <v>584.32</v>
      </c>
      <c r="H109" s="3">
        <f>IFERROR(__xludf.DUMMYFUNCTION("""COMPUTED_VALUE"""),497.5)</f>
        <v>497.5</v>
      </c>
      <c r="I109" s="3">
        <f>IFERROR(__xludf.DUMMYFUNCTION("""COMPUTED_VALUE"""),509.65)</f>
        <v>509.65</v>
      </c>
      <c r="J109" s="3">
        <f>IFERROR(__xludf.DUMMYFUNCTION("""COMPUTED_VALUE"""),187.54)</f>
        <v>187.54</v>
      </c>
      <c r="K109" s="3">
        <f>IFERROR(__xludf.DUMMYFUNCTION("""COMPUTED_VALUE"""),140.37)</f>
        <v>140.37</v>
      </c>
      <c r="L109" s="3">
        <f>IFERROR(__xludf.DUMMYFUNCTION("""COMPUTED_VALUE"""),231.3)</f>
        <v>231.3</v>
      </c>
      <c r="M109" s="3">
        <f>IFERROR(__xludf.DUMMYFUNCTION("""COMPUTED_VALUE"""),213.89)</f>
        <v>213.89</v>
      </c>
      <c r="N109" s="3">
        <f>IFERROR(__xludf.DUMMYFUNCTION("""COMPUTED_VALUE"""),76.51)</f>
        <v>76.51</v>
      </c>
      <c r="O109" s="3">
        <f>IFERROR(__xludf.DUMMYFUNCTION("""COMPUTED_VALUE"""),12.35)</f>
        <v>12.35</v>
      </c>
      <c r="P109" s="3">
        <f>IFERROR(__xludf.DUMMYFUNCTION("""COMPUTED_VALUE"""),459.98)</f>
        <v>459.98</v>
      </c>
      <c r="Q109" s="3">
        <f>IFERROR(__xludf.DUMMYFUNCTION("""COMPUTED_VALUE"""),59.43)</f>
        <v>59.43</v>
      </c>
      <c r="R109" s="3">
        <f>IFERROR(__xludf.DUMMYFUNCTION("""COMPUTED_VALUE"""),191.56)</f>
        <v>191.56</v>
      </c>
      <c r="S109" s="3">
        <f>IFERROR(__xludf.DUMMYFUNCTION("""COMPUTED_VALUE"""),87.55)</f>
        <v>87.55</v>
      </c>
      <c r="T109" s="3">
        <f>IFERROR(__xludf.DUMMYFUNCTION("""COMPUTED_VALUE"""),82.67)</f>
        <v>82.67</v>
      </c>
      <c r="U109" s="3">
        <f>IFERROR(__xludf.DUMMYFUNCTION("""COMPUTED_VALUE"""),393.95)</f>
        <v>393.95</v>
      </c>
      <c r="V109" s="3">
        <f>IFERROR(__xludf.DUMMYFUNCTION("""COMPUTED_VALUE"""),51.88)</f>
        <v>51.88</v>
      </c>
      <c r="W109" s="3">
        <f>IFERROR(__xludf.DUMMYFUNCTION("""COMPUTED_VALUE"""),208.02)</f>
        <v>208.02</v>
      </c>
      <c r="X109" s="3">
        <f>IFERROR(__xludf.DUMMYFUNCTION("""COMPUTED_VALUE"""),151.78)</f>
        <v>151.78</v>
      </c>
      <c r="Y109" s="1">
        <f>IFERROR(__xludf.DUMMYFUNCTION("""COMPUTED_VALUE"""),351.45)</f>
        <v>351.45</v>
      </c>
      <c r="Z109" s="1">
        <f>IFERROR(__xludf.DUMMYFUNCTION("""COMPUTED_VALUE"""),43.27)</f>
        <v>43.27</v>
      </c>
      <c r="AA109" s="1">
        <f>IFERROR(__xludf.DUMMYFUNCTION("""COMPUTED_VALUE"""),70.34)</f>
        <v>70.34</v>
      </c>
      <c r="AB109" s="1">
        <f>IFERROR(__xludf.DUMMYFUNCTION("""COMPUTED_VALUE"""),103.04)</f>
        <v>103.04</v>
      </c>
      <c r="AC109" s="1">
        <f>IFERROR(__xludf.DUMMYFUNCTION("""COMPUTED_VALUE"""),161.98)</f>
        <v>161.98</v>
      </c>
      <c r="AD109" s="3">
        <f>IFERROR(__xludf.DUMMYFUNCTION("""COMPUTED_VALUE"""),66.8)</f>
        <v>66.8</v>
      </c>
      <c r="AE109" s="1">
        <f>IFERROR(__xludf.DUMMYFUNCTION("""COMPUTED_VALUE"""),428.08)</f>
        <v>428.08</v>
      </c>
      <c r="AF109" s="1">
        <f>IFERROR(__xludf.DUMMYFUNCTION("""COMPUTED_VALUE"""),66.88)</f>
        <v>66.88</v>
      </c>
      <c r="AG109" s="1">
        <f>IFERROR(__xludf.DUMMYFUNCTION("""COMPUTED_VALUE"""),124.08)</f>
        <v>124.08</v>
      </c>
      <c r="AH109" s="3">
        <f>IFERROR(__xludf.DUMMYFUNCTION("""COMPUTED_VALUE"""),267.45)</f>
        <v>267.45</v>
      </c>
      <c r="AI109" s="1">
        <f>IFERROR(__xludf.DUMMYFUNCTION("""COMPUTED_VALUE"""),479.23)</f>
        <v>479.23</v>
      </c>
      <c r="AJ109" s="1">
        <f>IFERROR(__xludf.DUMMYFUNCTION("""COMPUTED_VALUE"""),301.86)</f>
        <v>301.86</v>
      </c>
      <c r="AK109" s="3">
        <f>IFERROR(__xludf.DUMMYFUNCTION("""COMPUTED_VALUE"""),48.63)</f>
        <v>48.63</v>
      </c>
      <c r="AL109" s="1">
        <f>IFERROR(__xludf.DUMMYFUNCTION("""COMPUTED_VALUE"""),85.05)</f>
        <v>85.05</v>
      </c>
      <c r="AM109" s="1">
        <f>IFERROR(__xludf.DUMMYFUNCTION("""COMPUTED_VALUE"""),522.75)</f>
        <v>522.75</v>
      </c>
      <c r="AN109" s="1">
        <f>IFERROR(__xludf.DUMMYFUNCTION("""COMPUTED_VALUE"""),415.42)</f>
        <v>415.42</v>
      </c>
      <c r="AO109" s="1">
        <f>IFERROR(__xludf.DUMMYFUNCTION("""COMPUTED_VALUE"""),106.89)</f>
        <v>106.89</v>
      </c>
      <c r="AP109" s="1">
        <f>IFERROR(__xludf.DUMMYFUNCTION("""COMPUTED_VALUE"""),164.38)</f>
        <v>164.38</v>
      </c>
      <c r="AQ109" s="1">
        <f>IFERROR(__xludf.DUMMYFUNCTION("""COMPUTED_VALUE"""),487.61)</f>
        <v>487.61</v>
      </c>
      <c r="AR109" s="3">
        <f>IFERROR(__xludf.DUMMYFUNCTION("""COMPUTED_VALUE"""),221.48)</f>
        <v>221.48</v>
      </c>
      <c r="AS109" s="3">
        <f>IFERROR(__xludf.DUMMYFUNCTION("""COMPUTED_VALUE"""),610.87)</f>
        <v>610.87</v>
      </c>
      <c r="AT109" s="3">
        <f>IFERROR(__xludf.DUMMYFUNCTION("""COMPUTED_VALUE"""),286.76)</f>
        <v>286.76</v>
      </c>
      <c r="AU109" s="1">
        <f>IFERROR(__xludf.DUMMYFUNCTION("""COMPUTED_VALUE"""),30.48)</f>
        <v>30.48</v>
      </c>
      <c r="AV109" s="1">
        <f>IFERROR(__xludf.DUMMYFUNCTION("""COMPUTED_VALUE"""),90.01)</f>
        <v>90.01</v>
      </c>
      <c r="AW109" s="1">
        <f>IFERROR(__xludf.DUMMYFUNCTION("""COMPUTED_VALUE"""),85.88)</f>
        <v>85.88</v>
      </c>
      <c r="AX109" s="1">
        <f>IFERROR(__xludf.DUMMYFUNCTION("""COMPUTED_VALUE"""),17.76)</f>
        <v>17.76</v>
      </c>
      <c r="AY109" s="1">
        <f>IFERROR(__xludf.DUMMYFUNCTION("""COMPUTED_VALUE"""),419.14)</f>
        <v>419.14</v>
      </c>
      <c r="AZ109" s="3">
        <f>IFERROR(__xludf.DUMMYFUNCTION("""COMPUTED_VALUE"""),82.91)</f>
        <v>82.91</v>
      </c>
      <c r="BA109" s="3">
        <f>IFERROR(__xludf.DUMMYFUNCTION("""COMPUTED_VALUE"""),90.08)</f>
        <v>90.08</v>
      </c>
      <c r="BB109" s="3">
        <f>IFERROR(__xludf.DUMMYFUNCTION("""COMPUTED_VALUE"""),138.07)</f>
        <v>138.07</v>
      </c>
      <c r="BC109" s="1">
        <f>IFERROR(__xludf.DUMMYFUNCTION("""COMPUTED_VALUE"""),105.32)</f>
        <v>105.32</v>
      </c>
      <c r="BD109" s="1">
        <f>IFERROR(__xludf.DUMMYFUNCTION("""COMPUTED_VALUE"""),49.61)</f>
        <v>49.61</v>
      </c>
      <c r="BE109" s="3">
        <f>IFERROR(__xludf.DUMMYFUNCTION("""COMPUTED_VALUE"""),43.4)</f>
        <v>43.4</v>
      </c>
      <c r="BF109" s="1">
        <f>IFERROR(__xludf.DUMMYFUNCTION("""COMPUTED_VALUE"""),80.67)</f>
        <v>80.67</v>
      </c>
      <c r="BG109" s="1">
        <f>IFERROR(__xludf.DUMMYFUNCTION("""COMPUTED_VALUE"""),29.08)</f>
        <v>29.08</v>
      </c>
      <c r="BH109" s="1">
        <f>IFERROR(__xludf.DUMMYFUNCTION("""COMPUTED_VALUE"""),124.64)</f>
        <v>124.64</v>
      </c>
      <c r="BI109" s="1">
        <f>IFERROR(__xludf.DUMMYFUNCTION("""COMPUTED_VALUE"""),49.22)</f>
        <v>49.22</v>
      </c>
      <c r="BJ109" s="1">
        <f>IFERROR(__xludf.DUMMYFUNCTION("""COMPUTED_VALUE"""),215.91)</f>
        <v>215.91</v>
      </c>
      <c r="BK109" s="1">
        <f>IFERROR(__xludf.DUMMYFUNCTION("""COMPUTED_VALUE"""),603.79)</f>
        <v>603.79</v>
      </c>
      <c r="BL109" s="1">
        <f>IFERROR(__xludf.DUMMYFUNCTION("""COMPUTED_VALUE"""),175.1)</f>
        <v>175.1</v>
      </c>
      <c r="BM109" s="1">
        <f>IFERROR(__xludf.DUMMYFUNCTION("""COMPUTED_VALUE"""),134.24)</f>
        <v>134.24</v>
      </c>
      <c r="BN109" s="3">
        <f>IFERROR(__xludf.DUMMYFUNCTION("""COMPUTED_VALUE"""),9.06)</f>
        <v>9.06</v>
      </c>
      <c r="BO109" s="1">
        <f>IFERROR(__xludf.DUMMYFUNCTION("""COMPUTED_VALUE"""),245.27)</f>
        <v>245.27</v>
      </c>
      <c r="BP109" s="1">
        <f>IFERROR(__xludf.DUMMYFUNCTION("""COMPUTED_VALUE"""),605.4)</f>
        <v>605.4</v>
      </c>
      <c r="BQ109" s="36">
        <f>IFERROR(__xludf.DUMMYFUNCTION("""COMPUTED_VALUE"""),48.94)</f>
        <v>48.94</v>
      </c>
      <c r="BR109" s="1">
        <f>IFERROR(__xludf.DUMMYFUNCTION("""COMPUTED_VALUE"""),11.39)</f>
        <v>11.39</v>
      </c>
      <c r="BS109" s="3">
        <f>IFERROR(__xludf.DUMMYFUNCTION("""COMPUTED_VALUE"""),213.5)</f>
        <v>213.5</v>
      </c>
      <c r="BT109" s="1">
        <f>IFERROR(__xludf.DUMMYFUNCTION("""COMPUTED_VALUE"""),94.97)</f>
        <v>94.97</v>
      </c>
      <c r="BU109" s="3">
        <v>1.0</v>
      </c>
    </row>
    <row r="110">
      <c r="A110" s="25">
        <f>IFERROR(__xludf.DUMMYFUNCTION("""COMPUTED_VALUE"""),45580.66666666667)</f>
        <v>45580.66667</v>
      </c>
      <c r="B110" s="29">
        <f>'Master Scratch Work'!B109</f>
        <v>1360907.46</v>
      </c>
      <c r="C110" s="15">
        <f>IFERROR(__xludf.DUMMYFUNCTION("""COMPUTED_VALUE"""),5815.26)</f>
        <v>5815.26</v>
      </c>
      <c r="D110" s="15">
        <f>IFERROR(__xludf.DUMMYFUNCTION("""COMPUTED_VALUE"""),18315.59)</f>
        <v>18315.59</v>
      </c>
      <c r="E110" s="15">
        <f>IFERROR(__xludf.DUMMYFUNCTION("""COMPUTED_VALUE"""),42740.42)</f>
        <v>42740.42</v>
      </c>
      <c r="F110" s="15">
        <f>IFERROR(__xludf.DUMMYFUNCTION("""COMPUTED_VALUE"""),2249.82)</f>
        <v>2249.82</v>
      </c>
      <c r="G110" s="3">
        <f>IFERROR(__xludf.DUMMYFUNCTION("""COMPUTED_VALUE"""),579.78)</f>
        <v>579.78</v>
      </c>
      <c r="H110" s="3">
        <f>IFERROR(__xludf.DUMMYFUNCTION("""COMPUTED_VALUE"""),490.85)</f>
        <v>490.85</v>
      </c>
      <c r="I110" s="3">
        <f>IFERROR(__xludf.DUMMYFUNCTION("""COMPUTED_VALUE"""),508.03)</f>
        <v>508.03</v>
      </c>
      <c r="J110" s="3">
        <f>IFERROR(__xludf.DUMMYFUNCTION("""COMPUTED_VALUE"""),187.54)</f>
        <v>187.54</v>
      </c>
      <c r="K110" s="3">
        <f>IFERROR(__xludf.DUMMYFUNCTION("""COMPUTED_VALUE"""),141.2)</f>
        <v>141.2</v>
      </c>
      <c r="L110" s="3">
        <f>IFERROR(__xludf.DUMMYFUNCTION("""COMPUTED_VALUE"""),233.85)</f>
        <v>233.85</v>
      </c>
      <c r="M110" s="3">
        <f>IFERROR(__xludf.DUMMYFUNCTION("""COMPUTED_VALUE"""),191.02)</f>
        <v>191.02</v>
      </c>
      <c r="N110" s="3">
        <f>IFERROR(__xludf.DUMMYFUNCTION("""COMPUTED_VALUE"""),76.23)</f>
        <v>76.23</v>
      </c>
      <c r="O110" s="3">
        <f>IFERROR(__xludf.DUMMYFUNCTION("""COMPUTED_VALUE"""),12.29)</f>
        <v>12.29</v>
      </c>
      <c r="P110" s="3">
        <f>IFERROR(__xludf.DUMMYFUNCTION("""COMPUTED_VALUE"""),462.68)</f>
        <v>462.68</v>
      </c>
      <c r="Q110" s="3">
        <f>IFERROR(__xludf.DUMMYFUNCTION("""COMPUTED_VALUE"""),58.16)</f>
        <v>58.16</v>
      </c>
      <c r="R110" s="3">
        <f>IFERROR(__xludf.DUMMYFUNCTION("""COMPUTED_VALUE"""),191.55)</f>
        <v>191.55</v>
      </c>
      <c r="S110" s="3">
        <f>IFERROR(__xludf.DUMMYFUNCTION("""COMPUTED_VALUE"""),86.77)</f>
        <v>86.77</v>
      </c>
      <c r="T110" s="3">
        <f>IFERROR(__xludf.DUMMYFUNCTION("""COMPUTED_VALUE"""),81.61)</f>
        <v>81.61</v>
      </c>
      <c r="U110" s="3">
        <f>IFERROR(__xludf.DUMMYFUNCTION("""COMPUTED_VALUE"""),387.99)</f>
        <v>387.99</v>
      </c>
      <c r="V110" s="3">
        <f>IFERROR(__xludf.DUMMYFUNCTION("""COMPUTED_VALUE"""),51.71)</f>
        <v>51.71</v>
      </c>
      <c r="W110" s="3">
        <f>IFERROR(__xludf.DUMMYFUNCTION("""COMPUTED_VALUE"""),207.83)</f>
        <v>207.83</v>
      </c>
      <c r="X110" s="3">
        <f>IFERROR(__xludf.DUMMYFUNCTION("""COMPUTED_VALUE"""),147.73)</f>
        <v>147.73</v>
      </c>
      <c r="Y110" s="1">
        <f>IFERROR(__xludf.DUMMYFUNCTION("""COMPUTED_VALUE"""),348.84)</f>
        <v>348.84</v>
      </c>
      <c r="Z110" s="1">
        <f>IFERROR(__xludf.DUMMYFUNCTION("""COMPUTED_VALUE"""),43.48)</f>
        <v>43.48</v>
      </c>
      <c r="AA110" s="1">
        <f>IFERROR(__xludf.DUMMYFUNCTION("""COMPUTED_VALUE"""),70.34)</f>
        <v>70.34</v>
      </c>
      <c r="AB110" s="1">
        <f>IFERROR(__xludf.DUMMYFUNCTION("""COMPUTED_VALUE"""),105.45)</f>
        <v>105.45</v>
      </c>
      <c r="AC110" s="1">
        <f>IFERROR(__xludf.DUMMYFUNCTION("""COMPUTED_VALUE"""),161.98)</f>
        <v>161.98</v>
      </c>
      <c r="AD110" s="3">
        <f>IFERROR(__xludf.DUMMYFUNCTION("""COMPUTED_VALUE"""),67.73)</f>
        <v>67.73</v>
      </c>
      <c r="AE110" s="1">
        <f>IFERROR(__xludf.DUMMYFUNCTION("""COMPUTED_VALUE"""),427.26)</f>
        <v>427.26</v>
      </c>
      <c r="AF110" s="1">
        <f>IFERROR(__xludf.DUMMYFUNCTION("""COMPUTED_VALUE"""),66.99)</f>
        <v>66.99</v>
      </c>
      <c r="AG110" s="1">
        <f>IFERROR(__xludf.DUMMYFUNCTION("""COMPUTED_VALUE"""),124.08)</f>
        <v>124.08</v>
      </c>
      <c r="AH110" s="3">
        <f>IFERROR(__xludf.DUMMYFUNCTION("""COMPUTED_VALUE"""),265.92)</f>
        <v>265.92</v>
      </c>
      <c r="AI110" s="1">
        <f>IFERROR(__xludf.DUMMYFUNCTION("""COMPUTED_VALUE"""),479.23)</f>
        <v>479.23</v>
      </c>
      <c r="AJ110" s="1">
        <f>IFERROR(__xludf.DUMMYFUNCTION("""COMPUTED_VALUE"""),300.21)</f>
        <v>300.21</v>
      </c>
      <c r="AK110" s="3">
        <f>IFERROR(__xludf.DUMMYFUNCTION("""COMPUTED_VALUE"""),47.85)</f>
        <v>47.85</v>
      </c>
      <c r="AL110" s="1">
        <f>IFERROR(__xludf.DUMMYFUNCTION("""COMPUTED_VALUE"""),85.82)</f>
        <v>85.82</v>
      </c>
      <c r="AM110" s="1">
        <f>IFERROR(__xludf.DUMMYFUNCTION("""COMPUTED_VALUE"""),522.38)</f>
        <v>522.38</v>
      </c>
      <c r="AN110" s="1">
        <f>IFERROR(__xludf.DUMMYFUNCTION("""COMPUTED_VALUE"""),415.42)</f>
        <v>415.42</v>
      </c>
      <c r="AO110" s="1">
        <f>IFERROR(__xludf.DUMMYFUNCTION("""COMPUTED_VALUE"""),106.89)</f>
        <v>106.89</v>
      </c>
      <c r="AP110" s="1">
        <f>IFERROR(__xludf.DUMMYFUNCTION("""COMPUTED_VALUE"""),165.18)</f>
        <v>165.18</v>
      </c>
      <c r="AQ110" s="1">
        <f>IFERROR(__xludf.DUMMYFUNCTION("""COMPUTED_VALUE"""),478.47)</f>
        <v>478.47</v>
      </c>
      <c r="AR110" s="3">
        <f>IFERROR(__xludf.DUMMYFUNCTION("""COMPUTED_VALUE"""),222.39)</f>
        <v>222.39</v>
      </c>
      <c r="AS110" s="3">
        <f>IFERROR(__xludf.DUMMYFUNCTION("""COMPUTED_VALUE"""),605.0)</f>
        <v>605</v>
      </c>
      <c r="AT110" s="3">
        <f>IFERROR(__xludf.DUMMYFUNCTION("""COMPUTED_VALUE"""),287.48)</f>
        <v>287.48</v>
      </c>
      <c r="AU110" s="1">
        <f>IFERROR(__xludf.DUMMYFUNCTION("""COMPUTED_VALUE"""),30.32)</f>
        <v>30.32</v>
      </c>
      <c r="AV110" s="1">
        <f>IFERROR(__xludf.DUMMYFUNCTION("""COMPUTED_VALUE"""),89.84)</f>
        <v>89.84</v>
      </c>
      <c r="AW110" s="1">
        <f>IFERROR(__xludf.DUMMYFUNCTION("""COMPUTED_VALUE"""),85.88)</f>
        <v>85.88</v>
      </c>
      <c r="AX110" s="1">
        <f>IFERROR(__xludf.DUMMYFUNCTION("""COMPUTED_VALUE"""),17.7)</f>
        <v>17.7</v>
      </c>
      <c r="AY110" s="1">
        <f>IFERROR(__xludf.DUMMYFUNCTION("""COMPUTED_VALUE"""),418.74)</f>
        <v>418.74</v>
      </c>
      <c r="AZ110" s="3">
        <f>IFERROR(__xludf.DUMMYFUNCTION("""COMPUTED_VALUE"""),82.79)</f>
        <v>82.79</v>
      </c>
      <c r="BA110" s="3">
        <f>IFERROR(__xludf.DUMMYFUNCTION("""COMPUTED_VALUE"""),89.14)</f>
        <v>89.14</v>
      </c>
      <c r="BB110" s="3">
        <f>IFERROR(__xludf.DUMMYFUNCTION("""COMPUTED_VALUE"""),131.6)</f>
        <v>131.6</v>
      </c>
      <c r="BC110" s="1">
        <f>IFERROR(__xludf.DUMMYFUNCTION("""COMPUTED_VALUE"""),104.48)</f>
        <v>104.48</v>
      </c>
      <c r="BD110" s="1">
        <f>IFERROR(__xludf.DUMMYFUNCTION("""COMPUTED_VALUE"""),49.39)</f>
        <v>49.39</v>
      </c>
      <c r="BE110" s="3">
        <f>IFERROR(__xludf.DUMMYFUNCTION("""COMPUTED_VALUE"""),43.4)</f>
        <v>43.4</v>
      </c>
      <c r="BF110" s="1">
        <f>IFERROR(__xludf.DUMMYFUNCTION("""COMPUTED_VALUE"""),79.55)</f>
        <v>79.55</v>
      </c>
      <c r="BG110" s="1">
        <f>IFERROR(__xludf.DUMMYFUNCTION("""COMPUTED_VALUE"""),29.44)</f>
        <v>29.44</v>
      </c>
      <c r="BH110" s="1">
        <f>IFERROR(__xludf.DUMMYFUNCTION("""COMPUTED_VALUE"""),125.03)</f>
        <v>125.03</v>
      </c>
      <c r="BI110" s="1">
        <f>IFERROR(__xludf.DUMMYFUNCTION("""COMPUTED_VALUE"""),48.99)</f>
        <v>48.99</v>
      </c>
      <c r="BJ110" s="1">
        <f>IFERROR(__xludf.DUMMYFUNCTION("""COMPUTED_VALUE"""),217.03)</f>
        <v>217.03</v>
      </c>
      <c r="BK110" s="1">
        <f>IFERROR(__xludf.DUMMYFUNCTION("""COMPUTED_VALUE"""),600.52)</f>
        <v>600.52</v>
      </c>
      <c r="BL110" s="1">
        <f>IFERROR(__xludf.DUMMYFUNCTION("""COMPUTED_VALUE"""),169.55)</f>
        <v>169.55</v>
      </c>
      <c r="BM110" s="1">
        <f>IFERROR(__xludf.DUMMYFUNCTION("""COMPUTED_VALUE"""),131.84)</f>
        <v>131.84</v>
      </c>
      <c r="BN110" s="3">
        <f>IFERROR(__xludf.DUMMYFUNCTION("""COMPUTED_VALUE"""),9.39)</f>
        <v>9.39</v>
      </c>
      <c r="BO110" s="1">
        <f>IFERROR(__xludf.DUMMYFUNCTION("""COMPUTED_VALUE"""),245.79)</f>
        <v>245.79</v>
      </c>
      <c r="BP110" s="1">
        <f>IFERROR(__xludf.DUMMYFUNCTION("""COMPUTED_VALUE"""),556.29)</f>
        <v>556.29</v>
      </c>
      <c r="BQ110" s="36">
        <f>IFERROR(__xludf.DUMMYFUNCTION("""COMPUTED_VALUE"""),48.93)</f>
        <v>48.93</v>
      </c>
      <c r="BR110" s="1">
        <f>IFERROR(__xludf.DUMMYFUNCTION("""COMPUTED_VALUE"""),11.84)</f>
        <v>11.84</v>
      </c>
      <c r="BS110" s="3">
        <f>IFERROR(__xludf.DUMMYFUNCTION("""COMPUTED_VALUE"""),213.79)</f>
        <v>213.79</v>
      </c>
      <c r="BT110" s="1">
        <f>IFERROR(__xludf.DUMMYFUNCTION("""COMPUTED_VALUE"""),94.22)</f>
        <v>94.22</v>
      </c>
      <c r="BU110" s="3">
        <v>1.0</v>
      </c>
    </row>
    <row r="111">
      <c r="A111" s="25">
        <f>IFERROR(__xludf.DUMMYFUNCTION("""COMPUTED_VALUE"""),45581.66666666667)</f>
        <v>45581.66667</v>
      </c>
      <c r="B111" s="29">
        <f>'Master Scratch Work'!B110</f>
        <v>1367234.35</v>
      </c>
      <c r="C111" s="15">
        <f>IFERROR(__xludf.DUMMYFUNCTION("""COMPUTED_VALUE"""),5842.47)</f>
        <v>5842.47</v>
      </c>
      <c r="D111" s="15">
        <f>IFERROR(__xludf.DUMMYFUNCTION("""COMPUTED_VALUE"""),18367.08)</f>
        <v>18367.08</v>
      </c>
      <c r="E111" s="15">
        <f>IFERROR(__xludf.DUMMYFUNCTION("""COMPUTED_VALUE"""),43077.7)</f>
        <v>43077.7</v>
      </c>
      <c r="F111" s="15">
        <f>IFERROR(__xludf.DUMMYFUNCTION("""COMPUTED_VALUE"""),2286.68)</f>
        <v>2286.68</v>
      </c>
      <c r="G111" s="3">
        <f>IFERROR(__xludf.DUMMYFUNCTION("""COMPUTED_VALUE"""),582.3)</f>
        <v>582.3</v>
      </c>
      <c r="H111" s="3">
        <f>IFERROR(__xludf.DUMMYFUNCTION("""COMPUTED_VALUE"""),490.91)</f>
        <v>490.91</v>
      </c>
      <c r="I111" s="3">
        <f>IFERROR(__xludf.DUMMYFUNCTION("""COMPUTED_VALUE"""),502.54)</f>
        <v>502.54</v>
      </c>
      <c r="J111" s="3">
        <f>IFERROR(__xludf.DUMMYFUNCTION("""COMPUTED_VALUE"""),186.89)</f>
        <v>186.89</v>
      </c>
      <c r="K111" s="3">
        <f>IFERROR(__xludf.DUMMYFUNCTION("""COMPUTED_VALUE"""),142.58)</f>
        <v>142.58</v>
      </c>
      <c r="L111" s="3">
        <f>IFERROR(__xludf.DUMMYFUNCTION("""COMPUTED_VALUE"""),231.78)</f>
        <v>231.78</v>
      </c>
      <c r="M111" s="3">
        <f>IFERROR(__xludf.DUMMYFUNCTION("""COMPUTED_VALUE"""),184.59)</f>
        <v>184.59</v>
      </c>
      <c r="N111" s="3">
        <f>IFERROR(__xludf.DUMMYFUNCTION("""COMPUTED_VALUE"""),77.3)</f>
        <v>77.3</v>
      </c>
      <c r="O111" s="3">
        <f>IFERROR(__xludf.DUMMYFUNCTION("""COMPUTED_VALUE"""),12.52)</f>
        <v>12.52</v>
      </c>
      <c r="P111" s="3">
        <f>IFERROR(__xludf.DUMMYFUNCTION("""COMPUTED_VALUE"""),465.69)</f>
        <v>465.69</v>
      </c>
      <c r="Q111" s="3">
        <f>IFERROR(__xludf.DUMMYFUNCTION("""COMPUTED_VALUE"""),56.73)</f>
        <v>56.73</v>
      </c>
      <c r="R111" s="3">
        <f>IFERROR(__xludf.DUMMYFUNCTION("""COMPUTED_VALUE"""),189.0)</f>
        <v>189</v>
      </c>
      <c r="S111" s="3">
        <f>IFERROR(__xludf.DUMMYFUNCTION("""COMPUTED_VALUE"""),87.0)</f>
        <v>87</v>
      </c>
      <c r="T111" s="3">
        <f>IFERROR(__xludf.DUMMYFUNCTION("""COMPUTED_VALUE"""),81.05)</f>
        <v>81.05</v>
      </c>
      <c r="U111" s="3">
        <f>IFERROR(__xludf.DUMMYFUNCTION("""COMPUTED_VALUE"""),393.62)</f>
        <v>393.62</v>
      </c>
      <c r="V111" s="3">
        <f>IFERROR(__xludf.DUMMYFUNCTION("""COMPUTED_VALUE"""),55.78)</f>
        <v>55.78</v>
      </c>
      <c r="W111" s="3">
        <f>IFERROR(__xludf.DUMMYFUNCTION("""COMPUTED_VALUE"""),205.88)</f>
        <v>205.88</v>
      </c>
      <c r="X111" s="3">
        <f>IFERROR(__xludf.DUMMYFUNCTION("""COMPUTED_VALUE"""),148.73)</f>
        <v>148.73</v>
      </c>
      <c r="Y111" s="1">
        <f>IFERROR(__xludf.DUMMYFUNCTION("""COMPUTED_VALUE"""),358.58)</f>
        <v>358.58</v>
      </c>
      <c r="Z111" s="1">
        <f>IFERROR(__xludf.DUMMYFUNCTION("""COMPUTED_VALUE"""),42.41)</f>
        <v>42.41</v>
      </c>
      <c r="AA111" s="1">
        <f>IFERROR(__xludf.DUMMYFUNCTION("""COMPUTED_VALUE"""),70.57)</f>
        <v>70.57</v>
      </c>
      <c r="AB111" s="1">
        <f>IFERROR(__xludf.DUMMYFUNCTION("""COMPUTED_VALUE"""),106.14)</f>
        <v>106.14</v>
      </c>
      <c r="AC111" s="1">
        <f>IFERROR(__xludf.DUMMYFUNCTION("""COMPUTED_VALUE"""),162.13)</f>
        <v>162.13</v>
      </c>
      <c r="AD111" s="3">
        <f>IFERROR(__xludf.DUMMYFUNCTION("""COMPUTED_VALUE"""),68.02)</f>
        <v>68.02</v>
      </c>
      <c r="AE111" s="1">
        <f>IFERROR(__xludf.DUMMYFUNCTION("""COMPUTED_VALUE"""),428.36)</f>
        <v>428.36</v>
      </c>
      <c r="AF111" s="1">
        <f>IFERROR(__xludf.DUMMYFUNCTION("""COMPUTED_VALUE"""),66.92)</f>
        <v>66.92</v>
      </c>
      <c r="AG111" s="1">
        <f>IFERROR(__xludf.DUMMYFUNCTION("""COMPUTED_VALUE"""),120.66)</f>
        <v>120.66</v>
      </c>
      <c r="AH111" s="3">
        <f>IFERROR(__xludf.DUMMYFUNCTION("""COMPUTED_VALUE"""),271.8)</f>
        <v>271.8</v>
      </c>
      <c r="AI111" s="1">
        <f>IFERROR(__xludf.DUMMYFUNCTION("""COMPUTED_VALUE"""),471.99)</f>
        <v>471.99</v>
      </c>
      <c r="AJ111" s="1">
        <f>IFERROR(__xludf.DUMMYFUNCTION("""COMPUTED_VALUE"""),304.87)</f>
        <v>304.87</v>
      </c>
      <c r="AK111" s="3">
        <f>IFERROR(__xludf.DUMMYFUNCTION("""COMPUTED_VALUE"""),49.01)</f>
        <v>49.01</v>
      </c>
      <c r="AL111" s="1">
        <f>IFERROR(__xludf.DUMMYFUNCTION("""COMPUTED_VALUE"""),86.75)</f>
        <v>86.75</v>
      </c>
      <c r="AM111" s="1">
        <f>IFERROR(__xludf.DUMMYFUNCTION("""COMPUTED_VALUE"""),529.86)</f>
        <v>529.86</v>
      </c>
      <c r="AN111" s="1">
        <f>IFERROR(__xludf.DUMMYFUNCTION("""COMPUTED_VALUE"""),418.61)</f>
        <v>418.61</v>
      </c>
      <c r="AO111" s="1">
        <f>IFERROR(__xludf.DUMMYFUNCTION("""COMPUTED_VALUE"""),107.07)</f>
        <v>107.07</v>
      </c>
      <c r="AP111" s="1">
        <f>IFERROR(__xludf.DUMMYFUNCTION("""COMPUTED_VALUE"""),165.13)</f>
        <v>165.13</v>
      </c>
      <c r="AQ111" s="1">
        <f>IFERROR(__xludf.DUMMYFUNCTION("""COMPUTED_VALUE"""),476.59)</f>
        <v>476.59</v>
      </c>
      <c r="AR111" s="3">
        <f>IFERROR(__xludf.DUMMYFUNCTION("""COMPUTED_VALUE"""),223.64)</f>
        <v>223.64</v>
      </c>
      <c r="AS111" s="3">
        <f>IFERROR(__xludf.DUMMYFUNCTION("""COMPUTED_VALUE"""),612.83)</f>
        <v>612.83</v>
      </c>
      <c r="AT111" s="3">
        <f>IFERROR(__xludf.DUMMYFUNCTION("""COMPUTED_VALUE"""),294.21)</f>
        <v>294.21</v>
      </c>
      <c r="AU111" s="1">
        <f>IFERROR(__xludf.DUMMYFUNCTION("""COMPUTED_VALUE"""),30.67)</f>
        <v>30.67</v>
      </c>
      <c r="AV111" s="1">
        <f>IFERROR(__xludf.DUMMYFUNCTION("""COMPUTED_VALUE"""),89.99)</f>
        <v>89.99</v>
      </c>
      <c r="AW111" s="1">
        <f>IFERROR(__xludf.DUMMYFUNCTION("""COMPUTED_VALUE"""),85.18)</f>
        <v>85.18</v>
      </c>
      <c r="AX111" s="1">
        <f>IFERROR(__xludf.DUMMYFUNCTION("""COMPUTED_VALUE"""),19.0)</f>
        <v>19</v>
      </c>
      <c r="AY111" s="1">
        <f>IFERROR(__xludf.DUMMYFUNCTION("""COMPUTED_VALUE"""),416.12)</f>
        <v>416.12</v>
      </c>
      <c r="AZ111" s="3">
        <f>IFERROR(__xludf.DUMMYFUNCTION("""COMPUTED_VALUE"""),84.39)</f>
        <v>84.39</v>
      </c>
      <c r="BA111" s="3">
        <f>IFERROR(__xludf.DUMMYFUNCTION("""COMPUTED_VALUE"""),91.29)</f>
        <v>91.29</v>
      </c>
      <c r="BB111" s="3">
        <f>IFERROR(__xludf.DUMMYFUNCTION("""COMPUTED_VALUE"""),135.72)</f>
        <v>135.72</v>
      </c>
      <c r="BC111" s="1">
        <f>IFERROR(__xludf.DUMMYFUNCTION("""COMPUTED_VALUE"""),105.13)</f>
        <v>105.13</v>
      </c>
      <c r="BD111" s="1">
        <f>IFERROR(__xludf.DUMMYFUNCTION("""COMPUTED_VALUE"""),49.13)</f>
        <v>49.13</v>
      </c>
      <c r="BE111" s="3">
        <f>IFERROR(__xludf.DUMMYFUNCTION("""COMPUTED_VALUE"""),41.93)</f>
        <v>41.93</v>
      </c>
      <c r="BF111" s="1">
        <f>IFERROR(__xludf.DUMMYFUNCTION("""COMPUTED_VALUE"""),80.82)</f>
        <v>80.82</v>
      </c>
      <c r="BG111" s="1">
        <f>IFERROR(__xludf.DUMMYFUNCTION("""COMPUTED_VALUE"""),29.67)</f>
        <v>29.67</v>
      </c>
      <c r="BH111" s="1">
        <f>IFERROR(__xludf.DUMMYFUNCTION("""COMPUTED_VALUE"""),126.22)</f>
        <v>126.22</v>
      </c>
      <c r="BI111" s="1">
        <f>IFERROR(__xludf.DUMMYFUNCTION("""COMPUTED_VALUE"""),50.42)</f>
        <v>50.42</v>
      </c>
      <c r="BJ111" s="1">
        <f>IFERROR(__xludf.DUMMYFUNCTION("""COMPUTED_VALUE"""),219.76)</f>
        <v>219.76</v>
      </c>
      <c r="BK111" s="1">
        <f>IFERROR(__xludf.DUMMYFUNCTION("""COMPUTED_VALUE"""),591.55)</f>
        <v>591.55</v>
      </c>
      <c r="BL111" s="1">
        <f>IFERROR(__xludf.DUMMYFUNCTION("""COMPUTED_VALUE"""),171.5)</f>
        <v>171.5</v>
      </c>
      <c r="BM111" s="1">
        <f>IFERROR(__xludf.DUMMYFUNCTION("""COMPUTED_VALUE"""),129.97)</f>
        <v>129.97</v>
      </c>
      <c r="BN111" s="3">
        <f>IFERROR(__xludf.DUMMYFUNCTION("""COMPUTED_VALUE"""),9.5)</f>
        <v>9.5</v>
      </c>
      <c r="BO111" s="1">
        <f>IFERROR(__xludf.DUMMYFUNCTION("""COMPUTED_VALUE"""),248.1)</f>
        <v>248.1</v>
      </c>
      <c r="BP111" s="1">
        <f>IFERROR(__xludf.DUMMYFUNCTION("""COMPUTED_VALUE"""),571.34)</f>
        <v>571.34</v>
      </c>
      <c r="BQ111" s="36">
        <f>IFERROR(__xludf.DUMMYFUNCTION("""COMPUTED_VALUE"""),48.93)</f>
        <v>48.93</v>
      </c>
      <c r="BR111" s="1">
        <f>IFERROR(__xludf.DUMMYFUNCTION("""COMPUTED_VALUE"""),11.82)</f>
        <v>11.82</v>
      </c>
      <c r="BS111" s="3">
        <f>IFERROR(__xludf.DUMMYFUNCTION("""COMPUTED_VALUE"""),213.14)</f>
        <v>213.14</v>
      </c>
      <c r="BT111" s="1">
        <f>IFERROR(__xludf.DUMMYFUNCTION("""COMPUTED_VALUE"""),96.75)</f>
        <v>96.75</v>
      </c>
      <c r="BU111" s="3">
        <v>1.0</v>
      </c>
    </row>
    <row r="112">
      <c r="A112" s="25">
        <f>IFERROR(__xludf.DUMMYFUNCTION("""COMPUTED_VALUE"""),45582.66666666667)</f>
        <v>45582.66667</v>
      </c>
      <c r="B112" s="29">
        <f>'Master Scratch Work'!B111</f>
        <v>1365906.44</v>
      </c>
      <c r="C112" s="15">
        <f>IFERROR(__xludf.DUMMYFUNCTION("""COMPUTED_VALUE"""),5841.47)</f>
        <v>5841.47</v>
      </c>
      <c r="D112" s="15">
        <f>IFERROR(__xludf.DUMMYFUNCTION("""COMPUTED_VALUE"""),18373.61)</f>
        <v>18373.61</v>
      </c>
      <c r="E112" s="15">
        <f>IFERROR(__xludf.DUMMYFUNCTION("""COMPUTED_VALUE"""),43239.05)</f>
        <v>43239.05</v>
      </c>
      <c r="F112" s="15">
        <f>IFERROR(__xludf.DUMMYFUNCTION("""COMPUTED_VALUE"""),2280.85)</f>
        <v>2280.85</v>
      </c>
      <c r="G112" s="3">
        <f>IFERROR(__xludf.DUMMYFUNCTION("""COMPUTED_VALUE"""),582.35)</f>
        <v>582.35</v>
      </c>
      <c r="H112" s="3">
        <f>IFERROR(__xludf.DUMMYFUNCTION("""COMPUTED_VALUE"""),491.25)</f>
        <v>491.25</v>
      </c>
      <c r="I112" s="3">
        <f>IFERROR(__xludf.DUMMYFUNCTION("""COMPUTED_VALUE"""),496.83)</f>
        <v>496.83</v>
      </c>
      <c r="J112" s="3">
        <f>IFERROR(__xludf.DUMMYFUNCTION("""COMPUTED_VALUE"""),187.53)</f>
        <v>187.53</v>
      </c>
      <c r="K112" s="3">
        <f>IFERROR(__xludf.DUMMYFUNCTION("""COMPUTED_VALUE"""),140.79)</f>
        <v>140.79</v>
      </c>
      <c r="L112" s="3">
        <f>IFERROR(__xludf.DUMMYFUNCTION("""COMPUTED_VALUE"""),232.15)</f>
        <v>232.15</v>
      </c>
      <c r="M112" s="3">
        <f>IFERROR(__xludf.DUMMYFUNCTION("""COMPUTED_VALUE"""),183.24)</f>
        <v>183.24</v>
      </c>
      <c r="N112" s="3">
        <f>IFERROR(__xludf.DUMMYFUNCTION("""COMPUTED_VALUE"""),77.75)</f>
        <v>77.75</v>
      </c>
      <c r="O112" s="3">
        <f>IFERROR(__xludf.DUMMYFUNCTION("""COMPUTED_VALUE"""),12.94)</f>
        <v>12.94</v>
      </c>
      <c r="P112" s="3">
        <f>IFERROR(__xludf.DUMMYFUNCTION("""COMPUTED_VALUE"""),465.85)</f>
        <v>465.85</v>
      </c>
      <c r="Q112" s="3">
        <f>IFERROR(__xludf.DUMMYFUNCTION("""COMPUTED_VALUE"""),56.89)</f>
        <v>56.89</v>
      </c>
      <c r="R112" s="3">
        <f>IFERROR(__xludf.DUMMYFUNCTION("""COMPUTED_VALUE"""),189.55)</f>
        <v>189.55</v>
      </c>
      <c r="S112" s="3">
        <f>IFERROR(__xludf.DUMMYFUNCTION("""COMPUTED_VALUE"""),86.42)</f>
        <v>86.42</v>
      </c>
      <c r="T112" s="3">
        <f>IFERROR(__xludf.DUMMYFUNCTION("""COMPUTED_VALUE"""),81.44)</f>
        <v>81.44</v>
      </c>
      <c r="U112" s="3">
        <f>IFERROR(__xludf.DUMMYFUNCTION("""COMPUTED_VALUE"""),394.49)</f>
        <v>394.49</v>
      </c>
      <c r="V112" s="3">
        <f>IFERROR(__xludf.DUMMYFUNCTION("""COMPUTED_VALUE"""),56.67)</f>
        <v>56.67</v>
      </c>
      <c r="W112" s="3">
        <f>IFERROR(__xludf.DUMMYFUNCTION("""COMPUTED_VALUE"""),207.44)</f>
        <v>207.44</v>
      </c>
      <c r="X112" s="3">
        <f>IFERROR(__xludf.DUMMYFUNCTION("""COMPUTED_VALUE"""),151.2)</f>
        <v>151.2</v>
      </c>
      <c r="Y112" s="1">
        <f>IFERROR(__xludf.DUMMYFUNCTION("""COMPUTED_VALUE"""),353.12)</f>
        <v>353.12</v>
      </c>
      <c r="Z112" s="1">
        <f>IFERROR(__xludf.DUMMYFUNCTION("""COMPUTED_VALUE"""),42.13)</f>
        <v>42.13</v>
      </c>
      <c r="AA112" s="1">
        <f>IFERROR(__xludf.DUMMYFUNCTION("""COMPUTED_VALUE"""),69.9)</f>
        <v>69.9</v>
      </c>
      <c r="AB112" s="1">
        <f>IFERROR(__xludf.DUMMYFUNCTION("""COMPUTED_VALUE"""),105.66)</f>
        <v>105.66</v>
      </c>
      <c r="AC112" s="1">
        <f>IFERROR(__xludf.DUMMYFUNCTION("""COMPUTED_VALUE"""),163.69)</f>
        <v>163.69</v>
      </c>
      <c r="AD112" s="3">
        <f>IFERROR(__xludf.DUMMYFUNCTION("""COMPUTED_VALUE"""),67.86)</f>
        <v>67.86</v>
      </c>
      <c r="AE112" s="1">
        <f>IFERROR(__xludf.DUMMYFUNCTION("""COMPUTED_VALUE"""),429.38)</f>
        <v>429.38</v>
      </c>
      <c r="AF112" s="1">
        <f>IFERROR(__xludf.DUMMYFUNCTION("""COMPUTED_VALUE"""),65.36)</f>
        <v>65.36</v>
      </c>
      <c r="AG112" s="1">
        <f>IFERROR(__xludf.DUMMYFUNCTION("""COMPUTED_VALUE"""),120.35)</f>
        <v>120.35</v>
      </c>
      <c r="AH112" s="3">
        <f>IFERROR(__xludf.DUMMYFUNCTION("""COMPUTED_VALUE"""),274.26)</f>
        <v>274.26</v>
      </c>
      <c r="AI112" s="1">
        <f>IFERROR(__xludf.DUMMYFUNCTION("""COMPUTED_VALUE"""),482.32)</f>
        <v>482.32</v>
      </c>
      <c r="AJ112" s="1">
        <f>IFERROR(__xludf.DUMMYFUNCTION("""COMPUTED_VALUE"""),308.23)</f>
        <v>308.23</v>
      </c>
      <c r="AK112" s="3">
        <f>IFERROR(__xludf.DUMMYFUNCTION("""COMPUTED_VALUE"""),49.38)</f>
        <v>49.38</v>
      </c>
      <c r="AL112" s="1">
        <f>IFERROR(__xludf.DUMMYFUNCTION("""COMPUTED_VALUE"""),87.36)</f>
        <v>87.36</v>
      </c>
      <c r="AM112" s="1">
        <f>IFERROR(__xludf.DUMMYFUNCTION("""COMPUTED_VALUE"""),529.0)</f>
        <v>529</v>
      </c>
      <c r="AN112" s="1">
        <f>IFERROR(__xludf.DUMMYFUNCTION("""COMPUTED_VALUE"""),415.6)</f>
        <v>415.6</v>
      </c>
      <c r="AO112" s="1">
        <f>IFERROR(__xludf.DUMMYFUNCTION("""COMPUTED_VALUE"""),107.7)</f>
        <v>107.7</v>
      </c>
      <c r="AP112" s="1">
        <f>IFERROR(__xludf.DUMMYFUNCTION("""COMPUTED_VALUE"""),164.81)</f>
        <v>164.81</v>
      </c>
      <c r="AQ112" s="1">
        <f>IFERROR(__xludf.DUMMYFUNCTION("""COMPUTED_VALUE"""),473.73)</f>
        <v>473.73</v>
      </c>
      <c r="AR112" s="3">
        <f>IFERROR(__xludf.DUMMYFUNCTION("""COMPUTED_VALUE"""),224.42)</f>
        <v>224.42</v>
      </c>
      <c r="AS112" s="3">
        <f>IFERROR(__xludf.DUMMYFUNCTION("""COMPUTED_VALUE"""),609.62)</f>
        <v>609.62</v>
      </c>
      <c r="AT112" s="3">
        <f>IFERROR(__xludf.DUMMYFUNCTION("""COMPUTED_VALUE"""),283.71)</f>
        <v>283.71</v>
      </c>
      <c r="AU112" s="1">
        <f>IFERROR(__xludf.DUMMYFUNCTION("""COMPUTED_VALUE"""),30.56)</f>
        <v>30.56</v>
      </c>
      <c r="AV112" s="1">
        <f>IFERROR(__xludf.DUMMYFUNCTION("""COMPUTED_VALUE"""),89.79)</f>
        <v>89.79</v>
      </c>
      <c r="AW112" s="1">
        <f>IFERROR(__xludf.DUMMYFUNCTION("""COMPUTED_VALUE"""),85.69)</f>
        <v>85.69</v>
      </c>
      <c r="AX112" s="1">
        <f>IFERROR(__xludf.DUMMYFUNCTION("""COMPUTED_VALUE"""),18.29)</f>
        <v>18.29</v>
      </c>
      <c r="AY112" s="1">
        <f>IFERROR(__xludf.DUMMYFUNCTION("""COMPUTED_VALUE"""),416.72)</f>
        <v>416.72</v>
      </c>
      <c r="AZ112" s="3">
        <f>IFERROR(__xludf.DUMMYFUNCTION("""COMPUTED_VALUE"""),83.78)</f>
        <v>83.78</v>
      </c>
      <c r="BA112" s="3">
        <f>IFERROR(__xludf.DUMMYFUNCTION("""COMPUTED_VALUE"""),86.0)</f>
        <v>86</v>
      </c>
      <c r="BB112" s="3">
        <f>IFERROR(__xludf.DUMMYFUNCTION("""COMPUTED_VALUE"""),136.93)</f>
        <v>136.93</v>
      </c>
      <c r="BC112" s="1">
        <f>IFERROR(__xludf.DUMMYFUNCTION("""COMPUTED_VALUE"""),105.21)</f>
        <v>105.21</v>
      </c>
      <c r="BD112" s="1">
        <f>IFERROR(__xludf.DUMMYFUNCTION("""COMPUTED_VALUE"""),48.16)</f>
        <v>48.16</v>
      </c>
      <c r="BE112" s="3">
        <f>IFERROR(__xludf.DUMMYFUNCTION("""COMPUTED_VALUE"""),42.0)</f>
        <v>42</v>
      </c>
      <c r="BF112" s="1">
        <f>IFERROR(__xludf.DUMMYFUNCTION("""COMPUTED_VALUE"""),79.82)</f>
        <v>79.82</v>
      </c>
      <c r="BG112" s="1">
        <f>IFERROR(__xludf.DUMMYFUNCTION("""COMPUTED_VALUE"""),29.27)</f>
        <v>29.27</v>
      </c>
      <c r="BH112" s="1">
        <f>IFERROR(__xludf.DUMMYFUNCTION("""COMPUTED_VALUE"""),125.75)</f>
        <v>125.75</v>
      </c>
      <c r="BI112" s="1">
        <f>IFERROR(__xludf.DUMMYFUNCTION("""COMPUTED_VALUE"""),50.0)</f>
        <v>50</v>
      </c>
      <c r="BJ112" s="1">
        <f>IFERROR(__xludf.DUMMYFUNCTION("""COMPUTED_VALUE"""),221.95)</f>
        <v>221.95</v>
      </c>
      <c r="BK112" s="1">
        <f>IFERROR(__xludf.DUMMYFUNCTION("""COMPUTED_VALUE"""),599.25)</f>
        <v>599.25</v>
      </c>
      <c r="BL112" s="1">
        <f>IFERROR(__xludf.DUMMYFUNCTION("""COMPUTED_VALUE"""),171.2)</f>
        <v>171.2</v>
      </c>
      <c r="BM112" s="1">
        <f>IFERROR(__xludf.DUMMYFUNCTION("""COMPUTED_VALUE"""),127.15)</f>
        <v>127.15</v>
      </c>
      <c r="BN112" s="3">
        <f>IFERROR(__xludf.DUMMYFUNCTION("""COMPUTED_VALUE"""),9.48)</f>
        <v>9.48</v>
      </c>
      <c r="BO112" s="1">
        <f>IFERROR(__xludf.DUMMYFUNCTION("""COMPUTED_VALUE"""),241.72)</f>
        <v>241.72</v>
      </c>
      <c r="BP112" s="1">
        <f>IFERROR(__xludf.DUMMYFUNCTION("""COMPUTED_VALUE"""),566.03)</f>
        <v>566.03</v>
      </c>
      <c r="BQ112" s="36">
        <f>IFERROR(__xludf.DUMMYFUNCTION("""COMPUTED_VALUE"""),48.9)</f>
        <v>48.9</v>
      </c>
      <c r="BR112" s="1">
        <f>IFERROR(__xludf.DUMMYFUNCTION("""COMPUTED_VALUE"""),11.71)</f>
        <v>11.71</v>
      </c>
      <c r="BS112" s="3">
        <f>IFERROR(__xludf.DUMMYFUNCTION("""COMPUTED_VALUE"""),213.08)</f>
        <v>213.08</v>
      </c>
      <c r="BT112" s="1">
        <f>IFERROR(__xludf.DUMMYFUNCTION("""COMPUTED_VALUE"""),96.54)</f>
        <v>96.54</v>
      </c>
      <c r="BU112" s="3">
        <v>1.0</v>
      </c>
    </row>
    <row r="113">
      <c r="A113" s="25">
        <f>IFERROR(__xludf.DUMMYFUNCTION("""COMPUTED_VALUE"""),45583.66666666667)</f>
        <v>45583.66667</v>
      </c>
      <c r="B113" s="29">
        <f>'Master Scratch Work'!B112</f>
        <v>1369520.9</v>
      </c>
      <c r="C113" s="15">
        <f>IFERROR(__xludf.DUMMYFUNCTION("""COMPUTED_VALUE"""),5864.67)</f>
        <v>5864.67</v>
      </c>
      <c r="D113" s="15">
        <f>IFERROR(__xludf.DUMMYFUNCTION("""COMPUTED_VALUE"""),18489.55)</f>
        <v>18489.55</v>
      </c>
      <c r="E113" s="15">
        <f>IFERROR(__xludf.DUMMYFUNCTION("""COMPUTED_VALUE"""),43275.91)</f>
        <v>43275.91</v>
      </c>
      <c r="F113" s="15">
        <f>IFERROR(__xludf.DUMMYFUNCTION("""COMPUTED_VALUE"""),2276.09)</f>
        <v>2276.09</v>
      </c>
      <c r="G113" s="3">
        <f>IFERROR(__xludf.DUMMYFUNCTION("""COMPUTED_VALUE"""),584.59)</f>
        <v>584.59</v>
      </c>
      <c r="H113" s="3">
        <f>IFERROR(__xludf.DUMMYFUNCTION("""COMPUTED_VALUE"""),494.47)</f>
        <v>494.47</v>
      </c>
      <c r="I113" s="3">
        <f>IFERROR(__xludf.DUMMYFUNCTION("""COMPUTED_VALUE"""),494.9)</f>
        <v>494.9</v>
      </c>
      <c r="J113" s="3">
        <f>IFERROR(__xludf.DUMMYFUNCTION("""COMPUTED_VALUE"""),188.99)</f>
        <v>188.99</v>
      </c>
      <c r="K113" s="3">
        <f>IFERROR(__xludf.DUMMYFUNCTION("""COMPUTED_VALUE"""),141.96)</f>
        <v>141.96</v>
      </c>
      <c r="L113" s="3">
        <f>IFERROR(__xludf.DUMMYFUNCTION("""COMPUTED_VALUE"""),235.0)</f>
        <v>235</v>
      </c>
      <c r="M113" s="3">
        <f>IFERROR(__xludf.DUMMYFUNCTION("""COMPUTED_VALUE"""),186.36)</f>
        <v>186.36</v>
      </c>
      <c r="N113" s="3">
        <f>IFERROR(__xludf.DUMMYFUNCTION("""COMPUTED_VALUE"""),76.67)</f>
        <v>76.67</v>
      </c>
      <c r="O113" s="3">
        <f>IFERROR(__xludf.DUMMYFUNCTION("""COMPUTED_VALUE"""),12.84)</f>
        <v>12.84</v>
      </c>
      <c r="P113" s="3">
        <f>IFERROR(__xludf.DUMMYFUNCTION("""COMPUTED_VALUE"""),464.8)</f>
        <v>464.8</v>
      </c>
      <c r="Q113" s="3">
        <f>IFERROR(__xludf.DUMMYFUNCTION("""COMPUTED_VALUE"""),57.12)</f>
        <v>57.12</v>
      </c>
      <c r="R113" s="3">
        <f>IFERROR(__xludf.DUMMYFUNCTION("""COMPUTED_VALUE"""),190.16)</f>
        <v>190.16</v>
      </c>
      <c r="S113" s="3">
        <f>IFERROR(__xludf.DUMMYFUNCTION("""COMPUTED_VALUE"""),88.07)</f>
        <v>88.07</v>
      </c>
      <c r="T113" s="3">
        <f>IFERROR(__xludf.DUMMYFUNCTION("""COMPUTED_VALUE"""),81.55)</f>
        <v>81.55</v>
      </c>
      <c r="U113" s="3">
        <f>IFERROR(__xludf.DUMMYFUNCTION("""COMPUTED_VALUE"""),393.86)</f>
        <v>393.86</v>
      </c>
      <c r="V113" s="3">
        <f>IFERROR(__xludf.DUMMYFUNCTION("""COMPUTED_VALUE"""),58.02)</f>
        <v>58.02</v>
      </c>
      <c r="W113" s="3">
        <f>IFERROR(__xludf.DUMMYFUNCTION("""COMPUTED_VALUE"""),206.23)</f>
        <v>206.23</v>
      </c>
      <c r="X113" s="3">
        <f>IFERROR(__xludf.DUMMYFUNCTION("""COMPUTED_VALUE"""),150.75)</f>
        <v>150.75</v>
      </c>
      <c r="Y113" s="1">
        <f>IFERROR(__xludf.DUMMYFUNCTION("""COMPUTED_VALUE"""),336.0)</f>
        <v>336</v>
      </c>
      <c r="Z113" s="1">
        <f>IFERROR(__xludf.DUMMYFUNCTION("""COMPUTED_VALUE"""),42.47)</f>
        <v>42.47</v>
      </c>
      <c r="AA113" s="1">
        <f>IFERROR(__xludf.DUMMYFUNCTION("""COMPUTED_VALUE"""),70.44)</f>
        <v>70.44</v>
      </c>
      <c r="AB113" s="1">
        <f>IFERROR(__xludf.DUMMYFUNCTION("""COMPUTED_VALUE"""),106.76)</f>
        <v>106.76</v>
      </c>
      <c r="AC113" s="1">
        <f>IFERROR(__xludf.DUMMYFUNCTION("""COMPUTED_VALUE"""),165.38)</f>
        <v>165.38</v>
      </c>
      <c r="AD113" s="3">
        <f>IFERROR(__xludf.DUMMYFUNCTION("""COMPUTED_VALUE"""),68.2)</f>
        <v>68.2</v>
      </c>
      <c r="AE113" s="1">
        <f>IFERROR(__xludf.DUMMYFUNCTION("""COMPUTED_VALUE"""),428.85)</f>
        <v>428.85</v>
      </c>
      <c r="AF113" s="1">
        <f>IFERROR(__xludf.DUMMYFUNCTION("""COMPUTED_VALUE"""),64.95)</f>
        <v>64.95</v>
      </c>
      <c r="AG113" s="1">
        <f>IFERROR(__xludf.DUMMYFUNCTION("""COMPUTED_VALUE"""),120.01)</f>
        <v>120.01</v>
      </c>
      <c r="AH113" s="3">
        <f>IFERROR(__xludf.DUMMYFUNCTION("""COMPUTED_VALUE"""),274.4)</f>
        <v>274.4</v>
      </c>
      <c r="AI113" s="1">
        <f>IFERROR(__xludf.DUMMYFUNCTION("""COMPUTED_VALUE"""),482.35)</f>
        <v>482.35</v>
      </c>
      <c r="AJ113" s="1">
        <f>IFERROR(__xludf.DUMMYFUNCTION("""COMPUTED_VALUE"""),308.48)</f>
        <v>308.48</v>
      </c>
      <c r="AK113" s="3">
        <f>IFERROR(__xludf.DUMMYFUNCTION("""COMPUTED_VALUE"""),49.18)</f>
        <v>49.18</v>
      </c>
      <c r="AL113" s="1">
        <f>IFERROR(__xludf.DUMMYFUNCTION("""COMPUTED_VALUE"""),86.72)</f>
        <v>86.72</v>
      </c>
      <c r="AM113" s="1">
        <f>IFERROR(__xludf.DUMMYFUNCTION("""COMPUTED_VALUE"""),528.5)</f>
        <v>528.5</v>
      </c>
      <c r="AN113" s="1">
        <f>IFERROR(__xludf.DUMMYFUNCTION("""COMPUTED_VALUE"""),415.0)</f>
        <v>415</v>
      </c>
      <c r="AO113" s="1">
        <f>IFERROR(__xludf.DUMMYFUNCTION("""COMPUTED_VALUE"""),108.03)</f>
        <v>108.03</v>
      </c>
      <c r="AP113" s="1">
        <f>IFERROR(__xludf.DUMMYFUNCTION("""COMPUTED_VALUE"""),166.83)</f>
        <v>166.83</v>
      </c>
      <c r="AQ113" s="1">
        <f>IFERROR(__xludf.DUMMYFUNCTION("""COMPUTED_VALUE"""),521.15)</f>
        <v>521.15</v>
      </c>
      <c r="AR113" s="3">
        <f>IFERROR(__xludf.DUMMYFUNCTION("""COMPUTED_VALUE"""),225.37)</f>
        <v>225.37</v>
      </c>
      <c r="AS113" s="3">
        <f>IFERROR(__xludf.DUMMYFUNCTION("""COMPUTED_VALUE"""),611.81)</f>
        <v>611.81</v>
      </c>
      <c r="AT113" s="3">
        <f>IFERROR(__xludf.DUMMYFUNCTION("""COMPUTED_VALUE"""),291.63)</f>
        <v>291.63</v>
      </c>
      <c r="AU113" s="1">
        <f>IFERROR(__xludf.DUMMYFUNCTION("""COMPUTED_VALUE"""),30.49)</f>
        <v>30.49</v>
      </c>
      <c r="AV113" s="1">
        <f>IFERROR(__xludf.DUMMYFUNCTION("""COMPUTED_VALUE"""),92.24)</f>
        <v>92.24</v>
      </c>
      <c r="AW113" s="1">
        <f>IFERROR(__xludf.DUMMYFUNCTION("""COMPUTED_VALUE"""),85.32)</f>
        <v>85.32</v>
      </c>
      <c r="AX113" s="1">
        <f>IFERROR(__xludf.DUMMYFUNCTION("""COMPUTED_VALUE"""),18.58)</f>
        <v>18.58</v>
      </c>
      <c r="AY113" s="1">
        <f>IFERROR(__xludf.DUMMYFUNCTION("""COMPUTED_VALUE"""),418.16)</f>
        <v>418.16</v>
      </c>
      <c r="AZ113" s="3">
        <f>IFERROR(__xludf.DUMMYFUNCTION("""COMPUTED_VALUE"""),84.38)</f>
        <v>84.38</v>
      </c>
      <c r="BA113" s="3">
        <f>IFERROR(__xludf.DUMMYFUNCTION("""COMPUTED_VALUE"""),86.33)</f>
        <v>86.33</v>
      </c>
      <c r="BB113" s="3">
        <f>IFERROR(__xludf.DUMMYFUNCTION("""COMPUTED_VALUE"""),138.0)</f>
        <v>138</v>
      </c>
      <c r="BC113" s="1">
        <f>IFERROR(__xludf.DUMMYFUNCTION("""COMPUTED_VALUE"""),106.01)</f>
        <v>106.01</v>
      </c>
      <c r="BD113" s="1">
        <f>IFERROR(__xludf.DUMMYFUNCTION("""COMPUTED_VALUE"""),48.33)</f>
        <v>48.33</v>
      </c>
      <c r="BE113" s="3">
        <f>IFERROR(__xludf.DUMMYFUNCTION("""COMPUTED_VALUE"""),42.97)</f>
        <v>42.97</v>
      </c>
      <c r="BF113" s="1">
        <f>IFERROR(__xludf.DUMMYFUNCTION("""COMPUTED_VALUE"""),80.94)</f>
        <v>80.94</v>
      </c>
      <c r="BG113" s="1">
        <f>IFERROR(__xludf.DUMMYFUNCTION("""COMPUTED_VALUE"""),29.22)</f>
        <v>29.22</v>
      </c>
      <c r="BH113" s="1">
        <f>IFERROR(__xludf.DUMMYFUNCTION("""COMPUTED_VALUE"""),125.92)</f>
        <v>125.92</v>
      </c>
      <c r="BI113" s="1">
        <f>IFERROR(__xludf.DUMMYFUNCTION("""COMPUTED_VALUE"""),50.43)</f>
        <v>50.43</v>
      </c>
      <c r="BJ113" s="1">
        <f>IFERROR(__xludf.DUMMYFUNCTION("""COMPUTED_VALUE"""),223.21)</f>
        <v>223.21</v>
      </c>
      <c r="BK113" s="1">
        <f>IFERROR(__xludf.DUMMYFUNCTION("""COMPUTED_VALUE"""),601.71)</f>
        <v>601.71</v>
      </c>
      <c r="BL113" s="1">
        <f>IFERROR(__xludf.DUMMYFUNCTION("""COMPUTED_VALUE"""),171.53)</f>
        <v>171.53</v>
      </c>
      <c r="BM113" s="1">
        <f>IFERROR(__xludf.DUMMYFUNCTION("""COMPUTED_VALUE"""),126.6)</f>
        <v>126.6</v>
      </c>
      <c r="BN113" s="3">
        <f>IFERROR(__xludf.DUMMYFUNCTION("""COMPUTED_VALUE"""),9.36)</f>
        <v>9.36</v>
      </c>
      <c r="BO113" s="1">
        <f>IFERROR(__xludf.DUMMYFUNCTION("""COMPUTED_VALUE"""),244.1)</f>
        <v>244.1</v>
      </c>
      <c r="BP113" s="1">
        <f>IFERROR(__xludf.DUMMYFUNCTION("""COMPUTED_VALUE"""),569.61)</f>
        <v>569.61</v>
      </c>
      <c r="BQ113" s="36">
        <f>IFERROR(__xludf.DUMMYFUNCTION("""COMPUTED_VALUE"""),48.93)</f>
        <v>48.93</v>
      </c>
      <c r="BR113" s="1">
        <f>IFERROR(__xludf.DUMMYFUNCTION("""COMPUTED_VALUE"""),11.76)</f>
        <v>11.76</v>
      </c>
      <c r="BS113" s="3">
        <f>IFERROR(__xludf.DUMMYFUNCTION("""COMPUTED_VALUE"""),212.75)</f>
        <v>212.75</v>
      </c>
      <c r="BT113" s="1">
        <f>IFERROR(__xludf.DUMMYFUNCTION("""COMPUTED_VALUE"""),97.28)</f>
        <v>97.28</v>
      </c>
      <c r="BU113" s="3">
        <v>1.0</v>
      </c>
    </row>
    <row r="114">
      <c r="A114" s="25">
        <f>IFERROR(__xludf.DUMMYFUNCTION("""COMPUTED_VALUE"""),45586.66666666667)</f>
        <v>45586.66667</v>
      </c>
      <c r="B114" s="29">
        <f>'Master Scratch Work'!B113</f>
        <v>1361488.2</v>
      </c>
      <c r="C114" s="15">
        <f>IFERROR(__xludf.DUMMYFUNCTION("""COMPUTED_VALUE"""),5853.98)</f>
        <v>5853.98</v>
      </c>
      <c r="D114" s="15">
        <f>IFERROR(__xludf.DUMMYFUNCTION("""COMPUTED_VALUE"""),18540.01)</f>
        <v>18540.01</v>
      </c>
      <c r="E114" s="15">
        <f>IFERROR(__xludf.DUMMYFUNCTION("""COMPUTED_VALUE"""),42931.6)</f>
        <v>42931.6</v>
      </c>
      <c r="F114" s="15">
        <f>IFERROR(__xludf.DUMMYFUNCTION("""COMPUTED_VALUE"""),2239.71)</f>
        <v>2239.71</v>
      </c>
      <c r="G114" s="3">
        <f>IFERROR(__xludf.DUMMYFUNCTION("""COMPUTED_VALUE"""),583.63)</f>
        <v>583.63</v>
      </c>
      <c r="H114" s="3">
        <f>IFERROR(__xludf.DUMMYFUNCTION("""COMPUTED_VALUE"""),495.42)</f>
        <v>495.42</v>
      </c>
      <c r="I114" s="3">
        <f>IFERROR(__xludf.DUMMYFUNCTION("""COMPUTED_VALUE"""),497.71)</f>
        <v>497.71</v>
      </c>
      <c r="J114" s="3">
        <f>IFERROR(__xludf.DUMMYFUNCTION("""COMPUTED_VALUE"""),189.07)</f>
        <v>189.07</v>
      </c>
      <c r="K114" s="3">
        <f>IFERROR(__xludf.DUMMYFUNCTION("""COMPUTED_VALUE"""),141.05)</f>
        <v>141.05</v>
      </c>
      <c r="L114" s="3">
        <f>IFERROR(__xludf.DUMMYFUNCTION("""COMPUTED_VALUE"""),236.48)</f>
        <v>236.48</v>
      </c>
      <c r="M114" s="3">
        <f>IFERROR(__xludf.DUMMYFUNCTION("""COMPUTED_VALUE"""),184.46)</f>
        <v>184.46</v>
      </c>
      <c r="N114" s="3">
        <f>IFERROR(__xludf.DUMMYFUNCTION("""COMPUTED_VALUE"""),75.88)</f>
        <v>75.88</v>
      </c>
      <c r="O114" s="3">
        <f>IFERROR(__xludf.DUMMYFUNCTION("""COMPUTED_VALUE"""),12.61)</f>
        <v>12.61</v>
      </c>
      <c r="P114" s="3">
        <f>IFERROR(__xludf.DUMMYFUNCTION("""COMPUTED_VALUE"""),464.16)</f>
        <v>464.16</v>
      </c>
      <c r="Q114" s="3">
        <f>IFERROR(__xludf.DUMMYFUNCTION("""COMPUTED_VALUE"""),56.32)</f>
        <v>56.32</v>
      </c>
      <c r="R114" s="3">
        <f>IFERROR(__xludf.DUMMYFUNCTION("""COMPUTED_VALUE"""),184.65)</f>
        <v>184.65</v>
      </c>
      <c r="S114" s="3">
        <f>IFERROR(__xludf.DUMMYFUNCTION("""COMPUTED_VALUE"""),88.05)</f>
        <v>88.05</v>
      </c>
      <c r="T114" s="3">
        <f>IFERROR(__xludf.DUMMYFUNCTION("""COMPUTED_VALUE"""),81.38)</f>
        <v>81.38</v>
      </c>
      <c r="U114" s="3">
        <f>IFERROR(__xludf.DUMMYFUNCTION("""COMPUTED_VALUE"""),390.48)</f>
        <v>390.48</v>
      </c>
      <c r="V114" s="3">
        <f>IFERROR(__xludf.DUMMYFUNCTION("""COMPUTED_VALUE"""),57.92)</f>
        <v>57.92</v>
      </c>
      <c r="W114" s="3">
        <f>IFERROR(__xludf.DUMMYFUNCTION("""COMPUTED_VALUE"""),205.28)</f>
        <v>205.28</v>
      </c>
      <c r="X114" s="3">
        <f>IFERROR(__xludf.DUMMYFUNCTION("""COMPUTED_VALUE"""),150.88)</f>
        <v>150.88</v>
      </c>
      <c r="Y114" s="1">
        <f>IFERROR(__xludf.DUMMYFUNCTION("""COMPUTED_VALUE"""),320.23)</f>
        <v>320.23</v>
      </c>
      <c r="Z114" s="1">
        <f>IFERROR(__xludf.DUMMYFUNCTION("""COMPUTED_VALUE"""),41.06)</f>
        <v>41.06</v>
      </c>
      <c r="AA114" s="1">
        <f>IFERROR(__xludf.DUMMYFUNCTION("""COMPUTED_VALUE"""),69.45)</f>
        <v>69.45</v>
      </c>
      <c r="AB114" s="1">
        <f>IFERROR(__xludf.DUMMYFUNCTION("""COMPUTED_VALUE"""),106.26)</f>
        <v>106.26</v>
      </c>
      <c r="AC114" s="1">
        <f>IFERROR(__xludf.DUMMYFUNCTION("""COMPUTED_VALUE"""),165.2)</f>
        <v>165.2</v>
      </c>
      <c r="AD114" s="3">
        <f>IFERROR(__xludf.DUMMYFUNCTION("""COMPUTED_VALUE"""),67.31)</f>
        <v>67.31</v>
      </c>
      <c r="AE114" s="1">
        <f>IFERROR(__xludf.DUMMYFUNCTION("""COMPUTED_VALUE"""),431.29)</f>
        <v>431.29</v>
      </c>
      <c r="AF114" s="1">
        <f>IFERROR(__xludf.DUMMYFUNCTION("""COMPUTED_VALUE"""),64.16)</f>
        <v>64.16</v>
      </c>
      <c r="AG114" s="1">
        <f>IFERROR(__xludf.DUMMYFUNCTION("""COMPUTED_VALUE"""),120.08)</f>
        <v>120.08</v>
      </c>
      <c r="AH114" s="3">
        <f>IFERROR(__xludf.DUMMYFUNCTION("""COMPUTED_VALUE"""),268.81)</f>
        <v>268.81</v>
      </c>
      <c r="AI114" s="1">
        <f>IFERROR(__xludf.DUMMYFUNCTION("""COMPUTED_VALUE"""),480.18)</f>
        <v>480.18</v>
      </c>
      <c r="AJ114" s="1">
        <f>IFERROR(__xludf.DUMMYFUNCTION("""COMPUTED_VALUE"""),308.08)</f>
        <v>308.08</v>
      </c>
      <c r="AK114" s="3">
        <f>IFERROR(__xludf.DUMMYFUNCTION("""COMPUTED_VALUE"""),48.93)</f>
        <v>48.93</v>
      </c>
      <c r="AL114" s="1">
        <f>IFERROR(__xludf.DUMMYFUNCTION("""COMPUTED_VALUE"""),86.29)</f>
        <v>86.29</v>
      </c>
      <c r="AM114" s="1">
        <f>IFERROR(__xludf.DUMMYFUNCTION("""COMPUTED_VALUE"""),517.8)</f>
        <v>517.8</v>
      </c>
      <c r="AN114" s="1">
        <f>IFERROR(__xludf.DUMMYFUNCTION("""COMPUTED_VALUE"""),406.4)</f>
        <v>406.4</v>
      </c>
      <c r="AO114" s="1">
        <f>IFERROR(__xludf.DUMMYFUNCTION("""COMPUTED_VALUE"""),108.16)</f>
        <v>108.16</v>
      </c>
      <c r="AP114" s="1">
        <f>IFERROR(__xludf.DUMMYFUNCTION("""COMPUTED_VALUE"""),166.34)</f>
        <v>166.34</v>
      </c>
      <c r="AQ114" s="1">
        <f>IFERROR(__xludf.DUMMYFUNCTION("""COMPUTED_VALUE"""),518.86)</f>
        <v>518.86</v>
      </c>
      <c r="AR114" s="3">
        <f>IFERROR(__xludf.DUMMYFUNCTION("""COMPUTED_VALUE"""),223.0)</f>
        <v>223</v>
      </c>
      <c r="AS114" s="3">
        <f>IFERROR(__xludf.DUMMYFUNCTION("""COMPUTED_VALUE"""),614.61)</f>
        <v>614.61</v>
      </c>
      <c r="AT114" s="3">
        <f>IFERROR(__xludf.DUMMYFUNCTION("""COMPUTED_VALUE"""),297.74)</f>
        <v>297.74</v>
      </c>
      <c r="AU114" s="1">
        <f>IFERROR(__xludf.DUMMYFUNCTION("""COMPUTED_VALUE"""),30.04)</f>
        <v>30.04</v>
      </c>
      <c r="AV114" s="1">
        <f>IFERROR(__xludf.DUMMYFUNCTION("""COMPUTED_VALUE"""),91.03)</f>
        <v>91.03</v>
      </c>
      <c r="AW114" s="1">
        <f>IFERROR(__xludf.DUMMYFUNCTION("""COMPUTED_VALUE"""),84.84)</f>
        <v>84.84</v>
      </c>
      <c r="AX114" s="1">
        <f>IFERROR(__xludf.DUMMYFUNCTION("""COMPUTED_VALUE"""),18.08)</f>
        <v>18.08</v>
      </c>
      <c r="AY114" s="1">
        <f>IFERROR(__xludf.DUMMYFUNCTION("""COMPUTED_VALUE"""),418.78)</f>
        <v>418.78</v>
      </c>
      <c r="AZ114" s="3">
        <f>IFERROR(__xludf.DUMMYFUNCTION("""COMPUTED_VALUE"""),84.03)</f>
        <v>84.03</v>
      </c>
      <c r="BA114" s="3">
        <f>IFERROR(__xludf.DUMMYFUNCTION("""COMPUTED_VALUE"""),86.45)</f>
        <v>86.45</v>
      </c>
      <c r="BB114" s="3">
        <f>IFERROR(__xludf.DUMMYFUNCTION("""COMPUTED_VALUE"""),143.71)</f>
        <v>143.71</v>
      </c>
      <c r="BC114" s="1">
        <f>IFERROR(__xludf.DUMMYFUNCTION("""COMPUTED_VALUE"""),105.52)</f>
        <v>105.52</v>
      </c>
      <c r="BD114" s="1">
        <f>IFERROR(__xludf.DUMMYFUNCTION("""COMPUTED_VALUE"""),48.31)</f>
        <v>48.31</v>
      </c>
      <c r="BE114" s="3">
        <f>IFERROR(__xludf.DUMMYFUNCTION("""COMPUTED_VALUE"""),42.7)</f>
        <v>42.7</v>
      </c>
      <c r="BF114" s="1">
        <f>IFERROR(__xludf.DUMMYFUNCTION("""COMPUTED_VALUE"""),80.56)</f>
        <v>80.56</v>
      </c>
      <c r="BG114" s="1">
        <f>IFERROR(__xludf.DUMMYFUNCTION("""COMPUTED_VALUE"""),28.93)</f>
        <v>28.93</v>
      </c>
      <c r="BH114" s="1">
        <f>IFERROR(__xludf.DUMMYFUNCTION("""COMPUTED_VALUE"""),125.9)</f>
        <v>125.9</v>
      </c>
      <c r="BI114" s="1">
        <f>IFERROR(__xludf.DUMMYFUNCTION("""COMPUTED_VALUE"""),47.75)</f>
        <v>47.75</v>
      </c>
      <c r="BJ114" s="1">
        <f>IFERROR(__xludf.DUMMYFUNCTION("""COMPUTED_VALUE"""),222.77)</f>
        <v>222.77</v>
      </c>
      <c r="BK114" s="1">
        <f>IFERROR(__xludf.DUMMYFUNCTION("""COMPUTED_VALUE"""),595.37)</f>
        <v>595.37</v>
      </c>
      <c r="BL114" s="1">
        <f>IFERROR(__xludf.DUMMYFUNCTION("""COMPUTED_VALUE"""),169.17)</f>
        <v>169.17</v>
      </c>
      <c r="BM114" s="1">
        <f>IFERROR(__xludf.DUMMYFUNCTION("""COMPUTED_VALUE"""),124.48)</f>
        <v>124.48</v>
      </c>
      <c r="BN114" s="3">
        <f>IFERROR(__xludf.DUMMYFUNCTION("""COMPUTED_VALUE"""),9.14)</f>
        <v>9.14</v>
      </c>
      <c r="BO114" s="1">
        <f>IFERROR(__xludf.DUMMYFUNCTION("""COMPUTED_VALUE"""),240.35)</f>
        <v>240.35</v>
      </c>
      <c r="BP114" s="1">
        <f>IFERROR(__xludf.DUMMYFUNCTION("""COMPUTED_VALUE"""),571.47)</f>
        <v>571.47</v>
      </c>
      <c r="BQ114" s="36">
        <f>IFERROR(__xludf.DUMMYFUNCTION("""COMPUTED_VALUE"""),48.85)</f>
        <v>48.85</v>
      </c>
      <c r="BR114" s="1">
        <f>IFERROR(__xludf.DUMMYFUNCTION("""COMPUTED_VALUE"""),11.57)</f>
        <v>11.57</v>
      </c>
      <c r="BS114" s="3">
        <f>IFERROR(__xludf.DUMMYFUNCTION("""COMPUTED_VALUE"""),211.82)</f>
        <v>211.82</v>
      </c>
      <c r="BT114" s="1">
        <f>IFERROR(__xludf.DUMMYFUNCTION("""COMPUTED_VALUE"""),96.62)</f>
        <v>96.62</v>
      </c>
      <c r="BU114" s="3">
        <v>1.0</v>
      </c>
    </row>
    <row r="115">
      <c r="A115" s="25">
        <f>IFERROR(__xludf.DUMMYFUNCTION("""COMPUTED_VALUE"""),45587.66666666667)</f>
        <v>45587.66667</v>
      </c>
      <c r="B115" s="29">
        <f>'Master Scratch Work'!B114</f>
        <v>1358318.06</v>
      </c>
      <c r="C115" s="15">
        <f>IFERROR(__xludf.DUMMYFUNCTION("""COMPUTED_VALUE"""),5851.2)</f>
        <v>5851.2</v>
      </c>
      <c r="D115" s="15">
        <f>IFERROR(__xludf.DUMMYFUNCTION("""COMPUTED_VALUE"""),18573.13)</f>
        <v>18573.13</v>
      </c>
      <c r="E115" s="15">
        <f>IFERROR(__xludf.DUMMYFUNCTION("""COMPUTED_VALUE"""),42924.89)</f>
        <v>42924.89</v>
      </c>
      <c r="F115" s="15">
        <f>IFERROR(__xludf.DUMMYFUNCTION("""COMPUTED_VALUE"""),2231.53)</f>
        <v>2231.53</v>
      </c>
      <c r="G115" s="3">
        <f>IFERROR(__xludf.DUMMYFUNCTION("""COMPUTED_VALUE"""),583.32)</f>
        <v>583.32</v>
      </c>
      <c r="H115" s="3">
        <f>IFERROR(__xludf.DUMMYFUNCTION("""COMPUTED_VALUE"""),495.96)</f>
        <v>495.96</v>
      </c>
      <c r="I115" s="3">
        <f>IFERROR(__xludf.DUMMYFUNCTION("""COMPUTED_VALUE"""),493.11)</f>
        <v>493.11</v>
      </c>
      <c r="J115" s="3">
        <f>IFERROR(__xludf.DUMMYFUNCTION("""COMPUTED_VALUE"""),189.7)</f>
        <v>189.7</v>
      </c>
      <c r="K115" s="3">
        <f>IFERROR(__xludf.DUMMYFUNCTION("""COMPUTED_VALUE"""),140.75)</f>
        <v>140.75</v>
      </c>
      <c r="L115" s="3">
        <f>IFERROR(__xludf.DUMMYFUNCTION("""COMPUTED_VALUE"""),235.86)</f>
        <v>235.86</v>
      </c>
      <c r="M115" s="3">
        <f>IFERROR(__xludf.DUMMYFUNCTION("""COMPUTED_VALUE"""),183.0)</f>
        <v>183</v>
      </c>
      <c r="N115" s="3">
        <f>IFERROR(__xludf.DUMMYFUNCTION("""COMPUTED_VALUE"""),75.91)</f>
        <v>75.91</v>
      </c>
      <c r="O115" s="3">
        <f>IFERROR(__xludf.DUMMYFUNCTION("""COMPUTED_VALUE"""),12.75)</f>
        <v>12.75</v>
      </c>
      <c r="P115" s="3">
        <f>IFERROR(__xludf.DUMMYFUNCTION("""COMPUTED_VALUE"""),461.45)</f>
        <v>461.45</v>
      </c>
      <c r="Q115" s="3">
        <f>IFERROR(__xludf.DUMMYFUNCTION("""COMPUTED_VALUE"""),56.64)</f>
        <v>56.64</v>
      </c>
      <c r="R115" s="3">
        <f>IFERROR(__xludf.DUMMYFUNCTION("""COMPUTED_VALUE"""),185.9)</f>
        <v>185.9</v>
      </c>
      <c r="S115" s="3">
        <f>IFERROR(__xludf.DUMMYFUNCTION("""COMPUTED_VALUE"""),88.01)</f>
        <v>88.01</v>
      </c>
      <c r="T115" s="3">
        <f>IFERROR(__xludf.DUMMYFUNCTION("""COMPUTED_VALUE"""),80.15)</f>
        <v>80.15</v>
      </c>
      <c r="U115" s="3">
        <f>IFERROR(__xludf.DUMMYFUNCTION("""COMPUTED_VALUE"""),388.46)</f>
        <v>388.46</v>
      </c>
      <c r="V115" s="3">
        <f>IFERROR(__xludf.DUMMYFUNCTION("""COMPUTED_VALUE"""),56.68)</f>
        <v>56.68</v>
      </c>
      <c r="W115" s="3">
        <f>IFERROR(__xludf.DUMMYFUNCTION("""COMPUTED_VALUE"""),207.32)</f>
        <v>207.32</v>
      </c>
      <c r="X115" s="3">
        <f>IFERROR(__xludf.DUMMYFUNCTION("""COMPUTED_VALUE"""),150.92)</f>
        <v>150.92</v>
      </c>
      <c r="Y115" s="1">
        <f>IFERROR(__xludf.DUMMYFUNCTION("""COMPUTED_VALUE"""),317.46)</f>
        <v>317.46</v>
      </c>
      <c r="Z115" s="1">
        <f>IFERROR(__xludf.DUMMYFUNCTION("""COMPUTED_VALUE"""),41.61)</f>
        <v>41.61</v>
      </c>
      <c r="AA115" s="1">
        <f>IFERROR(__xludf.DUMMYFUNCTION("""COMPUTED_VALUE"""),69.45)</f>
        <v>69.45</v>
      </c>
      <c r="AB115" s="1">
        <f>IFERROR(__xludf.DUMMYFUNCTION("""COMPUTED_VALUE"""),105.7)</f>
        <v>105.7</v>
      </c>
      <c r="AC115" s="1">
        <f>IFERROR(__xludf.DUMMYFUNCTION("""COMPUTED_VALUE"""),165.25)</f>
        <v>165.25</v>
      </c>
      <c r="AD115" s="3">
        <f>IFERROR(__xludf.DUMMYFUNCTION("""COMPUTED_VALUE"""),66.94)</f>
        <v>66.94</v>
      </c>
      <c r="AE115" s="1">
        <f>IFERROR(__xludf.DUMMYFUNCTION("""COMPUTED_VALUE"""),426.78)</f>
        <v>426.78</v>
      </c>
      <c r="AF115" s="1">
        <f>IFERROR(__xludf.DUMMYFUNCTION("""COMPUTED_VALUE"""),63.32)</f>
        <v>63.32</v>
      </c>
      <c r="AG115" s="1">
        <f>IFERROR(__xludf.DUMMYFUNCTION("""COMPUTED_VALUE"""),120.7)</f>
        <v>120.7</v>
      </c>
      <c r="AH115" s="3">
        <f>IFERROR(__xludf.DUMMYFUNCTION("""COMPUTED_VALUE"""),269.79)</f>
        <v>269.79</v>
      </c>
      <c r="AI115" s="1">
        <f>IFERROR(__xludf.DUMMYFUNCTION("""COMPUTED_VALUE"""),478.51)</f>
        <v>478.51</v>
      </c>
      <c r="AJ115" s="1">
        <f>IFERROR(__xludf.DUMMYFUNCTION("""COMPUTED_VALUE"""),305.99)</f>
        <v>305.99</v>
      </c>
      <c r="AK115" s="3">
        <f>IFERROR(__xludf.DUMMYFUNCTION("""COMPUTED_VALUE"""),53.73)</f>
        <v>53.73</v>
      </c>
      <c r="AL115" s="1">
        <f>IFERROR(__xludf.DUMMYFUNCTION("""COMPUTED_VALUE"""),88.16)</f>
        <v>88.16</v>
      </c>
      <c r="AM115" s="1">
        <f>IFERROR(__xludf.DUMMYFUNCTION("""COMPUTED_VALUE"""),518.3)</f>
        <v>518.3</v>
      </c>
      <c r="AN115" s="1">
        <f>IFERROR(__xludf.DUMMYFUNCTION("""COMPUTED_VALUE"""),401.85)</f>
        <v>401.85</v>
      </c>
      <c r="AO115" s="1">
        <f>IFERROR(__xludf.DUMMYFUNCTION("""COMPUTED_VALUE"""),108.27)</f>
        <v>108.27</v>
      </c>
      <c r="AP115" s="1">
        <f>IFERROR(__xludf.DUMMYFUNCTION("""COMPUTED_VALUE"""),165.94)</f>
        <v>165.94</v>
      </c>
      <c r="AQ115" s="1">
        <f>IFERROR(__xludf.DUMMYFUNCTION("""COMPUTED_VALUE"""),517.5)</f>
        <v>517.5</v>
      </c>
      <c r="AR115" s="3">
        <f>IFERROR(__xludf.DUMMYFUNCTION("""COMPUTED_VALUE"""),224.12)</f>
        <v>224.12</v>
      </c>
      <c r="AS115" s="3">
        <f>IFERROR(__xludf.DUMMYFUNCTION("""COMPUTED_VALUE"""),576.98)</f>
        <v>576.98</v>
      </c>
      <c r="AT115" s="3">
        <f>IFERROR(__xludf.DUMMYFUNCTION("""COMPUTED_VALUE"""),298.88)</f>
        <v>298.88</v>
      </c>
      <c r="AU115" s="1">
        <f>IFERROR(__xludf.DUMMYFUNCTION("""COMPUTED_VALUE"""),30.08)</f>
        <v>30.08</v>
      </c>
      <c r="AV115" s="1">
        <f>IFERROR(__xludf.DUMMYFUNCTION("""COMPUTED_VALUE"""),91.12)</f>
        <v>91.12</v>
      </c>
      <c r="AW115" s="1">
        <f>IFERROR(__xludf.DUMMYFUNCTION("""COMPUTED_VALUE"""),84.75)</f>
        <v>84.75</v>
      </c>
      <c r="AX115" s="1">
        <f>IFERROR(__xludf.DUMMYFUNCTION("""COMPUTED_VALUE"""),18.3)</f>
        <v>18.3</v>
      </c>
      <c r="AY115" s="1">
        <f>IFERROR(__xludf.DUMMYFUNCTION("""COMPUTED_VALUE"""),427.51)</f>
        <v>427.51</v>
      </c>
      <c r="AZ115" s="3">
        <f>IFERROR(__xludf.DUMMYFUNCTION("""COMPUTED_VALUE"""),83.7)</f>
        <v>83.7</v>
      </c>
      <c r="BA115" s="3">
        <f>IFERROR(__xludf.DUMMYFUNCTION("""COMPUTED_VALUE"""),85.3)</f>
        <v>85.3</v>
      </c>
      <c r="BB115" s="3">
        <f>IFERROR(__xludf.DUMMYFUNCTION("""COMPUTED_VALUE"""),143.59)</f>
        <v>143.59</v>
      </c>
      <c r="BC115" s="1">
        <f>IFERROR(__xludf.DUMMYFUNCTION("""COMPUTED_VALUE"""),102.96)</f>
        <v>102.96</v>
      </c>
      <c r="BD115" s="1">
        <f>IFERROR(__xludf.DUMMYFUNCTION("""COMPUTED_VALUE"""),48.66)</f>
        <v>48.66</v>
      </c>
      <c r="BE115" s="3">
        <f>IFERROR(__xludf.DUMMYFUNCTION("""COMPUTED_VALUE"""),42.94)</f>
        <v>42.94</v>
      </c>
      <c r="BF115" s="1">
        <f>IFERROR(__xludf.DUMMYFUNCTION("""COMPUTED_VALUE"""),80.91)</f>
        <v>80.91</v>
      </c>
      <c r="BG115" s="1">
        <f>IFERROR(__xludf.DUMMYFUNCTION("""COMPUTED_VALUE"""),28.84)</f>
        <v>28.84</v>
      </c>
      <c r="BH115" s="1">
        <f>IFERROR(__xludf.DUMMYFUNCTION("""COMPUTED_VALUE"""),125.53)</f>
        <v>125.53</v>
      </c>
      <c r="BI115" s="1">
        <f>IFERROR(__xludf.DUMMYFUNCTION("""COMPUTED_VALUE"""),47.13)</f>
        <v>47.13</v>
      </c>
      <c r="BJ115" s="1">
        <f>IFERROR(__xludf.DUMMYFUNCTION("""COMPUTED_VALUE"""),219.01)</f>
        <v>219.01</v>
      </c>
      <c r="BK115" s="1">
        <f>IFERROR(__xludf.DUMMYFUNCTION("""COMPUTED_VALUE"""),586.38)</f>
        <v>586.38</v>
      </c>
      <c r="BL115" s="1">
        <f>IFERROR(__xludf.DUMMYFUNCTION("""COMPUTED_VALUE"""),169.93)</f>
        <v>169.93</v>
      </c>
      <c r="BM115" s="1">
        <f>IFERROR(__xludf.DUMMYFUNCTION("""COMPUTED_VALUE"""),122.94)</f>
        <v>122.94</v>
      </c>
      <c r="BN115" s="3">
        <f>IFERROR(__xludf.DUMMYFUNCTION("""COMPUTED_VALUE"""),8.97)</f>
        <v>8.97</v>
      </c>
      <c r="BO115" s="1">
        <f>IFERROR(__xludf.DUMMYFUNCTION("""COMPUTED_VALUE"""),241.45)</f>
        <v>241.45</v>
      </c>
      <c r="BP115" s="1">
        <f>IFERROR(__xludf.DUMMYFUNCTION("""COMPUTED_VALUE"""),569.86)</f>
        <v>569.86</v>
      </c>
      <c r="BQ115" s="36">
        <f>IFERROR(__xludf.DUMMYFUNCTION("""COMPUTED_VALUE"""),48.87)</f>
        <v>48.87</v>
      </c>
      <c r="BR115" s="1">
        <f>IFERROR(__xludf.DUMMYFUNCTION("""COMPUTED_VALUE"""),11.67)</f>
        <v>11.67</v>
      </c>
      <c r="BS115" s="3">
        <f>IFERROR(__xludf.DUMMYFUNCTION("""COMPUTED_VALUE"""),211.05)</f>
        <v>211.05</v>
      </c>
      <c r="BT115" s="1">
        <f>IFERROR(__xludf.DUMMYFUNCTION("""COMPUTED_VALUE"""),96.74)</f>
        <v>96.74</v>
      </c>
      <c r="BU115" s="3">
        <v>1.0</v>
      </c>
    </row>
    <row r="116">
      <c r="A116" s="25">
        <f>IFERROR(__xludf.DUMMYFUNCTION("""COMPUTED_VALUE"""),45588.66666666667)</f>
        <v>45588.66667</v>
      </c>
      <c r="B116" s="29">
        <f>'Master Scratch Work'!B115</f>
        <v>1348791.79</v>
      </c>
      <c r="C116" s="15">
        <f>IFERROR(__xludf.DUMMYFUNCTION("""COMPUTED_VALUE"""),5797.42)</f>
        <v>5797.42</v>
      </c>
      <c r="D116" s="15">
        <f>IFERROR(__xludf.DUMMYFUNCTION("""COMPUTED_VALUE"""),18276.65)</f>
        <v>18276.65</v>
      </c>
      <c r="E116" s="15">
        <f>IFERROR(__xludf.DUMMYFUNCTION("""COMPUTED_VALUE"""),42514.95)</f>
        <v>42514.95</v>
      </c>
      <c r="F116" s="15">
        <f>IFERROR(__xludf.DUMMYFUNCTION("""COMPUTED_VALUE"""),2213.84)</f>
        <v>2213.84</v>
      </c>
      <c r="G116" s="3">
        <f>IFERROR(__xludf.DUMMYFUNCTION("""COMPUTED_VALUE"""),577.99)</f>
        <v>577.99</v>
      </c>
      <c r="H116" s="3">
        <f>IFERROR(__xludf.DUMMYFUNCTION("""COMPUTED_VALUE"""),488.36)</f>
        <v>488.36</v>
      </c>
      <c r="I116" s="3">
        <f>IFERROR(__xludf.DUMMYFUNCTION("""COMPUTED_VALUE"""),485.03)</f>
        <v>485.03</v>
      </c>
      <c r="J116" s="3">
        <f>IFERROR(__xludf.DUMMYFUNCTION("""COMPUTED_VALUE"""),184.71)</f>
        <v>184.71</v>
      </c>
      <c r="K116" s="3">
        <f>IFERROR(__xludf.DUMMYFUNCTION("""COMPUTED_VALUE"""),142.12)</f>
        <v>142.12</v>
      </c>
      <c r="L116" s="3">
        <f>IFERROR(__xludf.DUMMYFUNCTION("""COMPUTED_VALUE"""),230.76)</f>
        <v>230.76</v>
      </c>
      <c r="M116" s="3">
        <f>IFERROR(__xludf.DUMMYFUNCTION("""COMPUTED_VALUE"""),182.7)</f>
        <v>182.7</v>
      </c>
      <c r="N116" s="3">
        <f>IFERROR(__xludf.DUMMYFUNCTION("""COMPUTED_VALUE"""),76.37)</f>
        <v>76.37</v>
      </c>
      <c r="O116" s="3">
        <f>IFERROR(__xludf.DUMMYFUNCTION("""COMPUTED_VALUE"""),12.47)</f>
        <v>12.47</v>
      </c>
      <c r="P116" s="3">
        <f>IFERROR(__xludf.DUMMYFUNCTION("""COMPUTED_VALUE"""),460.61)</f>
        <v>460.61</v>
      </c>
      <c r="Q116" s="3">
        <f>IFERROR(__xludf.DUMMYFUNCTION("""COMPUTED_VALUE"""),55.73)</f>
        <v>55.73</v>
      </c>
      <c r="R116" s="3">
        <f>IFERROR(__xludf.DUMMYFUNCTION("""COMPUTED_VALUE"""),182.98)</f>
        <v>182.98</v>
      </c>
      <c r="S116" s="3">
        <f>IFERROR(__xludf.DUMMYFUNCTION("""COMPUTED_VALUE"""),87.45)</f>
        <v>87.45</v>
      </c>
      <c r="T116" s="3">
        <f>IFERROR(__xludf.DUMMYFUNCTION("""COMPUTED_VALUE"""),79.95)</f>
        <v>79.95</v>
      </c>
      <c r="U116" s="3">
        <f>IFERROR(__xludf.DUMMYFUNCTION("""COMPUTED_VALUE"""),385.73)</f>
        <v>385.73</v>
      </c>
      <c r="V116" s="3">
        <f>IFERROR(__xludf.DUMMYFUNCTION("""COMPUTED_VALUE"""),54.08)</f>
        <v>54.08</v>
      </c>
      <c r="W116" s="3">
        <f>IFERROR(__xludf.DUMMYFUNCTION("""COMPUTED_VALUE"""),205.38)</f>
        <v>205.38</v>
      </c>
      <c r="X116" s="3">
        <f>IFERROR(__xludf.DUMMYFUNCTION("""COMPUTED_VALUE"""),150.48)</f>
        <v>150.48</v>
      </c>
      <c r="Y116" s="1">
        <f>IFERROR(__xludf.DUMMYFUNCTION("""COMPUTED_VALUE"""),317.57)</f>
        <v>317.57</v>
      </c>
      <c r="Z116" s="1">
        <f>IFERROR(__xludf.DUMMYFUNCTION("""COMPUTED_VALUE"""),41.44)</f>
        <v>41.44</v>
      </c>
      <c r="AA116" s="1">
        <f>IFERROR(__xludf.DUMMYFUNCTION("""COMPUTED_VALUE"""),68.01)</f>
        <v>68.01</v>
      </c>
      <c r="AB116" s="1">
        <f>IFERROR(__xludf.DUMMYFUNCTION("""COMPUTED_VALUE"""),107.4)</f>
        <v>107.4</v>
      </c>
      <c r="AC116" s="1">
        <f>IFERROR(__xludf.DUMMYFUNCTION("""COMPUTED_VALUE"""),165.8)</f>
        <v>165.8</v>
      </c>
      <c r="AD116" s="3">
        <f>IFERROR(__xludf.DUMMYFUNCTION("""COMPUTED_VALUE"""),66.13)</f>
        <v>66.13</v>
      </c>
      <c r="AE116" s="1">
        <f>IFERROR(__xludf.DUMMYFUNCTION("""COMPUTED_VALUE"""),422.7)</f>
        <v>422.7</v>
      </c>
      <c r="AF116" s="1">
        <f>IFERROR(__xludf.DUMMYFUNCTION("""COMPUTED_VALUE"""),63.67)</f>
        <v>63.67</v>
      </c>
      <c r="AG116" s="1">
        <f>IFERROR(__xludf.DUMMYFUNCTION("""COMPUTED_VALUE"""),120.27)</f>
        <v>120.27</v>
      </c>
      <c r="AH116" s="3">
        <f>IFERROR(__xludf.DUMMYFUNCTION("""COMPUTED_VALUE"""),268.05)</f>
        <v>268.05</v>
      </c>
      <c r="AI116" s="1">
        <f>IFERROR(__xludf.DUMMYFUNCTION("""COMPUTED_VALUE"""),482.44)</f>
        <v>482.44</v>
      </c>
      <c r="AJ116" s="1">
        <f>IFERROR(__xludf.DUMMYFUNCTION("""COMPUTED_VALUE"""),304.4)</f>
        <v>304.4</v>
      </c>
      <c r="AK116" s="3">
        <f>IFERROR(__xludf.DUMMYFUNCTION("""COMPUTED_VALUE"""),52.92)</f>
        <v>52.92</v>
      </c>
      <c r="AL116" s="1">
        <f>IFERROR(__xludf.DUMMYFUNCTION("""COMPUTED_VALUE"""),87.23)</f>
        <v>87.23</v>
      </c>
      <c r="AM116" s="1">
        <f>IFERROR(__xludf.DUMMYFUNCTION("""COMPUTED_VALUE"""),517.2)</f>
        <v>517.2</v>
      </c>
      <c r="AN116" s="1">
        <f>IFERROR(__xludf.DUMMYFUNCTION("""COMPUTED_VALUE"""),399.64)</f>
        <v>399.64</v>
      </c>
      <c r="AO116" s="1">
        <f>IFERROR(__xludf.DUMMYFUNCTION("""COMPUTED_VALUE"""),106.54)</f>
        <v>106.54</v>
      </c>
      <c r="AP116" s="1">
        <f>IFERROR(__xludf.DUMMYFUNCTION("""COMPUTED_VALUE"""),165.0)</f>
        <v>165</v>
      </c>
      <c r="AQ116" s="1">
        <f>IFERROR(__xludf.DUMMYFUNCTION("""COMPUTED_VALUE"""),512.58)</f>
        <v>512.58</v>
      </c>
      <c r="AR116" s="3">
        <f>IFERROR(__xludf.DUMMYFUNCTION("""COMPUTED_VALUE"""),223.41)</f>
        <v>223.41</v>
      </c>
      <c r="AS116" s="3">
        <f>IFERROR(__xludf.DUMMYFUNCTION("""COMPUTED_VALUE"""),571.1)</f>
        <v>571.1</v>
      </c>
      <c r="AT116" s="3">
        <f>IFERROR(__xludf.DUMMYFUNCTION("""COMPUTED_VALUE"""),293.14)</f>
        <v>293.14</v>
      </c>
      <c r="AU116" s="1">
        <f>IFERROR(__xludf.DUMMYFUNCTION("""COMPUTED_VALUE"""),30.02)</f>
        <v>30.02</v>
      </c>
      <c r="AV116" s="1">
        <f>IFERROR(__xludf.DUMMYFUNCTION("""COMPUTED_VALUE"""),92.27)</f>
        <v>92.27</v>
      </c>
      <c r="AW116" s="1">
        <f>IFERROR(__xludf.DUMMYFUNCTION("""COMPUTED_VALUE"""),84.13)</f>
        <v>84.13</v>
      </c>
      <c r="AX116" s="1">
        <f>IFERROR(__xludf.DUMMYFUNCTION("""COMPUTED_VALUE"""),17.87)</f>
        <v>17.87</v>
      </c>
      <c r="AY116" s="1">
        <f>IFERROR(__xludf.DUMMYFUNCTION("""COMPUTED_VALUE"""),424.6)</f>
        <v>424.6</v>
      </c>
      <c r="AZ116" s="3">
        <f>IFERROR(__xludf.DUMMYFUNCTION("""COMPUTED_VALUE"""),84.96)</f>
        <v>84.96</v>
      </c>
      <c r="BA116" s="3">
        <f>IFERROR(__xludf.DUMMYFUNCTION("""COMPUTED_VALUE"""),87.73)</f>
        <v>87.73</v>
      </c>
      <c r="BB116" s="3">
        <f>IFERROR(__xludf.DUMMYFUNCTION("""COMPUTED_VALUE"""),139.56)</f>
        <v>139.56</v>
      </c>
      <c r="BC116" s="1">
        <f>IFERROR(__xludf.DUMMYFUNCTION("""COMPUTED_VALUE"""),102.86)</f>
        <v>102.86</v>
      </c>
      <c r="BD116" s="1">
        <f>IFERROR(__xludf.DUMMYFUNCTION("""COMPUTED_VALUE"""),47.38)</f>
        <v>47.38</v>
      </c>
      <c r="BE116" s="3">
        <f>IFERROR(__xludf.DUMMYFUNCTION("""COMPUTED_VALUE"""),42.59)</f>
        <v>42.59</v>
      </c>
      <c r="BF116" s="1">
        <f>IFERROR(__xludf.DUMMYFUNCTION("""COMPUTED_VALUE"""),80.83)</f>
        <v>80.83</v>
      </c>
      <c r="BG116" s="1">
        <f>IFERROR(__xludf.DUMMYFUNCTION("""COMPUTED_VALUE"""),28.86)</f>
        <v>28.86</v>
      </c>
      <c r="BH116" s="1">
        <f>IFERROR(__xludf.DUMMYFUNCTION("""COMPUTED_VALUE"""),127.21)</f>
        <v>127.21</v>
      </c>
      <c r="BI116" s="1">
        <f>IFERROR(__xludf.DUMMYFUNCTION("""COMPUTED_VALUE"""),48.51)</f>
        <v>48.51</v>
      </c>
      <c r="BJ116" s="1">
        <f>IFERROR(__xludf.DUMMYFUNCTION("""COMPUTED_VALUE"""),220.95)</f>
        <v>220.95</v>
      </c>
      <c r="BK116" s="1">
        <f>IFERROR(__xludf.DUMMYFUNCTION("""COMPUTED_VALUE"""),576.49)</f>
        <v>576.49</v>
      </c>
      <c r="BL116" s="1">
        <f>IFERROR(__xludf.DUMMYFUNCTION("""COMPUTED_VALUE"""),171.33)</f>
        <v>171.33</v>
      </c>
      <c r="BM116" s="1">
        <f>IFERROR(__xludf.DUMMYFUNCTION("""COMPUTED_VALUE"""),118.66)</f>
        <v>118.66</v>
      </c>
      <c r="BN116" s="3">
        <f>IFERROR(__xludf.DUMMYFUNCTION("""COMPUTED_VALUE"""),8.56)</f>
        <v>8.56</v>
      </c>
      <c r="BO116" s="1">
        <f>IFERROR(__xludf.DUMMYFUNCTION("""COMPUTED_VALUE"""),241.35)</f>
        <v>241.35</v>
      </c>
      <c r="BP116" s="1">
        <f>IFERROR(__xludf.DUMMYFUNCTION("""COMPUTED_VALUE"""),564.64)</f>
        <v>564.64</v>
      </c>
      <c r="BQ116" s="36">
        <f>IFERROR(__xludf.DUMMYFUNCTION("""COMPUTED_VALUE"""),48.79)</f>
        <v>48.79</v>
      </c>
      <c r="BR116" s="1">
        <f>IFERROR(__xludf.DUMMYFUNCTION("""COMPUTED_VALUE"""),11.55)</f>
        <v>11.55</v>
      </c>
      <c r="BS116" s="3">
        <f>IFERROR(__xludf.DUMMYFUNCTION("""COMPUTED_VALUE"""),211.8)</f>
        <v>211.8</v>
      </c>
      <c r="BT116" s="1">
        <f>IFERROR(__xludf.DUMMYFUNCTION("""COMPUTED_VALUE"""),96.24)</f>
        <v>96.24</v>
      </c>
      <c r="BU116" s="3">
        <v>1.0</v>
      </c>
    </row>
    <row r="117">
      <c r="A117" s="25">
        <f>IFERROR(__xludf.DUMMYFUNCTION("""COMPUTED_VALUE"""),45589.66666666667)</f>
        <v>45589.66667</v>
      </c>
      <c r="B117" s="29">
        <f>'Master Scratch Work'!B116</f>
        <v>1350505.03</v>
      </c>
      <c r="C117" s="15">
        <f>IFERROR(__xludf.DUMMYFUNCTION("""COMPUTED_VALUE"""),5809.86)</f>
        <v>5809.86</v>
      </c>
      <c r="D117" s="15">
        <f>IFERROR(__xludf.DUMMYFUNCTION("""COMPUTED_VALUE"""),18415.49)</f>
        <v>18415.49</v>
      </c>
      <c r="E117" s="15">
        <f>IFERROR(__xludf.DUMMYFUNCTION("""COMPUTED_VALUE"""),42374.36)</f>
        <v>42374.36</v>
      </c>
      <c r="F117" s="15">
        <f>IFERROR(__xludf.DUMMYFUNCTION("""COMPUTED_VALUE"""),2218.92)</f>
        <v>2218.92</v>
      </c>
      <c r="G117" s="3">
        <f>IFERROR(__xludf.DUMMYFUNCTION("""COMPUTED_VALUE"""),579.24)</f>
        <v>579.24</v>
      </c>
      <c r="H117" s="3">
        <f>IFERROR(__xludf.DUMMYFUNCTION("""COMPUTED_VALUE"""),492.32)</f>
        <v>492.32</v>
      </c>
      <c r="I117" s="3">
        <f>IFERROR(__xludf.DUMMYFUNCTION("""COMPUTED_VALUE"""),482.87)</f>
        <v>482.87</v>
      </c>
      <c r="J117" s="3">
        <f>IFERROR(__xludf.DUMMYFUNCTION("""COMPUTED_VALUE"""),186.38)</f>
        <v>186.38</v>
      </c>
      <c r="K117" s="3">
        <f>IFERROR(__xludf.DUMMYFUNCTION("""COMPUTED_VALUE"""),139.8)</f>
        <v>139.8</v>
      </c>
      <c r="L117" s="3">
        <f>IFERROR(__xludf.DUMMYFUNCTION("""COMPUTED_VALUE"""),230.57)</f>
        <v>230.57</v>
      </c>
      <c r="M117" s="3">
        <f>IFERROR(__xludf.DUMMYFUNCTION("""COMPUTED_VALUE"""),183.75)</f>
        <v>183.75</v>
      </c>
      <c r="N117" s="3">
        <f>IFERROR(__xludf.DUMMYFUNCTION("""COMPUTED_VALUE"""),76.5)</f>
        <v>76.5</v>
      </c>
      <c r="O117" s="3">
        <f>IFERROR(__xludf.DUMMYFUNCTION("""COMPUTED_VALUE"""),13.18)</f>
        <v>13.18</v>
      </c>
      <c r="P117" s="3">
        <f>IFERROR(__xludf.DUMMYFUNCTION("""COMPUTED_VALUE"""),457.77)</f>
        <v>457.77</v>
      </c>
      <c r="Q117" s="3">
        <f>IFERROR(__xludf.DUMMYFUNCTION("""COMPUTED_VALUE"""),56.16)</f>
        <v>56.16</v>
      </c>
      <c r="R117" s="3">
        <f>IFERROR(__xludf.DUMMYFUNCTION("""COMPUTED_VALUE"""),183.86)</f>
        <v>183.86</v>
      </c>
      <c r="S117" s="3">
        <f>IFERROR(__xludf.DUMMYFUNCTION("""COMPUTED_VALUE"""),85.1)</f>
        <v>85.1</v>
      </c>
      <c r="T117" s="3">
        <f>IFERROR(__xludf.DUMMYFUNCTION("""COMPUTED_VALUE"""),72.9)</f>
        <v>72.9</v>
      </c>
      <c r="U117" s="3">
        <f>IFERROR(__xludf.DUMMYFUNCTION("""COMPUTED_VALUE"""),387.06)</f>
        <v>387.06</v>
      </c>
      <c r="V117" s="3">
        <f>IFERROR(__xludf.DUMMYFUNCTION("""COMPUTED_VALUE"""),53.85)</f>
        <v>53.85</v>
      </c>
      <c r="W117" s="3">
        <f>IFERROR(__xludf.DUMMYFUNCTION("""COMPUTED_VALUE"""),205.4)</f>
        <v>205.4</v>
      </c>
      <c r="X117" s="3">
        <f>IFERROR(__xludf.DUMMYFUNCTION("""COMPUTED_VALUE"""),150.45)</f>
        <v>150.45</v>
      </c>
      <c r="Y117" s="1">
        <f>IFERROR(__xludf.DUMMYFUNCTION("""COMPUTED_VALUE"""),318.24)</f>
        <v>318.24</v>
      </c>
      <c r="Z117" s="1">
        <f>IFERROR(__xludf.DUMMYFUNCTION("""COMPUTED_VALUE"""),41.74)</f>
        <v>41.74</v>
      </c>
      <c r="AA117" s="1">
        <f>IFERROR(__xludf.DUMMYFUNCTION("""COMPUTED_VALUE"""),67.3)</f>
        <v>67.3</v>
      </c>
      <c r="AB117" s="1">
        <f>IFERROR(__xludf.DUMMYFUNCTION("""COMPUTED_VALUE"""),107.0)</f>
        <v>107</v>
      </c>
      <c r="AC117" s="1">
        <f>IFERROR(__xludf.DUMMYFUNCTION("""COMPUTED_VALUE"""),165.13)</f>
        <v>165.13</v>
      </c>
      <c r="AD117" s="3">
        <f>IFERROR(__xludf.DUMMYFUNCTION("""COMPUTED_VALUE"""),66.95)</f>
        <v>66.95</v>
      </c>
      <c r="AE117" s="1">
        <f>IFERROR(__xludf.DUMMYFUNCTION("""COMPUTED_VALUE"""),415.11)</f>
        <v>415.11</v>
      </c>
      <c r="AF117" s="1">
        <f>IFERROR(__xludf.DUMMYFUNCTION("""COMPUTED_VALUE"""),63.59)</f>
        <v>63.59</v>
      </c>
      <c r="AG117" s="1">
        <f>IFERROR(__xludf.DUMMYFUNCTION("""COMPUTED_VALUE"""),119.59)</f>
        <v>119.59</v>
      </c>
      <c r="AH117" s="3">
        <f>IFERROR(__xludf.DUMMYFUNCTION("""COMPUTED_VALUE"""),272.87)</f>
        <v>272.87</v>
      </c>
      <c r="AI117" s="1">
        <f>IFERROR(__xludf.DUMMYFUNCTION("""COMPUTED_VALUE"""),486.48)</f>
        <v>486.48</v>
      </c>
      <c r="AJ117" s="1">
        <f>IFERROR(__xludf.DUMMYFUNCTION("""COMPUTED_VALUE"""),301.27)</f>
        <v>301.27</v>
      </c>
      <c r="AK117" s="3">
        <f>IFERROR(__xludf.DUMMYFUNCTION("""COMPUTED_VALUE"""),52.72)</f>
        <v>52.72</v>
      </c>
      <c r="AL117" s="1">
        <f>IFERROR(__xludf.DUMMYFUNCTION("""COMPUTED_VALUE"""),88.78)</f>
        <v>88.78</v>
      </c>
      <c r="AM117" s="1">
        <f>IFERROR(__xludf.DUMMYFUNCTION("""COMPUTED_VALUE"""),524.5)</f>
        <v>524.5</v>
      </c>
      <c r="AN117" s="1">
        <f>IFERROR(__xludf.DUMMYFUNCTION("""COMPUTED_VALUE"""),402.68)</f>
        <v>402.68</v>
      </c>
      <c r="AO117" s="1">
        <f>IFERROR(__xludf.DUMMYFUNCTION("""COMPUTED_VALUE"""),104.11)</f>
        <v>104.11</v>
      </c>
      <c r="AP117" s="1">
        <f>IFERROR(__xludf.DUMMYFUNCTION("""COMPUTED_VALUE"""),166.9)</f>
        <v>166.9</v>
      </c>
      <c r="AQ117" s="1">
        <f>IFERROR(__xludf.DUMMYFUNCTION("""COMPUTED_VALUE"""),511.63)</f>
        <v>511.63</v>
      </c>
      <c r="AR117" s="3">
        <f>IFERROR(__xludf.DUMMYFUNCTION("""COMPUTED_VALUE"""),224.98)</f>
        <v>224.98</v>
      </c>
      <c r="AS117" s="3">
        <f>IFERROR(__xludf.DUMMYFUNCTION("""COMPUTED_VALUE"""),564.21)</f>
        <v>564.21</v>
      </c>
      <c r="AT117" s="3">
        <f>IFERROR(__xludf.DUMMYFUNCTION("""COMPUTED_VALUE"""),298.99)</f>
        <v>298.99</v>
      </c>
      <c r="AU117" s="1">
        <f>IFERROR(__xludf.DUMMYFUNCTION("""COMPUTED_VALUE"""),29.98)</f>
        <v>29.98</v>
      </c>
      <c r="AV117" s="1">
        <f>IFERROR(__xludf.DUMMYFUNCTION("""COMPUTED_VALUE"""),90.99)</f>
        <v>90.99</v>
      </c>
      <c r="AW117" s="1">
        <f>IFERROR(__xludf.DUMMYFUNCTION("""COMPUTED_VALUE"""),84.36)</f>
        <v>84.36</v>
      </c>
      <c r="AX117" s="1">
        <f>IFERROR(__xludf.DUMMYFUNCTION("""COMPUTED_VALUE"""),18.55)</f>
        <v>18.55</v>
      </c>
      <c r="AY117" s="1">
        <f>IFERROR(__xludf.DUMMYFUNCTION("""COMPUTED_VALUE"""),424.73)</f>
        <v>424.73</v>
      </c>
      <c r="AZ117" s="3">
        <f>IFERROR(__xludf.DUMMYFUNCTION("""COMPUTED_VALUE"""),82.81)</f>
        <v>82.81</v>
      </c>
      <c r="BA117" s="3">
        <f>IFERROR(__xludf.DUMMYFUNCTION("""COMPUTED_VALUE"""),89.28)</f>
        <v>89.28</v>
      </c>
      <c r="BB117" s="3">
        <f>IFERROR(__xludf.DUMMYFUNCTION("""COMPUTED_VALUE"""),140.41)</f>
        <v>140.41</v>
      </c>
      <c r="BC117" s="1">
        <f>IFERROR(__xludf.DUMMYFUNCTION("""COMPUTED_VALUE"""),102.49)</f>
        <v>102.49</v>
      </c>
      <c r="BD117" s="3">
        <f>IFERROR(__xludf.DUMMYFUNCTION("""COMPUTED_VALUE"""),47.59)</f>
        <v>47.59</v>
      </c>
      <c r="BE117" s="3">
        <f>IFERROR(__xludf.DUMMYFUNCTION("""COMPUTED_VALUE"""),43.56)</f>
        <v>43.56</v>
      </c>
      <c r="BF117" s="1">
        <f>IFERROR(__xludf.DUMMYFUNCTION("""COMPUTED_VALUE"""),81.39)</f>
        <v>81.39</v>
      </c>
      <c r="BG117" s="1">
        <f>IFERROR(__xludf.DUMMYFUNCTION("""COMPUTED_VALUE"""),28.64)</f>
        <v>28.64</v>
      </c>
      <c r="BH117" s="1">
        <f>IFERROR(__xludf.DUMMYFUNCTION("""COMPUTED_VALUE"""),125.17)</f>
        <v>125.17</v>
      </c>
      <c r="BI117" s="1">
        <f>IFERROR(__xludf.DUMMYFUNCTION("""COMPUTED_VALUE"""),47.25)</f>
        <v>47.25</v>
      </c>
      <c r="BJ117" s="1">
        <f>IFERROR(__xludf.DUMMYFUNCTION("""COMPUTED_VALUE"""),233.56)</f>
        <v>233.56</v>
      </c>
      <c r="BK117" s="1">
        <f>IFERROR(__xludf.DUMMYFUNCTION("""COMPUTED_VALUE"""),557.38)</f>
        <v>557.38</v>
      </c>
      <c r="BL117" s="1">
        <f>IFERROR(__xludf.DUMMYFUNCTION("""COMPUTED_VALUE"""),170.43)</f>
        <v>170.43</v>
      </c>
      <c r="BM117" s="1">
        <f>IFERROR(__xludf.DUMMYFUNCTION("""COMPUTED_VALUE"""),122.0)</f>
        <v>122</v>
      </c>
      <c r="BN117" s="3">
        <f>IFERROR(__xludf.DUMMYFUNCTION("""COMPUTED_VALUE"""),8.58)</f>
        <v>8.58</v>
      </c>
      <c r="BO117" s="1">
        <f>IFERROR(__xludf.DUMMYFUNCTION("""COMPUTED_VALUE"""),230.75)</f>
        <v>230.75</v>
      </c>
      <c r="BP117" s="1">
        <f>IFERROR(__xludf.DUMMYFUNCTION("""COMPUTED_VALUE"""),560.81)</f>
        <v>560.81</v>
      </c>
      <c r="BQ117" s="36">
        <f>IFERROR(__xludf.DUMMYFUNCTION("""COMPUTED_VALUE"""),48.81)</f>
        <v>48.81</v>
      </c>
      <c r="BR117" s="1">
        <f>IFERROR(__xludf.DUMMYFUNCTION("""COMPUTED_VALUE"""),11.48)</f>
        <v>11.48</v>
      </c>
      <c r="BS117" s="3">
        <f>IFERROR(__xludf.DUMMYFUNCTION("""COMPUTED_VALUE"""),208.91)</f>
        <v>208.91</v>
      </c>
      <c r="BT117" s="1">
        <f>IFERROR(__xludf.DUMMYFUNCTION("""COMPUTED_VALUE"""),95.4)</f>
        <v>95.4</v>
      </c>
      <c r="BU117" s="3">
        <v>1.0</v>
      </c>
    </row>
    <row r="118">
      <c r="A118" s="25">
        <f>IFERROR(__xludf.DUMMYFUNCTION("""COMPUTED_VALUE"""),45590.66666666667)</f>
        <v>45590.66667</v>
      </c>
      <c r="B118" s="29">
        <f>'Master Scratch Work'!B117</f>
        <v>1321896.01</v>
      </c>
      <c r="C118" s="15">
        <f>IFERROR(__xludf.DUMMYFUNCTION("""COMPUTED_VALUE"""),5808.12)</f>
        <v>5808.12</v>
      </c>
      <c r="D118" s="15">
        <f>IFERROR(__xludf.DUMMYFUNCTION("""COMPUTED_VALUE"""),18518.61)</f>
        <v>18518.61</v>
      </c>
      <c r="E118" s="15">
        <f>IFERROR(__xludf.DUMMYFUNCTION("""COMPUTED_VALUE"""),42114.4)</f>
        <v>42114.4</v>
      </c>
      <c r="F118" s="15">
        <f>IFERROR(__xludf.DUMMYFUNCTION("""COMPUTED_VALUE"""),2207.99)</f>
        <v>2207.99</v>
      </c>
      <c r="G118" s="3">
        <f>IFERROR(__xludf.DUMMYFUNCTION("""COMPUTED_VALUE"""),579.04)</f>
        <v>579.04</v>
      </c>
      <c r="H118" s="3">
        <f>IFERROR(__xludf.DUMMYFUNCTION("""COMPUTED_VALUE"""),495.32)</f>
        <v>495.32</v>
      </c>
      <c r="I118" s="3">
        <f>IFERROR(__xludf.DUMMYFUNCTION("""COMPUTED_VALUE"""),483.72)</f>
        <v>483.72</v>
      </c>
      <c r="J118" s="3">
        <f>IFERROR(__xludf.DUMMYFUNCTION("""COMPUTED_VALUE"""),187.83)</f>
        <v>187.83</v>
      </c>
      <c r="K118" s="3">
        <f>IFERROR(__xludf.DUMMYFUNCTION("""COMPUTED_VALUE"""),137.66)</f>
        <v>137.66</v>
      </c>
      <c r="L118" s="3">
        <f>IFERROR(__xludf.DUMMYFUNCTION("""COMPUTED_VALUE"""),231.41)</f>
        <v>231.41</v>
      </c>
      <c r="M118" s="3">
        <f>IFERROR(__xludf.DUMMYFUNCTION("""COMPUTED_VALUE"""),186.52)</f>
        <v>186.52</v>
      </c>
      <c r="N118" s="3">
        <f>IFERROR(__xludf.DUMMYFUNCTION("""COMPUTED_VALUE"""),75.2)</f>
        <v>75.2</v>
      </c>
      <c r="O118" s="3">
        <f>IFERROR(__xludf.DUMMYFUNCTION("""COMPUTED_VALUE"""),12.59)</f>
        <v>12.59</v>
      </c>
      <c r="P118" s="3">
        <f>IFERROR(__xludf.DUMMYFUNCTION("""COMPUTED_VALUE"""),454.01)</f>
        <v>454.01</v>
      </c>
      <c r="Q118" s="3">
        <f>IFERROR(__xludf.DUMMYFUNCTION("""COMPUTED_VALUE"""),56.44)</f>
        <v>56.44</v>
      </c>
      <c r="R118" s="3">
        <f>IFERROR(__xludf.DUMMYFUNCTION("""COMPUTED_VALUE"""),181.69)</f>
        <v>181.69</v>
      </c>
      <c r="S118" s="3">
        <f>IFERROR(__xludf.DUMMYFUNCTION("""COMPUTED_VALUE"""),84.73)</f>
        <v>84.73</v>
      </c>
      <c r="T118" s="3">
        <f>IFERROR(__xludf.DUMMYFUNCTION("""COMPUTED_VALUE"""),73.72)</f>
        <v>73.72</v>
      </c>
      <c r="U118" s="3">
        <f>IFERROR(__xludf.DUMMYFUNCTION("""COMPUTED_VALUE"""),385.97)</f>
        <v>385.97</v>
      </c>
      <c r="V118" s="3">
        <f>IFERROR(__xludf.DUMMYFUNCTION("""COMPUTED_VALUE"""),53.79)</f>
        <v>53.79</v>
      </c>
      <c r="W118" s="3">
        <f>IFERROR(__xludf.DUMMYFUNCTION("""COMPUTED_VALUE"""),207.16)</f>
        <v>207.16</v>
      </c>
      <c r="X118" s="3">
        <f>IFERROR(__xludf.DUMMYFUNCTION("""COMPUTED_VALUE"""),150.81)</f>
        <v>150.81</v>
      </c>
      <c r="Y118" s="1">
        <f>IFERROR(__xludf.DUMMYFUNCTION("""COMPUTED_VALUE"""),316.85)</f>
        <v>316.85</v>
      </c>
      <c r="Z118" s="1">
        <f>IFERROR(__xludf.DUMMYFUNCTION("""COMPUTED_VALUE"""),41.51)</f>
        <v>41.51</v>
      </c>
      <c r="AA118" s="1">
        <f>IFERROR(__xludf.DUMMYFUNCTION("""COMPUTED_VALUE"""),66.92)</f>
        <v>66.92</v>
      </c>
      <c r="AB118" s="1">
        <f>IFERROR(__xludf.DUMMYFUNCTION("""COMPUTED_VALUE"""),104.6)</f>
        <v>104.6</v>
      </c>
      <c r="AC118" s="1">
        <f>IFERROR(__xludf.DUMMYFUNCTION("""COMPUTED_VALUE"""),181.01)</f>
        <v>181.01</v>
      </c>
      <c r="AD118" s="3">
        <f>IFERROR(__xludf.DUMMYFUNCTION("""COMPUTED_VALUE"""),66.45)</f>
        <v>66.45</v>
      </c>
      <c r="AE118" s="1">
        <f>IFERROR(__xludf.DUMMYFUNCTION("""COMPUTED_VALUE"""),413.81)</f>
        <v>413.81</v>
      </c>
      <c r="AF118" s="1">
        <f>IFERROR(__xludf.DUMMYFUNCTION("""COMPUTED_VALUE"""),63.1)</f>
        <v>63.1</v>
      </c>
      <c r="AG118" s="1">
        <f>IFERROR(__xludf.DUMMYFUNCTION("""COMPUTED_VALUE"""),119.49)</f>
        <v>119.49</v>
      </c>
      <c r="AH118" s="3">
        <f>IFERROR(__xludf.DUMMYFUNCTION("""COMPUTED_VALUE"""),272.12)</f>
        <v>272.12</v>
      </c>
      <c r="AI118" s="1">
        <f>IFERROR(__xludf.DUMMYFUNCTION("""COMPUTED_VALUE"""),484.73)</f>
        <v>484.73</v>
      </c>
      <c r="AJ118" s="1">
        <f>IFERROR(__xludf.DUMMYFUNCTION("""COMPUTED_VALUE"""),302.52)</f>
        <v>302.52</v>
      </c>
      <c r="AK118" s="3">
        <f>IFERROR(__xludf.DUMMYFUNCTION("""COMPUTED_VALUE"""),52.07)</f>
        <v>52.07</v>
      </c>
      <c r="AL118" s="1">
        <f>IFERROR(__xludf.DUMMYFUNCTION("""COMPUTED_VALUE"""),89.0)</f>
        <v>89</v>
      </c>
      <c r="AM118" s="1">
        <f>IFERROR(__xludf.DUMMYFUNCTION("""COMPUTED_VALUE"""),512.6)</f>
        <v>512.6</v>
      </c>
      <c r="AN118" s="1">
        <f>IFERROR(__xludf.DUMMYFUNCTION("""COMPUTED_VALUE"""),398.91)</f>
        <v>398.91</v>
      </c>
      <c r="AO118" s="1">
        <f>IFERROR(__xludf.DUMMYFUNCTION("""COMPUTED_VALUE"""),103.48)</f>
        <v>103.48</v>
      </c>
      <c r="AP118" s="1">
        <f>IFERROR(__xludf.DUMMYFUNCTION("""COMPUTED_VALUE"""),165.31)</f>
        <v>165.31</v>
      </c>
      <c r="AQ118" s="1">
        <f>IFERROR(__xludf.DUMMYFUNCTION("""COMPUTED_VALUE"""),511.27)</f>
        <v>511.27</v>
      </c>
      <c r="AR118" s="3">
        <f>IFERROR(__xludf.DUMMYFUNCTION("""COMPUTED_VALUE"""),222.31)</f>
        <v>222.31</v>
      </c>
      <c r="AS118" s="3">
        <f>IFERROR(__xludf.DUMMYFUNCTION("""COMPUTED_VALUE"""),562.29)</f>
        <v>562.29</v>
      </c>
      <c r="AT118" s="3">
        <f>IFERROR(__xludf.DUMMYFUNCTION("""COMPUTED_VALUE"""),304.15)</f>
        <v>304.15</v>
      </c>
      <c r="AU118" s="1">
        <f>IFERROR(__xludf.DUMMYFUNCTION("""COMPUTED_VALUE"""),29.79)</f>
        <v>29.79</v>
      </c>
      <c r="AV118" s="1">
        <f>IFERROR(__xludf.DUMMYFUNCTION("""COMPUTED_VALUE"""),90.59)</f>
        <v>90.59</v>
      </c>
      <c r="AW118" s="1">
        <f>IFERROR(__xludf.DUMMYFUNCTION("""COMPUTED_VALUE"""),82.39)</f>
        <v>82.39</v>
      </c>
      <c r="AX118" s="1">
        <f>IFERROR(__xludf.DUMMYFUNCTION("""COMPUTED_VALUE"""),18.64)</f>
        <v>18.64</v>
      </c>
      <c r="AY118" s="1">
        <f>IFERROR(__xludf.DUMMYFUNCTION("""COMPUTED_VALUE"""),428.15)</f>
        <v>428.15</v>
      </c>
      <c r="AZ118" s="3">
        <f>IFERROR(__xludf.DUMMYFUNCTION("""COMPUTED_VALUE"""),81.43)</f>
        <v>81.43</v>
      </c>
      <c r="BA118" s="3">
        <f>IFERROR(__xludf.DUMMYFUNCTION("""COMPUTED_VALUE"""),87.53)</f>
        <v>87.53</v>
      </c>
      <c r="BB118" s="3">
        <f>IFERROR(__xludf.DUMMYFUNCTION("""COMPUTED_VALUE"""),141.54)</f>
        <v>141.54</v>
      </c>
      <c r="BC118" s="1">
        <f>IFERROR(__xludf.DUMMYFUNCTION("""COMPUTED_VALUE"""),101.26)</f>
        <v>101.26</v>
      </c>
      <c r="BD118" s="3">
        <f>IFERROR(__xludf.DUMMYFUNCTION("""COMPUTED_VALUE"""),50.65)</f>
        <v>50.65</v>
      </c>
      <c r="BE118" s="3">
        <f>IFERROR(__xludf.DUMMYFUNCTION("""COMPUTED_VALUE"""),44.86)</f>
        <v>44.86</v>
      </c>
      <c r="BF118" s="1">
        <f>IFERROR(__xludf.DUMMYFUNCTION("""COMPUTED_VALUE"""),81.7)</f>
        <v>81.7</v>
      </c>
      <c r="BG118" s="1">
        <f>IFERROR(__xludf.DUMMYFUNCTION("""COMPUTED_VALUE"""),28.45)</f>
        <v>28.45</v>
      </c>
      <c r="BH118" s="1">
        <f>IFERROR(__xludf.DUMMYFUNCTION("""COMPUTED_VALUE"""),125.16)</f>
        <v>125.16</v>
      </c>
      <c r="BI118" s="1">
        <f>IFERROR(__xludf.DUMMYFUNCTION("""COMPUTED_VALUE"""),46.42)</f>
        <v>46.42</v>
      </c>
      <c r="BJ118" s="1">
        <f>IFERROR(__xludf.DUMMYFUNCTION("""COMPUTED_VALUE"""),226.36)</f>
        <v>226.36</v>
      </c>
      <c r="BK118" s="1">
        <f>IFERROR(__xludf.DUMMYFUNCTION("""COMPUTED_VALUE"""),554.38)</f>
        <v>554.38</v>
      </c>
      <c r="BL118" s="1">
        <f>IFERROR(__xludf.DUMMYFUNCTION("""COMPUTED_VALUE"""),172.0)</f>
        <v>172</v>
      </c>
      <c r="BM118" s="1">
        <f>IFERROR(__xludf.DUMMYFUNCTION("""COMPUTED_VALUE"""),125.17)</f>
        <v>125.17</v>
      </c>
      <c r="BN118" s="3">
        <f>IFERROR(__xludf.DUMMYFUNCTION("""COMPUTED_VALUE"""),8.63)</f>
        <v>8.63</v>
      </c>
      <c r="BO118" s="1">
        <f>IFERROR(__xludf.DUMMYFUNCTION("""COMPUTED_VALUE"""),230.3)</f>
        <v>230.3</v>
      </c>
      <c r="BP118" s="1">
        <f>IFERROR(__xludf.DUMMYFUNCTION("""COMPUTED_VALUE"""),564.56)</f>
        <v>564.56</v>
      </c>
      <c r="BQ118" s="36">
        <f>IFERROR(__xludf.DUMMYFUNCTION("""COMPUTED_VALUE"""),48.79)</f>
        <v>48.79</v>
      </c>
      <c r="BR118" s="1">
        <f>IFERROR(__xludf.DUMMYFUNCTION("""COMPUTED_VALUE"""),11.44)</f>
        <v>11.44</v>
      </c>
      <c r="BS118" s="3">
        <f>IFERROR(__xludf.DUMMYFUNCTION("""COMPUTED_VALUE"""),206.8)</f>
        <v>206.8</v>
      </c>
      <c r="BT118" s="1">
        <f>IFERROR(__xludf.DUMMYFUNCTION("""COMPUTED_VALUE"""),95.03)</f>
        <v>95.03</v>
      </c>
      <c r="BU118" s="3">
        <v>1.0</v>
      </c>
    </row>
    <row r="119">
      <c r="A119" s="25">
        <f>IFERROR(__xludf.DUMMYFUNCTION("""COMPUTED_VALUE"""),45593.66666666667)</f>
        <v>45593.66667</v>
      </c>
      <c r="B119" s="29">
        <f>'Master Scratch Work'!B118</f>
        <v>1329630.39</v>
      </c>
      <c r="C119" s="15">
        <f>IFERROR(__xludf.DUMMYFUNCTION("""COMPUTED_VALUE"""),5823.52)</f>
        <v>5823.52</v>
      </c>
      <c r="D119" s="15">
        <f>IFERROR(__xludf.DUMMYFUNCTION("""COMPUTED_VALUE"""),18567.19)</f>
        <v>18567.19</v>
      </c>
      <c r="E119" s="15">
        <f>IFERROR(__xludf.DUMMYFUNCTION("""COMPUTED_VALUE"""),42387.57)</f>
        <v>42387.57</v>
      </c>
      <c r="F119" s="15">
        <f>IFERROR(__xludf.DUMMYFUNCTION("""COMPUTED_VALUE"""),2244.07)</f>
        <v>2244.07</v>
      </c>
      <c r="G119" s="3">
        <f>IFERROR(__xludf.DUMMYFUNCTION("""COMPUTED_VALUE"""),580.83)</f>
        <v>580.83</v>
      </c>
      <c r="H119" s="3">
        <f>IFERROR(__xludf.DUMMYFUNCTION("""COMPUTED_VALUE"""),495.4)</f>
        <v>495.4</v>
      </c>
      <c r="I119" s="3">
        <f>IFERROR(__xludf.DUMMYFUNCTION("""COMPUTED_VALUE"""),481.04)</f>
        <v>481.04</v>
      </c>
      <c r="J119" s="3">
        <f>IFERROR(__xludf.DUMMYFUNCTION("""COMPUTED_VALUE"""),188.39)</f>
        <v>188.39</v>
      </c>
      <c r="K119" s="3">
        <f>IFERROR(__xludf.DUMMYFUNCTION("""COMPUTED_VALUE"""),138.79)</f>
        <v>138.79</v>
      </c>
      <c r="L119" s="3">
        <f>IFERROR(__xludf.DUMMYFUNCTION("""COMPUTED_VALUE"""),233.4)</f>
        <v>233.4</v>
      </c>
      <c r="M119" s="3">
        <f>IFERROR(__xludf.DUMMYFUNCTION("""COMPUTED_VALUE"""),185.34)</f>
        <v>185.34</v>
      </c>
      <c r="N119" s="3">
        <f>IFERROR(__xludf.DUMMYFUNCTION("""COMPUTED_VALUE"""),76.51)</f>
        <v>76.51</v>
      </c>
      <c r="O119" s="3">
        <f>IFERROR(__xludf.DUMMYFUNCTION("""COMPUTED_VALUE"""),12.68)</f>
        <v>12.68</v>
      </c>
      <c r="P119" s="3">
        <f>IFERROR(__xludf.DUMMYFUNCTION("""COMPUTED_VALUE"""),458.49)</f>
        <v>458.49</v>
      </c>
      <c r="Q119" s="3">
        <f>IFERROR(__xludf.DUMMYFUNCTION("""COMPUTED_VALUE"""),57.12)</f>
        <v>57.12</v>
      </c>
      <c r="R119" s="3">
        <f>IFERROR(__xludf.DUMMYFUNCTION("""COMPUTED_VALUE"""),185.01)</f>
        <v>185.01</v>
      </c>
      <c r="S119" s="3">
        <f>IFERROR(__xludf.DUMMYFUNCTION("""COMPUTED_VALUE"""),84.76)</f>
        <v>84.76</v>
      </c>
      <c r="T119" s="3">
        <f>IFERROR(__xludf.DUMMYFUNCTION("""COMPUTED_VALUE"""),75.66)</f>
        <v>75.66</v>
      </c>
      <c r="U119" s="3">
        <f>IFERROR(__xludf.DUMMYFUNCTION("""COMPUTED_VALUE"""),390.61)</f>
        <v>390.61</v>
      </c>
      <c r="V119" s="3">
        <f>IFERROR(__xludf.DUMMYFUNCTION("""COMPUTED_VALUE"""),55.17)</f>
        <v>55.17</v>
      </c>
      <c r="W119" s="3">
        <f>IFERROR(__xludf.DUMMYFUNCTION("""COMPUTED_VALUE"""),207.96)</f>
        <v>207.96</v>
      </c>
      <c r="X119" s="3">
        <f>IFERROR(__xludf.DUMMYFUNCTION("""COMPUTED_VALUE"""),150.54)</f>
        <v>150.54</v>
      </c>
      <c r="Y119" s="1">
        <f>IFERROR(__xludf.DUMMYFUNCTION("""COMPUTED_VALUE"""),314.92)</f>
        <v>314.92</v>
      </c>
      <c r="Z119" s="1">
        <f>IFERROR(__xludf.DUMMYFUNCTION("""COMPUTED_VALUE"""),42.74)</f>
        <v>42.74</v>
      </c>
      <c r="AA119" s="1">
        <f>IFERROR(__xludf.DUMMYFUNCTION("""COMPUTED_VALUE"""),66.67)</f>
        <v>66.67</v>
      </c>
      <c r="AB119" s="1">
        <f>IFERROR(__xludf.DUMMYFUNCTION("""COMPUTED_VALUE"""),104.81)</f>
        <v>104.81</v>
      </c>
      <c r="AC119" s="1">
        <f>IFERROR(__xludf.DUMMYFUNCTION("""COMPUTED_VALUE"""),183.31)</f>
        <v>183.31</v>
      </c>
      <c r="AD119" s="3">
        <f>IFERROR(__xludf.DUMMYFUNCTION("""COMPUTED_VALUE"""),66.26)</f>
        <v>66.26</v>
      </c>
      <c r="AE119" s="1">
        <f>IFERROR(__xludf.DUMMYFUNCTION("""COMPUTED_VALUE"""),417.24)</f>
        <v>417.24</v>
      </c>
      <c r="AF119" s="1">
        <f>IFERROR(__xludf.DUMMYFUNCTION("""COMPUTED_VALUE"""),62.99)</f>
        <v>62.99</v>
      </c>
      <c r="AG119" s="1">
        <f>IFERROR(__xludf.DUMMYFUNCTION("""COMPUTED_VALUE"""),118.9)</f>
        <v>118.9</v>
      </c>
      <c r="AH119" s="3">
        <f>IFERROR(__xludf.DUMMYFUNCTION("""COMPUTED_VALUE"""),275.45)</f>
        <v>275.45</v>
      </c>
      <c r="AI119" s="1">
        <f>IFERROR(__xludf.DUMMYFUNCTION("""COMPUTED_VALUE"""),490.48)</f>
        <v>490.48</v>
      </c>
      <c r="AJ119" s="1">
        <f>IFERROR(__xludf.DUMMYFUNCTION("""COMPUTED_VALUE"""),303.92)</f>
        <v>303.92</v>
      </c>
      <c r="AK119" s="3">
        <f>IFERROR(__xludf.DUMMYFUNCTION("""COMPUTED_VALUE"""),52.73)</f>
        <v>52.73</v>
      </c>
      <c r="AL119" s="1">
        <f>IFERROR(__xludf.DUMMYFUNCTION("""COMPUTED_VALUE"""),88.76)</f>
        <v>88.76</v>
      </c>
      <c r="AM119" s="1">
        <f>IFERROR(__xludf.DUMMYFUNCTION("""COMPUTED_VALUE"""),523.58)</f>
        <v>523.58</v>
      </c>
      <c r="AN119" s="1">
        <f>IFERROR(__xludf.DUMMYFUNCTION("""COMPUTED_VALUE"""),402.89)</f>
        <v>402.89</v>
      </c>
      <c r="AO119" s="1">
        <f>IFERROR(__xludf.DUMMYFUNCTION("""COMPUTED_VALUE"""),104.14)</f>
        <v>104.14</v>
      </c>
      <c r="AP119" s="1">
        <f>IFERROR(__xludf.DUMMYFUNCTION("""COMPUTED_VALUE"""),166.44)</f>
        <v>166.44</v>
      </c>
      <c r="AQ119" s="1">
        <f>IFERROR(__xludf.DUMMYFUNCTION("""COMPUTED_VALUE"""),510.88)</f>
        <v>510.88</v>
      </c>
      <c r="AR119" s="3">
        <f>IFERROR(__xludf.DUMMYFUNCTION("""COMPUTED_VALUE"""),225.5)</f>
        <v>225.5</v>
      </c>
      <c r="AS119" s="3">
        <f>IFERROR(__xludf.DUMMYFUNCTION("""COMPUTED_VALUE"""),555.17)</f>
        <v>555.17</v>
      </c>
      <c r="AT119" s="3">
        <f>IFERROR(__xludf.DUMMYFUNCTION("""COMPUTED_VALUE"""),307.54)</f>
        <v>307.54</v>
      </c>
      <c r="AU119" s="1">
        <f>IFERROR(__xludf.DUMMYFUNCTION("""COMPUTED_VALUE"""),30.23)</f>
        <v>30.23</v>
      </c>
      <c r="AV119" s="1">
        <f>IFERROR(__xludf.DUMMYFUNCTION("""COMPUTED_VALUE"""),90.6)</f>
        <v>90.6</v>
      </c>
      <c r="AW119" s="1">
        <f>IFERROR(__xludf.DUMMYFUNCTION("""COMPUTED_VALUE"""),83.09)</f>
        <v>83.09</v>
      </c>
      <c r="AX119" s="1">
        <f>IFERROR(__xludf.DUMMYFUNCTION("""COMPUTED_VALUE"""),18.88)</f>
        <v>18.88</v>
      </c>
      <c r="AY119" s="1">
        <f>IFERROR(__xludf.DUMMYFUNCTION("""COMPUTED_VALUE"""),426.59)</f>
        <v>426.59</v>
      </c>
      <c r="AZ119" s="3">
        <f>IFERROR(__xludf.DUMMYFUNCTION("""COMPUTED_VALUE"""),82.87)</f>
        <v>82.87</v>
      </c>
      <c r="BA119" s="3">
        <f>IFERROR(__xludf.DUMMYFUNCTION("""COMPUTED_VALUE"""),88.73)</f>
        <v>88.73</v>
      </c>
      <c r="BB119" s="3">
        <f>IFERROR(__xludf.DUMMYFUNCTION("""COMPUTED_VALUE"""),140.52)</f>
        <v>140.52</v>
      </c>
      <c r="BC119" s="1">
        <f>IFERROR(__xludf.DUMMYFUNCTION("""COMPUTED_VALUE"""),101.45)</f>
        <v>101.45</v>
      </c>
      <c r="BD119" s="3">
        <f>IFERROR(__xludf.DUMMYFUNCTION("""COMPUTED_VALUE"""),50.61)</f>
        <v>50.61</v>
      </c>
      <c r="BE119" s="3">
        <f>IFERROR(__xludf.DUMMYFUNCTION("""COMPUTED_VALUE"""),44.97)</f>
        <v>44.97</v>
      </c>
      <c r="BF119" s="1">
        <f>IFERROR(__xludf.DUMMYFUNCTION("""COMPUTED_VALUE"""),83.59)</f>
        <v>83.59</v>
      </c>
      <c r="BG119" s="1">
        <f>IFERROR(__xludf.DUMMYFUNCTION("""COMPUTED_VALUE"""),28.86)</f>
        <v>28.86</v>
      </c>
      <c r="BH119" s="1">
        <f>IFERROR(__xludf.DUMMYFUNCTION("""COMPUTED_VALUE"""),125.43)</f>
        <v>125.43</v>
      </c>
      <c r="BI119" s="1">
        <f>IFERROR(__xludf.DUMMYFUNCTION("""COMPUTED_VALUE"""),47.75)</f>
        <v>47.75</v>
      </c>
      <c r="BJ119" s="1">
        <f>IFERROR(__xludf.DUMMYFUNCTION("""COMPUTED_VALUE"""),227.81)</f>
        <v>227.81</v>
      </c>
      <c r="BK119" s="1">
        <f>IFERROR(__xludf.DUMMYFUNCTION("""COMPUTED_VALUE"""),552.54)</f>
        <v>552.54</v>
      </c>
      <c r="BL119" s="1">
        <f>IFERROR(__xludf.DUMMYFUNCTION("""COMPUTED_VALUE"""),176.63)</f>
        <v>176.63</v>
      </c>
      <c r="BM119" s="1">
        <f>IFERROR(__xludf.DUMMYFUNCTION("""COMPUTED_VALUE"""),126.24)</f>
        <v>126.24</v>
      </c>
      <c r="BN119" s="3">
        <f>IFERROR(__xludf.DUMMYFUNCTION("""COMPUTED_VALUE"""),8.73)</f>
        <v>8.73</v>
      </c>
      <c r="BO119" s="1">
        <f>IFERROR(__xludf.DUMMYFUNCTION("""COMPUTED_VALUE"""),231.98)</f>
        <v>231.98</v>
      </c>
      <c r="BP119" s="1">
        <f>IFERROR(__xludf.DUMMYFUNCTION("""COMPUTED_VALUE"""),565.24)</f>
        <v>565.24</v>
      </c>
      <c r="BQ119" s="36">
        <f>IFERROR(__xludf.DUMMYFUNCTION("""COMPUTED_VALUE"""),48.73)</f>
        <v>48.73</v>
      </c>
      <c r="BR119" s="1">
        <f>IFERROR(__xludf.DUMMYFUNCTION("""COMPUTED_VALUE"""),11.76)</f>
        <v>11.76</v>
      </c>
      <c r="BS119" s="3">
        <f>IFERROR(__xludf.DUMMYFUNCTION("""COMPUTED_VALUE"""),208.26)</f>
        <v>208.26</v>
      </c>
      <c r="BT119" s="1">
        <f>IFERROR(__xludf.DUMMYFUNCTION("""COMPUTED_VALUE"""),96.2)</f>
        <v>96.2</v>
      </c>
      <c r="BU119" s="3">
        <v>1.0</v>
      </c>
    </row>
    <row r="120">
      <c r="A120" s="25">
        <f>IFERROR(__xludf.DUMMYFUNCTION("""COMPUTED_VALUE"""),45594.66666666667)</f>
        <v>45594.66667</v>
      </c>
      <c r="B120" s="29">
        <f>'Master Scratch Work'!B119</f>
        <v>1309208.05</v>
      </c>
      <c r="C120" s="15">
        <f>IFERROR(__xludf.DUMMYFUNCTION("""COMPUTED_VALUE"""),5832.92)</f>
        <v>5832.92</v>
      </c>
      <c r="D120" s="15">
        <f>IFERROR(__xludf.DUMMYFUNCTION("""COMPUTED_VALUE"""),18712.75)</f>
        <v>18712.75</v>
      </c>
      <c r="E120" s="15">
        <f>IFERROR(__xludf.DUMMYFUNCTION("""COMPUTED_VALUE"""),42233.05)</f>
        <v>42233.05</v>
      </c>
      <c r="F120" s="15">
        <f>IFERROR(__xludf.DUMMYFUNCTION("""COMPUTED_VALUE"""),2238.09)</f>
        <v>2238.09</v>
      </c>
      <c r="G120" s="3">
        <f>IFERROR(__xludf.DUMMYFUNCTION("""COMPUTED_VALUE"""),581.77)</f>
        <v>581.77</v>
      </c>
      <c r="H120" s="3">
        <f>IFERROR(__xludf.DUMMYFUNCTION("""COMPUTED_VALUE"""),500.16)</f>
        <v>500.16</v>
      </c>
      <c r="I120" s="3">
        <f>IFERROR(__xludf.DUMMYFUNCTION("""COMPUTED_VALUE"""),485.39)</f>
        <v>485.39</v>
      </c>
      <c r="J120" s="3">
        <f>IFERROR(__xludf.DUMMYFUNCTION("""COMPUTED_VALUE"""),190.83)</f>
        <v>190.83</v>
      </c>
      <c r="K120" s="3">
        <f>IFERROR(__xludf.DUMMYFUNCTION("""COMPUTED_VALUE"""),135.8)</f>
        <v>135.8</v>
      </c>
      <c r="L120" s="3">
        <f>IFERROR(__xludf.DUMMYFUNCTION("""COMPUTED_VALUE"""),233.67)</f>
        <v>233.67</v>
      </c>
      <c r="M120" s="3">
        <f>IFERROR(__xludf.DUMMYFUNCTION("""COMPUTED_VALUE"""),190.12)</f>
        <v>190.12</v>
      </c>
      <c r="N120" s="3">
        <f>IFERROR(__xludf.DUMMYFUNCTION("""COMPUTED_VALUE"""),76.56)</f>
        <v>76.56</v>
      </c>
      <c r="O120" s="3">
        <f>IFERROR(__xludf.DUMMYFUNCTION("""COMPUTED_VALUE"""),12.55)</f>
        <v>12.55</v>
      </c>
      <c r="P120" s="3">
        <f>IFERROR(__xludf.DUMMYFUNCTION("""COMPUTED_VALUE"""),454.62)</f>
        <v>454.62</v>
      </c>
      <c r="Q120" s="3">
        <f>IFERROR(__xludf.DUMMYFUNCTION("""COMPUTED_VALUE"""),57.14)</f>
        <v>57.14</v>
      </c>
      <c r="R120" s="3">
        <f>IFERROR(__xludf.DUMMYFUNCTION("""COMPUTED_VALUE"""),183.47)</f>
        <v>183.47</v>
      </c>
      <c r="S120" s="3">
        <f>IFERROR(__xludf.DUMMYFUNCTION("""COMPUTED_VALUE"""),84.56)</f>
        <v>84.56</v>
      </c>
      <c r="T120" s="3">
        <f>IFERROR(__xludf.DUMMYFUNCTION("""COMPUTED_VALUE"""),74.6)</f>
        <v>74.6</v>
      </c>
      <c r="U120" s="3">
        <f>IFERROR(__xludf.DUMMYFUNCTION("""COMPUTED_VALUE"""),387.51)</f>
        <v>387.51</v>
      </c>
      <c r="V120" s="3">
        <f>IFERROR(__xludf.DUMMYFUNCTION("""COMPUTED_VALUE"""),54.77)</f>
        <v>54.77</v>
      </c>
      <c r="W120" s="3">
        <f>IFERROR(__xludf.DUMMYFUNCTION("""COMPUTED_VALUE"""),177.87)</f>
        <v>177.87</v>
      </c>
      <c r="X120" s="3">
        <f>IFERROR(__xludf.DUMMYFUNCTION("""COMPUTED_VALUE"""),148.52)</f>
        <v>148.52</v>
      </c>
      <c r="Y120" s="1">
        <f>IFERROR(__xludf.DUMMYFUNCTION("""COMPUTED_VALUE"""),308.23)</f>
        <v>308.23</v>
      </c>
      <c r="Z120" s="1">
        <f>IFERROR(__xludf.DUMMYFUNCTION("""COMPUTED_VALUE"""),42.24)</f>
        <v>42.24</v>
      </c>
      <c r="AA120" s="1">
        <f>IFERROR(__xludf.DUMMYFUNCTION("""COMPUTED_VALUE"""),65.56)</f>
        <v>65.56</v>
      </c>
      <c r="AB120" s="1">
        <f>IFERROR(__xludf.DUMMYFUNCTION("""COMPUTED_VALUE"""),102.91)</f>
        <v>102.91</v>
      </c>
      <c r="AC120" s="1">
        <f>IFERROR(__xludf.DUMMYFUNCTION("""COMPUTED_VALUE"""),182.8)</f>
        <v>182.8</v>
      </c>
      <c r="AD120" s="3">
        <f>IFERROR(__xludf.DUMMYFUNCTION("""COMPUTED_VALUE"""),64.5)</f>
        <v>64.5</v>
      </c>
      <c r="AE120" s="1">
        <f>IFERROR(__xludf.DUMMYFUNCTION("""COMPUTED_VALUE"""),413.14)</f>
        <v>413.14</v>
      </c>
      <c r="AF120" s="1">
        <f>IFERROR(__xludf.DUMMYFUNCTION("""COMPUTED_VALUE"""),62.77)</f>
        <v>62.77</v>
      </c>
      <c r="AG120" s="1">
        <f>IFERROR(__xludf.DUMMYFUNCTION("""COMPUTED_VALUE"""),117.28)</f>
        <v>117.28</v>
      </c>
      <c r="AH120" s="3">
        <f>IFERROR(__xludf.DUMMYFUNCTION("""COMPUTED_VALUE"""),275.04)</f>
        <v>275.04</v>
      </c>
      <c r="AI120" s="1">
        <f>IFERROR(__xludf.DUMMYFUNCTION("""COMPUTED_VALUE"""),487.94)</f>
        <v>487.94</v>
      </c>
      <c r="AJ120" s="1">
        <f>IFERROR(__xludf.DUMMYFUNCTION("""COMPUTED_VALUE"""),301.75)</f>
        <v>301.75</v>
      </c>
      <c r="AK120" s="3">
        <f>IFERROR(__xludf.DUMMYFUNCTION("""COMPUTED_VALUE"""),51.54)</f>
        <v>51.54</v>
      </c>
      <c r="AL120" s="1">
        <f>IFERROR(__xludf.DUMMYFUNCTION("""COMPUTED_VALUE"""),88.08)</f>
        <v>88.08</v>
      </c>
      <c r="AM120" s="1">
        <f>IFERROR(__xludf.DUMMYFUNCTION("""COMPUTED_VALUE"""),524.28)</f>
        <v>524.28</v>
      </c>
      <c r="AN120" s="1">
        <f>IFERROR(__xludf.DUMMYFUNCTION("""COMPUTED_VALUE"""),395.07)</f>
        <v>395.07</v>
      </c>
      <c r="AO120" s="1">
        <f>IFERROR(__xludf.DUMMYFUNCTION("""COMPUTED_VALUE"""),104.99)</f>
        <v>104.99</v>
      </c>
      <c r="AP120" s="1">
        <f>IFERROR(__xludf.DUMMYFUNCTION("""COMPUTED_VALUE"""),166.72)</f>
        <v>166.72</v>
      </c>
      <c r="AQ120" s="1">
        <f>IFERROR(__xludf.DUMMYFUNCTION("""COMPUTED_VALUE"""),516.31)</f>
        <v>516.31</v>
      </c>
      <c r="AR120" s="3">
        <f>IFERROR(__xludf.DUMMYFUNCTION("""COMPUTED_VALUE"""),222.9)</f>
        <v>222.9</v>
      </c>
      <c r="AS120" s="3">
        <f>IFERROR(__xludf.DUMMYFUNCTION("""COMPUTED_VALUE"""),546.8)</f>
        <v>546.8</v>
      </c>
      <c r="AT120" s="3">
        <f>IFERROR(__xludf.DUMMYFUNCTION("""COMPUTED_VALUE"""),304.82)</f>
        <v>304.82</v>
      </c>
      <c r="AU120" s="1">
        <f>IFERROR(__xludf.DUMMYFUNCTION("""COMPUTED_VALUE"""),30.07)</f>
        <v>30.07</v>
      </c>
      <c r="AV120" s="1">
        <f>IFERROR(__xludf.DUMMYFUNCTION("""COMPUTED_VALUE"""),90.32)</f>
        <v>90.32</v>
      </c>
      <c r="AW120" s="1">
        <f>IFERROR(__xludf.DUMMYFUNCTION("""COMPUTED_VALUE"""),82.83)</f>
        <v>82.83</v>
      </c>
      <c r="AX120" s="1">
        <f>IFERROR(__xludf.DUMMYFUNCTION("""COMPUTED_VALUE"""),18.99)</f>
        <v>18.99</v>
      </c>
      <c r="AY120" s="1">
        <f>IFERROR(__xludf.DUMMYFUNCTION("""COMPUTED_VALUE"""),431.95)</f>
        <v>431.95</v>
      </c>
      <c r="AZ120" s="3">
        <f>IFERROR(__xludf.DUMMYFUNCTION("""COMPUTED_VALUE"""),79.56)</f>
        <v>79.56</v>
      </c>
      <c r="BA120" s="3">
        <f>IFERROR(__xludf.DUMMYFUNCTION("""COMPUTED_VALUE"""),88.1)</f>
        <v>88.1</v>
      </c>
      <c r="BB120" s="3">
        <f>IFERROR(__xludf.DUMMYFUNCTION("""COMPUTED_VALUE"""),141.25)</f>
        <v>141.25</v>
      </c>
      <c r="BC120" s="1">
        <f>IFERROR(__xludf.DUMMYFUNCTION("""COMPUTED_VALUE"""),101.37)</f>
        <v>101.37</v>
      </c>
      <c r="BD120" s="3">
        <f>IFERROR(__xludf.DUMMYFUNCTION("""COMPUTED_VALUE"""),49.91)</f>
        <v>49.91</v>
      </c>
      <c r="BE120" s="3">
        <f>IFERROR(__xludf.DUMMYFUNCTION("""COMPUTED_VALUE"""),44.93)</f>
        <v>44.93</v>
      </c>
      <c r="BF120" s="1">
        <f>IFERROR(__xludf.DUMMYFUNCTION("""COMPUTED_VALUE"""),80.28)</f>
        <v>80.28</v>
      </c>
      <c r="BG120" s="1">
        <f>IFERROR(__xludf.DUMMYFUNCTION("""COMPUTED_VALUE"""),28.46)</f>
        <v>28.46</v>
      </c>
      <c r="BH120" s="1">
        <f>IFERROR(__xludf.DUMMYFUNCTION("""COMPUTED_VALUE"""),122.79)</f>
        <v>122.79</v>
      </c>
      <c r="BI120" s="1">
        <f>IFERROR(__xludf.DUMMYFUNCTION("""COMPUTED_VALUE"""),50.42)</f>
        <v>50.42</v>
      </c>
      <c r="BJ120" s="1">
        <f>IFERROR(__xludf.DUMMYFUNCTION("""COMPUTED_VALUE"""),226.05)</f>
        <v>226.05</v>
      </c>
      <c r="BK120" s="1">
        <f>IFERROR(__xludf.DUMMYFUNCTION("""COMPUTED_VALUE"""),547.77)</f>
        <v>547.77</v>
      </c>
      <c r="BL120" s="1">
        <f>IFERROR(__xludf.DUMMYFUNCTION("""COMPUTED_VALUE"""),176.03)</f>
        <v>176.03</v>
      </c>
      <c r="BM120" s="1">
        <f>IFERROR(__xludf.DUMMYFUNCTION("""COMPUTED_VALUE"""),88.5)</f>
        <v>88.5</v>
      </c>
      <c r="BN120" s="3">
        <f>IFERROR(__xludf.DUMMYFUNCTION("""COMPUTED_VALUE"""),8.72)</f>
        <v>8.72</v>
      </c>
      <c r="BO120" s="1">
        <f>IFERROR(__xludf.DUMMYFUNCTION("""COMPUTED_VALUE"""),231.99)</f>
        <v>231.99</v>
      </c>
      <c r="BP120" s="1">
        <f>IFERROR(__xludf.DUMMYFUNCTION("""COMPUTED_VALUE"""),562.13)</f>
        <v>562.13</v>
      </c>
      <c r="BQ120" s="36">
        <f>IFERROR(__xludf.DUMMYFUNCTION("""COMPUTED_VALUE"""),48.78)</f>
        <v>48.78</v>
      </c>
      <c r="BR120" s="1">
        <f>IFERROR(__xludf.DUMMYFUNCTION("""COMPUTED_VALUE"""),11.74)</f>
        <v>11.74</v>
      </c>
      <c r="BS120" s="3">
        <f>IFERROR(__xludf.DUMMYFUNCTION("""COMPUTED_VALUE"""),219.11)</f>
        <v>219.11</v>
      </c>
      <c r="BT120" s="1">
        <f>IFERROR(__xludf.DUMMYFUNCTION("""COMPUTED_VALUE"""),96.13)</f>
        <v>96.13</v>
      </c>
      <c r="BU120" s="3">
        <v>1.0</v>
      </c>
    </row>
    <row r="121">
      <c r="A121" s="25">
        <f>IFERROR(__xludf.DUMMYFUNCTION("""COMPUTED_VALUE"""),45595.66666666667)</f>
        <v>45595.66667</v>
      </c>
      <c r="B121" s="29">
        <f>'Master Scratch Work'!B120</f>
        <v>1303356.57</v>
      </c>
      <c r="C121" s="15">
        <f>IFERROR(__xludf.DUMMYFUNCTION("""COMPUTED_VALUE"""),5813.67)</f>
        <v>5813.67</v>
      </c>
      <c r="D121" s="15">
        <f>IFERROR(__xludf.DUMMYFUNCTION("""COMPUTED_VALUE"""),18607.93)</f>
        <v>18607.93</v>
      </c>
      <c r="E121" s="15">
        <f>IFERROR(__xludf.DUMMYFUNCTION("""COMPUTED_VALUE"""),42141.54)</f>
        <v>42141.54</v>
      </c>
      <c r="F121" s="15">
        <f>IFERROR(__xludf.DUMMYFUNCTION("""COMPUTED_VALUE"""),2233.04)</f>
        <v>2233.04</v>
      </c>
      <c r="G121" s="3">
        <f>IFERROR(__xludf.DUMMYFUNCTION("""COMPUTED_VALUE"""),580.01)</f>
        <v>580.01</v>
      </c>
      <c r="H121" s="3">
        <f>IFERROR(__xludf.DUMMYFUNCTION("""COMPUTED_VALUE"""),496.38)</f>
        <v>496.38</v>
      </c>
      <c r="I121" s="3">
        <f>IFERROR(__xludf.DUMMYFUNCTION("""COMPUTED_VALUE"""),486.68)</f>
        <v>486.68</v>
      </c>
      <c r="J121" s="3">
        <f>IFERROR(__xludf.DUMMYFUNCTION("""COMPUTED_VALUE"""),192.73)</f>
        <v>192.73</v>
      </c>
      <c r="K121" s="3">
        <f>IFERROR(__xludf.DUMMYFUNCTION("""COMPUTED_VALUE"""),135.69)</f>
        <v>135.69</v>
      </c>
      <c r="L121" s="3">
        <f>IFERROR(__xludf.DUMMYFUNCTION("""COMPUTED_VALUE"""),230.1)</f>
        <v>230.1</v>
      </c>
      <c r="M121" s="3">
        <f>IFERROR(__xludf.DUMMYFUNCTION("""COMPUTED_VALUE"""),185.3)</f>
        <v>185.3</v>
      </c>
      <c r="N121" s="3">
        <f>IFERROR(__xludf.DUMMYFUNCTION("""COMPUTED_VALUE"""),75.93)</f>
        <v>75.93</v>
      </c>
      <c r="O121" s="3">
        <f>IFERROR(__xludf.DUMMYFUNCTION("""COMPUTED_VALUE"""),12.7)</f>
        <v>12.7</v>
      </c>
      <c r="P121" s="3">
        <f>IFERROR(__xludf.DUMMYFUNCTION("""COMPUTED_VALUE"""),454.96)</f>
        <v>454.96</v>
      </c>
      <c r="Q121" s="3">
        <f>IFERROR(__xludf.DUMMYFUNCTION("""COMPUTED_VALUE"""),56.42)</f>
        <v>56.42</v>
      </c>
      <c r="R121" s="3">
        <f>IFERROR(__xludf.DUMMYFUNCTION("""COMPUTED_VALUE"""),181.18)</f>
        <v>181.18</v>
      </c>
      <c r="S121" s="3">
        <f>IFERROR(__xludf.DUMMYFUNCTION("""COMPUTED_VALUE"""),83.99)</f>
        <v>83.99</v>
      </c>
      <c r="T121" s="3">
        <f>IFERROR(__xludf.DUMMYFUNCTION("""COMPUTED_VALUE"""),73.6)</f>
        <v>73.6</v>
      </c>
      <c r="U121" s="3">
        <f>IFERROR(__xludf.DUMMYFUNCTION("""COMPUTED_VALUE"""),379.24)</f>
        <v>379.24</v>
      </c>
      <c r="V121" s="3">
        <f>IFERROR(__xludf.DUMMYFUNCTION("""COMPUTED_VALUE"""),53.98)</f>
        <v>53.98</v>
      </c>
      <c r="W121" s="3">
        <f>IFERROR(__xludf.DUMMYFUNCTION("""COMPUTED_VALUE"""),173.89)</f>
        <v>173.89</v>
      </c>
      <c r="X121" s="3">
        <f>IFERROR(__xludf.DUMMYFUNCTION("""COMPUTED_VALUE"""),148.05)</f>
        <v>148.05</v>
      </c>
      <c r="Y121" s="1">
        <f>IFERROR(__xludf.DUMMYFUNCTION("""COMPUTED_VALUE"""),312.89)</f>
        <v>312.89</v>
      </c>
      <c r="Z121" s="1">
        <f>IFERROR(__xludf.DUMMYFUNCTION("""COMPUTED_VALUE"""),42.7)</f>
        <v>42.7</v>
      </c>
      <c r="AA121" s="1">
        <f>IFERROR(__xludf.DUMMYFUNCTION("""COMPUTED_VALUE"""),65.92)</f>
        <v>65.92</v>
      </c>
      <c r="AB121" s="1">
        <f>IFERROR(__xludf.DUMMYFUNCTION("""COMPUTED_VALUE"""),102.72)</f>
        <v>102.72</v>
      </c>
      <c r="AC121" s="1">
        <f>IFERROR(__xludf.DUMMYFUNCTION("""COMPUTED_VALUE"""),182.17)</f>
        <v>182.17</v>
      </c>
      <c r="AD121" s="3">
        <f>IFERROR(__xludf.DUMMYFUNCTION("""COMPUTED_VALUE"""),63.31)</f>
        <v>63.31</v>
      </c>
      <c r="AE121" s="1">
        <f>IFERROR(__xludf.DUMMYFUNCTION("""COMPUTED_VALUE"""),410.02)</f>
        <v>410.02</v>
      </c>
      <c r="AF121" s="1">
        <f>IFERROR(__xludf.DUMMYFUNCTION("""COMPUTED_VALUE"""),62.63)</f>
        <v>62.63</v>
      </c>
      <c r="AG121" s="1">
        <f>IFERROR(__xludf.DUMMYFUNCTION("""COMPUTED_VALUE"""),116.69)</f>
        <v>116.69</v>
      </c>
      <c r="AH121" s="3">
        <f>IFERROR(__xludf.DUMMYFUNCTION("""COMPUTED_VALUE"""),274.08)</f>
        <v>274.08</v>
      </c>
      <c r="AI121" s="1">
        <f>IFERROR(__xludf.DUMMYFUNCTION("""COMPUTED_VALUE"""),478.84)</f>
        <v>478.84</v>
      </c>
      <c r="AJ121" s="1">
        <f>IFERROR(__xludf.DUMMYFUNCTION("""COMPUTED_VALUE"""),301.37)</f>
        <v>301.37</v>
      </c>
      <c r="AK121" s="3">
        <f>IFERROR(__xludf.DUMMYFUNCTION("""COMPUTED_VALUE"""),51.97)</f>
        <v>51.97</v>
      </c>
      <c r="AL121" s="1">
        <f>IFERROR(__xludf.DUMMYFUNCTION("""COMPUTED_VALUE"""),88.29)</f>
        <v>88.29</v>
      </c>
      <c r="AM121" s="1">
        <f>IFERROR(__xludf.DUMMYFUNCTION("""COMPUTED_VALUE"""),524.4)</f>
        <v>524.4</v>
      </c>
      <c r="AN121" s="1">
        <f>IFERROR(__xludf.DUMMYFUNCTION("""COMPUTED_VALUE"""),392.52)</f>
        <v>392.52</v>
      </c>
      <c r="AO121" s="1">
        <f>IFERROR(__xludf.DUMMYFUNCTION("""COMPUTED_VALUE"""),116.15)</f>
        <v>116.15</v>
      </c>
      <c r="AP121" s="1">
        <f>IFERROR(__xludf.DUMMYFUNCTION("""COMPUTED_VALUE"""),166.53)</f>
        <v>166.53</v>
      </c>
      <c r="AQ121" s="1">
        <f>IFERROR(__xludf.DUMMYFUNCTION("""COMPUTED_VALUE"""),513.77)</f>
        <v>513.77</v>
      </c>
      <c r="AR121" s="3">
        <f>IFERROR(__xludf.DUMMYFUNCTION("""COMPUTED_VALUE"""),224.41)</f>
        <v>224.41</v>
      </c>
      <c r="AS121" s="3">
        <f>IFERROR(__xludf.DUMMYFUNCTION("""COMPUTED_VALUE"""),545.94)</f>
        <v>545.94</v>
      </c>
      <c r="AT121" s="3">
        <f>IFERROR(__xludf.DUMMYFUNCTION("""COMPUTED_VALUE"""),303.85)</f>
        <v>303.85</v>
      </c>
      <c r="AU121" s="1">
        <f>IFERROR(__xludf.DUMMYFUNCTION("""COMPUTED_VALUE"""),29.96)</f>
        <v>29.96</v>
      </c>
      <c r="AV121" s="1">
        <f>IFERROR(__xludf.DUMMYFUNCTION("""COMPUTED_VALUE"""),90.5)</f>
        <v>90.5</v>
      </c>
      <c r="AW121" s="1">
        <f>IFERROR(__xludf.DUMMYFUNCTION("""COMPUTED_VALUE"""),83.18)</f>
        <v>83.18</v>
      </c>
      <c r="AX121" s="1">
        <f>IFERROR(__xludf.DUMMYFUNCTION("""COMPUTED_VALUE"""),18.74)</f>
        <v>18.74</v>
      </c>
      <c r="AY121" s="1">
        <f>IFERROR(__xludf.DUMMYFUNCTION("""COMPUTED_VALUE"""),432.53)</f>
        <v>432.53</v>
      </c>
      <c r="AZ121" s="3">
        <f>IFERROR(__xludf.DUMMYFUNCTION("""COMPUTED_VALUE"""),79.09)</f>
        <v>79.09</v>
      </c>
      <c r="BA121" s="3">
        <f>IFERROR(__xludf.DUMMYFUNCTION("""COMPUTED_VALUE"""),88.45)</f>
        <v>88.45</v>
      </c>
      <c r="BB121" s="3">
        <f>IFERROR(__xludf.DUMMYFUNCTION("""COMPUTED_VALUE"""),139.34)</f>
        <v>139.34</v>
      </c>
      <c r="BC121" s="1">
        <f>IFERROR(__xludf.DUMMYFUNCTION("""COMPUTED_VALUE"""),98.28)</f>
        <v>98.28</v>
      </c>
      <c r="BD121" s="3">
        <f>IFERROR(__xludf.DUMMYFUNCTION("""COMPUTED_VALUE"""),48.81)</f>
        <v>48.81</v>
      </c>
      <c r="BE121" s="3">
        <f>IFERROR(__xludf.DUMMYFUNCTION("""COMPUTED_VALUE"""),43.69)</f>
        <v>43.69</v>
      </c>
      <c r="BF121" s="1">
        <f>IFERROR(__xludf.DUMMYFUNCTION("""COMPUTED_VALUE"""),78.22)</f>
        <v>78.22</v>
      </c>
      <c r="BG121" s="1">
        <f>IFERROR(__xludf.DUMMYFUNCTION("""COMPUTED_VALUE"""),28.52)</f>
        <v>28.52</v>
      </c>
      <c r="BH121" s="1">
        <f>IFERROR(__xludf.DUMMYFUNCTION("""COMPUTED_VALUE"""),121.86)</f>
        <v>121.86</v>
      </c>
      <c r="BI121" s="1">
        <f>IFERROR(__xludf.DUMMYFUNCTION("""COMPUTED_VALUE"""),50.5)</f>
        <v>50.5</v>
      </c>
      <c r="BJ121" s="1">
        <f>IFERROR(__xludf.DUMMYFUNCTION("""COMPUTED_VALUE"""),222.77)</f>
        <v>222.77</v>
      </c>
      <c r="BK121" s="1">
        <f>IFERROR(__xludf.DUMMYFUNCTION("""COMPUTED_VALUE"""),550.62)</f>
        <v>550.62</v>
      </c>
      <c r="BL121" s="1">
        <f>IFERROR(__xludf.DUMMYFUNCTION("""COMPUTED_VALUE"""),175.21)</f>
        <v>175.21</v>
      </c>
      <c r="BM121" s="1">
        <f>IFERROR(__xludf.DUMMYFUNCTION("""COMPUTED_VALUE"""),81.92)</f>
        <v>81.92</v>
      </c>
      <c r="BN121" s="3">
        <f>IFERROR(__xludf.DUMMYFUNCTION("""COMPUTED_VALUE"""),8.67)</f>
        <v>8.67</v>
      </c>
      <c r="BO121" s="1">
        <f>IFERROR(__xludf.DUMMYFUNCTION("""COMPUTED_VALUE"""),232.17)</f>
        <v>232.17</v>
      </c>
      <c r="BP121" s="1">
        <f>IFERROR(__xludf.DUMMYFUNCTION("""COMPUTED_VALUE"""),562.96)</f>
        <v>562.96</v>
      </c>
      <c r="BQ121" s="36">
        <f>IFERROR(__xludf.DUMMYFUNCTION("""COMPUTED_VALUE"""),48.78)</f>
        <v>48.78</v>
      </c>
      <c r="BR121" s="1">
        <f>IFERROR(__xludf.DUMMYFUNCTION("""COMPUTED_VALUE"""),11.89)</f>
        <v>11.89</v>
      </c>
      <c r="BS121" s="3">
        <f>IFERROR(__xludf.DUMMYFUNCTION("""COMPUTED_VALUE"""),214.82)</f>
        <v>214.82</v>
      </c>
      <c r="BT121" s="1">
        <f>IFERROR(__xludf.DUMMYFUNCTION("""COMPUTED_VALUE"""),95.08)</f>
        <v>95.08</v>
      </c>
      <c r="BU121" s="3">
        <v>1.0</v>
      </c>
    </row>
    <row r="122">
      <c r="A122" s="25">
        <f>IFERROR(__xludf.DUMMYFUNCTION("""COMPUTED_VALUE"""),45596.66666666667)</f>
        <v>45596.66667</v>
      </c>
      <c r="B122" s="29">
        <f>'Master Scratch Work'!B121</f>
        <v>1286647.5</v>
      </c>
      <c r="C122" s="15">
        <f>IFERROR(__xludf.DUMMYFUNCTION("""COMPUTED_VALUE"""),5705.45)</f>
        <v>5705.45</v>
      </c>
      <c r="D122" s="15">
        <f>IFERROR(__xludf.DUMMYFUNCTION("""COMPUTED_VALUE"""),18095.15)</f>
        <v>18095.15</v>
      </c>
      <c r="E122" s="15">
        <f>IFERROR(__xludf.DUMMYFUNCTION("""COMPUTED_VALUE"""),41763.46)</f>
        <v>41763.46</v>
      </c>
      <c r="F122" s="15">
        <f>IFERROR(__xludf.DUMMYFUNCTION("""COMPUTED_VALUE"""),2196.65)</f>
        <v>2196.65</v>
      </c>
      <c r="G122" s="3">
        <f>IFERROR(__xludf.DUMMYFUNCTION("""COMPUTED_VALUE"""),568.64)</f>
        <v>568.64</v>
      </c>
      <c r="H122" s="3">
        <f>IFERROR(__xludf.DUMMYFUNCTION("""COMPUTED_VALUE"""),483.85)</f>
        <v>483.85</v>
      </c>
      <c r="I122" s="3">
        <f>IFERROR(__xludf.DUMMYFUNCTION("""COMPUTED_VALUE"""),478.08)</f>
        <v>478.08</v>
      </c>
      <c r="J122" s="3">
        <f>IFERROR(__xludf.DUMMYFUNCTION("""COMPUTED_VALUE"""),186.4)</f>
        <v>186.4</v>
      </c>
      <c r="K122" s="3">
        <f>IFERROR(__xludf.DUMMYFUNCTION("""COMPUTED_VALUE"""),138.11)</f>
        <v>138.11</v>
      </c>
      <c r="L122" s="3">
        <f>IFERROR(__xludf.DUMMYFUNCTION("""COMPUTED_VALUE"""),225.91)</f>
        <v>225.91</v>
      </c>
      <c r="M122" s="3">
        <f>IFERROR(__xludf.DUMMYFUNCTION("""COMPUTED_VALUE"""),181.58)</f>
        <v>181.58</v>
      </c>
      <c r="N122" s="3">
        <f>IFERROR(__xludf.DUMMYFUNCTION("""COMPUTED_VALUE"""),75.36)</f>
        <v>75.36</v>
      </c>
      <c r="O122" s="3">
        <f>IFERROR(__xludf.DUMMYFUNCTION("""COMPUTED_VALUE"""),12.41)</f>
        <v>12.41</v>
      </c>
      <c r="P122" s="3">
        <f>IFERROR(__xludf.DUMMYFUNCTION("""COMPUTED_VALUE"""),450.92)</f>
        <v>450.92</v>
      </c>
      <c r="Q122" s="3">
        <f>IFERROR(__xludf.DUMMYFUNCTION("""COMPUTED_VALUE"""),55.46)</f>
        <v>55.46</v>
      </c>
      <c r="R122" s="3">
        <f>IFERROR(__xludf.DUMMYFUNCTION("""COMPUTED_VALUE"""),174.0)</f>
        <v>174</v>
      </c>
      <c r="S122" s="3">
        <f>IFERROR(__xludf.DUMMYFUNCTION("""COMPUTED_VALUE"""),84.02)</f>
        <v>84.02</v>
      </c>
      <c r="T122" s="3">
        <f>IFERROR(__xludf.DUMMYFUNCTION("""COMPUTED_VALUE"""),72.72)</f>
        <v>72.72</v>
      </c>
      <c r="U122" s="3">
        <f>IFERROR(__xludf.DUMMYFUNCTION("""COMPUTED_VALUE"""),376.2)</f>
        <v>376.2</v>
      </c>
      <c r="V122" s="3">
        <f>IFERROR(__xludf.DUMMYFUNCTION("""COMPUTED_VALUE"""),52.22)</f>
        <v>52.22</v>
      </c>
      <c r="W122" s="3">
        <f>IFERROR(__xludf.DUMMYFUNCTION("""COMPUTED_VALUE"""),173.21)</f>
        <v>173.21</v>
      </c>
      <c r="X122" s="3">
        <f>IFERROR(__xludf.DUMMYFUNCTION("""COMPUTED_VALUE"""),148.82)</f>
        <v>148.82</v>
      </c>
      <c r="Y122" s="1">
        <f>IFERROR(__xludf.DUMMYFUNCTION("""COMPUTED_VALUE"""),314.81)</f>
        <v>314.81</v>
      </c>
      <c r="Z122" s="1">
        <f>IFERROR(__xludf.DUMMYFUNCTION("""COMPUTED_VALUE"""),42.12)</f>
        <v>42.12</v>
      </c>
      <c r="AA122" s="1">
        <f>IFERROR(__xludf.DUMMYFUNCTION("""COMPUTED_VALUE"""),65.31)</f>
        <v>65.31</v>
      </c>
      <c r="AB122" s="1">
        <f>IFERROR(__xludf.DUMMYFUNCTION("""COMPUTED_VALUE"""),101.68)</f>
        <v>101.68</v>
      </c>
      <c r="AC122" s="1">
        <f>IFERROR(__xludf.DUMMYFUNCTION("""COMPUTED_VALUE"""),178.23)</f>
        <v>178.23</v>
      </c>
      <c r="AD122" s="3">
        <f>IFERROR(__xludf.DUMMYFUNCTION("""COMPUTED_VALUE"""),64.64)</f>
        <v>64.64</v>
      </c>
      <c r="AE122" s="1">
        <f>IFERROR(__xludf.DUMMYFUNCTION("""COMPUTED_VALUE"""),413.73)</f>
        <v>413.73</v>
      </c>
      <c r="AF122" s="1">
        <f>IFERROR(__xludf.DUMMYFUNCTION("""COMPUTED_VALUE"""),57.51)</f>
        <v>57.51</v>
      </c>
      <c r="AG122" s="1">
        <f>IFERROR(__xludf.DUMMYFUNCTION("""COMPUTED_VALUE"""),116.78)</f>
        <v>116.78</v>
      </c>
      <c r="AH122" s="3">
        <f>IFERROR(__xludf.DUMMYFUNCTION("""COMPUTED_VALUE"""),273.85)</f>
        <v>273.85</v>
      </c>
      <c r="AI122" s="1">
        <f>IFERROR(__xludf.DUMMYFUNCTION("""COMPUTED_VALUE"""),475.88)</f>
        <v>475.88</v>
      </c>
      <c r="AJ122" s="1">
        <f>IFERROR(__xludf.DUMMYFUNCTION("""COMPUTED_VALUE"""),291.61)</f>
        <v>291.61</v>
      </c>
      <c r="AK122" s="3">
        <f>IFERROR(__xludf.DUMMYFUNCTION("""COMPUTED_VALUE"""),50.76)</f>
        <v>50.76</v>
      </c>
      <c r="AL122" s="1">
        <f>IFERROR(__xludf.DUMMYFUNCTION("""COMPUTED_VALUE"""),88.82)</f>
        <v>88.82</v>
      </c>
      <c r="AM122" s="1">
        <f>IFERROR(__xludf.DUMMYFUNCTION("""COMPUTED_VALUE"""),517.79)</f>
        <v>517.79</v>
      </c>
      <c r="AN122" s="1">
        <f>IFERROR(__xludf.DUMMYFUNCTION("""COMPUTED_VALUE"""),393.75)</f>
        <v>393.75</v>
      </c>
      <c r="AO122" s="1">
        <f>IFERROR(__xludf.DUMMYFUNCTION("""COMPUTED_VALUE"""),115.73)</f>
        <v>115.73</v>
      </c>
      <c r="AP122" s="1">
        <f>IFERROR(__xludf.DUMMYFUNCTION("""COMPUTED_VALUE"""),155.87)</f>
        <v>155.87</v>
      </c>
      <c r="AQ122" s="1">
        <f>IFERROR(__xludf.DUMMYFUNCTION("""COMPUTED_VALUE"""),503.84)</f>
        <v>503.84</v>
      </c>
      <c r="AR122" s="3">
        <f>IFERROR(__xludf.DUMMYFUNCTION("""COMPUTED_VALUE"""),221.92)</f>
        <v>221.92</v>
      </c>
      <c r="AS122" s="3">
        <f>IFERROR(__xludf.DUMMYFUNCTION("""COMPUTED_VALUE"""),546.05)</f>
        <v>546.05</v>
      </c>
      <c r="AT122" s="3">
        <f>IFERROR(__xludf.DUMMYFUNCTION("""COMPUTED_VALUE"""),297.9)</f>
        <v>297.9</v>
      </c>
      <c r="AU122" s="1">
        <f>IFERROR(__xludf.DUMMYFUNCTION("""COMPUTED_VALUE"""),29.21)</f>
        <v>29.21</v>
      </c>
      <c r="AV122" s="1">
        <f>IFERROR(__xludf.DUMMYFUNCTION("""COMPUTED_VALUE"""),89.25)</f>
        <v>89.25</v>
      </c>
      <c r="AW122" s="1">
        <f>IFERROR(__xludf.DUMMYFUNCTION("""COMPUTED_VALUE"""),78.42)</f>
        <v>78.42</v>
      </c>
      <c r="AX122" s="1">
        <f>IFERROR(__xludf.DUMMYFUNCTION("""COMPUTED_VALUE"""),17.99)</f>
        <v>17.99</v>
      </c>
      <c r="AY122" s="1">
        <f>IFERROR(__xludf.DUMMYFUNCTION("""COMPUTED_VALUE"""),406.35)</f>
        <v>406.35</v>
      </c>
      <c r="AZ122" s="3">
        <f>IFERROR(__xludf.DUMMYFUNCTION("""COMPUTED_VALUE"""),79.25)</f>
        <v>79.25</v>
      </c>
      <c r="BA122" s="3">
        <f>IFERROR(__xludf.DUMMYFUNCTION("""COMPUTED_VALUE"""),90.4)</f>
        <v>90.4</v>
      </c>
      <c r="BB122" s="3">
        <f>IFERROR(__xludf.DUMMYFUNCTION("""COMPUTED_VALUE"""),132.76)</f>
        <v>132.76</v>
      </c>
      <c r="BC122" s="1">
        <f>IFERROR(__xludf.DUMMYFUNCTION("""COMPUTED_VALUE"""),98.2)</f>
        <v>98.2</v>
      </c>
      <c r="BD122" s="3">
        <f>IFERROR(__xludf.DUMMYFUNCTION("""COMPUTED_VALUE"""),47.42)</f>
        <v>47.42</v>
      </c>
      <c r="BE122" s="3">
        <f>IFERROR(__xludf.DUMMYFUNCTION("""COMPUTED_VALUE"""),41.56)</f>
        <v>41.56</v>
      </c>
      <c r="BF122" s="1">
        <f>IFERROR(__xludf.DUMMYFUNCTION("""COMPUTED_VALUE"""),79.3)</f>
        <v>79.3</v>
      </c>
      <c r="BG122" s="1">
        <f>IFERROR(__xludf.DUMMYFUNCTION("""COMPUTED_VALUE"""),28.3)</f>
        <v>28.3</v>
      </c>
      <c r="BH122" s="1">
        <f>IFERROR(__xludf.DUMMYFUNCTION("""COMPUTED_VALUE"""),120.99)</f>
        <v>120.99</v>
      </c>
      <c r="BI122" s="1">
        <f>IFERROR(__xludf.DUMMYFUNCTION("""COMPUTED_VALUE"""),53.5)</f>
        <v>53.5</v>
      </c>
      <c r="BJ122" s="1">
        <f>IFERROR(__xludf.DUMMYFUNCTION("""COMPUTED_VALUE"""),223.16)</f>
        <v>223.16</v>
      </c>
      <c r="BK122" s="1">
        <f>IFERROR(__xludf.DUMMYFUNCTION("""COMPUTED_VALUE"""),546.32)</f>
        <v>546.32</v>
      </c>
      <c r="BL122" s="1">
        <f>IFERROR(__xludf.DUMMYFUNCTION("""COMPUTED_VALUE"""),173.02)</f>
        <v>173.02</v>
      </c>
      <c r="BM122" s="1">
        <f>IFERROR(__xludf.DUMMYFUNCTION("""COMPUTED_VALUE"""),81.97)</f>
        <v>81.97</v>
      </c>
      <c r="BN122" s="3">
        <f>IFERROR(__xludf.DUMMYFUNCTION("""COMPUTED_VALUE"""),8.55)</f>
        <v>8.55</v>
      </c>
      <c r="BO122" s="1">
        <f>IFERROR(__xludf.DUMMYFUNCTION("""COMPUTED_VALUE"""),232.07)</f>
        <v>232.07</v>
      </c>
      <c r="BP122" s="1">
        <f>IFERROR(__xludf.DUMMYFUNCTION("""COMPUTED_VALUE"""),564.5)</f>
        <v>564.5</v>
      </c>
      <c r="BQ122" s="36">
        <f>IFERROR(__xludf.DUMMYFUNCTION("""COMPUTED_VALUE"""),48.78)</f>
        <v>48.78</v>
      </c>
      <c r="BR122" s="1">
        <f>IFERROR(__xludf.DUMMYFUNCTION("""COMPUTED_VALUE"""),11.6)</f>
        <v>11.6</v>
      </c>
      <c r="BS122" s="3">
        <f>IFERROR(__xludf.DUMMYFUNCTION("""COMPUTED_VALUE"""),215.85)</f>
        <v>215.85</v>
      </c>
      <c r="BT122" s="1">
        <f>IFERROR(__xludf.DUMMYFUNCTION("""COMPUTED_VALUE"""),96.2)</f>
        <v>96.2</v>
      </c>
      <c r="BU122" s="3">
        <v>1.0</v>
      </c>
    </row>
    <row r="123">
      <c r="A123" s="25">
        <f>IFERROR(__xludf.DUMMYFUNCTION("""COMPUTED_VALUE"""),45597.66666666667)</f>
        <v>45597.66667</v>
      </c>
      <c r="B123" s="29">
        <f>'Master Scratch Work'!B122</f>
        <v>1291681.2</v>
      </c>
      <c r="C123" s="15">
        <f>IFERROR(__xludf.DUMMYFUNCTION("""COMPUTED_VALUE"""),5728.8)</f>
        <v>5728.8</v>
      </c>
      <c r="D123" s="15">
        <f>IFERROR(__xludf.DUMMYFUNCTION("""COMPUTED_VALUE"""),18239.92)</f>
        <v>18239.92</v>
      </c>
      <c r="E123" s="15">
        <f>IFERROR(__xludf.DUMMYFUNCTION("""COMPUTED_VALUE"""),42052.19)</f>
        <v>42052.19</v>
      </c>
      <c r="F123" s="15">
        <f>IFERROR(__xludf.DUMMYFUNCTION("""COMPUTED_VALUE"""),2210.13)</f>
        <v>2210.13</v>
      </c>
      <c r="G123" s="3">
        <f>IFERROR(__xludf.DUMMYFUNCTION("""COMPUTED_VALUE"""),571.04)</f>
        <v>571.04</v>
      </c>
      <c r="H123" s="3">
        <f>IFERROR(__xludf.DUMMYFUNCTION("""COMPUTED_VALUE"""),487.43)</f>
        <v>487.43</v>
      </c>
      <c r="I123" s="3">
        <f>IFERROR(__xludf.DUMMYFUNCTION("""COMPUTED_VALUE"""),482.8)</f>
        <v>482.8</v>
      </c>
      <c r="J123" s="3">
        <f>IFERROR(__xludf.DUMMYFUNCTION("""COMPUTED_VALUE"""),197.93)</f>
        <v>197.93</v>
      </c>
      <c r="K123" s="3">
        <f>IFERROR(__xludf.DUMMYFUNCTION("""COMPUTED_VALUE"""),136.0)</f>
        <v>136</v>
      </c>
      <c r="L123" s="3">
        <f>IFERROR(__xludf.DUMMYFUNCTION("""COMPUTED_VALUE"""),222.91)</f>
        <v>222.91</v>
      </c>
      <c r="M123" s="3">
        <f>IFERROR(__xludf.DUMMYFUNCTION("""COMPUTED_VALUE"""),183.38)</f>
        <v>183.38</v>
      </c>
      <c r="N123" s="3">
        <f>IFERROR(__xludf.DUMMYFUNCTION("""COMPUTED_VALUE"""),75.31)</f>
        <v>75.31</v>
      </c>
      <c r="O123" s="3">
        <f>IFERROR(__xludf.DUMMYFUNCTION("""COMPUTED_VALUE"""),12.53)</f>
        <v>12.53</v>
      </c>
      <c r="P123" s="3">
        <f>IFERROR(__xludf.DUMMYFUNCTION("""COMPUTED_VALUE"""),452.14)</f>
        <v>452.14</v>
      </c>
      <c r="Q123" s="3">
        <f>IFERROR(__xludf.DUMMYFUNCTION("""COMPUTED_VALUE"""),55.94)</f>
        <v>55.94</v>
      </c>
      <c r="R123" s="3">
        <f>IFERROR(__xludf.DUMMYFUNCTION("""COMPUTED_VALUE"""),173.79)</f>
        <v>173.79</v>
      </c>
      <c r="S123" s="3">
        <f>IFERROR(__xludf.DUMMYFUNCTION("""COMPUTED_VALUE"""),83.62)</f>
        <v>83.62</v>
      </c>
      <c r="T123" s="3">
        <f>IFERROR(__xludf.DUMMYFUNCTION("""COMPUTED_VALUE"""),72.59)</f>
        <v>72.59</v>
      </c>
      <c r="U123" s="3">
        <f>IFERROR(__xludf.DUMMYFUNCTION("""COMPUTED_VALUE"""),379.63)</f>
        <v>379.63</v>
      </c>
      <c r="V123" s="3">
        <f>IFERROR(__xludf.DUMMYFUNCTION("""COMPUTED_VALUE"""),52.5)</f>
        <v>52.5</v>
      </c>
      <c r="W123" s="3">
        <f>IFERROR(__xludf.DUMMYFUNCTION("""COMPUTED_VALUE"""),170.5)</f>
        <v>170.5</v>
      </c>
      <c r="X123" s="3">
        <f>IFERROR(__xludf.DUMMYFUNCTION("""COMPUTED_VALUE"""),153.07)</f>
        <v>153.07</v>
      </c>
      <c r="Y123" s="1">
        <f>IFERROR(__xludf.DUMMYFUNCTION("""COMPUTED_VALUE"""),316.49)</f>
        <v>316.49</v>
      </c>
      <c r="Z123" s="1">
        <f>IFERROR(__xludf.DUMMYFUNCTION("""COMPUTED_VALUE"""),41.82)</f>
        <v>41.82</v>
      </c>
      <c r="AA123" s="1">
        <f>IFERROR(__xludf.DUMMYFUNCTION("""COMPUTED_VALUE"""),65.01)</f>
        <v>65.01</v>
      </c>
      <c r="AB123" s="1">
        <f>IFERROR(__xludf.DUMMYFUNCTION("""COMPUTED_VALUE"""),100.0)</f>
        <v>100</v>
      </c>
      <c r="AC123" s="1">
        <f>IFERROR(__xludf.DUMMYFUNCTION("""COMPUTED_VALUE"""),176.0)</f>
        <v>176</v>
      </c>
      <c r="AD123" s="3">
        <f>IFERROR(__xludf.DUMMYFUNCTION("""COMPUTED_VALUE"""),66.6)</f>
        <v>66.6</v>
      </c>
      <c r="AE123" s="1">
        <f>IFERROR(__xludf.DUMMYFUNCTION("""COMPUTED_VALUE"""),425.83)</f>
        <v>425.83</v>
      </c>
      <c r="AF123" s="1">
        <f>IFERROR(__xludf.DUMMYFUNCTION("""COMPUTED_VALUE"""),58.11)</f>
        <v>58.11</v>
      </c>
      <c r="AG123" s="1">
        <f>IFERROR(__xludf.DUMMYFUNCTION("""COMPUTED_VALUE"""),114.95)</f>
        <v>114.95</v>
      </c>
      <c r="AH123" s="3">
        <f>IFERROR(__xludf.DUMMYFUNCTION("""COMPUTED_VALUE"""),274.35)</f>
        <v>274.35</v>
      </c>
      <c r="AI123" s="1">
        <f>IFERROR(__xludf.DUMMYFUNCTION("""COMPUTED_VALUE"""),476.76)</f>
        <v>476.76</v>
      </c>
      <c r="AJ123" s="1">
        <f>IFERROR(__xludf.DUMMYFUNCTION("""COMPUTED_VALUE"""),292.99)</f>
        <v>292.99</v>
      </c>
      <c r="AK123" s="3">
        <f>IFERROR(__xludf.DUMMYFUNCTION("""COMPUTED_VALUE"""),50.96)</f>
        <v>50.96</v>
      </c>
      <c r="AL123" s="1">
        <f>IFERROR(__xludf.DUMMYFUNCTION("""COMPUTED_VALUE"""),89.51)</f>
        <v>89.51</v>
      </c>
      <c r="AM123" s="1">
        <f>IFERROR(__xludf.DUMMYFUNCTION("""COMPUTED_VALUE"""),519.35)</f>
        <v>519.35</v>
      </c>
      <c r="AN123" s="1">
        <f>IFERROR(__xludf.DUMMYFUNCTION("""COMPUTED_VALUE"""),392.59)</f>
        <v>392.59</v>
      </c>
      <c r="AO123" s="1">
        <f>IFERROR(__xludf.DUMMYFUNCTION("""COMPUTED_VALUE"""),115.07)</f>
        <v>115.07</v>
      </c>
      <c r="AP123" s="1">
        <f>IFERROR(__xludf.DUMMYFUNCTION("""COMPUTED_VALUE"""),154.64)</f>
        <v>154.64</v>
      </c>
      <c r="AQ123" s="1">
        <f>IFERROR(__xludf.DUMMYFUNCTION("""COMPUTED_VALUE"""),506.34)</f>
        <v>506.34</v>
      </c>
      <c r="AR123" s="3">
        <f>IFERROR(__xludf.DUMMYFUNCTION("""COMPUTED_VALUE"""),222.94)</f>
        <v>222.94</v>
      </c>
      <c r="AS123" s="3">
        <f>IFERROR(__xludf.DUMMYFUNCTION("""COMPUTED_VALUE"""),545.35)</f>
        <v>545.35</v>
      </c>
      <c r="AT123" s="3">
        <f>IFERROR(__xludf.DUMMYFUNCTION("""COMPUTED_VALUE"""),321.17)</f>
        <v>321.17</v>
      </c>
      <c r="AU123" s="1">
        <f>IFERROR(__xludf.DUMMYFUNCTION("""COMPUTED_VALUE"""),29.47)</f>
        <v>29.47</v>
      </c>
      <c r="AV123" s="1">
        <f>IFERROR(__xludf.DUMMYFUNCTION("""COMPUTED_VALUE"""),90.07)</f>
        <v>90.07</v>
      </c>
      <c r="AW123" s="1">
        <f>IFERROR(__xludf.DUMMYFUNCTION("""COMPUTED_VALUE"""),78.43)</f>
        <v>78.43</v>
      </c>
      <c r="AX123" s="1">
        <f>IFERROR(__xludf.DUMMYFUNCTION("""COMPUTED_VALUE"""),18.23)</f>
        <v>18.23</v>
      </c>
      <c r="AY123" s="1">
        <f>IFERROR(__xludf.DUMMYFUNCTION("""COMPUTED_VALUE"""),410.37)</f>
        <v>410.37</v>
      </c>
      <c r="AZ123" s="3">
        <f>IFERROR(__xludf.DUMMYFUNCTION("""COMPUTED_VALUE"""),77.35)</f>
        <v>77.35</v>
      </c>
      <c r="BA123" s="3">
        <f>IFERROR(__xludf.DUMMYFUNCTION("""COMPUTED_VALUE"""),86.72)</f>
        <v>86.72</v>
      </c>
      <c r="BB123" s="3">
        <f>IFERROR(__xludf.DUMMYFUNCTION("""COMPUTED_VALUE"""),135.4)</f>
        <v>135.4</v>
      </c>
      <c r="BC123" s="1">
        <f>IFERROR(__xludf.DUMMYFUNCTION("""COMPUTED_VALUE"""),99.44)</f>
        <v>99.44</v>
      </c>
      <c r="BD123" s="3">
        <f>IFERROR(__xludf.DUMMYFUNCTION("""COMPUTED_VALUE"""),46.5)</f>
        <v>46.5</v>
      </c>
      <c r="BE123" s="3">
        <f>IFERROR(__xludf.DUMMYFUNCTION("""COMPUTED_VALUE"""),41.92)</f>
        <v>41.92</v>
      </c>
      <c r="BF123" s="1">
        <f>IFERROR(__xludf.DUMMYFUNCTION("""COMPUTED_VALUE"""),77.25)</f>
        <v>77.25</v>
      </c>
      <c r="BG123" s="1">
        <f>IFERROR(__xludf.DUMMYFUNCTION("""COMPUTED_VALUE"""),28.09)</f>
        <v>28.09</v>
      </c>
      <c r="BH123" s="1">
        <f>IFERROR(__xludf.DUMMYFUNCTION("""COMPUTED_VALUE"""),118.75)</f>
        <v>118.75</v>
      </c>
      <c r="BI123" s="1">
        <f>IFERROR(__xludf.DUMMYFUNCTION("""COMPUTED_VALUE"""),55.09)</f>
        <v>55.09</v>
      </c>
      <c r="BJ123" s="1">
        <f>IFERROR(__xludf.DUMMYFUNCTION("""COMPUTED_VALUE"""),223.28)</f>
        <v>223.28</v>
      </c>
      <c r="BK123" s="1">
        <f>IFERROR(__xludf.DUMMYFUNCTION("""COMPUTED_VALUE"""),557.92)</f>
        <v>557.92</v>
      </c>
      <c r="BL123" s="1">
        <f>IFERROR(__xludf.DUMMYFUNCTION("""COMPUTED_VALUE"""),172.83)</f>
        <v>172.83</v>
      </c>
      <c r="BM123" s="1">
        <f>IFERROR(__xludf.DUMMYFUNCTION("""COMPUTED_VALUE"""),82.4)</f>
        <v>82.4</v>
      </c>
      <c r="BN123" s="3">
        <f>IFERROR(__xludf.DUMMYFUNCTION("""COMPUTED_VALUE"""),8.52)</f>
        <v>8.52</v>
      </c>
      <c r="BO123" s="1">
        <f>IFERROR(__xludf.DUMMYFUNCTION("""COMPUTED_VALUE"""),232.69)</f>
        <v>232.69</v>
      </c>
      <c r="BP123" s="1">
        <f>IFERROR(__xludf.DUMMYFUNCTION("""COMPUTED_VALUE"""),567.56)</f>
        <v>567.56</v>
      </c>
      <c r="BQ123" s="36">
        <f>IFERROR(__xludf.DUMMYFUNCTION("""COMPUTED_VALUE"""),48.72)</f>
        <v>48.72</v>
      </c>
      <c r="BR123" s="1">
        <f>IFERROR(__xludf.DUMMYFUNCTION("""COMPUTED_VALUE"""),11.62)</f>
        <v>11.62</v>
      </c>
      <c r="BS123" s="3">
        <f>IFERROR(__xludf.DUMMYFUNCTION("""COMPUTED_VALUE"""),213.99)</f>
        <v>213.99</v>
      </c>
      <c r="BT123" s="1">
        <f>IFERROR(__xludf.DUMMYFUNCTION("""COMPUTED_VALUE"""),95.81)</f>
        <v>95.81</v>
      </c>
      <c r="BU123" s="3">
        <v>1.0</v>
      </c>
    </row>
    <row r="124">
      <c r="A124" s="25">
        <f>IFERROR(__xludf.DUMMYFUNCTION("""COMPUTED_VALUE"""),45600.66666666667)</f>
        <v>45600.66667</v>
      </c>
      <c r="B124" s="29">
        <f>'Master Scratch Work'!B123</f>
        <v>1286273.26</v>
      </c>
      <c r="C124" s="15">
        <f>IFERROR(__xludf.DUMMYFUNCTION("""COMPUTED_VALUE"""),5712.69)</f>
        <v>5712.69</v>
      </c>
      <c r="D124" s="15">
        <f>IFERROR(__xludf.DUMMYFUNCTION("""COMPUTED_VALUE"""),18179.98)</f>
        <v>18179.98</v>
      </c>
      <c r="E124" s="15">
        <f>IFERROR(__xludf.DUMMYFUNCTION("""COMPUTED_VALUE"""),41794.6)</f>
        <v>41794.6</v>
      </c>
      <c r="F124" s="15">
        <f>IFERROR(__xludf.DUMMYFUNCTION("""COMPUTED_VALUE"""),2219.03)</f>
        <v>2219.03</v>
      </c>
      <c r="G124" s="3">
        <f>IFERROR(__xludf.DUMMYFUNCTION("""COMPUTED_VALUE"""),569.81)</f>
        <v>569.81</v>
      </c>
      <c r="H124" s="3">
        <f>IFERROR(__xludf.DUMMYFUNCTION("""COMPUTED_VALUE"""),486.01)</f>
        <v>486.01</v>
      </c>
      <c r="I124" s="3">
        <f>IFERROR(__xludf.DUMMYFUNCTION("""COMPUTED_VALUE"""),481.35)</f>
        <v>481.35</v>
      </c>
      <c r="J124" s="3">
        <f>IFERROR(__xludf.DUMMYFUNCTION("""COMPUTED_VALUE"""),195.78)</f>
        <v>195.78</v>
      </c>
      <c r="K124" s="3">
        <f>IFERROR(__xludf.DUMMYFUNCTION("""COMPUTED_VALUE"""),135.3)</f>
        <v>135.3</v>
      </c>
      <c r="L124" s="3">
        <f>IFERROR(__xludf.DUMMYFUNCTION("""COMPUTED_VALUE"""),222.01)</f>
        <v>222.01</v>
      </c>
      <c r="M124" s="3">
        <f>IFERROR(__xludf.DUMMYFUNCTION("""COMPUTED_VALUE"""),181.82)</f>
        <v>181.82</v>
      </c>
      <c r="N124" s="3">
        <f>IFERROR(__xludf.DUMMYFUNCTION("""COMPUTED_VALUE"""),75.0)</f>
        <v>75</v>
      </c>
      <c r="O124" s="3">
        <f>IFERROR(__xludf.DUMMYFUNCTION("""COMPUTED_VALUE"""),12.68)</f>
        <v>12.68</v>
      </c>
      <c r="P124" s="3">
        <f>IFERROR(__xludf.DUMMYFUNCTION("""COMPUTED_VALUE"""),442.29)</f>
        <v>442.29</v>
      </c>
      <c r="Q124" s="3">
        <f>IFERROR(__xludf.DUMMYFUNCTION("""COMPUTED_VALUE"""),56.12)</f>
        <v>56.12</v>
      </c>
      <c r="R124" s="3">
        <f>IFERROR(__xludf.DUMMYFUNCTION("""COMPUTED_VALUE"""),173.52)</f>
        <v>173.52</v>
      </c>
      <c r="S124" s="3">
        <f>IFERROR(__xludf.DUMMYFUNCTION("""COMPUTED_VALUE"""),84.72)</f>
        <v>84.72</v>
      </c>
      <c r="T124" s="3">
        <f>IFERROR(__xludf.DUMMYFUNCTION("""COMPUTED_VALUE"""),72.4)</f>
        <v>72.4</v>
      </c>
      <c r="U124" s="3">
        <f>IFERROR(__xludf.DUMMYFUNCTION("""COMPUTED_VALUE"""),376.52)</f>
        <v>376.52</v>
      </c>
      <c r="V124" s="3">
        <f>IFERROR(__xludf.DUMMYFUNCTION("""COMPUTED_VALUE"""),51.15)</f>
        <v>51.15</v>
      </c>
      <c r="W124" s="3">
        <f>IFERROR(__xludf.DUMMYFUNCTION("""COMPUTED_VALUE"""),170.18)</f>
        <v>170.18</v>
      </c>
      <c r="X124" s="3">
        <f>IFERROR(__xludf.DUMMYFUNCTION("""COMPUTED_VALUE"""),153.97)</f>
        <v>153.97</v>
      </c>
      <c r="Y124" s="1">
        <f>IFERROR(__xludf.DUMMYFUNCTION("""COMPUTED_VALUE"""),312.32)</f>
        <v>312.32</v>
      </c>
      <c r="Z124" s="1">
        <f>IFERROR(__xludf.DUMMYFUNCTION("""COMPUTED_VALUE"""),41.59)</f>
        <v>41.59</v>
      </c>
      <c r="AA124" s="1">
        <f>IFERROR(__xludf.DUMMYFUNCTION("""COMPUTED_VALUE"""),65.11)</f>
        <v>65.11</v>
      </c>
      <c r="AB124" s="1">
        <f>IFERROR(__xludf.DUMMYFUNCTION("""COMPUTED_VALUE"""),99.15)</f>
        <v>99.15</v>
      </c>
      <c r="AC124" s="1">
        <f>IFERROR(__xludf.DUMMYFUNCTION("""COMPUTED_VALUE"""),177.32)</f>
        <v>177.32</v>
      </c>
      <c r="AD124" s="3">
        <f>IFERROR(__xludf.DUMMYFUNCTION("""COMPUTED_VALUE"""),66.81)</f>
        <v>66.81</v>
      </c>
      <c r="AE124" s="1">
        <f>IFERROR(__xludf.DUMMYFUNCTION("""COMPUTED_VALUE"""),429.98)</f>
        <v>429.98</v>
      </c>
      <c r="AF124" s="1">
        <f>IFERROR(__xludf.DUMMYFUNCTION("""COMPUTED_VALUE"""),60.23)</f>
        <v>60.23</v>
      </c>
      <c r="AG124" s="1">
        <f>IFERROR(__xludf.DUMMYFUNCTION("""COMPUTED_VALUE"""),118.61)</f>
        <v>118.61</v>
      </c>
      <c r="AH124" s="3">
        <f>IFERROR(__xludf.DUMMYFUNCTION("""COMPUTED_VALUE"""),271.18)</f>
        <v>271.18</v>
      </c>
      <c r="AI124" s="1">
        <f>IFERROR(__xludf.DUMMYFUNCTION("""COMPUTED_VALUE"""),476.05)</f>
        <v>476.05</v>
      </c>
      <c r="AJ124" s="1">
        <f>IFERROR(__xludf.DUMMYFUNCTION("""COMPUTED_VALUE"""),293.6)</f>
        <v>293.6</v>
      </c>
      <c r="AK124" s="3">
        <f>IFERROR(__xludf.DUMMYFUNCTION("""COMPUTED_VALUE"""),51.8)</f>
        <v>51.8</v>
      </c>
      <c r="AL124" s="1">
        <f>IFERROR(__xludf.DUMMYFUNCTION("""COMPUTED_VALUE"""),89.84)</f>
        <v>89.84</v>
      </c>
      <c r="AM124" s="1">
        <f>IFERROR(__xludf.DUMMYFUNCTION("""COMPUTED_VALUE"""),511.47)</f>
        <v>511.47</v>
      </c>
      <c r="AN124" s="1">
        <f>IFERROR(__xludf.DUMMYFUNCTION("""COMPUTED_VALUE"""),395.57)</f>
        <v>395.57</v>
      </c>
      <c r="AO124" s="1">
        <f>IFERROR(__xludf.DUMMYFUNCTION("""COMPUTED_VALUE"""),118.2)</f>
        <v>118.2</v>
      </c>
      <c r="AP124" s="1">
        <f>IFERROR(__xludf.DUMMYFUNCTION("""COMPUTED_VALUE"""),154.49)</f>
        <v>154.49</v>
      </c>
      <c r="AQ124" s="1">
        <f>IFERROR(__xludf.DUMMYFUNCTION("""COMPUTED_VALUE"""),507.42)</f>
        <v>507.42</v>
      </c>
      <c r="AR124" s="3">
        <f>IFERROR(__xludf.DUMMYFUNCTION("""COMPUTED_VALUE"""),219.78)</f>
        <v>219.78</v>
      </c>
      <c r="AS124" s="3">
        <f>IFERROR(__xludf.DUMMYFUNCTION("""COMPUTED_VALUE"""),543.1)</f>
        <v>543.1</v>
      </c>
      <c r="AT124" s="3">
        <f>IFERROR(__xludf.DUMMYFUNCTION("""COMPUTED_VALUE"""),318.13)</f>
        <v>318.13</v>
      </c>
      <c r="AU124" s="1">
        <f>IFERROR(__xludf.DUMMYFUNCTION("""COMPUTED_VALUE"""),29.7)</f>
        <v>29.7</v>
      </c>
      <c r="AV124" s="1">
        <f>IFERROR(__xludf.DUMMYFUNCTION("""COMPUTED_VALUE"""),89.31)</f>
        <v>89.31</v>
      </c>
      <c r="AW124" s="1">
        <f>IFERROR(__xludf.DUMMYFUNCTION("""COMPUTED_VALUE"""),78.56)</f>
        <v>78.56</v>
      </c>
      <c r="AX124" s="1">
        <f>IFERROR(__xludf.DUMMYFUNCTION("""COMPUTED_VALUE"""),18.25)</f>
        <v>18.25</v>
      </c>
      <c r="AY124" s="1">
        <f>IFERROR(__xludf.DUMMYFUNCTION("""COMPUTED_VALUE"""),408.46)</f>
        <v>408.46</v>
      </c>
      <c r="AZ124" s="3">
        <f>IFERROR(__xludf.DUMMYFUNCTION("""COMPUTED_VALUE"""),78.37)</f>
        <v>78.37</v>
      </c>
      <c r="BA124" s="3">
        <f>IFERROR(__xludf.DUMMYFUNCTION("""COMPUTED_VALUE"""),88.05)</f>
        <v>88.05</v>
      </c>
      <c r="BB124" s="3">
        <f>IFERROR(__xludf.DUMMYFUNCTION("""COMPUTED_VALUE"""),136.05)</f>
        <v>136.05</v>
      </c>
      <c r="BC124" s="1">
        <f>IFERROR(__xludf.DUMMYFUNCTION("""COMPUTED_VALUE"""),99.44)</f>
        <v>99.44</v>
      </c>
      <c r="BD124" s="3">
        <f>IFERROR(__xludf.DUMMYFUNCTION("""COMPUTED_VALUE"""),46.3)</f>
        <v>46.3</v>
      </c>
      <c r="BE124" s="3">
        <f>IFERROR(__xludf.DUMMYFUNCTION("""COMPUTED_VALUE"""),41.41)</f>
        <v>41.41</v>
      </c>
      <c r="BF124" s="1">
        <f>IFERROR(__xludf.DUMMYFUNCTION("""COMPUTED_VALUE"""),78.13)</f>
        <v>78.13</v>
      </c>
      <c r="BG124" s="1">
        <f>IFERROR(__xludf.DUMMYFUNCTION("""COMPUTED_VALUE"""),27.76)</f>
        <v>27.76</v>
      </c>
      <c r="BH124" s="1">
        <f>IFERROR(__xludf.DUMMYFUNCTION("""COMPUTED_VALUE"""),118.0)</f>
        <v>118</v>
      </c>
      <c r="BI124" s="1">
        <f>IFERROR(__xludf.DUMMYFUNCTION("""COMPUTED_VALUE"""),55.87)</f>
        <v>55.87</v>
      </c>
      <c r="BJ124" s="1">
        <f>IFERROR(__xludf.DUMMYFUNCTION("""COMPUTED_VALUE"""),224.25)</f>
        <v>224.25</v>
      </c>
      <c r="BK124" s="1">
        <f>IFERROR(__xludf.DUMMYFUNCTION("""COMPUTED_VALUE"""),555.47)</f>
        <v>555.47</v>
      </c>
      <c r="BL124" s="1">
        <f>IFERROR(__xludf.DUMMYFUNCTION("""COMPUTED_VALUE"""),172.7)</f>
        <v>172.7</v>
      </c>
      <c r="BM124" s="1">
        <f>IFERROR(__xludf.DUMMYFUNCTION("""COMPUTED_VALUE"""),84.97)</f>
        <v>84.97</v>
      </c>
      <c r="BN124" s="3">
        <f>IFERROR(__xludf.DUMMYFUNCTION("""COMPUTED_VALUE"""),8.64)</f>
        <v>8.64</v>
      </c>
      <c r="BO124" s="1">
        <f>IFERROR(__xludf.DUMMYFUNCTION("""COMPUTED_VALUE"""),229.91)</f>
        <v>229.91</v>
      </c>
      <c r="BP124" s="1">
        <f>IFERROR(__xludf.DUMMYFUNCTION("""COMPUTED_VALUE"""),557.77)</f>
        <v>557.77</v>
      </c>
      <c r="BQ124" s="36">
        <f>IFERROR(__xludf.DUMMYFUNCTION("""COMPUTED_VALUE"""),48.72)</f>
        <v>48.72</v>
      </c>
      <c r="BR124" s="1">
        <f>IFERROR(__xludf.DUMMYFUNCTION("""COMPUTED_VALUE"""),11.45)</f>
        <v>11.45</v>
      </c>
      <c r="BS124" s="3">
        <f>IFERROR(__xludf.DUMMYFUNCTION("""COMPUTED_VALUE"""),214.24)</f>
        <v>214.24</v>
      </c>
      <c r="BT124" s="1">
        <f>IFERROR(__xludf.DUMMYFUNCTION("""COMPUTED_VALUE"""),95.79)</f>
        <v>95.79</v>
      </c>
      <c r="BU124" s="3">
        <v>1.0</v>
      </c>
    </row>
    <row r="125">
      <c r="A125" s="25">
        <f>IFERROR(__xludf.DUMMYFUNCTION("""COMPUTED_VALUE"""),45601.66666666667)</f>
        <v>45601.66667</v>
      </c>
      <c r="B125" s="29">
        <f>'Master Scratch Work'!B124</f>
        <v>1301510.23</v>
      </c>
      <c r="C125" s="15">
        <f>IFERROR(__xludf.DUMMYFUNCTION("""COMPUTED_VALUE"""),5782.76)</f>
        <v>5782.76</v>
      </c>
      <c r="D125" s="15">
        <f>IFERROR(__xludf.DUMMYFUNCTION("""COMPUTED_VALUE"""),18439.17)</f>
        <v>18439.17</v>
      </c>
      <c r="E125" s="15">
        <f>IFERROR(__xludf.DUMMYFUNCTION("""COMPUTED_VALUE"""),42221.88)</f>
        <v>42221.88</v>
      </c>
      <c r="F125" s="15">
        <f>IFERROR(__xludf.DUMMYFUNCTION("""COMPUTED_VALUE"""),2260.84)</f>
        <v>2260.84</v>
      </c>
      <c r="G125" s="3">
        <f>IFERROR(__xludf.DUMMYFUNCTION("""COMPUTED_VALUE"""),576.7)</f>
        <v>576.7</v>
      </c>
      <c r="H125" s="3">
        <f>IFERROR(__xludf.DUMMYFUNCTION("""COMPUTED_VALUE"""),492.21)</f>
        <v>492.21</v>
      </c>
      <c r="I125" s="3">
        <f>IFERROR(__xludf.DUMMYFUNCTION("""COMPUTED_VALUE"""),486.42)</f>
        <v>486.42</v>
      </c>
      <c r="J125" s="3">
        <f>IFERROR(__xludf.DUMMYFUNCTION("""COMPUTED_VALUE"""),199.5)</f>
        <v>199.5</v>
      </c>
      <c r="K125" s="3">
        <f>IFERROR(__xludf.DUMMYFUNCTION("""COMPUTED_VALUE"""),137.11)</f>
        <v>137.11</v>
      </c>
      <c r="L125" s="3">
        <f>IFERROR(__xludf.DUMMYFUNCTION("""COMPUTED_VALUE"""),223.45)</f>
        <v>223.45</v>
      </c>
      <c r="M125" s="3">
        <f>IFERROR(__xludf.DUMMYFUNCTION("""COMPUTED_VALUE"""),186.48)</f>
        <v>186.48</v>
      </c>
      <c r="N125" s="3">
        <f>IFERROR(__xludf.DUMMYFUNCTION("""COMPUTED_VALUE"""),76.01)</f>
        <v>76.01</v>
      </c>
      <c r="O125" s="3">
        <f>IFERROR(__xludf.DUMMYFUNCTION("""COMPUTED_VALUE"""),12.86)</f>
        <v>12.86</v>
      </c>
      <c r="P125" s="3">
        <f>IFERROR(__xludf.DUMMYFUNCTION("""COMPUTED_VALUE"""),445.06)</f>
        <v>445.06</v>
      </c>
      <c r="Q125" s="3">
        <f>IFERROR(__xludf.DUMMYFUNCTION("""COMPUTED_VALUE"""),56.68)</f>
        <v>56.68</v>
      </c>
      <c r="R125" s="3">
        <f>IFERROR(__xludf.DUMMYFUNCTION("""COMPUTED_VALUE"""),176.93)</f>
        <v>176.93</v>
      </c>
      <c r="S125" s="3">
        <f>IFERROR(__xludf.DUMMYFUNCTION("""COMPUTED_VALUE"""),85.54)</f>
        <v>85.54</v>
      </c>
      <c r="T125" s="3">
        <f>IFERROR(__xludf.DUMMYFUNCTION("""COMPUTED_VALUE"""),73.9)</f>
        <v>73.9</v>
      </c>
      <c r="U125" s="3">
        <f>IFERROR(__xludf.DUMMYFUNCTION("""COMPUTED_VALUE"""),383.37)</f>
        <v>383.37</v>
      </c>
      <c r="V125" s="3">
        <f>IFERROR(__xludf.DUMMYFUNCTION("""COMPUTED_VALUE"""),51.26)</f>
        <v>51.26</v>
      </c>
      <c r="W125" s="3">
        <f>IFERROR(__xludf.DUMMYFUNCTION("""COMPUTED_VALUE"""),171.04)</f>
        <v>171.04</v>
      </c>
      <c r="X125" s="3">
        <f>IFERROR(__xludf.DUMMYFUNCTION("""COMPUTED_VALUE"""),153.41)</f>
        <v>153.41</v>
      </c>
      <c r="Y125" s="1">
        <f>IFERROR(__xludf.DUMMYFUNCTION("""COMPUTED_VALUE"""),318.39)</f>
        <v>318.39</v>
      </c>
      <c r="Z125" s="1">
        <f>IFERROR(__xludf.DUMMYFUNCTION("""COMPUTED_VALUE"""),42.22)</f>
        <v>42.22</v>
      </c>
      <c r="AA125" s="1">
        <f>IFERROR(__xludf.DUMMYFUNCTION("""COMPUTED_VALUE"""),65.37)</f>
        <v>65.37</v>
      </c>
      <c r="AB125" s="1">
        <f>IFERROR(__xludf.DUMMYFUNCTION("""COMPUTED_VALUE"""),99.82)</f>
        <v>99.82</v>
      </c>
      <c r="AC125" s="1">
        <f>IFERROR(__xludf.DUMMYFUNCTION("""COMPUTED_VALUE"""),181.02)</f>
        <v>181.02</v>
      </c>
      <c r="AD125" s="3">
        <f>IFERROR(__xludf.DUMMYFUNCTION("""COMPUTED_VALUE"""),66.77)</f>
        <v>66.77</v>
      </c>
      <c r="AE125" s="1">
        <f>IFERROR(__xludf.DUMMYFUNCTION("""COMPUTED_VALUE"""),428.0)</f>
        <v>428</v>
      </c>
      <c r="AF125" s="1">
        <f>IFERROR(__xludf.DUMMYFUNCTION("""COMPUTED_VALUE"""),61.51)</f>
        <v>61.51</v>
      </c>
      <c r="AG125" s="1">
        <f>IFERROR(__xludf.DUMMYFUNCTION("""COMPUTED_VALUE"""),118.96)</f>
        <v>118.96</v>
      </c>
      <c r="AH125" s="3">
        <f>IFERROR(__xludf.DUMMYFUNCTION("""COMPUTED_VALUE"""),275.42)</f>
        <v>275.42</v>
      </c>
      <c r="AI125" s="1">
        <f>IFERROR(__xludf.DUMMYFUNCTION("""COMPUTED_VALUE"""),441.0)</f>
        <v>441</v>
      </c>
      <c r="AJ125" s="1">
        <f>IFERROR(__xludf.DUMMYFUNCTION("""COMPUTED_VALUE"""),296.65)</f>
        <v>296.65</v>
      </c>
      <c r="AK125" s="3">
        <f>IFERROR(__xludf.DUMMYFUNCTION("""COMPUTED_VALUE"""),53.7)</f>
        <v>53.7</v>
      </c>
      <c r="AL125" s="1">
        <f>IFERROR(__xludf.DUMMYFUNCTION("""COMPUTED_VALUE"""),90.22)</f>
        <v>90.22</v>
      </c>
      <c r="AM125" s="1">
        <f>IFERROR(__xludf.DUMMYFUNCTION("""COMPUTED_VALUE"""),526.96)</f>
        <v>526.96</v>
      </c>
      <c r="AN125" s="1">
        <f>IFERROR(__xludf.DUMMYFUNCTION("""COMPUTED_VALUE"""),400.09)</f>
        <v>400.09</v>
      </c>
      <c r="AO125" s="1">
        <f>IFERROR(__xludf.DUMMYFUNCTION("""COMPUTED_VALUE"""),120.32)</f>
        <v>120.32</v>
      </c>
      <c r="AP125" s="1">
        <f>IFERROR(__xludf.DUMMYFUNCTION("""COMPUTED_VALUE"""),157.85)</f>
        <v>157.85</v>
      </c>
      <c r="AQ125" s="1">
        <f>IFERROR(__xludf.DUMMYFUNCTION("""COMPUTED_VALUE"""),515.17)</f>
        <v>515.17</v>
      </c>
      <c r="AR125" s="3">
        <f>IFERROR(__xludf.DUMMYFUNCTION("""COMPUTED_VALUE"""),221.49)</f>
        <v>221.49</v>
      </c>
      <c r="AS125" s="3">
        <f>IFERROR(__xludf.DUMMYFUNCTION("""COMPUTED_VALUE"""),546.75)</f>
        <v>546.75</v>
      </c>
      <c r="AT125" s="3">
        <f>IFERROR(__xludf.DUMMYFUNCTION("""COMPUTED_VALUE"""),319.23)</f>
        <v>319.23</v>
      </c>
      <c r="AU125" s="1">
        <f>IFERROR(__xludf.DUMMYFUNCTION("""COMPUTED_VALUE"""),29.99)</f>
        <v>29.99</v>
      </c>
      <c r="AV125" s="1">
        <f>IFERROR(__xludf.DUMMYFUNCTION("""COMPUTED_VALUE"""),89.68)</f>
        <v>89.68</v>
      </c>
      <c r="AW125" s="1">
        <f>IFERROR(__xludf.DUMMYFUNCTION("""COMPUTED_VALUE"""),78.15)</f>
        <v>78.15</v>
      </c>
      <c r="AX125" s="1">
        <f>IFERROR(__xludf.DUMMYFUNCTION("""COMPUTED_VALUE"""),18.61)</f>
        <v>18.61</v>
      </c>
      <c r="AY125" s="1">
        <f>IFERROR(__xludf.DUMMYFUNCTION("""COMPUTED_VALUE"""),411.46)</f>
        <v>411.46</v>
      </c>
      <c r="AZ125" s="3">
        <f>IFERROR(__xludf.DUMMYFUNCTION("""COMPUTED_VALUE"""),78.65)</f>
        <v>78.65</v>
      </c>
      <c r="BA125" s="3">
        <f>IFERROR(__xludf.DUMMYFUNCTION("""COMPUTED_VALUE"""),91.25)</f>
        <v>91.25</v>
      </c>
      <c r="BB125" s="3">
        <f>IFERROR(__xludf.DUMMYFUNCTION("""COMPUTED_VALUE"""),139.91)</f>
        <v>139.91</v>
      </c>
      <c r="BC125" s="1">
        <f>IFERROR(__xludf.DUMMYFUNCTION("""COMPUTED_VALUE"""),100.16)</f>
        <v>100.16</v>
      </c>
      <c r="BD125" s="3">
        <f>IFERROR(__xludf.DUMMYFUNCTION("""COMPUTED_VALUE"""),47.88)</f>
        <v>47.88</v>
      </c>
      <c r="BE125" s="3">
        <f>IFERROR(__xludf.DUMMYFUNCTION("""COMPUTED_VALUE"""),51.13)</f>
        <v>51.13</v>
      </c>
      <c r="BF125" s="1">
        <f>IFERROR(__xludf.DUMMYFUNCTION("""COMPUTED_VALUE"""),79.25)</f>
        <v>79.25</v>
      </c>
      <c r="BG125" s="1">
        <f>IFERROR(__xludf.DUMMYFUNCTION("""COMPUTED_VALUE"""),27.99)</f>
        <v>27.99</v>
      </c>
      <c r="BH125" s="1">
        <f>IFERROR(__xludf.DUMMYFUNCTION("""COMPUTED_VALUE"""),118.98)</f>
        <v>118.98</v>
      </c>
      <c r="BI125" s="1">
        <f>IFERROR(__xludf.DUMMYFUNCTION("""COMPUTED_VALUE"""),56.75)</f>
        <v>56.75</v>
      </c>
      <c r="BJ125" s="1">
        <f>IFERROR(__xludf.DUMMYFUNCTION("""COMPUTED_VALUE"""),227.11)</f>
        <v>227.11</v>
      </c>
      <c r="BK125" s="1">
        <f>IFERROR(__xludf.DUMMYFUNCTION("""COMPUTED_VALUE"""),560.79)</f>
        <v>560.79</v>
      </c>
      <c r="BL125" s="1">
        <f>IFERROR(__xludf.DUMMYFUNCTION("""COMPUTED_VALUE"""),174.73)</f>
        <v>174.73</v>
      </c>
      <c r="BM125" s="1">
        <f>IFERROR(__xludf.DUMMYFUNCTION("""COMPUTED_VALUE"""),83.0)</f>
        <v>83</v>
      </c>
      <c r="BN125" s="3">
        <f>IFERROR(__xludf.DUMMYFUNCTION("""COMPUTED_VALUE"""),8.86)</f>
        <v>8.86</v>
      </c>
      <c r="BO125" s="1">
        <f>IFERROR(__xludf.DUMMYFUNCTION("""COMPUTED_VALUE"""),233.87)</f>
        <v>233.87</v>
      </c>
      <c r="BP125" s="1">
        <f>IFERROR(__xludf.DUMMYFUNCTION("""COMPUTED_VALUE"""),567.03)</f>
        <v>567.03</v>
      </c>
      <c r="BQ125" s="36">
        <f>IFERROR(__xludf.DUMMYFUNCTION("""COMPUTED_VALUE"""),48.72)</f>
        <v>48.72</v>
      </c>
      <c r="BR125" s="1">
        <f>IFERROR(__xludf.DUMMYFUNCTION("""COMPUTED_VALUE"""),11.61)</f>
        <v>11.61</v>
      </c>
      <c r="BS125" s="3">
        <f>IFERROR(__xludf.DUMMYFUNCTION("""COMPUTED_VALUE"""),215.88)</f>
        <v>215.88</v>
      </c>
      <c r="BT125" s="1">
        <f>IFERROR(__xludf.DUMMYFUNCTION("""COMPUTED_VALUE"""),96.63)</f>
        <v>96.63</v>
      </c>
      <c r="BU125" s="3">
        <v>1.0</v>
      </c>
    </row>
    <row r="126">
      <c r="A126" s="25">
        <f>IFERROR(__xludf.DUMMYFUNCTION("""COMPUTED_VALUE"""),45602.66666666667)</f>
        <v>45602.66667</v>
      </c>
      <c r="B126" s="29">
        <f>'Master Scratch Work'!B125</f>
        <v>1334078.3</v>
      </c>
      <c r="C126" s="15">
        <f>IFERROR(__xludf.DUMMYFUNCTION("""COMPUTED_VALUE"""),5929.04)</f>
        <v>5929.04</v>
      </c>
      <c r="D126" s="15">
        <f>IFERROR(__xludf.DUMMYFUNCTION("""COMPUTED_VALUE"""),18983.47)</f>
        <v>18983.47</v>
      </c>
      <c r="E126" s="15">
        <f>IFERROR(__xludf.DUMMYFUNCTION("""COMPUTED_VALUE"""),43729.93)</f>
        <v>43729.93</v>
      </c>
      <c r="F126" s="15">
        <f>IFERROR(__xludf.DUMMYFUNCTION("""COMPUTED_VALUE"""),2392.92)</f>
        <v>2392.92</v>
      </c>
      <c r="G126" s="3">
        <f>IFERROR(__xludf.DUMMYFUNCTION("""COMPUTED_VALUE"""),591.04)</f>
        <v>591.04</v>
      </c>
      <c r="H126" s="3">
        <f>IFERROR(__xludf.DUMMYFUNCTION("""COMPUTED_VALUE"""),505.58)</f>
        <v>505.58</v>
      </c>
      <c r="I126" s="3">
        <f>IFERROR(__xludf.DUMMYFUNCTION("""COMPUTED_VALUE"""),504.83)</f>
        <v>504.83</v>
      </c>
      <c r="J126" s="3">
        <f>IFERROR(__xludf.DUMMYFUNCTION("""COMPUTED_VALUE"""),207.09)</f>
        <v>207.09</v>
      </c>
      <c r="K126" s="3">
        <f>IFERROR(__xludf.DUMMYFUNCTION("""COMPUTED_VALUE"""),133.58)</f>
        <v>133.58</v>
      </c>
      <c r="L126" s="3">
        <f>IFERROR(__xludf.DUMMYFUNCTION("""COMPUTED_VALUE"""),222.72)</f>
        <v>222.72</v>
      </c>
      <c r="M126" s="3">
        <f>IFERROR(__xludf.DUMMYFUNCTION("""COMPUTED_VALUE"""),187.52)</f>
        <v>187.52</v>
      </c>
      <c r="N126" s="3">
        <f>IFERROR(__xludf.DUMMYFUNCTION("""COMPUTED_VALUE"""),78.2)</f>
        <v>78.2</v>
      </c>
      <c r="O126" s="3">
        <f>IFERROR(__xludf.DUMMYFUNCTION("""COMPUTED_VALUE"""),13.49)</f>
        <v>13.49</v>
      </c>
      <c r="P126" s="3">
        <f>IFERROR(__xludf.DUMMYFUNCTION("""COMPUTED_VALUE"""),468.9)</f>
        <v>468.9</v>
      </c>
      <c r="Q126" s="3">
        <f>IFERROR(__xludf.DUMMYFUNCTION("""COMPUTED_VALUE"""),55.94)</f>
        <v>55.94</v>
      </c>
      <c r="R126" s="3">
        <f>IFERROR(__xludf.DUMMYFUNCTION("""COMPUTED_VALUE"""),174.4)</f>
        <v>174.4</v>
      </c>
      <c r="S126" s="3">
        <f>IFERROR(__xludf.DUMMYFUNCTION("""COMPUTED_VALUE"""),86.44)</f>
        <v>86.44</v>
      </c>
      <c r="T126" s="3">
        <f>IFERROR(__xludf.DUMMYFUNCTION("""COMPUTED_VALUE"""),75.38)</f>
        <v>75.38</v>
      </c>
      <c r="U126" s="3">
        <f>IFERROR(__xludf.DUMMYFUNCTION("""COMPUTED_VALUE"""),416.88)</f>
        <v>416.88</v>
      </c>
      <c r="V126" s="3">
        <f>IFERROR(__xludf.DUMMYFUNCTION("""COMPUTED_VALUE"""),51.21)</f>
        <v>51.21</v>
      </c>
      <c r="W126" s="3">
        <f>IFERROR(__xludf.DUMMYFUNCTION("""COMPUTED_VALUE"""),174.01)</f>
        <v>174.01</v>
      </c>
      <c r="X126" s="3">
        <f>IFERROR(__xludf.DUMMYFUNCTION("""COMPUTED_VALUE"""),157.72)</f>
        <v>157.72</v>
      </c>
      <c r="Y126" s="1">
        <f>IFERROR(__xludf.DUMMYFUNCTION("""COMPUTED_VALUE"""),315.22)</f>
        <v>315.22</v>
      </c>
      <c r="Z126" s="1">
        <f>IFERROR(__xludf.DUMMYFUNCTION("""COMPUTED_VALUE"""),48.31)</f>
        <v>48.31</v>
      </c>
      <c r="AA126" s="1">
        <f>IFERROR(__xludf.DUMMYFUNCTION("""COMPUTED_VALUE"""),63.7)</f>
        <v>63.7</v>
      </c>
      <c r="AB126" s="1">
        <f>IFERROR(__xludf.DUMMYFUNCTION("""COMPUTED_VALUE"""),98.96)</f>
        <v>98.96</v>
      </c>
      <c r="AC126" s="1">
        <f>IFERROR(__xludf.DUMMYFUNCTION("""COMPUTED_VALUE"""),173.62)</f>
        <v>173.62</v>
      </c>
      <c r="AD126" s="3">
        <f>IFERROR(__xludf.DUMMYFUNCTION("""COMPUTED_VALUE"""),62.41)</f>
        <v>62.41</v>
      </c>
      <c r="AE126" s="1">
        <f>IFERROR(__xludf.DUMMYFUNCTION("""COMPUTED_VALUE"""),441.95)</f>
        <v>441.95</v>
      </c>
      <c r="AF126" s="1">
        <f>IFERROR(__xludf.DUMMYFUNCTION("""COMPUTED_VALUE"""),61.08)</f>
        <v>61.08</v>
      </c>
      <c r="AG126" s="1">
        <f>IFERROR(__xludf.DUMMYFUNCTION("""COMPUTED_VALUE"""),121.0)</f>
        <v>121</v>
      </c>
      <c r="AH126" s="3">
        <f>IFERROR(__xludf.DUMMYFUNCTION("""COMPUTED_VALUE"""),280.06)</f>
        <v>280.06</v>
      </c>
      <c r="AI126" s="1">
        <f>IFERROR(__xludf.DUMMYFUNCTION("""COMPUTED_VALUE"""),443.0)</f>
        <v>443</v>
      </c>
      <c r="AJ126" s="1">
        <f>IFERROR(__xludf.DUMMYFUNCTION("""COMPUTED_VALUE"""),308.46)</f>
        <v>308.46</v>
      </c>
      <c r="AK126" s="3">
        <f>IFERROR(__xludf.DUMMYFUNCTION("""COMPUTED_VALUE"""),55.05)</f>
        <v>55.05</v>
      </c>
      <c r="AL126" s="1">
        <f>IFERROR(__xludf.DUMMYFUNCTION("""COMPUTED_VALUE"""),91.69)</f>
        <v>91.69</v>
      </c>
      <c r="AM126" s="1">
        <f>IFERROR(__xludf.DUMMYFUNCTION("""COMPUTED_VALUE"""),595.98)</f>
        <v>595.98</v>
      </c>
      <c r="AN126" s="1">
        <f>IFERROR(__xludf.DUMMYFUNCTION("""COMPUTED_VALUE"""),388.37)</f>
        <v>388.37</v>
      </c>
      <c r="AO126" s="1">
        <f>IFERROR(__xludf.DUMMYFUNCTION("""COMPUTED_VALUE"""),128.13)</f>
        <v>128.13</v>
      </c>
      <c r="AP126" s="1">
        <f>IFERROR(__xludf.DUMMYFUNCTION("""COMPUTED_VALUE"""),155.79)</f>
        <v>155.79</v>
      </c>
      <c r="AQ126" s="3">
        <f>IFERROR(__xludf.DUMMYFUNCTION("""COMPUTED_VALUE"""),515.55)</f>
        <v>515.55</v>
      </c>
      <c r="AR126" s="3">
        <f>IFERROR(__xludf.DUMMYFUNCTION("""COMPUTED_VALUE"""),247.06)</f>
        <v>247.06</v>
      </c>
      <c r="AS126" s="3">
        <f>IFERROR(__xludf.DUMMYFUNCTION("""COMPUTED_VALUE"""),551.82)</f>
        <v>551.82</v>
      </c>
      <c r="AT126" s="3">
        <f>IFERROR(__xludf.DUMMYFUNCTION("""COMPUTED_VALUE"""),313.14)</f>
        <v>313.14</v>
      </c>
      <c r="AU126" s="1">
        <f>IFERROR(__xludf.DUMMYFUNCTION("""COMPUTED_VALUE"""),31.3)</f>
        <v>31.3</v>
      </c>
      <c r="AV126" s="1">
        <f>IFERROR(__xludf.DUMMYFUNCTION("""COMPUTED_VALUE"""),90.11)</f>
        <v>90.11</v>
      </c>
      <c r="AW126" s="1">
        <f>IFERROR(__xludf.DUMMYFUNCTION("""COMPUTED_VALUE"""),83.25)</f>
        <v>83.25</v>
      </c>
      <c r="AX126" s="1">
        <f>IFERROR(__xludf.DUMMYFUNCTION("""COMPUTED_VALUE"""),19.68)</f>
        <v>19.68</v>
      </c>
      <c r="AY126" s="1">
        <f>IFERROR(__xludf.DUMMYFUNCTION("""COMPUTED_VALUE"""),420.18)</f>
        <v>420.18</v>
      </c>
      <c r="AZ126" s="3">
        <f>IFERROR(__xludf.DUMMYFUNCTION("""COMPUTED_VALUE"""),74.52)</f>
        <v>74.52</v>
      </c>
      <c r="BA126" s="3">
        <f>IFERROR(__xludf.DUMMYFUNCTION("""COMPUTED_VALUE"""),92.39)</f>
        <v>92.39</v>
      </c>
      <c r="BB126" s="3">
        <f>IFERROR(__xludf.DUMMYFUNCTION("""COMPUTED_VALUE"""),145.61)</f>
        <v>145.61</v>
      </c>
      <c r="BC126" s="1">
        <f>IFERROR(__xludf.DUMMYFUNCTION("""COMPUTED_VALUE"""),100.56)</f>
        <v>100.56</v>
      </c>
      <c r="BD126" s="3">
        <f>IFERROR(__xludf.DUMMYFUNCTION("""COMPUTED_VALUE"""),47.57)</f>
        <v>47.57</v>
      </c>
      <c r="BE126" s="3">
        <f>IFERROR(__xludf.DUMMYFUNCTION("""COMPUTED_VALUE"""),55.53)</f>
        <v>55.53</v>
      </c>
      <c r="BF126" s="1">
        <f>IFERROR(__xludf.DUMMYFUNCTION("""COMPUTED_VALUE"""),81.41)</f>
        <v>81.41</v>
      </c>
      <c r="BG126" s="1">
        <f>IFERROR(__xludf.DUMMYFUNCTION("""COMPUTED_VALUE"""),27.36)</f>
        <v>27.36</v>
      </c>
      <c r="BH126" s="1">
        <f>IFERROR(__xludf.DUMMYFUNCTION("""COMPUTED_VALUE"""),121.59)</f>
        <v>121.59</v>
      </c>
      <c r="BI126" s="1">
        <f>IFERROR(__xludf.DUMMYFUNCTION("""COMPUTED_VALUE"""),59.42)</f>
        <v>59.42</v>
      </c>
      <c r="BJ126" s="1">
        <f>IFERROR(__xludf.DUMMYFUNCTION("""COMPUTED_VALUE"""),232.19)</f>
        <v>232.19</v>
      </c>
      <c r="BK126" s="1">
        <f>IFERROR(__xludf.DUMMYFUNCTION("""COMPUTED_VALUE"""),559.68)</f>
        <v>559.68</v>
      </c>
      <c r="BL126" s="1">
        <f>IFERROR(__xludf.DUMMYFUNCTION("""COMPUTED_VALUE"""),175.15)</f>
        <v>175.15</v>
      </c>
      <c r="BM126" s="1">
        <f>IFERROR(__xludf.DUMMYFUNCTION("""COMPUTED_VALUE"""),86.35)</f>
        <v>86.35</v>
      </c>
      <c r="BN126" s="3">
        <f>IFERROR(__xludf.DUMMYFUNCTION("""COMPUTED_VALUE"""),8.75)</f>
        <v>8.75</v>
      </c>
      <c r="BO126" s="1">
        <f>IFERROR(__xludf.DUMMYFUNCTION("""COMPUTED_VALUE"""),248.49)</f>
        <v>248.49</v>
      </c>
      <c r="BP126" s="1">
        <f>IFERROR(__xludf.DUMMYFUNCTION("""COMPUTED_VALUE"""),596.69)</f>
        <v>596.69</v>
      </c>
      <c r="BQ126" s="36">
        <f>IFERROR(__xludf.DUMMYFUNCTION("""COMPUTED_VALUE"""),48.82)</f>
        <v>48.82</v>
      </c>
      <c r="BR126" s="1">
        <f>IFERROR(__xludf.DUMMYFUNCTION("""COMPUTED_VALUE"""),11.61)</f>
        <v>11.61</v>
      </c>
      <c r="BS126" s="3">
        <f>IFERROR(__xludf.DUMMYFUNCTION("""COMPUTED_VALUE"""),218.48)</f>
        <v>218.48</v>
      </c>
      <c r="BT126" s="1">
        <f>IFERROR(__xludf.DUMMYFUNCTION("""COMPUTED_VALUE"""),98.89)</f>
        <v>98.89</v>
      </c>
      <c r="BU126" s="3">
        <v>1.0</v>
      </c>
    </row>
    <row r="127">
      <c r="A127" s="25">
        <f>IFERROR(__xludf.DUMMYFUNCTION("""COMPUTED_VALUE"""),45603.66666666667)</f>
        <v>45603.66667</v>
      </c>
      <c r="B127" s="29">
        <f>'Master Scratch Work'!B126</f>
        <v>1337177.03</v>
      </c>
      <c r="C127" s="15">
        <f>IFERROR(__xludf.DUMMYFUNCTION("""COMPUTED_VALUE"""),5973.1)</f>
        <v>5973.1</v>
      </c>
      <c r="D127" s="15">
        <f>IFERROR(__xludf.DUMMYFUNCTION("""COMPUTED_VALUE"""),19269.46)</f>
        <v>19269.46</v>
      </c>
      <c r="E127" s="15">
        <f>IFERROR(__xludf.DUMMYFUNCTION("""COMPUTED_VALUE"""),43729.34)</f>
        <v>43729.34</v>
      </c>
      <c r="F127" s="15">
        <f>IFERROR(__xludf.DUMMYFUNCTION("""COMPUTED_VALUE"""),2382.69)</f>
        <v>2382.69</v>
      </c>
      <c r="G127" s="3">
        <f>IFERROR(__xludf.DUMMYFUNCTION("""COMPUTED_VALUE"""),595.61)</f>
        <v>595.61</v>
      </c>
      <c r="H127" s="3">
        <f>IFERROR(__xludf.DUMMYFUNCTION("""COMPUTED_VALUE"""),513.54)</f>
        <v>513.54</v>
      </c>
      <c r="I127" s="3">
        <f>IFERROR(__xludf.DUMMYFUNCTION("""COMPUTED_VALUE"""),500.92)</f>
        <v>500.92</v>
      </c>
      <c r="J127" s="3">
        <f>IFERROR(__xludf.DUMMYFUNCTION("""COMPUTED_VALUE"""),210.05)</f>
        <v>210.05</v>
      </c>
      <c r="K127" s="3">
        <f>IFERROR(__xludf.DUMMYFUNCTION("""COMPUTED_VALUE"""),132.84)</f>
        <v>132.84</v>
      </c>
      <c r="L127" s="3">
        <f>IFERROR(__xludf.DUMMYFUNCTION("""COMPUTED_VALUE"""),227.48)</f>
        <v>227.48</v>
      </c>
      <c r="M127" s="3">
        <f>IFERROR(__xludf.DUMMYFUNCTION("""COMPUTED_VALUE"""),194.09)</f>
        <v>194.09</v>
      </c>
      <c r="N127" s="3">
        <f>IFERROR(__xludf.DUMMYFUNCTION("""COMPUTED_VALUE"""),77.69)</f>
        <v>77.69</v>
      </c>
      <c r="O127" s="3">
        <f>IFERROR(__xludf.DUMMYFUNCTION("""COMPUTED_VALUE"""),13.27)</f>
        <v>13.27</v>
      </c>
      <c r="P127" s="3">
        <f>IFERROR(__xludf.DUMMYFUNCTION("""COMPUTED_VALUE"""),460.13)</f>
        <v>460.13</v>
      </c>
      <c r="Q127" s="3">
        <f>IFERROR(__xludf.DUMMYFUNCTION("""COMPUTED_VALUE"""),57.75)</f>
        <v>57.75</v>
      </c>
      <c r="R127" s="3">
        <f>IFERROR(__xludf.DUMMYFUNCTION("""COMPUTED_VALUE"""),173.92)</f>
        <v>173.92</v>
      </c>
      <c r="S127" s="3">
        <f>IFERROR(__xludf.DUMMYFUNCTION("""COMPUTED_VALUE"""),86.88)</f>
        <v>86.88</v>
      </c>
      <c r="T127" s="3">
        <f>IFERROR(__xludf.DUMMYFUNCTION("""COMPUTED_VALUE"""),75.13)</f>
        <v>75.13</v>
      </c>
      <c r="U127" s="3">
        <f>IFERROR(__xludf.DUMMYFUNCTION("""COMPUTED_VALUE"""),408.21)</f>
        <v>408.21</v>
      </c>
      <c r="V127" s="3">
        <f>IFERROR(__xludf.DUMMYFUNCTION("""COMPUTED_VALUE"""),53.58)</f>
        <v>53.58</v>
      </c>
      <c r="W127" s="3">
        <f>IFERROR(__xludf.DUMMYFUNCTION("""COMPUTED_VALUE"""),176.87)</f>
        <v>176.87</v>
      </c>
      <c r="X127" s="3">
        <f>IFERROR(__xludf.DUMMYFUNCTION("""COMPUTED_VALUE"""),156.77)</f>
        <v>156.77</v>
      </c>
      <c r="Y127" s="1">
        <f>IFERROR(__xludf.DUMMYFUNCTION("""COMPUTED_VALUE"""),319.49)</f>
        <v>319.49</v>
      </c>
      <c r="Z127" s="1">
        <f>IFERROR(__xludf.DUMMYFUNCTION("""COMPUTED_VALUE"""),46.03)</f>
        <v>46.03</v>
      </c>
      <c r="AA127" s="1">
        <f>IFERROR(__xludf.DUMMYFUNCTION("""COMPUTED_VALUE"""),63.66)</f>
        <v>63.66</v>
      </c>
      <c r="AB127" s="1">
        <f>IFERROR(__xludf.DUMMYFUNCTION("""COMPUTED_VALUE"""),97.58)</f>
        <v>97.58</v>
      </c>
      <c r="AC127" s="1">
        <f>IFERROR(__xludf.DUMMYFUNCTION("""COMPUTED_VALUE"""),178.47)</f>
        <v>178.47</v>
      </c>
      <c r="AD127" s="3">
        <f>IFERROR(__xludf.DUMMYFUNCTION("""COMPUTED_VALUE"""),63.54)</f>
        <v>63.54</v>
      </c>
      <c r="AE127" s="1">
        <f>IFERROR(__xludf.DUMMYFUNCTION("""COMPUTED_VALUE"""),448.44)</f>
        <v>448.44</v>
      </c>
      <c r="AF127" s="1">
        <f>IFERROR(__xludf.DUMMYFUNCTION("""COMPUTED_VALUE"""),62.02)</f>
        <v>62.02</v>
      </c>
      <c r="AG127" s="1">
        <f>IFERROR(__xludf.DUMMYFUNCTION("""COMPUTED_VALUE"""),121.15)</f>
        <v>121.15</v>
      </c>
      <c r="AH127" s="3">
        <f>IFERROR(__xludf.DUMMYFUNCTION("""COMPUTED_VALUE"""),283.21)</f>
        <v>283.21</v>
      </c>
      <c r="AI127" s="1">
        <f>IFERROR(__xludf.DUMMYFUNCTION("""COMPUTED_VALUE"""),452.66)</f>
        <v>452.66</v>
      </c>
      <c r="AJ127" s="1">
        <f>IFERROR(__xludf.DUMMYFUNCTION("""COMPUTED_VALUE"""),306.0)</f>
        <v>306</v>
      </c>
      <c r="AK127" s="3">
        <f>IFERROR(__xludf.DUMMYFUNCTION("""COMPUTED_VALUE"""),55.39)</f>
        <v>55.39</v>
      </c>
      <c r="AL127" s="1">
        <f>IFERROR(__xludf.DUMMYFUNCTION("""COMPUTED_VALUE"""),97.9)</f>
        <v>97.9</v>
      </c>
      <c r="AM127" s="1">
        <f>IFERROR(__xludf.DUMMYFUNCTION("""COMPUTED_VALUE"""),582.17)</f>
        <v>582.17</v>
      </c>
      <c r="AN127" s="1">
        <f>IFERROR(__xludf.DUMMYFUNCTION("""COMPUTED_VALUE"""),399.44)</f>
        <v>399.44</v>
      </c>
      <c r="AO127" s="1">
        <f>IFERROR(__xludf.DUMMYFUNCTION("""COMPUTED_VALUE"""),127.66)</f>
        <v>127.66</v>
      </c>
      <c r="AP127" s="1">
        <f>IFERROR(__xludf.DUMMYFUNCTION("""COMPUTED_VALUE"""),156.11)</f>
        <v>156.11</v>
      </c>
      <c r="AQ127" s="3">
        <f>IFERROR(__xludf.DUMMYFUNCTION("""COMPUTED_VALUE"""),524.28)</f>
        <v>524.28</v>
      </c>
      <c r="AR127" s="3">
        <f>IFERROR(__xludf.DUMMYFUNCTION("""COMPUTED_VALUE"""),236.38)</f>
        <v>236.38</v>
      </c>
      <c r="AS127" s="3">
        <f>IFERROR(__xludf.DUMMYFUNCTION("""COMPUTED_VALUE"""),551.84)</f>
        <v>551.84</v>
      </c>
      <c r="AT127" s="3">
        <f>IFERROR(__xludf.DUMMYFUNCTION("""COMPUTED_VALUE"""),315.3)</f>
        <v>315.3</v>
      </c>
      <c r="AU127" s="1">
        <f>IFERROR(__xludf.DUMMYFUNCTION("""COMPUTED_VALUE"""),32.29)</f>
        <v>32.29</v>
      </c>
      <c r="AV127" s="1">
        <f>IFERROR(__xludf.DUMMYFUNCTION("""COMPUTED_VALUE"""),88.12)</f>
        <v>88.12</v>
      </c>
      <c r="AW127" s="1">
        <f>IFERROR(__xludf.DUMMYFUNCTION("""COMPUTED_VALUE"""),81.02)</f>
        <v>81.02</v>
      </c>
      <c r="AX127" s="1">
        <f>IFERROR(__xludf.DUMMYFUNCTION("""COMPUTED_VALUE"""),19.98)</f>
        <v>19.98</v>
      </c>
      <c r="AY127" s="1">
        <f>IFERROR(__xludf.DUMMYFUNCTION("""COMPUTED_VALUE"""),425.43)</f>
        <v>425.43</v>
      </c>
      <c r="AZ127" s="3">
        <f>IFERROR(__xludf.DUMMYFUNCTION("""COMPUTED_VALUE"""),74.62)</f>
        <v>74.62</v>
      </c>
      <c r="BA127" s="3">
        <f>IFERROR(__xludf.DUMMYFUNCTION("""COMPUTED_VALUE"""),96.4)</f>
        <v>96.4</v>
      </c>
      <c r="BB127" s="3">
        <f>IFERROR(__xludf.DUMMYFUNCTION("""COMPUTED_VALUE"""),148.88)</f>
        <v>148.88</v>
      </c>
      <c r="BC127" s="1">
        <f>IFERROR(__xludf.DUMMYFUNCTION("""COMPUTED_VALUE"""),100.94)</f>
        <v>100.94</v>
      </c>
      <c r="BD127" s="3">
        <f>IFERROR(__xludf.DUMMYFUNCTION("""COMPUTED_VALUE"""),50.38)</f>
        <v>50.38</v>
      </c>
      <c r="BE127" s="3">
        <f>IFERROR(__xludf.DUMMYFUNCTION("""COMPUTED_VALUE"""),55.88)</f>
        <v>55.88</v>
      </c>
      <c r="BF127" s="1">
        <f>IFERROR(__xludf.DUMMYFUNCTION("""COMPUTED_VALUE"""),81.35)</f>
        <v>81.35</v>
      </c>
      <c r="BG127" s="1">
        <f>IFERROR(__xludf.DUMMYFUNCTION("""COMPUTED_VALUE"""),27.46)</f>
        <v>27.46</v>
      </c>
      <c r="BH127" s="1">
        <f>IFERROR(__xludf.DUMMYFUNCTION("""COMPUTED_VALUE"""),120.08)</f>
        <v>120.08</v>
      </c>
      <c r="BI127" s="1">
        <f>IFERROR(__xludf.DUMMYFUNCTION("""COMPUTED_VALUE"""),59.1)</f>
        <v>59.1</v>
      </c>
      <c r="BJ127" s="1">
        <f>IFERROR(__xludf.DUMMYFUNCTION("""COMPUTED_VALUE"""),231.49)</f>
        <v>231.49</v>
      </c>
      <c r="BK127" s="1">
        <f>IFERROR(__xludf.DUMMYFUNCTION("""COMPUTED_VALUE"""),555.89)</f>
        <v>555.89</v>
      </c>
      <c r="BL127" s="1">
        <f>IFERROR(__xludf.DUMMYFUNCTION("""COMPUTED_VALUE"""),178.45)</f>
        <v>178.45</v>
      </c>
      <c r="BM127" s="1">
        <f>IFERROR(__xludf.DUMMYFUNCTION("""COMPUTED_VALUE"""),85.5)</f>
        <v>85.5</v>
      </c>
      <c r="BN127" s="3">
        <f>IFERROR(__xludf.DUMMYFUNCTION("""COMPUTED_VALUE"""),11.13)</f>
        <v>11.13</v>
      </c>
      <c r="BO127" s="1">
        <f>IFERROR(__xludf.DUMMYFUNCTION("""COMPUTED_VALUE"""),242.56)</f>
        <v>242.56</v>
      </c>
      <c r="BP127" s="1">
        <f>IFERROR(__xludf.DUMMYFUNCTION("""COMPUTED_VALUE"""),605.45)</f>
        <v>605.45</v>
      </c>
      <c r="BQ127" s="36">
        <f>IFERROR(__xludf.DUMMYFUNCTION("""COMPUTED_VALUE"""),48.89)</f>
        <v>48.89</v>
      </c>
      <c r="BR127" s="1">
        <f>IFERROR(__xludf.DUMMYFUNCTION("""COMPUTED_VALUE"""),13.18)</f>
        <v>13.18</v>
      </c>
      <c r="BS127" s="3">
        <f>IFERROR(__xludf.DUMMYFUNCTION("""COMPUTED_VALUE"""),220.44)</f>
        <v>220.44</v>
      </c>
      <c r="BT127" s="1">
        <f>IFERROR(__xludf.DUMMYFUNCTION("""COMPUTED_VALUE"""),98.93)</f>
        <v>98.93</v>
      </c>
      <c r="BU127" s="3">
        <v>1.0</v>
      </c>
    </row>
    <row r="128">
      <c r="A128" s="25">
        <f>IFERROR(__xludf.DUMMYFUNCTION("""COMPUTED_VALUE"""),45604.66666666667)</f>
        <v>45604.66667</v>
      </c>
      <c r="B128" s="29">
        <f>'Master Scratch Work'!B127</f>
        <v>1337570.55</v>
      </c>
      <c r="C128" s="15">
        <f>IFERROR(__xludf.DUMMYFUNCTION("""COMPUTED_VALUE"""),5995.54)</f>
        <v>5995.54</v>
      </c>
      <c r="D128" s="15">
        <f>IFERROR(__xludf.DUMMYFUNCTION("""COMPUTED_VALUE"""),19286.78)</f>
        <v>19286.78</v>
      </c>
      <c r="E128" s="15">
        <f>IFERROR(__xludf.DUMMYFUNCTION("""COMPUTED_VALUE"""),43988.99)</f>
        <v>43988.99</v>
      </c>
      <c r="F128" s="15">
        <f>IFERROR(__xludf.DUMMYFUNCTION("""COMPUTED_VALUE"""),2399.64)</f>
        <v>2399.64</v>
      </c>
      <c r="G128" s="3">
        <f>IFERROR(__xludf.DUMMYFUNCTION("""COMPUTED_VALUE"""),598.19)</f>
        <v>598.19</v>
      </c>
      <c r="H128" s="3">
        <f>IFERROR(__xludf.DUMMYFUNCTION("""COMPUTED_VALUE"""),514.14)</f>
        <v>514.14</v>
      </c>
      <c r="I128" s="3">
        <f>IFERROR(__xludf.DUMMYFUNCTION("""COMPUTED_VALUE"""),494.68)</f>
        <v>494.68</v>
      </c>
      <c r="J128" s="3">
        <f>IFERROR(__xludf.DUMMYFUNCTION("""COMPUTED_VALUE"""),208.18)</f>
        <v>208.18</v>
      </c>
      <c r="K128" s="3">
        <f>IFERROR(__xludf.DUMMYFUNCTION("""COMPUTED_VALUE"""),136.09)</f>
        <v>136.09</v>
      </c>
      <c r="L128" s="3">
        <f>IFERROR(__xludf.DUMMYFUNCTION("""COMPUTED_VALUE"""),226.96)</f>
        <v>226.96</v>
      </c>
      <c r="M128" s="3">
        <f>IFERROR(__xludf.DUMMYFUNCTION("""COMPUTED_VALUE"""),192.03)</f>
        <v>192.03</v>
      </c>
      <c r="N128" s="3">
        <f>IFERROR(__xludf.DUMMYFUNCTION("""COMPUTED_VALUE"""),77.06)</f>
        <v>77.06</v>
      </c>
      <c r="O128" s="3">
        <f>IFERROR(__xludf.DUMMYFUNCTION("""COMPUTED_VALUE"""),13.09)</f>
        <v>13.09</v>
      </c>
      <c r="P128" s="3">
        <f>IFERROR(__xludf.DUMMYFUNCTION("""COMPUTED_VALUE"""),463.41)</f>
        <v>463.41</v>
      </c>
      <c r="Q128" s="3">
        <f>IFERROR(__xludf.DUMMYFUNCTION("""COMPUTED_VALUE"""),55.19)</f>
        <v>55.19</v>
      </c>
      <c r="R128" s="3">
        <f>IFERROR(__xludf.DUMMYFUNCTION("""COMPUTED_VALUE"""),173.04)</f>
        <v>173.04</v>
      </c>
      <c r="S128" s="3">
        <f>IFERROR(__xludf.DUMMYFUNCTION("""COMPUTED_VALUE"""),88.25)</f>
        <v>88.25</v>
      </c>
      <c r="T128" s="3">
        <f>IFERROR(__xludf.DUMMYFUNCTION("""COMPUTED_VALUE"""),76.68)</f>
        <v>76.68</v>
      </c>
      <c r="U128" s="3">
        <f>IFERROR(__xludf.DUMMYFUNCTION("""COMPUTED_VALUE"""),393.37)</f>
        <v>393.37</v>
      </c>
      <c r="V128" s="3">
        <f>IFERROR(__xludf.DUMMYFUNCTION("""COMPUTED_VALUE"""),52.54)</f>
        <v>52.54</v>
      </c>
      <c r="W128" s="3">
        <f>IFERROR(__xludf.DUMMYFUNCTION("""COMPUTED_VALUE"""),176.03)</f>
        <v>176.03</v>
      </c>
      <c r="X128" s="3">
        <f>IFERROR(__xludf.DUMMYFUNCTION("""COMPUTED_VALUE"""),156.93)</f>
        <v>156.93</v>
      </c>
      <c r="Y128" s="1">
        <f>IFERROR(__xludf.DUMMYFUNCTION("""COMPUTED_VALUE"""),319.77)</f>
        <v>319.77</v>
      </c>
      <c r="Z128" s="1">
        <f>IFERROR(__xludf.DUMMYFUNCTION("""COMPUTED_VALUE"""),45.81)</f>
        <v>45.81</v>
      </c>
      <c r="AA128" s="1">
        <f>IFERROR(__xludf.DUMMYFUNCTION("""COMPUTED_VALUE"""),63.92)</f>
        <v>63.92</v>
      </c>
      <c r="AB128" s="1">
        <f>IFERROR(__xludf.DUMMYFUNCTION("""COMPUTED_VALUE"""),98.13)</f>
        <v>98.13</v>
      </c>
      <c r="AC128" s="1">
        <f>IFERROR(__xludf.DUMMYFUNCTION("""COMPUTED_VALUE"""),181.98)</f>
        <v>181.98</v>
      </c>
      <c r="AD128" s="3">
        <f>IFERROR(__xludf.DUMMYFUNCTION("""COMPUTED_VALUE"""),61.41)</f>
        <v>61.41</v>
      </c>
      <c r="AE128" s="1">
        <f>IFERROR(__xludf.DUMMYFUNCTION("""COMPUTED_VALUE"""),459.73)</f>
        <v>459.73</v>
      </c>
      <c r="AF128" s="1">
        <f>IFERROR(__xludf.DUMMYFUNCTION("""COMPUTED_VALUE"""),61.89)</f>
        <v>61.89</v>
      </c>
      <c r="AG128" s="1">
        <f>IFERROR(__xludf.DUMMYFUNCTION("""COMPUTED_VALUE"""),121.11)</f>
        <v>121.11</v>
      </c>
      <c r="AH128" s="3">
        <f>IFERROR(__xludf.DUMMYFUNCTION("""COMPUTED_VALUE"""),286.28)</f>
        <v>286.28</v>
      </c>
      <c r="AI128" s="1">
        <f>IFERROR(__xludf.DUMMYFUNCTION("""COMPUTED_VALUE"""),454.46)</f>
        <v>454.46</v>
      </c>
      <c r="AJ128" s="1">
        <f>IFERROR(__xludf.DUMMYFUNCTION("""COMPUTED_VALUE"""),309.47)</f>
        <v>309.47</v>
      </c>
      <c r="AK128" s="3">
        <f>IFERROR(__xludf.DUMMYFUNCTION("""COMPUTED_VALUE"""),55.58)</f>
        <v>55.58</v>
      </c>
      <c r="AL128" s="1">
        <f>IFERROR(__xludf.DUMMYFUNCTION("""COMPUTED_VALUE"""),96.57)</f>
        <v>96.57</v>
      </c>
      <c r="AM128" s="1">
        <f>IFERROR(__xludf.DUMMYFUNCTION("""COMPUTED_VALUE"""),589.26)</f>
        <v>589.26</v>
      </c>
      <c r="AN128" s="1">
        <f>IFERROR(__xludf.DUMMYFUNCTION("""COMPUTED_VALUE"""),405.9)</f>
        <v>405.9</v>
      </c>
      <c r="AO128" s="1">
        <f>IFERROR(__xludf.DUMMYFUNCTION("""COMPUTED_VALUE"""),127.43)</f>
        <v>127.43</v>
      </c>
      <c r="AP128" s="1">
        <f>IFERROR(__xludf.DUMMYFUNCTION("""COMPUTED_VALUE"""),156.42)</f>
        <v>156.42</v>
      </c>
      <c r="AQ128" s="3">
        <f>IFERROR(__xludf.DUMMYFUNCTION("""COMPUTED_VALUE"""),536.45)</f>
        <v>536.45</v>
      </c>
      <c r="AR128" s="3">
        <f>IFERROR(__xludf.DUMMYFUNCTION("""COMPUTED_VALUE"""),236.98)</f>
        <v>236.98</v>
      </c>
      <c r="AS128" s="3">
        <f>IFERROR(__xludf.DUMMYFUNCTION("""COMPUTED_VALUE"""),564.56)</f>
        <v>564.56</v>
      </c>
      <c r="AT128" s="3">
        <f>IFERROR(__xludf.DUMMYFUNCTION("""COMPUTED_VALUE"""),308.53)</f>
        <v>308.53</v>
      </c>
      <c r="AU128" s="1">
        <f>IFERROR(__xludf.DUMMYFUNCTION("""COMPUTED_VALUE"""),31.79)</f>
        <v>31.79</v>
      </c>
      <c r="AV128" s="1">
        <f>IFERROR(__xludf.DUMMYFUNCTION("""COMPUTED_VALUE"""),87.72)</f>
        <v>87.72</v>
      </c>
      <c r="AW128" s="1">
        <f>IFERROR(__xludf.DUMMYFUNCTION("""COMPUTED_VALUE"""),81.02)</f>
        <v>81.02</v>
      </c>
      <c r="AX128" s="1">
        <f>IFERROR(__xludf.DUMMYFUNCTION("""COMPUTED_VALUE"""),19.5)</f>
        <v>19.5</v>
      </c>
      <c r="AY128" s="1">
        <f>IFERROR(__xludf.DUMMYFUNCTION("""COMPUTED_VALUE"""),422.54)</f>
        <v>422.54</v>
      </c>
      <c r="AZ128" s="3">
        <f>IFERROR(__xludf.DUMMYFUNCTION("""COMPUTED_VALUE"""),76.97)</f>
        <v>76.97</v>
      </c>
      <c r="BA128" s="3">
        <f>IFERROR(__xludf.DUMMYFUNCTION("""COMPUTED_VALUE"""),96.14)</f>
        <v>96.14</v>
      </c>
      <c r="BB128" s="3">
        <f>IFERROR(__xludf.DUMMYFUNCTION("""COMPUTED_VALUE"""),147.63)</f>
        <v>147.63</v>
      </c>
      <c r="BC128" s="1">
        <f>IFERROR(__xludf.DUMMYFUNCTION("""COMPUTED_VALUE"""),100.03)</f>
        <v>100.03</v>
      </c>
      <c r="BD128" s="3">
        <f>IFERROR(__xludf.DUMMYFUNCTION("""COMPUTED_VALUE"""),51.49)</f>
        <v>51.49</v>
      </c>
      <c r="BE128" s="3">
        <f>IFERROR(__xludf.DUMMYFUNCTION("""COMPUTED_VALUE"""),58.39)</f>
        <v>58.39</v>
      </c>
      <c r="BF128" s="1">
        <f>IFERROR(__xludf.DUMMYFUNCTION("""COMPUTED_VALUE"""),83.01)</f>
        <v>83.01</v>
      </c>
      <c r="BG128" s="1">
        <f>IFERROR(__xludf.DUMMYFUNCTION("""COMPUTED_VALUE"""),26.72)</f>
        <v>26.72</v>
      </c>
      <c r="BH128" s="1">
        <f>IFERROR(__xludf.DUMMYFUNCTION("""COMPUTED_VALUE"""),123.55)</f>
        <v>123.55</v>
      </c>
      <c r="BI128" s="1">
        <f>IFERROR(__xludf.DUMMYFUNCTION("""COMPUTED_VALUE"""),60.44)</f>
        <v>60.44</v>
      </c>
      <c r="BJ128" s="1">
        <f>IFERROR(__xludf.DUMMYFUNCTION("""COMPUTED_VALUE"""),235.31)</f>
        <v>235.31</v>
      </c>
      <c r="BK128" s="1">
        <f>IFERROR(__xludf.DUMMYFUNCTION("""COMPUTED_VALUE"""),551.74)</f>
        <v>551.74</v>
      </c>
      <c r="BL128" s="1">
        <f>IFERROR(__xludf.DUMMYFUNCTION("""COMPUTED_VALUE"""),172.03)</f>
        <v>172.03</v>
      </c>
      <c r="BM128" s="1">
        <f>IFERROR(__xludf.DUMMYFUNCTION("""COMPUTED_VALUE"""),85.98)</f>
        <v>85.98</v>
      </c>
      <c r="BN128" s="3">
        <f>IFERROR(__xludf.DUMMYFUNCTION("""COMPUTED_VALUE"""),9.68)</f>
        <v>9.68</v>
      </c>
      <c r="BO128" s="1">
        <f>IFERROR(__xludf.DUMMYFUNCTION("""COMPUTED_VALUE"""),241.49)</f>
        <v>241.49</v>
      </c>
      <c r="BP128" s="1">
        <f>IFERROR(__xludf.DUMMYFUNCTION("""COMPUTED_VALUE"""),615.81)</f>
        <v>615.81</v>
      </c>
      <c r="BQ128" s="36">
        <f>IFERROR(__xludf.DUMMYFUNCTION("""COMPUTED_VALUE"""),48.89)</f>
        <v>48.89</v>
      </c>
      <c r="BR128" s="1">
        <f>IFERROR(__xludf.DUMMYFUNCTION("""COMPUTED_VALUE"""),12.96)</f>
        <v>12.96</v>
      </c>
      <c r="BS128" s="3">
        <f>IFERROR(__xludf.DUMMYFUNCTION("""COMPUTED_VALUE"""),224.12)</f>
        <v>224.12</v>
      </c>
      <c r="BT128" s="1">
        <f>IFERROR(__xludf.DUMMYFUNCTION("""COMPUTED_VALUE"""),99.02)</f>
        <v>99.02</v>
      </c>
      <c r="BU128" s="3">
        <v>1.0</v>
      </c>
    </row>
    <row r="129">
      <c r="A129" s="25">
        <f>IFERROR(__xludf.DUMMYFUNCTION("""COMPUTED_VALUE"""),45607.66666666667)</f>
        <v>45607.66667</v>
      </c>
      <c r="B129" s="29">
        <f>'Master Scratch Work'!B128</f>
        <v>1346368.52</v>
      </c>
      <c r="C129" s="15">
        <f>IFERROR(__xludf.DUMMYFUNCTION("""COMPUTED_VALUE"""),6001.35)</f>
        <v>6001.35</v>
      </c>
      <c r="D129" s="15">
        <f>IFERROR(__xludf.DUMMYFUNCTION("""COMPUTED_VALUE"""),19298.76)</f>
        <v>19298.76</v>
      </c>
      <c r="E129" s="15">
        <f>IFERROR(__xludf.DUMMYFUNCTION("""COMPUTED_VALUE"""),44293.13)</f>
        <v>44293.13</v>
      </c>
      <c r="F129" s="15">
        <f>IFERROR(__xludf.DUMMYFUNCTION("""COMPUTED_VALUE"""),2434.98)</f>
        <v>2434.98</v>
      </c>
      <c r="G129" s="3">
        <f>IFERROR(__xludf.DUMMYFUNCTION("""COMPUTED_VALUE"""),598.76)</f>
        <v>598.76</v>
      </c>
      <c r="H129" s="3">
        <f>IFERROR(__xludf.DUMMYFUNCTION("""COMPUTED_VALUE"""),513.84)</f>
        <v>513.84</v>
      </c>
      <c r="I129" s="3">
        <f>IFERROR(__xludf.DUMMYFUNCTION("""COMPUTED_VALUE"""),504.48)</f>
        <v>504.48</v>
      </c>
      <c r="J129" s="3">
        <f>IFERROR(__xludf.DUMMYFUNCTION("""COMPUTED_VALUE"""),206.84)</f>
        <v>206.84</v>
      </c>
      <c r="K129" s="3">
        <f>IFERROR(__xludf.DUMMYFUNCTION("""COMPUTED_VALUE"""),134.77)</f>
        <v>134.77</v>
      </c>
      <c r="L129" s="3">
        <f>IFERROR(__xludf.DUMMYFUNCTION("""COMPUTED_VALUE"""),224.23)</f>
        <v>224.23</v>
      </c>
      <c r="M129" s="3">
        <f>IFERROR(__xludf.DUMMYFUNCTION("""COMPUTED_VALUE"""),188.56)</f>
        <v>188.56</v>
      </c>
      <c r="N129" s="3">
        <f>IFERROR(__xludf.DUMMYFUNCTION("""COMPUTED_VALUE"""),78.68)</f>
        <v>78.68</v>
      </c>
      <c r="O129" s="3">
        <f>IFERROR(__xludf.DUMMYFUNCTION("""COMPUTED_VALUE"""),13.48)</f>
        <v>13.48</v>
      </c>
      <c r="P129" s="3">
        <f>IFERROR(__xludf.DUMMYFUNCTION("""COMPUTED_VALUE"""),467.36)</f>
        <v>467.36</v>
      </c>
      <c r="Q129" s="3">
        <f>IFERROR(__xludf.DUMMYFUNCTION("""COMPUTED_VALUE"""),53.53)</f>
        <v>53.53</v>
      </c>
      <c r="R129" s="3">
        <f>IFERROR(__xludf.DUMMYFUNCTION("""COMPUTED_VALUE"""),172.03)</f>
        <v>172.03</v>
      </c>
      <c r="S129" s="3">
        <f>IFERROR(__xludf.DUMMYFUNCTION("""COMPUTED_VALUE"""),88.48)</f>
        <v>88.48</v>
      </c>
      <c r="T129" s="3">
        <f>IFERROR(__xludf.DUMMYFUNCTION("""COMPUTED_VALUE"""),76.29)</f>
        <v>76.29</v>
      </c>
      <c r="U129" s="3">
        <f>IFERROR(__xludf.DUMMYFUNCTION("""COMPUTED_VALUE"""),396.54)</f>
        <v>396.54</v>
      </c>
      <c r="V129" s="3">
        <f>IFERROR(__xludf.DUMMYFUNCTION("""COMPUTED_VALUE"""),52.08)</f>
        <v>52.08</v>
      </c>
      <c r="W129" s="3">
        <f>IFERROR(__xludf.DUMMYFUNCTION("""COMPUTED_VALUE"""),178.26)</f>
        <v>178.26</v>
      </c>
      <c r="X129" s="3">
        <f>IFERROR(__xludf.DUMMYFUNCTION("""COMPUTED_VALUE"""),156.5)</f>
        <v>156.5</v>
      </c>
      <c r="Y129" s="1">
        <f>IFERROR(__xludf.DUMMYFUNCTION("""COMPUTED_VALUE"""),343.06)</f>
        <v>343.06</v>
      </c>
      <c r="Z129" s="1">
        <f>IFERROR(__xludf.DUMMYFUNCTION("""COMPUTED_VALUE"""),46.48)</f>
        <v>46.48</v>
      </c>
      <c r="AA129" s="1">
        <f>IFERROR(__xludf.DUMMYFUNCTION("""COMPUTED_VALUE"""),63.36)</f>
        <v>63.36</v>
      </c>
      <c r="AB129" s="1">
        <f>IFERROR(__xludf.DUMMYFUNCTION("""COMPUTED_VALUE"""),98.48)</f>
        <v>98.48</v>
      </c>
      <c r="AC129" s="1">
        <f>IFERROR(__xludf.DUMMYFUNCTION("""COMPUTED_VALUE"""),182.85)</f>
        <v>182.85</v>
      </c>
      <c r="AD129" s="3">
        <f>IFERROR(__xludf.DUMMYFUNCTION("""COMPUTED_VALUE"""),61.21)</f>
        <v>61.21</v>
      </c>
      <c r="AE129" s="1">
        <f>IFERROR(__xludf.DUMMYFUNCTION("""COMPUTED_VALUE"""),446.87)</f>
        <v>446.87</v>
      </c>
      <c r="AF129" s="1">
        <f>IFERROR(__xludf.DUMMYFUNCTION("""COMPUTED_VALUE"""),62.43)</f>
        <v>62.43</v>
      </c>
      <c r="AG129" s="1">
        <f>IFERROR(__xludf.DUMMYFUNCTION("""COMPUTED_VALUE"""),120.47)</f>
        <v>120.47</v>
      </c>
      <c r="AH129" s="3">
        <f>IFERROR(__xludf.DUMMYFUNCTION("""COMPUTED_VALUE"""),289.79)</f>
        <v>289.79</v>
      </c>
      <c r="AI129" s="1">
        <f>IFERROR(__xludf.DUMMYFUNCTION("""COMPUTED_VALUE"""),452.46)</f>
        <v>452.46</v>
      </c>
      <c r="AJ129" s="1">
        <f>IFERROR(__xludf.DUMMYFUNCTION("""COMPUTED_VALUE"""),313.91)</f>
        <v>313.91</v>
      </c>
      <c r="AK129" s="3">
        <f>IFERROR(__xludf.DUMMYFUNCTION("""COMPUTED_VALUE"""),57.66)</f>
        <v>57.66</v>
      </c>
      <c r="AL129" s="1">
        <f>IFERROR(__xludf.DUMMYFUNCTION("""COMPUTED_VALUE"""),97.03)</f>
        <v>97.03</v>
      </c>
      <c r="AM129" s="1">
        <f>IFERROR(__xludf.DUMMYFUNCTION("""COMPUTED_VALUE"""),602.34)</f>
        <v>602.34</v>
      </c>
      <c r="AN129" s="1">
        <f>IFERROR(__xludf.DUMMYFUNCTION("""COMPUTED_VALUE"""),408.29)</f>
        <v>408.29</v>
      </c>
      <c r="AO129" s="1">
        <f>IFERROR(__xludf.DUMMYFUNCTION("""COMPUTED_VALUE"""),129.83)</f>
        <v>129.83</v>
      </c>
      <c r="AP129" s="1">
        <f>IFERROR(__xludf.DUMMYFUNCTION("""COMPUTED_VALUE"""),157.08)</f>
        <v>157.08</v>
      </c>
      <c r="AQ129" s="3">
        <f>IFERROR(__xludf.DUMMYFUNCTION("""COMPUTED_VALUE"""),535.75)</f>
        <v>535.75</v>
      </c>
      <c r="AR129" s="3">
        <f>IFERROR(__xludf.DUMMYFUNCTION("""COMPUTED_VALUE"""),239.29)</f>
        <v>239.29</v>
      </c>
      <c r="AS129" s="3">
        <f>IFERROR(__xludf.DUMMYFUNCTION("""COMPUTED_VALUE"""),570.58)</f>
        <v>570.58</v>
      </c>
      <c r="AT129" s="3">
        <f>IFERROR(__xludf.DUMMYFUNCTION("""COMPUTED_VALUE"""),318.46)</f>
        <v>318.46</v>
      </c>
      <c r="AU129" s="1">
        <f>IFERROR(__xludf.DUMMYFUNCTION("""COMPUTED_VALUE"""),32.4)</f>
        <v>32.4</v>
      </c>
      <c r="AV129" s="1">
        <f>IFERROR(__xludf.DUMMYFUNCTION("""COMPUTED_VALUE"""),88.27)</f>
        <v>88.27</v>
      </c>
      <c r="AW129" s="1">
        <f>IFERROR(__xludf.DUMMYFUNCTION("""COMPUTED_VALUE"""),81.77)</f>
        <v>81.77</v>
      </c>
      <c r="AX129" s="1">
        <f>IFERROR(__xludf.DUMMYFUNCTION("""COMPUTED_VALUE"""),20.41)</f>
        <v>20.41</v>
      </c>
      <c r="AY129" s="1">
        <f>IFERROR(__xludf.DUMMYFUNCTION("""COMPUTED_VALUE"""),418.01)</f>
        <v>418.01</v>
      </c>
      <c r="AZ129" s="3">
        <f>IFERROR(__xludf.DUMMYFUNCTION("""COMPUTED_VALUE"""),75.91)</f>
        <v>75.91</v>
      </c>
      <c r="BA129" s="3">
        <f>IFERROR(__xludf.DUMMYFUNCTION("""COMPUTED_VALUE"""),94.28)</f>
        <v>94.28</v>
      </c>
      <c r="BB129" s="3">
        <f>IFERROR(__xludf.DUMMYFUNCTION("""COMPUTED_VALUE"""),145.26)</f>
        <v>145.26</v>
      </c>
      <c r="BC129" s="1">
        <f>IFERROR(__xludf.DUMMYFUNCTION("""COMPUTED_VALUE"""),101.52)</f>
        <v>101.52</v>
      </c>
      <c r="BD129" s="3">
        <f>IFERROR(__xludf.DUMMYFUNCTION("""COMPUTED_VALUE"""),52.71)</f>
        <v>52.71</v>
      </c>
      <c r="BE129" s="3">
        <f>IFERROR(__xludf.DUMMYFUNCTION("""COMPUTED_VALUE"""),60.24)</f>
        <v>60.24</v>
      </c>
      <c r="BF129" s="1">
        <f>IFERROR(__xludf.DUMMYFUNCTION("""COMPUTED_VALUE"""),86.94)</f>
        <v>86.94</v>
      </c>
      <c r="BG129" s="1">
        <f>IFERROR(__xludf.DUMMYFUNCTION("""COMPUTED_VALUE"""),26.24)</f>
        <v>26.24</v>
      </c>
      <c r="BH129" s="1">
        <f>IFERROR(__xludf.DUMMYFUNCTION("""COMPUTED_VALUE"""),124.56)</f>
        <v>124.56</v>
      </c>
      <c r="BI129" s="1">
        <f>IFERROR(__xludf.DUMMYFUNCTION("""COMPUTED_VALUE"""),60.6)</f>
        <v>60.6</v>
      </c>
      <c r="BJ129" s="1">
        <f>IFERROR(__xludf.DUMMYFUNCTION("""COMPUTED_VALUE"""),238.32)</f>
        <v>238.32</v>
      </c>
      <c r="BK129" s="1">
        <f>IFERROR(__xludf.DUMMYFUNCTION("""COMPUTED_VALUE"""),546.92)</f>
        <v>546.92</v>
      </c>
      <c r="BL129" s="1">
        <f>IFERROR(__xludf.DUMMYFUNCTION("""COMPUTED_VALUE"""),174.1)</f>
        <v>174.1</v>
      </c>
      <c r="BM129" s="1">
        <f>IFERROR(__xludf.DUMMYFUNCTION("""COMPUTED_VALUE"""),89.11)</f>
        <v>89.11</v>
      </c>
      <c r="BN129" s="3">
        <f>IFERROR(__xludf.DUMMYFUNCTION("""COMPUTED_VALUE"""),9.58)</f>
        <v>9.58</v>
      </c>
      <c r="BO129" s="1">
        <f>IFERROR(__xludf.DUMMYFUNCTION("""COMPUTED_VALUE"""),241.95)</f>
        <v>241.95</v>
      </c>
      <c r="BP129" s="1">
        <f>IFERROR(__xludf.DUMMYFUNCTION("""COMPUTED_VALUE"""),625.25)</f>
        <v>625.25</v>
      </c>
      <c r="BQ129" s="36">
        <f>IFERROR(__xludf.DUMMYFUNCTION("""COMPUTED_VALUE"""),48.82)</f>
        <v>48.82</v>
      </c>
      <c r="BR129" s="1">
        <f>IFERROR(__xludf.DUMMYFUNCTION("""COMPUTED_VALUE"""),13.09)</f>
        <v>13.09</v>
      </c>
      <c r="BS129" s="3">
        <f>IFERROR(__xludf.DUMMYFUNCTION("""COMPUTED_VALUE"""),223.62)</f>
        <v>223.62</v>
      </c>
      <c r="BT129" s="1">
        <f>IFERROR(__xludf.DUMMYFUNCTION("""COMPUTED_VALUE"""),100.86)</f>
        <v>100.86</v>
      </c>
      <c r="BU129" s="3">
        <v>1.0</v>
      </c>
    </row>
    <row r="130">
      <c r="A130" s="25">
        <f>IFERROR(__xludf.DUMMYFUNCTION("""COMPUTED_VALUE"""),45608.66666666667)</f>
        <v>45608.66667</v>
      </c>
      <c r="B130" s="29">
        <f>'Master Scratch Work'!B129</f>
        <v>1342002.52</v>
      </c>
      <c r="C130" s="15">
        <f>IFERROR(__xludf.DUMMYFUNCTION("""COMPUTED_VALUE"""),5983.99)</f>
        <v>5983.99</v>
      </c>
      <c r="D130" s="15">
        <f>IFERROR(__xludf.DUMMYFUNCTION("""COMPUTED_VALUE"""),19281.4)</f>
        <v>19281.4</v>
      </c>
      <c r="E130" s="15">
        <f>IFERROR(__xludf.DUMMYFUNCTION("""COMPUTED_VALUE"""),43910.98)</f>
        <v>43910.98</v>
      </c>
      <c r="F130" s="15">
        <f>IFERROR(__xludf.DUMMYFUNCTION("""COMPUTED_VALUE"""),2391.85)</f>
        <v>2391.85</v>
      </c>
      <c r="G130" s="3">
        <f>IFERROR(__xludf.DUMMYFUNCTION("""COMPUTED_VALUE"""),596.9)</f>
        <v>596.9</v>
      </c>
      <c r="H130" s="3">
        <f>IFERROR(__xludf.DUMMYFUNCTION("""COMPUTED_VALUE"""),512.91)</f>
        <v>512.91</v>
      </c>
      <c r="I130" s="3">
        <f>IFERROR(__xludf.DUMMYFUNCTION("""COMPUTED_VALUE"""),526.42)</f>
        <v>526.42</v>
      </c>
      <c r="J130" s="3">
        <f>IFERROR(__xludf.DUMMYFUNCTION("""COMPUTED_VALUE"""),208.91)</f>
        <v>208.91</v>
      </c>
      <c r="K130" s="3">
        <f>IFERROR(__xludf.DUMMYFUNCTION("""COMPUTED_VALUE"""),132.43)</f>
        <v>132.43</v>
      </c>
      <c r="L130" s="3">
        <f>IFERROR(__xludf.DUMMYFUNCTION("""COMPUTED_VALUE"""),224.23)</f>
        <v>224.23</v>
      </c>
      <c r="M130" s="3">
        <f>IFERROR(__xludf.DUMMYFUNCTION("""COMPUTED_VALUE"""),186.61)</f>
        <v>186.61</v>
      </c>
      <c r="N130" s="3">
        <f>IFERROR(__xludf.DUMMYFUNCTION("""COMPUTED_VALUE"""),77.95)</f>
        <v>77.95</v>
      </c>
      <c r="O130" s="3">
        <f>IFERROR(__xludf.DUMMYFUNCTION("""COMPUTED_VALUE"""),13.22)</f>
        <v>13.22</v>
      </c>
      <c r="P130" s="3">
        <f>IFERROR(__xludf.DUMMYFUNCTION("""COMPUTED_VALUE"""),466.29)</f>
        <v>466.29</v>
      </c>
      <c r="Q130" s="3">
        <f>IFERROR(__xludf.DUMMYFUNCTION("""COMPUTED_VALUE"""),52.6)</f>
        <v>52.6</v>
      </c>
      <c r="R130" s="3">
        <f>IFERROR(__xludf.DUMMYFUNCTION("""COMPUTED_VALUE"""),168.28)</f>
        <v>168.28</v>
      </c>
      <c r="S130" s="3">
        <f>IFERROR(__xludf.DUMMYFUNCTION("""COMPUTED_VALUE"""),88.72)</f>
        <v>88.72</v>
      </c>
      <c r="T130" s="3">
        <f>IFERROR(__xludf.DUMMYFUNCTION("""COMPUTED_VALUE"""),75.44)</f>
        <v>75.44</v>
      </c>
      <c r="U130" s="3">
        <f>IFERROR(__xludf.DUMMYFUNCTION("""COMPUTED_VALUE"""),393.01)</f>
        <v>393.01</v>
      </c>
      <c r="V130" s="3">
        <f>IFERROR(__xludf.DUMMYFUNCTION("""COMPUTED_VALUE"""),54.41)</f>
        <v>54.41</v>
      </c>
      <c r="W130" s="3">
        <f>IFERROR(__xludf.DUMMYFUNCTION("""COMPUTED_VALUE"""),177.81)</f>
        <v>177.81</v>
      </c>
      <c r="X130" s="3">
        <f>IFERROR(__xludf.DUMMYFUNCTION("""COMPUTED_VALUE"""),155.29)</f>
        <v>155.29</v>
      </c>
      <c r="Y130" s="1">
        <f>IFERROR(__xludf.DUMMYFUNCTION("""COMPUTED_VALUE"""),339.87)</f>
        <v>339.87</v>
      </c>
      <c r="Z130" s="1">
        <f>IFERROR(__xludf.DUMMYFUNCTION("""COMPUTED_VALUE"""),46.42)</f>
        <v>46.42</v>
      </c>
      <c r="AA130" s="1">
        <f>IFERROR(__xludf.DUMMYFUNCTION("""COMPUTED_VALUE"""),63.2)</f>
        <v>63.2</v>
      </c>
      <c r="AB130" s="1">
        <f>IFERROR(__xludf.DUMMYFUNCTION("""COMPUTED_VALUE"""),97.04)</f>
        <v>97.04</v>
      </c>
      <c r="AC130" s="1">
        <f>IFERROR(__xludf.DUMMYFUNCTION("""COMPUTED_VALUE"""),180.79)</f>
        <v>180.79</v>
      </c>
      <c r="AD130" s="3">
        <f>IFERROR(__xludf.DUMMYFUNCTION("""COMPUTED_VALUE"""),62.27)</f>
        <v>62.27</v>
      </c>
      <c r="AE130" s="1">
        <f>IFERROR(__xludf.DUMMYFUNCTION("""COMPUTED_VALUE"""),440.6)</f>
        <v>440.6</v>
      </c>
      <c r="AF130" s="1">
        <f>IFERROR(__xludf.DUMMYFUNCTION("""COMPUTED_VALUE"""),61.5)</f>
        <v>61.5</v>
      </c>
      <c r="AG130" s="1">
        <f>IFERROR(__xludf.DUMMYFUNCTION("""COMPUTED_VALUE"""),120.35)</f>
        <v>120.35</v>
      </c>
      <c r="AH130" s="3">
        <f>IFERROR(__xludf.DUMMYFUNCTION("""COMPUTED_VALUE"""),287.27)</f>
        <v>287.27</v>
      </c>
      <c r="AI130" s="1">
        <f>IFERROR(__xludf.DUMMYFUNCTION("""COMPUTED_VALUE"""),437.12)</f>
        <v>437.12</v>
      </c>
      <c r="AJ130" s="1">
        <f>IFERROR(__xludf.DUMMYFUNCTION("""COMPUTED_VALUE"""),312.05)</f>
        <v>312.05</v>
      </c>
      <c r="AK130" s="3">
        <f>IFERROR(__xludf.DUMMYFUNCTION("""COMPUTED_VALUE"""),57.41)</f>
        <v>57.41</v>
      </c>
      <c r="AL130" s="1">
        <f>IFERROR(__xludf.DUMMYFUNCTION("""COMPUTED_VALUE"""),94.35)</f>
        <v>94.35</v>
      </c>
      <c r="AM130" s="1">
        <f>IFERROR(__xludf.DUMMYFUNCTION("""COMPUTED_VALUE"""),592.59)</f>
        <v>592.59</v>
      </c>
      <c r="AN130" s="1">
        <f>IFERROR(__xludf.DUMMYFUNCTION("""COMPUTED_VALUE"""),403.08)</f>
        <v>403.08</v>
      </c>
      <c r="AO130" s="1">
        <f>IFERROR(__xludf.DUMMYFUNCTION("""COMPUTED_VALUE"""),128.78)</f>
        <v>128.78</v>
      </c>
      <c r="AP130" s="1">
        <f>IFERROR(__xludf.DUMMYFUNCTION("""COMPUTED_VALUE"""),156.06)</f>
        <v>156.06</v>
      </c>
      <c r="AQ130" s="3">
        <f>IFERROR(__xludf.DUMMYFUNCTION("""COMPUTED_VALUE"""),537.07)</f>
        <v>537.07</v>
      </c>
      <c r="AR130" s="3">
        <f>IFERROR(__xludf.DUMMYFUNCTION("""COMPUTED_VALUE"""),239.56)</f>
        <v>239.56</v>
      </c>
      <c r="AS130" s="3">
        <f>IFERROR(__xludf.DUMMYFUNCTION("""COMPUTED_VALUE"""),565.96)</f>
        <v>565.96</v>
      </c>
      <c r="AT130" s="3">
        <f>IFERROR(__xludf.DUMMYFUNCTION("""COMPUTED_VALUE"""),320.9)</f>
        <v>320.9</v>
      </c>
      <c r="AU130" s="1">
        <f>IFERROR(__xludf.DUMMYFUNCTION("""COMPUTED_VALUE"""),32.52)</f>
        <v>32.52</v>
      </c>
      <c r="AV130" s="1">
        <f>IFERROR(__xludf.DUMMYFUNCTION("""COMPUTED_VALUE"""),88.3)</f>
        <v>88.3</v>
      </c>
      <c r="AW130" s="1">
        <f>IFERROR(__xludf.DUMMYFUNCTION("""COMPUTED_VALUE"""),82.2)</f>
        <v>82.2</v>
      </c>
      <c r="AX130" s="1">
        <f>IFERROR(__xludf.DUMMYFUNCTION("""COMPUTED_VALUE"""),19.85)</f>
        <v>19.85</v>
      </c>
      <c r="AY130" s="1">
        <f>IFERROR(__xludf.DUMMYFUNCTION("""COMPUTED_VALUE"""),423.03)</f>
        <v>423.03</v>
      </c>
      <c r="AZ130" s="3">
        <f>IFERROR(__xludf.DUMMYFUNCTION("""COMPUTED_VALUE"""),74.26)</f>
        <v>74.26</v>
      </c>
      <c r="BA130" s="3">
        <f>IFERROR(__xludf.DUMMYFUNCTION("""COMPUTED_VALUE"""),92.66)</f>
        <v>92.66</v>
      </c>
      <c r="BB130" s="3">
        <f>IFERROR(__xludf.DUMMYFUNCTION("""COMPUTED_VALUE"""),148.29)</f>
        <v>148.29</v>
      </c>
      <c r="BC130" s="1">
        <f>IFERROR(__xludf.DUMMYFUNCTION("""COMPUTED_VALUE"""),99.73)</f>
        <v>99.73</v>
      </c>
      <c r="BD130" s="3">
        <f>IFERROR(__xludf.DUMMYFUNCTION("""COMPUTED_VALUE"""),52.62)</f>
        <v>52.62</v>
      </c>
      <c r="BE130" s="3">
        <f>IFERROR(__xludf.DUMMYFUNCTION("""COMPUTED_VALUE"""),59.85)</f>
        <v>59.85</v>
      </c>
      <c r="BF130" s="1">
        <f>IFERROR(__xludf.DUMMYFUNCTION("""COMPUTED_VALUE"""),86.4)</f>
        <v>86.4</v>
      </c>
      <c r="BG130" s="1">
        <f>IFERROR(__xludf.DUMMYFUNCTION("""COMPUTED_VALUE"""),26.19)</f>
        <v>26.19</v>
      </c>
      <c r="BH130" s="1">
        <f>IFERROR(__xludf.DUMMYFUNCTION("""COMPUTED_VALUE"""),123.37)</f>
        <v>123.37</v>
      </c>
      <c r="BI130" s="1">
        <f>IFERROR(__xludf.DUMMYFUNCTION("""COMPUTED_VALUE"""),59.33)</f>
        <v>59.33</v>
      </c>
      <c r="BJ130" s="1">
        <f>IFERROR(__xludf.DUMMYFUNCTION("""COMPUTED_VALUE"""),239.0)</f>
        <v>239</v>
      </c>
      <c r="BK130" s="1">
        <f>IFERROR(__xludf.DUMMYFUNCTION("""COMPUTED_VALUE"""),540.75)</f>
        <v>540.75</v>
      </c>
      <c r="BL130" s="1">
        <f>IFERROR(__xludf.DUMMYFUNCTION("""COMPUTED_VALUE"""),174.99)</f>
        <v>174.99</v>
      </c>
      <c r="BM130" s="1">
        <f>IFERROR(__xludf.DUMMYFUNCTION("""COMPUTED_VALUE"""),91.41)</f>
        <v>91.41</v>
      </c>
      <c r="BN130" s="3">
        <f>IFERROR(__xludf.DUMMYFUNCTION("""COMPUTED_VALUE"""),9.57)</f>
        <v>9.57</v>
      </c>
      <c r="BO130" s="1">
        <f>IFERROR(__xludf.DUMMYFUNCTION("""COMPUTED_VALUE"""),238.91)</f>
        <v>238.91</v>
      </c>
      <c r="BP130" s="1">
        <f>IFERROR(__xludf.DUMMYFUNCTION("""COMPUTED_VALUE"""),614.67)</f>
        <v>614.67</v>
      </c>
      <c r="BQ130" s="36">
        <f>IFERROR(__xludf.DUMMYFUNCTION("""COMPUTED_VALUE"""),48.75)</f>
        <v>48.75</v>
      </c>
      <c r="BR130" s="1">
        <f>IFERROR(__xludf.DUMMYFUNCTION("""COMPUTED_VALUE"""),12.93)</f>
        <v>12.93</v>
      </c>
      <c r="BS130" s="3">
        <f>IFERROR(__xludf.DUMMYFUNCTION("""COMPUTED_VALUE"""),224.78)</f>
        <v>224.78</v>
      </c>
      <c r="BT130" s="1">
        <f>IFERROR(__xludf.DUMMYFUNCTION("""COMPUTED_VALUE"""),100.99)</f>
        <v>100.99</v>
      </c>
      <c r="BU130" s="3">
        <v>1.0</v>
      </c>
    </row>
    <row r="131">
      <c r="A131" s="25">
        <f>IFERROR(__xludf.DUMMYFUNCTION("""COMPUTED_VALUE"""),45609.66666666667)</f>
        <v>45609.66667</v>
      </c>
      <c r="B131" s="29">
        <f>'Master Scratch Work'!B130</f>
        <v>1343181.41</v>
      </c>
      <c r="C131" s="15">
        <f>IFERROR(__xludf.DUMMYFUNCTION("""COMPUTED_VALUE"""),5985.38)</f>
        <v>5985.38</v>
      </c>
      <c r="D131" s="15">
        <f>IFERROR(__xludf.DUMMYFUNCTION("""COMPUTED_VALUE"""),19230.72)</f>
        <v>19230.72</v>
      </c>
      <c r="E131" s="15">
        <f>IFERROR(__xludf.DUMMYFUNCTION("""COMPUTED_VALUE"""),43958.19)</f>
        <v>43958.19</v>
      </c>
      <c r="F131" s="15">
        <f>IFERROR(__xludf.DUMMYFUNCTION("""COMPUTED_VALUE"""),2369.37)</f>
        <v>2369.37</v>
      </c>
      <c r="G131" s="3">
        <f>IFERROR(__xludf.DUMMYFUNCTION("""COMPUTED_VALUE"""),597.19)</f>
        <v>597.19</v>
      </c>
      <c r="H131" s="3">
        <f>IFERROR(__xludf.DUMMYFUNCTION("""COMPUTED_VALUE"""),512.25)</f>
        <v>512.25</v>
      </c>
      <c r="I131" s="3">
        <f>IFERROR(__xludf.DUMMYFUNCTION("""COMPUTED_VALUE"""),532.5)</f>
        <v>532.5</v>
      </c>
      <c r="J131" s="3">
        <f>IFERROR(__xludf.DUMMYFUNCTION("""COMPUTED_VALUE"""),214.1)</f>
        <v>214.1</v>
      </c>
      <c r="K131" s="3">
        <f>IFERROR(__xludf.DUMMYFUNCTION("""COMPUTED_VALUE"""),132.44)</f>
        <v>132.44</v>
      </c>
      <c r="L131" s="3">
        <f>IFERROR(__xludf.DUMMYFUNCTION("""COMPUTED_VALUE"""),225.12)</f>
        <v>225.12</v>
      </c>
      <c r="M131" s="3">
        <f>IFERROR(__xludf.DUMMYFUNCTION("""COMPUTED_VALUE"""),182.79)</f>
        <v>182.79</v>
      </c>
      <c r="N131" s="3">
        <f>IFERROR(__xludf.DUMMYFUNCTION("""COMPUTED_VALUE"""),77.61)</f>
        <v>77.61</v>
      </c>
      <c r="O131" s="3">
        <f>IFERROR(__xludf.DUMMYFUNCTION("""COMPUTED_VALUE"""),13.21)</f>
        <v>13.21</v>
      </c>
      <c r="P131" s="3">
        <f>IFERROR(__xludf.DUMMYFUNCTION("""COMPUTED_VALUE"""),468.1)</f>
        <v>468.1</v>
      </c>
      <c r="Q131" s="3">
        <f>IFERROR(__xludf.DUMMYFUNCTION("""COMPUTED_VALUE"""),52.32)</f>
        <v>52.32</v>
      </c>
      <c r="R131" s="3">
        <f>IFERROR(__xludf.DUMMYFUNCTION("""COMPUTED_VALUE"""),165.79)</f>
        <v>165.79</v>
      </c>
      <c r="S131" s="3">
        <f>IFERROR(__xludf.DUMMYFUNCTION("""COMPUTED_VALUE"""),88.77)</f>
        <v>88.77</v>
      </c>
      <c r="T131" s="3">
        <f>IFERROR(__xludf.DUMMYFUNCTION("""COMPUTED_VALUE"""),76.4)</f>
        <v>76.4</v>
      </c>
      <c r="U131" s="3">
        <f>IFERROR(__xludf.DUMMYFUNCTION("""COMPUTED_VALUE"""),387.07)</f>
        <v>387.07</v>
      </c>
      <c r="V131" s="3">
        <f>IFERROR(__xludf.DUMMYFUNCTION("""COMPUTED_VALUE"""),52.98)</f>
        <v>52.98</v>
      </c>
      <c r="W131" s="3">
        <f>IFERROR(__xludf.DUMMYFUNCTION("""COMPUTED_VALUE"""),177.21)</f>
        <v>177.21</v>
      </c>
      <c r="X131" s="3">
        <f>IFERROR(__xludf.DUMMYFUNCTION("""COMPUTED_VALUE"""),158.72)</f>
        <v>158.72</v>
      </c>
      <c r="Y131" s="1">
        <f>IFERROR(__xludf.DUMMYFUNCTION("""COMPUTED_VALUE"""),332.04)</f>
        <v>332.04</v>
      </c>
      <c r="Z131" s="1">
        <f>IFERROR(__xludf.DUMMYFUNCTION("""COMPUTED_VALUE"""),46.42)</f>
        <v>46.42</v>
      </c>
      <c r="AA131" s="1">
        <f>IFERROR(__xludf.DUMMYFUNCTION("""COMPUTED_VALUE"""),63.0)</f>
        <v>63</v>
      </c>
      <c r="AB131" s="1">
        <f>IFERROR(__xludf.DUMMYFUNCTION("""COMPUTED_VALUE"""),95.41)</f>
        <v>95.41</v>
      </c>
      <c r="AC131" s="1">
        <f>IFERROR(__xludf.DUMMYFUNCTION("""COMPUTED_VALUE"""),178.13)</f>
        <v>178.13</v>
      </c>
      <c r="AD131" s="3">
        <f>IFERROR(__xludf.DUMMYFUNCTION("""COMPUTED_VALUE"""),65.15)</f>
        <v>65.15</v>
      </c>
      <c r="AE131" s="1">
        <f>IFERROR(__xludf.DUMMYFUNCTION("""COMPUTED_VALUE"""),439.55)</f>
        <v>439.55</v>
      </c>
      <c r="AF131" s="1">
        <f>IFERROR(__xludf.DUMMYFUNCTION("""COMPUTED_VALUE"""),61.89)</f>
        <v>61.89</v>
      </c>
      <c r="AG131" s="1">
        <f>IFERROR(__xludf.DUMMYFUNCTION("""COMPUTED_VALUE"""),121.47)</f>
        <v>121.47</v>
      </c>
      <c r="AH131" s="3">
        <f>IFERROR(__xludf.DUMMYFUNCTION("""COMPUTED_VALUE"""),291.89)</f>
        <v>291.89</v>
      </c>
      <c r="AI131" s="1">
        <f>IFERROR(__xludf.DUMMYFUNCTION("""COMPUTED_VALUE"""),439.89)</f>
        <v>439.89</v>
      </c>
      <c r="AJ131" s="1">
        <f>IFERROR(__xludf.DUMMYFUNCTION("""COMPUTED_VALUE"""),314.03)</f>
        <v>314.03</v>
      </c>
      <c r="AK131" s="3">
        <f>IFERROR(__xludf.DUMMYFUNCTION("""COMPUTED_VALUE"""),57.71)</f>
        <v>57.71</v>
      </c>
      <c r="AL131" s="1">
        <f>IFERROR(__xludf.DUMMYFUNCTION("""COMPUTED_VALUE"""),92.63)</f>
        <v>92.63</v>
      </c>
      <c r="AM131" s="1">
        <f>IFERROR(__xludf.DUMMYFUNCTION("""COMPUTED_VALUE"""),594.22)</f>
        <v>594.22</v>
      </c>
      <c r="AN131" s="1">
        <f>IFERROR(__xludf.DUMMYFUNCTION("""COMPUTED_VALUE"""),410.19)</f>
        <v>410.19</v>
      </c>
      <c r="AO131" s="1">
        <f>IFERROR(__xludf.DUMMYFUNCTION("""COMPUTED_VALUE"""),126.75)</f>
        <v>126.75</v>
      </c>
      <c r="AP131" s="1">
        <f>IFERROR(__xludf.DUMMYFUNCTION("""COMPUTED_VALUE"""),155.84)</f>
        <v>155.84</v>
      </c>
      <c r="AQ131" s="3">
        <f>IFERROR(__xludf.DUMMYFUNCTION("""COMPUTED_VALUE"""),536.69)</f>
        <v>536.69</v>
      </c>
      <c r="AR131" s="3">
        <f>IFERROR(__xludf.DUMMYFUNCTION("""COMPUTED_VALUE"""),241.16)</f>
        <v>241.16</v>
      </c>
      <c r="AS131" s="3">
        <f>IFERROR(__xludf.DUMMYFUNCTION("""COMPUTED_VALUE"""),557.73)</f>
        <v>557.73</v>
      </c>
      <c r="AT131" s="3">
        <f>IFERROR(__xludf.DUMMYFUNCTION("""COMPUTED_VALUE"""),328.3)</f>
        <v>328.3</v>
      </c>
      <c r="AU131" s="1">
        <f>IFERROR(__xludf.DUMMYFUNCTION("""COMPUTED_VALUE"""),32.44)</f>
        <v>32.44</v>
      </c>
      <c r="AV131" s="1">
        <f>IFERROR(__xludf.DUMMYFUNCTION("""COMPUTED_VALUE"""),87.97)</f>
        <v>87.97</v>
      </c>
      <c r="AW131" s="1">
        <f>IFERROR(__xludf.DUMMYFUNCTION("""COMPUTED_VALUE"""),82.02)</f>
        <v>82.02</v>
      </c>
      <c r="AX131" s="1">
        <f>IFERROR(__xludf.DUMMYFUNCTION("""COMPUTED_VALUE"""),19.12)</f>
        <v>19.12</v>
      </c>
      <c r="AY131" s="1">
        <f>IFERROR(__xludf.DUMMYFUNCTION("""COMPUTED_VALUE"""),425.2)</f>
        <v>425.2</v>
      </c>
      <c r="AZ131" s="3">
        <f>IFERROR(__xludf.DUMMYFUNCTION("""COMPUTED_VALUE"""),74.24)</f>
        <v>74.24</v>
      </c>
      <c r="BA131" s="3">
        <f>IFERROR(__xludf.DUMMYFUNCTION("""COMPUTED_VALUE"""),92.48)</f>
        <v>92.48</v>
      </c>
      <c r="BB131" s="3">
        <f>IFERROR(__xludf.DUMMYFUNCTION("""COMPUTED_VALUE"""),146.27)</f>
        <v>146.27</v>
      </c>
      <c r="BC131" s="1">
        <f>IFERROR(__xludf.DUMMYFUNCTION("""COMPUTED_VALUE"""),100.39)</f>
        <v>100.39</v>
      </c>
      <c r="BD131" s="3">
        <f>IFERROR(__xludf.DUMMYFUNCTION("""COMPUTED_VALUE"""),52.71)</f>
        <v>52.71</v>
      </c>
      <c r="BE131" s="3">
        <f>IFERROR(__xludf.DUMMYFUNCTION("""COMPUTED_VALUE"""),60.7)</f>
        <v>60.7</v>
      </c>
      <c r="BF131" s="1">
        <f>IFERROR(__xludf.DUMMYFUNCTION("""COMPUTED_VALUE"""),87.31)</f>
        <v>87.31</v>
      </c>
      <c r="BG131" s="1">
        <f>IFERROR(__xludf.DUMMYFUNCTION("""COMPUTED_VALUE"""),26.72)</f>
        <v>26.72</v>
      </c>
      <c r="BH131" s="1">
        <f>IFERROR(__xludf.DUMMYFUNCTION("""COMPUTED_VALUE"""),123.75)</f>
        <v>123.75</v>
      </c>
      <c r="BI131" s="1">
        <f>IFERROR(__xludf.DUMMYFUNCTION("""COMPUTED_VALUE"""),58.13)</f>
        <v>58.13</v>
      </c>
      <c r="BJ131" s="1">
        <f>IFERROR(__xludf.DUMMYFUNCTION("""COMPUTED_VALUE"""),240.88)</f>
        <v>240.88</v>
      </c>
      <c r="BK131" s="1">
        <f>IFERROR(__xludf.DUMMYFUNCTION("""COMPUTED_VALUE"""),541.9)</f>
        <v>541.9</v>
      </c>
      <c r="BL131" s="1">
        <f>IFERROR(__xludf.DUMMYFUNCTION("""COMPUTED_VALUE"""),172.35)</f>
        <v>172.35</v>
      </c>
      <c r="BM131" s="1">
        <f>IFERROR(__xludf.DUMMYFUNCTION("""COMPUTED_VALUE"""),92.73)</f>
        <v>92.73</v>
      </c>
      <c r="BN131" s="3">
        <f>IFERROR(__xludf.DUMMYFUNCTION("""COMPUTED_VALUE"""),9.8)</f>
        <v>9.8</v>
      </c>
      <c r="BO131" s="1">
        <f>IFERROR(__xludf.DUMMYFUNCTION("""COMPUTED_VALUE"""),240.41)</f>
        <v>240.41</v>
      </c>
      <c r="BP131" s="1">
        <f>IFERROR(__xludf.DUMMYFUNCTION("""COMPUTED_VALUE"""),605.87)</f>
        <v>605.87</v>
      </c>
      <c r="BQ131" s="36">
        <f>IFERROR(__xludf.DUMMYFUNCTION("""COMPUTED_VALUE"""),48.78)</f>
        <v>48.78</v>
      </c>
      <c r="BR131" s="1">
        <f>IFERROR(__xludf.DUMMYFUNCTION("""COMPUTED_VALUE"""),13.0)</f>
        <v>13</v>
      </c>
      <c r="BS131" s="3">
        <f>IFERROR(__xludf.DUMMYFUNCTION("""COMPUTED_VALUE"""),225.68)</f>
        <v>225.68</v>
      </c>
      <c r="BT131" s="1">
        <f>IFERROR(__xludf.DUMMYFUNCTION("""COMPUTED_VALUE"""),102.72)</f>
        <v>102.72</v>
      </c>
      <c r="BU131" s="3">
        <v>1.0</v>
      </c>
    </row>
    <row r="132">
      <c r="A132" s="25">
        <f>IFERROR(__xludf.DUMMYFUNCTION("""COMPUTED_VALUE"""),45610.66666666667)</f>
        <v>45610.66667</v>
      </c>
      <c r="B132" s="29">
        <f>'Master Scratch Work'!B131</f>
        <v>1385967.89</v>
      </c>
      <c r="C132" s="15">
        <f>IFERROR(__xludf.DUMMYFUNCTION("""COMPUTED_VALUE"""),5949.17)</f>
        <v>5949.17</v>
      </c>
      <c r="D132" s="15">
        <f>IFERROR(__xludf.DUMMYFUNCTION("""COMPUTED_VALUE"""),19107.65)</f>
        <v>19107.65</v>
      </c>
      <c r="E132" s="15">
        <f>IFERROR(__xludf.DUMMYFUNCTION("""COMPUTED_VALUE"""),43750.86)</f>
        <v>43750.86</v>
      </c>
      <c r="F132" s="15">
        <f>IFERROR(__xludf.DUMMYFUNCTION("""COMPUTED_VALUE"""),2336.94)</f>
        <v>2336.94</v>
      </c>
      <c r="G132" s="3">
        <f>IFERROR(__xludf.DUMMYFUNCTION("""COMPUTED_VALUE"""),593.35)</f>
        <v>593.35</v>
      </c>
      <c r="H132" s="3">
        <f>IFERROR(__xludf.DUMMYFUNCTION("""COMPUTED_VALUE"""),508.69)</f>
        <v>508.69</v>
      </c>
      <c r="I132" s="3">
        <f>IFERROR(__xludf.DUMMYFUNCTION("""COMPUTED_VALUE"""),529.87)</f>
        <v>529.87</v>
      </c>
      <c r="J132" s="3">
        <f>IFERROR(__xludf.DUMMYFUNCTION("""COMPUTED_VALUE"""),211.48)</f>
        <v>211.48</v>
      </c>
      <c r="K132" s="3">
        <f>IFERROR(__xludf.DUMMYFUNCTION("""COMPUTED_VALUE"""),132.02)</f>
        <v>132.02</v>
      </c>
      <c r="L132" s="3">
        <f>IFERROR(__xludf.DUMMYFUNCTION("""COMPUTED_VALUE"""),228.22)</f>
        <v>228.22</v>
      </c>
      <c r="M132" s="3">
        <f>IFERROR(__xludf.DUMMYFUNCTION("""COMPUTED_VALUE"""),186.0)</f>
        <v>186</v>
      </c>
      <c r="N132" s="3">
        <f>IFERROR(__xludf.DUMMYFUNCTION("""COMPUTED_VALUE"""),77.57)</f>
        <v>77.57</v>
      </c>
      <c r="O132" s="3">
        <f>IFERROR(__xludf.DUMMYFUNCTION("""COMPUTED_VALUE"""),12.96)</f>
        <v>12.96</v>
      </c>
      <c r="P132" s="3">
        <f>IFERROR(__xludf.DUMMYFUNCTION("""COMPUTED_VALUE"""),467.7)</f>
        <v>467.7</v>
      </c>
      <c r="Q132" s="3">
        <f>IFERROR(__xludf.DUMMYFUNCTION("""COMPUTED_VALUE"""),52.05)</f>
        <v>52.05</v>
      </c>
      <c r="R132" s="3">
        <f>IFERROR(__xludf.DUMMYFUNCTION("""COMPUTED_VALUE"""),164.89)</f>
        <v>164.89</v>
      </c>
      <c r="S132" s="3">
        <f>IFERROR(__xludf.DUMMYFUNCTION("""COMPUTED_VALUE"""),87.59)</f>
        <v>87.59</v>
      </c>
      <c r="T132" s="3">
        <f>IFERROR(__xludf.DUMMYFUNCTION("""COMPUTED_VALUE"""),74.97)</f>
        <v>74.97</v>
      </c>
      <c r="U132" s="3">
        <f>IFERROR(__xludf.DUMMYFUNCTION("""COMPUTED_VALUE"""),387.36)</f>
        <v>387.36</v>
      </c>
      <c r="V132" s="3">
        <f>IFERROR(__xludf.DUMMYFUNCTION("""COMPUTED_VALUE"""),53.11)</f>
        <v>53.11</v>
      </c>
      <c r="W132" s="3">
        <f>IFERROR(__xludf.DUMMYFUNCTION("""COMPUTED_VALUE"""),177.55)</f>
        <v>177.55</v>
      </c>
      <c r="X132" s="3">
        <f>IFERROR(__xludf.DUMMYFUNCTION("""COMPUTED_VALUE"""),161.8)</f>
        <v>161.8</v>
      </c>
      <c r="Y132" s="1">
        <f>IFERROR(__xludf.DUMMYFUNCTION("""COMPUTED_VALUE"""),323.88)</f>
        <v>323.88</v>
      </c>
      <c r="Z132" s="1">
        <f>IFERROR(__xludf.DUMMYFUNCTION("""COMPUTED_VALUE"""),46.58)</f>
        <v>46.58</v>
      </c>
      <c r="AA132" s="1">
        <f>IFERROR(__xludf.DUMMYFUNCTION("""COMPUTED_VALUE"""),62.55)</f>
        <v>62.55</v>
      </c>
      <c r="AB132" s="1">
        <f>IFERROR(__xludf.DUMMYFUNCTION("""COMPUTED_VALUE"""),95.24)</f>
        <v>95.24</v>
      </c>
      <c r="AC132" s="1">
        <f>IFERROR(__xludf.DUMMYFUNCTION("""COMPUTED_VALUE"""),178.21)</f>
        <v>178.21</v>
      </c>
      <c r="AD132" s="3">
        <f>IFERROR(__xludf.DUMMYFUNCTION("""COMPUTED_VALUE"""),65.67)</f>
        <v>65.67</v>
      </c>
      <c r="AE132" s="1">
        <f>IFERROR(__xludf.DUMMYFUNCTION("""COMPUTED_VALUE"""),435.97)</f>
        <v>435.97</v>
      </c>
      <c r="AF132" s="1">
        <f>IFERROR(__xludf.DUMMYFUNCTION("""COMPUTED_VALUE"""),62.3)</f>
        <v>62.3</v>
      </c>
      <c r="AG132" s="1">
        <f>IFERROR(__xludf.DUMMYFUNCTION("""COMPUTED_VALUE"""),120.56)</f>
        <v>120.56</v>
      </c>
      <c r="AH132" s="1">
        <f>IFERROR(__xludf.DUMMYFUNCTION("""COMPUTED_VALUE"""),292.29)</f>
        <v>292.29</v>
      </c>
      <c r="AI132" s="1">
        <f>IFERROR(__xludf.DUMMYFUNCTION("""COMPUTED_VALUE"""),440.39)</f>
        <v>440.39</v>
      </c>
      <c r="AJ132" s="1">
        <f>IFERROR(__xludf.DUMMYFUNCTION("""COMPUTED_VALUE"""),292.42)</f>
        <v>292.42</v>
      </c>
      <c r="AK132" s="3">
        <f>IFERROR(__xludf.DUMMYFUNCTION("""COMPUTED_VALUE"""),57.62)</f>
        <v>57.62</v>
      </c>
      <c r="AL132" s="1">
        <f>IFERROR(__xludf.DUMMYFUNCTION("""COMPUTED_VALUE"""),92.11)</f>
        <v>92.11</v>
      </c>
      <c r="AM132" s="1">
        <f>IFERROR(__xludf.DUMMYFUNCTION("""COMPUTED_VALUE"""),588.61)</f>
        <v>588.61</v>
      </c>
      <c r="AN132" s="1">
        <f>IFERROR(__xludf.DUMMYFUNCTION("""COMPUTED_VALUE"""),405.72)</f>
        <v>405.72</v>
      </c>
      <c r="AO132" s="1">
        <f>IFERROR(__xludf.DUMMYFUNCTION("""COMPUTED_VALUE"""),122.28)</f>
        <v>122.28</v>
      </c>
      <c r="AP132" s="1">
        <f>IFERROR(__xludf.DUMMYFUNCTION("""COMPUTED_VALUE"""),156.47)</f>
        <v>156.47</v>
      </c>
      <c r="AQ132" s="3">
        <f>IFERROR(__xludf.DUMMYFUNCTION("""COMPUTED_VALUE"""),537.8)</f>
        <v>537.8</v>
      </c>
      <c r="AR132" s="3">
        <f>IFERROR(__xludf.DUMMYFUNCTION("""COMPUTED_VALUE"""),241.87)</f>
        <v>241.87</v>
      </c>
      <c r="AS132" s="3">
        <f>IFERROR(__xludf.DUMMYFUNCTION("""COMPUTED_VALUE"""),538.99)</f>
        <v>538.99</v>
      </c>
      <c r="AT132" s="3">
        <f>IFERROR(__xludf.DUMMYFUNCTION("""COMPUTED_VALUE"""),330.26)</f>
        <v>330.26</v>
      </c>
      <c r="AU132" s="1">
        <f>IFERROR(__xludf.DUMMYFUNCTION("""COMPUTED_VALUE"""),32.87)</f>
        <v>32.87</v>
      </c>
      <c r="AV132" s="1">
        <f>IFERROR(__xludf.DUMMYFUNCTION("""COMPUTED_VALUE"""),86.0)</f>
        <v>86</v>
      </c>
      <c r="AW132" s="1">
        <f>IFERROR(__xludf.DUMMYFUNCTION("""COMPUTED_VALUE"""),82.6)</f>
        <v>82.6</v>
      </c>
      <c r="AX132" s="1">
        <f>IFERROR(__xludf.DUMMYFUNCTION("""COMPUTED_VALUE"""),18.57)</f>
        <v>18.57</v>
      </c>
      <c r="AY132" s="1">
        <f>IFERROR(__xludf.DUMMYFUNCTION("""COMPUTED_VALUE"""),426.89)</f>
        <v>426.89</v>
      </c>
      <c r="AZ132" s="3">
        <f>IFERROR(__xludf.DUMMYFUNCTION("""COMPUTED_VALUE"""),75.28)</f>
        <v>75.28</v>
      </c>
      <c r="BA132" s="3">
        <f>IFERROR(__xludf.DUMMYFUNCTION("""COMPUTED_VALUE"""),91.64)</f>
        <v>91.64</v>
      </c>
      <c r="BB132" s="3">
        <f>IFERROR(__xludf.DUMMYFUNCTION("""COMPUTED_VALUE"""),146.76)</f>
        <v>146.76</v>
      </c>
      <c r="BC132" s="1">
        <f>IFERROR(__xludf.DUMMYFUNCTION("""COMPUTED_VALUE"""),99.72)</f>
        <v>99.72</v>
      </c>
      <c r="BD132" s="3">
        <f>IFERROR(__xludf.DUMMYFUNCTION("""COMPUTED_VALUE"""),53.35)</f>
        <v>53.35</v>
      </c>
      <c r="BE132" s="3">
        <f>IFERROR(__xludf.DUMMYFUNCTION("""COMPUTED_VALUE"""),59.18)</f>
        <v>59.18</v>
      </c>
      <c r="BF132" s="1">
        <f>IFERROR(__xludf.DUMMYFUNCTION("""COMPUTED_VALUE"""),85.79)</f>
        <v>85.79</v>
      </c>
      <c r="BG132" s="1">
        <f>IFERROR(__xludf.DUMMYFUNCTION("""COMPUTED_VALUE"""),26.02)</f>
        <v>26.02</v>
      </c>
      <c r="BH132" s="1">
        <f>IFERROR(__xludf.DUMMYFUNCTION("""COMPUTED_VALUE"""),118.92)</f>
        <v>118.92</v>
      </c>
      <c r="BI132" s="1">
        <f>IFERROR(__xludf.DUMMYFUNCTION("""COMPUTED_VALUE"""),57.37)</f>
        <v>57.37</v>
      </c>
      <c r="BJ132" s="1">
        <f>IFERROR(__xludf.DUMMYFUNCTION("""COMPUTED_VALUE"""),237.75)</f>
        <v>237.75</v>
      </c>
      <c r="BK132" s="1">
        <f>IFERROR(__xludf.DUMMYFUNCTION("""COMPUTED_VALUE"""),533.02)</f>
        <v>533.02</v>
      </c>
      <c r="BL132" s="1">
        <f>IFERROR(__xludf.DUMMYFUNCTION("""COMPUTED_VALUE"""),173.48)</f>
        <v>173.48</v>
      </c>
      <c r="BM132" s="1">
        <f>IFERROR(__xludf.DUMMYFUNCTION("""COMPUTED_VALUE"""),88.36)</f>
        <v>88.36</v>
      </c>
      <c r="BN132" s="3">
        <f>IFERROR(__xludf.DUMMYFUNCTION("""COMPUTED_VALUE"""),9.85)</f>
        <v>9.85</v>
      </c>
      <c r="BO132" s="1">
        <f>IFERROR(__xludf.DUMMYFUNCTION("""COMPUTED_VALUE"""),235.58)</f>
        <v>235.58</v>
      </c>
      <c r="BP132" s="1">
        <f>IFERROR(__xludf.DUMMYFUNCTION("""COMPUTED_VALUE"""),593.15)</f>
        <v>593.15</v>
      </c>
      <c r="BQ132" s="36">
        <f>IFERROR(__xludf.DUMMYFUNCTION("""COMPUTED_VALUE"""),48.74)</f>
        <v>48.74</v>
      </c>
      <c r="BR132" s="1">
        <f>IFERROR(__xludf.DUMMYFUNCTION("""COMPUTED_VALUE"""),12.62)</f>
        <v>12.62</v>
      </c>
      <c r="BS132" s="3">
        <f>IFERROR(__xludf.DUMMYFUNCTION("""COMPUTED_VALUE"""),221.72)</f>
        <v>221.72</v>
      </c>
      <c r="BT132" s="1">
        <f>IFERROR(__xludf.DUMMYFUNCTION("""COMPUTED_VALUE"""),109.12)</f>
        <v>109.12</v>
      </c>
      <c r="BU132" s="3">
        <v>1.0</v>
      </c>
    </row>
    <row r="133">
      <c r="A133" s="25">
        <f>IFERROR(__xludf.DUMMYFUNCTION("""COMPUTED_VALUE"""),45611.66666666667)</f>
        <v>45611.66667</v>
      </c>
      <c r="B133" s="29">
        <f>'Master Scratch Work'!B132</f>
        <v>1360498.62</v>
      </c>
      <c r="C133" s="15">
        <f>IFERROR(__xludf.DUMMYFUNCTION("""COMPUTED_VALUE"""),5870.62)</f>
        <v>5870.62</v>
      </c>
      <c r="D133" s="15">
        <f>IFERROR(__xludf.DUMMYFUNCTION("""COMPUTED_VALUE"""),18680.12)</f>
        <v>18680.12</v>
      </c>
      <c r="E133" s="15">
        <f>IFERROR(__xludf.DUMMYFUNCTION("""COMPUTED_VALUE"""),43444.99)</f>
        <v>43444.99</v>
      </c>
      <c r="F133" s="15">
        <f>IFERROR(__xludf.DUMMYFUNCTION("""COMPUTED_VALUE"""),2303.84)</f>
        <v>2303.84</v>
      </c>
      <c r="G133" s="3">
        <f>IFERROR(__xludf.DUMMYFUNCTION("""COMPUTED_VALUE"""),585.75)</f>
        <v>585.75</v>
      </c>
      <c r="H133" s="3">
        <f>IFERROR(__xludf.DUMMYFUNCTION("""COMPUTED_VALUE"""),496.57)</f>
        <v>496.57</v>
      </c>
      <c r="I133" s="3">
        <f>IFERROR(__xludf.DUMMYFUNCTION("""COMPUTED_VALUE"""),503.37)</f>
        <v>503.37</v>
      </c>
      <c r="J133" s="3">
        <f>IFERROR(__xludf.DUMMYFUNCTION("""COMPUTED_VALUE"""),202.61)</f>
        <v>202.61</v>
      </c>
      <c r="K133" s="3">
        <f>IFERROR(__xludf.DUMMYFUNCTION("""COMPUTED_VALUE"""),134.23)</f>
        <v>134.23</v>
      </c>
      <c r="L133" s="3">
        <f>IFERROR(__xludf.DUMMYFUNCTION("""COMPUTED_VALUE"""),225.0)</f>
        <v>225</v>
      </c>
      <c r="M133" s="3">
        <f>IFERROR(__xludf.DUMMYFUNCTION("""COMPUTED_VALUE"""),168.88)</f>
        <v>168.88</v>
      </c>
      <c r="N133" s="3">
        <f>IFERROR(__xludf.DUMMYFUNCTION("""COMPUTED_VALUE"""),78.29)</f>
        <v>78.29</v>
      </c>
      <c r="O133" s="3">
        <f>IFERROR(__xludf.DUMMYFUNCTION("""COMPUTED_VALUE"""),13.21)</f>
        <v>13.21</v>
      </c>
      <c r="P133" s="3">
        <f>IFERROR(__xludf.DUMMYFUNCTION("""COMPUTED_VALUE"""),470.28)</f>
        <v>470.28</v>
      </c>
      <c r="Q133" s="3">
        <f>IFERROR(__xludf.DUMMYFUNCTION("""COMPUTED_VALUE"""),51.84)</f>
        <v>51.84</v>
      </c>
      <c r="R133" s="3">
        <f>IFERROR(__xludf.DUMMYFUNCTION("""COMPUTED_VALUE"""),159.99)</f>
        <v>159.99</v>
      </c>
      <c r="S133" s="3">
        <f>IFERROR(__xludf.DUMMYFUNCTION("""COMPUTED_VALUE"""),86.99)</f>
        <v>86.99</v>
      </c>
      <c r="T133" s="3">
        <f>IFERROR(__xludf.DUMMYFUNCTION("""COMPUTED_VALUE"""),74.53)</f>
        <v>74.53</v>
      </c>
      <c r="U133" s="3">
        <f>IFERROR(__xludf.DUMMYFUNCTION("""COMPUTED_VALUE"""),384.07)</f>
        <v>384.07</v>
      </c>
      <c r="V133" s="3">
        <f>IFERROR(__xludf.DUMMYFUNCTION("""COMPUTED_VALUE"""),53.59)</f>
        <v>53.59</v>
      </c>
      <c r="W133" s="3">
        <f>IFERROR(__xludf.DUMMYFUNCTION("""COMPUTED_VALUE"""),174.25)</f>
        <v>174.25</v>
      </c>
      <c r="X133" s="3">
        <f>IFERROR(__xludf.DUMMYFUNCTION("""COMPUTED_VALUE"""),161.42)</f>
        <v>161.42</v>
      </c>
      <c r="Y133" s="1">
        <f>IFERROR(__xludf.DUMMYFUNCTION("""COMPUTED_VALUE"""),321.52)</f>
        <v>321.52</v>
      </c>
      <c r="Z133" s="1">
        <f>IFERROR(__xludf.DUMMYFUNCTION("""COMPUTED_VALUE"""),46.78)</f>
        <v>46.78</v>
      </c>
      <c r="AA133" s="1">
        <f>IFERROR(__xludf.DUMMYFUNCTION("""COMPUTED_VALUE"""),61.74)</f>
        <v>61.74</v>
      </c>
      <c r="AB133" s="1">
        <f>IFERROR(__xludf.DUMMYFUNCTION("""COMPUTED_VALUE"""),96.44)</f>
        <v>96.44</v>
      </c>
      <c r="AC133" s="1">
        <f>IFERROR(__xludf.DUMMYFUNCTION("""COMPUTED_VALUE"""),179.67)</f>
        <v>179.67</v>
      </c>
      <c r="AD133" s="3">
        <f>IFERROR(__xludf.DUMMYFUNCTION("""COMPUTED_VALUE"""),64.2)</f>
        <v>64.2</v>
      </c>
      <c r="AE133" s="1">
        <f>IFERROR(__xludf.DUMMYFUNCTION("""COMPUTED_VALUE"""),430.43)</f>
        <v>430.43</v>
      </c>
      <c r="AF133" s="1">
        <f>IFERROR(__xludf.DUMMYFUNCTION("""COMPUTED_VALUE"""),61.43)</f>
        <v>61.43</v>
      </c>
      <c r="AG133" s="1">
        <f>IFERROR(__xludf.DUMMYFUNCTION("""COMPUTED_VALUE"""),119.31)</f>
        <v>119.31</v>
      </c>
      <c r="AH133" s="1">
        <f>IFERROR(__xludf.DUMMYFUNCTION("""COMPUTED_VALUE"""),294.46)</f>
        <v>294.46</v>
      </c>
      <c r="AI133" s="1">
        <f>IFERROR(__xludf.DUMMYFUNCTION("""COMPUTED_VALUE"""),430.99)</f>
        <v>430.99</v>
      </c>
      <c r="AJ133" s="1">
        <f>IFERROR(__xludf.DUMMYFUNCTION("""COMPUTED_VALUE"""),287.99)</f>
        <v>287.99</v>
      </c>
      <c r="AK133" s="3">
        <f>IFERROR(__xludf.DUMMYFUNCTION("""COMPUTED_VALUE"""),57.04)</f>
        <v>57.04</v>
      </c>
      <c r="AL133" s="1">
        <f>IFERROR(__xludf.DUMMYFUNCTION("""COMPUTED_VALUE"""),88.4)</f>
        <v>88.4</v>
      </c>
      <c r="AM133" s="1">
        <f>IFERROR(__xludf.DUMMYFUNCTION("""COMPUTED_VALUE"""),593.54)</f>
        <v>593.54</v>
      </c>
      <c r="AN133" s="1">
        <f>IFERROR(__xludf.DUMMYFUNCTION("""COMPUTED_VALUE"""),408.18)</f>
        <v>408.18</v>
      </c>
      <c r="AO133" s="1">
        <f>IFERROR(__xludf.DUMMYFUNCTION("""COMPUTED_VALUE"""),120.76)</f>
        <v>120.76</v>
      </c>
      <c r="AP133" s="1">
        <f>IFERROR(__xludf.DUMMYFUNCTION("""COMPUTED_VALUE"""),155.55)</f>
        <v>155.55</v>
      </c>
      <c r="AQ133" s="3">
        <f>IFERROR(__xludf.DUMMYFUNCTION("""COMPUTED_VALUE"""),527.61)</f>
        <v>527.61</v>
      </c>
      <c r="AR133" s="3">
        <f>IFERROR(__xludf.DUMMYFUNCTION("""COMPUTED_VALUE"""),245.31)</f>
        <v>245.31</v>
      </c>
      <c r="AS133" s="3">
        <f>IFERROR(__xludf.DUMMYFUNCTION("""COMPUTED_VALUE"""),534.83)</f>
        <v>534.83</v>
      </c>
      <c r="AT133" s="3">
        <f>IFERROR(__xludf.DUMMYFUNCTION("""COMPUTED_VALUE"""),320.01)</f>
        <v>320.01</v>
      </c>
      <c r="AU133" s="1">
        <f>IFERROR(__xludf.DUMMYFUNCTION("""COMPUTED_VALUE"""),32.66)</f>
        <v>32.66</v>
      </c>
      <c r="AV133" s="1">
        <f>IFERROR(__xludf.DUMMYFUNCTION("""COMPUTED_VALUE"""),87.53)</f>
        <v>87.53</v>
      </c>
      <c r="AW133" s="1">
        <f>IFERROR(__xludf.DUMMYFUNCTION("""COMPUTED_VALUE"""),83.33)</f>
        <v>83.33</v>
      </c>
      <c r="AX133" s="1">
        <f>IFERROR(__xludf.DUMMYFUNCTION("""COMPUTED_VALUE"""),18.28)</f>
        <v>18.28</v>
      </c>
      <c r="AY133" s="1">
        <f>IFERROR(__xludf.DUMMYFUNCTION("""COMPUTED_VALUE"""),415.0)</f>
        <v>415</v>
      </c>
      <c r="AZ133" s="3">
        <f>IFERROR(__xludf.DUMMYFUNCTION("""COMPUTED_VALUE"""),76.35)</f>
        <v>76.35</v>
      </c>
      <c r="BA133" s="3">
        <f>IFERROR(__xludf.DUMMYFUNCTION("""COMPUTED_VALUE"""),92.19)</f>
        <v>92.19</v>
      </c>
      <c r="BB133" s="3">
        <f>IFERROR(__xludf.DUMMYFUNCTION("""COMPUTED_VALUE"""),141.98)</f>
        <v>141.98</v>
      </c>
      <c r="BC133" s="1">
        <f>IFERROR(__xludf.DUMMYFUNCTION("""COMPUTED_VALUE"""),99.1)</f>
        <v>99.1</v>
      </c>
      <c r="BD133" s="3">
        <f>IFERROR(__xludf.DUMMYFUNCTION("""COMPUTED_VALUE"""),51.92)</f>
        <v>51.92</v>
      </c>
      <c r="BE133" s="3">
        <f>IFERROR(__xludf.DUMMYFUNCTION("""COMPUTED_VALUE"""),65.77)</f>
        <v>65.77</v>
      </c>
      <c r="BF133" s="1">
        <f>IFERROR(__xludf.DUMMYFUNCTION("""COMPUTED_VALUE"""),85.83)</f>
        <v>85.83</v>
      </c>
      <c r="BG133" s="1">
        <f>IFERROR(__xludf.DUMMYFUNCTION("""COMPUTED_VALUE"""),24.8)</f>
        <v>24.8</v>
      </c>
      <c r="BH133" s="1">
        <f>IFERROR(__xludf.DUMMYFUNCTION("""COMPUTED_VALUE"""),118.53)</f>
        <v>118.53</v>
      </c>
      <c r="BI133" s="1">
        <f>IFERROR(__xludf.DUMMYFUNCTION("""COMPUTED_VALUE"""),55.13)</f>
        <v>55.13</v>
      </c>
      <c r="BJ133" s="1">
        <f>IFERROR(__xludf.DUMMYFUNCTION("""COMPUTED_VALUE"""),235.61)</f>
        <v>235.61</v>
      </c>
      <c r="BK133" s="1">
        <f>IFERROR(__xludf.DUMMYFUNCTION("""COMPUTED_VALUE"""),513.08)</f>
        <v>513.08</v>
      </c>
      <c r="BL133" s="1">
        <f>IFERROR(__xludf.DUMMYFUNCTION("""COMPUTED_VALUE"""),172.84)</f>
        <v>172.84</v>
      </c>
      <c r="BM133" s="1">
        <f>IFERROR(__xludf.DUMMYFUNCTION("""COMPUTED_VALUE"""),80.48)</f>
        <v>80.48</v>
      </c>
      <c r="BN133" s="3">
        <f>IFERROR(__xludf.DUMMYFUNCTION("""COMPUTED_VALUE"""),9.94)</f>
        <v>9.94</v>
      </c>
      <c r="BO133" s="1">
        <f>IFERROR(__xludf.DUMMYFUNCTION("""COMPUTED_VALUE"""),235.57)</f>
        <v>235.57</v>
      </c>
      <c r="BP133" s="1">
        <f>IFERROR(__xludf.DUMMYFUNCTION("""COMPUTED_VALUE"""),592.23)</f>
        <v>592.23</v>
      </c>
      <c r="BQ133" s="36">
        <f>IFERROR(__xludf.DUMMYFUNCTION("""COMPUTED_VALUE"""),48.8)</f>
        <v>48.8</v>
      </c>
      <c r="BR133" s="1">
        <f>IFERROR(__xludf.DUMMYFUNCTION("""COMPUTED_VALUE"""),12.83)</f>
        <v>12.83</v>
      </c>
      <c r="BS133" s="3">
        <f>IFERROR(__xludf.DUMMYFUNCTION("""COMPUTED_VALUE"""),217.9)</f>
        <v>217.9</v>
      </c>
      <c r="BT133" s="1">
        <f>IFERROR(__xludf.DUMMYFUNCTION("""COMPUTED_VALUE"""),115.08)</f>
        <v>115.08</v>
      </c>
      <c r="BU133" s="3">
        <v>1.0</v>
      </c>
    </row>
    <row r="134">
      <c r="A134" s="25">
        <f>IFERROR(__xludf.DUMMYFUNCTION("""COMPUTED_VALUE"""),45614.66666666667)</f>
        <v>45614.66667</v>
      </c>
      <c r="B134" s="29">
        <f>'Master Scratch Work'!B133</f>
        <v>1359820.82</v>
      </c>
      <c r="C134" s="15">
        <f>IFERROR(__xludf.DUMMYFUNCTION("""COMPUTED_VALUE"""),5893.62)</f>
        <v>5893.62</v>
      </c>
      <c r="D134" s="15">
        <f>IFERROR(__xludf.DUMMYFUNCTION("""COMPUTED_VALUE"""),18791.81)</f>
        <v>18791.81</v>
      </c>
      <c r="E134" s="15">
        <f>IFERROR(__xludf.DUMMYFUNCTION("""COMPUTED_VALUE"""),43389.6)</f>
        <v>43389.6</v>
      </c>
      <c r="F134" s="15">
        <f>IFERROR(__xludf.DUMMYFUNCTION("""COMPUTED_VALUE"""),2306.34)</f>
        <v>2306.34</v>
      </c>
      <c r="G134" s="3">
        <f>IFERROR(__xludf.DUMMYFUNCTION("""COMPUTED_VALUE"""),588.15)</f>
        <v>588.15</v>
      </c>
      <c r="H134" s="3">
        <f>IFERROR(__xludf.DUMMYFUNCTION("""COMPUTED_VALUE"""),500.02)</f>
        <v>500.02</v>
      </c>
      <c r="I134" s="3">
        <f>IFERROR(__xludf.DUMMYFUNCTION("""COMPUTED_VALUE"""),499.51)</f>
        <v>499.51</v>
      </c>
      <c r="J134" s="3">
        <f>IFERROR(__xludf.DUMMYFUNCTION("""COMPUTED_VALUE"""),201.7)</f>
        <v>201.7</v>
      </c>
      <c r="K134" s="3">
        <f>IFERROR(__xludf.DUMMYFUNCTION("""COMPUTED_VALUE"""),136.67)</f>
        <v>136.67</v>
      </c>
      <c r="L134" s="3">
        <f>IFERROR(__xludf.DUMMYFUNCTION("""COMPUTED_VALUE"""),228.02)</f>
        <v>228.02</v>
      </c>
      <c r="M134" s="3">
        <f>IFERROR(__xludf.DUMMYFUNCTION("""COMPUTED_VALUE"""),170.73)</f>
        <v>170.73</v>
      </c>
      <c r="N134" s="3">
        <f>IFERROR(__xludf.DUMMYFUNCTION("""COMPUTED_VALUE"""),78.65)</f>
        <v>78.65</v>
      </c>
      <c r="O134" s="3">
        <f>IFERROR(__xludf.DUMMYFUNCTION("""COMPUTED_VALUE"""),13.26)</f>
        <v>13.26</v>
      </c>
      <c r="P134" s="3">
        <f>IFERROR(__xludf.DUMMYFUNCTION("""COMPUTED_VALUE"""),472.2)</f>
        <v>472.2</v>
      </c>
      <c r="Q134" s="3">
        <f>IFERROR(__xludf.DUMMYFUNCTION("""COMPUTED_VALUE"""),52.49)</f>
        <v>52.49</v>
      </c>
      <c r="R134" s="3">
        <f>IFERROR(__xludf.DUMMYFUNCTION("""COMPUTED_VALUE"""),157.94)</f>
        <v>157.94</v>
      </c>
      <c r="S134" s="3">
        <f>IFERROR(__xludf.DUMMYFUNCTION("""COMPUTED_VALUE"""),90.45)</f>
        <v>90.45</v>
      </c>
      <c r="T134" s="3">
        <f>IFERROR(__xludf.DUMMYFUNCTION("""COMPUTED_VALUE"""),74.05)</f>
        <v>74.05</v>
      </c>
      <c r="U134" s="3">
        <f>IFERROR(__xludf.DUMMYFUNCTION("""COMPUTED_VALUE"""),384.46)</f>
        <v>384.46</v>
      </c>
      <c r="V134" s="3">
        <f>IFERROR(__xludf.DUMMYFUNCTION("""COMPUTED_VALUE"""),55.9)</f>
        <v>55.9</v>
      </c>
      <c r="W134" s="3">
        <f>IFERROR(__xludf.DUMMYFUNCTION("""COMPUTED_VALUE"""),173.53)</f>
        <v>173.53</v>
      </c>
      <c r="X134" s="3">
        <f>IFERROR(__xludf.DUMMYFUNCTION("""COMPUTED_VALUE"""),160.76)</f>
        <v>160.76</v>
      </c>
      <c r="Y134" s="1">
        <f>IFERROR(__xludf.DUMMYFUNCTION("""COMPUTED_VALUE"""),322.45)</f>
        <v>322.45</v>
      </c>
      <c r="Z134" s="1">
        <f>IFERROR(__xludf.DUMMYFUNCTION("""COMPUTED_VALUE"""),46.57)</f>
        <v>46.57</v>
      </c>
      <c r="AA134" s="1">
        <f>IFERROR(__xludf.DUMMYFUNCTION("""COMPUTED_VALUE"""),61.86)</f>
        <v>61.86</v>
      </c>
      <c r="AB134" s="1">
        <f>IFERROR(__xludf.DUMMYFUNCTION("""COMPUTED_VALUE"""),96.45)</f>
        <v>96.45</v>
      </c>
      <c r="AC134" s="1">
        <f>IFERROR(__xludf.DUMMYFUNCTION("""COMPUTED_VALUE"""),183.29)</f>
        <v>183.29</v>
      </c>
      <c r="AD134" s="3">
        <f>IFERROR(__xludf.DUMMYFUNCTION("""COMPUTED_VALUE"""),66.53)</f>
        <v>66.53</v>
      </c>
      <c r="AE134" s="1">
        <f>IFERROR(__xludf.DUMMYFUNCTION("""COMPUTED_VALUE"""),444.9)</f>
        <v>444.9</v>
      </c>
      <c r="AF134" s="1">
        <f>IFERROR(__xludf.DUMMYFUNCTION("""COMPUTED_VALUE"""),61.41)</f>
        <v>61.41</v>
      </c>
      <c r="AG134" s="1">
        <f>IFERROR(__xludf.DUMMYFUNCTION("""COMPUTED_VALUE"""),120.31)</f>
        <v>120.31</v>
      </c>
      <c r="AH134" s="1">
        <f>IFERROR(__xludf.DUMMYFUNCTION("""COMPUTED_VALUE"""),295.21)</f>
        <v>295.21</v>
      </c>
      <c r="AI134" s="1">
        <f>IFERROR(__xludf.DUMMYFUNCTION("""COMPUTED_VALUE"""),434.98)</f>
        <v>434.98</v>
      </c>
      <c r="AJ134" s="1">
        <f>IFERROR(__xludf.DUMMYFUNCTION("""COMPUTED_VALUE"""),286.0)</f>
        <v>286</v>
      </c>
      <c r="AK134" s="3">
        <f>IFERROR(__xludf.DUMMYFUNCTION("""COMPUTED_VALUE"""),56.25)</f>
        <v>56.25</v>
      </c>
      <c r="AL134" s="1">
        <f>IFERROR(__xludf.DUMMYFUNCTION("""COMPUTED_VALUE"""),88.46)</f>
        <v>88.46</v>
      </c>
      <c r="AM134" s="1">
        <f>IFERROR(__xludf.DUMMYFUNCTION("""COMPUTED_VALUE"""),587.99)</f>
        <v>587.99</v>
      </c>
      <c r="AN134" s="1">
        <f>IFERROR(__xludf.DUMMYFUNCTION("""COMPUTED_VALUE"""),410.44)</f>
        <v>410.44</v>
      </c>
      <c r="AO134" s="1">
        <f>IFERROR(__xludf.DUMMYFUNCTION("""COMPUTED_VALUE"""),118.87)</f>
        <v>118.87</v>
      </c>
      <c r="AP134" s="1">
        <f>IFERROR(__xludf.DUMMYFUNCTION("""COMPUTED_VALUE"""),157.69)</f>
        <v>157.69</v>
      </c>
      <c r="AQ134" s="3">
        <f>IFERROR(__xludf.DUMMYFUNCTION("""COMPUTED_VALUE"""),531.64)</f>
        <v>531.64</v>
      </c>
      <c r="AR134" s="3">
        <f>IFERROR(__xludf.DUMMYFUNCTION("""COMPUTED_VALUE"""),245.03)</f>
        <v>245.03</v>
      </c>
      <c r="AS134" s="3">
        <f>IFERROR(__xludf.DUMMYFUNCTION("""COMPUTED_VALUE"""),530.96)</f>
        <v>530.96</v>
      </c>
      <c r="AT134" s="3">
        <f>IFERROR(__xludf.DUMMYFUNCTION("""COMPUTED_VALUE"""),309.53)</f>
        <v>309.53</v>
      </c>
      <c r="AU134" s="1">
        <f>IFERROR(__xludf.DUMMYFUNCTION("""COMPUTED_VALUE"""),32.33)</f>
        <v>32.33</v>
      </c>
      <c r="AV134" s="1">
        <f>IFERROR(__xludf.DUMMYFUNCTION("""COMPUTED_VALUE"""),87.59)</f>
        <v>87.59</v>
      </c>
      <c r="AW134" s="1">
        <f>IFERROR(__xludf.DUMMYFUNCTION("""COMPUTED_VALUE"""),83.37)</f>
        <v>83.37</v>
      </c>
      <c r="AX134" s="1">
        <f>IFERROR(__xludf.DUMMYFUNCTION("""COMPUTED_VALUE"""),18.35)</f>
        <v>18.35</v>
      </c>
      <c r="AY134" s="1">
        <f>IFERROR(__xludf.DUMMYFUNCTION("""COMPUTED_VALUE"""),415.76)</f>
        <v>415.76</v>
      </c>
      <c r="AZ134" s="3">
        <f>IFERROR(__xludf.DUMMYFUNCTION("""COMPUTED_VALUE"""),76.39)</f>
        <v>76.39</v>
      </c>
      <c r="BA134" s="3">
        <f>IFERROR(__xludf.DUMMYFUNCTION("""COMPUTED_VALUE"""),93.23)</f>
        <v>93.23</v>
      </c>
      <c r="BB134" s="3">
        <f>IFERROR(__xludf.DUMMYFUNCTION("""COMPUTED_VALUE"""),140.15)</f>
        <v>140.15</v>
      </c>
      <c r="BC134" s="1">
        <f>IFERROR(__xludf.DUMMYFUNCTION("""COMPUTED_VALUE"""),100.77)</f>
        <v>100.77</v>
      </c>
      <c r="BD134" s="3">
        <f>IFERROR(__xludf.DUMMYFUNCTION("""COMPUTED_VALUE"""),51.49)</f>
        <v>51.49</v>
      </c>
      <c r="BE134" s="3">
        <f>IFERROR(__xludf.DUMMYFUNCTION("""COMPUTED_VALUE"""),61.26)</f>
        <v>61.26</v>
      </c>
      <c r="BF134" s="1">
        <f>IFERROR(__xludf.DUMMYFUNCTION("""COMPUTED_VALUE"""),84.67)</f>
        <v>84.67</v>
      </c>
      <c r="BG134" s="1">
        <f>IFERROR(__xludf.DUMMYFUNCTION("""COMPUTED_VALUE"""),24.86)</f>
        <v>24.86</v>
      </c>
      <c r="BH134" s="1">
        <f>IFERROR(__xludf.DUMMYFUNCTION("""COMPUTED_VALUE"""),119.39)</f>
        <v>119.39</v>
      </c>
      <c r="BI134" s="1">
        <f>IFERROR(__xludf.DUMMYFUNCTION("""COMPUTED_VALUE"""),54.24)</f>
        <v>54.24</v>
      </c>
      <c r="BJ134" s="1">
        <f>IFERROR(__xludf.DUMMYFUNCTION("""COMPUTED_VALUE"""),237.03)</f>
        <v>237.03</v>
      </c>
      <c r="BK134" s="1">
        <f>IFERROR(__xludf.DUMMYFUNCTION("""COMPUTED_VALUE"""),501.29)</f>
        <v>501.29</v>
      </c>
      <c r="BL134" s="1">
        <f>IFERROR(__xludf.DUMMYFUNCTION("""COMPUTED_VALUE"""),174.78)</f>
        <v>174.78</v>
      </c>
      <c r="BM134" s="1">
        <f>IFERROR(__xludf.DUMMYFUNCTION("""COMPUTED_VALUE"""),80.93)</f>
        <v>80.93</v>
      </c>
      <c r="BN134" s="3">
        <f>IFERROR(__xludf.DUMMYFUNCTION("""COMPUTED_VALUE"""),9.8)</f>
        <v>9.8</v>
      </c>
      <c r="BO134" s="1">
        <f>IFERROR(__xludf.DUMMYFUNCTION("""COMPUTED_VALUE"""),234.41)</f>
        <v>234.41</v>
      </c>
      <c r="BP134" s="1">
        <f>IFERROR(__xludf.DUMMYFUNCTION("""COMPUTED_VALUE"""),589.65)</f>
        <v>589.65</v>
      </c>
      <c r="BQ134" s="36">
        <f>IFERROR(__xludf.DUMMYFUNCTION("""COMPUTED_VALUE"""),48.85)</f>
        <v>48.85</v>
      </c>
      <c r="BR134" s="1">
        <f>IFERROR(__xludf.DUMMYFUNCTION("""COMPUTED_VALUE"""),13.0)</f>
        <v>13</v>
      </c>
      <c r="BS134" s="3">
        <f>IFERROR(__xludf.DUMMYFUNCTION("""COMPUTED_VALUE"""),218.31)</f>
        <v>218.31</v>
      </c>
      <c r="BT134" s="1">
        <f>IFERROR(__xludf.DUMMYFUNCTION("""COMPUTED_VALUE"""),113.54)</f>
        <v>113.54</v>
      </c>
      <c r="BU134" s="3">
        <v>1.0</v>
      </c>
    </row>
    <row r="135">
      <c r="A135" s="25">
        <f>IFERROR(__xludf.DUMMYFUNCTION("""COMPUTED_VALUE"""),45615.66666666667)</f>
        <v>45615.66667</v>
      </c>
      <c r="B135" s="29">
        <f>'Master Scratch Work'!B134</f>
        <v>1358788.43</v>
      </c>
      <c r="C135" s="15">
        <f>IFERROR(__xludf.DUMMYFUNCTION("""COMPUTED_VALUE"""),5916.98)</f>
        <v>5916.98</v>
      </c>
      <c r="D135" s="15">
        <f>IFERROR(__xludf.DUMMYFUNCTION("""COMPUTED_VALUE"""),18987.47)</f>
        <v>18987.47</v>
      </c>
      <c r="E135" s="15">
        <f>IFERROR(__xludf.DUMMYFUNCTION("""COMPUTED_VALUE"""),43268.94)</f>
        <v>43268.94</v>
      </c>
      <c r="F135" s="15">
        <f>IFERROR(__xludf.DUMMYFUNCTION("""COMPUTED_VALUE"""),2324.83)</f>
        <v>2324.83</v>
      </c>
      <c r="G135" s="3">
        <f>IFERROR(__xludf.DUMMYFUNCTION("""COMPUTED_VALUE"""),590.3)</f>
        <v>590.3</v>
      </c>
      <c r="H135" s="3">
        <f>IFERROR(__xludf.DUMMYFUNCTION("""COMPUTED_VALUE"""),503.46)</f>
        <v>503.46</v>
      </c>
      <c r="I135" s="3">
        <f>IFERROR(__xludf.DUMMYFUNCTION("""COMPUTED_VALUE"""),499.61)</f>
        <v>499.61</v>
      </c>
      <c r="J135" s="3">
        <f>IFERROR(__xludf.DUMMYFUNCTION("""COMPUTED_VALUE"""),204.61)</f>
        <v>204.61</v>
      </c>
      <c r="K135" s="3">
        <f>IFERROR(__xludf.DUMMYFUNCTION("""COMPUTED_VALUE"""),138.2)</f>
        <v>138.2</v>
      </c>
      <c r="L135" s="3">
        <f>IFERROR(__xludf.DUMMYFUNCTION("""COMPUTED_VALUE"""),228.28)</f>
        <v>228.28</v>
      </c>
      <c r="M135" s="3">
        <f>IFERROR(__xludf.DUMMYFUNCTION("""COMPUTED_VALUE"""),169.31)</f>
        <v>169.31</v>
      </c>
      <c r="N135" s="3">
        <f>IFERROR(__xludf.DUMMYFUNCTION("""COMPUTED_VALUE"""),77.61)</f>
        <v>77.61</v>
      </c>
      <c r="O135" s="3">
        <f>IFERROR(__xludf.DUMMYFUNCTION("""COMPUTED_VALUE"""),13.08)</f>
        <v>13.08</v>
      </c>
      <c r="P135" s="3">
        <f>IFERROR(__xludf.DUMMYFUNCTION("""COMPUTED_VALUE"""),468.86)</f>
        <v>468.86</v>
      </c>
      <c r="Q135" s="3">
        <f>IFERROR(__xludf.DUMMYFUNCTION("""COMPUTED_VALUE"""),52.68)</f>
        <v>52.68</v>
      </c>
      <c r="R135" s="3">
        <f>IFERROR(__xludf.DUMMYFUNCTION("""COMPUTED_VALUE"""),155.43)</f>
        <v>155.43</v>
      </c>
      <c r="S135" s="3">
        <f>IFERROR(__xludf.DUMMYFUNCTION("""COMPUTED_VALUE"""),90.33)</f>
        <v>90.33</v>
      </c>
      <c r="T135" s="3">
        <f>IFERROR(__xludf.DUMMYFUNCTION("""COMPUTED_VALUE"""),74.33)</f>
        <v>74.33</v>
      </c>
      <c r="U135" s="3">
        <f>IFERROR(__xludf.DUMMYFUNCTION("""COMPUTED_VALUE"""),382.33)</f>
        <v>382.33</v>
      </c>
      <c r="V135" s="3">
        <f>IFERROR(__xludf.DUMMYFUNCTION("""COMPUTED_VALUE"""),57.46)</f>
        <v>57.46</v>
      </c>
      <c r="W135" s="3">
        <f>IFERROR(__xludf.DUMMYFUNCTION("""COMPUTED_VALUE"""),174.56)</f>
        <v>174.56</v>
      </c>
      <c r="X135" s="3">
        <f>IFERROR(__xludf.DUMMYFUNCTION("""COMPUTED_VALUE"""),159.6)</f>
        <v>159.6</v>
      </c>
      <c r="Y135" s="1">
        <f>IFERROR(__xludf.DUMMYFUNCTION("""COMPUTED_VALUE"""),322.5)</f>
        <v>322.5</v>
      </c>
      <c r="Z135" s="1">
        <f>IFERROR(__xludf.DUMMYFUNCTION("""COMPUTED_VALUE"""),46.05)</f>
        <v>46.05</v>
      </c>
      <c r="AA135" s="1">
        <f>IFERROR(__xludf.DUMMYFUNCTION("""COMPUTED_VALUE"""),62.59)</f>
        <v>62.59</v>
      </c>
      <c r="AB135" s="1">
        <f>IFERROR(__xludf.DUMMYFUNCTION("""COMPUTED_VALUE"""),96.97)</f>
        <v>96.97</v>
      </c>
      <c r="AC135" s="1">
        <f>IFERROR(__xludf.DUMMYFUNCTION("""COMPUTED_VALUE"""),187.27)</f>
        <v>187.27</v>
      </c>
      <c r="AD135" s="3">
        <f>IFERROR(__xludf.DUMMYFUNCTION("""COMPUTED_VALUE"""),64.87)</f>
        <v>64.87</v>
      </c>
      <c r="AE135" s="1">
        <f>IFERROR(__xludf.DUMMYFUNCTION("""COMPUTED_VALUE"""),439.8)</f>
        <v>439.8</v>
      </c>
      <c r="AF135" s="1">
        <f>IFERROR(__xludf.DUMMYFUNCTION("""COMPUTED_VALUE"""),61.1)</f>
        <v>61.1</v>
      </c>
      <c r="AG135" s="1">
        <f>IFERROR(__xludf.DUMMYFUNCTION("""COMPUTED_VALUE"""),118.63)</f>
        <v>118.63</v>
      </c>
      <c r="AH135" s="1">
        <f>IFERROR(__xludf.DUMMYFUNCTION("""COMPUTED_VALUE"""),293.06)</f>
        <v>293.06</v>
      </c>
      <c r="AI135" s="1">
        <f>IFERROR(__xludf.DUMMYFUNCTION("""COMPUTED_VALUE"""),428.48)</f>
        <v>428.48</v>
      </c>
      <c r="AJ135" s="1">
        <f>IFERROR(__xludf.DUMMYFUNCTION("""COMPUTED_VALUE"""),280.96)</f>
        <v>280.96</v>
      </c>
      <c r="AK135" s="3">
        <f>IFERROR(__xludf.DUMMYFUNCTION("""COMPUTED_VALUE"""),55.11)</f>
        <v>55.11</v>
      </c>
      <c r="AL135" s="1">
        <f>IFERROR(__xludf.DUMMYFUNCTION("""COMPUTED_VALUE"""),87.75)</f>
        <v>87.75</v>
      </c>
      <c r="AM135" s="1">
        <f>IFERROR(__xludf.DUMMYFUNCTION("""COMPUTED_VALUE"""),581.38)</f>
        <v>581.38</v>
      </c>
      <c r="AN135" s="1">
        <f>IFERROR(__xludf.DUMMYFUNCTION("""COMPUTED_VALUE"""),406.8)</f>
        <v>406.8</v>
      </c>
      <c r="AO135" s="1">
        <f>IFERROR(__xludf.DUMMYFUNCTION("""COMPUTED_VALUE"""),120.3)</f>
        <v>120.3</v>
      </c>
      <c r="AP135" s="1">
        <f>IFERROR(__xludf.DUMMYFUNCTION("""COMPUTED_VALUE"""),157.93)</f>
        <v>157.93</v>
      </c>
      <c r="AQ135" s="3">
        <f>IFERROR(__xludf.DUMMYFUNCTION("""COMPUTED_VALUE"""),538.82)</f>
        <v>538.82</v>
      </c>
      <c r="AR135" s="3">
        <f>IFERROR(__xludf.DUMMYFUNCTION("""COMPUTED_VALUE"""),243.09)</f>
        <v>243.09</v>
      </c>
      <c r="AS135" s="3">
        <f>IFERROR(__xludf.DUMMYFUNCTION("""COMPUTED_VALUE"""),533.26)</f>
        <v>533.26</v>
      </c>
      <c r="AT135" s="3">
        <f>IFERROR(__xludf.DUMMYFUNCTION("""COMPUTED_VALUE"""),301.85)</f>
        <v>301.85</v>
      </c>
      <c r="AU135" s="1">
        <f>IFERROR(__xludf.DUMMYFUNCTION("""COMPUTED_VALUE"""),32.57)</f>
        <v>32.57</v>
      </c>
      <c r="AV135" s="1">
        <f>IFERROR(__xludf.DUMMYFUNCTION("""COMPUTED_VALUE"""),85.0)</f>
        <v>85</v>
      </c>
      <c r="AW135" s="1">
        <f>IFERROR(__xludf.DUMMYFUNCTION("""COMPUTED_VALUE"""),82.63)</f>
        <v>82.63</v>
      </c>
      <c r="AX135" s="1">
        <f>IFERROR(__xludf.DUMMYFUNCTION("""COMPUTED_VALUE"""),18.02)</f>
        <v>18.02</v>
      </c>
      <c r="AY135" s="1">
        <f>IFERROR(__xludf.DUMMYFUNCTION("""COMPUTED_VALUE"""),417.79)</f>
        <v>417.79</v>
      </c>
      <c r="AZ135" s="3">
        <f>IFERROR(__xludf.DUMMYFUNCTION("""COMPUTED_VALUE"""),77.08)</f>
        <v>77.08</v>
      </c>
      <c r="BA135" s="3">
        <f>IFERROR(__xludf.DUMMYFUNCTION("""COMPUTED_VALUE"""),94.86)</f>
        <v>94.86</v>
      </c>
      <c r="BB135" s="3">
        <f>IFERROR(__xludf.DUMMYFUNCTION("""COMPUTED_VALUE"""),147.01)</f>
        <v>147.01</v>
      </c>
      <c r="BC135" s="1">
        <f>IFERROR(__xludf.DUMMYFUNCTION("""COMPUTED_VALUE"""),100.28)</f>
        <v>100.28</v>
      </c>
      <c r="BD135" s="3">
        <f>IFERROR(__xludf.DUMMYFUNCTION("""COMPUTED_VALUE"""),53.4)</f>
        <v>53.4</v>
      </c>
      <c r="BE135" s="3">
        <f>IFERROR(__xludf.DUMMYFUNCTION("""COMPUTED_VALUE"""),62.98)</f>
        <v>62.98</v>
      </c>
      <c r="BF135" s="1">
        <f>IFERROR(__xludf.DUMMYFUNCTION("""COMPUTED_VALUE"""),84.09)</f>
        <v>84.09</v>
      </c>
      <c r="BG135" s="1">
        <f>IFERROR(__xludf.DUMMYFUNCTION("""COMPUTED_VALUE"""),25.1)</f>
        <v>25.1</v>
      </c>
      <c r="BH135" s="1">
        <f>IFERROR(__xludf.DUMMYFUNCTION("""COMPUTED_VALUE"""),118.96)</f>
        <v>118.96</v>
      </c>
      <c r="BI135" s="1">
        <f>IFERROR(__xludf.DUMMYFUNCTION("""COMPUTED_VALUE"""),56.47)</f>
        <v>56.47</v>
      </c>
      <c r="BJ135" s="1">
        <f>IFERROR(__xludf.DUMMYFUNCTION("""COMPUTED_VALUE"""),233.2)</f>
        <v>233.2</v>
      </c>
      <c r="BK135" s="1">
        <f>IFERROR(__xludf.DUMMYFUNCTION("""COMPUTED_VALUE"""),509.12)</f>
        <v>509.12</v>
      </c>
      <c r="BL135" s="1">
        <f>IFERROR(__xludf.DUMMYFUNCTION("""COMPUTED_VALUE"""),175.39)</f>
        <v>175.39</v>
      </c>
      <c r="BM135" s="1">
        <f>IFERROR(__xludf.DUMMYFUNCTION("""COMPUTED_VALUE"""),82.92)</f>
        <v>82.92</v>
      </c>
      <c r="BN135" s="3">
        <f>IFERROR(__xludf.DUMMYFUNCTION("""COMPUTED_VALUE"""),9.39)</f>
        <v>9.39</v>
      </c>
      <c r="BO135" s="1">
        <f>IFERROR(__xludf.DUMMYFUNCTION("""COMPUTED_VALUE"""),233.29)</f>
        <v>233.29</v>
      </c>
      <c r="BP135" s="1">
        <f>IFERROR(__xludf.DUMMYFUNCTION("""COMPUTED_VALUE"""),577.0)</f>
        <v>577</v>
      </c>
      <c r="BQ135" s="36">
        <f>IFERROR(__xludf.DUMMYFUNCTION("""COMPUTED_VALUE"""),48.89)</f>
        <v>48.89</v>
      </c>
      <c r="BR135" s="1">
        <f>IFERROR(__xludf.DUMMYFUNCTION("""COMPUTED_VALUE"""),13.05)</f>
        <v>13.05</v>
      </c>
      <c r="BS135" s="3">
        <f>IFERROR(__xludf.DUMMYFUNCTION("""COMPUTED_VALUE"""),219.05)</f>
        <v>219.05</v>
      </c>
      <c r="BT135" s="1">
        <f>IFERROR(__xludf.DUMMYFUNCTION("""COMPUTED_VALUE"""),112.42)</f>
        <v>112.42</v>
      </c>
      <c r="BU135" s="3">
        <v>1.0</v>
      </c>
    </row>
    <row r="136">
      <c r="A136" s="25">
        <f>IFERROR(__xludf.DUMMYFUNCTION("""COMPUTED_VALUE"""),45616.66666666667)</f>
        <v>45616.66667</v>
      </c>
      <c r="B136" s="29">
        <f>'Master Scratch Work'!B135</f>
        <v>1358318.74</v>
      </c>
      <c r="C136" s="15">
        <f>IFERROR(__xludf.DUMMYFUNCTION("""COMPUTED_VALUE"""),5917.11)</f>
        <v>5917.11</v>
      </c>
      <c r="D136" s="15">
        <f>IFERROR(__xludf.DUMMYFUNCTION("""COMPUTED_VALUE"""),18966.14)</f>
        <v>18966.14</v>
      </c>
      <c r="E136" s="15">
        <f>IFERROR(__xludf.DUMMYFUNCTION("""COMPUTED_VALUE"""),43408.47)</f>
        <v>43408.47</v>
      </c>
      <c r="F136" s="15">
        <f>IFERROR(__xludf.DUMMYFUNCTION("""COMPUTED_VALUE"""),2325.53)</f>
        <v>2325.53</v>
      </c>
      <c r="G136" s="3">
        <f>IFERROR(__xludf.DUMMYFUNCTION("""COMPUTED_VALUE"""),590.5)</f>
        <v>590.5</v>
      </c>
      <c r="H136" s="3">
        <f>IFERROR(__xludf.DUMMYFUNCTION("""COMPUTED_VALUE"""),503.17)</f>
        <v>503.17</v>
      </c>
      <c r="I136" s="3">
        <f>IFERROR(__xludf.DUMMYFUNCTION("""COMPUTED_VALUE"""),499.5)</f>
        <v>499.5</v>
      </c>
      <c r="J136" s="3">
        <f>IFERROR(__xludf.DUMMYFUNCTION("""COMPUTED_VALUE"""),202.88)</f>
        <v>202.88</v>
      </c>
      <c r="K136" s="3">
        <f>IFERROR(__xludf.DUMMYFUNCTION("""COMPUTED_VALUE"""),137.89)</f>
        <v>137.89</v>
      </c>
      <c r="L136" s="3">
        <f>IFERROR(__xludf.DUMMYFUNCTION("""COMPUTED_VALUE"""),229.0)</f>
        <v>229</v>
      </c>
      <c r="M136" s="3">
        <f>IFERROR(__xludf.DUMMYFUNCTION("""COMPUTED_VALUE"""),170.49)</f>
        <v>170.49</v>
      </c>
      <c r="N136" s="3">
        <f>IFERROR(__xludf.DUMMYFUNCTION("""COMPUTED_VALUE"""),77.87)</f>
        <v>77.87</v>
      </c>
      <c r="O136" s="3">
        <f>IFERROR(__xludf.DUMMYFUNCTION("""COMPUTED_VALUE"""),13.24)</f>
        <v>13.24</v>
      </c>
      <c r="P136" s="3">
        <f>IFERROR(__xludf.DUMMYFUNCTION("""COMPUTED_VALUE"""),468.83)</f>
        <v>468.83</v>
      </c>
      <c r="Q136" s="3">
        <f>IFERROR(__xludf.DUMMYFUNCTION("""COMPUTED_VALUE"""),52.27)</f>
        <v>52.27</v>
      </c>
      <c r="R136" s="3">
        <f>IFERROR(__xludf.DUMMYFUNCTION("""COMPUTED_VALUE"""),156.0)</f>
        <v>156</v>
      </c>
      <c r="S136" s="3">
        <f>IFERROR(__xludf.DUMMYFUNCTION("""COMPUTED_VALUE"""),90.17)</f>
        <v>90.17</v>
      </c>
      <c r="T136" s="3">
        <f>IFERROR(__xludf.DUMMYFUNCTION("""COMPUTED_VALUE"""),74.5)</f>
        <v>74.5</v>
      </c>
      <c r="U136" s="3">
        <f>IFERROR(__xludf.DUMMYFUNCTION("""COMPUTED_VALUE"""),381.5)</f>
        <v>381.5</v>
      </c>
      <c r="V136" s="3">
        <f>IFERROR(__xludf.DUMMYFUNCTION("""COMPUTED_VALUE"""),57.61)</f>
        <v>57.61</v>
      </c>
      <c r="W136" s="3">
        <f>IFERROR(__xludf.DUMMYFUNCTION("""COMPUTED_VALUE"""),176.83)</f>
        <v>176.83</v>
      </c>
      <c r="X136" s="3">
        <f>IFERROR(__xludf.DUMMYFUNCTION("""COMPUTED_VALUE"""),161.33)</f>
        <v>161.33</v>
      </c>
      <c r="Y136" s="1">
        <f>IFERROR(__xludf.DUMMYFUNCTION("""COMPUTED_VALUE"""),323.39)</f>
        <v>323.39</v>
      </c>
      <c r="Z136" s="1">
        <f>IFERROR(__xludf.DUMMYFUNCTION("""COMPUTED_VALUE"""),46.12)</f>
        <v>46.12</v>
      </c>
      <c r="AA136" s="1">
        <f>IFERROR(__xludf.DUMMYFUNCTION("""COMPUTED_VALUE"""),62.99)</f>
        <v>62.99</v>
      </c>
      <c r="AB136" s="1">
        <f>IFERROR(__xludf.DUMMYFUNCTION("""COMPUTED_VALUE"""),97.88)</f>
        <v>97.88</v>
      </c>
      <c r="AC136" s="1">
        <f>IFERROR(__xludf.DUMMYFUNCTION("""COMPUTED_VALUE"""),185.91)</f>
        <v>185.91</v>
      </c>
      <c r="AD136" s="3">
        <f>IFERROR(__xludf.DUMMYFUNCTION("""COMPUTED_VALUE"""),63.18)</f>
        <v>63.18</v>
      </c>
      <c r="AE136" s="1">
        <f>IFERROR(__xludf.DUMMYFUNCTION("""COMPUTED_VALUE"""),438.97)</f>
        <v>438.97</v>
      </c>
      <c r="AF136" s="1">
        <f>IFERROR(__xludf.DUMMYFUNCTION("""COMPUTED_VALUE"""),60.82)</f>
        <v>60.82</v>
      </c>
      <c r="AG136" s="1">
        <f>IFERROR(__xludf.DUMMYFUNCTION("""COMPUTED_VALUE"""),120.32)</f>
        <v>120.32</v>
      </c>
      <c r="AH136" s="1">
        <f>IFERROR(__xludf.DUMMYFUNCTION("""COMPUTED_VALUE"""),288.03)</f>
        <v>288.03</v>
      </c>
      <c r="AI136" s="1">
        <f>IFERROR(__xludf.DUMMYFUNCTION("""COMPUTED_VALUE"""),427.16)</f>
        <v>427.16</v>
      </c>
      <c r="AJ136" s="1">
        <f>IFERROR(__xludf.DUMMYFUNCTION("""COMPUTED_VALUE"""),280.05)</f>
        <v>280.05</v>
      </c>
      <c r="AK136" s="3">
        <f>IFERROR(__xludf.DUMMYFUNCTION("""COMPUTED_VALUE"""),54.87)</f>
        <v>54.87</v>
      </c>
      <c r="AL136" s="1">
        <f>IFERROR(__xludf.DUMMYFUNCTION("""COMPUTED_VALUE"""),88.63)</f>
        <v>88.63</v>
      </c>
      <c r="AM136" s="1">
        <f>IFERROR(__xludf.DUMMYFUNCTION("""COMPUTED_VALUE"""),581.93)</f>
        <v>581.93</v>
      </c>
      <c r="AN136" s="1">
        <f>IFERROR(__xludf.DUMMYFUNCTION("""COMPUTED_VALUE"""),400.0)</f>
        <v>400</v>
      </c>
      <c r="AO136" s="1">
        <f>IFERROR(__xludf.DUMMYFUNCTION("""COMPUTED_VALUE"""),120.56)</f>
        <v>120.56</v>
      </c>
      <c r="AP136" s="1">
        <f>IFERROR(__xludf.DUMMYFUNCTION("""COMPUTED_VALUE"""),155.77)</f>
        <v>155.77</v>
      </c>
      <c r="AQ136" s="3">
        <f>IFERROR(__xludf.DUMMYFUNCTION("""COMPUTED_VALUE"""),541.82)</f>
        <v>541.82</v>
      </c>
      <c r="AR136" s="3">
        <f>IFERROR(__xludf.DUMMYFUNCTION("""COMPUTED_VALUE"""),240.78)</f>
        <v>240.78</v>
      </c>
      <c r="AS136" s="3">
        <f>IFERROR(__xludf.DUMMYFUNCTION("""COMPUTED_VALUE"""),534.73)</f>
        <v>534.73</v>
      </c>
      <c r="AT136" s="3">
        <f>IFERROR(__xludf.DUMMYFUNCTION("""COMPUTED_VALUE"""),308.31)</f>
        <v>308.31</v>
      </c>
      <c r="AU136" s="1">
        <f>IFERROR(__xludf.DUMMYFUNCTION("""COMPUTED_VALUE"""),32.17)</f>
        <v>32.17</v>
      </c>
      <c r="AV136" s="1">
        <f>IFERROR(__xludf.DUMMYFUNCTION("""COMPUTED_VALUE"""),84.11)</f>
        <v>84.11</v>
      </c>
      <c r="AW136" s="1">
        <f>IFERROR(__xludf.DUMMYFUNCTION("""COMPUTED_VALUE"""),82.6)</f>
        <v>82.6</v>
      </c>
      <c r="AX136" s="1">
        <f>IFERROR(__xludf.DUMMYFUNCTION("""COMPUTED_VALUE"""),18.23)</f>
        <v>18.23</v>
      </c>
      <c r="AY136" s="1">
        <f>IFERROR(__xludf.DUMMYFUNCTION("""COMPUTED_VALUE"""),415.49)</f>
        <v>415.49</v>
      </c>
      <c r="AZ136" s="3">
        <f>IFERROR(__xludf.DUMMYFUNCTION("""COMPUTED_VALUE"""),76.88)</f>
        <v>76.88</v>
      </c>
      <c r="BA136" s="3">
        <f>IFERROR(__xludf.DUMMYFUNCTION("""COMPUTED_VALUE"""),94.52)</f>
        <v>94.52</v>
      </c>
      <c r="BB136" s="3">
        <f>IFERROR(__xludf.DUMMYFUNCTION("""COMPUTED_VALUE"""),145.89)</f>
        <v>145.89</v>
      </c>
      <c r="BC136" s="1">
        <f>IFERROR(__xludf.DUMMYFUNCTION("""COMPUTED_VALUE"""),99.69)</f>
        <v>99.69</v>
      </c>
      <c r="BD136" s="3">
        <f>IFERROR(__xludf.DUMMYFUNCTION("""COMPUTED_VALUE"""),53.74)</f>
        <v>53.74</v>
      </c>
      <c r="BE136" s="3">
        <f>IFERROR(__xludf.DUMMYFUNCTION("""COMPUTED_VALUE"""),62.12)</f>
        <v>62.12</v>
      </c>
      <c r="BF136" s="1">
        <f>IFERROR(__xludf.DUMMYFUNCTION("""COMPUTED_VALUE"""),84.74)</f>
        <v>84.74</v>
      </c>
      <c r="BG136" s="1">
        <f>IFERROR(__xludf.DUMMYFUNCTION("""COMPUTED_VALUE"""),24.94)</f>
        <v>24.94</v>
      </c>
      <c r="BH136" s="1">
        <f>IFERROR(__xludf.DUMMYFUNCTION("""COMPUTED_VALUE"""),119.15)</f>
        <v>119.15</v>
      </c>
      <c r="BI136" s="1">
        <f>IFERROR(__xludf.DUMMYFUNCTION("""COMPUTED_VALUE"""),57.07)</f>
        <v>57.07</v>
      </c>
      <c r="BJ136" s="1">
        <f>IFERROR(__xludf.DUMMYFUNCTION("""COMPUTED_VALUE"""),235.47)</f>
        <v>235.47</v>
      </c>
      <c r="BK136" s="1">
        <f>IFERROR(__xludf.DUMMYFUNCTION("""COMPUTED_VALUE"""),512.84)</f>
        <v>512.84</v>
      </c>
      <c r="BL136" s="1">
        <f>IFERROR(__xludf.DUMMYFUNCTION("""COMPUTED_VALUE"""),172.91)</f>
        <v>172.91</v>
      </c>
      <c r="BM136" s="1">
        <f>IFERROR(__xludf.DUMMYFUNCTION("""COMPUTED_VALUE"""),77.2)</f>
        <v>77.2</v>
      </c>
      <c r="BN136" s="3">
        <f>IFERROR(__xludf.DUMMYFUNCTION("""COMPUTED_VALUE"""),9.12)</f>
        <v>9.12</v>
      </c>
      <c r="BO136" s="1">
        <f>IFERROR(__xludf.DUMMYFUNCTION("""COMPUTED_VALUE"""),233.56)</f>
        <v>233.56</v>
      </c>
      <c r="BP136" s="1">
        <f>IFERROR(__xludf.DUMMYFUNCTION("""COMPUTED_VALUE"""),600.5)</f>
        <v>600.5</v>
      </c>
      <c r="BQ136" s="36">
        <f>IFERROR(__xludf.DUMMYFUNCTION("""COMPUTED_VALUE"""),48.9)</f>
        <v>48.9</v>
      </c>
      <c r="BR136" s="1">
        <f>IFERROR(__xludf.DUMMYFUNCTION("""COMPUTED_VALUE"""),13.13)</f>
        <v>13.13</v>
      </c>
      <c r="BS136" s="3">
        <f>IFERROR(__xludf.DUMMYFUNCTION("""COMPUTED_VALUE"""),218.78)</f>
        <v>218.78</v>
      </c>
      <c r="BT136" s="1">
        <f>IFERROR(__xludf.DUMMYFUNCTION("""COMPUTED_VALUE"""),114.26)</f>
        <v>114.26</v>
      </c>
      <c r="BU136" s="3">
        <v>1.0</v>
      </c>
    </row>
    <row r="137">
      <c r="A137" s="25">
        <f>IFERROR(__xludf.DUMMYFUNCTION("""COMPUTED_VALUE"""),45617.66666666667)</f>
        <v>45617.66667</v>
      </c>
      <c r="B137" s="29">
        <f>'Master Scratch Work'!B136</f>
        <v>1371451.82</v>
      </c>
      <c r="C137" s="15">
        <f>IFERROR(__xludf.DUMMYFUNCTION("""COMPUTED_VALUE"""),5948.71)</f>
        <v>5948.71</v>
      </c>
      <c r="D137" s="15">
        <f>IFERROR(__xludf.DUMMYFUNCTION("""COMPUTED_VALUE"""),18972.42)</f>
        <v>18972.42</v>
      </c>
      <c r="E137" s="15">
        <f>IFERROR(__xludf.DUMMYFUNCTION("""COMPUTED_VALUE"""),43870.35)</f>
        <v>43870.35</v>
      </c>
      <c r="F137" s="15">
        <f>IFERROR(__xludf.DUMMYFUNCTION("""COMPUTED_VALUE"""),2364.02)</f>
        <v>2364.02</v>
      </c>
      <c r="G137" s="3">
        <f>IFERROR(__xludf.DUMMYFUNCTION("""COMPUTED_VALUE"""),593.67)</f>
        <v>593.67</v>
      </c>
      <c r="H137" s="3">
        <f>IFERROR(__xludf.DUMMYFUNCTION("""COMPUTED_VALUE"""),504.98)</f>
        <v>504.98</v>
      </c>
      <c r="I137" s="3">
        <f>IFERROR(__xludf.DUMMYFUNCTION("""COMPUTED_VALUE"""),504.44)</f>
        <v>504.44</v>
      </c>
      <c r="J137" s="3">
        <f>IFERROR(__xludf.DUMMYFUNCTION("""COMPUTED_VALUE"""),198.38)</f>
        <v>198.38</v>
      </c>
      <c r="K137" s="3">
        <f>IFERROR(__xludf.DUMMYFUNCTION("""COMPUTED_VALUE"""),138.79)</f>
        <v>138.79</v>
      </c>
      <c r="L137" s="3">
        <f>IFERROR(__xludf.DUMMYFUNCTION("""COMPUTED_VALUE"""),228.52)</f>
        <v>228.52</v>
      </c>
      <c r="M137" s="3">
        <f>IFERROR(__xludf.DUMMYFUNCTION("""COMPUTED_VALUE"""),175.75)</f>
        <v>175.75</v>
      </c>
      <c r="N137" s="3">
        <f>IFERROR(__xludf.DUMMYFUNCTION("""COMPUTED_VALUE"""),78.88)</f>
        <v>78.88</v>
      </c>
      <c r="O137" s="3">
        <f>IFERROR(__xludf.DUMMYFUNCTION("""COMPUTED_VALUE"""),13.32)</f>
        <v>13.32</v>
      </c>
      <c r="P137" s="3">
        <f>IFERROR(__xludf.DUMMYFUNCTION("""COMPUTED_VALUE"""),472.06)</f>
        <v>472.06</v>
      </c>
      <c r="Q137" s="3">
        <f>IFERROR(__xludf.DUMMYFUNCTION("""COMPUTED_VALUE"""),52.02)</f>
        <v>52.02</v>
      </c>
      <c r="R137" s="3">
        <f>IFERROR(__xludf.DUMMYFUNCTION("""COMPUTED_VALUE"""),158.01)</f>
        <v>158.01</v>
      </c>
      <c r="S137" s="3">
        <f>IFERROR(__xludf.DUMMYFUNCTION("""COMPUTED_VALUE"""),91.5)</f>
        <v>91.5</v>
      </c>
      <c r="T137" s="3">
        <f>IFERROR(__xludf.DUMMYFUNCTION("""COMPUTED_VALUE"""),76.01)</f>
        <v>76.01</v>
      </c>
      <c r="U137" s="3">
        <f>IFERROR(__xludf.DUMMYFUNCTION("""COMPUTED_VALUE"""),389.59)</f>
        <v>389.59</v>
      </c>
      <c r="V137" s="3">
        <f>IFERROR(__xludf.DUMMYFUNCTION("""COMPUTED_VALUE"""),60.93)</f>
        <v>60.93</v>
      </c>
      <c r="W137" s="3">
        <f>IFERROR(__xludf.DUMMYFUNCTION("""COMPUTED_VALUE"""),181.99)</f>
        <v>181.99</v>
      </c>
      <c r="X137" s="3">
        <f>IFERROR(__xludf.DUMMYFUNCTION("""COMPUTED_VALUE"""),161.63)</f>
        <v>161.63</v>
      </c>
      <c r="Y137" s="1">
        <f>IFERROR(__xludf.DUMMYFUNCTION("""COMPUTED_VALUE"""),330.07)</f>
        <v>330.07</v>
      </c>
      <c r="Z137" s="1">
        <f>IFERROR(__xludf.DUMMYFUNCTION("""COMPUTED_VALUE"""),46.77)</f>
        <v>46.77</v>
      </c>
      <c r="AA137" s="1">
        <f>IFERROR(__xludf.DUMMYFUNCTION("""COMPUTED_VALUE"""),63.76)</f>
        <v>63.76</v>
      </c>
      <c r="AB137" s="1">
        <f>IFERROR(__xludf.DUMMYFUNCTION("""COMPUTED_VALUE"""),98.7)</f>
        <v>98.7</v>
      </c>
      <c r="AC137" s="1">
        <f>IFERROR(__xludf.DUMMYFUNCTION("""COMPUTED_VALUE"""),187.37)</f>
        <v>187.37</v>
      </c>
      <c r="AD137" s="3">
        <f>IFERROR(__xludf.DUMMYFUNCTION("""COMPUTED_VALUE"""),65.76)</f>
        <v>65.76</v>
      </c>
      <c r="AE137" s="1">
        <f>IFERROR(__xludf.DUMMYFUNCTION("""COMPUTED_VALUE"""),445.85)</f>
        <v>445.85</v>
      </c>
      <c r="AF137" s="1">
        <f>IFERROR(__xludf.DUMMYFUNCTION("""COMPUTED_VALUE"""),61.41)</f>
        <v>61.41</v>
      </c>
      <c r="AG137" s="1">
        <f>IFERROR(__xludf.DUMMYFUNCTION("""COMPUTED_VALUE"""),121.93)</f>
        <v>121.93</v>
      </c>
      <c r="AH137" s="1">
        <f>IFERROR(__xludf.DUMMYFUNCTION("""COMPUTED_VALUE"""),295.16)</f>
        <v>295.16</v>
      </c>
      <c r="AI137" s="1">
        <f>IFERROR(__xludf.DUMMYFUNCTION("""COMPUTED_VALUE"""),429.51)</f>
        <v>429.51</v>
      </c>
      <c r="AJ137" s="1">
        <f>IFERROR(__xludf.DUMMYFUNCTION("""COMPUTED_VALUE"""),279.93)</f>
        <v>279.93</v>
      </c>
      <c r="AK137" s="3">
        <f>IFERROR(__xludf.DUMMYFUNCTION("""COMPUTED_VALUE"""),55.68)</f>
        <v>55.68</v>
      </c>
      <c r="AL137" s="1">
        <f>IFERROR(__xludf.DUMMYFUNCTION("""COMPUTED_VALUE"""),89.76)</f>
        <v>89.76</v>
      </c>
      <c r="AM137" s="1">
        <f>IFERROR(__xludf.DUMMYFUNCTION("""COMPUTED_VALUE"""),596.11)</f>
        <v>596.11</v>
      </c>
      <c r="AN137" s="1">
        <f>IFERROR(__xludf.DUMMYFUNCTION("""COMPUTED_VALUE"""),410.45)</f>
        <v>410.45</v>
      </c>
      <c r="AO137" s="1">
        <f>IFERROR(__xludf.DUMMYFUNCTION("""COMPUTED_VALUE"""),122.01)</f>
        <v>122.01</v>
      </c>
      <c r="AP137" s="1">
        <f>IFERROR(__xludf.DUMMYFUNCTION("""COMPUTED_VALUE"""),158.35)</f>
        <v>158.35</v>
      </c>
      <c r="AQ137" s="3">
        <f>IFERROR(__xludf.DUMMYFUNCTION("""COMPUTED_VALUE"""),550.62)</f>
        <v>550.62</v>
      </c>
      <c r="AR137" s="3">
        <f>IFERROR(__xludf.DUMMYFUNCTION("""COMPUTED_VALUE"""),244.76)</f>
        <v>244.76</v>
      </c>
      <c r="AS137" s="3">
        <f>IFERROR(__xludf.DUMMYFUNCTION("""COMPUTED_VALUE"""),542.01)</f>
        <v>542.01</v>
      </c>
      <c r="AT137" s="3">
        <f>IFERROR(__xludf.DUMMYFUNCTION("""COMPUTED_VALUE"""),315.14)</f>
        <v>315.14</v>
      </c>
      <c r="AU137" s="1">
        <f>IFERROR(__xludf.DUMMYFUNCTION("""COMPUTED_VALUE"""),32.68)</f>
        <v>32.68</v>
      </c>
      <c r="AV137" s="1">
        <f>IFERROR(__xludf.DUMMYFUNCTION("""COMPUTED_VALUE"""),84.74)</f>
        <v>84.74</v>
      </c>
      <c r="AW137" s="1">
        <f>IFERROR(__xludf.DUMMYFUNCTION("""COMPUTED_VALUE"""),85.19)</f>
        <v>85.19</v>
      </c>
      <c r="AX137" s="1">
        <f>IFERROR(__xludf.DUMMYFUNCTION("""COMPUTED_VALUE"""),18.73)</f>
        <v>18.73</v>
      </c>
      <c r="AY137" s="1">
        <f>IFERROR(__xludf.DUMMYFUNCTION("""COMPUTED_VALUE"""),412.87)</f>
        <v>412.87</v>
      </c>
      <c r="AZ137" s="3">
        <f>IFERROR(__xludf.DUMMYFUNCTION("""COMPUTED_VALUE"""),77.36)</f>
        <v>77.36</v>
      </c>
      <c r="BA137" s="3">
        <f>IFERROR(__xludf.DUMMYFUNCTION("""COMPUTED_VALUE"""),96.89)</f>
        <v>96.89</v>
      </c>
      <c r="BB137" s="3">
        <f>IFERROR(__xludf.DUMMYFUNCTION("""COMPUTED_VALUE"""),146.67)</f>
        <v>146.67</v>
      </c>
      <c r="BC137" s="1">
        <f>IFERROR(__xludf.DUMMYFUNCTION("""COMPUTED_VALUE"""),99.95)</f>
        <v>99.95</v>
      </c>
      <c r="BD137" s="3">
        <f>IFERROR(__xludf.DUMMYFUNCTION("""COMPUTED_VALUE"""),56.19)</f>
        <v>56.19</v>
      </c>
      <c r="BE137" s="3">
        <f>IFERROR(__xludf.DUMMYFUNCTION("""COMPUTED_VALUE"""),61.36)</f>
        <v>61.36</v>
      </c>
      <c r="BF137" s="1">
        <f>IFERROR(__xludf.DUMMYFUNCTION("""COMPUTED_VALUE"""),84.82)</f>
        <v>84.82</v>
      </c>
      <c r="BG137" s="1">
        <f>IFERROR(__xludf.DUMMYFUNCTION("""COMPUTED_VALUE"""),25.13)</f>
        <v>25.13</v>
      </c>
      <c r="BH137" s="1">
        <f>IFERROR(__xludf.DUMMYFUNCTION("""COMPUTED_VALUE"""),120.53)</f>
        <v>120.53</v>
      </c>
      <c r="BI137" s="1">
        <f>IFERROR(__xludf.DUMMYFUNCTION("""COMPUTED_VALUE"""),56.78)</f>
        <v>56.78</v>
      </c>
      <c r="BJ137" s="1">
        <f>IFERROR(__xludf.DUMMYFUNCTION("""COMPUTED_VALUE"""),236.58)</f>
        <v>236.58</v>
      </c>
      <c r="BK137" s="1">
        <f>IFERROR(__xludf.DUMMYFUNCTION("""COMPUTED_VALUE"""),516.1)</f>
        <v>516.1</v>
      </c>
      <c r="BL137" s="1">
        <f>IFERROR(__xludf.DUMMYFUNCTION("""COMPUTED_VALUE"""),173.38)</f>
        <v>173.38</v>
      </c>
      <c r="BM137" s="1">
        <f>IFERROR(__xludf.DUMMYFUNCTION("""COMPUTED_VALUE"""),79.34)</f>
        <v>79.34</v>
      </c>
      <c r="BN137" s="3">
        <f>IFERROR(__xludf.DUMMYFUNCTION("""COMPUTED_VALUE"""),9.24)</f>
        <v>9.24</v>
      </c>
      <c r="BO137" s="1">
        <f>IFERROR(__xludf.DUMMYFUNCTION("""COMPUTED_VALUE"""),239.02)</f>
        <v>239.02</v>
      </c>
      <c r="BP137" s="1">
        <f>IFERROR(__xludf.DUMMYFUNCTION("""COMPUTED_VALUE"""),597.49)</f>
        <v>597.49</v>
      </c>
      <c r="BQ137" s="36">
        <f>IFERROR(__xludf.DUMMYFUNCTION("""COMPUTED_VALUE"""),48.86)</f>
        <v>48.86</v>
      </c>
      <c r="BR137" s="1">
        <f>IFERROR(__xludf.DUMMYFUNCTION("""COMPUTED_VALUE"""),13.25)</f>
        <v>13.25</v>
      </c>
      <c r="BS137" s="3">
        <f>IFERROR(__xludf.DUMMYFUNCTION("""COMPUTED_VALUE"""),221.53)</f>
        <v>221.53</v>
      </c>
      <c r="BT137" s="1">
        <f>IFERROR(__xludf.DUMMYFUNCTION("""COMPUTED_VALUE"""),114.72)</f>
        <v>114.72</v>
      </c>
      <c r="BU137" s="3">
        <v>1.0</v>
      </c>
    </row>
    <row r="138">
      <c r="A138" s="25">
        <f>IFERROR(__xludf.DUMMYFUNCTION("""COMPUTED_VALUE"""),45618.66666666667)</f>
        <v>45618.66667</v>
      </c>
      <c r="B138" s="29">
        <f>'Master Scratch Work'!B137</f>
        <v>1378667.08</v>
      </c>
      <c r="C138" s="15">
        <f>IFERROR(__xludf.DUMMYFUNCTION("""COMPUTED_VALUE"""),5969.34)</f>
        <v>5969.34</v>
      </c>
      <c r="D138" s="15">
        <f>IFERROR(__xludf.DUMMYFUNCTION("""COMPUTED_VALUE"""),19003.65)</f>
        <v>19003.65</v>
      </c>
      <c r="E138" s="15">
        <f>IFERROR(__xludf.DUMMYFUNCTION("""COMPUTED_VALUE"""),44296.51)</f>
        <v>44296.51</v>
      </c>
      <c r="F138" s="15">
        <f>IFERROR(__xludf.DUMMYFUNCTION("""COMPUTED_VALUE"""),2406.67)</f>
        <v>2406.67</v>
      </c>
      <c r="G138" s="3">
        <f>IFERROR(__xludf.DUMMYFUNCTION("""COMPUTED_VALUE"""),595.51)</f>
        <v>595.51</v>
      </c>
      <c r="H138" s="3">
        <f>IFERROR(__xludf.DUMMYFUNCTION("""COMPUTED_VALUE"""),505.79)</f>
        <v>505.79</v>
      </c>
      <c r="I138" s="3">
        <f>IFERROR(__xludf.DUMMYFUNCTION("""COMPUTED_VALUE"""),512.15)</f>
        <v>512.15</v>
      </c>
      <c r="J138" s="3">
        <f>IFERROR(__xludf.DUMMYFUNCTION("""COMPUTED_VALUE"""),197.12)</f>
        <v>197.12</v>
      </c>
      <c r="K138" s="3">
        <f>IFERROR(__xludf.DUMMYFUNCTION("""COMPUTED_VALUE"""),137.31)</f>
        <v>137.31</v>
      </c>
      <c r="L138" s="3">
        <f>IFERROR(__xludf.DUMMYFUNCTION("""COMPUTED_VALUE"""),229.87)</f>
        <v>229.87</v>
      </c>
      <c r="M138" s="3">
        <f>IFERROR(__xludf.DUMMYFUNCTION("""COMPUTED_VALUE"""),174.88)</f>
        <v>174.88</v>
      </c>
      <c r="N138" s="3">
        <f>IFERROR(__xludf.DUMMYFUNCTION("""COMPUTED_VALUE"""),80.14)</f>
        <v>80.14</v>
      </c>
      <c r="O138" s="3">
        <f>IFERROR(__xludf.DUMMYFUNCTION("""COMPUTED_VALUE"""),12.97)</f>
        <v>12.97</v>
      </c>
      <c r="P138" s="3">
        <f>IFERROR(__xludf.DUMMYFUNCTION("""COMPUTED_VALUE"""),476.57)</f>
        <v>476.57</v>
      </c>
      <c r="Q138" s="3">
        <f>IFERROR(__xludf.DUMMYFUNCTION("""COMPUTED_VALUE"""),52.36)</f>
        <v>52.36</v>
      </c>
      <c r="R138" s="3">
        <f>IFERROR(__xludf.DUMMYFUNCTION("""COMPUTED_VALUE"""),157.9)</f>
        <v>157.9</v>
      </c>
      <c r="S138" s="3">
        <f>IFERROR(__xludf.DUMMYFUNCTION("""COMPUTED_VALUE"""),90.0)</f>
        <v>90</v>
      </c>
      <c r="T138" s="3">
        <f>IFERROR(__xludf.DUMMYFUNCTION("""COMPUTED_VALUE"""),77.0)</f>
        <v>77</v>
      </c>
      <c r="U138" s="3">
        <f>IFERROR(__xludf.DUMMYFUNCTION("""COMPUTED_VALUE"""),397.49)</f>
        <v>397.49</v>
      </c>
      <c r="V138" s="3">
        <f>IFERROR(__xludf.DUMMYFUNCTION("""COMPUTED_VALUE"""),60.11)</f>
        <v>60.11</v>
      </c>
      <c r="W138" s="3">
        <f>IFERROR(__xludf.DUMMYFUNCTION("""COMPUTED_VALUE"""),181.75)</f>
        <v>181.75</v>
      </c>
      <c r="X138" s="3">
        <f>IFERROR(__xludf.DUMMYFUNCTION("""COMPUTED_VALUE"""),162.36)</f>
        <v>162.36</v>
      </c>
      <c r="Y138" s="1">
        <f>IFERROR(__xludf.DUMMYFUNCTION("""COMPUTED_VALUE"""),328.45)</f>
        <v>328.45</v>
      </c>
      <c r="Z138" s="1">
        <f>IFERROR(__xludf.DUMMYFUNCTION("""COMPUTED_VALUE"""),47.65)</f>
        <v>47.65</v>
      </c>
      <c r="AA138" s="1">
        <f>IFERROR(__xludf.DUMMYFUNCTION("""COMPUTED_VALUE"""),63.92)</f>
        <v>63.92</v>
      </c>
      <c r="AB138" s="1">
        <f>IFERROR(__xludf.DUMMYFUNCTION("""COMPUTED_VALUE"""),98.36)</f>
        <v>98.36</v>
      </c>
      <c r="AC138" s="1">
        <f>IFERROR(__xludf.DUMMYFUNCTION("""COMPUTED_VALUE"""),189.84)</f>
        <v>189.84</v>
      </c>
      <c r="AD138" s="3">
        <f>IFERROR(__xludf.DUMMYFUNCTION("""COMPUTED_VALUE"""),66.4)</f>
        <v>66.4</v>
      </c>
      <c r="AE138" s="1">
        <f>IFERROR(__xludf.DUMMYFUNCTION("""COMPUTED_VALUE"""),453.35)</f>
        <v>453.35</v>
      </c>
      <c r="AF138" s="1">
        <f>IFERROR(__xludf.DUMMYFUNCTION("""COMPUTED_VALUE"""),63.24)</f>
        <v>63.24</v>
      </c>
      <c r="AG138" s="1">
        <f>IFERROR(__xludf.DUMMYFUNCTION("""COMPUTED_VALUE"""),121.79)</f>
        <v>121.79</v>
      </c>
      <c r="AH138" s="1">
        <f>IFERROR(__xludf.DUMMYFUNCTION("""COMPUTED_VALUE"""),299.97)</f>
        <v>299.97</v>
      </c>
      <c r="AI138" s="1">
        <f>IFERROR(__xludf.DUMMYFUNCTION("""COMPUTED_VALUE"""),437.62)</f>
        <v>437.62</v>
      </c>
      <c r="AJ138" s="1">
        <f>IFERROR(__xludf.DUMMYFUNCTION("""COMPUTED_VALUE"""),281.81)</f>
        <v>281.81</v>
      </c>
      <c r="AK138" s="3">
        <f>IFERROR(__xludf.DUMMYFUNCTION("""COMPUTED_VALUE"""),58.53)</f>
        <v>58.53</v>
      </c>
      <c r="AL138" s="1">
        <f>IFERROR(__xludf.DUMMYFUNCTION("""COMPUTED_VALUE"""),90.19)</f>
        <v>90.19</v>
      </c>
      <c r="AM138" s="1">
        <f>IFERROR(__xludf.DUMMYFUNCTION("""COMPUTED_VALUE"""),602.78)</f>
        <v>602.78</v>
      </c>
      <c r="AN138" s="1">
        <f>IFERROR(__xludf.DUMMYFUNCTION("""COMPUTED_VALUE"""),420.0)</f>
        <v>420</v>
      </c>
      <c r="AO138" s="1">
        <f>IFERROR(__xludf.DUMMYFUNCTION("""COMPUTED_VALUE"""),123.92)</f>
        <v>123.92</v>
      </c>
      <c r="AP138" s="1">
        <f>IFERROR(__xludf.DUMMYFUNCTION("""COMPUTED_VALUE"""),159.29)</f>
        <v>159.29</v>
      </c>
      <c r="AQ138" s="3">
        <f>IFERROR(__xludf.DUMMYFUNCTION("""COMPUTED_VALUE"""),547.87)</f>
        <v>547.87</v>
      </c>
      <c r="AR138" s="3">
        <f>IFERROR(__xludf.DUMMYFUNCTION("""COMPUTED_VALUE"""),248.55)</f>
        <v>248.55</v>
      </c>
      <c r="AS138" s="3">
        <f>IFERROR(__xludf.DUMMYFUNCTION("""COMPUTED_VALUE"""),542.22)</f>
        <v>542.22</v>
      </c>
      <c r="AT138" s="3">
        <f>IFERROR(__xludf.DUMMYFUNCTION("""COMPUTED_VALUE"""),317.11)</f>
        <v>317.11</v>
      </c>
      <c r="AU138" s="1">
        <f>IFERROR(__xludf.DUMMYFUNCTION("""COMPUTED_VALUE"""),32.47)</f>
        <v>32.47</v>
      </c>
      <c r="AV138" s="1">
        <f>IFERROR(__xludf.DUMMYFUNCTION("""COMPUTED_VALUE"""),86.21)</f>
        <v>86.21</v>
      </c>
      <c r="AW138" s="1">
        <f>IFERROR(__xludf.DUMMYFUNCTION("""COMPUTED_VALUE"""),86.59)</f>
        <v>86.59</v>
      </c>
      <c r="AX138" s="1">
        <f>IFERROR(__xludf.DUMMYFUNCTION("""COMPUTED_VALUE"""),19.64)</f>
        <v>19.64</v>
      </c>
      <c r="AY138" s="1">
        <f>IFERROR(__xludf.DUMMYFUNCTION("""COMPUTED_VALUE"""),417.0)</f>
        <v>417</v>
      </c>
      <c r="AZ138" s="3">
        <f>IFERROR(__xludf.DUMMYFUNCTION("""COMPUTED_VALUE"""),76.0)</f>
        <v>76</v>
      </c>
      <c r="BA138" s="3">
        <f>IFERROR(__xludf.DUMMYFUNCTION("""COMPUTED_VALUE"""),95.48)</f>
        <v>95.48</v>
      </c>
      <c r="BB138" s="3">
        <f>IFERROR(__xludf.DUMMYFUNCTION("""COMPUTED_VALUE"""),141.95)</f>
        <v>141.95</v>
      </c>
      <c r="BC138" s="1">
        <f>IFERROR(__xludf.DUMMYFUNCTION("""COMPUTED_VALUE"""),101.2)</f>
        <v>101.2</v>
      </c>
      <c r="BD138" s="3">
        <f>IFERROR(__xludf.DUMMYFUNCTION("""COMPUTED_VALUE"""),58.13)</f>
        <v>58.13</v>
      </c>
      <c r="BE138" s="3">
        <f>IFERROR(__xludf.DUMMYFUNCTION("""COMPUTED_VALUE"""),64.35)</f>
        <v>64.35</v>
      </c>
      <c r="BF138" s="1">
        <f>IFERROR(__xludf.DUMMYFUNCTION("""COMPUTED_VALUE"""),86.77)</f>
        <v>86.77</v>
      </c>
      <c r="BG138" s="1">
        <f>IFERROR(__xludf.DUMMYFUNCTION("""COMPUTED_VALUE"""),25.65)</f>
        <v>25.65</v>
      </c>
      <c r="BH138" s="1">
        <f>IFERROR(__xludf.DUMMYFUNCTION("""COMPUTED_VALUE"""),120.77)</f>
        <v>120.77</v>
      </c>
      <c r="BI138" s="1">
        <f>IFERROR(__xludf.DUMMYFUNCTION("""COMPUTED_VALUE"""),56.75)</f>
        <v>56.75</v>
      </c>
      <c r="BJ138" s="1">
        <f>IFERROR(__xludf.DUMMYFUNCTION("""COMPUTED_VALUE"""),238.28)</f>
        <v>238.28</v>
      </c>
      <c r="BK138" s="1">
        <f>IFERROR(__xludf.DUMMYFUNCTION("""COMPUTED_VALUE"""),513.26)</f>
        <v>513.26</v>
      </c>
      <c r="BL138" s="1">
        <f>IFERROR(__xludf.DUMMYFUNCTION("""COMPUTED_VALUE"""),174.4)</f>
        <v>174.4</v>
      </c>
      <c r="BM138" s="1">
        <f>IFERROR(__xludf.DUMMYFUNCTION("""COMPUTED_VALUE"""),76.04)</f>
        <v>76.04</v>
      </c>
      <c r="BN138" s="3">
        <f>IFERROR(__xludf.DUMMYFUNCTION("""COMPUTED_VALUE"""),9.52)</f>
        <v>9.52</v>
      </c>
      <c r="BO138" s="1">
        <f>IFERROR(__xludf.DUMMYFUNCTION("""COMPUTED_VALUE"""),242.39)</f>
        <v>242.39</v>
      </c>
      <c r="BP138" s="1">
        <f>IFERROR(__xludf.DUMMYFUNCTION("""COMPUTED_VALUE"""),590.87)</f>
        <v>590.87</v>
      </c>
      <c r="BQ138" s="36">
        <f>IFERROR(__xludf.DUMMYFUNCTION("""COMPUTED_VALUE"""),48.87)</f>
        <v>48.87</v>
      </c>
      <c r="BR138" s="1">
        <f>IFERROR(__xludf.DUMMYFUNCTION("""COMPUTED_VALUE"""),13.37)</f>
        <v>13.37</v>
      </c>
      <c r="BS138" s="3">
        <f>IFERROR(__xludf.DUMMYFUNCTION("""COMPUTED_VALUE"""),224.41)</f>
        <v>224.41</v>
      </c>
      <c r="BT138" s="1">
        <f>IFERROR(__xludf.DUMMYFUNCTION("""COMPUTED_VALUE"""),115.65)</f>
        <v>115.65</v>
      </c>
      <c r="BU138" s="3">
        <v>1.0</v>
      </c>
    </row>
    <row r="139">
      <c r="A139" s="25">
        <f>IFERROR(__xludf.DUMMYFUNCTION("""COMPUTED_VALUE"""),45621.66666666667)</f>
        <v>45621.66667</v>
      </c>
      <c r="B139" s="29">
        <f>'Master Scratch Work'!B138</f>
        <v>1386593.8</v>
      </c>
      <c r="C139" s="15">
        <f>IFERROR(__xludf.DUMMYFUNCTION("""COMPUTED_VALUE"""),5987.37)</f>
        <v>5987.37</v>
      </c>
      <c r="D139" s="15">
        <f>IFERROR(__xludf.DUMMYFUNCTION("""COMPUTED_VALUE"""),19054.84)</f>
        <v>19054.84</v>
      </c>
      <c r="E139" s="15">
        <f>IFERROR(__xludf.DUMMYFUNCTION("""COMPUTED_VALUE"""),44736.57)</f>
        <v>44736.57</v>
      </c>
      <c r="F139" s="15">
        <f>IFERROR(__xludf.DUMMYFUNCTION("""COMPUTED_VALUE"""),2442.03)</f>
        <v>2442.03</v>
      </c>
      <c r="G139" s="3">
        <f>IFERROR(__xludf.DUMMYFUNCTION("""COMPUTED_VALUE"""),597.53)</f>
        <v>597.53</v>
      </c>
      <c r="H139" s="3">
        <f>IFERROR(__xludf.DUMMYFUNCTION("""COMPUTED_VALUE"""),506.59)</f>
        <v>506.59</v>
      </c>
      <c r="I139" s="3">
        <f>IFERROR(__xludf.DUMMYFUNCTION("""COMPUTED_VALUE"""),518.73)</f>
        <v>518.73</v>
      </c>
      <c r="J139" s="3">
        <f>IFERROR(__xludf.DUMMYFUNCTION("""COMPUTED_VALUE"""),201.45)</f>
        <v>201.45</v>
      </c>
      <c r="K139" s="3">
        <f>IFERROR(__xludf.DUMMYFUNCTION("""COMPUTED_VALUE"""),136.74)</f>
        <v>136.74</v>
      </c>
      <c r="L139" s="3">
        <f>IFERROR(__xludf.DUMMYFUNCTION("""COMPUTED_VALUE"""),232.87)</f>
        <v>232.87</v>
      </c>
      <c r="M139" s="3">
        <f>IFERROR(__xludf.DUMMYFUNCTION("""COMPUTED_VALUE"""),174.55)</f>
        <v>174.55</v>
      </c>
      <c r="N139" s="3">
        <f>IFERROR(__xludf.DUMMYFUNCTION("""COMPUTED_VALUE"""),81.22)</f>
        <v>81.22</v>
      </c>
      <c r="O139" s="3">
        <f>IFERROR(__xludf.DUMMYFUNCTION("""COMPUTED_VALUE"""),13.35)</f>
        <v>13.35</v>
      </c>
      <c r="P139" s="3">
        <f>IFERROR(__xludf.DUMMYFUNCTION("""COMPUTED_VALUE"""),477.43)</f>
        <v>477.43</v>
      </c>
      <c r="Q139" s="3">
        <f>IFERROR(__xludf.DUMMYFUNCTION("""COMPUTED_VALUE"""),52.46)</f>
        <v>52.46</v>
      </c>
      <c r="R139" s="3">
        <f>IFERROR(__xludf.DUMMYFUNCTION("""COMPUTED_VALUE"""),158.71)</f>
        <v>158.71</v>
      </c>
      <c r="S139" s="3">
        <f>IFERROR(__xludf.DUMMYFUNCTION("""COMPUTED_VALUE"""),89.25)</f>
        <v>89.25</v>
      </c>
      <c r="T139" s="3">
        <f>IFERROR(__xludf.DUMMYFUNCTION("""COMPUTED_VALUE"""),78.87)</f>
        <v>78.87</v>
      </c>
      <c r="U139" s="3">
        <f>IFERROR(__xludf.DUMMYFUNCTION("""COMPUTED_VALUE"""),405.65)</f>
        <v>405.65</v>
      </c>
      <c r="V139" s="3">
        <f>IFERROR(__xludf.DUMMYFUNCTION("""COMPUTED_VALUE"""),58.11)</f>
        <v>58.11</v>
      </c>
      <c r="W139" s="3">
        <f>IFERROR(__xludf.DUMMYFUNCTION("""COMPUTED_VALUE"""),183.18)</f>
        <v>183.18</v>
      </c>
      <c r="X139" s="3">
        <f>IFERROR(__xludf.DUMMYFUNCTION("""COMPUTED_VALUE"""),160.36)</f>
        <v>160.36</v>
      </c>
      <c r="Y139" s="1">
        <f>IFERROR(__xludf.DUMMYFUNCTION("""COMPUTED_VALUE"""),333.01)</f>
        <v>333.01</v>
      </c>
      <c r="Z139" s="1">
        <f>IFERROR(__xludf.DUMMYFUNCTION("""COMPUTED_VALUE"""),48.46)</f>
        <v>48.46</v>
      </c>
      <c r="AA139" s="1">
        <f>IFERROR(__xludf.DUMMYFUNCTION("""COMPUTED_VALUE"""),64.38)</f>
        <v>64.38</v>
      </c>
      <c r="AB139" s="1">
        <f>IFERROR(__xludf.DUMMYFUNCTION("""COMPUTED_VALUE"""),99.47)</f>
        <v>99.47</v>
      </c>
      <c r="AC139" s="1">
        <f>IFERROR(__xludf.DUMMYFUNCTION("""COMPUTED_VALUE"""),192.82)</f>
        <v>192.82</v>
      </c>
      <c r="AD139" s="3">
        <f>IFERROR(__xludf.DUMMYFUNCTION("""COMPUTED_VALUE"""),69.78)</f>
        <v>69.78</v>
      </c>
      <c r="AE139" s="1">
        <f>IFERROR(__xludf.DUMMYFUNCTION("""COMPUTED_VALUE"""),469.18)</f>
        <v>469.18</v>
      </c>
      <c r="AF139" s="1">
        <f>IFERROR(__xludf.DUMMYFUNCTION("""COMPUTED_VALUE"""),64.99)</f>
        <v>64.99</v>
      </c>
      <c r="AG139" s="1">
        <f>IFERROR(__xludf.DUMMYFUNCTION("""COMPUTED_VALUE"""),119.97)</f>
        <v>119.97</v>
      </c>
      <c r="AH139" s="1">
        <f>IFERROR(__xludf.DUMMYFUNCTION("""COMPUTED_VALUE"""),305.15)</f>
        <v>305.15</v>
      </c>
      <c r="AI139" s="1">
        <f>IFERROR(__xludf.DUMMYFUNCTION("""COMPUTED_VALUE"""),435.24)</f>
        <v>435.24</v>
      </c>
      <c r="AJ139" s="1">
        <f>IFERROR(__xludf.DUMMYFUNCTION("""COMPUTED_VALUE"""),281.35)</f>
        <v>281.35</v>
      </c>
      <c r="AK139" s="3">
        <f>IFERROR(__xludf.DUMMYFUNCTION("""COMPUTED_VALUE"""),60.2)</f>
        <v>60.2</v>
      </c>
      <c r="AL139" s="1">
        <f>IFERROR(__xludf.DUMMYFUNCTION("""COMPUTED_VALUE"""),90.49)</f>
        <v>90.49</v>
      </c>
      <c r="AM139" s="1">
        <f>IFERROR(__xludf.DUMMYFUNCTION("""COMPUTED_VALUE"""),603.03)</f>
        <v>603.03</v>
      </c>
      <c r="AN139" s="1">
        <f>IFERROR(__xludf.DUMMYFUNCTION("""COMPUTED_VALUE"""),428.67)</f>
        <v>428.67</v>
      </c>
      <c r="AO139" s="1">
        <f>IFERROR(__xludf.DUMMYFUNCTION("""COMPUTED_VALUE"""),125.6)</f>
        <v>125.6</v>
      </c>
      <c r="AP139" s="1">
        <f>IFERROR(__xludf.DUMMYFUNCTION("""COMPUTED_VALUE"""),159.63)</f>
        <v>159.63</v>
      </c>
      <c r="AQ139" s="3">
        <f>IFERROR(__xludf.DUMMYFUNCTION("""COMPUTED_VALUE"""),536.55)</f>
        <v>536.55</v>
      </c>
      <c r="AR139" s="3">
        <f>IFERROR(__xludf.DUMMYFUNCTION("""COMPUTED_VALUE"""),250.29)</f>
        <v>250.29</v>
      </c>
      <c r="AS139" s="3">
        <f>IFERROR(__xludf.DUMMYFUNCTION("""COMPUTED_VALUE"""),521.89)</f>
        <v>521.89</v>
      </c>
      <c r="AT139" s="3">
        <f>IFERROR(__xludf.DUMMYFUNCTION("""COMPUTED_VALUE"""),326.72)</f>
        <v>326.72</v>
      </c>
      <c r="AU139" s="1">
        <f>IFERROR(__xludf.DUMMYFUNCTION("""COMPUTED_VALUE"""),31.96)</f>
        <v>31.96</v>
      </c>
      <c r="AV139" s="1">
        <f>IFERROR(__xludf.DUMMYFUNCTION("""COMPUTED_VALUE"""),85.75)</f>
        <v>85.75</v>
      </c>
      <c r="AW139" s="1">
        <f>IFERROR(__xludf.DUMMYFUNCTION("""COMPUTED_VALUE"""),87.34)</f>
        <v>87.34</v>
      </c>
      <c r="AX139" s="1">
        <f>IFERROR(__xludf.DUMMYFUNCTION("""COMPUTED_VALUE"""),20.84)</f>
        <v>20.84</v>
      </c>
      <c r="AY139" s="1">
        <f>IFERROR(__xludf.DUMMYFUNCTION("""COMPUTED_VALUE"""),418.79)</f>
        <v>418.79</v>
      </c>
      <c r="AZ139" s="3">
        <f>IFERROR(__xludf.DUMMYFUNCTION("""COMPUTED_VALUE"""),76.64)</f>
        <v>76.64</v>
      </c>
      <c r="BA139" s="3">
        <f>IFERROR(__xludf.DUMMYFUNCTION("""COMPUTED_VALUE"""),91.87)</f>
        <v>91.87</v>
      </c>
      <c r="BB139" s="3">
        <f>IFERROR(__xludf.DUMMYFUNCTION("""COMPUTED_VALUE"""),136.02)</f>
        <v>136.02</v>
      </c>
      <c r="BC139" s="1">
        <f>IFERROR(__xludf.DUMMYFUNCTION("""COMPUTED_VALUE"""),102.46)</f>
        <v>102.46</v>
      </c>
      <c r="BD139" s="3">
        <f>IFERROR(__xludf.DUMMYFUNCTION("""COMPUTED_VALUE"""),58.47)</f>
        <v>58.47</v>
      </c>
      <c r="BE139" s="3">
        <f>IFERROR(__xludf.DUMMYFUNCTION("""COMPUTED_VALUE"""),64.65)</f>
        <v>64.65</v>
      </c>
      <c r="BF139" s="1">
        <f>IFERROR(__xludf.DUMMYFUNCTION("""COMPUTED_VALUE"""),87.77)</f>
        <v>87.77</v>
      </c>
      <c r="BG139" s="1">
        <f>IFERROR(__xludf.DUMMYFUNCTION("""COMPUTED_VALUE"""),26.17)</f>
        <v>26.17</v>
      </c>
      <c r="BH139" s="1">
        <f>IFERROR(__xludf.DUMMYFUNCTION("""COMPUTED_VALUE"""),118.65)</f>
        <v>118.65</v>
      </c>
      <c r="BI139" s="1">
        <f>IFERROR(__xludf.DUMMYFUNCTION("""COMPUTED_VALUE"""),57.5)</f>
        <v>57.5</v>
      </c>
      <c r="BJ139" s="1">
        <f>IFERROR(__xludf.DUMMYFUNCTION("""COMPUTED_VALUE"""),239.94)</f>
        <v>239.94</v>
      </c>
      <c r="BK139" s="1">
        <f>IFERROR(__xludf.DUMMYFUNCTION("""COMPUTED_VALUE"""),514.2)</f>
        <v>514.2</v>
      </c>
      <c r="BL139" s="1">
        <f>IFERROR(__xludf.DUMMYFUNCTION("""COMPUTED_VALUE"""),175.83)</f>
        <v>175.83</v>
      </c>
      <c r="BM139" s="1">
        <f>IFERROR(__xludf.DUMMYFUNCTION("""COMPUTED_VALUE"""),78.58)</f>
        <v>78.58</v>
      </c>
      <c r="BN139" s="3">
        <f>IFERROR(__xludf.DUMMYFUNCTION("""COMPUTED_VALUE"""),9.8)</f>
        <v>9.8</v>
      </c>
      <c r="BO139" s="1">
        <f>IFERROR(__xludf.DUMMYFUNCTION("""COMPUTED_VALUE"""),249.32)</f>
        <v>249.32</v>
      </c>
      <c r="BP139" s="1">
        <f>IFERROR(__xludf.DUMMYFUNCTION("""COMPUTED_VALUE"""),605.83)</f>
        <v>605.83</v>
      </c>
      <c r="BQ139" s="36">
        <f>IFERROR(__xludf.DUMMYFUNCTION("""COMPUTED_VALUE"""),48.91)</f>
        <v>48.91</v>
      </c>
      <c r="BR139" s="1">
        <f>IFERROR(__xludf.DUMMYFUNCTION("""COMPUTED_VALUE"""),13.36)</f>
        <v>13.36</v>
      </c>
      <c r="BS139" s="3">
        <f>IFERROR(__xludf.DUMMYFUNCTION("""COMPUTED_VALUE"""),225.65)</f>
        <v>225.65</v>
      </c>
      <c r="BT139" s="1">
        <f>IFERROR(__xludf.DUMMYFUNCTION("""COMPUTED_VALUE"""),116.0)</f>
        <v>116</v>
      </c>
      <c r="BU139" s="3">
        <v>1.0</v>
      </c>
    </row>
    <row r="140">
      <c r="A140" s="25">
        <f>IFERROR(__xludf.DUMMYFUNCTION("""COMPUTED_VALUE"""),45622.66666666667)</f>
        <v>45622.66667</v>
      </c>
      <c r="B140" s="29">
        <f>'Master Scratch Work'!B139</f>
        <v>1390628.63</v>
      </c>
      <c r="C140" s="15">
        <f>IFERROR(__xludf.DUMMYFUNCTION("""COMPUTED_VALUE"""),6021.63)</f>
        <v>6021.63</v>
      </c>
      <c r="D140" s="15">
        <f>IFERROR(__xludf.DUMMYFUNCTION("""COMPUTED_VALUE"""),19175.58)</f>
        <v>19175.58</v>
      </c>
      <c r="E140" s="15">
        <f>IFERROR(__xludf.DUMMYFUNCTION("""COMPUTED_VALUE"""),44860.31)</f>
        <v>44860.31</v>
      </c>
      <c r="F140" s="15">
        <f>IFERROR(__xludf.DUMMYFUNCTION("""COMPUTED_VALUE"""),2424.31)</f>
        <v>2424.31</v>
      </c>
      <c r="G140" s="3">
        <f>IFERROR(__xludf.DUMMYFUNCTION("""COMPUTED_VALUE"""),600.65)</f>
        <v>600.65</v>
      </c>
      <c r="H140" s="3">
        <f>IFERROR(__xludf.DUMMYFUNCTION("""COMPUTED_VALUE"""),509.31)</f>
        <v>509.31</v>
      </c>
      <c r="I140" s="3">
        <f>IFERROR(__xludf.DUMMYFUNCTION("""COMPUTED_VALUE"""),525.3)</f>
        <v>525.3</v>
      </c>
      <c r="J140" s="3">
        <f>IFERROR(__xludf.DUMMYFUNCTION("""COMPUTED_VALUE"""),207.86)</f>
        <v>207.86</v>
      </c>
      <c r="K140" s="3">
        <f>IFERROR(__xludf.DUMMYFUNCTION("""COMPUTED_VALUE"""),137.59)</f>
        <v>137.59</v>
      </c>
      <c r="L140" s="3">
        <f>IFERROR(__xludf.DUMMYFUNCTION("""COMPUTED_VALUE"""),235.06)</f>
        <v>235.06</v>
      </c>
      <c r="M140" s="3">
        <f>IFERROR(__xludf.DUMMYFUNCTION("""COMPUTED_VALUE"""),173.2)</f>
        <v>173.2</v>
      </c>
      <c r="N140" s="3">
        <f>IFERROR(__xludf.DUMMYFUNCTION("""COMPUTED_VALUE"""),81.27)</f>
        <v>81.27</v>
      </c>
      <c r="O140" s="3">
        <f>IFERROR(__xludf.DUMMYFUNCTION("""COMPUTED_VALUE"""),13.14)</f>
        <v>13.14</v>
      </c>
      <c r="P140" s="3">
        <f>IFERROR(__xludf.DUMMYFUNCTION("""COMPUTED_VALUE"""),478.56)</f>
        <v>478.56</v>
      </c>
      <c r="Q140" s="3">
        <f>IFERROR(__xludf.DUMMYFUNCTION("""COMPUTED_VALUE"""),51.19)</f>
        <v>51.19</v>
      </c>
      <c r="R140" s="3">
        <f>IFERROR(__xludf.DUMMYFUNCTION("""COMPUTED_VALUE"""),157.69)</f>
        <v>157.69</v>
      </c>
      <c r="S140" s="3">
        <f>IFERROR(__xludf.DUMMYFUNCTION("""COMPUTED_VALUE"""),90.21)</f>
        <v>90.21</v>
      </c>
      <c r="T140" s="3">
        <f>IFERROR(__xludf.DUMMYFUNCTION("""COMPUTED_VALUE"""),76.94)</f>
        <v>76.94</v>
      </c>
      <c r="U140" s="3">
        <f>IFERROR(__xludf.DUMMYFUNCTION("""COMPUTED_VALUE"""),407.83)</f>
        <v>407.83</v>
      </c>
      <c r="V140" s="3">
        <f>IFERROR(__xludf.DUMMYFUNCTION("""COMPUTED_VALUE"""),58.62)</f>
        <v>58.62</v>
      </c>
      <c r="W140" s="3">
        <f>IFERROR(__xludf.DUMMYFUNCTION("""COMPUTED_VALUE"""),181.51)</f>
        <v>181.51</v>
      </c>
      <c r="X140" s="3">
        <f>IFERROR(__xludf.DUMMYFUNCTION("""COMPUTED_VALUE"""),162.53)</f>
        <v>162.53</v>
      </c>
      <c r="Y140" s="1">
        <f>IFERROR(__xludf.DUMMYFUNCTION("""COMPUTED_VALUE"""),335.0)</f>
        <v>335</v>
      </c>
      <c r="Z140" s="1">
        <f>IFERROR(__xludf.DUMMYFUNCTION("""COMPUTED_VALUE"""),48.1)</f>
        <v>48.1</v>
      </c>
      <c r="AA140" s="1">
        <f>IFERROR(__xludf.DUMMYFUNCTION("""COMPUTED_VALUE"""),64.55)</f>
        <v>64.55</v>
      </c>
      <c r="AB140" s="1">
        <f>IFERROR(__xludf.DUMMYFUNCTION("""COMPUTED_VALUE"""),101.7)</f>
        <v>101.7</v>
      </c>
      <c r="AC140" s="1">
        <f>IFERROR(__xludf.DUMMYFUNCTION("""COMPUTED_VALUE"""),194.02)</f>
        <v>194.02</v>
      </c>
      <c r="AD140" s="3">
        <f>IFERROR(__xludf.DUMMYFUNCTION("""COMPUTED_VALUE"""),69.12)</f>
        <v>69.12</v>
      </c>
      <c r="AE140" s="1">
        <f>IFERROR(__xludf.DUMMYFUNCTION("""COMPUTED_VALUE"""),472.91)</f>
        <v>472.91</v>
      </c>
      <c r="AF140" s="1">
        <f>IFERROR(__xludf.DUMMYFUNCTION("""COMPUTED_VALUE"""),65.09)</f>
        <v>65.09</v>
      </c>
      <c r="AG140" s="1">
        <f>IFERROR(__xludf.DUMMYFUNCTION("""COMPUTED_VALUE"""),117.97)</f>
        <v>117.97</v>
      </c>
      <c r="AH140" s="1">
        <f>IFERROR(__xludf.DUMMYFUNCTION("""COMPUTED_VALUE"""),302.98)</f>
        <v>302.98</v>
      </c>
      <c r="AI140" s="1">
        <f>IFERROR(__xludf.DUMMYFUNCTION("""COMPUTED_VALUE"""),431.7)</f>
        <v>431.7</v>
      </c>
      <c r="AJ140" s="1">
        <f>IFERROR(__xludf.DUMMYFUNCTION("""COMPUTED_VALUE"""),282.02)</f>
        <v>282.02</v>
      </c>
      <c r="AK140" s="3">
        <f>IFERROR(__xludf.DUMMYFUNCTION("""COMPUTED_VALUE"""),54.79)</f>
        <v>54.79</v>
      </c>
      <c r="AL140" s="1">
        <f>IFERROR(__xludf.DUMMYFUNCTION("""COMPUTED_VALUE"""),91.35)</f>
        <v>91.35</v>
      </c>
      <c r="AM140" s="1">
        <f>IFERROR(__xludf.DUMMYFUNCTION("""COMPUTED_VALUE"""),605.5)</f>
        <v>605.5</v>
      </c>
      <c r="AN140" s="1">
        <f>IFERROR(__xludf.DUMMYFUNCTION("""COMPUTED_VALUE"""),429.52)</f>
        <v>429.52</v>
      </c>
      <c r="AO140" s="1">
        <f>IFERROR(__xludf.DUMMYFUNCTION("""COMPUTED_VALUE"""),124.54)</f>
        <v>124.54</v>
      </c>
      <c r="AP140" s="1">
        <f>IFERROR(__xludf.DUMMYFUNCTION("""COMPUTED_VALUE"""),160.49)</f>
        <v>160.49</v>
      </c>
      <c r="AQ140" s="3">
        <f>IFERROR(__xludf.DUMMYFUNCTION("""COMPUTED_VALUE"""),542.1)</f>
        <v>542.1</v>
      </c>
      <c r="AR140" s="3">
        <f>IFERROR(__xludf.DUMMYFUNCTION("""COMPUTED_VALUE"""),249.97)</f>
        <v>249.97</v>
      </c>
      <c r="AS140" s="3">
        <f>IFERROR(__xludf.DUMMYFUNCTION("""COMPUTED_VALUE"""),521.45)</f>
        <v>521.45</v>
      </c>
      <c r="AT140" s="3">
        <f>IFERROR(__xludf.DUMMYFUNCTION("""COMPUTED_VALUE"""),318.84)</f>
        <v>318.84</v>
      </c>
      <c r="AU140" s="1">
        <f>IFERROR(__xludf.DUMMYFUNCTION("""COMPUTED_VALUE"""),31.85)</f>
        <v>31.85</v>
      </c>
      <c r="AV140" s="1">
        <f>IFERROR(__xludf.DUMMYFUNCTION("""COMPUTED_VALUE"""),85.68)</f>
        <v>85.68</v>
      </c>
      <c r="AW140" s="1">
        <f>IFERROR(__xludf.DUMMYFUNCTION("""COMPUTED_VALUE"""),87.76)</f>
        <v>87.76</v>
      </c>
      <c r="AX140" s="1">
        <f>IFERROR(__xludf.DUMMYFUNCTION("""COMPUTED_VALUE"""),20.25)</f>
        <v>20.25</v>
      </c>
      <c r="AY140" s="1">
        <f>IFERROR(__xludf.DUMMYFUNCTION("""COMPUTED_VALUE"""),427.99)</f>
        <v>427.99</v>
      </c>
      <c r="AZ140" s="3">
        <f>IFERROR(__xludf.DUMMYFUNCTION("""COMPUTED_VALUE"""),77.49)</f>
        <v>77.49</v>
      </c>
      <c r="BA140" s="3">
        <f>IFERROR(__xludf.DUMMYFUNCTION("""COMPUTED_VALUE"""),101.16)</f>
        <v>101.16</v>
      </c>
      <c r="BB140" s="3">
        <f>IFERROR(__xludf.DUMMYFUNCTION("""COMPUTED_VALUE"""),136.92)</f>
        <v>136.92</v>
      </c>
      <c r="BC140" s="1">
        <f>IFERROR(__xludf.DUMMYFUNCTION("""COMPUTED_VALUE"""),101.97)</f>
        <v>101.97</v>
      </c>
      <c r="BD140" s="3">
        <f>IFERROR(__xludf.DUMMYFUNCTION("""COMPUTED_VALUE"""),57.98)</f>
        <v>57.98</v>
      </c>
      <c r="BE140" s="3">
        <f>IFERROR(__xludf.DUMMYFUNCTION("""COMPUTED_VALUE"""),65.74)</f>
        <v>65.74</v>
      </c>
      <c r="BF140" s="1">
        <f>IFERROR(__xludf.DUMMYFUNCTION("""COMPUTED_VALUE"""),86.94)</f>
        <v>86.94</v>
      </c>
      <c r="BG140" s="1">
        <f>IFERROR(__xludf.DUMMYFUNCTION("""COMPUTED_VALUE"""),25.77)</f>
        <v>25.77</v>
      </c>
      <c r="BH140" s="1">
        <f>IFERROR(__xludf.DUMMYFUNCTION("""COMPUTED_VALUE"""),120.61)</f>
        <v>120.61</v>
      </c>
      <c r="BI140" s="1">
        <f>IFERROR(__xludf.DUMMYFUNCTION("""COMPUTED_VALUE"""),58.63)</f>
        <v>58.63</v>
      </c>
      <c r="BJ140" s="1">
        <f>IFERROR(__xludf.DUMMYFUNCTION("""COMPUTED_VALUE"""),244.92)</f>
        <v>244.92</v>
      </c>
      <c r="BK140" s="1">
        <f>IFERROR(__xludf.DUMMYFUNCTION("""COMPUTED_VALUE"""),512.98)</f>
        <v>512.98</v>
      </c>
      <c r="BL140" s="1">
        <f>IFERROR(__xludf.DUMMYFUNCTION("""COMPUTED_VALUE"""),172.52)</f>
        <v>172.52</v>
      </c>
      <c r="BM140" s="1">
        <f>IFERROR(__xludf.DUMMYFUNCTION("""COMPUTED_VALUE"""),80.61)</f>
        <v>80.61</v>
      </c>
      <c r="BN140" s="3">
        <f>IFERROR(__xludf.DUMMYFUNCTION("""COMPUTED_VALUE"""),9.69)</f>
        <v>9.69</v>
      </c>
      <c r="BO140" s="1">
        <f>IFERROR(__xludf.DUMMYFUNCTION("""COMPUTED_VALUE"""),245.63)</f>
        <v>245.63</v>
      </c>
      <c r="BP140" s="1">
        <f>IFERROR(__xludf.DUMMYFUNCTION("""COMPUTED_VALUE"""),606.79)</f>
        <v>606.79</v>
      </c>
      <c r="BQ140" s="36">
        <f>IFERROR(__xludf.DUMMYFUNCTION("""COMPUTED_VALUE"""),48.91)</f>
        <v>48.91</v>
      </c>
      <c r="BR140" s="1">
        <f>IFERROR(__xludf.DUMMYFUNCTION("""COMPUTED_VALUE"""),13.08)</f>
        <v>13.08</v>
      </c>
      <c r="BS140" s="3">
        <f>IFERROR(__xludf.DUMMYFUNCTION("""COMPUTED_VALUE"""),227.45)</f>
        <v>227.45</v>
      </c>
      <c r="BT140" s="1">
        <f>IFERROR(__xludf.DUMMYFUNCTION("""COMPUTED_VALUE"""),115.45)</f>
        <v>115.45</v>
      </c>
      <c r="BU140" s="3">
        <v>1.0</v>
      </c>
    </row>
    <row r="141">
      <c r="A141" s="25">
        <f>IFERROR(__xludf.DUMMYFUNCTION("""COMPUTED_VALUE"""),45623.66666666667)</f>
        <v>45623.66667</v>
      </c>
      <c r="B141" s="29">
        <f>'Master Scratch Work'!B140</f>
        <v>1392616.38</v>
      </c>
      <c r="C141" s="15">
        <f>IFERROR(__xludf.DUMMYFUNCTION("""COMPUTED_VALUE"""),5998.74)</f>
        <v>5998.74</v>
      </c>
      <c r="D141" s="15">
        <f>IFERROR(__xludf.DUMMYFUNCTION("""COMPUTED_VALUE"""),19060.48)</f>
        <v>19060.48</v>
      </c>
      <c r="E141" s="15">
        <f>IFERROR(__xludf.DUMMYFUNCTION("""COMPUTED_VALUE"""),44722.06)</f>
        <v>44722.06</v>
      </c>
      <c r="F141" s="15">
        <f>IFERROR(__xludf.DUMMYFUNCTION("""COMPUTED_VALUE"""),2426.19)</f>
        <v>2426.19</v>
      </c>
      <c r="G141" s="3">
        <f>IFERROR(__xludf.DUMMYFUNCTION("""COMPUTED_VALUE"""),598.83)</f>
        <v>598.83</v>
      </c>
      <c r="H141" s="3">
        <f>IFERROR(__xludf.DUMMYFUNCTION("""COMPUTED_VALUE"""),505.3)</f>
        <v>505.3</v>
      </c>
      <c r="I141" s="3">
        <f>IFERROR(__xludf.DUMMYFUNCTION("""COMPUTED_VALUE"""),513.68)</f>
        <v>513.68</v>
      </c>
      <c r="J141" s="3">
        <f>IFERROR(__xludf.DUMMYFUNCTION("""COMPUTED_VALUE"""),205.74)</f>
        <v>205.74</v>
      </c>
      <c r="K141" s="3">
        <f>IFERROR(__xludf.DUMMYFUNCTION("""COMPUTED_VALUE"""),138.31)</f>
        <v>138.31</v>
      </c>
      <c r="L141" s="3">
        <f>IFERROR(__xludf.DUMMYFUNCTION("""COMPUTED_VALUE"""),234.93)</f>
        <v>234.93</v>
      </c>
      <c r="M141" s="3">
        <f>IFERROR(__xludf.DUMMYFUNCTION("""COMPUTED_VALUE"""),171.32)</f>
        <v>171.32</v>
      </c>
      <c r="N141" s="3">
        <f>IFERROR(__xludf.DUMMYFUNCTION("""COMPUTED_VALUE"""),81.74)</f>
        <v>81.74</v>
      </c>
      <c r="O141" s="3">
        <f>IFERROR(__xludf.DUMMYFUNCTION("""COMPUTED_VALUE"""),13.23)</f>
        <v>13.23</v>
      </c>
      <c r="P141" s="3">
        <f>IFERROR(__xludf.DUMMYFUNCTION("""COMPUTED_VALUE"""),483.08)</f>
        <v>483.08</v>
      </c>
      <c r="Q141" s="3">
        <f>IFERROR(__xludf.DUMMYFUNCTION("""COMPUTED_VALUE"""),51.8)</f>
        <v>51.8</v>
      </c>
      <c r="R141" s="3">
        <f>IFERROR(__xludf.DUMMYFUNCTION("""COMPUTED_VALUE"""),159.83)</f>
        <v>159.83</v>
      </c>
      <c r="S141" s="3">
        <f>IFERROR(__xludf.DUMMYFUNCTION("""COMPUTED_VALUE"""),90.75)</f>
        <v>90.75</v>
      </c>
      <c r="T141" s="3">
        <f>IFERROR(__xludf.DUMMYFUNCTION("""COMPUTED_VALUE"""),76.9)</f>
        <v>76.9</v>
      </c>
      <c r="U141" s="3">
        <f>IFERROR(__xludf.DUMMYFUNCTION("""COMPUTED_VALUE"""),403.7)</f>
        <v>403.7</v>
      </c>
      <c r="V141" s="3">
        <f>IFERROR(__xludf.DUMMYFUNCTION("""COMPUTED_VALUE"""),57.81)</f>
        <v>57.81</v>
      </c>
      <c r="W141" s="3">
        <f>IFERROR(__xludf.DUMMYFUNCTION("""COMPUTED_VALUE"""),181.55)</f>
        <v>181.55</v>
      </c>
      <c r="X141" s="3">
        <f>IFERROR(__xludf.DUMMYFUNCTION("""COMPUTED_VALUE"""),162.11)</f>
        <v>162.11</v>
      </c>
      <c r="Y141" s="1">
        <f>IFERROR(__xludf.DUMMYFUNCTION("""COMPUTED_VALUE"""),336.5)</f>
        <v>336.5</v>
      </c>
      <c r="Z141" s="1">
        <f>IFERROR(__xludf.DUMMYFUNCTION("""COMPUTED_VALUE"""),48.16)</f>
        <v>48.16</v>
      </c>
      <c r="AA141" s="1">
        <f>IFERROR(__xludf.DUMMYFUNCTION("""COMPUTED_VALUE"""),64.43)</f>
        <v>64.43</v>
      </c>
      <c r="AB141" s="1">
        <f>IFERROR(__xludf.DUMMYFUNCTION("""COMPUTED_VALUE"""),101.58)</f>
        <v>101.58</v>
      </c>
      <c r="AC141" s="1">
        <f>IFERROR(__xludf.DUMMYFUNCTION("""COMPUTED_VALUE"""),195.28)</f>
        <v>195.28</v>
      </c>
      <c r="AD141" s="3">
        <f>IFERROR(__xludf.DUMMYFUNCTION("""COMPUTED_VALUE"""),71.5)</f>
        <v>71.5</v>
      </c>
      <c r="AE141" s="1">
        <f>IFERROR(__xludf.DUMMYFUNCTION("""COMPUTED_VALUE"""),472.34)</f>
        <v>472.34</v>
      </c>
      <c r="AF141" s="1">
        <f>IFERROR(__xludf.DUMMYFUNCTION("""COMPUTED_VALUE"""),64.31)</f>
        <v>64.31</v>
      </c>
      <c r="AG141" s="1">
        <f>IFERROR(__xludf.DUMMYFUNCTION("""COMPUTED_VALUE"""),117.66)</f>
        <v>117.66</v>
      </c>
      <c r="AH141" s="1">
        <f>IFERROR(__xludf.DUMMYFUNCTION("""COMPUTED_VALUE"""),303.39)</f>
        <v>303.39</v>
      </c>
      <c r="AI141" s="1">
        <f>IFERROR(__xludf.DUMMYFUNCTION("""COMPUTED_VALUE"""),431.57)</f>
        <v>431.57</v>
      </c>
      <c r="AJ141" s="1">
        <f>IFERROR(__xludf.DUMMYFUNCTION("""COMPUTED_VALUE"""),282.31)</f>
        <v>282.31</v>
      </c>
      <c r="AK141" s="3">
        <f>IFERROR(__xludf.DUMMYFUNCTION("""COMPUTED_VALUE"""),55.5)</f>
        <v>55.5</v>
      </c>
      <c r="AL141" s="1">
        <f>IFERROR(__xludf.DUMMYFUNCTION("""COMPUTED_VALUE"""),92.41)</f>
        <v>92.41</v>
      </c>
      <c r="AM141" s="1">
        <f>IFERROR(__xludf.DUMMYFUNCTION("""COMPUTED_VALUE"""),605.43)</f>
        <v>605.43</v>
      </c>
      <c r="AN141" s="1">
        <f>IFERROR(__xludf.DUMMYFUNCTION("""COMPUTED_VALUE"""),427.19)</f>
        <v>427.19</v>
      </c>
      <c r="AO141" s="1">
        <f>IFERROR(__xludf.DUMMYFUNCTION("""COMPUTED_VALUE"""),123.7)</f>
        <v>123.7</v>
      </c>
      <c r="AP141" s="1">
        <f>IFERROR(__xludf.DUMMYFUNCTION("""COMPUTED_VALUE"""),161.19)</f>
        <v>161.19</v>
      </c>
      <c r="AQ141" s="3">
        <f>IFERROR(__xludf.DUMMYFUNCTION("""COMPUTED_VALUE"""),538.55)</f>
        <v>538.55</v>
      </c>
      <c r="AR141" s="3">
        <f>IFERROR(__xludf.DUMMYFUNCTION("""COMPUTED_VALUE"""),249.79)</f>
        <v>249.79</v>
      </c>
      <c r="AS141" s="3">
        <f>IFERROR(__xludf.DUMMYFUNCTION("""COMPUTED_VALUE"""),525.75)</f>
        <v>525.75</v>
      </c>
      <c r="AT141" s="3">
        <f>IFERROR(__xludf.DUMMYFUNCTION("""COMPUTED_VALUE"""),319.52)</f>
        <v>319.52</v>
      </c>
      <c r="AU141" s="1">
        <f>IFERROR(__xludf.DUMMYFUNCTION("""COMPUTED_VALUE"""),31.89)</f>
        <v>31.89</v>
      </c>
      <c r="AV141" s="1">
        <f>IFERROR(__xludf.DUMMYFUNCTION("""COMPUTED_VALUE"""),86.27)</f>
        <v>86.27</v>
      </c>
      <c r="AW141" s="1">
        <f>IFERROR(__xludf.DUMMYFUNCTION("""COMPUTED_VALUE"""),88.25)</f>
        <v>88.25</v>
      </c>
      <c r="AX141" s="1">
        <f>IFERROR(__xludf.DUMMYFUNCTION("""COMPUTED_VALUE"""),20.84)</f>
        <v>20.84</v>
      </c>
      <c r="AY141" s="1">
        <f>IFERROR(__xludf.DUMMYFUNCTION("""COMPUTED_VALUE"""),422.99)</f>
        <v>422.99</v>
      </c>
      <c r="AZ141" s="3">
        <f>IFERROR(__xludf.DUMMYFUNCTION("""COMPUTED_VALUE"""),78.52)</f>
        <v>78.52</v>
      </c>
      <c r="BA141" s="3">
        <f>IFERROR(__xludf.DUMMYFUNCTION("""COMPUTED_VALUE"""),98.89)</f>
        <v>98.89</v>
      </c>
      <c r="BB141" s="3">
        <f>IFERROR(__xludf.DUMMYFUNCTION("""COMPUTED_VALUE"""),135.34)</f>
        <v>135.34</v>
      </c>
      <c r="BC141" s="1">
        <f>IFERROR(__xludf.DUMMYFUNCTION("""COMPUTED_VALUE"""),102.52)</f>
        <v>102.52</v>
      </c>
      <c r="BD141" s="3">
        <f>IFERROR(__xludf.DUMMYFUNCTION("""COMPUTED_VALUE"""),57.9)</f>
        <v>57.9</v>
      </c>
      <c r="BE141" s="3">
        <f>IFERROR(__xludf.DUMMYFUNCTION("""COMPUTED_VALUE"""),66.05)</f>
        <v>66.05</v>
      </c>
      <c r="BF141" s="1">
        <f>IFERROR(__xludf.DUMMYFUNCTION("""COMPUTED_VALUE"""),86.57)</f>
        <v>86.57</v>
      </c>
      <c r="BG141" s="1">
        <f>IFERROR(__xludf.DUMMYFUNCTION("""COMPUTED_VALUE"""),25.83)</f>
        <v>25.83</v>
      </c>
      <c r="BH141" s="1">
        <f>IFERROR(__xludf.DUMMYFUNCTION("""COMPUTED_VALUE"""),120.34)</f>
        <v>120.34</v>
      </c>
      <c r="BI141" s="1">
        <f>IFERROR(__xludf.DUMMYFUNCTION("""COMPUTED_VALUE"""),58.58)</f>
        <v>58.58</v>
      </c>
      <c r="BJ141" s="1">
        <f>IFERROR(__xludf.DUMMYFUNCTION("""COMPUTED_VALUE"""),246.2)</f>
        <v>246.2</v>
      </c>
      <c r="BK141" s="1">
        <f>IFERROR(__xludf.DUMMYFUNCTION("""COMPUTED_VALUE"""),521.66)</f>
        <v>521.66</v>
      </c>
      <c r="BL141" s="1">
        <f>IFERROR(__xludf.DUMMYFUNCTION("""COMPUTED_VALUE"""),169.72)</f>
        <v>169.72</v>
      </c>
      <c r="BM141" s="1">
        <f>IFERROR(__xludf.DUMMYFUNCTION("""COMPUTED_VALUE"""),87.11)</f>
        <v>87.11</v>
      </c>
      <c r="BN141" s="3">
        <f>IFERROR(__xludf.DUMMYFUNCTION("""COMPUTED_VALUE"""),9.7)</f>
        <v>9.7</v>
      </c>
      <c r="BO141" s="1">
        <f>IFERROR(__xludf.DUMMYFUNCTION("""COMPUTED_VALUE"""),245.23)</f>
        <v>245.23</v>
      </c>
      <c r="BP141" s="1">
        <f>IFERROR(__xludf.DUMMYFUNCTION("""COMPUTED_VALUE"""),608.38)</f>
        <v>608.38</v>
      </c>
      <c r="BQ141" s="36">
        <f>IFERROR(__xludf.DUMMYFUNCTION("""COMPUTED_VALUE"""),48.97)</f>
        <v>48.97</v>
      </c>
      <c r="BR141" s="1">
        <f>IFERROR(__xludf.DUMMYFUNCTION("""COMPUTED_VALUE"""),13.22)</f>
        <v>13.22</v>
      </c>
      <c r="BS141" s="3">
        <f>IFERROR(__xludf.DUMMYFUNCTION("""COMPUTED_VALUE"""),228.46)</f>
        <v>228.46</v>
      </c>
      <c r="BT141" s="1">
        <f>IFERROR(__xludf.DUMMYFUNCTION("""COMPUTED_VALUE"""),117.6)</f>
        <v>117.6</v>
      </c>
      <c r="BU141" s="3">
        <v>1.0</v>
      </c>
    </row>
    <row r="142">
      <c r="A142" s="25">
        <f>IFERROR(__xludf.DUMMYFUNCTION("""COMPUTED_VALUE"""),45625.54513888889)</f>
        <v>45625.54514</v>
      </c>
      <c r="B142" s="29">
        <f>'Master Scratch Work'!B141</f>
        <v>1398054.26</v>
      </c>
      <c r="C142" s="15">
        <f>IFERROR(__xludf.DUMMYFUNCTION("""COMPUTED_VALUE"""),6032.38)</f>
        <v>6032.38</v>
      </c>
      <c r="D142" s="15">
        <f>IFERROR(__xludf.DUMMYFUNCTION("""COMPUTED_VALUE"""),19218.17)</f>
        <v>19218.17</v>
      </c>
      <c r="E142" s="15">
        <f>IFERROR(__xludf.DUMMYFUNCTION("""COMPUTED_VALUE"""),44910.65)</f>
        <v>44910.65</v>
      </c>
      <c r="F142" s="15">
        <f>IFERROR(__xludf.DUMMYFUNCTION("""COMPUTED_VALUE"""),2434.77)</f>
        <v>2434.77</v>
      </c>
      <c r="G142" s="3">
        <f>IFERROR(__xludf.DUMMYFUNCTION("""COMPUTED_VALUE"""),602.55)</f>
        <v>602.55</v>
      </c>
      <c r="H142" s="3">
        <f>IFERROR(__xludf.DUMMYFUNCTION("""COMPUTED_VALUE"""),509.74)</f>
        <v>509.74</v>
      </c>
      <c r="I142" s="3">
        <f>IFERROR(__xludf.DUMMYFUNCTION("""COMPUTED_VALUE"""),515.93)</f>
        <v>515.93</v>
      </c>
      <c r="J142" s="3">
        <f>IFERROR(__xludf.DUMMYFUNCTION("""COMPUTED_VALUE"""),207.89)</f>
        <v>207.89</v>
      </c>
      <c r="K142" s="3">
        <f>IFERROR(__xludf.DUMMYFUNCTION("""COMPUTED_VALUE"""),136.94)</f>
        <v>136.94</v>
      </c>
      <c r="L142" s="3">
        <f>IFERROR(__xludf.DUMMYFUNCTION("""COMPUTED_VALUE"""),237.33)</f>
        <v>237.33</v>
      </c>
      <c r="M142" s="3">
        <f>IFERROR(__xludf.DUMMYFUNCTION("""COMPUTED_VALUE"""),174.71)</f>
        <v>174.71</v>
      </c>
      <c r="N142" s="3">
        <f>IFERROR(__xludf.DUMMYFUNCTION("""COMPUTED_VALUE"""),81.87)</f>
        <v>81.87</v>
      </c>
      <c r="O142" s="3">
        <f>IFERROR(__xludf.DUMMYFUNCTION("""COMPUTED_VALUE"""),13.48)</f>
        <v>13.48</v>
      </c>
      <c r="P142" s="3">
        <f>IFERROR(__xludf.DUMMYFUNCTION("""COMPUTED_VALUE"""),483.02)</f>
        <v>483.02</v>
      </c>
      <c r="Q142" s="3">
        <f>IFERROR(__xludf.DUMMYFUNCTION("""COMPUTED_VALUE"""),52.65)</f>
        <v>52.65</v>
      </c>
      <c r="R142" s="3">
        <f>IFERROR(__xludf.DUMMYFUNCTION("""COMPUTED_VALUE"""),160.63)</f>
        <v>160.63</v>
      </c>
      <c r="S142" s="3">
        <f>IFERROR(__xludf.DUMMYFUNCTION("""COMPUTED_VALUE"""),90.66)</f>
        <v>90.66</v>
      </c>
      <c r="T142" s="3">
        <f>IFERROR(__xludf.DUMMYFUNCTION("""COMPUTED_VALUE"""),77.37)</f>
        <v>77.37</v>
      </c>
      <c r="U142" s="3">
        <f>IFERROR(__xludf.DUMMYFUNCTION("""COMPUTED_VALUE"""),406.11)</f>
        <v>406.11</v>
      </c>
      <c r="V142" s="3">
        <f>IFERROR(__xludf.DUMMYFUNCTION("""COMPUTED_VALUE"""),59.45)</f>
        <v>59.45</v>
      </c>
      <c r="W142" s="3">
        <f>IFERROR(__xludf.DUMMYFUNCTION("""COMPUTED_VALUE"""),182.0)</f>
        <v>182</v>
      </c>
      <c r="X142" s="3">
        <f>IFERROR(__xludf.DUMMYFUNCTION("""COMPUTED_VALUE"""),161.93)</f>
        <v>161.93</v>
      </c>
      <c r="Y142" s="1">
        <f>IFERROR(__xludf.DUMMYFUNCTION("""COMPUTED_VALUE"""),337.8)</f>
        <v>337.8</v>
      </c>
      <c r="Z142" s="1">
        <f>IFERROR(__xludf.DUMMYFUNCTION("""COMPUTED_VALUE"""),48.14)</f>
        <v>48.14</v>
      </c>
      <c r="AA142" s="1">
        <f>IFERROR(__xludf.DUMMYFUNCTION("""COMPUTED_VALUE"""),64.08)</f>
        <v>64.08</v>
      </c>
      <c r="AB142" s="1">
        <f>IFERROR(__xludf.DUMMYFUNCTION("""COMPUTED_VALUE"""),100.59)</f>
        <v>100.59</v>
      </c>
      <c r="AC142" s="1">
        <f>IFERROR(__xludf.DUMMYFUNCTION("""COMPUTED_VALUE"""),195.69)</f>
        <v>195.69</v>
      </c>
      <c r="AD142" s="3">
        <f>IFERROR(__xludf.DUMMYFUNCTION("""COMPUTED_VALUE"""),71.27)</f>
        <v>71.27</v>
      </c>
      <c r="AE142" s="1">
        <f>IFERROR(__xludf.DUMMYFUNCTION("""COMPUTED_VALUE"""),476.19)</f>
        <v>476.19</v>
      </c>
      <c r="AF142" s="1">
        <f>IFERROR(__xludf.DUMMYFUNCTION("""COMPUTED_VALUE"""),63.29)</f>
        <v>63.29</v>
      </c>
      <c r="AG142" s="1">
        <f>IFERROR(__xludf.DUMMYFUNCTION("""COMPUTED_VALUE"""),117.96)</f>
        <v>117.96</v>
      </c>
      <c r="AH142" s="1">
        <f>IFERROR(__xludf.DUMMYFUNCTION("""COMPUTED_VALUE"""),302.67)</f>
        <v>302.67</v>
      </c>
      <c r="AI142" s="1">
        <f>IFERROR(__xludf.DUMMYFUNCTION("""COMPUTED_VALUE"""),434.16)</f>
        <v>434.16</v>
      </c>
      <c r="AJ142" s="1">
        <f>IFERROR(__xludf.DUMMYFUNCTION("""COMPUTED_VALUE"""),284.01)</f>
        <v>284.01</v>
      </c>
      <c r="AK142" s="3">
        <f>IFERROR(__xludf.DUMMYFUNCTION("""COMPUTED_VALUE"""),55.59)</f>
        <v>55.59</v>
      </c>
      <c r="AL142" s="1">
        <f>IFERROR(__xludf.DUMMYFUNCTION("""COMPUTED_VALUE"""),92.58)</f>
        <v>92.58</v>
      </c>
      <c r="AM142" s="1">
        <f>IFERROR(__xludf.DUMMYFUNCTION("""COMPUTED_VALUE"""),608.57)</f>
        <v>608.57</v>
      </c>
      <c r="AN142" s="1">
        <f>IFERROR(__xludf.DUMMYFUNCTION("""COMPUTED_VALUE"""),429.13)</f>
        <v>429.13</v>
      </c>
      <c r="AO142" s="1">
        <f>IFERROR(__xludf.DUMMYFUNCTION("""COMPUTED_VALUE"""),122.81)</f>
        <v>122.81</v>
      </c>
      <c r="AP142" s="1">
        <f>IFERROR(__xludf.DUMMYFUNCTION("""COMPUTED_VALUE"""),160.96)</f>
        <v>160.96</v>
      </c>
      <c r="AQ142" s="3">
        <f>IFERROR(__xludf.DUMMYFUNCTION("""COMPUTED_VALUE"""),542.0)</f>
        <v>542</v>
      </c>
      <c r="AR142" s="3">
        <f>IFERROR(__xludf.DUMMYFUNCTION("""COMPUTED_VALUE"""),249.72)</f>
        <v>249.72</v>
      </c>
      <c r="AS142" s="3">
        <f>IFERROR(__xludf.DUMMYFUNCTION("""COMPUTED_VALUE"""),529.41)</f>
        <v>529.41</v>
      </c>
      <c r="AT142" s="3">
        <f>IFERROR(__xludf.DUMMYFUNCTION("""COMPUTED_VALUE"""),320.66)</f>
        <v>320.66</v>
      </c>
      <c r="AU142" s="1">
        <f>IFERROR(__xludf.DUMMYFUNCTION("""COMPUTED_VALUE"""),32.13)</f>
        <v>32.13</v>
      </c>
      <c r="AV142" s="1">
        <f>IFERROR(__xludf.DUMMYFUNCTION("""COMPUTED_VALUE"""),86.54)</f>
        <v>86.54</v>
      </c>
      <c r="AW142" s="1">
        <f>IFERROR(__xludf.DUMMYFUNCTION("""COMPUTED_VALUE"""),88.23)</f>
        <v>88.23</v>
      </c>
      <c r="AX142" s="1">
        <f>IFERROR(__xludf.DUMMYFUNCTION("""COMPUTED_VALUE"""),21.07)</f>
        <v>21.07</v>
      </c>
      <c r="AY142" s="1">
        <f>IFERROR(__xludf.DUMMYFUNCTION("""COMPUTED_VALUE"""),423.46)</f>
        <v>423.46</v>
      </c>
      <c r="AZ142" s="3">
        <f>IFERROR(__xludf.DUMMYFUNCTION("""COMPUTED_VALUE"""),78.67)</f>
        <v>78.67</v>
      </c>
      <c r="BA142" s="3">
        <f>IFERROR(__xludf.DUMMYFUNCTION("""COMPUTED_VALUE"""),101.61)</f>
        <v>101.61</v>
      </c>
      <c r="BB142" s="3">
        <f>IFERROR(__xludf.DUMMYFUNCTION("""COMPUTED_VALUE"""),138.25)</f>
        <v>138.25</v>
      </c>
      <c r="BC142" s="1">
        <f>IFERROR(__xludf.DUMMYFUNCTION("""COMPUTED_VALUE"""),102.98)</f>
        <v>102.98</v>
      </c>
      <c r="BD142" s="3">
        <f>IFERROR(__xludf.DUMMYFUNCTION("""COMPUTED_VALUE"""),58.33)</f>
        <v>58.33</v>
      </c>
      <c r="BE142" s="3">
        <f>IFERROR(__xludf.DUMMYFUNCTION("""COMPUTED_VALUE"""),67.08)</f>
        <v>67.08</v>
      </c>
      <c r="BF142" s="1">
        <f>IFERROR(__xludf.DUMMYFUNCTION("""COMPUTED_VALUE"""),86.77)</f>
        <v>86.77</v>
      </c>
      <c r="BG142" s="1">
        <f>IFERROR(__xludf.DUMMYFUNCTION("""COMPUTED_VALUE"""),26.21)</f>
        <v>26.21</v>
      </c>
      <c r="BH142" s="1">
        <f>IFERROR(__xludf.DUMMYFUNCTION("""COMPUTED_VALUE"""),121.83)</f>
        <v>121.83</v>
      </c>
      <c r="BI142" s="1">
        <f>IFERROR(__xludf.DUMMYFUNCTION("""COMPUTED_VALUE"""),57.85)</f>
        <v>57.85</v>
      </c>
      <c r="BJ142" s="1">
        <f>IFERROR(__xludf.DUMMYFUNCTION("""COMPUTED_VALUE"""),246.94)</f>
        <v>246.94</v>
      </c>
      <c r="BK142" s="1">
        <f>IFERROR(__xludf.DUMMYFUNCTION("""COMPUTED_VALUE"""),529.63)</f>
        <v>529.63</v>
      </c>
      <c r="BL142" s="1">
        <f>IFERROR(__xludf.DUMMYFUNCTION("""COMPUTED_VALUE"""),170.63)</f>
        <v>170.63</v>
      </c>
      <c r="BM142" s="1">
        <f>IFERROR(__xludf.DUMMYFUNCTION("""COMPUTED_VALUE"""),86.71)</f>
        <v>86.71</v>
      </c>
      <c r="BN142" s="3">
        <f>IFERROR(__xludf.DUMMYFUNCTION("""COMPUTED_VALUE"""),9.71)</f>
        <v>9.71</v>
      </c>
      <c r="BO142" s="1">
        <f>IFERROR(__xludf.DUMMYFUNCTION("""COMPUTED_VALUE"""),244.66)</f>
        <v>244.66</v>
      </c>
      <c r="BP142" s="1">
        <f>IFERROR(__xludf.DUMMYFUNCTION("""COMPUTED_VALUE"""),610.2)</f>
        <v>610.2</v>
      </c>
      <c r="BQ142" s="36">
        <f>IFERROR(__xludf.DUMMYFUNCTION("""COMPUTED_VALUE"""),49.0)</f>
        <v>49</v>
      </c>
      <c r="BR142" s="1">
        <f>IFERROR(__xludf.DUMMYFUNCTION("""COMPUTED_VALUE"""),13.09)</f>
        <v>13.09</v>
      </c>
      <c r="BS142" s="3">
        <f>IFERROR(__xludf.DUMMYFUNCTION("""COMPUTED_VALUE"""),228.22)</f>
        <v>228.22</v>
      </c>
      <c r="BT142" s="1">
        <f>IFERROR(__xludf.DUMMYFUNCTION("""COMPUTED_VALUE"""),117.47)</f>
        <v>117.47</v>
      </c>
      <c r="BU142" s="3">
        <v>1.0</v>
      </c>
    </row>
    <row r="143">
      <c r="A143" s="25">
        <f>IFERROR(__xludf.DUMMYFUNCTION("""COMPUTED_VALUE"""),45628.66666666667)</f>
        <v>45628.66667</v>
      </c>
      <c r="B143" s="29">
        <f>'Master Scratch Work'!B142</f>
        <v>1393992.65</v>
      </c>
      <c r="C143" s="15">
        <f>IFERROR(__xludf.DUMMYFUNCTION("""COMPUTED_VALUE"""),6047.15)</f>
        <v>6047.15</v>
      </c>
      <c r="D143" s="15">
        <f>IFERROR(__xludf.DUMMYFUNCTION("""COMPUTED_VALUE"""),19403.95)</f>
        <v>19403.95</v>
      </c>
      <c r="E143" s="15">
        <f>IFERROR(__xludf.DUMMYFUNCTION("""COMPUTED_VALUE"""),44782.0)</f>
        <v>44782</v>
      </c>
      <c r="F143" s="15">
        <f>IFERROR(__xludf.DUMMYFUNCTION("""COMPUTED_VALUE"""),2434.14)</f>
        <v>2434.14</v>
      </c>
      <c r="G143" s="3">
        <f>IFERROR(__xludf.DUMMYFUNCTION("""COMPUTED_VALUE"""),603.63)</f>
        <v>603.63</v>
      </c>
      <c r="H143" s="3">
        <f>IFERROR(__xludf.DUMMYFUNCTION("""COMPUTED_VALUE"""),515.29)</f>
        <v>515.29</v>
      </c>
      <c r="I143" s="3">
        <f>IFERROR(__xludf.DUMMYFUNCTION("""COMPUTED_VALUE"""),516.2)</f>
        <v>516.2</v>
      </c>
      <c r="J143" s="3">
        <f>IFERROR(__xludf.DUMMYFUNCTION("""COMPUTED_VALUE"""),210.71)</f>
        <v>210.71</v>
      </c>
      <c r="K143" s="3">
        <f>IFERROR(__xludf.DUMMYFUNCTION("""COMPUTED_VALUE"""),135.6)</f>
        <v>135.6</v>
      </c>
      <c r="L143" s="3">
        <f>IFERROR(__xludf.DUMMYFUNCTION("""COMPUTED_VALUE"""),239.59)</f>
        <v>239.59</v>
      </c>
      <c r="M143" s="3">
        <f>IFERROR(__xludf.DUMMYFUNCTION("""COMPUTED_VALUE"""),183.27)</f>
        <v>183.27</v>
      </c>
      <c r="N143" s="3">
        <f>IFERROR(__xludf.DUMMYFUNCTION("""COMPUTED_VALUE"""),81.11)</f>
        <v>81.11</v>
      </c>
      <c r="O143" s="3">
        <f>IFERROR(__xludf.DUMMYFUNCTION("""COMPUTED_VALUE"""),13.36)</f>
        <v>13.36</v>
      </c>
      <c r="P143" s="3">
        <f>IFERROR(__xludf.DUMMYFUNCTION("""COMPUTED_VALUE"""),477.33)</f>
        <v>477.33</v>
      </c>
      <c r="Q143" s="3">
        <f>IFERROR(__xludf.DUMMYFUNCTION("""COMPUTED_VALUE"""),52.85)</f>
        <v>52.85</v>
      </c>
      <c r="R143" s="3">
        <f>IFERROR(__xludf.DUMMYFUNCTION("""COMPUTED_VALUE"""),164.23)</f>
        <v>164.23</v>
      </c>
      <c r="S143" s="3">
        <f>IFERROR(__xludf.DUMMYFUNCTION("""COMPUTED_VALUE"""),90.43)</f>
        <v>90.43</v>
      </c>
      <c r="T143" s="3">
        <f>IFERROR(__xludf.DUMMYFUNCTION("""COMPUTED_VALUE"""),76.29)</f>
        <v>76.29</v>
      </c>
      <c r="U143" s="3">
        <f>IFERROR(__xludf.DUMMYFUNCTION("""COMPUTED_VALUE"""),402.51)</f>
        <v>402.51</v>
      </c>
      <c r="V143" s="3">
        <f>IFERROR(__xludf.DUMMYFUNCTION("""COMPUTED_VALUE"""),58.83)</f>
        <v>58.83</v>
      </c>
      <c r="W143" s="3">
        <f>IFERROR(__xludf.DUMMYFUNCTION("""COMPUTED_VALUE"""),182.18)</f>
        <v>182.18</v>
      </c>
      <c r="X143" s="3">
        <f>IFERROR(__xludf.DUMMYFUNCTION("""COMPUTED_VALUE"""),162.21)</f>
        <v>162.21</v>
      </c>
      <c r="Y143" s="1">
        <f>IFERROR(__xludf.DUMMYFUNCTION("""COMPUTED_VALUE"""),337.06)</f>
        <v>337.06</v>
      </c>
      <c r="Z143" s="1">
        <f>IFERROR(__xludf.DUMMYFUNCTION("""COMPUTED_VALUE"""),47.08)</f>
        <v>47.08</v>
      </c>
      <c r="AA143" s="1">
        <f>IFERROR(__xludf.DUMMYFUNCTION("""COMPUTED_VALUE"""),63.65)</f>
        <v>63.65</v>
      </c>
      <c r="AB143" s="1">
        <f>IFERROR(__xludf.DUMMYFUNCTION("""COMPUTED_VALUE"""),98.5)</f>
        <v>98.5</v>
      </c>
      <c r="AC143" s="1">
        <f>IFERROR(__xludf.DUMMYFUNCTION("""COMPUTED_VALUE"""),192.16)</f>
        <v>192.16</v>
      </c>
      <c r="AD143" s="3">
        <f>IFERROR(__xludf.DUMMYFUNCTION("""COMPUTED_VALUE"""),72.81)</f>
        <v>72.81</v>
      </c>
      <c r="AE143" s="1">
        <f>IFERROR(__xludf.DUMMYFUNCTION("""COMPUTED_VALUE"""),466.18)</f>
        <v>466.18</v>
      </c>
      <c r="AF143" s="1">
        <f>IFERROR(__xludf.DUMMYFUNCTION("""COMPUTED_VALUE"""),63.17)</f>
        <v>63.17</v>
      </c>
      <c r="AG143" s="1">
        <f>IFERROR(__xludf.DUMMYFUNCTION("""COMPUTED_VALUE"""),117.85)</f>
        <v>117.85</v>
      </c>
      <c r="AH143" s="1">
        <f>IFERROR(__xludf.DUMMYFUNCTION("""COMPUTED_VALUE"""),296.69)</f>
        <v>296.69</v>
      </c>
      <c r="AI143" s="1">
        <f>IFERROR(__xludf.DUMMYFUNCTION("""COMPUTED_VALUE"""),437.4)</f>
        <v>437.4</v>
      </c>
      <c r="AJ143" s="1">
        <f>IFERROR(__xludf.DUMMYFUNCTION("""COMPUTED_VALUE"""),276.44)</f>
        <v>276.44</v>
      </c>
      <c r="AK143" s="3">
        <f>IFERROR(__xludf.DUMMYFUNCTION("""COMPUTED_VALUE"""),55.04)</f>
        <v>55.04</v>
      </c>
      <c r="AL143" s="1">
        <f>IFERROR(__xludf.DUMMYFUNCTION("""COMPUTED_VALUE"""),94.02)</f>
        <v>94.02</v>
      </c>
      <c r="AM143" s="1">
        <f>IFERROR(__xludf.DUMMYFUNCTION("""COMPUTED_VALUE"""),601.71)</f>
        <v>601.71</v>
      </c>
      <c r="AN143" s="1">
        <f>IFERROR(__xludf.DUMMYFUNCTION("""COMPUTED_VALUE"""),426.96)</f>
        <v>426.96</v>
      </c>
      <c r="AO143" s="1">
        <f>IFERROR(__xludf.DUMMYFUNCTION("""COMPUTED_VALUE"""),124.41)</f>
        <v>124.41</v>
      </c>
      <c r="AP143" s="1">
        <f>IFERROR(__xludf.DUMMYFUNCTION("""COMPUTED_VALUE"""),158.29)</f>
        <v>158.29</v>
      </c>
      <c r="AQ143" s="3">
        <f>IFERROR(__xludf.DUMMYFUNCTION("""COMPUTED_VALUE"""),542.85)</f>
        <v>542.85</v>
      </c>
      <c r="AR143" s="3">
        <f>IFERROR(__xludf.DUMMYFUNCTION("""COMPUTED_VALUE"""),246.25)</f>
        <v>246.25</v>
      </c>
      <c r="AS143" s="3">
        <f>IFERROR(__xludf.DUMMYFUNCTION("""COMPUTED_VALUE"""),520.34)</f>
        <v>520.34</v>
      </c>
      <c r="AT143" s="3">
        <f>IFERROR(__xludf.DUMMYFUNCTION("""COMPUTED_VALUE"""),334.4)</f>
        <v>334.4</v>
      </c>
      <c r="AU143" s="1">
        <f>IFERROR(__xludf.DUMMYFUNCTION("""COMPUTED_VALUE"""),32.32)</f>
        <v>32.32</v>
      </c>
      <c r="AV143" s="1">
        <f>IFERROR(__xludf.DUMMYFUNCTION("""COMPUTED_VALUE"""),86.54)</f>
        <v>86.54</v>
      </c>
      <c r="AW143" s="1">
        <f>IFERROR(__xludf.DUMMYFUNCTION("""COMPUTED_VALUE"""),86.88)</f>
        <v>86.88</v>
      </c>
      <c r="AX143" s="1">
        <f>IFERROR(__xludf.DUMMYFUNCTION("""COMPUTED_VALUE"""),20.81)</f>
        <v>20.81</v>
      </c>
      <c r="AY143" s="1">
        <f>IFERROR(__xludf.DUMMYFUNCTION("""COMPUTED_VALUE"""),430.98)</f>
        <v>430.98</v>
      </c>
      <c r="AZ143" s="3">
        <f>IFERROR(__xludf.DUMMYFUNCTION("""COMPUTED_VALUE"""),77.07)</f>
        <v>77.07</v>
      </c>
      <c r="BA143" s="3">
        <f>IFERROR(__xludf.DUMMYFUNCTION("""COMPUTED_VALUE"""),99.4)</f>
        <v>99.4</v>
      </c>
      <c r="BB143" s="3">
        <f>IFERROR(__xludf.DUMMYFUNCTION("""COMPUTED_VALUE"""),138.63)</f>
        <v>138.63</v>
      </c>
      <c r="BC143" s="1">
        <f>IFERROR(__xludf.DUMMYFUNCTION("""COMPUTED_VALUE"""),101.8)</f>
        <v>101.8</v>
      </c>
      <c r="BD143" s="3">
        <f>IFERROR(__xludf.DUMMYFUNCTION("""COMPUTED_VALUE"""),58.53)</f>
        <v>58.53</v>
      </c>
      <c r="BE143" s="3">
        <f>IFERROR(__xludf.DUMMYFUNCTION("""COMPUTED_VALUE"""),66.39)</f>
        <v>66.39</v>
      </c>
      <c r="BF143" s="1">
        <f>IFERROR(__xludf.DUMMYFUNCTION("""COMPUTED_VALUE"""),86.53)</f>
        <v>86.53</v>
      </c>
      <c r="BG143" s="1">
        <f>IFERROR(__xludf.DUMMYFUNCTION("""COMPUTED_VALUE"""),25.82)</f>
        <v>25.82</v>
      </c>
      <c r="BH143" s="1">
        <f>IFERROR(__xludf.DUMMYFUNCTION("""COMPUTED_VALUE"""),118.68)</f>
        <v>118.68</v>
      </c>
      <c r="BI143" s="1">
        <f>IFERROR(__xludf.DUMMYFUNCTION("""COMPUTED_VALUE"""),51.8)</f>
        <v>51.8</v>
      </c>
      <c r="BJ143" s="1">
        <f>IFERROR(__xludf.DUMMYFUNCTION("""COMPUTED_VALUE"""),244.82)</f>
        <v>244.82</v>
      </c>
      <c r="BK143" s="1">
        <f>IFERROR(__xludf.DUMMYFUNCTION("""COMPUTED_VALUE"""),529.95)</f>
        <v>529.95</v>
      </c>
      <c r="BL143" s="1">
        <f>IFERROR(__xludf.DUMMYFUNCTION("""COMPUTED_VALUE"""),175.81)</f>
        <v>175.81</v>
      </c>
      <c r="BM143" s="1">
        <f>IFERROR(__xludf.DUMMYFUNCTION("""COMPUTED_VALUE"""),85.14)</f>
        <v>85.14</v>
      </c>
      <c r="BN143" s="3">
        <f>IFERROR(__xludf.DUMMYFUNCTION("""COMPUTED_VALUE"""),10.16)</f>
        <v>10.16</v>
      </c>
      <c r="BO143" s="1">
        <f>IFERROR(__xludf.DUMMYFUNCTION("""COMPUTED_VALUE"""),240.78)</f>
        <v>240.78</v>
      </c>
      <c r="BP143" s="1">
        <f>IFERROR(__xludf.DUMMYFUNCTION("""COMPUTED_VALUE"""),608.52)</f>
        <v>608.52</v>
      </c>
      <c r="BQ143" s="36">
        <f>IFERROR(__xludf.DUMMYFUNCTION("""COMPUTED_VALUE"""),49.0)</f>
        <v>49</v>
      </c>
      <c r="BR143" s="1">
        <f>IFERROR(__xludf.DUMMYFUNCTION("""COMPUTED_VALUE"""),13.2)</f>
        <v>13.2</v>
      </c>
      <c r="BS143" s="3">
        <f>IFERROR(__xludf.DUMMYFUNCTION("""COMPUTED_VALUE"""),225.12)</f>
        <v>225.12</v>
      </c>
      <c r="BT143" s="1">
        <f>IFERROR(__xludf.DUMMYFUNCTION("""COMPUTED_VALUE"""),117.16)</f>
        <v>117.16</v>
      </c>
      <c r="BU143" s="3">
        <v>1.0</v>
      </c>
    </row>
    <row r="144">
      <c r="A144" s="25">
        <f>IFERROR(__xludf.DUMMYFUNCTION("""COMPUTED_VALUE"""),45629.66666666667)</f>
        <v>45629.66667</v>
      </c>
      <c r="B144" s="29">
        <f>'Master Scratch Work'!B143</f>
        <v>1388717.25</v>
      </c>
      <c r="C144" s="15">
        <f>IFERROR(__xludf.DUMMYFUNCTION("""COMPUTED_VALUE"""),6049.88)</f>
        <v>6049.88</v>
      </c>
      <c r="D144" s="15">
        <f>IFERROR(__xludf.DUMMYFUNCTION("""COMPUTED_VALUE"""),19480.91)</f>
        <v>19480.91</v>
      </c>
      <c r="E144" s="15">
        <f>IFERROR(__xludf.DUMMYFUNCTION("""COMPUTED_VALUE"""),44705.53)</f>
        <v>44705.53</v>
      </c>
      <c r="F144" s="15">
        <f>IFERROR(__xludf.DUMMYFUNCTION("""COMPUTED_VALUE"""),2416.35)</f>
        <v>2416.35</v>
      </c>
      <c r="G144" s="3">
        <f>IFERROR(__xludf.DUMMYFUNCTION("""COMPUTED_VALUE"""),603.91)</f>
        <v>603.91</v>
      </c>
      <c r="H144" s="3">
        <f>IFERROR(__xludf.DUMMYFUNCTION("""COMPUTED_VALUE"""),516.87)</f>
        <v>516.87</v>
      </c>
      <c r="I144" s="3">
        <f>IFERROR(__xludf.DUMMYFUNCTION("""COMPUTED_VALUE"""),516.26)</f>
        <v>516.26</v>
      </c>
      <c r="J144" s="3">
        <f>IFERROR(__xludf.DUMMYFUNCTION("""COMPUTED_VALUE"""),213.44)</f>
        <v>213.44</v>
      </c>
      <c r="K144" s="3">
        <f>IFERROR(__xludf.DUMMYFUNCTION("""COMPUTED_VALUE"""),134.1)</f>
        <v>134.1</v>
      </c>
      <c r="L144" s="3">
        <f>IFERROR(__xludf.DUMMYFUNCTION("""COMPUTED_VALUE"""),242.65)</f>
        <v>242.65</v>
      </c>
      <c r="M144" s="3">
        <f>IFERROR(__xludf.DUMMYFUNCTION("""COMPUTED_VALUE"""),183.16)</f>
        <v>183.16</v>
      </c>
      <c r="N144" s="3">
        <f>IFERROR(__xludf.DUMMYFUNCTION("""COMPUTED_VALUE"""),80.85)</f>
        <v>80.85</v>
      </c>
      <c r="O144" s="3">
        <f>IFERROR(__xludf.DUMMYFUNCTION("""COMPUTED_VALUE"""),13.45)</f>
        <v>13.45</v>
      </c>
      <c r="P144" s="3">
        <f>IFERROR(__xludf.DUMMYFUNCTION("""COMPUTED_VALUE"""),470.19)</f>
        <v>470.19</v>
      </c>
      <c r="Q144" s="3">
        <f>IFERROR(__xludf.DUMMYFUNCTION("""COMPUTED_VALUE"""),53.12)</f>
        <v>53.12</v>
      </c>
      <c r="R144" s="3">
        <f>IFERROR(__xludf.DUMMYFUNCTION("""COMPUTED_VALUE"""),160.85)</f>
        <v>160.85</v>
      </c>
      <c r="S144" s="3">
        <f>IFERROR(__xludf.DUMMYFUNCTION("""COMPUTED_VALUE"""),90.47)</f>
        <v>90.47</v>
      </c>
      <c r="T144" s="3">
        <f>IFERROR(__xludf.DUMMYFUNCTION("""COMPUTED_VALUE"""),75.58)</f>
        <v>75.58</v>
      </c>
      <c r="U144" s="3">
        <f>IFERROR(__xludf.DUMMYFUNCTION("""COMPUTED_VALUE"""),399.26)</f>
        <v>399.26</v>
      </c>
      <c r="V144" s="3">
        <f>IFERROR(__xludf.DUMMYFUNCTION("""COMPUTED_VALUE"""),59.39)</f>
        <v>59.39</v>
      </c>
      <c r="W144" s="3">
        <f>IFERROR(__xludf.DUMMYFUNCTION("""COMPUTED_VALUE"""),187.09)</f>
        <v>187.09</v>
      </c>
      <c r="X144" s="3">
        <f>IFERROR(__xludf.DUMMYFUNCTION("""COMPUTED_VALUE"""),161.92)</f>
        <v>161.92</v>
      </c>
      <c r="Y144" s="1">
        <f>IFERROR(__xludf.DUMMYFUNCTION("""COMPUTED_VALUE"""),334.9)</f>
        <v>334.9</v>
      </c>
      <c r="Z144" s="1">
        <f>IFERROR(__xludf.DUMMYFUNCTION("""COMPUTED_VALUE"""),46.8)</f>
        <v>46.8</v>
      </c>
      <c r="AA144" s="1">
        <f>IFERROR(__xludf.DUMMYFUNCTION("""COMPUTED_VALUE"""),63.52)</f>
        <v>63.52</v>
      </c>
      <c r="AB144" s="1">
        <f>IFERROR(__xludf.DUMMYFUNCTION("""COMPUTED_VALUE"""),97.53)</f>
        <v>97.53</v>
      </c>
      <c r="AC144" s="1">
        <f>IFERROR(__xludf.DUMMYFUNCTION("""COMPUTED_VALUE"""),191.07)</f>
        <v>191.07</v>
      </c>
      <c r="AD144" s="3">
        <f>IFERROR(__xludf.DUMMYFUNCTION("""COMPUTED_VALUE"""),72.48)</f>
        <v>72.48</v>
      </c>
      <c r="AE144" s="1">
        <f>IFERROR(__xludf.DUMMYFUNCTION("""COMPUTED_VALUE"""),462.22)</f>
        <v>462.22</v>
      </c>
      <c r="AF144" s="1">
        <f>IFERROR(__xludf.DUMMYFUNCTION("""COMPUTED_VALUE"""),62.94)</f>
        <v>62.94</v>
      </c>
      <c r="AG144" s="1">
        <f>IFERROR(__xludf.DUMMYFUNCTION("""COMPUTED_VALUE"""),117.67)</f>
        <v>117.67</v>
      </c>
      <c r="AH144" s="1">
        <f>IFERROR(__xludf.DUMMYFUNCTION("""COMPUTED_VALUE"""),282.85)</f>
        <v>282.85</v>
      </c>
      <c r="AI144" s="1">
        <f>IFERROR(__xludf.DUMMYFUNCTION("""COMPUTED_VALUE"""),444.51)</f>
        <v>444.51</v>
      </c>
      <c r="AJ144" s="1">
        <f>IFERROR(__xludf.DUMMYFUNCTION("""COMPUTED_VALUE"""),277.42)</f>
        <v>277.42</v>
      </c>
      <c r="AK144" s="3">
        <f>IFERROR(__xludf.DUMMYFUNCTION("""COMPUTED_VALUE"""),53.66)</f>
        <v>53.66</v>
      </c>
      <c r="AL144" s="1">
        <f>IFERROR(__xludf.DUMMYFUNCTION("""COMPUTED_VALUE"""),92.49)</f>
        <v>92.49</v>
      </c>
      <c r="AM144" s="1">
        <f>IFERROR(__xludf.DUMMYFUNCTION("""COMPUTED_VALUE"""),602.08)</f>
        <v>602.08</v>
      </c>
      <c r="AN144" s="1">
        <f>IFERROR(__xludf.DUMMYFUNCTION("""COMPUTED_VALUE"""),429.35)</f>
        <v>429.35</v>
      </c>
      <c r="AO144" s="1">
        <f>IFERROR(__xludf.DUMMYFUNCTION("""COMPUTED_VALUE"""),123.58)</f>
        <v>123.58</v>
      </c>
      <c r="AP144" s="1">
        <f>IFERROR(__xludf.DUMMYFUNCTION("""COMPUTED_VALUE"""),156.26)</f>
        <v>156.26</v>
      </c>
      <c r="AQ144" s="3">
        <f>IFERROR(__xludf.DUMMYFUNCTION("""COMPUTED_VALUE"""),541.71)</f>
        <v>541.71</v>
      </c>
      <c r="AR144" s="3">
        <f>IFERROR(__xludf.DUMMYFUNCTION("""COMPUTED_VALUE"""),244.82)</f>
        <v>244.82</v>
      </c>
      <c r="AS144" s="3">
        <f>IFERROR(__xludf.DUMMYFUNCTION("""COMPUTED_VALUE"""),517.0)</f>
        <v>517</v>
      </c>
      <c r="AT144" s="3">
        <f>IFERROR(__xludf.DUMMYFUNCTION("""COMPUTED_VALUE"""),340.66)</f>
        <v>340.66</v>
      </c>
      <c r="AU144" s="1">
        <f>IFERROR(__xludf.DUMMYFUNCTION("""COMPUTED_VALUE"""),32.07)</f>
        <v>32.07</v>
      </c>
      <c r="AV144" s="1">
        <f>IFERROR(__xludf.DUMMYFUNCTION("""COMPUTED_VALUE"""),85.71)</f>
        <v>85.71</v>
      </c>
      <c r="AW144" s="1">
        <f>IFERROR(__xludf.DUMMYFUNCTION("""COMPUTED_VALUE"""),85.72)</f>
        <v>85.72</v>
      </c>
      <c r="AX144" s="1">
        <f>IFERROR(__xludf.DUMMYFUNCTION("""COMPUTED_VALUE"""),23.11)</f>
        <v>23.11</v>
      </c>
      <c r="AY144" s="1">
        <f>IFERROR(__xludf.DUMMYFUNCTION("""COMPUTED_VALUE"""),431.2)</f>
        <v>431.2</v>
      </c>
      <c r="AZ144" s="3">
        <f>IFERROR(__xludf.DUMMYFUNCTION("""COMPUTED_VALUE"""),76.29)</f>
        <v>76.29</v>
      </c>
      <c r="BA144" s="3">
        <f>IFERROR(__xludf.DUMMYFUNCTION("""COMPUTED_VALUE"""),99.11)</f>
        <v>99.11</v>
      </c>
      <c r="BB144" s="3">
        <f>IFERROR(__xludf.DUMMYFUNCTION("""COMPUTED_VALUE"""),140.26)</f>
        <v>140.26</v>
      </c>
      <c r="BC144" s="1">
        <f>IFERROR(__xludf.DUMMYFUNCTION("""COMPUTED_VALUE"""),101.06)</f>
        <v>101.06</v>
      </c>
      <c r="BD144" s="3">
        <f>IFERROR(__xludf.DUMMYFUNCTION("""COMPUTED_VALUE"""),59.54)</f>
        <v>59.54</v>
      </c>
      <c r="BE144" s="3">
        <f>IFERROR(__xludf.DUMMYFUNCTION("""COMPUTED_VALUE"""),70.96)</f>
        <v>70.96</v>
      </c>
      <c r="BF144" s="1">
        <f>IFERROR(__xludf.DUMMYFUNCTION("""COMPUTED_VALUE"""),85.14)</f>
        <v>85.14</v>
      </c>
      <c r="BG144" s="1">
        <f>IFERROR(__xludf.DUMMYFUNCTION("""COMPUTED_VALUE"""),25.56)</f>
        <v>25.56</v>
      </c>
      <c r="BH144" s="1">
        <f>IFERROR(__xludf.DUMMYFUNCTION("""COMPUTED_VALUE"""),118.1)</f>
        <v>118.1</v>
      </c>
      <c r="BI144" s="1">
        <f>IFERROR(__xludf.DUMMYFUNCTION("""COMPUTED_VALUE"""),48.23)</f>
        <v>48.23</v>
      </c>
      <c r="BJ144" s="1">
        <f>IFERROR(__xludf.DUMMYFUNCTION("""COMPUTED_VALUE"""),244.85)</f>
        <v>244.85</v>
      </c>
      <c r="BK144" s="1">
        <f>IFERROR(__xludf.DUMMYFUNCTION("""COMPUTED_VALUE"""),534.42)</f>
        <v>534.42</v>
      </c>
      <c r="BL144" s="1">
        <f>IFERROR(__xludf.DUMMYFUNCTION("""COMPUTED_VALUE"""),176.0)</f>
        <v>176</v>
      </c>
      <c r="BM144" s="1">
        <f>IFERROR(__xludf.DUMMYFUNCTION("""COMPUTED_VALUE"""),71.44)</f>
        <v>71.44</v>
      </c>
      <c r="BN144" s="3">
        <f>IFERROR(__xludf.DUMMYFUNCTION("""COMPUTED_VALUE"""),10.18)</f>
        <v>10.18</v>
      </c>
      <c r="BO144" s="1">
        <f>IFERROR(__xludf.DUMMYFUNCTION("""COMPUTED_VALUE"""),236.99)</f>
        <v>236.99</v>
      </c>
      <c r="BP144" s="1">
        <f>IFERROR(__xludf.DUMMYFUNCTION("""COMPUTED_VALUE"""),605.23)</f>
        <v>605.23</v>
      </c>
      <c r="BQ144" s="36">
        <f>IFERROR(__xludf.DUMMYFUNCTION("""COMPUTED_VALUE"""),49.03)</f>
        <v>49.03</v>
      </c>
      <c r="BR144" s="1">
        <f>IFERROR(__xludf.DUMMYFUNCTION("""COMPUTED_VALUE"""),13.0)</f>
        <v>13</v>
      </c>
      <c r="BS144" s="3">
        <f>IFERROR(__xludf.DUMMYFUNCTION("""COMPUTED_VALUE"""),225.01)</f>
        <v>225.01</v>
      </c>
      <c r="BT144" s="1">
        <f>IFERROR(__xludf.DUMMYFUNCTION("""COMPUTED_VALUE"""),116.45)</f>
        <v>116.45</v>
      </c>
      <c r="BU144" s="3">
        <v>1.0</v>
      </c>
    </row>
    <row r="145">
      <c r="A145" s="25">
        <f>IFERROR(__xludf.DUMMYFUNCTION("""COMPUTED_VALUE"""),45630.66666666667)</f>
        <v>45630.66667</v>
      </c>
      <c r="B145" s="29">
        <f>'Master Scratch Work'!B144</f>
        <v>1389340.09</v>
      </c>
      <c r="C145" s="15">
        <f>IFERROR(__xludf.DUMMYFUNCTION("""COMPUTED_VALUE"""),6086.49)</f>
        <v>6086.49</v>
      </c>
      <c r="D145" s="15">
        <f>IFERROR(__xludf.DUMMYFUNCTION("""COMPUTED_VALUE"""),19735.12)</f>
        <v>19735.12</v>
      </c>
      <c r="E145" s="15">
        <f>IFERROR(__xludf.DUMMYFUNCTION("""COMPUTED_VALUE"""),45014.04)</f>
        <v>45014.04</v>
      </c>
      <c r="F145" s="15">
        <f>IFERROR(__xludf.DUMMYFUNCTION("""COMPUTED_VALUE"""),2426.56)</f>
        <v>2426.56</v>
      </c>
      <c r="G145" s="3">
        <f>IFERROR(__xludf.DUMMYFUNCTION("""COMPUTED_VALUE"""),607.66)</f>
        <v>607.66</v>
      </c>
      <c r="H145" s="3">
        <f>IFERROR(__xludf.DUMMYFUNCTION("""COMPUTED_VALUE"""),523.26)</f>
        <v>523.26</v>
      </c>
      <c r="I145" s="3">
        <f>IFERROR(__xludf.DUMMYFUNCTION("""COMPUTED_VALUE"""),536.49)</f>
        <v>536.49</v>
      </c>
      <c r="J145" s="3">
        <f>IFERROR(__xludf.DUMMYFUNCTION("""COMPUTED_VALUE"""),218.16)</f>
        <v>218.16</v>
      </c>
      <c r="K145" s="3">
        <f>IFERROR(__xludf.DUMMYFUNCTION("""COMPUTED_VALUE"""),131.01)</f>
        <v>131.01</v>
      </c>
      <c r="L145" s="3">
        <f>IFERROR(__xludf.DUMMYFUNCTION("""COMPUTED_VALUE"""),243.01)</f>
        <v>243.01</v>
      </c>
      <c r="M145" s="3">
        <f>IFERROR(__xludf.DUMMYFUNCTION("""COMPUTED_VALUE"""),181.16)</f>
        <v>181.16</v>
      </c>
      <c r="N145" s="3">
        <f>IFERROR(__xludf.DUMMYFUNCTION("""COMPUTED_VALUE"""),80.19)</f>
        <v>80.19</v>
      </c>
      <c r="O145" s="3">
        <f>IFERROR(__xludf.DUMMYFUNCTION("""COMPUTED_VALUE"""),13.38)</f>
        <v>13.38</v>
      </c>
      <c r="P145" s="3">
        <f>IFERROR(__xludf.DUMMYFUNCTION("""COMPUTED_VALUE"""),468.32)</f>
        <v>468.32</v>
      </c>
      <c r="Q145" s="3">
        <f>IFERROR(__xludf.DUMMYFUNCTION("""COMPUTED_VALUE"""),52.76)</f>
        <v>52.76</v>
      </c>
      <c r="R145" s="3">
        <f>IFERROR(__xludf.DUMMYFUNCTION("""COMPUTED_VALUE"""),160.92)</f>
        <v>160.92</v>
      </c>
      <c r="S145" s="3">
        <f>IFERROR(__xludf.DUMMYFUNCTION("""COMPUTED_VALUE"""),90.84)</f>
        <v>90.84</v>
      </c>
      <c r="T145" s="3">
        <f>IFERROR(__xludf.DUMMYFUNCTION("""COMPUTED_VALUE"""),75.38)</f>
        <v>75.38</v>
      </c>
      <c r="U145" s="3">
        <f>IFERROR(__xludf.DUMMYFUNCTION("""COMPUTED_VALUE"""),399.51)</f>
        <v>399.51</v>
      </c>
      <c r="V145" s="3">
        <f>IFERROR(__xludf.DUMMYFUNCTION("""COMPUTED_VALUE"""),59.61)</f>
        <v>59.61</v>
      </c>
      <c r="W145" s="3">
        <f>IFERROR(__xludf.DUMMYFUNCTION("""COMPUTED_VALUE"""),190.22)</f>
        <v>190.22</v>
      </c>
      <c r="X145" s="3">
        <f>IFERROR(__xludf.DUMMYFUNCTION("""COMPUTED_VALUE"""),158.32)</f>
        <v>158.32</v>
      </c>
      <c r="Y145" s="1">
        <f>IFERROR(__xludf.DUMMYFUNCTION("""COMPUTED_VALUE"""),330.12)</f>
        <v>330.12</v>
      </c>
      <c r="Z145" s="1">
        <f>IFERROR(__xludf.DUMMYFUNCTION("""COMPUTED_VALUE"""),46.6)</f>
        <v>46.6</v>
      </c>
      <c r="AA145" s="1">
        <f>IFERROR(__xludf.DUMMYFUNCTION("""COMPUTED_VALUE"""),62.21)</f>
        <v>62.21</v>
      </c>
      <c r="AB145" s="1">
        <f>IFERROR(__xludf.DUMMYFUNCTION("""COMPUTED_VALUE"""),96.62)</f>
        <v>96.62</v>
      </c>
      <c r="AC145" s="1">
        <f>IFERROR(__xludf.DUMMYFUNCTION("""COMPUTED_VALUE"""),190.84)</f>
        <v>190.84</v>
      </c>
      <c r="AD145" s="3">
        <f>IFERROR(__xludf.DUMMYFUNCTION("""COMPUTED_VALUE"""),73.83)</f>
        <v>73.83</v>
      </c>
      <c r="AE145" s="1">
        <f>IFERROR(__xludf.DUMMYFUNCTION("""COMPUTED_VALUE"""),466.86)</f>
        <v>466.86</v>
      </c>
      <c r="AF145" s="1">
        <f>IFERROR(__xludf.DUMMYFUNCTION("""COMPUTED_VALUE"""),63.32)</f>
        <v>63.32</v>
      </c>
      <c r="AG145" s="1">
        <f>IFERROR(__xludf.DUMMYFUNCTION("""COMPUTED_VALUE"""),114.28)</f>
        <v>114.28</v>
      </c>
      <c r="AH145" s="1">
        <f>IFERROR(__xludf.DUMMYFUNCTION("""COMPUTED_VALUE"""),283.43)</f>
        <v>283.43</v>
      </c>
      <c r="AI145" s="1">
        <f>IFERROR(__xludf.DUMMYFUNCTION("""COMPUTED_VALUE"""),445.73)</f>
        <v>445.73</v>
      </c>
      <c r="AJ145" s="1">
        <f>IFERROR(__xludf.DUMMYFUNCTION("""COMPUTED_VALUE"""),277.66)</f>
        <v>277.66</v>
      </c>
      <c r="AK145" s="3">
        <f>IFERROR(__xludf.DUMMYFUNCTION("""COMPUTED_VALUE"""),53.36)</f>
        <v>53.36</v>
      </c>
      <c r="AL145" s="1">
        <f>IFERROR(__xludf.DUMMYFUNCTION("""COMPUTED_VALUE"""),91.59)</f>
        <v>91.59</v>
      </c>
      <c r="AM145" s="1">
        <f>IFERROR(__xludf.DUMMYFUNCTION("""COMPUTED_VALUE"""),598.71)</f>
        <v>598.71</v>
      </c>
      <c r="AN145" s="1">
        <f>IFERROR(__xludf.DUMMYFUNCTION("""COMPUTED_VALUE"""),427.92)</f>
        <v>427.92</v>
      </c>
      <c r="AO145" s="1">
        <f>IFERROR(__xludf.DUMMYFUNCTION("""COMPUTED_VALUE"""),123.67)</f>
        <v>123.67</v>
      </c>
      <c r="AP145" s="1">
        <f>IFERROR(__xludf.DUMMYFUNCTION("""COMPUTED_VALUE"""),156.1)</f>
        <v>156.1</v>
      </c>
      <c r="AQ145" s="3">
        <f>IFERROR(__xludf.DUMMYFUNCTION("""COMPUTED_VALUE"""),549.95)</f>
        <v>549.95</v>
      </c>
      <c r="AR145" s="3">
        <f>IFERROR(__xludf.DUMMYFUNCTION("""COMPUTED_VALUE"""),243.4)</f>
        <v>243.4</v>
      </c>
      <c r="AS145" s="3">
        <f>IFERROR(__xludf.DUMMYFUNCTION("""COMPUTED_VALUE"""),517.5)</f>
        <v>517.5</v>
      </c>
      <c r="AT145" s="3">
        <f>IFERROR(__xludf.DUMMYFUNCTION("""COMPUTED_VALUE"""),342.27)</f>
        <v>342.27</v>
      </c>
      <c r="AU145" s="1">
        <f>IFERROR(__xludf.DUMMYFUNCTION("""COMPUTED_VALUE"""),32.29)</f>
        <v>32.29</v>
      </c>
      <c r="AV145" s="1">
        <f>IFERROR(__xludf.DUMMYFUNCTION("""COMPUTED_VALUE"""),85.32)</f>
        <v>85.32</v>
      </c>
      <c r="AW145" s="1">
        <f>IFERROR(__xludf.DUMMYFUNCTION("""COMPUTED_VALUE"""),85.38)</f>
        <v>85.38</v>
      </c>
      <c r="AX145" s="1">
        <f>IFERROR(__xludf.DUMMYFUNCTION("""COMPUTED_VALUE"""),21.13)</f>
        <v>21.13</v>
      </c>
      <c r="AY145" s="1">
        <f>IFERROR(__xludf.DUMMYFUNCTION("""COMPUTED_VALUE"""),437.42)</f>
        <v>437.42</v>
      </c>
      <c r="AZ145" s="3">
        <f>IFERROR(__xludf.DUMMYFUNCTION("""COMPUTED_VALUE"""),75.74)</f>
        <v>75.74</v>
      </c>
      <c r="BA145" s="3">
        <f>IFERROR(__xludf.DUMMYFUNCTION("""COMPUTED_VALUE"""),100.93)</f>
        <v>100.93</v>
      </c>
      <c r="BB145" s="3">
        <f>IFERROR(__xludf.DUMMYFUNCTION("""COMPUTED_VALUE"""),145.14)</f>
        <v>145.14</v>
      </c>
      <c r="BC145" s="1">
        <f>IFERROR(__xludf.DUMMYFUNCTION("""COMPUTED_VALUE"""),101.13)</f>
        <v>101.13</v>
      </c>
      <c r="BD145" s="3">
        <f>IFERROR(__xludf.DUMMYFUNCTION("""COMPUTED_VALUE"""),59.0)</f>
        <v>59</v>
      </c>
      <c r="BE145" s="3">
        <f>IFERROR(__xludf.DUMMYFUNCTION("""COMPUTED_VALUE"""),69.85)</f>
        <v>69.85</v>
      </c>
      <c r="BF145" s="1">
        <f>IFERROR(__xludf.DUMMYFUNCTION("""COMPUTED_VALUE"""),89.33)</f>
        <v>89.33</v>
      </c>
      <c r="BG145" s="1">
        <f>IFERROR(__xludf.DUMMYFUNCTION("""COMPUTED_VALUE"""),25.23)</f>
        <v>25.23</v>
      </c>
      <c r="BH145" s="1">
        <f>IFERROR(__xludf.DUMMYFUNCTION("""COMPUTED_VALUE"""),119.23)</f>
        <v>119.23</v>
      </c>
      <c r="BI145" s="1">
        <f>IFERROR(__xludf.DUMMYFUNCTION("""COMPUTED_VALUE"""),48.25)</f>
        <v>48.25</v>
      </c>
      <c r="BJ145" s="1">
        <f>IFERROR(__xludf.DUMMYFUNCTION("""COMPUTED_VALUE"""),243.08)</f>
        <v>243.08</v>
      </c>
      <c r="BK145" s="1">
        <f>IFERROR(__xludf.DUMMYFUNCTION("""COMPUTED_VALUE"""),528.87)</f>
        <v>528.87</v>
      </c>
      <c r="BL145" s="1">
        <f>IFERROR(__xludf.DUMMYFUNCTION("""COMPUTED_VALUE"""),174.78)</f>
        <v>174.78</v>
      </c>
      <c r="BM145" s="1">
        <f>IFERROR(__xludf.DUMMYFUNCTION("""COMPUTED_VALUE"""),72.21)</f>
        <v>72.21</v>
      </c>
      <c r="BN145" s="3">
        <f>IFERROR(__xludf.DUMMYFUNCTION("""COMPUTED_VALUE"""),10.17)</f>
        <v>10.17</v>
      </c>
      <c r="BO145" s="1">
        <f>IFERROR(__xludf.DUMMYFUNCTION("""COMPUTED_VALUE"""),235.0)</f>
        <v>235</v>
      </c>
      <c r="BP145" s="1">
        <f>IFERROR(__xludf.DUMMYFUNCTION("""COMPUTED_VALUE"""),610.79)</f>
        <v>610.79</v>
      </c>
      <c r="BQ145" s="36">
        <f>IFERROR(__xludf.DUMMYFUNCTION("""COMPUTED_VALUE"""),49.08)</f>
        <v>49.08</v>
      </c>
      <c r="BR145" s="1">
        <f>IFERROR(__xludf.DUMMYFUNCTION("""COMPUTED_VALUE"""),13.04)</f>
        <v>13.04</v>
      </c>
      <c r="BS145" s="3">
        <f>IFERROR(__xludf.DUMMYFUNCTION("""COMPUTED_VALUE"""),225.29)</f>
        <v>225.29</v>
      </c>
      <c r="BT145" s="1">
        <f>IFERROR(__xludf.DUMMYFUNCTION("""COMPUTED_VALUE"""),116.99)</f>
        <v>116.99</v>
      </c>
      <c r="BU145" s="3">
        <v>1.0</v>
      </c>
    </row>
    <row r="146">
      <c r="A146" s="25">
        <f>IFERROR(__xludf.DUMMYFUNCTION("""COMPUTED_VALUE"""),45631.66666666667)</f>
        <v>45631.66667</v>
      </c>
      <c r="B146" s="29">
        <f>'Master Scratch Work'!B145</f>
        <v>1386224.35</v>
      </c>
      <c r="C146" s="15">
        <f>IFERROR(__xludf.DUMMYFUNCTION("""COMPUTED_VALUE"""),6075.11)</f>
        <v>6075.11</v>
      </c>
      <c r="D146" s="15">
        <f>IFERROR(__xludf.DUMMYFUNCTION("""COMPUTED_VALUE"""),19700.72)</f>
        <v>19700.72</v>
      </c>
      <c r="E146" s="15">
        <f>IFERROR(__xludf.DUMMYFUNCTION("""COMPUTED_VALUE"""),44765.71)</f>
        <v>44765.71</v>
      </c>
      <c r="F146" s="15">
        <f>IFERROR(__xludf.DUMMYFUNCTION("""COMPUTED_VALUE"""),2396.17)</f>
        <v>2396.17</v>
      </c>
      <c r="G146" s="3">
        <f>IFERROR(__xludf.DUMMYFUNCTION("""COMPUTED_VALUE"""),606.66)</f>
        <v>606.66</v>
      </c>
      <c r="H146" s="3">
        <f>IFERROR(__xludf.DUMMYFUNCTION("""COMPUTED_VALUE"""),521.81)</f>
        <v>521.81</v>
      </c>
      <c r="I146" s="3">
        <f>IFERROR(__xludf.DUMMYFUNCTION("""COMPUTED_VALUE"""),538.22)</f>
        <v>538.22</v>
      </c>
      <c r="J146" s="3">
        <f>IFERROR(__xludf.DUMMYFUNCTION("""COMPUTED_VALUE"""),220.55)</f>
        <v>220.55</v>
      </c>
      <c r="K146" s="3">
        <f>IFERROR(__xludf.DUMMYFUNCTION("""COMPUTED_VALUE"""),132.1)</f>
        <v>132.1</v>
      </c>
      <c r="L146" s="3">
        <f>IFERROR(__xludf.DUMMYFUNCTION("""COMPUTED_VALUE"""),243.04)</f>
        <v>243.04</v>
      </c>
      <c r="M146" s="3">
        <f>IFERROR(__xludf.DUMMYFUNCTION("""COMPUTED_VALUE"""),172.03)</f>
        <v>172.03</v>
      </c>
      <c r="N146" s="3">
        <f>IFERROR(__xludf.DUMMYFUNCTION("""COMPUTED_VALUE"""),81.49)</f>
        <v>81.49</v>
      </c>
      <c r="O146" s="3">
        <f>IFERROR(__xludf.DUMMYFUNCTION("""COMPUTED_VALUE"""),13.6)</f>
        <v>13.6</v>
      </c>
      <c r="P146" s="3">
        <f>IFERROR(__xludf.DUMMYFUNCTION("""COMPUTED_VALUE"""),470.57)</f>
        <v>470.57</v>
      </c>
      <c r="Q146" s="3">
        <f>IFERROR(__xludf.DUMMYFUNCTION("""COMPUTED_VALUE"""),52.19)</f>
        <v>52.19</v>
      </c>
      <c r="R146" s="3">
        <f>IFERROR(__xludf.DUMMYFUNCTION("""COMPUTED_VALUE"""),159.26)</f>
        <v>159.26</v>
      </c>
      <c r="S146" s="3">
        <f>IFERROR(__xludf.DUMMYFUNCTION("""COMPUTED_VALUE"""),90.53)</f>
        <v>90.53</v>
      </c>
      <c r="T146" s="3">
        <f>IFERROR(__xludf.DUMMYFUNCTION("""COMPUTED_VALUE"""),73.99)</f>
        <v>73.99</v>
      </c>
      <c r="U146" s="3">
        <f>IFERROR(__xludf.DUMMYFUNCTION("""COMPUTED_VALUE"""),394.98)</f>
        <v>394.98</v>
      </c>
      <c r="V146" s="3">
        <f>IFERROR(__xludf.DUMMYFUNCTION("""COMPUTED_VALUE"""),61.14)</f>
        <v>61.14</v>
      </c>
      <c r="W146" s="3">
        <f>IFERROR(__xludf.DUMMYFUNCTION("""COMPUTED_VALUE"""),188.05)</f>
        <v>188.05</v>
      </c>
      <c r="X146" s="3">
        <f>IFERROR(__xludf.DUMMYFUNCTION("""COMPUTED_VALUE"""),159.33)</f>
        <v>159.33</v>
      </c>
      <c r="Y146" s="1">
        <f>IFERROR(__xludf.DUMMYFUNCTION("""COMPUTED_VALUE"""),322.61)</f>
        <v>322.61</v>
      </c>
      <c r="Z146" s="1">
        <f>IFERROR(__xludf.DUMMYFUNCTION("""COMPUTED_VALUE"""),46.77)</f>
        <v>46.77</v>
      </c>
      <c r="AA146" s="1">
        <f>IFERROR(__xludf.DUMMYFUNCTION("""COMPUTED_VALUE"""),62.92)</f>
        <v>62.92</v>
      </c>
      <c r="AB146" s="1">
        <f>IFERROR(__xludf.DUMMYFUNCTION("""COMPUTED_VALUE"""),96.5)</f>
        <v>96.5</v>
      </c>
      <c r="AC146" s="1">
        <f>IFERROR(__xludf.DUMMYFUNCTION("""COMPUTED_VALUE"""),191.08)</f>
        <v>191.08</v>
      </c>
      <c r="AD146" s="3">
        <f>IFERROR(__xludf.DUMMYFUNCTION("""COMPUTED_VALUE"""),72.56)</f>
        <v>72.56</v>
      </c>
      <c r="AE146" s="1">
        <f>IFERROR(__xludf.DUMMYFUNCTION("""COMPUTED_VALUE"""),465.41)</f>
        <v>465.41</v>
      </c>
      <c r="AF146" s="1">
        <f>IFERROR(__xludf.DUMMYFUNCTION("""COMPUTED_VALUE"""),63.62)</f>
        <v>63.62</v>
      </c>
      <c r="AG146" s="1">
        <f>IFERROR(__xludf.DUMMYFUNCTION("""COMPUTED_VALUE"""),114.78)</f>
        <v>114.78</v>
      </c>
      <c r="AH146" s="1">
        <f>IFERROR(__xludf.DUMMYFUNCTION("""COMPUTED_VALUE"""),279.42)</f>
        <v>279.42</v>
      </c>
      <c r="AI146" s="1">
        <f>IFERROR(__xludf.DUMMYFUNCTION("""COMPUTED_VALUE"""),445.52)</f>
        <v>445.52</v>
      </c>
      <c r="AJ146" s="1">
        <f>IFERROR(__xludf.DUMMYFUNCTION("""COMPUTED_VALUE"""),275.15)</f>
        <v>275.15</v>
      </c>
      <c r="AK146" s="3">
        <f>IFERROR(__xludf.DUMMYFUNCTION("""COMPUTED_VALUE"""),53.39)</f>
        <v>53.39</v>
      </c>
      <c r="AL146" s="1">
        <f>IFERROR(__xludf.DUMMYFUNCTION("""COMPUTED_VALUE"""),93.39)</f>
        <v>93.39</v>
      </c>
      <c r="AM146" s="1">
        <f>IFERROR(__xludf.DUMMYFUNCTION("""COMPUTED_VALUE"""),596.8)</f>
        <v>596.8</v>
      </c>
      <c r="AN146" s="1">
        <f>IFERROR(__xludf.DUMMYFUNCTION("""COMPUTED_VALUE"""),426.54)</f>
        <v>426.54</v>
      </c>
      <c r="AO146" s="1">
        <f>IFERROR(__xludf.DUMMYFUNCTION("""COMPUTED_VALUE"""),122.76)</f>
        <v>122.76</v>
      </c>
      <c r="AP146" s="1">
        <f>IFERROR(__xludf.DUMMYFUNCTION("""COMPUTED_VALUE"""),156.37)</f>
        <v>156.37</v>
      </c>
      <c r="AQ146" s="3">
        <f>IFERROR(__xludf.DUMMYFUNCTION("""COMPUTED_VALUE"""),547.65)</f>
        <v>547.65</v>
      </c>
      <c r="AR146" s="3">
        <f>IFERROR(__xludf.DUMMYFUNCTION("""COMPUTED_VALUE"""),245.48)</f>
        <v>245.48</v>
      </c>
      <c r="AS146" s="3">
        <f>IFERROR(__xludf.DUMMYFUNCTION("""COMPUTED_VALUE"""),517.48)</f>
        <v>517.48</v>
      </c>
      <c r="AT146" s="3">
        <f>IFERROR(__xludf.DUMMYFUNCTION("""COMPUTED_VALUE"""),344.81)</f>
        <v>344.81</v>
      </c>
      <c r="AU146" s="1">
        <f>IFERROR(__xludf.DUMMYFUNCTION("""COMPUTED_VALUE"""),32.55)</f>
        <v>32.55</v>
      </c>
      <c r="AV146" s="1">
        <f>IFERROR(__xludf.DUMMYFUNCTION("""COMPUTED_VALUE"""),84.14)</f>
        <v>84.14</v>
      </c>
      <c r="AW146" s="1">
        <f>IFERROR(__xludf.DUMMYFUNCTION("""COMPUTED_VALUE"""),85.88)</f>
        <v>85.88</v>
      </c>
      <c r="AX146" s="1">
        <f>IFERROR(__xludf.DUMMYFUNCTION("""COMPUTED_VALUE"""),20.01)</f>
        <v>20.01</v>
      </c>
      <c r="AY146" s="1">
        <f>IFERROR(__xludf.DUMMYFUNCTION("""COMPUTED_VALUE"""),442.62)</f>
        <v>442.62</v>
      </c>
      <c r="AZ146" s="3">
        <f>IFERROR(__xludf.DUMMYFUNCTION("""COMPUTED_VALUE"""),76.2)</f>
        <v>76.2</v>
      </c>
      <c r="BA146" s="3">
        <f>IFERROR(__xludf.DUMMYFUNCTION("""COMPUTED_VALUE"""),101.28)</f>
        <v>101.28</v>
      </c>
      <c r="BB146" s="3">
        <f>IFERROR(__xludf.DUMMYFUNCTION("""COMPUTED_VALUE"""),145.06)</f>
        <v>145.06</v>
      </c>
      <c r="BC146" s="1">
        <f>IFERROR(__xludf.DUMMYFUNCTION("""COMPUTED_VALUE"""),99.12)</f>
        <v>99.12</v>
      </c>
      <c r="BD146" s="3">
        <f>IFERROR(__xludf.DUMMYFUNCTION("""COMPUTED_VALUE"""),59.37)</f>
        <v>59.37</v>
      </c>
      <c r="BE146" s="3">
        <f>IFERROR(__xludf.DUMMYFUNCTION("""COMPUTED_VALUE"""),71.87)</f>
        <v>71.87</v>
      </c>
      <c r="BF146" s="1">
        <f>IFERROR(__xludf.DUMMYFUNCTION("""COMPUTED_VALUE"""),89.05)</f>
        <v>89.05</v>
      </c>
      <c r="BG146" s="1">
        <f>IFERROR(__xludf.DUMMYFUNCTION("""COMPUTED_VALUE"""),25.7)</f>
        <v>25.7</v>
      </c>
      <c r="BH146" s="1">
        <f>IFERROR(__xludf.DUMMYFUNCTION("""COMPUTED_VALUE"""),118.52)</f>
        <v>118.52</v>
      </c>
      <c r="BI146" s="1">
        <f>IFERROR(__xludf.DUMMYFUNCTION("""COMPUTED_VALUE"""),47.3)</f>
        <v>47.3</v>
      </c>
      <c r="BJ146" s="1">
        <f>IFERROR(__xludf.DUMMYFUNCTION("""COMPUTED_VALUE"""),243.94)</f>
        <v>243.94</v>
      </c>
      <c r="BK146" s="1">
        <f>IFERROR(__xludf.DUMMYFUNCTION("""COMPUTED_VALUE"""),520.86)</f>
        <v>520.86</v>
      </c>
      <c r="BL146" s="1">
        <f>IFERROR(__xludf.DUMMYFUNCTION("""COMPUTED_VALUE"""),174.4)</f>
        <v>174.4</v>
      </c>
      <c r="BM146" s="1">
        <f>IFERROR(__xludf.DUMMYFUNCTION("""COMPUTED_VALUE"""),66.25)</f>
        <v>66.25</v>
      </c>
      <c r="BN146" s="3">
        <f>IFERROR(__xludf.DUMMYFUNCTION("""COMPUTED_VALUE"""),10.03)</f>
        <v>10.03</v>
      </c>
      <c r="BO146" s="1">
        <f>IFERROR(__xludf.DUMMYFUNCTION("""COMPUTED_VALUE"""),234.63)</f>
        <v>234.63</v>
      </c>
      <c r="BP146" s="1">
        <f>IFERROR(__xludf.DUMMYFUNCTION("""COMPUTED_VALUE"""),578.97)</f>
        <v>578.97</v>
      </c>
      <c r="BQ146" s="36">
        <f>IFERROR(__xludf.DUMMYFUNCTION("""COMPUTED_VALUE"""),49.07)</f>
        <v>49.07</v>
      </c>
      <c r="BR146" s="1">
        <f>IFERROR(__xludf.DUMMYFUNCTION("""COMPUTED_VALUE"""),12.89)</f>
        <v>12.89</v>
      </c>
      <c r="BS146" s="3">
        <f>IFERROR(__xludf.DUMMYFUNCTION("""COMPUTED_VALUE"""),224.05)</f>
        <v>224.05</v>
      </c>
      <c r="BT146" s="1">
        <f>IFERROR(__xludf.DUMMYFUNCTION("""COMPUTED_VALUE"""),116.5)</f>
        <v>116.5</v>
      </c>
      <c r="BU146" s="3">
        <v>1.0</v>
      </c>
    </row>
    <row r="147">
      <c r="A147" s="25">
        <f>IFERROR(__xludf.DUMMYFUNCTION("""COMPUTED_VALUE"""),45632.66666666667)</f>
        <v>45632.66667</v>
      </c>
      <c r="B147" s="29">
        <f>'Master Scratch Work'!B146</f>
        <v>1388422.52</v>
      </c>
      <c r="C147" s="15">
        <f>IFERROR(__xludf.DUMMYFUNCTION("""COMPUTED_VALUE"""),6090.27)</f>
        <v>6090.27</v>
      </c>
      <c r="D147" s="15">
        <f>IFERROR(__xludf.DUMMYFUNCTION("""COMPUTED_VALUE"""),19859.77)</f>
        <v>19859.77</v>
      </c>
      <c r="E147" s="15">
        <f>IFERROR(__xludf.DUMMYFUNCTION("""COMPUTED_VALUE"""),44642.52)</f>
        <v>44642.52</v>
      </c>
      <c r="F147" s="15">
        <f>IFERROR(__xludf.DUMMYFUNCTION("""COMPUTED_VALUE"""),2408.99)</f>
        <v>2408.99</v>
      </c>
      <c r="G147" s="3">
        <f>IFERROR(__xludf.DUMMYFUNCTION("""COMPUTED_VALUE"""),607.81)</f>
        <v>607.81</v>
      </c>
      <c r="H147" s="3">
        <f>IFERROR(__xludf.DUMMYFUNCTION("""COMPUTED_VALUE"""),526.48)</f>
        <v>526.48</v>
      </c>
      <c r="I147" s="3">
        <f>IFERROR(__xludf.DUMMYFUNCTION("""COMPUTED_VALUE"""),552.96)</f>
        <v>552.96</v>
      </c>
      <c r="J147" s="3">
        <f>IFERROR(__xludf.DUMMYFUNCTION("""COMPUTED_VALUE"""),227.03)</f>
        <v>227.03</v>
      </c>
      <c r="K147" s="3">
        <f>IFERROR(__xludf.DUMMYFUNCTION("""COMPUTED_VALUE"""),132.37)</f>
        <v>132.37</v>
      </c>
      <c r="L147" s="3">
        <f>IFERROR(__xludf.DUMMYFUNCTION("""COMPUTED_VALUE"""),242.84)</f>
        <v>242.84</v>
      </c>
      <c r="M147" s="3">
        <f>IFERROR(__xludf.DUMMYFUNCTION("""COMPUTED_VALUE"""),173.02)</f>
        <v>173.02</v>
      </c>
      <c r="N147" s="3">
        <f>IFERROR(__xludf.DUMMYFUNCTION("""COMPUTED_VALUE"""),80.51)</f>
        <v>80.51</v>
      </c>
      <c r="O147" s="3">
        <f>IFERROR(__xludf.DUMMYFUNCTION("""COMPUTED_VALUE"""),13.54)</f>
        <v>13.54</v>
      </c>
      <c r="P147" s="3">
        <f>IFERROR(__xludf.DUMMYFUNCTION("""COMPUTED_VALUE"""),470.5)</f>
        <v>470.5</v>
      </c>
      <c r="Q147" s="3">
        <f>IFERROR(__xludf.DUMMYFUNCTION("""COMPUTED_VALUE"""),51.4)</f>
        <v>51.4</v>
      </c>
      <c r="R147" s="3">
        <f>IFERROR(__xludf.DUMMYFUNCTION("""COMPUTED_VALUE"""),157.78)</f>
        <v>157.78</v>
      </c>
      <c r="S147" s="3">
        <f>IFERROR(__xludf.DUMMYFUNCTION("""COMPUTED_VALUE"""),90.07)</f>
        <v>90.07</v>
      </c>
      <c r="T147" s="3">
        <f>IFERROR(__xludf.DUMMYFUNCTION("""COMPUTED_VALUE"""),73.67)</f>
        <v>73.67</v>
      </c>
      <c r="U147" s="3">
        <f>IFERROR(__xludf.DUMMYFUNCTION("""COMPUTED_VALUE"""),395.03)</f>
        <v>395.03</v>
      </c>
      <c r="V147" s="3">
        <f>IFERROR(__xludf.DUMMYFUNCTION("""COMPUTED_VALUE"""),61.06)</f>
        <v>61.06</v>
      </c>
      <c r="W147" s="3">
        <f>IFERROR(__xludf.DUMMYFUNCTION("""COMPUTED_VALUE"""),186.82)</f>
        <v>186.82</v>
      </c>
      <c r="X147" s="3">
        <f>IFERROR(__xludf.DUMMYFUNCTION("""COMPUTED_VALUE"""),155.24)</f>
        <v>155.24</v>
      </c>
      <c r="Y147" s="1">
        <f>IFERROR(__xludf.DUMMYFUNCTION("""COMPUTED_VALUE"""),317.81)</f>
        <v>317.81</v>
      </c>
      <c r="Z147" s="1">
        <f>IFERROR(__xludf.DUMMYFUNCTION("""COMPUTED_VALUE"""),47.03)</f>
        <v>47.03</v>
      </c>
      <c r="AA147" s="1">
        <f>IFERROR(__xludf.DUMMYFUNCTION("""COMPUTED_VALUE"""),62.53)</f>
        <v>62.53</v>
      </c>
      <c r="AB147" s="1">
        <f>IFERROR(__xludf.DUMMYFUNCTION("""COMPUTED_VALUE"""),94.82)</f>
        <v>94.82</v>
      </c>
      <c r="AC147" s="1">
        <f>IFERROR(__xludf.DUMMYFUNCTION("""COMPUTED_VALUE"""),192.69)</f>
        <v>192.69</v>
      </c>
      <c r="AD147" s="3">
        <f>IFERROR(__xludf.DUMMYFUNCTION("""COMPUTED_VALUE"""),71.87)</f>
        <v>71.87</v>
      </c>
      <c r="AE147" s="1">
        <f>IFERROR(__xludf.DUMMYFUNCTION("""COMPUTED_VALUE"""),459.59)</f>
        <v>459.59</v>
      </c>
      <c r="AF147" s="1">
        <f>IFERROR(__xludf.DUMMYFUNCTION("""COMPUTED_VALUE"""),63.62)</f>
        <v>63.62</v>
      </c>
      <c r="AG147" s="1">
        <f>IFERROR(__xludf.DUMMYFUNCTION("""COMPUTED_VALUE"""),113.57)</f>
        <v>113.57</v>
      </c>
      <c r="AH147" s="1">
        <f>IFERROR(__xludf.DUMMYFUNCTION("""COMPUTED_VALUE"""),280.68)</f>
        <v>280.68</v>
      </c>
      <c r="AI147" s="1">
        <f>IFERROR(__xludf.DUMMYFUNCTION("""COMPUTED_VALUE"""),458.44)</f>
        <v>458.44</v>
      </c>
      <c r="AJ147" s="1">
        <f>IFERROR(__xludf.DUMMYFUNCTION("""COMPUTED_VALUE"""),271.8)</f>
        <v>271.8</v>
      </c>
      <c r="AK147" s="3">
        <f>IFERROR(__xludf.DUMMYFUNCTION("""COMPUTED_VALUE"""),53.41)</f>
        <v>53.41</v>
      </c>
      <c r="AL147" s="1">
        <f>IFERROR(__xludf.DUMMYFUNCTION("""COMPUTED_VALUE"""),92.13)</f>
        <v>92.13</v>
      </c>
      <c r="AM147" s="1">
        <f>IFERROR(__xludf.DUMMYFUNCTION("""COMPUTED_VALUE"""),599.68)</f>
        <v>599.68</v>
      </c>
      <c r="AN147" s="1">
        <f>IFERROR(__xludf.DUMMYFUNCTION("""COMPUTED_VALUE"""),431.37)</f>
        <v>431.37</v>
      </c>
      <c r="AO147" s="1">
        <f>IFERROR(__xludf.DUMMYFUNCTION("""COMPUTED_VALUE"""),123.11)</f>
        <v>123.11</v>
      </c>
      <c r="AP147" s="1">
        <f>IFERROR(__xludf.DUMMYFUNCTION("""COMPUTED_VALUE"""),155.93)</f>
        <v>155.93</v>
      </c>
      <c r="AQ147" s="3">
        <f>IFERROR(__xludf.DUMMYFUNCTION("""COMPUTED_VALUE"""),550.41)</f>
        <v>550.41</v>
      </c>
      <c r="AR147" s="3">
        <f>IFERROR(__xludf.DUMMYFUNCTION("""COMPUTED_VALUE"""),247.36)</f>
        <v>247.36</v>
      </c>
      <c r="AS147" s="3">
        <f>IFERROR(__xludf.DUMMYFUNCTION("""COMPUTED_VALUE"""),513.03)</f>
        <v>513.03</v>
      </c>
      <c r="AT147" s="3">
        <f>IFERROR(__xludf.DUMMYFUNCTION("""COMPUTED_VALUE"""),399.6)</f>
        <v>399.6</v>
      </c>
      <c r="AU147" s="1">
        <f>IFERROR(__xludf.DUMMYFUNCTION("""COMPUTED_VALUE"""),32.4)</f>
        <v>32.4</v>
      </c>
      <c r="AV147" s="1">
        <f>IFERROR(__xludf.DUMMYFUNCTION("""COMPUTED_VALUE"""),84.01)</f>
        <v>84.01</v>
      </c>
      <c r="AW147" s="1">
        <f>IFERROR(__xludf.DUMMYFUNCTION("""COMPUTED_VALUE"""),85.22)</f>
        <v>85.22</v>
      </c>
      <c r="AX147" s="1">
        <f>IFERROR(__xludf.DUMMYFUNCTION("""COMPUTED_VALUE"""),19.72)</f>
        <v>19.72</v>
      </c>
      <c r="AY147" s="1">
        <f>IFERROR(__xludf.DUMMYFUNCTION("""COMPUTED_VALUE"""),443.57)</f>
        <v>443.57</v>
      </c>
      <c r="AZ147" s="3">
        <f>IFERROR(__xludf.DUMMYFUNCTION("""COMPUTED_VALUE"""),75.24)</f>
        <v>75.24</v>
      </c>
      <c r="BA147" s="3">
        <f>IFERROR(__xludf.DUMMYFUNCTION("""COMPUTED_VALUE"""),99.26)</f>
        <v>99.26</v>
      </c>
      <c r="BB147" s="3">
        <f>IFERROR(__xludf.DUMMYFUNCTION("""COMPUTED_VALUE"""),142.44)</f>
        <v>142.44</v>
      </c>
      <c r="BC147" s="1">
        <f>IFERROR(__xludf.DUMMYFUNCTION("""COMPUTED_VALUE"""),99.8)</f>
        <v>99.8</v>
      </c>
      <c r="BD147" s="3">
        <f>IFERROR(__xludf.DUMMYFUNCTION("""COMPUTED_VALUE"""),57.64)</f>
        <v>57.64</v>
      </c>
      <c r="BE147" s="3">
        <f>IFERROR(__xludf.DUMMYFUNCTION("""COMPUTED_VALUE"""),76.34)</f>
        <v>76.34</v>
      </c>
      <c r="BF147" s="1">
        <f>IFERROR(__xludf.DUMMYFUNCTION("""COMPUTED_VALUE"""),89.88)</f>
        <v>89.88</v>
      </c>
      <c r="BG147" s="1">
        <f>IFERROR(__xludf.DUMMYFUNCTION("""COMPUTED_VALUE"""),25.73)</f>
        <v>25.73</v>
      </c>
      <c r="BH147" s="1">
        <f>IFERROR(__xludf.DUMMYFUNCTION("""COMPUTED_VALUE"""),117.99)</f>
        <v>117.99</v>
      </c>
      <c r="BI147" s="1">
        <f>IFERROR(__xludf.DUMMYFUNCTION("""COMPUTED_VALUE"""),48.07)</f>
        <v>48.07</v>
      </c>
      <c r="BJ147" s="1">
        <f>IFERROR(__xludf.DUMMYFUNCTION("""COMPUTED_VALUE"""),243.78)</f>
        <v>243.78</v>
      </c>
      <c r="BK147" s="1">
        <f>IFERROR(__xludf.DUMMYFUNCTION("""COMPUTED_VALUE"""),529.36)</f>
        <v>529.36</v>
      </c>
      <c r="BL147" s="1">
        <f>IFERROR(__xludf.DUMMYFUNCTION("""COMPUTED_VALUE"""),175.95)</f>
        <v>175.95</v>
      </c>
      <c r="BM147" s="1">
        <f>IFERROR(__xludf.DUMMYFUNCTION("""COMPUTED_VALUE"""),68.26)</f>
        <v>68.26</v>
      </c>
      <c r="BN147" s="3">
        <f>IFERROR(__xludf.DUMMYFUNCTION("""COMPUTED_VALUE"""),10.12)</f>
        <v>10.12</v>
      </c>
      <c r="BO147" s="1">
        <f>IFERROR(__xludf.DUMMYFUNCTION("""COMPUTED_VALUE"""),233.57)</f>
        <v>233.57</v>
      </c>
      <c r="BP147" s="1">
        <f>IFERROR(__xludf.DUMMYFUNCTION("""COMPUTED_VALUE"""),549.62)</f>
        <v>549.62</v>
      </c>
      <c r="BQ147" s="36">
        <f>IFERROR(__xludf.DUMMYFUNCTION("""COMPUTED_VALUE"""),49.08)</f>
        <v>49.08</v>
      </c>
      <c r="BR147" s="1">
        <f>IFERROR(__xludf.DUMMYFUNCTION("""COMPUTED_VALUE"""),12.72)</f>
        <v>12.72</v>
      </c>
      <c r="BS147" s="3">
        <f>IFERROR(__xludf.DUMMYFUNCTION("""COMPUTED_VALUE"""),222.19)</f>
        <v>222.19</v>
      </c>
      <c r="BT147" s="1">
        <f>IFERROR(__xludf.DUMMYFUNCTION("""COMPUTED_VALUE"""),116.73)</f>
        <v>116.73</v>
      </c>
      <c r="BU147" s="3">
        <v>1.0</v>
      </c>
    </row>
    <row r="148">
      <c r="A148" s="25">
        <f>IFERROR(__xludf.DUMMYFUNCTION("""COMPUTED_VALUE"""),45635.66666666667)</f>
        <v>45635.66667</v>
      </c>
      <c r="B148" s="29">
        <f>'Master Scratch Work'!B147</f>
        <v>1379177.79</v>
      </c>
      <c r="C148" s="15">
        <f>IFERROR(__xludf.DUMMYFUNCTION("""COMPUTED_VALUE"""),6052.85)</f>
        <v>6052.85</v>
      </c>
      <c r="D148" s="15">
        <f>IFERROR(__xludf.DUMMYFUNCTION("""COMPUTED_VALUE"""),19736.69)</f>
        <v>19736.69</v>
      </c>
      <c r="E148" s="15">
        <f>IFERROR(__xludf.DUMMYFUNCTION("""COMPUTED_VALUE"""),44401.93)</f>
        <v>44401.93</v>
      </c>
      <c r="F148" s="15">
        <f>IFERROR(__xludf.DUMMYFUNCTION("""COMPUTED_VALUE"""),2392.84)</f>
        <v>2392.84</v>
      </c>
      <c r="G148" s="3">
        <f>IFERROR(__xludf.DUMMYFUNCTION("""COMPUTED_VALUE"""),604.68)</f>
        <v>604.68</v>
      </c>
      <c r="H148" s="3">
        <f>IFERROR(__xludf.DUMMYFUNCTION("""COMPUTED_VALUE"""),522.38)</f>
        <v>522.38</v>
      </c>
      <c r="I148" s="3">
        <f>IFERROR(__xludf.DUMMYFUNCTION("""COMPUTED_VALUE"""),547.93)</f>
        <v>547.93</v>
      </c>
      <c r="J148" s="3">
        <f>IFERROR(__xludf.DUMMYFUNCTION("""COMPUTED_VALUE"""),226.09)</f>
        <v>226.09</v>
      </c>
      <c r="K148" s="3">
        <f>IFERROR(__xludf.DUMMYFUNCTION("""COMPUTED_VALUE"""),130.72)</f>
        <v>130.72</v>
      </c>
      <c r="L148" s="3">
        <f>IFERROR(__xludf.DUMMYFUNCTION("""COMPUTED_VALUE"""),246.75)</f>
        <v>246.75</v>
      </c>
      <c r="M148" s="3">
        <f>IFERROR(__xludf.DUMMYFUNCTION("""COMPUTED_VALUE"""),171.86)</f>
        <v>171.86</v>
      </c>
      <c r="N148" s="3">
        <f>IFERROR(__xludf.DUMMYFUNCTION("""COMPUTED_VALUE"""),80.61)</f>
        <v>80.61</v>
      </c>
      <c r="O148" s="3">
        <f>IFERROR(__xludf.DUMMYFUNCTION("""COMPUTED_VALUE"""),13.53)</f>
        <v>13.53</v>
      </c>
      <c r="P148" s="3">
        <f>IFERROR(__xludf.DUMMYFUNCTION("""COMPUTED_VALUE"""),463.87)</f>
        <v>463.87</v>
      </c>
      <c r="Q148" s="3">
        <f>IFERROR(__xludf.DUMMYFUNCTION("""COMPUTED_VALUE"""),53.75)</f>
        <v>53.75</v>
      </c>
      <c r="R148" s="3">
        <f>IFERROR(__xludf.DUMMYFUNCTION("""COMPUTED_VALUE"""),156.46)</f>
        <v>156.46</v>
      </c>
      <c r="S148" s="3">
        <f>IFERROR(__xludf.DUMMYFUNCTION("""COMPUTED_VALUE"""),88.72)</f>
        <v>88.72</v>
      </c>
      <c r="T148" s="3">
        <f>IFERROR(__xludf.DUMMYFUNCTION("""COMPUTED_VALUE"""),73.2)</f>
        <v>73.2</v>
      </c>
      <c r="U148" s="3">
        <f>IFERROR(__xludf.DUMMYFUNCTION("""COMPUTED_VALUE"""),399.26)</f>
        <v>399.26</v>
      </c>
      <c r="V148" s="3">
        <f>IFERROR(__xludf.DUMMYFUNCTION("""COMPUTED_VALUE"""),57.52)</f>
        <v>57.52</v>
      </c>
      <c r="W148" s="3">
        <f>IFERROR(__xludf.DUMMYFUNCTION("""COMPUTED_VALUE"""),187.89)</f>
        <v>187.89</v>
      </c>
      <c r="X148" s="3">
        <f>IFERROR(__xludf.DUMMYFUNCTION("""COMPUTED_VALUE"""),157.08)</f>
        <v>157.08</v>
      </c>
      <c r="Y148" s="1">
        <f>IFERROR(__xludf.DUMMYFUNCTION("""COMPUTED_VALUE"""),319.15)</f>
        <v>319.15</v>
      </c>
      <c r="Z148" s="1">
        <f>IFERROR(__xludf.DUMMYFUNCTION("""COMPUTED_VALUE"""),45.97)</f>
        <v>45.97</v>
      </c>
      <c r="AA148" s="1">
        <f>IFERROR(__xludf.DUMMYFUNCTION("""COMPUTED_VALUE"""),62.6)</f>
        <v>62.6</v>
      </c>
      <c r="AB148" s="1">
        <f>IFERROR(__xludf.DUMMYFUNCTION("""COMPUTED_VALUE"""),94.78)</f>
        <v>94.78</v>
      </c>
      <c r="AC148" s="1">
        <f>IFERROR(__xludf.DUMMYFUNCTION("""COMPUTED_VALUE"""),188.17)</f>
        <v>188.17</v>
      </c>
      <c r="AD148" s="3">
        <f>IFERROR(__xludf.DUMMYFUNCTION("""COMPUTED_VALUE"""),71.6)</f>
        <v>71.6</v>
      </c>
      <c r="AE148" s="1">
        <f>IFERROR(__xludf.DUMMYFUNCTION("""COMPUTED_VALUE"""),457.74)</f>
        <v>457.74</v>
      </c>
      <c r="AF148" s="1">
        <f>IFERROR(__xludf.DUMMYFUNCTION("""COMPUTED_VALUE"""),65.14)</f>
        <v>65.14</v>
      </c>
      <c r="AG148" s="1">
        <f>IFERROR(__xludf.DUMMYFUNCTION("""COMPUTED_VALUE"""),112.9)</f>
        <v>112.9</v>
      </c>
      <c r="AH148" s="1">
        <f>IFERROR(__xludf.DUMMYFUNCTION("""COMPUTED_VALUE"""),279.53)</f>
        <v>279.53</v>
      </c>
      <c r="AI148" s="1">
        <f>IFERROR(__xludf.DUMMYFUNCTION("""COMPUTED_VALUE"""),448.48)</f>
        <v>448.48</v>
      </c>
      <c r="AJ148" s="1">
        <f>IFERROR(__xludf.DUMMYFUNCTION("""COMPUTED_VALUE"""),269.57)</f>
        <v>269.57</v>
      </c>
      <c r="AK148" s="3">
        <f>IFERROR(__xludf.DUMMYFUNCTION("""COMPUTED_VALUE"""),52.71)</f>
        <v>52.71</v>
      </c>
      <c r="AL148" s="1">
        <f>IFERROR(__xludf.DUMMYFUNCTION("""COMPUTED_VALUE"""),90.59)</f>
        <v>90.59</v>
      </c>
      <c r="AM148" s="1">
        <f>IFERROR(__xludf.DUMMYFUNCTION("""COMPUTED_VALUE"""),594.12)</f>
        <v>594.12</v>
      </c>
      <c r="AN148" s="1">
        <f>IFERROR(__xludf.DUMMYFUNCTION("""COMPUTED_VALUE"""),429.18)</f>
        <v>429.18</v>
      </c>
      <c r="AO148" s="1">
        <f>IFERROR(__xludf.DUMMYFUNCTION("""COMPUTED_VALUE"""),122.16)</f>
        <v>122.16</v>
      </c>
      <c r="AP148" s="1">
        <f>IFERROR(__xludf.DUMMYFUNCTION("""COMPUTED_VALUE"""),156.07)</f>
        <v>156.07</v>
      </c>
      <c r="AQ148" s="3">
        <f>IFERROR(__xludf.DUMMYFUNCTION("""COMPUTED_VALUE"""),538.86)</f>
        <v>538.86</v>
      </c>
      <c r="AR148" s="3">
        <f>IFERROR(__xludf.DUMMYFUNCTION("""COMPUTED_VALUE"""),243.81)</f>
        <v>243.81</v>
      </c>
      <c r="AS148" s="3">
        <f>IFERROR(__xludf.DUMMYFUNCTION("""COMPUTED_VALUE"""),510.01)</f>
        <v>510.01</v>
      </c>
      <c r="AT148" s="3">
        <f>IFERROR(__xludf.DUMMYFUNCTION("""COMPUTED_VALUE"""),404.79)</f>
        <v>404.79</v>
      </c>
      <c r="AU148" s="1">
        <f>IFERROR(__xludf.DUMMYFUNCTION("""COMPUTED_VALUE"""),31.93)</f>
        <v>31.93</v>
      </c>
      <c r="AV148" s="1">
        <f>IFERROR(__xludf.DUMMYFUNCTION("""COMPUTED_VALUE"""),83.96)</f>
        <v>83.96</v>
      </c>
      <c r="AW148" s="1">
        <f>IFERROR(__xludf.DUMMYFUNCTION("""COMPUTED_VALUE"""),82.28)</f>
        <v>82.28</v>
      </c>
      <c r="AX148" s="1">
        <f>IFERROR(__xludf.DUMMYFUNCTION("""COMPUTED_VALUE"""),20.52)</f>
        <v>20.52</v>
      </c>
      <c r="AY148" s="1">
        <f>IFERROR(__xludf.DUMMYFUNCTION("""COMPUTED_VALUE"""),446.02)</f>
        <v>446.02</v>
      </c>
      <c r="AZ148" s="3">
        <f>IFERROR(__xludf.DUMMYFUNCTION("""COMPUTED_VALUE"""),74.7)</f>
        <v>74.7</v>
      </c>
      <c r="BA148" s="3">
        <f>IFERROR(__xludf.DUMMYFUNCTION("""COMPUTED_VALUE"""),96.07)</f>
        <v>96.07</v>
      </c>
      <c r="BB148" s="3">
        <f>IFERROR(__xludf.DUMMYFUNCTION("""COMPUTED_VALUE"""),138.81)</f>
        <v>138.81</v>
      </c>
      <c r="BC148" s="1">
        <f>IFERROR(__xludf.DUMMYFUNCTION("""COMPUTED_VALUE"""),100.87)</f>
        <v>100.87</v>
      </c>
      <c r="BD148" s="3">
        <f>IFERROR(__xludf.DUMMYFUNCTION("""COMPUTED_VALUE"""),55.02)</f>
        <v>55.02</v>
      </c>
      <c r="BE148" s="3">
        <f>IFERROR(__xludf.DUMMYFUNCTION("""COMPUTED_VALUE"""),72.46)</f>
        <v>72.46</v>
      </c>
      <c r="BF148" s="1">
        <f>IFERROR(__xludf.DUMMYFUNCTION("""COMPUTED_VALUE"""),90.0)</f>
        <v>90</v>
      </c>
      <c r="BG148" s="1">
        <f>IFERROR(__xludf.DUMMYFUNCTION("""COMPUTED_VALUE"""),26.1)</f>
        <v>26.1</v>
      </c>
      <c r="BH148" s="1">
        <f>IFERROR(__xludf.DUMMYFUNCTION("""COMPUTED_VALUE"""),116.58)</f>
        <v>116.58</v>
      </c>
      <c r="BI148" s="1">
        <f>IFERROR(__xludf.DUMMYFUNCTION("""COMPUTED_VALUE"""),47.04)</f>
        <v>47.04</v>
      </c>
      <c r="BJ148" s="1">
        <f>IFERROR(__xludf.DUMMYFUNCTION("""COMPUTED_VALUE"""),228.86)</f>
        <v>228.86</v>
      </c>
      <c r="BK148" s="1">
        <f>IFERROR(__xludf.DUMMYFUNCTION("""COMPUTED_VALUE"""),537.23)</f>
        <v>537.23</v>
      </c>
      <c r="BL148" s="1">
        <f>IFERROR(__xludf.DUMMYFUNCTION("""COMPUTED_VALUE"""),177.01)</f>
        <v>177.01</v>
      </c>
      <c r="BM148" s="1">
        <f>IFERROR(__xludf.DUMMYFUNCTION("""COMPUTED_VALUE"""),69.84)</f>
        <v>69.84</v>
      </c>
      <c r="BN148" s="3">
        <f>IFERROR(__xludf.DUMMYFUNCTION("""COMPUTED_VALUE"""),10.18)</f>
        <v>10.18</v>
      </c>
      <c r="BO148" s="1">
        <f>IFERROR(__xludf.DUMMYFUNCTION("""COMPUTED_VALUE"""),233.54)</f>
        <v>233.54</v>
      </c>
      <c r="BP148" s="1">
        <f>IFERROR(__xludf.DUMMYFUNCTION("""COMPUTED_VALUE"""),560.62)</f>
        <v>560.62</v>
      </c>
      <c r="BQ148" s="36">
        <f>IFERROR(__xludf.DUMMYFUNCTION("""COMPUTED_VALUE"""),49.07)</f>
        <v>49.07</v>
      </c>
      <c r="BR148" s="1">
        <f>IFERROR(__xludf.DUMMYFUNCTION("""COMPUTED_VALUE"""),12.8)</f>
        <v>12.8</v>
      </c>
      <c r="BS148" s="3">
        <f>IFERROR(__xludf.DUMMYFUNCTION("""COMPUTED_VALUE"""),217.47)</f>
        <v>217.47</v>
      </c>
      <c r="BT148" s="1">
        <f>IFERROR(__xludf.DUMMYFUNCTION("""COMPUTED_VALUE"""),114.61)</f>
        <v>114.61</v>
      </c>
      <c r="BU148" s="3">
        <v>1.0</v>
      </c>
    </row>
    <row r="149">
      <c r="A149" s="25">
        <f>IFERROR(__xludf.DUMMYFUNCTION("""COMPUTED_VALUE"""),45636.66666666667)</f>
        <v>45636.66667</v>
      </c>
      <c r="B149" s="29">
        <f>'Master Scratch Work'!B148</f>
        <v>1373671.15</v>
      </c>
      <c r="C149" s="15">
        <f>IFERROR(__xludf.DUMMYFUNCTION("""COMPUTED_VALUE"""),6034.91)</f>
        <v>6034.91</v>
      </c>
      <c r="D149" s="15">
        <f>IFERROR(__xludf.DUMMYFUNCTION("""COMPUTED_VALUE"""),19687.24)</f>
        <v>19687.24</v>
      </c>
      <c r="E149" s="15">
        <f>IFERROR(__xludf.DUMMYFUNCTION("""COMPUTED_VALUE"""),44247.83)</f>
        <v>44247.83</v>
      </c>
      <c r="F149" s="15">
        <f>IFERROR(__xludf.DUMMYFUNCTION("""COMPUTED_VALUE"""),2382.77)</f>
        <v>2382.77</v>
      </c>
      <c r="G149" s="3">
        <f>IFERROR(__xludf.DUMMYFUNCTION("""COMPUTED_VALUE"""),602.8)</f>
        <v>602.8</v>
      </c>
      <c r="H149" s="3">
        <f>IFERROR(__xludf.DUMMYFUNCTION("""COMPUTED_VALUE"""),520.6)</f>
        <v>520.6</v>
      </c>
      <c r="I149" s="3">
        <f>IFERROR(__xludf.DUMMYFUNCTION("""COMPUTED_VALUE"""),547.05)</f>
        <v>547.05</v>
      </c>
      <c r="J149" s="3">
        <f>IFERROR(__xludf.DUMMYFUNCTION("""COMPUTED_VALUE"""),225.04)</f>
        <v>225.04</v>
      </c>
      <c r="K149" s="3">
        <f>IFERROR(__xludf.DUMMYFUNCTION("""COMPUTED_VALUE"""),130.98)</f>
        <v>130.98</v>
      </c>
      <c r="L149" s="3">
        <f>IFERROR(__xludf.DUMMYFUNCTION("""COMPUTED_VALUE"""),247.77)</f>
        <v>247.77</v>
      </c>
      <c r="M149" s="3">
        <f>IFERROR(__xludf.DUMMYFUNCTION("""COMPUTED_VALUE"""),168.17)</f>
        <v>168.17</v>
      </c>
      <c r="N149" s="3">
        <f>IFERROR(__xludf.DUMMYFUNCTION("""COMPUTED_VALUE"""),80.62)</f>
        <v>80.62</v>
      </c>
      <c r="O149" s="3">
        <f>IFERROR(__xludf.DUMMYFUNCTION("""COMPUTED_VALUE"""),13.3)</f>
        <v>13.3</v>
      </c>
      <c r="P149" s="3">
        <f>IFERROR(__xludf.DUMMYFUNCTION("""COMPUTED_VALUE"""),462.49)</f>
        <v>462.49</v>
      </c>
      <c r="Q149" s="3">
        <f>IFERROR(__xludf.DUMMYFUNCTION("""COMPUTED_VALUE"""),53.4)</f>
        <v>53.4</v>
      </c>
      <c r="R149" s="3">
        <f>IFERROR(__xludf.DUMMYFUNCTION("""COMPUTED_VALUE"""),156.32)</f>
        <v>156.32</v>
      </c>
      <c r="S149" s="3">
        <f>IFERROR(__xludf.DUMMYFUNCTION("""COMPUTED_VALUE"""),90.2)</f>
        <v>90.2</v>
      </c>
      <c r="T149" s="3">
        <f>IFERROR(__xludf.DUMMYFUNCTION("""COMPUTED_VALUE"""),72.81)</f>
        <v>72.81</v>
      </c>
      <c r="U149" s="3">
        <f>IFERROR(__xludf.DUMMYFUNCTION("""COMPUTED_VALUE"""),388.39)</f>
        <v>388.39</v>
      </c>
      <c r="V149" s="3">
        <f>IFERROR(__xludf.DUMMYFUNCTION("""COMPUTED_VALUE"""),56.42)</f>
        <v>56.42</v>
      </c>
      <c r="W149" s="3">
        <f>IFERROR(__xludf.DUMMYFUNCTION("""COMPUTED_VALUE"""),186.85)</f>
        <v>186.85</v>
      </c>
      <c r="X149" s="3">
        <f>IFERROR(__xludf.DUMMYFUNCTION("""COMPUTED_VALUE"""),157.0)</f>
        <v>157</v>
      </c>
      <c r="Y149" s="1">
        <f>IFERROR(__xludf.DUMMYFUNCTION("""COMPUTED_VALUE"""),311.37)</f>
        <v>311.37</v>
      </c>
      <c r="Z149" s="1">
        <f>IFERROR(__xludf.DUMMYFUNCTION("""COMPUTED_VALUE"""),46.4)</f>
        <v>46.4</v>
      </c>
      <c r="AA149" s="1">
        <f>IFERROR(__xludf.DUMMYFUNCTION("""COMPUTED_VALUE"""),62.91)</f>
        <v>62.91</v>
      </c>
      <c r="AB149" s="1">
        <f>IFERROR(__xludf.DUMMYFUNCTION("""COMPUTED_VALUE"""),94.69)</f>
        <v>94.69</v>
      </c>
      <c r="AC149" s="1">
        <f>IFERROR(__xludf.DUMMYFUNCTION("""COMPUTED_VALUE"""),185.71)</f>
        <v>185.71</v>
      </c>
      <c r="AD149" s="3">
        <f>IFERROR(__xludf.DUMMYFUNCTION("""COMPUTED_VALUE"""),72.8)</f>
        <v>72.8</v>
      </c>
      <c r="AE149" s="1">
        <f>IFERROR(__xludf.DUMMYFUNCTION("""COMPUTED_VALUE"""),454.16)</f>
        <v>454.16</v>
      </c>
      <c r="AF149" s="1">
        <f>IFERROR(__xludf.DUMMYFUNCTION("""COMPUTED_VALUE"""),63.23)</f>
        <v>63.23</v>
      </c>
      <c r="AG149" s="1">
        <f>IFERROR(__xludf.DUMMYFUNCTION("""COMPUTED_VALUE"""),112.67)</f>
        <v>112.67</v>
      </c>
      <c r="AH149" s="1">
        <f>IFERROR(__xludf.DUMMYFUNCTION("""COMPUTED_VALUE"""),279.32)</f>
        <v>279.32</v>
      </c>
      <c r="AI149" s="1">
        <f>IFERROR(__xludf.DUMMYFUNCTION("""COMPUTED_VALUE"""),448.56)</f>
        <v>448.56</v>
      </c>
      <c r="AJ149" s="1">
        <f>IFERROR(__xludf.DUMMYFUNCTION("""COMPUTED_VALUE"""),270.43)</f>
        <v>270.43</v>
      </c>
      <c r="AK149" s="3">
        <f>IFERROR(__xludf.DUMMYFUNCTION("""COMPUTED_VALUE"""),52.74)</f>
        <v>52.74</v>
      </c>
      <c r="AL149" s="1">
        <f>IFERROR(__xludf.DUMMYFUNCTION("""COMPUTED_VALUE"""),92.34)</f>
        <v>92.34</v>
      </c>
      <c r="AM149" s="1">
        <f>IFERROR(__xludf.DUMMYFUNCTION("""COMPUTED_VALUE"""),585.03)</f>
        <v>585.03</v>
      </c>
      <c r="AN149" s="1">
        <f>IFERROR(__xludf.DUMMYFUNCTION("""COMPUTED_VALUE"""),422.59)</f>
        <v>422.59</v>
      </c>
      <c r="AO149" s="1">
        <f>IFERROR(__xludf.DUMMYFUNCTION("""COMPUTED_VALUE"""),123.45)</f>
        <v>123.45</v>
      </c>
      <c r="AP149" s="1">
        <f>IFERROR(__xludf.DUMMYFUNCTION("""COMPUTED_VALUE"""),158.41)</f>
        <v>158.41</v>
      </c>
      <c r="AQ149" s="3">
        <f>IFERROR(__xludf.DUMMYFUNCTION("""COMPUTED_VALUE"""),538.09)</f>
        <v>538.09</v>
      </c>
      <c r="AR149" s="3">
        <f>IFERROR(__xludf.DUMMYFUNCTION("""COMPUTED_VALUE"""),242.86)</f>
        <v>242.86</v>
      </c>
      <c r="AS149" s="3">
        <f>IFERROR(__xludf.DUMMYFUNCTION("""COMPUTED_VALUE"""),512.94)</f>
        <v>512.94</v>
      </c>
      <c r="AT149" s="3">
        <f>IFERROR(__xludf.DUMMYFUNCTION("""COMPUTED_VALUE"""),397.1)</f>
        <v>397.1</v>
      </c>
      <c r="AU149" s="1">
        <f>IFERROR(__xludf.DUMMYFUNCTION("""COMPUTED_VALUE"""),31.44)</f>
        <v>31.44</v>
      </c>
      <c r="AV149" s="1">
        <f>IFERROR(__xludf.DUMMYFUNCTION("""COMPUTED_VALUE"""),83.58)</f>
        <v>83.58</v>
      </c>
      <c r="AW149" s="1">
        <f>IFERROR(__xludf.DUMMYFUNCTION("""COMPUTED_VALUE"""),81.74)</f>
        <v>81.74</v>
      </c>
      <c r="AX149" s="1">
        <f>IFERROR(__xludf.DUMMYFUNCTION("""COMPUTED_VALUE"""),19.54)</f>
        <v>19.54</v>
      </c>
      <c r="AY149" s="1">
        <f>IFERROR(__xludf.DUMMYFUNCTION("""COMPUTED_VALUE"""),443.33)</f>
        <v>443.33</v>
      </c>
      <c r="AZ149" s="3">
        <f>IFERROR(__xludf.DUMMYFUNCTION("""COMPUTED_VALUE"""),74.14)</f>
        <v>74.14</v>
      </c>
      <c r="BA149" s="3">
        <f>IFERROR(__xludf.DUMMYFUNCTION("""COMPUTED_VALUE"""),93.73)</f>
        <v>93.73</v>
      </c>
      <c r="BB149" s="3">
        <f>IFERROR(__xludf.DUMMYFUNCTION("""COMPUTED_VALUE"""),135.07)</f>
        <v>135.07</v>
      </c>
      <c r="BC149" s="1">
        <f>IFERROR(__xludf.DUMMYFUNCTION("""COMPUTED_VALUE"""),100.06)</f>
        <v>100.06</v>
      </c>
      <c r="BD149" s="3">
        <f>IFERROR(__xludf.DUMMYFUNCTION("""COMPUTED_VALUE"""),55.18)</f>
        <v>55.18</v>
      </c>
      <c r="BE149" s="3">
        <f>IFERROR(__xludf.DUMMYFUNCTION("""COMPUTED_VALUE"""),70.89)</f>
        <v>70.89</v>
      </c>
      <c r="BF149" s="1">
        <f>IFERROR(__xludf.DUMMYFUNCTION("""COMPUTED_VALUE"""),88.76)</f>
        <v>88.76</v>
      </c>
      <c r="BG149" s="1">
        <f>IFERROR(__xludf.DUMMYFUNCTION("""COMPUTED_VALUE"""),25.57)</f>
        <v>25.57</v>
      </c>
      <c r="BH149" s="1">
        <f>IFERROR(__xludf.DUMMYFUNCTION("""COMPUTED_VALUE"""),117.61)</f>
        <v>117.61</v>
      </c>
      <c r="BI149" s="1">
        <f>IFERROR(__xludf.DUMMYFUNCTION("""COMPUTED_VALUE"""),47.29)</f>
        <v>47.29</v>
      </c>
      <c r="BJ149" s="1">
        <f>IFERROR(__xludf.DUMMYFUNCTION("""COMPUTED_VALUE"""),233.5)</f>
        <v>233.5</v>
      </c>
      <c r="BK149" s="1">
        <f>IFERROR(__xludf.DUMMYFUNCTION("""COMPUTED_VALUE"""),535.85)</f>
        <v>535.85</v>
      </c>
      <c r="BL149" s="1">
        <f>IFERROR(__xludf.DUMMYFUNCTION("""COMPUTED_VALUE"""),175.71)</f>
        <v>175.71</v>
      </c>
      <c r="BM149" s="1">
        <f>IFERROR(__xludf.DUMMYFUNCTION("""COMPUTED_VALUE"""),68.99)</f>
        <v>68.99</v>
      </c>
      <c r="BN149" s="3">
        <f>IFERROR(__xludf.DUMMYFUNCTION("""COMPUTED_VALUE"""),10.09)</f>
        <v>10.09</v>
      </c>
      <c r="BO149" s="1">
        <f>IFERROR(__xludf.DUMMYFUNCTION("""COMPUTED_VALUE"""),237.09)</f>
        <v>237.09</v>
      </c>
      <c r="BP149" s="1">
        <f>IFERROR(__xludf.DUMMYFUNCTION("""COMPUTED_VALUE"""),565.19)</f>
        <v>565.19</v>
      </c>
      <c r="BQ149" s="36">
        <f>IFERROR(__xludf.DUMMYFUNCTION("""COMPUTED_VALUE"""),49.08)</f>
        <v>49.08</v>
      </c>
      <c r="BR149" s="1">
        <f>IFERROR(__xludf.DUMMYFUNCTION("""COMPUTED_VALUE"""),12.51)</f>
        <v>12.51</v>
      </c>
      <c r="BS149" s="3">
        <f>IFERROR(__xludf.DUMMYFUNCTION("""COMPUTED_VALUE"""),216.08)</f>
        <v>216.08</v>
      </c>
      <c r="BT149" s="1">
        <f>IFERROR(__xludf.DUMMYFUNCTION("""COMPUTED_VALUE"""),114.73)</f>
        <v>114.73</v>
      </c>
      <c r="BU149" s="3">
        <v>1.0</v>
      </c>
    </row>
    <row r="150">
      <c r="A150" s="25">
        <f>IFERROR(__xludf.DUMMYFUNCTION("""COMPUTED_VALUE"""),45637.66666666667)</f>
        <v>45637.66667</v>
      </c>
      <c r="B150" s="29">
        <f>'Master Scratch Work'!B149</f>
        <v>1372462.99</v>
      </c>
      <c r="C150" s="15">
        <f>IFERROR(__xludf.DUMMYFUNCTION("""COMPUTED_VALUE"""),6084.19)</f>
        <v>6084.19</v>
      </c>
      <c r="D150" s="15">
        <f>IFERROR(__xludf.DUMMYFUNCTION("""COMPUTED_VALUE"""),20034.89)</f>
        <v>20034.89</v>
      </c>
      <c r="E150" s="15">
        <f>IFERROR(__xludf.DUMMYFUNCTION("""COMPUTED_VALUE"""),44148.56)</f>
        <v>44148.56</v>
      </c>
      <c r="F150" s="15">
        <f>IFERROR(__xludf.DUMMYFUNCTION("""COMPUTED_VALUE"""),2394.16)</f>
        <v>2394.16</v>
      </c>
      <c r="G150" s="3">
        <f>IFERROR(__xludf.DUMMYFUNCTION("""COMPUTED_VALUE"""),607.46)</f>
        <v>607.46</v>
      </c>
      <c r="H150" s="3">
        <f>IFERROR(__xludf.DUMMYFUNCTION("""COMPUTED_VALUE"""),529.92)</f>
        <v>529.92</v>
      </c>
      <c r="I150" s="3">
        <f>IFERROR(__xludf.DUMMYFUNCTION("""COMPUTED_VALUE"""),549.93)</f>
        <v>549.93</v>
      </c>
      <c r="J150" s="3">
        <f>IFERROR(__xludf.DUMMYFUNCTION("""COMPUTED_VALUE"""),230.26)</f>
        <v>230.26</v>
      </c>
      <c r="K150" s="3">
        <f>IFERROR(__xludf.DUMMYFUNCTION("""COMPUTED_VALUE"""),130.34)</f>
        <v>130.34</v>
      </c>
      <c r="L150" s="3">
        <f>IFERROR(__xludf.DUMMYFUNCTION("""COMPUTED_VALUE"""),246.49)</f>
        <v>246.49</v>
      </c>
      <c r="M150" s="3">
        <f>IFERROR(__xludf.DUMMYFUNCTION("""COMPUTED_VALUE"""),171.13)</f>
        <v>171.13</v>
      </c>
      <c r="N150" s="3">
        <f>IFERROR(__xludf.DUMMYFUNCTION("""COMPUTED_VALUE"""),79.67)</f>
        <v>79.67</v>
      </c>
      <c r="O150" s="3">
        <f>IFERROR(__xludf.DUMMYFUNCTION("""COMPUTED_VALUE"""),13.65)</f>
        <v>13.65</v>
      </c>
      <c r="P150" s="3">
        <f>IFERROR(__xludf.DUMMYFUNCTION("""COMPUTED_VALUE"""),461.39)</f>
        <v>461.39</v>
      </c>
      <c r="Q150" s="3">
        <f>IFERROR(__xludf.DUMMYFUNCTION("""COMPUTED_VALUE"""),53.56)</f>
        <v>53.56</v>
      </c>
      <c r="R150" s="3">
        <f>IFERROR(__xludf.DUMMYFUNCTION("""COMPUTED_VALUE"""),157.46)</f>
        <v>157.46</v>
      </c>
      <c r="S150" s="3">
        <f>IFERROR(__xludf.DUMMYFUNCTION("""COMPUTED_VALUE"""),90.56)</f>
        <v>90.56</v>
      </c>
      <c r="T150" s="3">
        <f>IFERROR(__xludf.DUMMYFUNCTION("""COMPUTED_VALUE"""),73.7)</f>
        <v>73.7</v>
      </c>
      <c r="U150" s="3">
        <f>IFERROR(__xludf.DUMMYFUNCTION("""COMPUTED_VALUE"""),388.87)</f>
        <v>388.87</v>
      </c>
      <c r="V150" s="3">
        <f>IFERROR(__xludf.DUMMYFUNCTION("""COMPUTED_VALUE"""),57.81)</f>
        <v>57.81</v>
      </c>
      <c r="W150" s="3">
        <f>IFERROR(__xludf.DUMMYFUNCTION("""COMPUTED_VALUE"""),188.1)</f>
        <v>188.1</v>
      </c>
      <c r="X150" s="3">
        <f>IFERROR(__xludf.DUMMYFUNCTION("""COMPUTED_VALUE"""),156.21)</f>
        <v>156.21</v>
      </c>
      <c r="Y150" s="1">
        <f>IFERROR(__xludf.DUMMYFUNCTION("""COMPUTED_VALUE"""),294.03)</f>
        <v>294.03</v>
      </c>
      <c r="Z150" s="1">
        <f>IFERROR(__xludf.DUMMYFUNCTION("""COMPUTED_VALUE"""),46.23)</f>
        <v>46.23</v>
      </c>
      <c r="AA150" s="1">
        <f>IFERROR(__xludf.DUMMYFUNCTION("""COMPUTED_VALUE"""),62.64)</f>
        <v>62.64</v>
      </c>
      <c r="AB150" s="1">
        <f>IFERROR(__xludf.DUMMYFUNCTION("""COMPUTED_VALUE"""),92.75)</f>
        <v>92.75</v>
      </c>
      <c r="AC150" s="1">
        <f>IFERROR(__xludf.DUMMYFUNCTION("""COMPUTED_VALUE"""),187.22)</f>
        <v>187.22</v>
      </c>
      <c r="AD150" s="3">
        <f>IFERROR(__xludf.DUMMYFUNCTION("""COMPUTED_VALUE"""),71.63)</f>
        <v>71.63</v>
      </c>
      <c r="AE150" s="1">
        <f>IFERROR(__xludf.DUMMYFUNCTION("""COMPUTED_VALUE"""),457.35)</f>
        <v>457.35</v>
      </c>
      <c r="AF150" s="1">
        <f>IFERROR(__xludf.DUMMYFUNCTION("""COMPUTED_VALUE"""),63.17)</f>
        <v>63.17</v>
      </c>
      <c r="AG150" s="1">
        <f>IFERROR(__xludf.DUMMYFUNCTION("""COMPUTED_VALUE"""),111.92)</f>
        <v>111.92</v>
      </c>
      <c r="AH150" s="1">
        <f>IFERROR(__xludf.DUMMYFUNCTION("""COMPUTED_VALUE"""),281.16)</f>
        <v>281.16</v>
      </c>
      <c r="AI150" s="1">
        <f>IFERROR(__xludf.DUMMYFUNCTION("""COMPUTED_VALUE"""),449.53)</f>
        <v>449.53</v>
      </c>
      <c r="AJ150" s="1">
        <f>IFERROR(__xludf.DUMMYFUNCTION("""COMPUTED_VALUE"""),265.43)</f>
        <v>265.43</v>
      </c>
      <c r="AK150" s="3">
        <f>IFERROR(__xludf.DUMMYFUNCTION("""COMPUTED_VALUE"""),52.04)</f>
        <v>52.04</v>
      </c>
      <c r="AL150" s="1">
        <f>IFERROR(__xludf.DUMMYFUNCTION("""COMPUTED_VALUE"""),92.38)</f>
        <v>92.38</v>
      </c>
      <c r="AM150" s="1">
        <f>IFERROR(__xludf.DUMMYFUNCTION("""COMPUTED_VALUE"""),592.56)</f>
        <v>592.56</v>
      </c>
      <c r="AN150" s="1">
        <f>IFERROR(__xludf.DUMMYFUNCTION("""COMPUTED_VALUE"""),421.38)</f>
        <v>421.38</v>
      </c>
      <c r="AO150" s="1">
        <f>IFERROR(__xludf.DUMMYFUNCTION("""COMPUTED_VALUE"""),122.73)</f>
        <v>122.73</v>
      </c>
      <c r="AP150" s="1">
        <f>IFERROR(__xludf.DUMMYFUNCTION("""COMPUTED_VALUE"""),158.18)</f>
        <v>158.18</v>
      </c>
      <c r="AQ150" s="3">
        <f>IFERROR(__xludf.DUMMYFUNCTION("""COMPUTED_VALUE"""),543.6)</f>
        <v>543.6</v>
      </c>
      <c r="AR150" s="3">
        <f>IFERROR(__xludf.DUMMYFUNCTION("""COMPUTED_VALUE"""),243.53)</f>
        <v>243.53</v>
      </c>
      <c r="AS150" s="3">
        <f>IFERROR(__xludf.DUMMYFUNCTION("""COMPUTED_VALUE"""),504.24)</f>
        <v>504.24</v>
      </c>
      <c r="AT150" s="3">
        <f>IFERROR(__xludf.DUMMYFUNCTION("""COMPUTED_VALUE"""),399.75)</f>
        <v>399.75</v>
      </c>
      <c r="AU150" s="1">
        <f>IFERROR(__xludf.DUMMYFUNCTION("""COMPUTED_VALUE"""),31.5)</f>
        <v>31.5</v>
      </c>
      <c r="AV150" s="1">
        <f>IFERROR(__xludf.DUMMYFUNCTION("""COMPUTED_VALUE"""),82.92)</f>
        <v>82.92</v>
      </c>
      <c r="AW150" s="1">
        <f>IFERROR(__xludf.DUMMYFUNCTION("""COMPUTED_VALUE"""),80.33)</f>
        <v>80.33</v>
      </c>
      <c r="AX150" s="1">
        <f>IFERROR(__xludf.DUMMYFUNCTION("""COMPUTED_VALUE"""),19.45)</f>
        <v>19.45</v>
      </c>
      <c r="AY150" s="1">
        <f>IFERROR(__xludf.DUMMYFUNCTION("""COMPUTED_VALUE"""),448.99)</f>
        <v>448.99</v>
      </c>
      <c r="AZ150" s="3">
        <f>IFERROR(__xludf.DUMMYFUNCTION("""COMPUTED_VALUE"""),73.98)</f>
        <v>73.98</v>
      </c>
      <c r="BA150" s="3">
        <f>IFERROR(__xludf.DUMMYFUNCTION("""COMPUTED_VALUE"""),95.48)</f>
        <v>95.48</v>
      </c>
      <c r="BB150" s="3">
        <f>IFERROR(__xludf.DUMMYFUNCTION("""COMPUTED_VALUE"""),139.31)</f>
        <v>139.31</v>
      </c>
      <c r="BC150" s="1">
        <f>IFERROR(__xludf.DUMMYFUNCTION("""COMPUTED_VALUE"""),98.99)</f>
        <v>98.99</v>
      </c>
      <c r="BD150" s="3">
        <f>IFERROR(__xludf.DUMMYFUNCTION("""COMPUTED_VALUE"""),58.2)</f>
        <v>58.2</v>
      </c>
      <c r="BE150" s="3">
        <f>IFERROR(__xludf.DUMMYFUNCTION("""COMPUTED_VALUE"""),72.51)</f>
        <v>72.51</v>
      </c>
      <c r="BF150" s="1">
        <f>IFERROR(__xludf.DUMMYFUNCTION("""COMPUTED_VALUE"""),90.75)</f>
        <v>90.75</v>
      </c>
      <c r="BG150" s="1">
        <f>IFERROR(__xludf.DUMMYFUNCTION("""COMPUTED_VALUE"""),25.23)</f>
        <v>25.23</v>
      </c>
      <c r="BH150" s="1">
        <f>IFERROR(__xludf.DUMMYFUNCTION("""COMPUTED_VALUE"""),116.94)</f>
        <v>116.94</v>
      </c>
      <c r="BI150" s="1">
        <f>IFERROR(__xludf.DUMMYFUNCTION("""COMPUTED_VALUE"""),46.43)</f>
        <v>46.43</v>
      </c>
      <c r="BJ150" s="1">
        <f>IFERROR(__xludf.DUMMYFUNCTION("""COMPUTED_VALUE"""),234.34)</f>
        <v>234.34</v>
      </c>
      <c r="BK150" s="1">
        <f>IFERROR(__xludf.DUMMYFUNCTION("""COMPUTED_VALUE"""),534.36)</f>
        <v>534.36</v>
      </c>
      <c r="BL150" s="1">
        <f>IFERROR(__xludf.DUMMYFUNCTION("""COMPUTED_VALUE"""),178.15)</f>
        <v>178.15</v>
      </c>
      <c r="BM150" s="1">
        <f>IFERROR(__xludf.DUMMYFUNCTION("""COMPUTED_VALUE"""),67.36)</f>
        <v>67.36</v>
      </c>
      <c r="BN150" s="3">
        <f>IFERROR(__xludf.DUMMYFUNCTION("""COMPUTED_VALUE"""),10.3)</f>
        <v>10.3</v>
      </c>
      <c r="BO150" s="1">
        <f>IFERROR(__xludf.DUMMYFUNCTION("""COMPUTED_VALUE"""),233.78)</f>
        <v>233.78</v>
      </c>
      <c r="BP150" s="1">
        <f>IFERROR(__xludf.DUMMYFUNCTION("""COMPUTED_VALUE"""),533.53)</f>
        <v>533.53</v>
      </c>
      <c r="BQ150" s="36">
        <f>IFERROR(__xludf.DUMMYFUNCTION("""COMPUTED_VALUE"""),49.07)</f>
        <v>49.07</v>
      </c>
      <c r="BR150" s="1">
        <f>IFERROR(__xludf.DUMMYFUNCTION("""COMPUTED_VALUE"""),12.75)</f>
        <v>12.75</v>
      </c>
      <c r="BS150" s="3">
        <f>IFERROR(__xludf.DUMMYFUNCTION("""COMPUTED_VALUE"""),214.52)</f>
        <v>214.52</v>
      </c>
      <c r="BT150" s="1">
        <f>IFERROR(__xludf.DUMMYFUNCTION("""COMPUTED_VALUE"""),114.61)</f>
        <v>114.61</v>
      </c>
      <c r="BU150" s="3">
        <v>1.0</v>
      </c>
    </row>
    <row r="151">
      <c r="A151" s="25">
        <f>IFERROR(__xludf.DUMMYFUNCTION("""COMPUTED_VALUE"""),45638.66666666667)</f>
        <v>45638.66667</v>
      </c>
      <c r="B151" s="29">
        <f>'Master Scratch Work'!B150</f>
        <v>1363090.83</v>
      </c>
      <c r="C151" s="15">
        <f>IFERROR(__xludf.DUMMYFUNCTION("""COMPUTED_VALUE"""),6051.25)</f>
        <v>6051.25</v>
      </c>
      <c r="D151" s="15">
        <f>IFERROR(__xludf.DUMMYFUNCTION("""COMPUTED_VALUE"""),19902.84)</f>
        <v>19902.84</v>
      </c>
      <c r="E151" s="15">
        <f>IFERROR(__xludf.DUMMYFUNCTION("""COMPUTED_VALUE"""),43914.12)</f>
        <v>43914.12</v>
      </c>
      <c r="F151" s="15">
        <f>IFERROR(__xludf.DUMMYFUNCTION("""COMPUTED_VALUE"""),2361.08)</f>
        <v>2361.08</v>
      </c>
      <c r="G151" s="3">
        <f>IFERROR(__xludf.DUMMYFUNCTION("""COMPUTED_VALUE"""),604.33)</f>
        <v>604.33</v>
      </c>
      <c r="H151" s="3">
        <f>IFERROR(__xludf.DUMMYFUNCTION("""COMPUTED_VALUE"""),526.5)</f>
        <v>526.5</v>
      </c>
      <c r="I151" s="3">
        <f>IFERROR(__xludf.DUMMYFUNCTION("""COMPUTED_VALUE"""),474.63)</f>
        <v>474.63</v>
      </c>
      <c r="J151" s="3">
        <f>IFERROR(__xludf.DUMMYFUNCTION("""COMPUTED_VALUE"""),228.97)</f>
        <v>228.97</v>
      </c>
      <c r="K151" s="3">
        <f>IFERROR(__xludf.DUMMYFUNCTION("""COMPUTED_VALUE"""),130.55)</f>
        <v>130.55</v>
      </c>
      <c r="L151" s="3">
        <f>IFERROR(__xludf.DUMMYFUNCTION("""COMPUTED_VALUE"""),247.96)</f>
        <v>247.96</v>
      </c>
      <c r="M151" s="3">
        <f>IFERROR(__xludf.DUMMYFUNCTION("""COMPUTED_VALUE"""),169.08)</f>
        <v>169.08</v>
      </c>
      <c r="N151" s="3">
        <f>IFERROR(__xludf.DUMMYFUNCTION("""COMPUTED_VALUE"""),79.57)</f>
        <v>79.57</v>
      </c>
      <c r="O151" s="3">
        <f>IFERROR(__xludf.DUMMYFUNCTION("""COMPUTED_VALUE"""),13.56)</f>
        <v>13.56</v>
      </c>
      <c r="P151" s="3">
        <f>IFERROR(__xludf.DUMMYFUNCTION("""COMPUTED_VALUE"""),458.63)</f>
        <v>458.63</v>
      </c>
      <c r="Q151" s="3">
        <f>IFERROR(__xludf.DUMMYFUNCTION("""COMPUTED_VALUE"""),52.45)</f>
        <v>52.45</v>
      </c>
      <c r="R151" s="3">
        <f>IFERROR(__xludf.DUMMYFUNCTION("""COMPUTED_VALUE"""),155.33)</f>
        <v>155.33</v>
      </c>
      <c r="S151" s="3">
        <f>IFERROR(__xludf.DUMMYFUNCTION("""COMPUTED_VALUE"""),90.42)</f>
        <v>90.42</v>
      </c>
      <c r="T151" s="3">
        <f>IFERROR(__xludf.DUMMYFUNCTION("""COMPUTED_VALUE"""),73.54)</f>
        <v>73.54</v>
      </c>
      <c r="U151" s="3">
        <f>IFERROR(__xludf.DUMMYFUNCTION("""COMPUTED_VALUE"""),380.78)</f>
        <v>380.78</v>
      </c>
      <c r="V151" s="3">
        <f>IFERROR(__xludf.DUMMYFUNCTION("""COMPUTED_VALUE"""),56.0)</f>
        <v>56</v>
      </c>
      <c r="W151" s="3">
        <f>IFERROR(__xludf.DUMMYFUNCTION("""COMPUTED_VALUE"""),189.5)</f>
        <v>189.5</v>
      </c>
      <c r="X151" s="3">
        <f>IFERROR(__xludf.DUMMYFUNCTION("""COMPUTED_VALUE"""),154.71)</f>
        <v>154.71</v>
      </c>
      <c r="Y151" s="1">
        <f>IFERROR(__xludf.DUMMYFUNCTION("""COMPUTED_VALUE"""),282.96)</f>
        <v>282.96</v>
      </c>
      <c r="Z151" s="1">
        <f>IFERROR(__xludf.DUMMYFUNCTION("""COMPUTED_VALUE"""),45.54)</f>
        <v>45.54</v>
      </c>
      <c r="AA151" s="1">
        <f>IFERROR(__xludf.DUMMYFUNCTION("""COMPUTED_VALUE"""),63.84)</f>
        <v>63.84</v>
      </c>
      <c r="AB151" s="1">
        <f>IFERROR(__xludf.DUMMYFUNCTION("""COMPUTED_VALUE"""),92.61)</f>
        <v>92.61</v>
      </c>
      <c r="AC151" s="1">
        <f>IFERROR(__xludf.DUMMYFUNCTION("""COMPUTED_VALUE"""),187.13)</f>
        <v>187.13</v>
      </c>
      <c r="AD151" s="3">
        <f>IFERROR(__xludf.DUMMYFUNCTION("""COMPUTED_VALUE"""),70.83)</f>
        <v>70.83</v>
      </c>
      <c r="AE151" s="1">
        <f>IFERROR(__xludf.DUMMYFUNCTION("""COMPUTED_VALUE"""),464.89)</f>
        <v>464.89</v>
      </c>
      <c r="AF151" s="1">
        <f>IFERROR(__xludf.DUMMYFUNCTION("""COMPUTED_VALUE"""),63.9)</f>
        <v>63.9</v>
      </c>
      <c r="AG151" s="1">
        <f>IFERROR(__xludf.DUMMYFUNCTION("""COMPUTED_VALUE"""),111.82)</f>
        <v>111.82</v>
      </c>
      <c r="AH151" s="1">
        <f>IFERROR(__xludf.DUMMYFUNCTION("""COMPUTED_VALUE"""),283.69)</f>
        <v>283.69</v>
      </c>
      <c r="AI151" s="1">
        <f>IFERROR(__xludf.DUMMYFUNCTION("""COMPUTED_VALUE"""),451.86)</f>
        <v>451.86</v>
      </c>
      <c r="AJ151" s="1">
        <f>IFERROR(__xludf.DUMMYFUNCTION("""COMPUTED_VALUE"""),263.04)</f>
        <v>263.04</v>
      </c>
      <c r="AK151" s="3">
        <f>IFERROR(__xludf.DUMMYFUNCTION("""COMPUTED_VALUE"""),52.3)</f>
        <v>52.3</v>
      </c>
      <c r="AL151" s="1">
        <f>IFERROR(__xludf.DUMMYFUNCTION("""COMPUTED_VALUE"""),92.38)</f>
        <v>92.38</v>
      </c>
      <c r="AM151" s="1">
        <f>IFERROR(__xludf.DUMMYFUNCTION("""COMPUTED_VALUE"""),591.61)</f>
        <v>591.61</v>
      </c>
      <c r="AN151" s="1">
        <f>IFERROR(__xludf.DUMMYFUNCTION("""COMPUTED_VALUE"""),414.42)</f>
        <v>414.42</v>
      </c>
      <c r="AO151" s="1">
        <f>IFERROR(__xludf.DUMMYFUNCTION("""COMPUTED_VALUE"""),121.63)</f>
        <v>121.63</v>
      </c>
      <c r="AP151" s="1">
        <f>IFERROR(__xludf.DUMMYFUNCTION("""COMPUTED_VALUE"""),156.55)</f>
        <v>156.55</v>
      </c>
      <c r="AQ151" s="3">
        <f>IFERROR(__xludf.DUMMYFUNCTION("""COMPUTED_VALUE"""),544.72)</f>
        <v>544.72</v>
      </c>
      <c r="AR151" s="3">
        <f>IFERROR(__xludf.DUMMYFUNCTION("""COMPUTED_VALUE"""),241.53)</f>
        <v>241.53</v>
      </c>
      <c r="AS151" s="3">
        <f>IFERROR(__xludf.DUMMYFUNCTION("""COMPUTED_VALUE"""),496.58)</f>
        <v>496.58</v>
      </c>
      <c r="AT151" s="3">
        <f>IFERROR(__xludf.DUMMYFUNCTION("""COMPUTED_VALUE"""),389.33)</f>
        <v>389.33</v>
      </c>
      <c r="AU151" s="1">
        <f>IFERROR(__xludf.DUMMYFUNCTION("""COMPUTED_VALUE"""),30.82)</f>
        <v>30.82</v>
      </c>
      <c r="AV151" s="1">
        <f>IFERROR(__xludf.DUMMYFUNCTION("""COMPUTED_VALUE"""),82.73)</f>
        <v>82.73</v>
      </c>
      <c r="AW151" s="1">
        <f>IFERROR(__xludf.DUMMYFUNCTION("""COMPUTED_VALUE"""),83.22)</f>
        <v>83.22</v>
      </c>
      <c r="AX151" s="1">
        <f>IFERROR(__xludf.DUMMYFUNCTION("""COMPUTED_VALUE"""),19.6)</f>
        <v>19.6</v>
      </c>
      <c r="AY151" s="1">
        <f>IFERROR(__xludf.DUMMYFUNCTION("""COMPUTED_VALUE"""),449.56)</f>
        <v>449.56</v>
      </c>
      <c r="AZ151" s="3">
        <f>IFERROR(__xludf.DUMMYFUNCTION("""COMPUTED_VALUE"""),73.22)</f>
        <v>73.22</v>
      </c>
      <c r="BA151" s="3">
        <f>IFERROR(__xludf.DUMMYFUNCTION("""COMPUTED_VALUE"""),95.14)</f>
        <v>95.14</v>
      </c>
      <c r="BB151" s="3">
        <f>IFERROR(__xludf.DUMMYFUNCTION("""COMPUTED_VALUE"""),137.34)</f>
        <v>137.34</v>
      </c>
      <c r="BC151" s="1">
        <f>IFERROR(__xludf.DUMMYFUNCTION("""COMPUTED_VALUE"""),98.27)</f>
        <v>98.27</v>
      </c>
      <c r="BD151" s="3">
        <f>IFERROR(__xludf.DUMMYFUNCTION("""COMPUTED_VALUE"""),57.6)</f>
        <v>57.6</v>
      </c>
      <c r="BE151" s="3">
        <f>IFERROR(__xludf.DUMMYFUNCTION("""COMPUTED_VALUE"""),73.2)</f>
        <v>73.2</v>
      </c>
      <c r="BF151" s="1">
        <f>IFERROR(__xludf.DUMMYFUNCTION("""COMPUTED_VALUE"""),89.4)</f>
        <v>89.4</v>
      </c>
      <c r="BG151" s="1">
        <f>IFERROR(__xludf.DUMMYFUNCTION("""COMPUTED_VALUE"""),25.37)</f>
        <v>25.37</v>
      </c>
      <c r="BH151" s="1">
        <f>IFERROR(__xludf.DUMMYFUNCTION("""COMPUTED_VALUE"""),116.05)</f>
        <v>116.05</v>
      </c>
      <c r="BI151" s="1">
        <f>IFERROR(__xludf.DUMMYFUNCTION("""COMPUTED_VALUE"""),44.93)</f>
        <v>44.93</v>
      </c>
      <c r="BJ151" s="1">
        <f>IFERROR(__xludf.DUMMYFUNCTION("""COMPUTED_VALUE"""),233.27)</f>
        <v>233.27</v>
      </c>
      <c r="BK151" s="1">
        <f>IFERROR(__xludf.DUMMYFUNCTION("""COMPUTED_VALUE"""),525.0)</f>
        <v>525</v>
      </c>
      <c r="BL151" s="1">
        <f>IFERROR(__xludf.DUMMYFUNCTION("""COMPUTED_VALUE"""),176.9)</f>
        <v>176.9</v>
      </c>
      <c r="BM151" s="1">
        <f>IFERROR(__xludf.DUMMYFUNCTION("""COMPUTED_VALUE"""),65.71)</f>
        <v>65.71</v>
      </c>
      <c r="BN151" s="3">
        <f>IFERROR(__xludf.DUMMYFUNCTION("""COMPUTED_VALUE"""),9.59)</f>
        <v>9.59</v>
      </c>
      <c r="BO151" s="1">
        <f>IFERROR(__xludf.DUMMYFUNCTION("""COMPUTED_VALUE"""),233.71)</f>
        <v>233.71</v>
      </c>
      <c r="BP151" s="1">
        <f>IFERROR(__xludf.DUMMYFUNCTION("""COMPUTED_VALUE"""),515.76)</f>
        <v>515.76</v>
      </c>
      <c r="BQ151" s="36">
        <f>IFERROR(__xludf.DUMMYFUNCTION("""COMPUTED_VALUE"""),49.05)</f>
        <v>49.05</v>
      </c>
      <c r="BR151" s="1">
        <f>IFERROR(__xludf.DUMMYFUNCTION("""COMPUTED_VALUE"""),12.82)</f>
        <v>12.82</v>
      </c>
      <c r="BS151" s="3">
        <f>IFERROR(__xludf.DUMMYFUNCTION("""COMPUTED_VALUE"""),214.45)</f>
        <v>214.45</v>
      </c>
      <c r="BT151" s="1">
        <f>IFERROR(__xludf.DUMMYFUNCTION("""COMPUTED_VALUE"""),114.9)</f>
        <v>114.9</v>
      </c>
      <c r="BU151" s="3">
        <v>1.0</v>
      </c>
    </row>
    <row r="152">
      <c r="A152" s="25">
        <f>IFERROR(__xludf.DUMMYFUNCTION("""COMPUTED_VALUE"""),45639.66666666667)</f>
        <v>45639.66667</v>
      </c>
      <c r="B152" s="29">
        <f>'Master Scratch Work'!B151</f>
        <v>1359138.55</v>
      </c>
      <c r="C152" s="15">
        <f>IFERROR(__xludf.DUMMYFUNCTION("""COMPUTED_VALUE"""),6051.09)</f>
        <v>6051.09</v>
      </c>
      <c r="D152" s="15">
        <f>IFERROR(__xludf.DUMMYFUNCTION("""COMPUTED_VALUE"""),19926.72)</f>
        <v>19926.72</v>
      </c>
      <c r="E152" s="15">
        <f>IFERROR(__xludf.DUMMYFUNCTION("""COMPUTED_VALUE"""),43828.06)</f>
        <v>43828.06</v>
      </c>
      <c r="F152" s="15">
        <f>IFERROR(__xludf.DUMMYFUNCTION("""COMPUTED_VALUE"""),2346.9)</f>
        <v>2346.9</v>
      </c>
      <c r="G152" s="3">
        <f>IFERROR(__xludf.DUMMYFUNCTION("""COMPUTED_VALUE"""),604.21)</f>
        <v>604.21</v>
      </c>
      <c r="H152" s="3">
        <f>IFERROR(__xludf.DUMMYFUNCTION("""COMPUTED_VALUE"""),530.53)</f>
        <v>530.53</v>
      </c>
      <c r="I152" s="3">
        <f>IFERROR(__xludf.DUMMYFUNCTION("""COMPUTED_VALUE"""),465.69)</f>
        <v>465.69</v>
      </c>
      <c r="J152" s="3">
        <f>IFERROR(__xludf.DUMMYFUNCTION("""COMPUTED_VALUE"""),227.46)</f>
        <v>227.46</v>
      </c>
      <c r="K152" s="3">
        <f>IFERROR(__xludf.DUMMYFUNCTION("""COMPUTED_VALUE"""),129.59)</f>
        <v>129.59</v>
      </c>
      <c r="L152" s="3">
        <f>IFERROR(__xludf.DUMMYFUNCTION("""COMPUTED_VALUE"""),248.13)</f>
        <v>248.13</v>
      </c>
      <c r="M152" s="3">
        <f>IFERROR(__xludf.DUMMYFUNCTION("""COMPUTED_VALUE"""),169.35)</f>
        <v>169.35</v>
      </c>
      <c r="N152" s="3">
        <f>IFERROR(__xludf.DUMMYFUNCTION("""COMPUTED_VALUE"""),78.83)</f>
        <v>78.83</v>
      </c>
      <c r="O152" s="3">
        <f>IFERROR(__xludf.DUMMYFUNCTION("""COMPUTED_VALUE"""),13.55)</f>
        <v>13.55</v>
      </c>
      <c r="P152" s="3">
        <f>IFERROR(__xludf.DUMMYFUNCTION("""COMPUTED_VALUE"""),457.9)</f>
        <v>457.9</v>
      </c>
      <c r="Q152" s="3">
        <f>IFERROR(__xludf.DUMMYFUNCTION("""COMPUTED_VALUE"""),51.67)</f>
        <v>51.67</v>
      </c>
      <c r="R152" s="3">
        <f>IFERROR(__xludf.DUMMYFUNCTION("""COMPUTED_VALUE"""),150.03)</f>
        <v>150.03</v>
      </c>
      <c r="S152" s="3">
        <f>IFERROR(__xludf.DUMMYFUNCTION("""COMPUTED_VALUE"""),90.11)</f>
        <v>90.11</v>
      </c>
      <c r="T152" s="3">
        <f>IFERROR(__xludf.DUMMYFUNCTION("""COMPUTED_VALUE"""),73.01)</f>
        <v>73.01</v>
      </c>
      <c r="U152" s="3">
        <f>IFERROR(__xludf.DUMMYFUNCTION("""COMPUTED_VALUE"""),380.51)</f>
        <v>380.51</v>
      </c>
      <c r="V152" s="3">
        <f>IFERROR(__xludf.DUMMYFUNCTION("""COMPUTED_VALUE"""),54.29)</f>
        <v>54.29</v>
      </c>
      <c r="W152" s="3">
        <f>IFERROR(__xludf.DUMMYFUNCTION("""COMPUTED_VALUE"""),187.77)</f>
        <v>187.77</v>
      </c>
      <c r="X152" s="3">
        <f>IFERROR(__xludf.DUMMYFUNCTION("""COMPUTED_VALUE"""),153.87)</f>
        <v>153.87</v>
      </c>
      <c r="Y152" s="1">
        <f>IFERROR(__xludf.DUMMYFUNCTION("""COMPUTED_VALUE"""),281.86)</f>
        <v>281.86</v>
      </c>
      <c r="Z152" s="1">
        <f>IFERROR(__xludf.DUMMYFUNCTION("""COMPUTED_VALUE"""),45.7)</f>
        <v>45.7</v>
      </c>
      <c r="AA152" s="1">
        <f>IFERROR(__xludf.DUMMYFUNCTION("""COMPUTED_VALUE"""),63.12)</f>
        <v>63.12</v>
      </c>
      <c r="AB152" s="1">
        <f>IFERROR(__xludf.DUMMYFUNCTION("""COMPUTED_VALUE"""),92.69)</f>
        <v>92.69</v>
      </c>
      <c r="AC152" s="1">
        <f>IFERROR(__xludf.DUMMYFUNCTION("""COMPUTED_VALUE"""),185.04)</f>
        <v>185.04</v>
      </c>
      <c r="AD152" s="3">
        <f>IFERROR(__xludf.DUMMYFUNCTION("""COMPUTED_VALUE"""),70.09)</f>
        <v>70.09</v>
      </c>
      <c r="AE152" s="1">
        <f>IFERROR(__xludf.DUMMYFUNCTION("""COMPUTED_VALUE"""),453.17)</f>
        <v>453.17</v>
      </c>
      <c r="AF152" s="1">
        <f>IFERROR(__xludf.DUMMYFUNCTION("""COMPUTED_VALUE"""),63.84)</f>
        <v>63.84</v>
      </c>
      <c r="AG152" s="1">
        <f>IFERROR(__xludf.DUMMYFUNCTION("""COMPUTED_VALUE"""),110.84)</f>
        <v>110.84</v>
      </c>
      <c r="AH152" s="1">
        <f>IFERROR(__xludf.DUMMYFUNCTION("""COMPUTED_VALUE"""),283.42)</f>
        <v>283.42</v>
      </c>
      <c r="AI152" s="1">
        <f>IFERROR(__xludf.DUMMYFUNCTION("""COMPUTED_VALUE"""),454.18)</f>
        <v>454.18</v>
      </c>
      <c r="AJ152" s="1">
        <f>IFERROR(__xludf.DUMMYFUNCTION("""COMPUTED_VALUE"""),263.11)</f>
        <v>263.11</v>
      </c>
      <c r="AK152" s="3">
        <f>IFERROR(__xludf.DUMMYFUNCTION("""COMPUTED_VALUE"""),52.53)</f>
        <v>52.53</v>
      </c>
      <c r="AL152" s="1">
        <f>IFERROR(__xludf.DUMMYFUNCTION("""COMPUTED_VALUE"""),91.86)</f>
        <v>91.86</v>
      </c>
      <c r="AM152" s="1">
        <f>IFERROR(__xludf.DUMMYFUNCTION("""COMPUTED_VALUE"""),585.48)</f>
        <v>585.48</v>
      </c>
      <c r="AN152" s="1">
        <f>IFERROR(__xludf.DUMMYFUNCTION("""COMPUTED_VALUE"""),416.98)</f>
        <v>416.98</v>
      </c>
      <c r="AO152" s="1">
        <f>IFERROR(__xludf.DUMMYFUNCTION("""COMPUTED_VALUE"""),120.66)</f>
        <v>120.66</v>
      </c>
      <c r="AP152" s="1">
        <f>IFERROR(__xludf.DUMMYFUNCTION("""COMPUTED_VALUE"""),155.58)</f>
        <v>155.58</v>
      </c>
      <c r="AQ152" s="3">
        <f>IFERROR(__xludf.DUMMYFUNCTION("""COMPUTED_VALUE"""),539.58)</f>
        <v>539.58</v>
      </c>
      <c r="AR152" s="3">
        <f>IFERROR(__xludf.DUMMYFUNCTION("""COMPUTED_VALUE"""),239.94)</f>
        <v>239.94</v>
      </c>
      <c r="AS152" s="3">
        <f>IFERROR(__xludf.DUMMYFUNCTION("""COMPUTED_VALUE"""),494.65)</f>
        <v>494.65</v>
      </c>
      <c r="AT152" s="3">
        <f>IFERROR(__xludf.DUMMYFUNCTION("""COMPUTED_VALUE"""),391.63)</f>
        <v>391.63</v>
      </c>
      <c r="AU152" s="1">
        <f>IFERROR(__xludf.DUMMYFUNCTION("""COMPUTED_VALUE"""),30.93)</f>
        <v>30.93</v>
      </c>
      <c r="AV152" s="1">
        <f>IFERROR(__xludf.DUMMYFUNCTION("""COMPUTED_VALUE"""),82.48)</f>
        <v>82.48</v>
      </c>
      <c r="AW152" s="1">
        <f>IFERROR(__xludf.DUMMYFUNCTION("""COMPUTED_VALUE"""),82.99)</f>
        <v>82.99</v>
      </c>
      <c r="AX152" s="1">
        <f>IFERROR(__xludf.DUMMYFUNCTION("""COMPUTED_VALUE"""),19.37)</f>
        <v>19.37</v>
      </c>
      <c r="AY152" s="1">
        <f>IFERROR(__xludf.DUMMYFUNCTION("""COMPUTED_VALUE"""),447.27)</f>
        <v>447.27</v>
      </c>
      <c r="AZ152" s="3">
        <f>IFERROR(__xludf.DUMMYFUNCTION("""COMPUTED_VALUE"""),73.62)</f>
        <v>73.62</v>
      </c>
      <c r="BA152" s="3">
        <f>IFERROR(__xludf.DUMMYFUNCTION("""COMPUTED_VALUE"""),94.98)</f>
        <v>94.98</v>
      </c>
      <c r="BB152" s="3">
        <f>IFERROR(__xludf.DUMMYFUNCTION("""COMPUTED_VALUE"""),134.25)</f>
        <v>134.25</v>
      </c>
      <c r="BC152" s="1">
        <f>IFERROR(__xludf.DUMMYFUNCTION("""COMPUTED_VALUE"""),97.79)</f>
        <v>97.79</v>
      </c>
      <c r="BD152" s="3">
        <f>IFERROR(__xludf.DUMMYFUNCTION("""COMPUTED_VALUE"""),57.3)</f>
        <v>57.3</v>
      </c>
      <c r="BE152" s="3">
        <f>IFERROR(__xludf.DUMMYFUNCTION("""COMPUTED_VALUE"""),76.07)</f>
        <v>76.07</v>
      </c>
      <c r="BF152" s="1">
        <f>IFERROR(__xludf.DUMMYFUNCTION("""COMPUTED_VALUE"""),91.02)</f>
        <v>91.02</v>
      </c>
      <c r="BG152" s="1">
        <f>IFERROR(__xludf.DUMMYFUNCTION("""COMPUTED_VALUE"""),25.58)</f>
        <v>25.58</v>
      </c>
      <c r="BH152" s="1">
        <f>IFERROR(__xludf.DUMMYFUNCTION("""COMPUTED_VALUE"""),117.75)</f>
        <v>117.75</v>
      </c>
      <c r="BI152" s="1">
        <f>IFERROR(__xludf.DUMMYFUNCTION("""COMPUTED_VALUE"""),45.01)</f>
        <v>45.01</v>
      </c>
      <c r="BJ152" s="1">
        <f>IFERROR(__xludf.DUMMYFUNCTION("""COMPUTED_VALUE"""),231.94)</f>
        <v>231.94</v>
      </c>
      <c r="BK152" s="1">
        <f>IFERROR(__xludf.DUMMYFUNCTION("""COMPUTED_VALUE"""),526.89)</f>
        <v>526.89</v>
      </c>
      <c r="BL152" s="1">
        <f>IFERROR(__xludf.DUMMYFUNCTION("""COMPUTED_VALUE"""),175.86)</f>
        <v>175.86</v>
      </c>
      <c r="BM152" s="1">
        <f>IFERROR(__xludf.DUMMYFUNCTION("""COMPUTED_VALUE"""),64.26)</f>
        <v>64.26</v>
      </c>
      <c r="BN152" s="3">
        <f>IFERROR(__xludf.DUMMYFUNCTION("""COMPUTED_VALUE"""),8.81)</f>
        <v>8.81</v>
      </c>
      <c r="BO152" s="1">
        <f>IFERROR(__xludf.DUMMYFUNCTION("""COMPUTED_VALUE"""),234.98)</f>
        <v>234.98</v>
      </c>
      <c r="BP152" s="1">
        <f>IFERROR(__xludf.DUMMYFUNCTION("""COMPUTED_VALUE"""),520.48)</f>
        <v>520.48</v>
      </c>
      <c r="BQ152" s="36">
        <f>IFERROR(__xludf.DUMMYFUNCTION("""COMPUTED_VALUE"""),49.02)</f>
        <v>49.02</v>
      </c>
      <c r="BR152" s="1">
        <f>IFERROR(__xludf.DUMMYFUNCTION("""COMPUTED_VALUE"""),12.63)</f>
        <v>12.63</v>
      </c>
      <c r="BS152" s="3">
        <f>IFERROR(__xludf.DUMMYFUNCTION("""COMPUTED_VALUE"""),213.2)</f>
        <v>213.2</v>
      </c>
      <c r="BT152" s="1">
        <f>IFERROR(__xludf.DUMMYFUNCTION("""COMPUTED_VALUE"""),113.34)</f>
        <v>113.34</v>
      </c>
      <c r="BU152" s="3">
        <v>1.0</v>
      </c>
    </row>
    <row r="153">
      <c r="A153" s="25">
        <f>IFERROR(__xludf.DUMMYFUNCTION("""COMPUTED_VALUE"""),45642.66666666667)</f>
        <v>45642.66667</v>
      </c>
      <c r="B153" s="29">
        <f>'Master Scratch Work'!B152</f>
        <v>1354407.76</v>
      </c>
      <c r="C153" s="15">
        <f>IFERROR(__xludf.DUMMYFUNCTION("""COMPUTED_VALUE"""),6074.08)</f>
        <v>6074.08</v>
      </c>
      <c r="D153" s="15">
        <f>IFERROR(__xludf.DUMMYFUNCTION("""COMPUTED_VALUE"""),20173.89)</f>
        <v>20173.89</v>
      </c>
      <c r="E153" s="15">
        <f>IFERROR(__xludf.DUMMYFUNCTION("""COMPUTED_VALUE"""),43717.48)</f>
        <v>43717.48</v>
      </c>
      <c r="F153" s="15">
        <f>IFERROR(__xludf.DUMMYFUNCTION("""COMPUTED_VALUE"""),2361.99)</f>
        <v>2361.99</v>
      </c>
      <c r="G153" s="3">
        <f>IFERROR(__xludf.DUMMYFUNCTION("""COMPUTED_VALUE"""),606.79)</f>
        <v>606.79</v>
      </c>
      <c r="H153" s="3">
        <f>IFERROR(__xludf.DUMMYFUNCTION("""COMPUTED_VALUE"""),538.17)</f>
        <v>538.17</v>
      </c>
      <c r="I153" s="3">
        <f>IFERROR(__xludf.DUMMYFUNCTION("""COMPUTED_VALUE"""),461.53)</f>
        <v>461.53</v>
      </c>
      <c r="J153" s="3">
        <f>IFERROR(__xludf.DUMMYFUNCTION("""COMPUTED_VALUE"""),232.93)</f>
        <v>232.93</v>
      </c>
      <c r="K153" s="3">
        <f>IFERROR(__xludf.DUMMYFUNCTION("""COMPUTED_VALUE"""),128.91)</f>
        <v>128.91</v>
      </c>
      <c r="L153" s="3">
        <f>IFERROR(__xludf.DUMMYFUNCTION("""COMPUTED_VALUE"""),251.04)</f>
        <v>251.04</v>
      </c>
      <c r="M153" s="3">
        <f>IFERROR(__xludf.DUMMYFUNCTION("""COMPUTED_VALUE"""),169.41)</f>
        <v>169.41</v>
      </c>
      <c r="N153" s="3">
        <f>IFERROR(__xludf.DUMMYFUNCTION("""COMPUTED_VALUE"""),79.08)</f>
        <v>79.08</v>
      </c>
      <c r="O153" s="3">
        <f>IFERROR(__xludf.DUMMYFUNCTION("""COMPUTED_VALUE"""),13.67)</f>
        <v>13.67</v>
      </c>
      <c r="P153" s="3">
        <f>IFERROR(__xludf.DUMMYFUNCTION("""COMPUTED_VALUE"""),455.2)</f>
        <v>455.2</v>
      </c>
      <c r="Q153" s="3">
        <f>IFERROR(__xludf.DUMMYFUNCTION("""COMPUTED_VALUE"""),51.11)</f>
        <v>51.11</v>
      </c>
      <c r="R153" s="3">
        <f>IFERROR(__xludf.DUMMYFUNCTION("""COMPUTED_VALUE"""),150.49)</f>
        <v>150.49</v>
      </c>
      <c r="S153" s="3">
        <f>IFERROR(__xludf.DUMMYFUNCTION("""COMPUTED_VALUE"""),90.46)</f>
        <v>90.46</v>
      </c>
      <c r="T153" s="3">
        <f>IFERROR(__xludf.DUMMYFUNCTION("""COMPUTED_VALUE"""),71.59)</f>
        <v>71.59</v>
      </c>
      <c r="U153" s="3">
        <f>IFERROR(__xludf.DUMMYFUNCTION("""COMPUTED_VALUE"""),378.92)</f>
        <v>378.92</v>
      </c>
      <c r="V153" s="3">
        <f>IFERROR(__xludf.DUMMYFUNCTION("""COMPUTED_VALUE"""),54.19)</f>
        <v>54.19</v>
      </c>
      <c r="W153" s="3">
        <f>IFERROR(__xludf.DUMMYFUNCTION("""COMPUTED_VALUE"""),190.21)</f>
        <v>190.21</v>
      </c>
      <c r="X153" s="3">
        <f>IFERROR(__xludf.DUMMYFUNCTION("""COMPUTED_VALUE"""),149.36)</f>
        <v>149.36</v>
      </c>
      <c r="Y153" s="1">
        <f>IFERROR(__xludf.DUMMYFUNCTION("""COMPUTED_VALUE"""),273.26)</f>
        <v>273.26</v>
      </c>
      <c r="Z153" s="1">
        <f>IFERROR(__xludf.DUMMYFUNCTION("""COMPUTED_VALUE"""),45.68)</f>
        <v>45.68</v>
      </c>
      <c r="AA153" s="1">
        <f>IFERROR(__xludf.DUMMYFUNCTION("""COMPUTED_VALUE"""),62.55)</f>
        <v>62.55</v>
      </c>
      <c r="AB153" s="1">
        <f>IFERROR(__xludf.DUMMYFUNCTION("""COMPUTED_VALUE"""),91.26)</f>
        <v>91.26</v>
      </c>
      <c r="AC153" s="1">
        <f>IFERROR(__xludf.DUMMYFUNCTION("""COMPUTED_VALUE"""),185.47)</f>
        <v>185.47</v>
      </c>
      <c r="AD153" s="3">
        <f>IFERROR(__xludf.DUMMYFUNCTION("""COMPUTED_VALUE"""),70.03)</f>
        <v>70.03</v>
      </c>
      <c r="AE153" s="1">
        <f>IFERROR(__xludf.DUMMYFUNCTION("""COMPUTED_VALUE"""),447.72)</f>
        <v>447.72</v>
      </c>
      <c r="AF153" s="1">
        <f>IFERROR(__xludf.DUMMYFUNCTION("""COMPUTED_VALUE"""),63.64)</f>
        <v>63.64</v>
      </c>
      <c r="AG153" s="1">
        <f>IFERROR(__xludf.DUMMYFUNCTION("""COMPUTED_VALUE"""),108.47)</f>
        <v>108.47</v>
      </c>
      <c r="AH153" s="1">
        <f>IFERROR(__xludf.DUMMYFUNCTION("""COMPUTED_VALUE"""),283.44)</f>
        <v>283.44</v>
      </c>
      <c r="AI153" s="1">
        <f>IFERROR(__xludf.DUMMYFUNCTION("""COMPUTED_VALUE"""),436.96)</f>
        <v>436.96</v>
      </c>
      <c r="AJ153" s="1">
        <f>IFERROR(__xludf.DUMMYFUNCTION("""COMPUTED_VALUE"""),266.07)</f>
        <v>266.07</v>
      </c>
      <c r="AK153" s="3">
        <f>IFERROR(__xludf.DUMMYFUNCTION("""COMPUTED_VALUE"""),52.24)</f>
        <v>52.24</v>
      </c>
      <c r="AL153" s="1">
        <f>IFERROR(__xludf.DUMMYFUNCTION("""COMPUTED_VALUE"""),92.05)</f>
        <v>92.05</v>
      </c>
      <c r="AM153" s="1">
        <f>IFERROR(__xludf.DUMMYFUNCTION("""COMPUTED_VALUE"""),586.33)</f>
        <v>586.33</v>
      </c>
      <c r="AN153" s="1">
        <f>IFERROR(__xludf.DUMMYFUNCTION("""COMPUTED_VALUE"""),410.71)</f>
        <v>410.71</v>
      </c>
      <c r="AO153" s="1">
        <f>IFERROR(__xludf.DUMMYFUNCTION("""COMPUTED_VALUE"""),121.95)</f>
        <v>121.95</v>
      </c>
      <c r="AP153" s="1">
        <f>IFERROR(__xludf.DUMMYFUNCTION("""COMPUTED_VALUE"""),154.58)</f>
        <v>154.58</v>
      </c>
      <c r="AQ153" s="3">
        <f>IFERROR(__xludf.DUMMYFUNCTION("""COMPUTED_VALUE"""),541.99)</f>
        <v>541.99</v>
      </c>
      <c r="AR153" s="3">
        <f>IFERROR(__xludf.DUMMYFUNCTION("""COMPUTED_VALUE"""),239.58)</f>
        <v>239.58</v>
      </c>
      <c r="AS153" s="3">
        <f>IFERROR(__xludf.DUMMYFUNCTION("""COMPUTED_VALUE"""),491.65)</f>
        <v>491.65</v>
      </c>
      <c r="AT153" s="3">
        <f>IFERROR(__xludf.DUMMYFUNCTION("""COMPUTED_VALUE"""),389.74)</f>
        <v>389.74</v>
      </c>
      <c r="AU153" s="1">
        <f>IFERROR(__xludf.DUMMYFUNCTION("""COMPUTED_VALUE"""),31.04)</f>
        <v>31.04</v>
      </c>
      <c r="AV153" s="1">
        <f>IFERROR(__xludf.DUMMYFUNCTION("""COMPUTED_VALUE"""),81.35)</f>
        <v>81.35</v>
      </c>
      <c r="AW153" s="1">
        <f>IFERROR(__xludf.DUMMYFUNCTION("""COMPUTED_VALUE"""),82.74)</f>
        <v>82.74</v>
      </c>
      <c r="AX153" s="1">
        <f>IFERROR(__xludf.DUMMYFUNCTION("""COMPUTED_VALUE"""),18.79)</f>
        <v>18.79</v>
      </c>
      <c r="AY153" s="1">
        <f>IFERROR(__xludf.DUMMYFUNCTION("""COMPUTED_VALUE"""),451.59)</f>
        <v>451.59</v>
      </c>
      <c r="AZ153" s="3">
        <f>IFERROR(__xludf.DUMMYFUNCTION("""COMPUTED_VALUE"""),72.79)</f>
        <v>72.79</v>
      </c>
      <c r="BA153" s="3">
        <f>IFERROR(__xludf.DUMMYFUNCTION("""COMPUTED_VALUE"""),94.18)</f>
        <v>94.18</v>
      </c>
      <c r="BB153" s="3">
        <f>IFERROR(__xludf.DUMMYFUNCTION("""COMPUTED_VALUE"""),132.0)</f>
        <v>132</v>
      </c>
      <c r="BC153" s="1">
        <f>IFERROR(__xludf.DUMMYFUNCTION("""COMPUTED_VALUE"""),96.19)</f>
        <v>96.19</v>
      </c>
      <c r="BD153" s="3">
        <f>IFERROR(__xludf.DUMMYFUNCTION("""COMPUTED_VALUE"""),57.88)</f>
        <v>57.88</v>
      </c>
      <c r="BE153" s="3">
        <f>IFERROR(__xludf.DUMMYFUNCTION("""COMPUTED_VALUE"""),75.75)</f>
        <v>75.75</v>
      </c>
      <c r="BF153" s="1">
        <f>IFERROR(__xludf.DUMMYFUNCTION("""COMPUTED_VALUE"""),91.3)</f>
        <v>91.3</v>
      </c>
      <c r="BG153" s="1">
        <f>IFERROR(__xludf.DUMMYFUNCTION("""COMPUTED_VALUE"""),25.25)</f>
        <v>25.25</v>
      </c>
      <c r="BH153" s="1">
        <f>IFERROR(__xludf.DUMMYFUNCTION("""COMPUTED_VALUE"""),118.11)</f>
        <v>118.11</v>
      </c>
      <c r="BI153" s="1">
        <f>IFERROR(__xludf.DUMMYFUNCTION("""COMPUTED_VALUE"""),44.71)</f>
        <v>44.71</v>
      </c>
      <c r="BJ153" s="1">
        <f>IFERROR(__xludf.DUMMYFUNCTION("""COMPUTED_VALUE"""),229.47)</f>
        <v>229.47</v>
      </c>
      <c r="BK153" s="1">
        <f>IFERROR(__xludf.DUMMYFUNCTION("""COMPUTED_VALUE"""),530.26)</f>
        <v>530.26</v>
      </c>
      <c r="BL153" s="1">
        <f>IFERROR(__xludf.DUMMYFUNCTION("""COMPUTED_VALUE"""),174.25)</f>
        <v>174.25</v>
      </c>
      <c r="BM153" s="1">
        <f>IFERROR(__xludf.DUMMYFUNCTION("""COMPUTED_VALUE"""),64.22)</f>
        <v>64.22</v>
      </c>
      <c r="BN153" s="3">
        <f>IFERROR(__xludf.DUMMYFUNCTION("""COMPUTED_VALUE"""),8.32)</f>
        <v>8.32</v>
      </c>
      <c r="BO153" s="1">
        <f>IFERROR(__xludf.DUMMYFUNCTION("""COMPUTED_VALUE"""),232.89)</f>
        <v>232.89</v>
      </c>
      <c r="BP153" s="1">
        <f>IFERROR(__xludf.DUMMYFUNCTION("""COMPUTED_VALUE"""),498.5)</f>
        <v>498.5</v>
      </c>
      <c r="BQ153" s="36">
        <f>IFERROR(__xludf.DUMMYFUNCTION("""COMPUTED_VALUE"""),48.97)</f>
        <v>48.97</v>
      </c>
      <c r="BR153" s="1">
        <f>IFERROR(__xludf.DUMMYFUNCTION("""COMPUTED_VALUE"""),12.53)</f>
        <v>12.53</v>
      </c>
      <c r="BS153" s="3">
        <f>IFERROR(__xludf.DUMMYFUNCTION("""COMPUTED_VALUE"""),211.64)</f>
        <v>211.64</v>
      </c>
      <c r="BT153" s="1">
        <f>IFERROR(__xludf.DUMMYFUNCTION("""COMPUTED_VALUE"""),112.11)</f>
        <v>112.11</v>
      </c>
      <c r="BU153" s="3">
        <v>1.0</v>
      </c>
    </row>
    <row r="154">
      <c r="A154" s="25">
        <f>IFERROR(__xludf.DUMMYFUNCTION("""COMPUTED_VALUE"""),45643.66666666667)</f>
        <v>45643.66667</v>
      </c>
      <c r="B154" s="29">
        <f>'Master Scratch Work'!B153</f>
        <v>1345871.71</v>
      </c>
      <c r="C154" s="15">
        <f>IFERROR(__xludf.DUMMYFUNCTION("""COMPUTED_VALUE"""),6050.61)</f>
        <v>6050.61</v>
      </c>
      <c r="D154" s="15">
        <f>IFERROR(__xludf.DUMMYFUNCTION("""COMPUTED_VALUE"""),20109.06)</f>
        <v>20109.06</v>
      </c>
      <c r="E154" s="15">
        <f>IFERROR(__xludf.DUMMYFUNCTION("""COMPUTED_VALUE"""),43449.9)</f>
        <v>43449.9</v>
      </c>
      <c r="F154" s="15">
        <f>IFERROR(__xludf.DUMMYFUNCTION("""COMPUTED_VALUE"""),2334.08)</f>
        <v>2334.08</v>
      </c>
      <c r="G154" s="3">
        <f>IFERROR(__xludf.DUMMYFUNCTION("""COMPUTED_VALUE"""),604.29)</f>
        <v>604.29</v>
      </c>
      <c r="H154" s="3">
        <f>IFERROR(__xludf.DUMMYFUNCTION("""COMPUTED_VALUE"""),535.8)</f>
        <v>535.8</v>
      </c>
      <c r="I154" s="3">
        <f>IFERROR(__xludf.DUMMYFUNCTION("""COMPUTED_VALUE"""),455.23)</f>
        <v>455.23</v>
      </c>
      <c r="J154" s="3">
        <f>IFERROR(__xludf.DUMMYFUNCTION("""COMPUTED_VALUE"""),231.15)</f>
        <v>231.15</v>
      </c>
      <c r="K154" s="3">
        <f>IFERROR(__xludf.DUMMYFUNCTION("""COMPUTED_VALUE"""),129.18)</f>
        <v>129.18</v>
      </c>
      <c r="L154" s="3">
        <f>IFERROR(__xludf.DUMMYFUNCTION("""COMPUTED_VALUE"""),253.48)</f>
        <v>253.48</v>
      </c>
      <c r="M154" s="3">
        <f>IFERROR(__xludf.DUMMYFUNCTION("""COMPUTED_VALUE"""),170.34)</f>
        <v>170.34</v>
      </c>
      <c r="N154" s="3">
        <f>IFERROR(__xludf.DUMMYFUNCTION("""COMPUTED_VALUE"""),78.45)</f>
        <v>78.45</v>
      </c>
      <c r="O154" s="3">
        <f>IFERROR(__xludf.DUMMYFUNCTION("""COMPUTED_VALUE"""),13.33)</f>
        <v>13.33</v>
      </c>
      <c r="P154" s="3">
        <f>IFERROR(__xludf.DUMMYFUNCTION("""COMPUTED_VALUE"""),455.66)</f>
        <v>455.66</v>
      </c>
      <c r="Q154" s="3">
        <f>IFERROR(__xludf.DUMMYFUNCTION("""COMPUTED_VALUE"""),51.0)</f>
        <v>51</v>
      </c>
      <c r="R154" s="3">
        <f>IFERROR(__xludf.DUMMYFUNCTION("""COMPUTED_VALUE"""),150.64)</f>
        <v>150.64</v>
      </c>
      <c r="S154" s="3">
        <f>IFERROR(__xludf.DUMMYFUNCTION("""COMPUTED_VALUE"""),90.43)</f>
        <v>90.43</v>
      </c>
      <c r="T154" s="3">
        <f>IFERROR(__xludf.DUMMYFUNCTION("""COMPUTED_VALUE"""),70.28)</f>
        <v>70.28</v>
      </c>
      <c r="U154" s="3">
        <f>IFERROR(__xludf.DUMMYFUNCTION("""COMPUTED_VALUE"""),375.8)</f>
        <v>375.8</v>
      </c>
      <c r="V154" s="3">
        <f>IFERROR(__xludf.DUMMYFUNCTION("""COMPUTED_VALUE"""),53.42)</f>
        <v>53.42</v>
      </c>
      <c r="W154" s="3">
        <f>IFERROR(__xludf.DUMMYFUNCTION("""COMPUTED_VALUE"""),187.71)</f>
        <v>187.71</v>
      </c>
      <c r="X154" s="3">
        <f>IFERROR(__xludf.DUMMYFUNCTION("""COMPUTED_VALUE"""),148.11)</f>
        <v>148.11</v>
      </c>
      <c r="Y154" s="1">
        <f>IFERROR(__xludf.DUMMYFUNCTION("""COMPUTED_VALUE"""),265.59)</f>
        <v>265.59</v>
      </c>
      <c r="Z154" s="1">
        <f>IFERROR(__xludf.DUMMYFUNCTION("""COMPUTED_VALUE"""),44.74)</f>
        <v>44.74</v>
      </c>
      <c r="AA154" s="1">
        <f>IFERROR(__xludf.DUMMYFUNCTION("""COMPUTED_VALUE"""),63.4)</f>
        <v>63.4</v>
      </c>
      <c r="AB154" s="1">
        <f>IFERROR(__xludf.DUMMYFUNCTION("""COMPUTED_VALUE"""),90.84)</f>
        <v>90.84</v>
      </c>
      <c r="AC154" s="1">
        <f>IFERROR(__xludf.DUMMYFUNCTION("""COMPUTED_VALUE"""),185.0)</f>
        <v>185</v>
      </c>
      <c r="AD154" s="3">
        <f>IFERROR(__xludf.DUMMYFUNCTION("""COMPUTED_VALUE"""),70.11)</f>
        <v>70.11</v>
      </c>
      <c r="AE154" s="1">
        <f>IFERROR(__xludf.DUMMYFUNCTION("""COMPUTED_VALUE"""),446.74)</f>
        <v>446.74</v>
      </c>
      <c r="AF154" s="1">
        <f>IFERROR(__xludf.DUMMYFUNCTION("""COMPUTED_VALUE"""),64.23)</f>
        <v>64.23</v>
      </c>
      <c r="AG154" s="1">
        <f>IFERROR(__xludf.DUMMYFUNCTION("""COMPUTED_VALUE"""),108.01)</f>
        <v>108.01</v>
      </c>
      <c r="AH154" s="1">
        <f>IFERROR(__xludf.DUMMYFUNCTION("""COMPUTED_VALUE"""),277.43)</f>
        <v>277.43</v>
      </c>
      <c r="AI154" s="1">
        <f>IFERROR(__xludf.DUMMYFUNCTION("""COMPUTED_VALUE"""),432.36)</f>
        <v>432.36</v>
      </c>
      <c r="AJ154" s="1">
        <f>IFERROR(__xludf.DUMMYFUNCTION("""COMPUTED_VALUE"""),265.22)</f>
        <v>265.22</v>
      </c>
      <c r="AK154" s="3">
        <f>IFERROR(__xludf.DUMMYFUNCTION("""COMPUTED_VALUE"""),51.15)</f>
        <v>51.15</v>
      </c>
      <c r="AL154" s="1">
        <f>IFERROR(__xludf.DUMMYFUNCTION("""COMPUTED_VALUE"""),92.8)</f>
        <v>92.8</v>
      </c>
      <c r="AM154" s="1">
        <f>IFERROR(__xludf.DUMMYFUNCTION("""COMPUTED_VALUE"""),574.68)</f>
        <v>574.68</v>
      </c>
      <c r="AN154" s="1">
        <f>IFERROR(__xludf.DUMMYFUNCTION("""COMPUTED_VALUE"""),408.47)</f>
        <v>408.47</v>
      </c>
      <c r="AO154" s="1">
        <f>IFERROR(__xludf.DUMMYFUNCTION("""COMPUTED_VALUE"""),120.5)</f>
        <v>120.5</v>
      </c>
      <c r="AP154" s="1">
        <f>IFERROR(__xludf.DUMMYFUNCTION("""COMPUTED_VALUE"""),152.79)</f>
        <v>152.79</v>
      </c>
      <c r="AQ154" s="3">
        <f>IFERROR(__xludf.DUMMYFUNCTION("""COMPUTED_VALUE"""),545.16)</f>
        <v>545.16</v>
      </c>
      <c r="AR154" s="3">
        <f>IFERROR(__xludf.DUMMYFUNCTION("""COMPUTED_VALUE"""),238.36)</f>
        <v>238.36</v>
      </c>
      <c r="AS154" s="3">
        <f>IFERROR(__xludf.DUMMYFUNCTION("""COMPUTED_VALUE"""),490.61)</f>
        <v>490.61</v>
      </c>
      <c r="AT154" s="3">
        <f>IFERROR(__xludf.DUMMYFUNCTION("""COMPUTED_VALUE"""),390.59)</f>
        <v>390.59</v>
      </c>
      <c r="AU154" s="1">
        <f>IFERROR(__xludf.DUMMYFUNCTION("""COMPUTED_VALUE"""),30.73)</f>
        <v>30.73</v>
      </c>
      <c r="AV154" s="1">
        <f>IFERROR(__xludf.DUMMYFUNCTION("""COMPUTED_VALUE"""),81.37)</f>
        <v>81.37</v>
      </c>
      <c r="AW154" s="1">
        <f>IFERROR(__xludf.DUMMYFUNCTION("""COMPUTED_VALUE"""),81.25)</f>
        <v>81.25</v>
      </c>
      <c r="AX154" s="1">
        <f>IFERROR(__xludf.DUMMYFUNCTION("""COMPUTED_VALUE"""),18.37)</f>
        <v>18.37</v>
      </c>
      <c r="AY154" s="1">
        <f>IFERROR(__xludf.DUMMYFUNCTION("""COMPUTED_VALUE"""),454.46)</f>
        <v>454.46</v>
      </c>
      <c r="AZ154" s="3">
        <f>IFERROR(__xludf.DUMMYFUNCTION("""COMPUTED_VALUE"""),72.27)</f>
        <v>72.27</v>
      </c>
      <c r="BA154" s="3">
        <f>IFERROR(__xludf.DUMMYFUNCTION("""COMPUTED_VALUE"""),91.42)</f>
        <v>91.42</v>
      </c>
      <c r="BB154" s="3">
        <f>IFERROR(__xludf.DUMMYFUNCTION("""COMPUTED_VALUE"""),130.39)</f>
        <v>130.39</v>
      </c>
      <c r="BC154" s="1">
        <f>IFERROR(__xludf.DUMMYFUNCTION("""COMPUTED_VALUE"""),96.34)</f>
        <v>96.34</v>
      </c>
      <c r="BD154" s="3">
        <f>IFERROR(__xludf.DUMMYFUNCTION("""COMPUTED_VALUE"""),56.64)</f>
        <v>56.64</v>
      </c>
      <c r="BE154" s="3">
        <f>IFERROR(__xludf.DUMMYFUNCTION("""COMPUTED_VALUE"""),74.39)</f>
        <v>74.39</v>
      </c>
      <c r="BF154" s="1">
        <f>IFERROR(__xludf.DUMMYFUNCTION("""COMPUTED_VALUE"""),90.86)</f>
        <v>90.86</v>
      </c>
      <c r="BG154" s="1">
        <f>IFERROR(__xludf.DUMMYFUNCTION("""COMPUTED_VALUE"""),26.43)</f>
        <v>26.43</v>
      </c>
      <c r="BH154" s="1">
        <f>IFERROR(__xludf.DUMMYFUNCTION("""COMPUTED_VALUE"""),117.42)</f>
        <v>117.42</v>
      </c>
      <c r="BI154" s="1">
        <f>IFERROR(__xludf.DUMMYFUNCTION("""COMPUTED_VALUE"""),45.16)</f>
        <v>45.16</v>
      </c>
      <c r="BJ154" s="1">
        <f>IFERROR(__xludf.DUMMYFUNCTION("""COMPUTED_VALUE"""),220.71)</f>
        <v>220.71</v>
      </c>
      <c r="BK154" s="1">
        <f>IFERROR(__xludf.DUMMYFUNCTION("""COMPUTED_VALUE"""),528.84)</f>
        <v>528.84</v>
      </c>
      <c r="BL154" s="1">
        <f>IFERROR(__xludf.DUMMYFUNCTION("""COMPUTED_VALUE"""),173.28)</f>
        <v>173.28</v>
      </c>
      <c r="BM154" s="1">
        <f>IFERROR(__xludf.DUMMYFUNCTION("""COMPUTED_VALUE"""),65.71)</f>
        <v>65.71</v>
      </c>
      <c r="BN154" s="3">
        <f>IFERROR(__xludf.DUMMYFUNCTION("""COMPUTED_VALUE"""),8.65)</f>
        <v>8.65</v>
      </c>
      <c r="BO154" s="1">
        <f>IFERROR(__xludf.DUMMYFUNCTION("""COMPUTED_VALUE"""),229.88)</f>
        <v>229.88</v>
      </c>
      <c r="BP154" s="1">
        <f>IFERROR(__xludf.DUMMYFUNCTION("""COMPUTED_VALUE"""),485.52)</f>
        <v>485.52</v>
      </c>
      <c r="BQ154" s="36">
        <f>IFERROR(__xludf.DUMMYFUNCTION("""COMPUTED_VALUE"""),48.95)</f>
        <v>48.95</v>
      </c>
      <c r="BR154" s="1">
        <f>IFERROR(__xludf.DUMMYFUNCTION("""COMPUTED_VALUE"""),12.59)</f>
        <v>12.59</v>
      </c>
      <c r="BS154" s="3">
        <f>IFERROR(__xludf.DUMMYFUNCTION("""COMPUTED_VALUE"""),209.0)</f>
        <v>209</v>
      </c>
      <c r="BT154" s="1">
        <f>IFERROR(__xludf.DUMMYFUNCTION("""COMPUTED_VALUE"""),113.02)</f>
        <v>113.02</v>
      </c>
      <c r="BU154" s="3">
        <v>1.0</v>
      </c>
    </row>
    <row r="155">
      <c r="A155" s="25">
        <f>IFERROR(__xludf.DUMMYFUNCTION("""COMPUTED_VALUE"""),45644.66666666667)</f>
        <v>45644.66667</v>
      </c>
      <c r="B155" s="29">
        <f>'Master Scratch Work'!B154</f>
        <v>1316292.76</v>
      </c>
      <c r="C155" s="15">
        <f>IFERROR(__xludf.DUMMYFUNCTION("""COMPUTED_VALUE"""),5872.16)</f>
        <v>5872.16</v>
      </c>
      <c r="D155" s="15">
        <f>IFERROR(__xludf.DUMMYFUNCTION("""COMPUTED_VALUE"""),19392.69)</f>
        <v>19392.69</v>
      </c>
      <c r="E155" s="15">
        <f>IFERROR(__xludf.DUMMYFUNCTION("""COMPUTED_VALUE"""),42326.87)</f>
        <v>42326.87</v>
      </c>
      <c r="F155" s="15">
        <f>IFERROR(__xludf.DUMMYFUNCTION("""COMPUTED_VALUE"""),2231.51)</f>
        <v>2231.51</v>
      </c>
      <c r="G155" s="3">
        <f>IFERROR(__xludf.DUMMYFUNCTION("""COMPUTED_VALUE"""),586.28)</f>
        <v>586.28</v>
      </c>
      <c r="H155" s="3">
        <f>IFERROR(__xludf.DUMMYFUNCTION("""COMPUTED_VALUE"""),516.47)</f>
        <v>516.47</v>
      </c>
      <c r="I155" s="3">
        <f>IFERROR(__xludf.DUMMYFUNCTION("""COMPUTED_VALUE"""),441.31)</f>
        <v>441.31</v>
      </c>
      <c r="J155" s="3">
        <f>IFERROR(__xludf.DUMMYFUNCTION("""COMPUTED_VALUE"""),220.52)</f>
        <v>220.52</v>
      </c>
      <c r="K155" s="3">
        <f>IFERROR(__xludf.DUMMYFUNCTION("""COMPUTED_VALUE"""),124.43)</f>
        <v>124.43</v>
      </c>
      <c r="L155" s="3">
        <f>IFERROR(__xludf.DUMMYFUNCTION("""COMPUTED_VALUE"""),248.05)</f>
        <v>248.05</v>
      </c>
      <c r="M155" s="3">
        <f>IFERROR(__xludf.DUMMYFUNCTION("""COMPUTED_VALUE"""),165.45)</f>
        <v>165.45</v>
      </c>
      <c r="N155" s="3">
        <f>IFERROR(__xludf.DUMMYFUNCTION("""COMPUTED_VALUE"""),75.82)</f>
        <v>75.82</v>
      </c>
      <c r="O155" s="3">
        <f>IFERROR(__xludf.DUMMYFUNCTION("""COMPUTED_VALUE"""),12.98)</f>
        <v>12.98</v>
      </c>
      <c r="P155" s="3">
        <f>IFERROR(__xludf.DUMMYFUNCTION("""COMPUTED_VALUE"""),446.59)</f>
        <v>446.59</v>
      </c>
      <c r="Q155" s="3">
        <f>IFERROR(__xludf.DUMMYFUNCTION("""COMPUTED_VALUE"""),49.4)</f>
        <v>49.4</v>
      </c>
      <c r="R155" s="3">
        <f>IFERROR(__xludf.DUMMYFUNCTION("""COMPUTED_VALUE"""),146.79)</f>
        <v>146.79</v>
      </c>
      <c r="S155" s="3">
        <f>IFERROR(__xludf.DUMMYFUNCTION("""COMPUTED_VALUE"""),88.03)</f>
        <v>88.03</v>
      </c>
      <c r="T155" s="3">
        <f>IFERROR(__xludf.DUMMYFUNCTION("""COMPUTED_VALUE"""),67.03)</f>
        <v>67.03</v>
      </c>
      <c r="U155" s="3">
        <f>IFERROR(__xludf.DUMMYFUNCTION("""COMPUTED_VALUE"""),363.89)</f>
        <v>363.89</v>
      </c>
      <c r="V155" s="3">
        <f>IFERROR(__xludf.DUMMYFUNCTION("""COMPUTED_VALUE"""),51.93)</f>
        <v>51.93</v>
      </c>
      <c r="W155" s="3">
        <f>IFERROR(__xludf.DUMMYFUNCTION("""COMPUTED_VALUE"""),181.09)</f>
        <v>181.09</v>
      </c>
      <c r="X155" s="3">
        <f>IFERROR(__xludf.DUMMYFUNCTION("""COMPUTED_VALUE"""),144.08)</f>
        <v>144.08</v>
      </c>
      <c r="Y155" s="1">
        <f>IFERROR(__xludf.DUMMYFUNCTION("""COMPUTED_VALUE"""),282.41)</f>
        <v>282.41</v>
      </c>
      <c r="Z155" s="1">
        <f>IFERROR(__xludf.DUMMYFUNCTION("""COMPUTED_VALUE"""),42.66)</f>
        <v>42.66</v>
      </c>
      <c r="AA155" s="1">
        <f>IFERROR(__xludf.DUMMYFUNCTION("""COMPUTED_VALUE"""),62.85)</f>
        <v>62.85</v>
      </c>
      <c r="AB155" s="1">
        <f>IFERROR(__xludf.DUMMYFUNCTION("""COMPUTED_VALUE"""),88.87)</f>
        <v>88.87</v>
      </c>
      <c r="AC155" s="1">
        <f>IFERROR(__xludf.DUMMYFUNCTION("""COMPUTED_VALUE"""),176.96)</f>
        <v>176.96</v>
      </c>
      <c r="AD155" s="3">
        <f>IFERROR(__xludf.DUMMYFUNCTION("""COMPUTED_VALUE"""),69.27)</f>
        <v>69.27</v>
      </c>
      <c r="AE155" s="1">
        <f>IFERROR(__xludf.DUMMYFUNCTION("""COMPUTED_VALUE"""),430.71)</f>
        <v>430.71</v>
      </c>
      <c r="AF155" s="1">
        <f>IFERROR(__xludf.DUMMYFUNCTION("""COMPUTED_VALUE"""),64.11)</f>
        <v>64.11</v>
      </c>
      <c r="AG155" s="1">
        <f>IFERROR(__xludf.DUMMYFUNCTION("""COMPUTED_VALUE"""),106.42)</f>
        <v>106.42</v>
      </c>
      <c r="AH155" s="1">
        <f>IFERROR(__xludf.DUMMYFUNCTION("""COMPUTED_VALUE"""),273.16)</f>
        <v>273.16</v>
      </c>
      <c r="AI155" s="1">
        <f>IFERROR(__xludf.DUMMYFUNCTION("""COMPUTED_VALUE"""),422.83)</f>
        <v>422.83</v>
      </c>
      <c r="AJ155" s="1">
        <f>IFERROR(__xludf.DUMMYFUNCTION("""COMPUTED_VALUE"""),262.27)</f>
        <v>262.27</v>
      </c>
      <c r="AK155" s="3">
        <f>IFERROR(__xludf.DUMMYFUNCTION("""COMPUTED_VALUE"""),49.99)</f>
        <v>49.99</v>
      </c>
      <c r="AL155" s="1">
        <f>IFERROR(__xludf.DUMMYFUNCTION("""COMPUTED_VALUE"""),90.69)</f>
        <v>90.69</v>
      </c>
      <c r="AM155" s="1">
        <f>IFERROR(__xludf.DUMMYFUNCTION("""COMPUTED_VALUE"""),550.25)</f>
        <v>550.25</v>
      </c>
      <c r="AN155" s="1">
        <f>IFERROR(__xludf.DUMMYFUNCTION("""COMPUTED_VALUE"""),393.82)</f>
        <v>393.82</v>
      </c>
      <c r="AO155" s="1">
        <f>IFERROR(__xludf.DUMMYFUNCTION("""COMPUTED_VALUE"""),119.1)</f>
        <v>119.1</v>
      </c>
      <c r="AP155" s="1">
        <f>IFERROR(__xludf.DUMMYFUNCTION("""COMPUTED_VALUE"""),149.6)</f>
        <v>149.6</v>
      </c>
      <c r="AQ155" s="3">
        <f>IFERROR(__xludf.DUMMYFUNCTION("""COMPUTED_VALUE"""),526.47)</f>
        <v>526.47</v>
      </c>
      <c r="AR155" s="3">
        <f>IFERROR(__xludf.DUMMYFUNCTION("""COMPUTED_VALUE"""),230.37)</f>
        <v>230.37</v>
      </c>
      <c r="AS155" s="3">
        <f>IFERROR(__xludf.DUMMYFUNCTION("""COMPUTED_VALUE"""),482.94)</f>
        <v>482.94</v>
      </c>
      <c r="AT155" s="3">
        <f>IFERROR(__xludf.DUMMYFUNCTION("""COMPUTED_VALUE"""),372.07)</f>
        <v>372.07</v>
      </c>
      <c r="AU155" s="1">
        <f>IFERROR(__xludf.DUMMYFUNCTION("""COMPUTED_VALUE"""),29.7)</f>
        <v>29.7</v>
      </c>
      <c r="AV155" s="1">
        <f>IFERROR(__xludf.DUMMYFUNCTION("""COMPUTED_VALUE"""),80.03)</f>
        <v>80.03</v>
      </c>
      <c r="AW155" s="1">
        <f>IFERROR(__xludf.DUMMYFUNCTION("""COMPUTED_VALUE"""),78.79)</f>
        <v>78.79</v>
      </c>
      <c r="AX155" s="1">
        <f>IFERROR(__xludf.DUMMYFUNCTION("""COMPUTED_VALUE"""),16.73)</f>
        <v>16.73</v>
      </c>
      <c r="AY155" s="1">
        <f>IFERROR(__xludf.DUMMYFUNCTION("""COMPUTED_VALUE"""),437.39)</f>
        <v>437.39</v>
      </c>
      <c r="AZ155" s="3">
        <f>IFERROR(__xludf.DUMMYFUNCTION("""COMPUTED_VALUE"""),70.52)</f>
        <v>70.52</v>
      </c>
      <c r="BA155" s="3">
        <f>IFERROR(__xludf.DUMMYFUNCTION("""COMPUTED_VALUE"""),88.81)</f>
        <v>88.81</v>
      </c>
      <c r="BB155" s="3">
        <f>IFERROR(__xludf.DUMMYFUNCTION("""COMPUTED_VALUE"""),128.91)</f>
        <v>128.91</v>
      </c>
      <c r="BC155" s="1">
        <f>IFERROR(__xludf.DUMMYFUNCTION("""COMPUTED_VALUE"""),93.85)</f>
        <v>93.85</v>
      </c>
      <c r="BD155" s="3">
        <f>IFERROR(__xludf.DUMMYFUNCTION("""COMPUTED_VALUE"""),54.76)</f>
        <v>54.76</v>
      </c>
      <c r="BE155" s="3">
        <f>IFERROR(__xludf.DUMMYFUNCTION("""COMPUTED_VALUE"""),71.51)</f>
        <v>71.51</v>
      </c>
      <c r="BF155" s="1">
        <f>IFERROR(__xludf.DUMMYFUNCTION("""COMPUTED_VALUE"""),85.45)</f>
        <v>85.45</v>
      </c>
      <c r="BG155" s="1">
        <f>IFERROR(__xludf.DUMMYFUNCTION("""COMPUTED_VALUE"""),25.89)</f>
        <v>25.89</v>
      </c>
      <c r="BH155" s="1">
        <f>IFERROR(__xludf.DUMMYFUNCTION("""COMPUTED_VALUE"""),114.45)</f>
        <v>114.45</v>
      </c>
      <c r="BI155" s="1">
        <f>IFERROR(__xludf.DUMMYFUNCTION("""COMPUTED_VALUE"""),42.97)</f>
        <v>42.97</v>
      </c>
      <c r="BJ155" s="1">
        <f>IFERROR(__xludf.DUMMYFUNCTION("""COMPUTED_VALUE"""),220.69)</f>
        <v>220.69</v>
      </c>
      <c r="BK155" s="1">
        <f>IFERROR(__xludf.DUMMYFUNCTION("""COMPUTED_VALUE"""),516.18)</f>
        <v>516.18</v>
      </c>
      <c r="BL155" s="1">
        <f>IFERROR(__xludf.DUMMYFUNCTION("""COMPUTED_VALUE"""),173.62)</f>
        <v>173.62</v>
      </c>
      <c r="BM155" s="1">
        <f>IFERROR(__xludf.DUMMYFUNCTION("""COMPUTED_VALUE"""),60.88)</f>
        <v>60.88</v>
      </c>
      <c r="BN155" s="3">
        <f>IFERROR(__xludf.DUMMYFUNCTION("""COMPUTED_VALUE"""),8.47)</f>
        <v>8.47</v>
      </c>
      <c r="BO155" s="1">
        <f>IFERROR(__xludf.DUMMYFUNCTION("""COMPUTED_VALUE"""),224.54)</f>
        <v>224.54</v>
      </c>
      <c r="BP155" s="1">
        <f>IFERROR(__xludf.DUMMYFUNCTION("""COMPUTED_VALUE"""),499.72)</f>
        <v>499.72</v>
      </c>
      <c r="BQ155" s="36">
        <f>IFERROR(__xludf.DUMMYFUNCTION("""COMPUTED_VALUE"""),48.83)</f>
        <v>48.83</v>
      </c>
      <c r="BR155" s="1">
        <f>IFERROR(__xludf.DUMMYFUNCTION("""COMPUTED_VALUE"""),12.26)</f>
        <v>12.26</v>
      </c>
      <c r="BS155" s="3">
        <f>IFERROR(__xludf.DUMMYFUNCTION("""COMPUTED_VALUE"""),205.43)</f>
        <v>205.43</v>
      </c>
      <c r="BT155" s="1">
        <f>IFERROR(__xludf.DUMMYFUNCTION("""COMPUTED_VALUE"""),111.35)</f>
        <v>111.35</v>
      </c>
      <c r="BU155" s="3">
        <v>1.0</v>
      </c>
    </row>
    <row r="156">
      <c r="A156" s="25">
        <f>IFERROR(__xludf.DUMMYFUNCTION("""COMPUTED_VALUE"""),45645.66666666667)</f>
        <v>45645.66667</v>
      </c>
      <c r="B156" s="29">
        <f>'Master Scratch Work'!B155</f>
        <v>1316712.22</v>
      </c>
      <c r="C156" s="15">
        <f>IFERROR(__xludf.DUMMYFUNCTION("""COMPUTED_VALUE"""),5867.08)</f>
        <v>5867.08</v>
      </c>
      <c r="D156" s="15">
        <f>IFERROR(__xludf.DUMMYFUNCTION("""COMPUTED_VALUE"""),19372.77)</f>
        <v>19372.77</v>
      </c>
      <c r="E156" s="15">
        <f>IFERROR(__xludf.DUMMYFUNCTION("""COMPUTED_VALUE"""),42342.24)</f>
        <v>42342.24</v>
      </c>
      <c r="F156" s="15">
        <f>IFERROR(__xludf.DUMMYFUNCTION("""COMPUTED_VALUE"""),2221.5)</f>
        <v>2221.5</v>
      </c>
      <c r="G156" s="3">
        <f>IFERROR(__xludf.DUMMYFUNCTION("""COMPUTED_VALUE"""),586.1)</f>
        <v>586.1</v>
      </c>
      <c r="H156" s="3">
        <f>IFERROR(__xludf.DUMMYFUNCTION("""COMPUTED_VALUE"""),514.17)</f>
        <v>514.17</v>
      </c>
      <c r="I156" s="3">
        <f>IFERROR(__xludf.DUMMYFUNCTION("""COMPUTED_VALUE"""),437.39)</f>
        <v>437.39</v>
      </c>
      <c r="J156" s="3">
        <f>IFERROR(__xludf.DUMMYFUNCTION("""COMPUTED_VALUE"""),223.29)</f>
        <v>223.29</v>
      </c>
      <c r="K156" s="3">
        <f>IFERROR(__xludf.DUMMYFUNCTION("""COMPUTED_VALUE"""),123.83)</f>
        <v>123.83</v>
      </c>
      <c r="L156" s="3">
        <f>IFERROR(__xludf.DUMMYFUNCTION("""COMPUTED_VALUE"""),249.79)</f>
        <v>249.79</v>
      </c>
      <c r="M156" s="3">
        <f>IFERROR(__xludf.DUMMYFUNCTION("""COMPUTED_VALUE"""),161.44)</f>
        <v>161.44</v>
      </c>
      <c r="N156" s="3">
        <f>IFERROR(__xludf.DUMMYFUNCTION("""COMPUTED_VALUE"""),76.41)</f>
        <v>76.41</v>
      </c>
      <c r="O156" s="3">
        <f>IFERROR(__xludf.DUMMYFUNCTION("""COMPUTED_VALUE"""),12.92)</f>
        <v>12.92</v>
      </c>
      <c r="P156" s="3">
        <f>IFERROR(__xludf.DUMMYFUNCTION("""COMPUTED_VALUE"""),449.34)</f>
        <v>449.34</v>
      </c>
      <c r="Q156" s="3">
        <f>IFERROR(__xludf.DUMMYFUNCTION("""COMPUTED_VALUE"""),48.94)</f>
        <v>48.94</v>
      </c>
      <c r="R156" s="3">
        <f>IFERROR(__xludf.DUMMYFUNCTION("""COMPUTED_VALUE"""),147.39)</f>
        <v>147.39</v>
      </c>
      <c r="S156" s="3">
        <f>IFERROR(__xludf.DUMMYFUNCTION("""COMPUTED_VALUE"""),88.66)</f>
        <v>88.66</v>
      </c>
      <c r="T156" s="3">
        <f>IFERROR(__xludf.DUMMYFUNCTION("""COMPUTED_VALUE"""),66.69)</f>
        <v>66.69</v>
      </c>
      <c r="U156" s="3">
        <f>IFERROR(__xludf.DUMMYFUNCTION("""COMPUTED_VALUE"""),360.37)</f>
        <v>360.37</v>
      </c>
      <c r="V156" s="3">
        <f>IFERROR(__xludf.DUMMYFUNCTION("""COMPUTED_VALUE"""),52.91)</f>
        <v>52.91</v>
      </c>
      <c r="W156" s="3">
        <f>IFERROR(__xludf.DUMMYFUNCTION("""COMPUTED_VALUE"""),187.01)</f>
        <v>187.01</v>
      </c>
      <c r="X156" s="3">
        <f>IFERROR(__xludf.DUMMYFUNCTION("""COMPUTED_VALUE"""),141.15)</f>
        <v>141.15</v>
      </c>
      <c r="Y156" s="1">
        <f>IFERROR(__xludf.DUMMYFUNCTION("""COMPUTED_VALUE"""),274.8)</f>
        <v>274.8</v>
      </c>
      <c r="Z156" s="1">
        <f>IFERROR(__xludf.DUMMYFUNCTION("""COMPUTED_VALUE"""),42.45)</f>
        <v>42.45</v>
      </c>
      <c r="AA156" s="1">
        <f>IFERROR(__xludf.DUMMYFUNCTION("""COMPUTED_VALUE"""),62.45)</f>
        <v>62.45</v>
      </c>
      <c r="AB156" s="1">
        <f>IFERROR(__xludf.DUMMYFUNCTION("""COMPUTED_VALUE"""),89.07)</f>
        <v>89.07</v>
      </c>
      <c r="AC156" s="1">
        <f>IFERROR(__xludf.DUMMYFUNCTION("""COMPUTED_VALUE"""),176.81)</f>
        <v>176.81</v>
      </c>
      <c r="AD156" s="3">
        <f>IFERROR(__xludf.DUMMYFUNCTION("""COMPUTED_VALUE"""),69.06)</f>
        <v>69.06</v>
      </c>
      <c r="AE156" s="1">
        <f>IFERROR(__xludf.DUMMYFUNCTION("""COMPUTED_VALUE"""),427.64)</f>
        <v>427.64</v>
      </c>
      <c r="AF156" s="1">
        <f>IFERROR(__xludf.DUMMYFUNCTION("""COMPUTED_VALUE"""),63.95)</f>
        <v>63.95</v>
      </c>
      <c r="AG156" s="1">
        <f>IFERROR(__xludf.DUMMYFUNCTION("""COMPUTED_VALUE"""),105.51)</f>
        <v>105.51</v>
      </c>
      <c r="AH156" s="1">
        <f>IFERROR(__xludf.DUMMYFUNCTION("""COMPUTED_VALUE"""),275.88)</f>
        <v>275.88</v>
      </c>
      <c r="AI156" s="1">
        <f>IFERROR(__xludf.DUMMYFUNCTION("""COMPUTED_VALUE"""),425.3)</f>
        <v>425.3</v>
      </c>
      <c r="AJ156" s="1">
        <f>IFERROR(__xludf.DUMMYFUNCTION("""COMPUTED_VALUE"""),260.28)</f>
        <v>260.28</v>
      </c>
      <c r="AK156" s="3">
        <f>IFERROR(__xludf.DUMMYFUNCTION("""COMPUTED_VALUE"""),50.34)</f>
        <v>50.34</v>
      </c>
      <c r="AL156" s="1">
        <f>IFERROR(__xludf.DUMMYFUNCTION("""COMPUTED_VALUE"""),91.09)</f>
        <v>91.09</v>
      </c>
      <c r="AM156" s="1">
        <f>IFERROR(__xludf.DUMMYFUNCTION("""COMPUTED_VALUE"""),553.99)</f>
        <v>553.99</v>
      </c>
      <c r="AN156" s="1">
        <f>IFERROR(__xludf.DUMMYFUNCTION("""COMPUTED_VALUE"""),385.02)</f>
        <v>385.02</v>
      </c>
      <c r="AO156" s="1">
        <f>IFERROR(__xludf.DUMMYFUNCTION("""COMPUTED_VALUE"""),120.17)</f>
        <v>120.17</v>
      </c>
      <c r="AP156" s="1">
        <f>IFERROR(__xludf.DUMMYFUNCTION("""COMPUTED_VALUE"""),148.29)</f>
        <v>148.29</v>
      </c>
      <c r="AQ156" s="3">
        <f>IFERROR(__xludf.DUMMYFUNCTION("""COMPUTED_VALUE"""),523.91)</f>
        <v>523.91</v>
      </c>
      <c r="AR156" s="3">
        <f>IFERROR(__xludf.DUMMYFUNCTION("""COMPUTED_VALUE"""),232.96)</f>
        <v>232.96</v>
      </c>
      <c r="AS156" s="3">
        <f>IFERROR(__xludf.DUMMYFUNCTION("""COMPUTED_VALUE"""),479.66)</f>
        <v>479.66</v>
      </c>
      <c r="AT156" s="3">
        <f>IFERROR(__xludf.DUMMYFUNCTION("""COMPUTED_VALUE"""),373.54)</f>
        <v>373.54</v>
      </c>
      <c r="AU156" s="1">
        <f>IFERROR(__xludf.DUMMYFUNCTION("""COMPUTED_VALUE"""),30.08)</f>
        <v>30.08</v>
      </c>
      <c r="AV156" s="1">
        <f>IFERROR(__xludf.DUMMYFUNCTION("""COMPUTED_VALUE"""),79.99)</f>
        <v>79.99</v>
      </c>
      <c r="AW156" s="1">
        <f>IFERROR(__xludf.DUMMYFUNCTION("""COMPUTED_VALUE"""),80.11)</f>
        <v>80.11</v>
      </c>
      <c r="AX156" s="1">
        <f>IFERROR(__xludf.DUMMYFUNCTION("""COMPUTED_VALUE"""),16.18)</f>
        <v>16.18</v>
      </c>
      <c r="AY156" s="1">
        <f>IFERROR(__xludf.DUMMYFUNCTION("""COMPUTED_VALUE"""),437.03)</f>
        <v>437.03</v>
      </c>
      <c r="AZ156" s="3">
        <f>IFERROR(__xludf.DUMMYFUNCTION("""COMPUTED_VALUE"""),69.77)</f>
        <v>69.77</v>
      </c>
      <c r="BA156" s="3">
        <f>IFERROR(__xludf.DUMMYFUNCTION("""COMPUTED_VALUE"""),89.25)</f>
        <v>89.25</v>
      </c>
      <c r="BB156" s="3">
        <f>IFERROR(__xludf.DUMMYFUNCTION("""COMPUTED_VALUE"""),130.68)</f>
        <v>130.68</v>
      </c>
      <c r="BC156" s="1">
        <f>IFERROR(__xludf.DUMMYFUNCTION("""COMPUTED_VALUE"""),92.87)</f>
        <v>92.87</v>
      </c>
      <c r="BD156" s="3">
        <f>IFERROR(__xludf.DUMMYFUNCTION("""COMPUTED_VALUE"""),55.14)</f>
        <v>55.14</v>
      </c>
      <c r="BE156" s="3">
        <f>IFERROR(__xludf.DUMMYFUNCTION("""COMPUTED_VALUE"""),74.21)</f>
        <v>74.21</v>
      </c>
      <c r="BF156" s="1">
        <f>IFERROR(__xludf.DUMMYFUNCTION("""COMPUTED_VALUE"""),86.78)</f>
        <v>86.78</v>
      </c>
      <c r="BG156" s="1">
        <f>IFERROR(__xludf.DUMMYFUNCTION("""COMPUTED_VALUE"""),25.77)</f>
        <v>25.77</v>
      </c>
      <c r="BH156" s="1">
        <f>IFERROR(__xludf.DUMMYFUNCTION("""COMPUTED_VALUE"""),115.46)</f>
        <v>115.46</v>
      </c>
      <c r="BI156" s="1">
        <f>IFERROR(__xludf.DUMMYFUNCTION("""COMPUTED_VALUE"""),43.29)</f>
        <v>43.29</v>
      </c>
      <c r="BJ156" s="1">
        <f>IFERROR(__xludf.DUMMYFUNCTION("""COMPUTED_VALUE"""),218.0)</f>
        <v>218</v>
      </c>
      <c r="BK156" s="1">
        <f>IFERROR(__xludf.DUMMYFUNCTION("""COMPUTED_VALUE"""),516.69)</f>
        <v>516.69</v>
      </c>
      <c r="BL156" s="1">
        <f>IFERROR(__xludf.DUMMYFUNCTION("""COMPUTED_VALUE"""),174.21)</f>
        <v>174.21</v>
      </c>
      <c r="BM156" s="1">
        <f>IFERROR(__xludf.DUMMYFUNCTION("""COMPUTED_VALUE"""),60.53)</f>
        <v>60.53</v>
      </c>
      <c r="BN156" s="3">
        <f>IFERROR(__xludf.DUMMYFUNCTION("""COMPUTED_VALUE"""),8.42)</f>
        <v>8.42</v>
      </c>
      <c r="BO156" s="1">
        <f>IFERROR(__xludf.DUMMYFUNCTION("""COMPUTED_VALUE"""),223.15)</f>
        <v>223.15</v>
      </c>
      <c r="BP156" s="1">
        <f>IFERROR(__xludf.DUMMYFUNCTION("""COMPUTED_VALUE"""),489.25)</f>
        <v>489.25</v>
      </c>
      <c r="BQ156" s="36">
        <f>IFERROR(__xludf.DUMMYFUNCTION("""COMPUTED_VALUE"""),48.79)</f>
        <v>48.79</v>
      </c>
      <c r="BR156" s="1">
        <f>IFERROR(__xludf.DUMMYFUNCTION("""COMPUTED_VALUE"""),12.13)</f>
        <v>12.13</v>
      </c>
      <c r="BS156" s="3">
        <f>IFERROR(__xludf.DUMMYFUNCTION("""COMPUTED_VALUE"""),205.53)</f>
        <v>205.53</v>
      </c>
      <c r="BT156" s="1">
        <f>IFERROR(__xludf.DUMMYFUNCTION("""COMPUTED_VALUE"""),111.37)</f>
        <v>111.37</v>
      </c>
      <c r="BU156" s="3">
        <v>1.0</v>
      </c>
    </row>
    <row r="157">
      <c r="A157" s="25">
        <f>IFERROR(__xludf.DUMMYFUNCTION("""COMPUTED_VALUE"""),45646.66666666667)</f>
        <v>45646.66667</v>
      </c>
      <c r="B157" s="29">
        <f>'Master Scratch Work'!B156</f>
        <v>1333432.72</v>
      </c>
      <c r="C157" s="15">
        <f>IFERROR(__xludf.DUMMYFUNCTION("""COMPUTED_VALUE"""),5930.85)</f>
        <v>5930.85</v>
      </c>
      <c r="D157" s="15">
        <f>IFERROR(__xludf.DUMMYFUNCTION("""COMPUTED_VALUE"""),19572.6)</f>
        <v>19572.6</v>
      </c>
      <c r="E157" s="15">
        <f>IFERROR(__xludf.DUMMYFUNCTION("""COMPUTED_VALUE"""),42840.26)</f>
        <v>42840.26</v>
      </c>
      <c r="F157" s="15">
        <f>IFERROR(__xludf.DUMMYFUNCTION("""COMPUTED_VALUE"""),2242.37)</f>
        <v>2242.37</v>
      </c>
      <c r="G157" s="3">
        <f>IFERROR(__xludf.DUMMYFUNCTION("""COMPUTED_VALUE"""),591.15)</f>
        <v>591.15</v>
      </c>
      <c r="H157" s="3">
        <f>IFERROR(__xludf.DUMMYFUNCTION("""COMPUTED_VALUE"""),518.66)</f>
        <v>518.66</v>
      </c>
      <c r="I157" s="3">
        <f>IFERROR(__xludf.DUMMYFUNCTION("""COMPUTED_VALUE"""),447.17)</f>
        <v>447.17</v>
      </c>
      <c r="J157" s="3">
        <f>IFERROR(__xludf.DUMMYFUNCTION("""COMPUTED_VALUE"""),224.92)</f>
        <v>224.92</v>
      </c>
      <c r="K157" s="3">
        <f>IFERROR(__xludf.DUMMYFUNCTION("""COMPUTED_VALUE"""),125.92)</f>
        <v>125.92</v>
      </c>
      <c r="L157" s="3">
        <f>IFERROR(__xludf.DUMMYFUNCTION("""COMPUTED_VALUE"""),254.49)</f>
        <v>254.49</v>
      </c>
      <c r="M157" s="3">
        <f>IFERROR(__xludf.DUMMYFUNCTION("""COMPUTED_VALUE"""),163.59)</f>
        <v>163.59</v>
      </c>
      <c r="N157" s="3">
        <f>IFERROR(__xludf.DUMMYFUNCTION("""COMPUTED_VALUE"""),77.62)</f>
        <v>77.62</v>
      </c>
      <c r="O157" s="3">
        <f>IFERROR(__xludf.DUMMYFUNCTION("""COMPUTED_VALUE"""),13.08)</f>
        <v>13.08</v>
      </c>
      <c r="P157" s="3">
        <f>IFERROR(__xludf.DUMMYFUNCTION("""COMPUTED_VALUE"""),453.2)</f>
        <v>453.2</v>
      </c>
      <c r="Q157" s="3">
        <f>IFERROR(__xludf.DUMMYFUNCTION("""COMPUTED_VALUE"""),49.2)</f>
        <v>49.2</v>
      </c>
      <c r="R157" s="3">
        <f>IFERROR(__xludf.DUMMYFUNCTION("""COMPUTED_VALUE"""),146.47)</f>
        <v>146.47</v>
      </c>
      <c r="S157" s="3">
        <f>IFERROR(__xludf.DUMMYFUNCTION("""COMPUTED_VALUE"""),88.95)</f>
        <v>88.95</v>
      </c>
      <c r="T157" s="3">
        <f>IFERROR(__xludf.DUMMYFUNCTION("""COMPUTED_VALUE"""),68.49)</f>
        <v>68.49</v>
      </c>
      <c r="U157" s="3">
        <f>IFERROR(__xludf.DUMMYFUNCTION("""COMPUTED_VALUE"""),366.04)</f>
        <v>366.04</v>
      </c>
      <c r="V157" s="3">
        <f>IFERROR(__xludf.DUMMYFUNCTION("""COMPUTED_VALUE"""),52.44)</f>
        <v>52.44</v>
      </c>
      <c r="W157" s="3">
        <f>IFERROR(__xludf.DUMMYFUNCTION("""COMPUTED_VALUE"""),188.05)</f>
        <v>188.05</v>
      </c>
      <c r="X157" s="3">
        <f>IFERROR(__xludf.DUMMYFUNCTION("""COMPUTED_VALUE"""),142.85)</f>
        <v>142.85</v>
      </c>
      <c r="Y157" s="1">
        <f>IFERROR(__xludf.DUMMYFUNCTION("""COMPUTED_VALUE"""),276.92)</f>
        <v>276.92</v>
      </c>
      <c r="Z157" s="1">
        <f>IFERROR(__xludf.DUMMYFUNCTION("""COMPUTED_VALUE"""),43.45)</f>
        <v>43.45</v>
      </c>
      <c r="AA157" s="1">
        <f>IFERROR(__xludf.DUMMYFUNCTION("""COMPUTED_VALUE"""),62.55)</f>
        <v>62.55</v>
      </c>
      <c r="AB157" s="1">
        <f>IFERROR(__xludf.DUMMYFUNCTION("""COMPUTED_VALUE"""),90.03)</f>
        <v>90.03</v>
      </c>
      <c r="AC157" s="1">
        <f>IFERROR(__xludf.DUMMYFUNCTION("""COMPUTED_VALUE"""),178.57)</f>
        <v>178.57</v>
      </c>
      <c r="AD157" s="3">
        <f>IFERROR(__xludf.DUMMYFUNCTION("""COMPUTED_VALUE"""),72.94)</f>
        <v>72.94</v>
      </c>
      <c r="AE157" s="1">
        <f>IFERROR(__xludf.DUMMYFUNCTION("""COMPUTED_VALUE"""),426.18)</f>
        <v>426.18</v>
      </c>
      <c r="AF157" s="1">
        <f>IFERROR(__xludf.DUMMYFUNCTION("""COMPUTED_VALUE"""),65.01)</f>
        <v>65.01</v>
      </c>
      <c r="AG157" s="1">
        <f>IFERROR(__xludf.DUMMYFUNCTION("""COMPUTED_VALUE"""),105.87)</f>
        <v>105.87</v>
      </c>
      <c r="AH157" s="1">
        <f>IFERROR(__xludf.DUMMYFUNCTION("""COMPUTED_VALUE"""),275.73)</f>
        <v>275.73</v>
      </c>
      <c r="AI157" s="1">
        <f>IFERROR(__xludf.DUMMYFUNCTION("""COMPUTED_VALUE"""),426.93)</f>
        <v>426.93</v>
      </c>
      <c r="AJ157" s="1">
        <f>IFERROR(__xludf.DUMMYFUNCTION("""COMPUTED_VALUE"""),263.64)</f>
        <v>263.64</v>
      </c>
      <c r="AK157" s="3">
        <f>IFERROR(__xludf.DUMMYFUNCTION("""COMPUTED_VALUE"""),51.81)</f>
        <v>51.81</v>
      </c>
      <c r="AL157" s="1">
        <f>IFERROR(__xludf.DUMMYFUNCTION("""COMPUTED_VALUE"""),92.57)</f>
        <v>92.57</v>
      </c>
      <c r="AM157" s="1">
        <f>IFERROR(__xludf.DUMMYFUNCTION("""COMPUTED_VALUE"""),566.1)</f>
        <v>566.1</v>
      </c>
      <c r="AN157" s="1">
        <f>IFERROR(__xludf.DUMMYFUNCTION("""COMPUTED_VALUE"""),392.6)</f>
        <v>392.6</v>
      </c>
      <c r="AO157" s="1">
        <f>IFERROR(__xludf.DUMMYFUNCTION("""COMPUTED_VALUE"""),121.95)</f>
        <v>121.95</v>
      </c>
      <c r="AP157" s="1">
        <f>IFERROR(__xludf.DUMMYFUNCTION("""COMPUTED_VALUE"""),150.31)</f>
        <v>150.31</v>
      </c>
      <c r="AQ157" s="3">
        <f>IFERROR(__xludf.DUMMYFUNCTION("""COMPUTED_VALUE"""),524.43)</f>
        <v>524.43</v>
      </c>
      <c r="AR157" s="3">
        <f>IFERROR(__xludf.DUMMYFUNCTION("""COMPUTED_VALUE"""),237.6)</f>
        <v>237.6</v>
      </c>
      <c r="AS157" s="3">
        <f>IFERROR(__xludf.DUMMYFUNCTION("""COMPUTED_VALUE"""),489.02)</f>
        <v>489.02</v>
      </c>
      <c r="AT157" s="3">
        <f>IFERROR(__xludf.DUMMYFUNCTION("""COMPUTED_VALUE"""),379.42)</f>
        <v>379.42</v>
      </c>
      <c r="AU157" s="1">
        <f>IFERROR(__xludf.DUMMYFUNCTION("""COMPUTED_VALUE"""),30.33)</f>
        <v>30.33</v>
      </c>
      <c r="AV157" s="1">
        <f>IFERROR(__xludf.DUMMYFUNCTION("""COMPUTED_VALUE"""),81.03)</f>
        <v>81.03</v>
      </c>
      <c r="AW157" s="1">
        <f>IFERROR(__xludf.DUMMYFUNCTION("""COMPUTED_VALUE"""),81.36)</f>
        <v>81.36</v>
      </c>
      <c r="AX157" s="1">
        <f>IFERROR(__xludf.DUMMYFUNCTION("""COMPUTED_VALUE"""),15.84)</f>
        <v>15.84</v>
      </c>
      <c r="AY157" s="1">
        <f>IFERROR(__xludf.DUMMYFUNCTION("""COMPUTED_VALUE"""),436.6)</f>
        <v>436.6</v>
      </c>
      <c r="AZ157" s="3">
        <f>IFERROR(__xludf.DUMMYFUNCTION("""COMPUTED_VALUE"""),71.67)</f>
        <v>71.67</v>
      </c>
      <c r="BA157" s="3">
        <f>IFERROR(__xludf.DUMMYFUNCTION("""COMPUTED_VALUE"""),90.45)</f>
        <v>90.45</v>
      </c>
      <c r="BB157" s="3">
        <f>IFERROR(__xludf.DUMMYFUNCTION("""COMPUTED_VALUE"""),134.7)</f>
        <v>134.7</v>
      </c>
      <c r="BC157" s="1">
        <f>IFERROR(__xludf.DUMMYFUNCTION("""COMPUTED_VALUE"""),93.56)</f>
        <v>93.56</v>
      </c>
      <c r="BD157" s="3">
        <f>IFERROR(__xludf.DUMMYFUNCTION("""COMPUTED_VALUE"""),57.14)</f>
        <v>57.14</v>
      </c>
      <c r="BE157" s="3">
        <f>IFERROR(__xludf.DUMMYFUNCTION("""COMPUTED_VALUE"""),80.55)</f>
        <v>80.55</v>
      </c>
      <c r="BF157" s="1">
        <f>IFERROR(__xludf.DUMMYFUNCTION("""COMPUTED_VALUE"""),87.13)</f>
        <v>87.13</v>
      </c>
      <c r="BG157" s="1">
        <f>IFERROR(__xludf.DUMMYFUNCTION("""COMPUTED_VALUE"""),26.36)</f>
        <v>26.36</v>
      </c>
      <c r="BH157" s="1">
        <f>IFERROR(__xludf.DUMMYFUNCTION("""COMPUTED_VALUE"""),116.48)</f>
        <v>116.48</v>
      </c>
      <c r="BI157" s="1">
        <f>IFERROR(__xludf.DUMMYFUNCTION("""COMPUTED_VALUE"""),44.06)</f>
        <v>44.06</v>
      </c>
      <c r="BJ157" s="1">
        <f>IFERROR(__xludf.DUMMYFUNCTION("""COMPUTED_VALUE"""),220.31)</f>
        <v>220.31</v>
      </c>
      <c r="BK157" s="1">
        <f>IFERROR(__xludf.DUMMYFUNCTION("""COMPUTED_VALUE"""),524.05)</f>
        <v>524.05</v>
      </c>
      <c r="BL157" s="1">
        <f>IFERROR(__xludf.DUMMYFUNCTION("""COMPUTED_VALUE"""),178.17)</f>
        <v>178.17</v>
      </c>
      <c r="BM157" s="1">
        <f>IFERROR(__xludf.DUMMYFUNCTION("""COMPUTED_VALUE"""),61.7)</f>
        <v>61.7</v>
      </c>
      <c r="BN157" s="3">
        <f>IFERROR(__xludf.DUMMYFUNCTION("""COMPUTED_VALUE"""),8.62)</f>
        <v>8.62</v>
      </c>
      <c r="BO157" s="1">
        <f>IFERROR(__xludf.DUMMYFUNCTION("""COMPUTED_VALUE"""),226.32)</f>
        <v>226.32</v>
      </c>
      <c r="BP157" s="1">
        <f>IFERROR(__xludf.DUMMYFUNCTION("""COMPUTED_VALUE"""),500.13)</f>
        <v>500.13</v>
      </c>
      <c r="BQ157" s="36">
        <f>IFERROR(__xludf.DUMMYFUNCTION("""COMPUTED_VALUE"""),48.84)</f>
        <v>48.84</v>
      </c>
      <c r="BR157" s="1">
        <f>IFERROR(__xludf.DUMMYFUNCTION("""COMPUTED_VALUE"""),12.52)</f>
        <v>12.52</v>
      </c>
      <c r="BS157" s="3">
        <f>IFERROR(__xludf.DUMMYFUNCTION("""COMPUTED_VALUE"""),205.83)</f>
        <v>205.83</v>
      </c>
      <c r="BT157" s="1">
        <f>IFERROR(__xludf.DUMMYFUNCTION("""COMPUTED_VALUE"""),112.03)</f>
        <v>112.03</v>
      </c>
      <c r="BU157" s="3">
        <v>1.0</v>
      </c>
    </row>
    <row r="158">
      <c r="A158" s="25">
        <f>IFERROR(__xludf.DUMMYFUNCTION("""COMPUTED_VALUE"""),45649.66666666667)</f>
        <v>45649.66667</v>
      </c>
      <c r="B158" s="29">
        <f>'Master Scratch Work'!B157</f>
        <v>1337669.76</v>
      </c>
      <c r="C158" s="15">
        <f>IFERROR(__xludf.DUMMYFUNCTION("""COMPUTED_VALUE"""),5974.07)</f>
        <v>5974.07</v>
      </c>
      <c r="D158" s="15">
        <f>IFERROR(__xludf.DUMMYFUNCTION("""COMPUTED_VALUE"""),19764.88)</f>
        <v>19764.88</v>
      </c>
      <c r="E158" s="15">
        <f>IFERROR(__xludf.DUMMYFUNCTION("""COMPUTED_VALUE"""),42906.95)</f>
        <v>42906.95</v>
      </c>
      <c r="F158" s="15">
        <f>IFERROR(__xludf.DUMMYFUNCTION("""COMPUTED_VALUE"""),2237.44)</f>
        <v>2237.44</v>
      </c>
      <c r="G158" s="3">
        <f>IFERROR(__xludf.DUMMYFUNCTION("""COMPUTED_VALUE"""),594.69)</f>
        <v>594.69</v>
      </c>
      <c r="H158" s="3">
        <f>IFERROR(__xludf.DUMMYFUNCTION("""COMPUTED_VALUE"""),522.87)</f>
        <v>522.87</v>
      </c>
      <c r="I158" s="3">
        <f>IFERROR(__xludf.DUMMYFUNCTION("""COMPUTED_VALUE"""),446.74)</f>
        <v>446.74</v>
      </c>
      <c r="J158" s="3">
        <f>IFERROR(__xludf.DUMMYFUNCTION("""COMPUTED_VALUE"""),225.06)</f>
        <v>225.06</v>
      </c>
      <c r="K158" s="3">
        <f>IFERROR(__xludf.DUMMYFUNCTION("""COMPUTED_VALUE"""),125.98)</f>
        <v>125.98</v>
      </c>
      <c r="L158" s="3">
        <f>IFERROR(__xludf.DUMMYFUNCTION("""COMPUTED_VALUE"""),255.27)</f>
        <v>255.27</v>
      </c>
      <c r="M158" s="3">
        <f>IFERROR(__xludf.DUMMYFUNCTION("""COMPUTED_VALUE"""),167.46)</f>
        <v>167.46</v>
      </c>
      <c r="N158" s="3">
        <f>IFERROR(__xludf.DUMMYFUNCTION("""COMPUTED_VALUE"""),77.57)</f>
        <v>77.57</v>
      </c>
      <c r="O158" s="3">
        <f>IFERROR(__xludf.DUMMYFUNCTION("""COMPUTED_VALUE"""),13.19)</f>
        <v>13.19</v>
      </c>
      <c r="P158" s="3">
        <f>IFERROR(__xludf.DUMMYFUNCTION("""COMPUTED_VALUE"""),454.35)</f>
        <v>454.35</v>
      </c>
      <c r="Q158" s="3">
        <f>IFERROR(__xludf.DUMMYFUNCTION("""COMPUTED_VALUE"""),49.41)</f>
        <v>49.41</v>
      </c>
      <c r="R158" s="3">
        <f>IFERROR(__xludf.DUMMYFUNCTION("""COMPUTED_VALUE"""),149.38)</f>
        <v>149.38</v>
      </c>
      <c r="S158" s="3">
        <f>IFERROR(__xludf.DUMMYFUNCTION("""COMPUTED_VALUE"""),89.86)</f>
        <v>89.86</v>
      </c>
      <c r="T158" s="3">
        <f>IFERROR(__xludf.DUMMYFUNCTION("""COMPUTED_VALUE"""),68.79)</f>
        <v>68.79</v>
      </c>
      <c r="U158" s="3">
        <f>IFERROR(__xludf.DUMMYFUNCTION("""COMPUTED_VALUE"""),365.39)</f>
        <v>365.39</v>
      </c>
      <c r="V158" s="3">
        <f>IFERROR(__xludf.DUMMYFUNCTION("""COMPUTED_VALUE"""),53.14)</f>
        <v>53.14</v>
      </c>
      <c r="W158" s="3">
        <f>IFERROR(__xludf.DUMMYFUNCTION("""COMPUTED_VALUE"""),188.63)</f>
        <v>188.63</v>
      </c>
      <c r="X158" s="3">
        <f>IFERROR(__xludf.DUMMYFUNCTION("""COMPUTED_VALUE"""),142.97)</f>
        <v>142.97</v>
      </c>
      <c r="Y158" s="1">
        <f>IFERROR(__xludf.DUMMYFUNCTION("""COMPUTED_VALUE"""),281.63)</f>
        <v>281.63</v>
      </c>
      <c r="Z158" s="1">
        <f>IFERROR(__xludf.DUMMYFUNCTION("""COMPUTED_VALUE"""),43.57)</f>
        <v>43.57</v>
      </c>
      <c r="AA158" s="1">
        <f>IFERROR(__xludf.DUMMYFUNCTION("""COMPUTED_VALUE"""),62.38)</f>
        <v>62.38</v>
      </c>
      <c r="AB158" s="1">
        <f>IFERROR(__xludf.DUMMYFUNCTION("""COMPUTED_VALUE"""),89.67)</f>
        <v>89.67</v>
      </c>
      <c r="AC158" s="1">
        <f>IFERROR(__xludf.DUMMYFUNCTION("""COMPUTED_VALUE"""),178.47)</f>
        <v>178.47</v>
      </c>
      <c r="AD158" s="3">
        <f>IFERROR(__xludf.DUMMYFUNCTION("""COMPUTED_VALUE"""),73.73)</f>
        <v>73.73</v>
      </c>
      <c r="AE158" s="1">
        <f>IFERROR(__xludf.DUMMYFUNCTION("""COMPUTED_VALUE"""),426.54)</f>
        <v>426.54</v>
      </c>
      <c r="AF158" s="1">
        <f>IFERROR(__xludf.DUMMYFUNCTION("""COMPUTED_VALUE"""),63.63)</f>
        <v>63.63</v>
      </c>
      <c r="AG158" s="1">
        <f>IFERROR(__xludf.DUMMYFUNCTION("""COMPUTED_VALUE"""),106.3)</f>
        <v>106.3</v>
      </c>
      <c r="AH158" s="1">
        <f>IFERROR(__xludf.DUMMYFUNCTION("""COMPUTED_VALUE"""),269.01)</f>
        <v>269.01</v>
      </c>
      <c r="AI158" s="1">
        <f>IFERROR(__xludf.DUMMYFUNCTION("""COMPUTED_VALUE"""),430.15)</f>
        <v>430.15</v>
      </c>
      <c r="AJ158" s="1">
        <f>IFERROR(__xludf.DUMMYFUNCTION("""COMPUTED_VALUE"""),265.19)</f>
        <v>265.19</v>
      </c>
      <c r="AK158" s="3">
        <f>IFERROR(__xludf.DUMMYFUNCTION("""COMPUTED_VALUE"""),52.56)</f>
        <v>52.56</v>
      </c>
      <c r="AL158" s="1">
        <f>IFERROR(__xludf.DUMMYFUNCTION("""COMPUTED_VALUE"""),93.4)</f>
        <v>93.4</v>
      </c>
      <c r="AM158" s="1">
        <f>IFERROR(__xludf.DUMMYFUNCTION("""COMPUTED_VALUE"""),570.78)</f>
        <v>570.78</v>
      </c>
      <c r="AN158" s="1">
        <f>IFERROR(__xludf.DUMMYFUNCTION("""COMPUTED_VALUE"""),392.45)</f>
        <v>392.45</v>
      </c>
      <c r="AO158" s="1">
        <f>IFERROR(__xludf.DUMMYFUNCTION("""COMPUTED_VALUE"""),120.55)</f>
        <v>120.55</v>
      </c>
      <c r="AP158" s="1">
        <f>IFERROR(__xludf.DUMMYFUNCTION("""COMPUTED_VALUE"""),150.16)</f>
        <v>150.16</v>
      </c>
      <c r="AQ158" s="3">
        <f>IFERROR(__xludf.DUMMYFUNCTION("""COMPUTED_VALUE"""),527.22)</f>
        <v>527.22</v>
      </c>
      <c r="AR158" s="3">
        <f>IFERROR(__xludf.DUMMYFUNCTION("""COMPUTED_VALUE"""),238.39)</f>
        <v>238.39</v>
      </c>
      <c r="AS158" s="3">
        <f>IFERROR(__xludf.DUMMYFUNCTION("""COMPUTED_VALUE"""),486.49)</f>
        <v>486.49</v>
      </c>
      <c r="AT158" s="3">
        <f>IFERROR(__xludf.DUMMYFUNCTION("""COMPUTED_VALUE"""),383.49)</f>
        <v>383.49</v>
      </c>
      <c r="AU158" s="1">
        <f>IFERROR(__xludf.DUMMYFUNCTION("""COMPUTED_VALUE"""),30.63)</f>
        <v>30.63</v>
      </c>
      <c r="AV158" s="1">
        <f>IFERROR(__xludf.DUMMYFUNCTION("""COMPUTED_VALUE"""),81.4)</f>
        <v>81.4</v>
      </c>
      <c r="AW158" s="1">
        <f>IFERROR(__xludf.DUMMYFUNCTION("""COMPUTED_VALUE"""),81.71)</f>
        <v>81.71</v>
      </c>
      <c r="AX158" s="1">
        <f>IFERROR(__xludf.DUMMYFUNCTION("""COMPUTED_VALUE"""),16.29)</f>
        <v>16.29</v>
      </c>
      <c r="AY158" s="1">
        <f>IFERROR(__xludf.DUMMYFUNCTION("""COMPUTED_VALUE"""),435.25)</f>
        <v>435.25</v>
      </c>
      <c r="AZ158" s="3">
        <f>IFERROR(__xludf.DUMMYFUNCTION("""COMPUTED_VALUE"""),72.49)</f>
        <v>72.49</v>
      </c>
      <c r="BA158" s="3">
        <f>IFERROR(__xludf.DUMMYFUNCTION("""COMPUTED_VALUE"""),92.24)</f>
        <v>92.24</v>
      </c>
      <c r="BB158" s="3">
        <f>IFERROR(__xludf.DUMMYFUNCTION("""COMPUTED_VALUE"""),139.67)</f>
        <v>139.67</v>
      </c>
      <c r="BC158" s="1">
        <f>IFERROR(__xludf.DUMMYFUNCTION("""COMPUTED_VALUE"""),93.51)</f>
        <v>93.51</v>
      </c>
      <c r="BD158" s="3">
        <f>IFERROR(__xludf.DUMMYFUNCTION("""COMPUTED_VALUE"""),56.65)</f>
        <v>56.65</v>
      </c>
      <c r="BE158" s="3">
        <f>IFERROR(__xludf.DUMMYFUNCTION("""COMPUTED_VALUE"""),80.69)</f>
        <v>80.69</v>
      </c>
      <c r="BF158" s="1">
        <f>IFERROR(__xludf.DUMMYFUNCTION("""COMPUTED_VALUE"""),86.9)</f>
        <v>86.9</v>
      </c>
      <c r="BG158" s="1">
        <f>IFERROR(__xludf.DUMMYFUNCTION("""COMPUTED_VALUE"""),26.71)</f>
        <v>26.71</v>
      </c>
      <c r="BH158" s="1">
        <f>IFERROR(__xludf.DUMMYFUNCTION("""COMPUTED_VALUE"""),116.63)</f>
        <v>116.63</v>
      </c>
      <c r="BI158" s="1">
        <f>IFERROR(__xludf.DUMMYFUNCTION("""COMPUTED_VALUE"""),43.93)</f>
        <v>43.93</v>
      </c>
      <c r="BJ158" s="1">
        <f>IFERROR(__xludf.DUMMYFUNCTION("""COMPUTED_VALUE"""),221.66)</f>
        <v>221.66</v>
      </c>
      <c r="BK158" s="1">
        <f>IFERROR(__xludf.DUMMYFUNCTION("""COMPUTED_VALUE"""),525.29)</f>
        <v>525.29</v>
      </c>
      <c r="BL158" s="1">
        <f>IFERROR(__xludf.DUMMYFUNCTION("""COMPUTED_VALUE"""),180.45)</f>
        <v>180.45</v>
      </c>
      <c r="BM158" s="1">
        <f>IFERROR(__xludf.DUMMYFUNCTION("""COMPUTED_VALUE"""),62.65)</f>
        <v>62.65</v>
      </c>
      <c r="BN158" s="3">
        <f>IFERROR(__xludf.DUMMYFUNCTION("""COMPUTED_VALUE"""),8.43)</f>
        <v>8.43</v>
      </c>
      <c r="BO158" s="1">
        <f>IFERROR(__xludf.DUMMYFUNCTION("""COMPUTED_VALUE"""),227.13)</f>
        <v>227.13</v>
      </c>
      <c r="BP158" s="1">
        <f>IFERROR(__xludf.DUMMYFUNCTION("""COMPUTED_VALUE"""),506.34)</f>
        <v>506.34</v>
      </c>
      <c r="BQ158" s="36">
        <f>IFERROR(__xludf.DUMMYFUNCTION("""COMPUTED_VALUE"""),48.83)</f>
        <v>48.83</v>
      </c>
      <c r="BR158" s="1">
        <f>IFERROR(__xludf.DUMMYFUNCTION("""COMPUTED_VALUE"""),12.49)</f>
        <v>12.49</v>
      </c>
      <c r="BS158" s="3">
        <f>IFERROR(__xludf.DUMMYFUNCTION("""COMPUTED_VALUE"""),203.8)</f>
        <v>203.8</v>
      </c>
      <c r="BT158" s="1">
        <f>IFERROR(__xludf.DUMMYFUNCTION("""COMPUTED_VALUE"""),111.4)</f>
        <v>111.4</v>
      </c>
      <c r="BU158" s="3">
        <v>1.0</v>
      </c>
    </row>
    <row r="159">
      <c r="A159" s="25">
        <f>IFERROR(__xludf.DUMMYFUNCTION("""COMPUTED_VALUE"""),45650.54513888889)</f>
        <v>45650.54514</v>
      </c>
      <c r="B159" s="29">
        <f>'Master Scratch Work'!B158</f>
        <v>1346588.57</v>
      </c>
      <c r="C159" s="15">
        <f>IFERROR(__xludf.DUMMYFUNCTION("""COMPUTED_VALUE"""),6040.04)</f>
        <v>6040.04</v>
      </c>
      <c r="D159" s="15">
        <f>IFERROR(__xludf.DUMMYFUNCTION("""COMPUTED_VALUE"""),20031.13)</f>
        <v>20031.13</v>
      </c>
      <c r="E159" s="15">
        <f>IFERROR(__xludf.DUMMYFUNCTION("""COMPUTED_VALUE"""),43297.03)</f>
        <v>43297.03</v>
      </c>
      <c r="F159" s="15">
        <f>IFERROR(__xludf.DUMMYFUNCTION("""COMPUTED_VALUE"""),2259.85)</f>
        <v>2259.85</v>
      </c>
      <c r="G159" s="3">
        <f>IFERROR(__xludf.DUMMYFUNCTION("""COMPUTED_VALUE"""),601.3)</f>
        <v>601.3</v>
      </c>
      <c r="H159" s="3">
        <f>IFERROR(__xludf.DUMMYFUNCTION("""COMPUTED_VALUE"""),529.96)</f>
        <v>529.96</v>
      </c>
      <c r="I159" s="3">
        <f>IFERROR(__xludf.DUMMYFUNCTION("""COMPUTED_VALUE"""),447.94)</f>
        <v>447.94</v>
      </c>
      <c r="J159" s="3">
        <f>IFERROR(__xludf.DUMMYFUNCTION("""COMPUTED_VALUE"""),229.05)</f>
        <v>229.05</v>
      </c>
      <c r="K159" s="3">
        <f>IFERROR(__xludf.DUMMYFUNCTION("""COMPUTED_VALUE"""),125.73)</f>
        <v>125.73</v>
      </c>
      <c r="L159" s="3">
        <f>IFERROR(__xludf.DUMMYFUNCTION("""COMPUTED_VALUE"""),258.2)</f>
        <v>258.2</v>
      </c>
      <c r="M159" s="3">
        <f>IFERROR(__xludf.DUMMYFUNCTION("""COMPUTED_VALUE"""),168.37)</f>
        <v>168.37</v>
      </c>
      <c r="N159" s="3">
        <f>IFERROR(__xludf.DUMMYFUNCTION("""COMPUTED_VALUE"""),78.05)</f>
        <v>78.05</v>
      </c>
      <c r="O159" s="3">
        <f>IFERROR(__xludf.DUMMYFUNCTION("""COMPUTED_VALUE"""),13.45)</f>
        <v>13.45</v>
      </c>
      <c r="P159" s="3">
        <f>IFERROR(__xludf.DUMMYFUNCTION("""COMPUTED_VALUE"""),458.66)</f>
        <v>458.66</v>
      </c>
      <c r="Q159" s="3">
        <f>IFERROR(__xludf.DUMMYFUNCTION("""COMPUTED_VALUE"""),49.42)</f>
        <v>49.42</v>
      </c>
      <c r="R159" s="3">
        <f>IFERROR(__xludf.DUMMYFUNCTION("""COMPUTED_VALUE"""),149.02)</f>
        <v>149.02</v>
      </c>
      <c r="S159" s="3">
        <f>IFERROR(__xludf.DUMMYFUNCTION("""COMPUTED_VALUE"""),91.07)</f>
        <v>91.07</v>
      </c>
      <c r="T159" s="3">
        <f>IFERROR(__xludf.DUMMYFUNCTION("""COMPUTED_VALUE"""),69.45)</f>
        <v>69.45</v>
      </c>
      <c r="U159" s="3">
        <f>IFERROR(__xludf.DUMMYFUNCTION("""COMPUTED_VALUE"""),367.57)</f>
        <v>367.57</v>
      </c>
      <c r="V159" s="3">
        <f>IFERROR(__xludf.DUMMYFUNCTION("""COMPUTED_VALUE"""),52.62)</f>
        <v>52.62</v>
      </c>
      <c r="W159" s="3">
        <f>IFERROR(__xludf.DUMMYFUNCTION("""COMPUTED_VALUE"""),189.65)</f>
        <v>189.65</v>
      </c>
      <c r="X159" s="3">
        <f>IFERROR(__xludf.DUMMYFUNCTION("""COMPUTED_VALUE"""),143.84)</f>
        <v>143.84</v>
      </c>
      <c r="Y159" s="1">
        <f>IFERROR(__xludf.DUMMYFUNCTION("""COMPUTED_VALUE"""),280.06)</f>
        <v>280.06</v>
      </c>
      <c r="Z159" s="1">
        <f>IFERROR(__xludf.DUMMYFUNCTION("""COMPUTED_VALUE"""),44.0)</f>
        <v>44</v>
      </c>
      <c r="AA159" s="1">
        <f>IFERROR(__xludf.DUMMYFUNCTION("""COMPUTED_VALUE"""),62.84)</f>
        <v>62.84</v>
      </c>
      <c r="AB159" s="1">
        <f>IFERROR(__xludf.DUMMYFUNCTION("""COMPUTED_VALUE"""),89.58)</f>
        <v>89.58</v>
      </c>
      <c r="AC159" s="1">
        <f>IFERROR(__xludf.DUMMYFUNCTION("""COMPUTED_VALUE"""),180.4)</f>
        <v>180.4</v>
      </c>
      <c r="AD159" s="3">
        <f>IFERROR(__xludf.DUMMYFUNCTION("""COMPUTED_VALUE"""),73.38)</f>
        <v>73.38</v>
      </c>
      <c r="AE159" s="1">
        <f>IFERROR(__xludf.DUMMYFUNCTION("""COMPUTED_VALUE"""),431.0)</f>
        <v>431</v>
      </c>
      <c r="AF159" s="1">
        <f>IFERROR(__xludf.DUMMYFUNCTION("""COMPUTED_VALUE"""),63.78)</f>
        <v>63.78</v>
      </c>
      <c r="AG159" s="1">
        <f>IFERROR(__xludf.DUMMYFUNCTION("""COMPUTED_VALUE"""),106.4)</f>
        <v>106.4</v>
      </c>
      <c r="AH159" s="1">
        <f>IFERROR(__xludf.DUMMYFUNCTION("""COMPUTED_VALUE"""),271.84)</f>
        <v>271.84</v>
      </c>
      <c r="AI159" s="1">
        <f>IFERROR(__xludf.DUMMYFUNCTION("""COMPUTED_VALUE"""),433.98)</f>
        <v>433.98</v>
      </c>
      <c r="AJ159" s="1">
        <f>IFERROR(__xludf.DUMMYFUNCTION("""COMPUTED_VALUE"""),265.9)</f>
        <v>265.9</v>
      </c>
      <c r="AK159" s="3">
        <f>IFERROR(__xludf.DUMMYFUNCTION("""COMPUTED_VALUE"""),53.51)</f>
        <v>53.51</v>
      </c>
      <c r="AL159" s="1">
        <f>IFERROR(__xludf.DUMMYFUNCTION("""COMPUTED_VALUE"""),93.95)</f>
        <v>93.95</v>
      </c>
      <c r="AM159" s="1">
        <f>IFERROR(__xludf.DUMMYFUNCTION("""COMPUTED_VALUE"""),582.79)</f>
        <v>582.79</v>
      </c>
      <c r="AN159" s="1">
        <f>IFERROR(__xludf.DUMMYFUNCTION("""COMPUTED_VALUE"""),396.14)</f>
        <v>396.14</v>
      </c>
      <c r="AO159" s="1">
        <f>IFERROR(__xludf.DUMMYFUNCTION("""COMPUTED_VALUE"""),122.24)</f>
        <v>122.24</v>
      </c>
      <c r="AP159" s="1">
        <f>IFERROR(__xludf.DUMMYFUNCTION("""COMPUTED_VALUE"""),150.46)</f>
        <v>150.46</v>
      </c>
      <c r="AQ159" s="3">
        <f>IFERROR(__xludf.DUMMYFUNCTION("""COMPUTED_VALUE"""),537.02)</f>
        <v>537.02</v>
      </c>
      <c r="AR159" s="3">
        <f>IFERROR(__xludf.DUMMYFUNCTION("""COMPUTED_VALUE"""),242.31)</f>
        <v>242.31</v>
      </c>
      <c r="AS159" s="3">
        <f>IFERROR(__xludf.DUMMYFUNCTION("""COMPUTED_VALUE"""),488.13)</f>
        <v>488.13</v>
      </c>
      <c r="AT159" s="3">
        <f>IFERROR(__xludf.DUMMYFUNCTION("""COMPUTED_VALUE"""),385.69)</f>
        <v>385.69</v>
      </c>
      <c r="AU159" s="1">
        <f>IFERROR(__xludf.DUMMYFUNCTION("""COMPUTED_VALUE"""),30.67)</f>
        <v>30.67</v>
      </c>
      <c r="AV159" s="1">
        <f>IFERROR(__xludf.DUMMYFUNCTION("""COMPUTED_VALUE"""),81.54)</f>
        <v>81.54</v>
      </c>
      <c r="AW159" s="1">
        <f>IFERROR(__xludf.DUMMYFUNCTION("""COMPUTED_VALUE"""),82.25)</f>
        <v>82.25</v>
      </c>
      <c r="AX159" s="1">
        <f>IFERROR(__xludf.DUMMYFUNCTION("""COMPUTED_VALUE"""),16.54)</f>
        <v>16.54</v>
      </c>
      <c r="AY159" s="1">
        <f>IFERROR(__xludf.DUMMYFUNCTION("""COMPUTED_VALUE"""),439.33)</f>
        <v>439.33</v>
      </c>
      <c r="AZ159" s="3">
        <f>IFERROR(__xludf.DUMMYFUNCTION("""COMPUTED_VALUE"""),72.91)</f>
        <v>72.91</v>
      </c>
      <c r="BA159" s="3">
        <f>IFERROR(__xludf.DUMMYFUNCTION("""COMPUTED_VALUE"""),93.03)</f>
        <v>93.03</v>
      </c>
      <c r="BB159" s="3">
        <f>IFERROR(__xludf.DUMMYFUNCTION("""COMPUTED_VALUE"""),140.22)</f>
        <v>140.22</v>
      </c>
      <c r="BC159" s="1">
        <f>IFERROR(__xludf.DUMMYFUNCTION("""COMPUTED_VALUE"""),94.0)</f>
        <v>94</v>
      </c>
      <c r="BD159" s="3">
        <f>IFERROR(__xludf.DUMMYFUNCTION("""COMPUTED_VALUE"""),56.45)</f>
        <v>56.45</v>
      </c>
      <c r="BE159" s="3">
        <f>IFERROR(__xludf.DUMMYFUNCTION("""COMPUTED_VALUE"""),82.38)</f>
        <v>82.38</v>
      </c>
      <c r="BF159" s="1">
        <f>IFERROR(__xludf.DUMMYFUNCTION("""COMPUTED_VALUE"""),88.25)</f>
        <v>88.25</v>
      </c>
      <c r="BG159" s="1">
        <f>IFERROR(__xludf.DUMMYFUNCTION("""COMPUTED_VALUE"""),26.74)</f>
        <v>26.74</v>
      </c>
      <c r="BH159" s="1">
        <f>IFERROR(__xludf.DUMMYFUNCTION("""COMPUTED_VALUE"""),116.83)</f>
        <v>116.83</v>
      </c>
      <c r="BI159" s="1">
        <f>IFERROR(__xludf.DUMMYFUNCTION("""COMPUTED_VALUE"""),44.39)</f>
        <v>44.39</v>
      </c>
      <c r="BJ159" s="1">
        <f>IFERROR(__xludf.DUMMYFUNCTION("""COMPUTED_VALUE"""),223.01)</f>
        <v>223.01</v>
      </c>
      <c r="BK159" s="1">
        <f>IFERROR(__xludf.DUMMYFUNCTION("""COMPUTED_VALUE"""),528.98)</f>
        <v>528.98</v>
      </c>
      <c r="BL159" s="1">
        <f>IFERROR(__xludf.DUMMYFUNCTION("""COMPUTED_VALUE"""),181.43)</f>
        <v>181.43</v>
      </c>
      <c r="BM159" s="1">
        <f>IFERROR(__xludf.DUMMYFUNCTION("""COMPUTED_VALUE"""),63.9)</f>
        <v>63.9</v>
      </c>
      <c r="BN159" s="3">
        <f>IFERROR(__xludf.DUMMYFUNCTION("""COMPUTED_VALUE"""),8.42)</f>
        <v>8.42</v>
      </c>
      <c r="BO159" s="1">
        <f>IFERROR(__xludf.DUMMYFUNCTION("""COMPUTED_VALUE"""),229.75)</f>
        <v>229.75</v>
      </c>
      <c r="BP159" s="1">
        <f>IFERROR(__xludf.DUMMYFUNCTION("""COMPUTED_VALUE"""),506.1)</f>
        <v>506.1</v>
      </c>
      <c r="BQ159" s="36">
        <f>IFERROR(__xludf.DUMMYFUNCTION("""COMPUTED_VALUE"""),48.33)</f>
        <v>48.33</v>
      </c>
      <c r="BR159" s="1">
        <f>IFERROR(__xludf.DUMMYFUNCTION("""COMPUTED_VALUE"""),12.4)</f>
        <v>12.4</v>
      </c>
      <c r="BS159" s="3">
        <f>IFERROR(__xludf.DUMMYFUNCTION("""COMPUTED_VALUE"""),205.38)</f>
        <v>205.38</v>
      </c>
      <c r="BT159" s="1">
        <f>IFERROR(__xludf.DUMMYFUNCTION("""COMPUTED_VALUE"""),112.56)</f>
        <v>112.56</v>
      </c>
      <c r="BU159" s="3">
        <v>1.0</v>
      </c>
    </row>
    <row r="160">
      <c r="A160" s="25">
        <f>IFERROR(__xludf.DUMMYFUNCTION("""COMPUTED_VALUE"""),45652.66666666667)</f>
        <v>45652.66667</v>
      </c>
      <c r="B160" s="29">
        <f>'Master Scratch Work'!B159</f>
        <v>1348306.79</v>
      </c>
      <c r="C160" s="15">
        <f>IFERROR(__xludf.DUMMYFUNCTION("""COMPUTED_VALUE"""),6037.59)</f>
        <v>6037.59</v>
      </c>
      <c r="D160" s="15">
        <f>IFERROR(__xludf.DUMMYFUNCTION("""COMPUTED_VALUE"""),20020.36)</f>
        <v>20020.36</v>
      </c>
      <c r="E160" s="15">
        <f>IFERROR(__xludf.DUMMYFUNCTION("""COMPUTED_VALUE"""),43325.8)</f>
        <v>43325.8</v>
      </c>
      <c r="F160" s="15">
        <f>IFERROR(__xludf.DUMMYFUNCTION("""COMPUTED_VALUE"""),2280.19)</f>
        <v>2280.19</v>
      </c>
      <c r="G160" s="3">
        <f>IFERROR(__xludf.DUMMYFUNCTION("""COMPUTED_VALUE"""),601.34)</f>
        <v>601.34</v>
      </c>
      <c r="H160" s="3">
        <f>IFERROR(__xludf.DUMMYFUNCTION("""COMPUTED_VALUE"""),529.6)</f>
        <v>529.6</v>
      </c>
      <c r="I160" s="3">
        <f>IFERROR(__xludf.DUMMYFUNCTION("""COMPUTED_VALUE"""),450.16)</f>
        <v>450.16</v>
      </c>
      <c r="J160" s="3">
        <f>IFERROR(__xludf.DUMMYFUNCTION("""COMPUTED_VALUE"""),227.05)</f>
        <v>227.05</v>
      </c>
      <c r="K160" s="3">
        <f>IFERROR(__xludf.DUMMYFUNCTION("""COMPUTED_VALUE"""),126.16)</f>
        <v>126.16</v>
      </c>
      <c r="L160" s="3">
        <f>IFERROR(__xludf.DUMMYFUNCTION("""COMPUTED_VALUE"""),259.02)</f>
        <v>259.02</v>
      </c>
      <c r="M160" s="3">
        <f>IFERROR(__xludf.DUMMYFUNCTION("""COMPUTED_VALUE"""),167.55)</f>
        <v>167.55</v>
      </c>
      <c r="N160" s="3">
        <f>IFERROR(__xludf.DUMMYFUNCTION("""COMPUTED_VALUE"""),78.35)</f>
        <v>78.35</v>
      </c>
      <c r="O160" s="3">
        <f>IFERROR(__xludf.DUMMYFUNCTION("""COMPUTED_VALUE"""),13.43)</f>
        <v>13.43</v>
      </c>
      <c r="P160" s="3">
        <f>IFERROR(__xludf.DUMMYFUNCTION("""COMPUTED_VALUE"""),459.08)</f>
        <v>459.08</v>
      </c>
      <c r="Q160" s="3">
        <f>IFERROR(__xludf.DUMMYFUNCTION("""COMPUTED_VALUE"""),49.35)</f>
        <v>49.35</v>
      </c>
      <c r="R160" s="3">
        <f>IFERROR(__xludf.DUMMYFUNCTION("""COMPUTED_VALUE"""),149.9)</f>
        <v>149.9</v>
      </c>
      <c r="S160" s="3">
        <f>IFERROR(__xludf.DUMMYFUNCTION("""COMPUTED_VALUE"""),91.45)</f>
        <v>91.45</v>
      </c>
      <c r="T160" s="3">
        <f>IFERROR(__xludf.DUMMYFUNCTION("""COMPUTED_VALUE"""),69.64)</f>
        <v>69.64</v>
      </c>
      <c r="U160" s="3">
        <f>IFERROR(__xludf.DUMMYFUNCTION("""COMPUTED_VALUE"""),367.12)</f>
        <v>367.12</v>
      </c>
      <c r="V160" s="3">
        <f>IFERROR(__xludf.DUMMYFUNCTION("""COMPUTED_VALUE"""),52.56)</f>
        <v>52.56</v>
      </c>
      <c r="W160" s="3">
        <f>IFERROR(__xludf.DUMMYFUNCTION("""COMPUTED_VALUE"""),190.87)</f>
        <v>190.87</v>
      </c>
      <c r="X160" s="3">
        <f>IFERROR(__xludf.DUMMYFUNCTION("""COMPUTED_VALUE"""),143.98)</f>
        <v>143.98</v>
      </c>
      <c r="Y160" s="1">
        <f>IFERROR(__xludf.DUMMYFUNCTION("""COMPUTED_VALUE"""),281.58)</f>
        <v>281.58</v>
      </c>
      <c r="Z160" s="1">
        <f>IFERROR(__xludf.DUMMYFUNCTION("""COMPUTED_VALUE"""),43.9)</f>
        <v>43.9</v>
      </c>
      <c r="AA160" s="1">
        <f>IFERROR(__xludf.DUMMYFUNCTION("""COMPUTED_VALUE"""),62.57)</f>
        <v>62.57</v>
      </c>
      <c r="AB160" s="1">
        <f>IFERROR(__xludf.DUMMYFUNCTION("""COMPUTED_VALUE"""),89.59)</f>
        <v>89.59</v>
      </c>
      <c r="AC160" s="1">
        <f>IFERROR(__xludf.DUMMYFUNCTION("""COMPUTED_VALUE"""),179.5)</f>
        <v>179.5</v>
      </c>
      <c r="AD160" s="3">
        <f>IFERROR(__xludf.DUMMYFUNCTION("""COMPUTED_VALUE"""),76.19)</f>
        <v>76.19</v>
      </c>
      <c r="AE160" s="1">
        <f>IFERROR(__xludf.DUMMYFUNCTION("""COMPUTED_VALUE"""),432.62)</f>
        <v>432.62</v>
      </c>
      <c r="AF160" s="1">
        <f>IFERROR(__xludf.DUMMYFUNCTION("""COMPUTED_VALUE"""),63.81)</f>
        <v>63.81</v>
      </c>
      <c r="AG160" s="1">
        <f>IFERROR(__xludf.DUMMYFUNCTION("""COMPUTED_VALUE"""),106.49)</f>
        <v>106.49</v>
      </c>
      <c r="AH160" s="1">
        <f>IFERROR(__xludf.DUMMYFUNCTION("""COMPUTED_VALUE"""),278.66)</f>
        <v>278.66</v>
      </c>
      <c r="AI160" s="1">
        <f>IFERROR(__xludf.DUMMYFUNCTION("""COMPUTED_VALUE"""),431.74)</f>
        <v>431.74</v>
      </c>
      <c r="AJ160" s="1">
        <f>IFERROR(__xludf.DUMMYFUNCTION("""COMPUTED_VALUE"""),266.78)</f>
        <v>266.78</v>
      </c>
      <c r="AK160" s="3">
        <f>IFERROR(__xludf.DUMMYFUNCTION("""COMPUTED_VALUE"""),54.18)</f>
        <v>54.18</v>
      </c>
      <c r="AL160" s="1">
        <f>IFERROR(__xludf.DUMMYFUNCTION("""COMPUTED_VALUE"""),94.41)</f>
        <v>94.41</v>
      </c>
      <c r="AM160" s="1">
        <f>IFERROR(__xludf.DUMMYFUNCTION("""COMPUTED_VALUE"""),581.23)</f>
        <v>581.23</v>
      </c>
      <c r="AN160" s="1">
        <f>IFERROR(__xludf.DUMMYFUNCTION("""COMPUTED_VALUE"""),395.14)</f>
        <v>395.14</v>
      </c>
      <c r="AO160" s="1">
        <f>IFERROR(__xludf.DUMMYFUNCTION("""COMPUTED_VALUE"""),123.55)</f>
        <v>123.55</v>
      </c>
      <c r="AP160" s="1">
        <f>IFERROR(__xludf.DUMMYFUNCTION("""COMPUTED_VALUE"""),151.02)</f>
        <v>151.02</v>
      </c>
      <c r="AQ160" s="3">
        <f>IFERROR(__xludf.DUMMYFUNCTION("""COMPUTED_VALUE"""),538.83)</f>
        <v>538.83</v>
      </c>
      <c r="AR160" s="3">
        <f>IFERROR(__xludf.DUMMYFUNCTION("""COMPUTED_VALUE"""),243.14)</f>
        <v>243.14</v>
      </c>
      <c r="AS160" s="3">
        <f>IFERROR(__xludf.DUMMYFUNCTION("""COMPUTED_VALUE"""),489.98)</f>
        <v>489.98</v>
      </c>
      <c r="AT160" s="3">
        <f>IFERROR(__xludf.DUMMYFUNCTION("""COMPUTED_VALUE"""),385.82)</f>
        <v>385.82</v>
      </c>
      <c r="AU160" s="1">
        <f>IFERROR(__xludf.DUMMYFUNCTION("""COMPUTED_VALUE"""),30.84)</f>
        <v>30.84</v>
      </c>
      <c r="AV160" s="1">
        <f>IFERROR(__xludf.DUMMYFUNCTION("""COMPUTED_VALUE"""),81.6)</f>
        <v>81.6</v>
      </c>
      <c r="AW160" s="1">
        <f>IFERROR(__xludf.DUMMYFUNCTION("""COMPUTED_VALUE"""),82.75)</f>
        <v>82.75</v>
      </c>
      <c r="AX160" s="1">
        <f>IFERROR(__xludf.DUMMYFUNCTION("""COMPUTED_VALUE"""),16.84)</f>
        <v>16.84</v>
      </c>
      <c r="AY160" s="1">
        <f>IFERROR(__xludf.DUMMYFUNCTION("""COMPUTED_VALUE"""),438.11)</f>
        <v>438.11</v>
      </c>
      <c r="AZ160" s="3">
        <f>IFERROR(__xludf.DUMMYFUNCTION("""COMPUTED_VALUE"""),72.37)</f>
        <v>72.37</v>
      </c>
      <c r="BA160" s="3">
        <f>IFERROR(__xludf.DUMMYFUNCTION("""COMPUTED_VALUE"""),92.84)</f>
        <v>92.84</v>
      </c>
      <c r="BB160" s="3">
        <f>IFERROR(__xludf.DUMMYFUNCTION("""COMPUTED_VALUE"""),139.93)</f>
        <v>139.93</v>
      </c>
      <c r="BC160" s="1">
        <f>IFERROR(__xludf.DUMMYFUNCTION("""COMPUTED_VALUE"""),94.15)</f>
        <v>94.15</v>
      </c>
      <c r="BD160" s="3">
        <f>IFERROR(__xludf.DUMMYFUNCTION("""COMPUTED_VALUE"""),56.39)</f>
        <v>56.39</v>
      </c>
      <c r="BE160" s="3">
        <f>IFERROR(__xludf.DUMMYFUNCTION("""COMPUTED_VALUE"""),82.14)</f>
        <v>82.14</v>
      </c>
      <c r="BF160" s="1">
        <f>IFERROR(__xludf.DUMMYFUNCTION("""COMPUTED_VALUE"""),88.14)</f>
        <v>88.14</v>
      </c>
      <c r="BG160" s="1">
        <f>IFERROR(__xludf.DUMMYFUNCTION("""COMPUTED_VALUE"""),26.56)</f>
        <v>26.56</v>
      </c>
      <c r="BH160" s="1">
        <f>IFERROR(__xludf.DUMMYFUNCTION("""COMPUTED_VALUE"""),117.04)</f>
        <v>117.04</v>
      </c>
      <c r="BI160" s="1">
        <f>IFERROR(__xludf.DUMMYFUNCTION("""COMPUTED_VALUE"""),45.29)</f>
        <v>45.29</v>
      </c>
      <c r="BJ160" s="1">
        <f>IFERROR(__xludf.DUMMYFUNCTION("""COMPUTED_VALUE"""),223.68)</f>
        <v>223.68</v>
      </c>
      <c r="BK160" s="1">
        <f>IFERROR(__xludf.DUMMYFUNCTION("""COMPUTED_VALUE"""),527.18)</f>
        <v>527.18</v>
      </c>
      <c r="BL160" s="1">
        <f>IFERROR(__xludf.DUMMYFUNCTION("""COMPUTED_VALUE"""),197.36)</f>
        <v>197.36</v>
      </c>
      <c r="BM160" s="1">
        <f>IFERROR(__xludf.DUMMYFUNCTION("""COMPUTED_VALUE"""),62.6)</f>
        <v>62.6</v>
      </c>
      <c r="BN160" s="3">
        <f>IFERROR(__xludf.DUMMYFUNCTION("""COMPUTED_VALUE"""),8.45)</f>
        <v>8.45</v>
      </c>
      <c r="BO160" s="1">
        <f>IFERROR(__xludf.DUMMYFUNCTION("""COMPUTED_VALUE"""),230.23)</f>
        <v>230.23</v>
      </c>
      <c r="BP160" s="1">
        <f>IFERROR(__xludf.DUMMYFUNCTION("""COMPUTED_VALUE"""),511.15)</f>
        <v>511.15</v>
      </c>
      <c r="BQ160" s="36">
        <f>IFERROR(__xludf.DUMMYFUNCTION("""COMPUTED_VALUE"""),48.35)</f>
        <v>48.35</v>
      </c>
      <c r="BR160" s="1">
        <f>IFERROR(__xludf.DUMMYFUNCTION("""COMPUTED_VALUE"""),12.56)</f>
        <v>12.56</v>
      </c>
      <c r="BS160" s="3">
        <f>IFERROR(__xludf.DUMMYFUNCTION("""COMPUTED_VALUE"""),205.02)</f>
        <v>205.02</v>
      </c>
      <c r="BT160" s="1">
        <f>IFERROR(__xludf.DUMMYFUNCTION("""COMPUTED_VALUE"""),112.55)</f>
        <v>112.55</v>
      </c>
      <c r="BU160" s="3">
        <v>1.0</v>
      </c>
    </row>
    <row r="161">
      <c r="A161" s="25">
        <f>IFERROR(__xludf.DUMMYFUNCTION("""COMPUTED_VALUE"""),45653.66666666667)</f>
        <v>45653.66667</v>
      </c>
      <c r="B161" s="29">
        <f>'Master Scratch Work'!B160</f>
        <v>1339040.55</v>
      </c>
      <c r="C161" s="15">
        <f>IFERROR(__xludf.DUMMYFUNCTION("""COMPUTED_VALUE"""),5970.84)</f>
        <v>5970.84</v>
      </c>
      <c r="D161" s="15">
        <f>IFERROR(__xludf.DUMMYFUNCTION("""COMPUTED_VALUE"""),19722.03)</f>
        <v>19722.03</v>
      </c>
      <c r="E161" s="15">
        <f>IFERROR(__xludf.DUMMYFUNCTION("""COMPUTED_VALUE"""),42992.21)</f>
        <v>42992.21</v>
      </c>
      <c r="F161" s="15">
        <f>IFERROR(__xludf.DUMMYFUNCTION("""COMPUTED_VALUE"""),2244.59)</f>
        <v>2244.59</v>
      </c>
      <c r="G161" s="3">
        <f>IFERROR(__xludf.DUMMYFUNCTION("""COMPUTED_VALUE"""),595.01)</f>
        <v>595.01</v>
      </c>
      <c r="H161" s="3">
        <f>IFERROR(__xludf.DUMMYFUNCTION("""COMPUTED_VALUE"""),522.56)</f>
        <v>522.56</v>
      </c>
      <c r="I161" s="3">
        <f>IFERROR(__xludf.DUMMYFUNCTION("""COMPUTED_VALUE"""),446.48)</f>
        <v>446.48</v>
      </c>
      <c r="J161" s="3">
        <f>IFERROR(__xludf.DUMMYFUNCTION("""COMPUTED_VALUE"""),223.75)</f>
        <v>223.75</v>
      </c>
      <c r="K161" s="3">
        <f>IFERROR(__xludf.DUMMYFUNCTION("""COMPUTED_VALUE"""),125.29)</f>
        <v>125.29</v>
      </c>
      <c r="L161" s="3">
        <f>IFERROR(__xludf.DUMMYFUNCTION("""COMPUTED_VALUE"""),255.59)</f>
        <v>255.59</v>
      </c>
      <c r="M161" s="3">
        <f>IFERROR(__xludf.DUMMYFUNCTION("""COMPUTED_VALUE"""),166.83)</f>
        <v>166.83</v>
      </c>
      <c r="N161" s="3">
        <f>IFERROR(__xludf.DUMMYFUNCTION("""COMPUTED_VALUE"""),77.57)</f>
        <v>77.57</v>
      </c>
      <c r="O161" s="3">
        <f>IFERROR(__xludf.DUMMYFUNCTION("""COMPUTED_VALUE"""),13.28)</f>
        <v>13.28</v>
      </c>
      <c r="P161" s="3">
        <f>IFERROR(__xludf.DUMMYFUNCTION("""COMPUTED_VALUE"""),456.51)</f>
        <v>456.51</v>
      </c>
      <c r="Q161" s="3">
        <f>IFERROR(__xludf.DUMMYFUNCTION("""COMPUTED_VALUE"""),49.21)</f>
        <v>49.21</v>
      </c>
      <c r="R161" s="3">
        <f>IFERROR(__xludf.DUMMYFUNCTION("""COMPUTED_VALUE"""),151.31)</f>
        <v>151.31</v>
      </c>
      <c r="S161" s="3">
        <f>IFERROR(__xludf.DUMMYFUNCTION("""COMPUTED_VALUE"""),90.66)</f>
        <v>90.66</v>
      </c>
      <c r="T161" s="3">
        <f>IFERROR(__xludf.DUMMYFUNCTION("""COMPUTED_VALUE"""),68.9)</f>
        <v>68.9</v>
      </c>
      <c r="U161" s="3">
        <f>IFERROR(__xludf.DUMMYFUNCTION("""COMPUTED_VALUE"""),364.86)</f>
        <v>364.86</v>
      </c>
      <c r="V161" s="3">
        <f>IFERROR(__xludf.DUMMYFUNCTION("""COMPUTED_VALUE"""),52.49)</f>
        <v>52.49</v>
      </c>
      <c r="W161" s="3">
        <f>IFERROR(__xludf.DUMMYFUNCTION("""COMPUTED_VALUE"""),187.9)</f>
        <v>187.9</v>
      </c>
      <c r="X161" s="3">
        <f>IFERROR(__xludf.DUMMYFUNCTION("""COMPUTED_VALUE"""),144.0)</f>
        <v>144</v>
      </c>
      <c r="Y161" s="1">
        <f>IFERROR(__xludf.DUMMYFUNCTION("""COMPUTED_VALUE"""),278.71)</f>
        <v>278.71</v>
      </c>
      <c r="Z161" s="1">
        <f>IFERROR(__xludf.DUMMYFUNCTION("""COMPUTED_VALUE"""),43.62)</f>
        <v>43.62</v>
      </c>
      <c r="AA161" s="1">
        <f>IFERROR(__xludf.DUMMYFUNCTION("""COMPUTED_VALUE"""),62.45)</f>
        <v>62.45</v>
      </c>
      <c r="AB161" s="1">
        <f>IFERROR(__xludf.DUMMYFUNCTION("""COMPUTED_VALUE"""),89.56)</f>
        <v>89.56</v>
      </c>
      <c r="AC161" s="1">
        <f>IFERROR(__xludf.DUMMYFUNCTION("""COMPUTED_VALUE"""),178.14)</f>
        <v>178.14</v>
      </c>
      <c r="AD161" s="3">
        <f>IFERROR(__xludf.DUMMYFUNCTION("""COMPUTED_VALUE"""),75.99)</f>
        <v>75.99</v>
      </c>
      <c r="AE161" s="1">
        <f>IFERROR(__xludf.DUMMYFUNCTION("""COMPUTED_VALUE"""),429.62)</f>
        <v>429.62</v>
      </c>
      <c r="AF161" s="1">
        <f>IFERROR(__xludf.DUMMYFUNCTION("""COMPUTED_VALUE"""),62.81)</f>
        <v>62.81</v>
      </c>
      <c r="AG161" s="1">
        <f>IFERROR(__xludf.DUMMYFUNCTION("""COMPUTED_VALUE"""),106.48)</f>
        <v>106.48</v>
      </c>
      <c r="AH161" s="1">
        <f>IFERROR(__xludf.DUMMYFUNCTION("""COMPUTED_VALUE"""),280.36)</f>
        <v>280.36</v>
      </c>
      <c r="AI161" s="1">
        <f>IFERROR(__xludf.DUMMYFUNCTION("""COMPUTED_VALUE"""),432.15)</f>
        <v>432.15</v>
      </c>
      <c r="AJ161" s="1">
        <f>IFERROR(__xludf.DUMMYFUNCTION("""COMPUTED_VALUE"""),266.14)</f>
        <v>266.14</v>
      </c>
      <c r="AK161" s="3">
        <f>IFERROR(__xludf.DUMMYFUNCTION("""COMPUTED_VALUE"""),54.28)</f>
        <v>54.28</v>
      </c>
      <c r="AL161" s="1">
        <f>IFERROR(__xludf.DUMMYFUNCTION("""COMPUTED_VALUE"""),94.11)</f>
        <v>94.11</v>
      </c>
      <c r="AM161" s="1">
        <f>IFERROR(__xludf.DUMMYFUNCTION("""COMPUTED_VALUE"""),576.18)</f>
        <v>576.18</v>
      </c>
      <c r="AN161" s="1">
        <f>IFERROR(__xludf.DUMMYFUNCTION("""COMPUTED_VALUE"""),392.86)</f>
        <v>392.86</v>
      </c>
      <c r="AO161" s="1">
        <f>IFERROR(__xludf.DUMMYFUNCTION("""COMPUTED_VALUE"""),122.95)</f>
        <v>122.95</v>
      </c>
      <c r="AP161" s="1">
        <f>IFERROR(__xludf.DUMMYFUNCTION("""COMPUTED_VALUE"""),150.32)</f>
        <v>150.32</v>
      </c>
      <c r="AQ161" s="3">
        <f>IFERROR(__xludf.DUMMYFUNCTION("""COMPUTED_VALUE"""),534.88)</f>
        <v>534.88</v>
      </c>
      <c r="AR161" s="3">
        <f>IFERROR(__xludf.DUMMYFUNCTION("""COMPUTED_VALUE"""),241.17)</f>
        <v>241.17</v>
      </c>
      <c r="AS161" s="3">
        <f>IFERROR(__xludf.DUMMYFUNCTION("""COMPUTED_VALUE"""),488.97)</f>
        <v>488.97</v>
      </c>
      <c r="AT161" s="3">
        <f>IFERROR(__xludf.DUMMYFUNCTION("""COMPUTED_VALUE"""),386.67)</f>
        <v>386.67</v>
      </c>
      <c r="AU161" s="1">
        <f>IFERROR(__xludf.DUMMYFUNCTION("""COMPUTED_VALUE"""),30.69)</f>
        <v>30.69</v>
      </c>
      <c r="AV161" s="1">
        <f>IFERROR(__xludf.DUMMYFUNCTION("""COMPUTED_VALUE"""),80.74)</f>
        <v>80.74</v>
      </c>
      <c r="AW161" s="1">
        <f>IFERROR(__xludf.DUMMYFUNCTION("""COMPUTED_VALUE"""),82.25)</f>
        <v>82.25</v>
      </c>
      <c r="AX161" s="1">
        <f>IFERROR(__xludf.DUMMYFUNCTION("""COMPUTED_VALUE"""),16.46)</f>
        <v>16.46</v>
      </c>
      <c r="AY161" s="1">
        <f>IFERROR(__xludf.DUMMYFUNCTION("""COMPUTED_VALUE"""),430.53)</f>
        <v>430.53</v>
      </c>
      <c r="AZ161" s="3">
        <f>IFERROR(__xludf.DUMMYFUNCTION("""COMPUTED_VALUE"""),72.11)</f>
        <v>72.11</v>
      </c>
      <c r="BA161" s="3">
        <f>IFERROR(__xludf.DUMMYFUNCTION("""COMPUTED_VALUE"""),91.95)</f>
        <v>91.95</v>
      </c>
      <c r="BB161" s="3">
        <f>IFERROR(__xludf.DUMMYFUNCTION("""COMPUTED_VALUE"""),137.01)</f>
        <v>137.01</v>
      </c>
      <c r="BC161" s="1">
        <f>IFERROR(__xludf.DUMMYFUNCTION("""COMPUTED_VALUE"""),93.52)</f>
        <v>93.52</v>
      </c>
      <c r="BD161" s="3">
        <f>IFERROR(__xludf.DUMMYFUNCTION("""COMPUTED_VALUE"""),55.63)</f>
        <v>55.63</v>
      </c>
      <c r="BE161" s="3">
        <f>IFERROR(__xludf.DUMMYFUNCTION("""COMPUTED_VALUE"""),79.08)</f>
        <v>79.08</v>
      </c>
      <c r="BF161" s="1">
        <f>IFERROR(__xludf.DUMMYFUNCTION("""COMPUTED_VALUE"""),86.86)</f>
        <v>86.86</v>
      </c>
      <c r="BG161" s="1">
        <f>IFERROR(__xludf.DUMMYFUNCTION("""COMPUTED_VALUE"""),26.62)</f>
        <v>26.62</v>
      </c>
      <c r="BH161" s="1">
        <f>IFERROR(__xludf.DUMMYFUNCTION("""COMPUTED_VALUE"""),116.71)</f>
        <v>116.71</v>
      </c>
      <c r="BI161" s="1">
        <f>IFERROR(__xludf.DUMMYFUNCTION("""COMPUTED_VALUE"""),44.21)</f>
        <v>44.21</v>
      </c>
      <c r="BJ161" s="1">
        <f>IFERROR(__xludf.DUMMYFUNCTION("""COMPUTED_VALUE"""),223.02)</f>
        <v>223.02</v>
      </c>
      <c r="BK161" s="1">
        <f>IFERROR(__xludf.DUMMYFUNCTION("""COMPUTED_VALUE"""),526.07)</f>
        <v>526.07</v>
      </c>
      <c r="BL161" s="1">
        <f>IFERROR(__xludf.DUMMYFUNCTION("""COMPUTED_VALUE"""),199.52)</f>
        <v>199.52</v>
      </c>
      <c r="BM161" s="1">
        <f>IFERROR(__xludf.DUMMYFUNCTION("""COMPUTED_VALUE"""),61.02)</f>
        <v>61.02</v>
      </c>
      <c r="BN161" s="3">
        <f>IFERROR(__xludf.DUMMYFUNCTION("""COMPUTED_VALUE"""),8.38)</f>
        <v>8.38</v>
      </c>
      <c r="BO161" s="1">
        <f>IFERROR(__xludf.DUMMYFUNCTION("""COMPUTED_VALUE"""),229.93)</f>
        <v>229.93</v>
      </c>
      <c r="BP161" s="1">
        <f>IFERROR(__xludf.DUMMYFUNCTION("""COMPUTED_VALUE"""),509.99)</f>
        <v>509.99</v>
      </c>
      <c r="BQ161" s="36">
        <f>IFERROR(__xludf.DUMMYFUNCTION("""COMPUTED_VALUE"""),48.34)</f>
        <v>48.34</v>
      </c>
      <c r="BR161" s="1">
        <f>IFERROR(__xludf.DUMMYFUNCTION("""COMPUTED_VALUE"""),12.48)</f>
        <v>12.48</v>
      </c>
      <c r="BS161" s="3">
        <f>IFERROR(__xludf.DUMMYFUNCTION("""COMPUTED_VALUE"""),204.02)</f>
        <v>204.02</v>
      </c>
      <c r="BT161" s="1">
        <f>IFERROR(__xludf.DUMMYFUNCTION("""COMPUTED_VALUE"""),111.55)</f>
        <v>111.55</v>
      </c>
      <c r="BU161" s="3">
        <v>1.0</v>
      </c>
    </row>
    <row r="162">
      <c r="A162" s="25">
        <f>IFERROR(__xludf.DUMMYFUNCTION("""COMPUTED_VALUE"""),45656.66666666667)</f>
        <v>45656.66667</v>
      </c>
      <c r="B162" s="29">
        <f>'Master Scratch Work'!B161</f>
        <v>1327697.22</v>
      </c>
      <c r="C162" s="15">
        <f>IFERROR(__xludf.DUMMYFUNCTION("""COMPUTED_VALUE"""),5906.94)</f>
        <v>5906.94</v>
      </c>
      <c r="D162" s="15">
        <f>IFERROR(__xludf.DUMMYFUNCTION("""COMPUTED_VALUE"""),19486.79)</f>
        <v>19486.79</v>
      </c>
      <c r="E162" s="15">
        <f>IFERROR(__xludf.DUMMYFUNCTION("""COMPUTED_VALUE"""),42573.73)</f>
        <v>42573.73</v>
      </c>
      <c r="F162" s="15">
        <f>IFERROR(__xludf.DUMMYFUNCTION("""COMPUTED_VALUE"""),2227.78)</f>
        <v>2227.78</v>
      </c>
      <c r="G162" s="3">
        <f>IFERROR(__xludf.DUMMYFUNCTION("""COMPUTED_VALUE"""),588.22)</f>
        <v>588.22</v>
      </c>
      <c r="H162" s="3">
        <f>IFERROR(__xludf.DUMMYFUNCTION("""COMPUTED_VALUE"""),515.61)</f>
        <v>515.61</v>
      </c>
      <c r="I162" s="3">
        <f>IFERROR(__xludf.DUMMYFUNCTION("""COMPUTED_VALUE"""),445.8)</f>
        <v>445.8</v>
      </c>
      <c r="J162" s="3">
        <f>IFERROR(__xludf.DUMMYFUNCTION("""COMPUTED_VALUE"""),221.3)</f>
        <v>221.3</v>
      </c>
      <c r="K162" s="3">
        <f>IFERROR(__xludf.DUMMYFUNCTION("""COMPUTED_VALUE"""),124.24)</f>
        <v>124.24</v>
      </c>
      <c r="L162" s="3">
        <f>IFERROR(__xludf.DUMMYFUNCTION("""COMPUTED_VALUE"""),252.2)</f>
        <v>252.2</v>
      </c>
      <c r="M162" s="3">
        <f>IFERROR(__xludf.DUMMYFUNCTION("""COMPUTED_VALUE"""),163.64)</f>
        <v>163.64</v>
      </c>
      <c r="N162" s="3">
        <f>IFERROR(__xludf.DUMMYFUNCTION("""COMPUTED_VALUE"""),77.11)</f>
        <v>77.11</v>
      </c>
      <c r="O162" s="3">
        <f>IFERROR(__xludf.DUMMYFUNCTION("""COMPUTED_VALUE"""),13.29)</f>
        <v>13.29</v>
      </c>
      <c r="P162" s="3">
        <f>IFERROR(__xludf.DUMMYFUNCTION("""COMPUTED_VALUE"""),452.16)</f>
        <v>452.16</v>
      </c>
      <c r="Q162" s="3">
        <f>IFERROR(__xludf.DUMMYFUNCTION("""COMPUTED_VALUE"""),48.78)</f>
        <v>48.78</v>
      </c>
      <c r="R162" s="3">
        <f>IFERROR(__xludf.DUMMYFUNCTION("""COMPUTED_VALUE"""),150.19)</f>
        <v>150.19</v>
      </c>
      <c r="S162" s="3">
        <f>IFERROR(__xludf.DUMMYFUNCTION("""COMPUTED_VALUE"""),89.68)</f>
        <v>89.68</v>
      </c>
      <c r="T162" s="3">
        <f>IFERROR(__xludf.DUMMYFUNCTION("""COMPUTED_VALUE"""),68.23)</f>
        <v>68.23</v>
      </c>
      <c r="U162" s="3">
        <f>IFERROR(__xludf.DUMMYFUNCTION("""COMPUTED_VALUE"""),363.01)</f>
        <v>363.01</v>
      </c>
      <c r="V162" s="3">
        <f>IFERROR(__xludf.DUMMYFUNCTION("""COMPUTED_VALUE"""),51.33)</f>
        <v>51.33</v>
      </c>
      <c r="W162" s="3">
        <f>IFERROR(__xludf.DUMMYFUNCTION("""COMPUTED_VALUE"""),187.26)</f>
        <v>187.26</v>
      </c>
      <c r="X162" s="3">
        <f>IFERROR(__xludf.DUMMYFUNCTION("""COMPUTED_VALUE"""),143.07)</f>
        <v>143.07</v>
      </c>
      <c r="Y162" s="1">
        <f>IFERROR(__xludf.DUMMYFUNCTION("""COMPUTED_VALUE"""),275.14)</f>
        <v>275.14</v>
      </c>
      <c r="Z162" s="1">
        <f>IFERROR(__xludf.DUMMYFUNCTION("""COMPUTED_VALUE"""),43.56)</f>
        <v>43.56</v>
      </c>
      <c r="AA162" s="1">
        <f>IFERROR(__xludf.DUMMYFUNCTION("""COMPUTED_VALUE"""),62.03)</f>
        <v>62.03</v>
      </c>
      <c r="AB162" s="1">
        <f>IFERROR(__xludf.DUMMYFUNCTION("""COMPUTED_VALUE"""),89.16)</f>
        <v>89.16</v>
      </c>
      <c r="AC162" s="1">
        <f>IFERROR(__xludf.DUMMYFUNCTION("""COMPUTED_VALUE"""),176.22)</f>
        <v>176.22</v>
      </c>
      <c r="AD162" s="3">
        <f>IFERROR(__xludf.DUMMYFUNCTION("""COMPUTED_VALUE"""),74.77)</f>
        <v>74.77</v>
      </c>
      <c r="AE162" s="1">
        <f>IFERROR(__xludf.DUMMYFUNCTION("""COMPUTED_VALUE"""),420.72)</f>
        <v>420.72</v>
      </c>
      <c r="AF162" s="1">
        <f>IFERROR(__xludf.DUMMYFUNCTION("""COMPUTED_VALUE"""),62.06)</f>
        <v>62.06</v>
      </c>
      <c r="AG162" s="1">
        <f>IFERROR(__xludf.DUMMYFUNCTION("""COMPUTED_VALUE"""),105.76)</f>
        <v>105.76</v>
      </c>
      <c r="AH162" s="1">
        <f>IFERROR(__xludf.DUMMYFUNCTION("""COMPUTED_VALUE"""),280.55)</f>
        <v>280.55</v>
      </c>
      <c r="AI162" s="1">
        <f>IFERROR(__xludf.DUMMYFUNCTION("""COMPUTED_VALUE"""),426.77)</f>
        <v>426.77</v>
      </c>
      <c r="AJ162" s="1">
        <f>IFERROR(__xludf.DUMMYFUNCTION("""COMPUTED_VALUE"""),263.38)</f>
        <v>263.38</v>
      </c>
      <c r="AK162" s="3">
        <f>IFERROR(__xludf.DUMMYFUNCTION("""COMPUTED_VALUE"""),53.66)</f>
        <v>53.66</v>
      </c>
      <c r="AL162" s="1">
        <f>IFERROR(__xludf.DUMMYFUNCTION("""COMPUTED_VALUE"""),92.01)</f>
        <v>92.01</v>
      </c>
      <c r="AM162" s="1">
        <f>IFERROR(__xludf.DUMMYFUNCTION("""COMPUTED_VALUE"""),573.55)</f>
        <v>573.55</v>
      </c>
      <c r="AN162" s="1">
        <f>IFERROR(__xludf.DUMMYFUNCTION("""COMPUTED_VALUE"""),389.43)</f>
        <v>389.43</v>
      </c>
      <c r="AO162" s="1">
        <f>IFERROR(__xludf.DUMMYFUNCTION("""COMPUTED_VALUE"""),124.27)</f>
        <v>124.27</v>
      </c>
      <c r="AP162" s="1">
        <f>IFERROR(__xludf.DUMMYFUNCTION("""COMPUTED_VALUE"""),149.37)</f>
        <v>149.37</v>
      </c>
      <c r="AQ162" s="3">
        <f>IFERROR(__xludf.DUMMYFUNCTION("""COMPUTED_VALUE"""),526.96)</f>
        <v>526.96</v>
      </c>
      <c r="AR162" s="3">
        <f>IFERROR(__xludf.DUMMYFUNCTION("""COMPUTED_VALUE"""),239.32)</f>
        <v>239.32</v>
      </c>
      <c r="AS162" s="3">
        <f>IFERROR(__xludf.DUMMYFUNCTION("""COMPUTED_VALUE"""),483.37)</f>
        <v>483.37</v>
      </c>
      <c r="AT162" s="3">
        <f>IFERROR(__xludf.DUMMYFUNCTION("""COMPUTED_VALUE"""),384.05)</f>
        <v>384.05</v>
      </c>
      <c r="AU162" s="1">
        <f>IFERROR(__xludf.DUMMYFUNCTION("""COMPUTED_VALUE"""),30.63)</f>
        <v>30.63</v>
      </c>
      <c r="AV162" s="1">
        <f>IFERROR(__xludf.DUMMYFUNCTION("""COMPUTED_VALUE"""),79.61)</f>
        <v>79.61</v>
      </c>
      <c r="AW162" s="1">
        <f>IFERROR(__xludf.DUMMYFUNCTION("""COMPUTED_VALUE"""),81.51)</f>
        <v>81.51</v>
      </c>
      <c r="AX162" s="1">
        <f>IFERROR(__xludf.DUMMYFUNCTION("""COMPUTED_VALUE"""),15.98)</f>
        <v>15.98</v>
      </c>
      <c r="AY162" s="1">
        <f>IFERROR(__xludf.DUMMYFUNCTION("""COMPUTED_VALUE"""),424.83)</f>
        <v>424.83</v>
      </c>
      <c r="AZ162" s="3">
        <f>IFERROR(__xludf.DUMMYFUNCTION("""COMPUTED_VALUE"""),71.76)</f>
        <v>71.76</v>
      </c>
      <c r="BA162" s="3">
        <f>IFERROR(__xludf.DUMMYFUNCTION("""COMPUTED_VALUE"""),92.15)</f>
        <v>92.15</v>
      </c>
      <c r="BB162" s="3">
        <f>IFERROR(__xludf.DUMMYFUNCTION("""COMPUTED_VALUE"""),137.49)</f>
        <v>137.49</v>
      </c>
      <c r="BC162" s="1">
        <f>IFERROR(__xludf.DUMMYFUNCTION("""COMPUTED_VALUE"""),92.57)</f>
        <v>92.57</v>
      </c>
      <c r="BD162" s="3">
        <f>IFERROR(__xludf.DUMMYFUNCTION("""COMPUTED_VALUE"""),55.19)</f>
        <v>55.19</v>
      </c>
      <c r="BE162" s="3">
        <f>IFERROR(__xludf.DUMMYFUNCTION("""COMPUTED_VALUE"""),77.18)</f>
        <v>77.18</v>
      </c>
      <c r="BF162" s="1">
        <f>IFERROR(__xludf.DUMMYFUNCTION("""COMPUTED_VALUE"""),85.43)</f>
        <v>85.43</v>
      </c>
      <c r="BG162" s="1">
        <f>IFERROR(__xludf.DUMMYFUNCTION("""COMPUTED_VALUE"""),26.42)</f>
        <v>26.42</v>
      </c>
      <c r="BH162" s="1">
        <f>IFERROR(__xludf.DUMMYFUNCTION("""COMPUTED_VALUE"""),115.22)</f>
        <v>115.22</v>
      </c>
      <c r="BI162" s="1">
        <f>IFERROR(__xludf.DUMMYFUNCTION("""COMPUTED_VALUE"""),43.17)</f>
        <v>43.17</v>
      </c>
      <c r="BJ162" s="1">
        <f>IFERROR(__xludf.DUMMYFUNCTION("""COMPUTED_VALUE"""),220.66)</f>
        <v>220.66</v>
      </c>
      <c r="BK162" s="1">
        <f>IFERROR(__xludf.DUMMYFUNCTION("""COMPUTED_VALUE"""),518.84)</f>
        <v>518.84</v>
      </c>
      <c r="BL162" s="1">
        <f>IFERROR(__xludf.DUMMYFUNCTION("""COMPUTED_VALUE"""),195.66)</f>
        <v>195.66</v>
      </c>
      <c r="BM162" s="1">
        <f>IFERROR(__xludf.DUMMYFUNCTION("""COMPUTED_VALUE"""),59.28)</f>
        <v>59.28</v>
      </c>
      <c r="BN162" s="3">
        <f>IFERROR(__xludf.DUMMYFUNCTION("""COMPUTED_VALUE"""),8.21)</f>
        <v>8.21</v>
      </c>
      <c r="BO162" s="1">
        <f>IFERROR(__xludf.DUMMYFUNCTION("""COMPUTED_VALUE"""),227.79)</f>
        <v>227.79</v>
      </c>
      <c r="BP162" s="1">
        <f>IFERROR(__xludf.DUMMYFUNCTION("""COMPUTED_VALUE"""),507.8)</f>
        <v>507.8</v>
      </c>
      <c r="BQ162" s="36">
        <f>IFERROR(__xludf.DUMMYFUNCTION("""COMPUTED_VALUE"""),48.4)</f>
        <v>48.4</v>
      </c>
      <c r="BR162" s="1">
        <f>IFERROR(__xludf.DUMMYFUNCTION("""COMPUTED_VALUE"""),12.38)</f>
        <v>12.38</v>
      </c>
      <c r="BS162" s="3">
        <f>IFERROR(__xludf.DUMMYFUNCTION("""COMPUTED_VALUE"""),202.27)</f>
        <v>202.27</v>
      </c>
      <c r="BT162" s="1">
        <f>IFERROR(__xludf.DUMMYFUNCTION("""COMPUTED_VALUE"""),110.8)</f>
        <v>110.8</v>
      </c>
      <c r="BU162" s="3">
        <v>1.0</v>
      </c>
    </row>
    <row r="163">
      <c r="A163" s="25">
        <f>IFERROR(__xludf.DUMMYFUNCTION("""COMPUTED_VALUE"""),45657.66666666667)</f>
        <v>45657.66667</v>
      </c>
      <c r="B163" s="29">
        <f>'Master Scratch Work'!B162</f>
        <v>1327093.05</v>
      </c>
      <c r="C163" s="15">
        <f>IFERROR(__xludf.DUMMYFUNCTION("""COMPUTED_VALUE"""),5881.63)</f>
        <v>5881.63</v>
      </c>
      <c r="D163" s="15">
        <f>IFERROR(__xludf.DUMMYFUNCTION("""COMPUTED_VALUE"""),19310.79)</f>
        <v>19310.79</v>
      </c>
      <c r="E163" s="15">
        <f>IFERROR(__xludf.DUMMYFUNCTION("""COMPUTED_VALUE"""),42544.22)</f>
        <v>42544.22</v>
      </c>
      <c r="F163" s="15">
        <f>IFERROR(__xludf.DUMMYFUNCTION("""COMPUTED_VALUE"""),2230.16)</f>
        <v>2230.16</v>
      </c>
      <c r="G163" s="3">
        <f>IFERROR(__xludf.DUMMYFUNCTION("""COMPUTED_VALUE"""),586.08)</f>
        <v>586.08</v>
      </c>
      <c r="H163" s="3">
        <f>IFERROR(__xludf.DUMMYFUNCTION("""COMPUTED_VALUE"""),511.23)</f>
        <v>511.23</v>
      </c>
      <c r="I163" s="3">
        <f>IFERROR(__xludf.DUMMYFUNCTION("""COMPUTED_VALUE"""),444.68)</f>
        <v>444.68</v>
      </c>
      <c r="J163" s="3">
        <f>IFERROR(__xludf.DUMMYFUNCTION("""COMPUTED_VALUE"""),219.39)</f>
        <v>219.39</v>
      </c>
      <c r="K163" s="3">
        <f>IFERROR(__xludf.DUMMYFUNCTION("""COMPUTED_VALUE"""),124.49)</f>
        <v>124.49</v>
      </c>
      <c r="L163" s="3">
        <f>IFERROR(__xludf.DUMMYFUNCTION("""COMPUTED_VALUE"""),250.42)</f>
        <v>250.42</v>
      </c>
      <c r="M163" s="3">
        <f>IFERROR(__xludf.DUMMYFUNCTION("""COMPUTED_VALUE"""),162.63)</f>
        <v>162.63</v>
      </c>
      <c r="N163" s="3">
        <f>IFERROR(__xludf.DUMMYFUNCTION("""COMPUTED_VALUE"""),76.83)</f>
        <v>76.83</v>
      </c>
      <c r="O163" s="3">
        <f>IFERROR(__xludf.DUMMYFUNCTION("""COMPUTED_VALUE"""),13.29)</f>
        <v>13.29</v>
      </c>
      <c r="P163" s="3">
        <f>IFERROR(__xludf.DUMMYFUNCTION("""COMPUTED_VALUE"""),453.28)</f>
        <v>453.28</v>
      </c>
      <c r="Q163" s="3">
        <f>IFERROR(__xludf.DUMMYFUNCTION("""COMPUTED_VALUE"""),48.83)</f>
        <v>48.83</v>
      </c>
      <c r="R163" s="3">
        <f>IFERROR(__xludf.DUMMYFUNCTION("""COMPUTED_VALUE"""),152.92)</f>
        <v>152.92</v>
      </c>
      <c r="S163" s="3">
        <f>IFERROR(__xludf.DUMMYFUNCTION("""COMPUTED_VALUE"""),89.32)</f>
        <v>89.32</v>
      </c>
      <c r="T163" s="3">
        <f>IFERROR(__xludf.DUMMYFUNCTION("""COMPUTED_VALUE"""),68.26)</f>
        <v>68.26</v>
      </c>
      <c r="U163" s="3">
        <f>IFERROR(__xludf.DUMMYFUNCTION("""COMPUTED_VALUE"""),362.76)</f>
        <v>362.76</v>
      </c>
      <c r="V163" s="3">
        <f>IFERROR(__xludf.DUMMYFUNCTION("""COMPUTED_VALUE"""),51.39)</f>
        <v>51.39</v>
      </c>
      <c r="W163" s="3">
        <f>IFERROR(__xludf.DUMMYFUNCTION("""COMPUTED_VALUE"""),186.7)</f>
        <v>186.7</v>
      </c>
      <c r="X163" s="3">
        <f>IFERROR(__xludf.DUMMYFUNCTION("""COMPUTED_VALUE"""),144.84)</f>
        <v>144.84</v>
      </c>
      <c r="Y163" s="1">
        <f>IFERROR(__xludf.DUMMYFUNCTION("""COMPUTED_VALUE"""),276.14)</f>
        <v>276.14</v>
      </c>
      <c r="Z163" s="1">
        <f>IFERROR(__xludf.DUMMYFUNCTION("""COMPUTED_VALUE"""),43.76)</f>
        <v>43.76</v>
      </c>
      <c r="AA163" s="1">
        <f>IFERROR(__xludf.DUMMYFUNCTION("""COMPUTED_VALUE"""),62.26)</f>
        <v>62.26</v>
      </c>
      <c r="AB163" s="1">
        <f>IFERROR(__xludf.DUMMYFUNCTION("""COMPUTED_VALUE"""),89.23)</f>
        <v>89.23</v>
      </c>
      <c r="AC163" s="1">
        <f>IFERROR(__xludf.DUMMYFUNCTION("""COMPUTED_VALUE"""),177.33)</f>
        <v>177.33</v>
      </c>
      <c r="AD163" s="3">
        <f>IFERROR(__xludf.DUMMYFUNCTION("""COMPUTED_VALUE"""),74.94)</f>
        <v>74.94</v>
      </c>
      <c r="AE163" s="1">
        <f>IFERROR(__xludf.DUMMYFUNCTION("""COMPUTED_VALUE"""),419.76)</f>
        <v>419.76</v>
      </c>
      <c r="AF163" s="1">
        <f>IFERROR(__xludf.DUMMYFUNCTION("""COMPUTED_VALUE"""),61.95)</f>
        <v>61.95</v>
      </c>
      <c r="AG163" s="1">
        <f>IFERROR(__xludf.DUMMYFUNCTION("""COMPUTED_VALUE"""),107.57)</f>
        <v>107.57</v>
      </c>
      <c r="AH163" s="1">
        <f>IFERROR(__xludf.DUMMYFUNCTION("""COMPUTED_VALUE"""),281.33)</f>
        <v>281.33</v>
      </c>
      <c r="AI163" s="1">
        <f>IFERROR(__xludf.DUMMYFUNCTION("""COMPUTED_VALUE"""),424.84)</f>
        <v>424.84</v>
      </c>
      <c r="AJ163" s="1">
        <f>IFERROR(__xludf.DUMMYFUNCTION("""COMPUTED_VALUE"""),263.49)</f>
        <v>263.49</v>
      </c>
      <c r="AK163" s="3">
        <f>IFERROR(__xludf.DUMMYFUNCTION("""COMPUTED_VALUE"""),53.27)</f>
        <v>53.27</v>
      </c>
      <c r="AL163" s="1">
        <f>IFERROR(__xludf.DUMMYFUNCTION("""COMPUTED_VALUE"""),92.37)</f>
        <v>92.37</v>
      </c>
      <c r="AM163" s="1">
        <f>IFERROR(__xludf.DUMMYFUNCTION("""COMPUTED_VALUE"""),572.62)</f>
        <v>572.62</v>
      </c>
      <c r="AN163" s="1">
        <f>IFERROR(__xludf.DUMMYFUNCTION("""COMPUTED_VALUE"""),388.99)</f>
        <v>388.99</v>
      </c>
      <c r="AO163" s="1">
        <f>IFERROR(__xludf.DUMMYFUNCTION("""COMPUTED_VALUE"""),124.26)</f>
        <v>124.26</v>
      </c>
      <c r="AP163" s="1">
        <f>IFERROR(__xludf.DUMMYFUNCTION("""COMPUTED_VALUE"""),149.01)</f>
        <v>149.01</v>
      </c>
      <c r="AQ163" s="3">
        <f>IFERROR(__xludf.DUMMYFUNCTION("""COMPUTED_VALUE"""),521.96)</f>
        <v>521.96</v>
      </c>
      <c r="AR163" s="3">
        <f>IFERROR(__xludf.DUMMYFUNCTION("""COMPUTED_VALUE"""),239.71)</f>
        <v>239.71</v>
      </c>
      <c r="AS163" s="3">
        <f>IFERROR(__xludf.DUMMYFUNCTION("""COMPUTED_VALUE"""),485.94)</f>
        <v>485.94</v>
      </c>
      <c r="AT163" s="3">
        <f>IFERROR(__xludf.DUMMYFUNCTION("""COMPUTED_VALUE"""),382.41)</f>
        <v>382.41</v>
      </c>
      <c r="AU163" s="1">
        <f>IFERROR(__xludf.DUMMYFUNCTION("""COMPUTED_VALUE"""),30.71)</f>
        <v>30.71</v>
      </c>
      <c r="AV163" s="1">
        <f>IFERROR(__xludf.DUMMYFUNCTION("""COMPUTED_VALUE"""),79.88)</f>
        <v>79.88</v>
      </c>
      <c r="AW163" s="1">
        <f>IFERROR(__xludf.DUMMYFUNCTION("""COMPUTED_VALUE"""),81.88)</f>
        <v>81.88</v>
      </c>
      <c r="AX163" s="1">
        <f>IFERROR(__xludf.DUMMYFUNCTION("""COMPUTED_VALUE"""),15.6)</f>
        <v>15.6</v>
      </c>
      <c r="AY163" s="1">
        <f>IFERROR(__xludf.DUMMYFUNCTION("""COMPUTED_VALUE"""),421.5)</f>
        <v>421.5</v>
      </c>
      <c r="AZ163" s="3">
        <f>IFERROR(__xludf.DUMMYFUNCTION("""COMPUTED_VALUE"""),71.69)</f>
        <v>71.69</v>
      </c>
      <c r="BA163" s="3">
        <f>IFERROR(__xludf.DUMMYFUNCTION("""COMPUTED_VALUE"""),90.22)</f>
        <v>90.22</v>
      </c>
      <c r="BB163" s="3">
        <f>IFERROR(__xludf.DUMMYFUNCTION("""COMPUTED_VALUE"""),134.29)</f>
        <v>134.29</v>
      </c>
      <c r="BC163" s="1">
        <f>IFERROR(__xludf.DUMMYFUNCTION("""COMPUTED_VALUE"""),92.61)</f>
        <v>92.61</v>
      </c>
      <c r="BD163" s="3">
        <f>IFERROR(__xludf.DUMMYFUNCTION("""COMPUTED_VALUE"""),54.77)</f>
        <v>54.77</v>
      </c>
      <c r="BE163" s="3">
        <f>IFERROR(__xludf.DUMMYFUNCTION("""COMPUTED_VALUE"""),75.63)</f>
        <v>75.63</v>
      </c>
      <c r="BF163" s="1">
        <f>IFERROR(__xludf.DUMMYFUNCTION("""COMPUTED_VALUE"""),85.35)</f>
        <v>85.35</v>
      </c>
      <c r="BG163" s="1">
        <f>IFERROR(__xludf.DUMMYFUNCTION("""COMPUTED_VALUE"""),26.53)</f>
        <v>26.53</v>
      </c>
      <c r="BH163" s="1">
        <f>IFERROR(__xludf.DUMMYFUNCTION("""COMPUTED_VALUE"""),115.72)</f>
        <v>115.72</v>
      </c>
      <c r="BI163" s="1">
        <f>IFERROR(__xludf.DUMMYFUNCTION("""COMPUTED_VALUE"""),43.74)</f>
        <v>43.74</v>
      </c>
      <c r="BJ163" s="1">
        <f>IFERROR(__xludf.DUMMYFUNCTION("""COMPUTED_VALUE"""),220.73)</f>
        <v>220.73</v>
      </c>
      <c r="BK163" s="1">
        <f>IFERROR(__xludf.DUMMYFUNCTION("""COMPUTED_VALUE"""),520.23)</f>
        <v>520.23</v>
      </c>
      <c r="BL163" s="1">
        <f>IFERROR(__xludf.DUMMYFUNCTION("""COMPUTED_VALUE"""),194.61)</f>
        <v>194.61</v>
      </c>
      <c r="BM163" s="1">
        <f>IFERROR(__xludf.DUMMYFUNCTION("""COMPUTED_VALUE"""),62.35)</f>
        <v>62.35</v>
      </c>
      <c r="BN163" s="3">
        <f>IFERROR(__xludf.DUMMYFUNCTION("""COMPUTED_VALUE"""),8.28)</f>
        <v>8.28</v>
      </c>
      <c r="BO163" s="1">
        <f>IFERROR(__xludf.DUMMYFUNCTION("""COMPUTED_VALUE"""),228.04)</f>
        <v>228.04</v>
      </c>
      <c r="BP163" s="1">
        <f>IFERROR(__xludf.DUMMYFUNCTION("""COMPUTED_VALUE"""),505.86)</f>
        <v>505.86</v>
      </c>
      <c r="BQ163" s="36">
        <f>IFERROR(__xludf.DUMMYFUNCTION("""COMPUTED_VALUE"""),48.42)</f>
        <v>48.42</v>
      </c>
      <c r="BR163" s="1">
        <f>IFERROR(__xludf.DUMMYFUNCTION("""COMPUTED_VALUE"""),12.45)</f>
        <v>12.45</v>
      </c>
      <c r="BS163" s="3">
        <f>IFERROR(__xludf.DUMMYFUNCTION("""COMPUTED_VALUE"""),201.79)</f>
        <v>201.79</v>
      </c>
      <c r="BT163" s="1">
        <f>IFERROR(__xludf.DUMMYFUNCTION("""COMPUTED_VALUE"""),111.35)</f>
        <v>111.35</v>
      </c>
      <c r="BU163" s="3">
        <v>1.0</v>
      </c>
    </row>
    <row r="164">
      <c r="A164" s="25">
        <f>IFERROR(__xludf.DUMMYFUNCTION("""COMPUTED_VALUE"""),45659.66666666667)</f>
        <v>45659.66667</v>
      </c>
      <c r="B164" s="29">
        <f>'Master Scratch Work'!B163</f>
        <v>1323811.39</v>
      </c>
      <c r="C164" s="15">
        <f>IFERROR(__xludf.DUMMYFUNCTION("""COMPUTED_VALUE"""),5868.55)</f>
        <v>5868.55</v>
      </c>
      <c r="D164" s="15">
        <f>IFERROR(__xludf.DUMMYFUNCTION("""COMPUTED_VALUE"""),19280.79)</f>
        <v>19280.79</v>
      </c>
      <c r="E164" s="15">
        <f>IFERROR(__xludf.DUMMYFUNCTION("""COMPUTED_VALUE"""),42392.27)</f>
        <v>42392.27</v>
      </c>
      <c r="F164" s="15">
        <f>IFERROR(__xludf.DUMMYFUNCTION("""COMPUTED_VALUE"""),2231.67)</f>
        <v>2231.67</v>
      </c>
      <c r="G164" s="3">
        <f>IFERROR(__xludf.DUMMYFUNCTION("""COMPUTED_VALUE"""),584.64)</f>
        <v>584.64</v>
      </c>
      <c r="H164" s="3">
        <f>IFERROR(__xludf.DUMMYFUNCTION("""COMPUTED_VALUE"""),510.23)</f>
        <v>510.23</v>
      </c>
      <c r="I164" s="3">
        <f>IFERROR(__xludf.DUMMYFUNCTION("""COMPUTED_VALUE"""),441.0)</f>
        <v>441</v>
      </c>
      <c r="J164" s="3">
        <f>IFERROR(__xludf.DUMMYFUNCTION("""COMPUTED_VALUE"""),220.22)</f>
        <v>220.22</v>
      </c>
      <c r="K164" s="3">
        <f>IFERROR(__xludf.DUMMYFUNCTION("""COMPUTED_VALUE"""),123.86)</f>
        <v>123.86</v>
      </c>
      <c r="L164" s="3">
        <f>IFERROR(__xludf.DUMMYFUNCTION("""COMPUTED_VALUE"""),243.85)</f>
        <v>243.85</v>
      </c>
      <c r="M164" s="3">
        <f>IFERROR(__xludf.DUMMYFUNCTION("""COMPUTED_VALUE"""),163.87)</f>
        <v>163.87</v>
      </c>
      <c r="N164" s="3">
        <f>IFERROR(__xludf.DUMMYFUNCTION("""COMPUTED_VALUE"""),77.41)</f>
        <v>77.41</v>
      </c>
      <c r="O164" s="3">
        <f>IFERROR(__xludf.DUMMYFUNCTION("""COMPUTED_VALUE"""),13.13)</f>
        <v>13.13</v>
      </c>
      <c r="P164" s="3">
        <f>IFERROR(__xludf.DUMMYFUNCTION("""COMPUTED_VALUE"""),451.1)</f>
        <v>451.1</v>
      </c>
      <c r="Q164" s="3">
        <f>IFERROR(__xludf.DUMMYFUNCTION("""COMPUTED_VALUE"""),49.21)</f>
        <v>49.21</v>
      </c>
      <c r="R164" s="3">
        <f>IFERROR(__xludf.DUMMYFUNCTION("""COMPUTED_VALUE"""),150.0)</f>
        <v>150</v>
      </c>
      <c r="S164" s="3">
        <f>IFERROR(__xludf.DUMMYFUNCTION("""COMPUTED_VALUE"""),89.38)</f>
        <v>89.38</v>
      </c>
      <c r="T164" s="3">
        <f>IFERROR(__xludf.DUMMYFUNCTION("""COMPUTED_VALUE"""),68.33)</f>
        <v>68.33</v>
      </c>
      <c r="U164" s="3">
        <f>IFERROR(__xludf.DUMMYFUNCTION("""COMPUTED_VALUE"""),359.77)</f>
        <v>359.77</v>
      </c>
      <c r="V164" s="3">
        <f>IFERROR(__xludf.DUMMYFUNCTION("""COMPUTED_VALUE"""),52.16)</f>
        <v>52.16</v>
      </c>
      <c r="W164" s="3">
        <f>IFERROR(__xludf.DUMMYFUNCTION("""COMPUTED_VALUE"""),184.58)</f>
        <v>184.58</v>
      </c>
      <c r="X164" s="3">
        <f>IFERROR(__xludf.DUMMYFUNCTION("""COMPUTED_VALUE"""),146.71)</f>
        <v>146.71</v>
      </c>
      <c r="Y164" s="1">
        <f>IFERROR(__xludf.DUMMYFUNCTION("""COMPUTED_VALUE"""),274.49)</f>
        <v>274.49</v>
      </c>
      <c r="Z164" s="1">
        <f>IFERROR(__xludf.DUMMYFUNCTION("""COMPUTED_VALUE"""),43.6)</f>
        <v>43.6</v>
      </c>
      <c r="AA164" s="1">
        <f>IFERROR(__xludf.DUMMYFUNCTION("""COMPUTED_VALUE"""),61.84)</f>
        <v>61.84</v>
      </c>
      <c r="AB164" s="1">
        <f>IFERROR(__xludf.DUMMYFUNCTION("""COMPUTED_VALUE"""),89.03)</f>
        <v>89.03</v>
      </c>
      <c r="AC164" s="1">
        <f>IFERROR(__xludf.DUMMYFUNCTION("""COMPUTED_VALUE"""),177.0)</f>
        <v>177</v>
      </c>
      <c r="AD164" s="3">
        <f>IFERROR(__xludf.DUMMYFUNCTION("""COMPUTED_VALUE"""),76.47)</f>
        <v>76.47</v>
      </c>
      <c r="AE164" s="1">
        <f>IFERROR(__xludf.DUMMYFUNCTION("""COMPUTED_VALUE"""),434.93)</f>
        <v>434.93</v>
      </c>
      <c r="AF164" s="1">
        <f>IFERROR(__xludf.DUMMYFUNCTION("""COMPUTED_VALUE"""),62.27)</f>
        <v>62.27</v>
      </c>
      <c r="AG164" s="1">
        <f>IFERROR(__xludf.DUMMYFUNCTION("""COMPUTED_VALUE"""),107.31)</f>
        <v>107.31</v>
      </c>
      <c r="AH164" s="1">
        <f>IFERROR(__xludf.DUMMYFUNCTION("""COMPUTED_VALUE"""),274.28)</f>
        <v>274.28</v>
      </c>
      <c r="AI164" s="1">
        <f>IFERROR(__xludf.DUMMYFUNCTION("""COMPUTED_VALUE"""),416.42)</f>
        <v>416.42</v>
      </c>
      <c r="AJ164" s="1">
        <f>IFERROR(__xludf.DUMMYFUNCTION("""COMPUTED_VALUE"""),261.01)</f>
        <v>261.01</v>
      </c>
      <c r="AK164" s="3">
        <f>IFERROR(__xludf.DUMMYFUNCTION("""COMPUTED_VALUE"""),51.37)</f>
        <v>51.37</v>
      </c>
      <c r="AL164" s="1">
        <f>IFERROR(__xludf.DUMMYFUNCTION("""COMPUTED_VALUE"""),91.88)</f>
        <v>91.88</v>
      </c>
      <c r="AM164" s="1">
        <f>IFERROR(__xludf.DUMMYFUNCTION("""COMPUTED_VALUE"""),574.97)</f>
        <v>574.97</v>
      </c>
      <c r="AN164" s="1">
        <f>IFERROR(__xludf.DUMMYFUNCTION("""COMPUTED_VALUE"""),388.46)</f>
        <v>388.46</v>
      </c>
      <c r="AO164" s="1">
        <f>IFERROR(__xludf.DUMMYFUNCTION("""COMPUTED_VALUE"""),123.31)</f>
        <v>123.31</v>
      </c>
      <c r="AP164" s="1">
        <f>IFERROR(__xludf.DUMMYFUNCTION("""COMPUTED_VALUE"""),149.34)</f>
        <v>149.34</v>
      </c>
      <c r="AQ164" s="3">
        <f>IFERROR(__xludf.DUMMYFUNCTION("""COMPUTED_VALUE"""),524.03)</f>
        <v>524.03</v>
      </c>
      <c r="AR164" s="3">
        <f>IFERROR(__xludf.DUMMYFUNCTION("""COMPUTED_VALUE"""),240.0)</f>
        <v>240</v>
      </c>
      <c r="AS164" s="3">
        <f>IFERROR(__xludf.DUMMYFUNCTION("""COMPUTED_VALUE"""),482.25)</f>
        <v>482.25</v>
      </c>
      <c r="AT164" s="3">
        <f>IFERROR(__xludf.DUMMYFUNCTION("""COMPUTED_VALUE"""),372.31)</f>
        <v>372.31</v>
      </c>
      <c r="AU164" s="1">
        <f>IFERROR(__xludf.DUMMYFUNCTION("""COMPUTED_VALUE"""),30.52)</f>
        <v>30.52</v>
      </c>
      <c r="AV164" s="1">
        <f>IFERROR(__xludf.DUMMYFUNCTION("""COMPUTED_VALUE"""),80.22)</f>
        <v>80.22</v>
      </c>
      <c r="AW164" s="1">
        <f>IFERROR(__xludf.DUMMYFUNCTION("""COMPUTED_VALUE"""),81.78)</f>
        <v>81.78</v>
      </c>
      <c r="AX164" s="1">
        <f>IFERROR(__xludf.DUMMYFUNCTION("""COMPUTED_VALUE"""),16.39)</f>
        <v>16.39</v>
      </c>
      <c r="AY164" s="1">
        <f>IFERROR(__xludf.DUMMYFUNCTION("""COMPUTED_VALUE"""),418.58)</f>
        <v>418.58</v>
      </c>
      <c r="AZ164" s="3">
        <f>IFERROR(__xludf.DUMMYFUNCTION("""COMPUTED_VALUE"""),71.61)</f>
        <v>71.61</v>
      </c>
      <c r="BA164" s="3">
        <f>IFERROR(__xludf.DUMMYFUNCTION("""COMPUTED_VALUE"""),92.75)</f>
        <v>92.75</v>
      </c>
      <c r="BB164" s="3">
        <f>IFERROR(__xludf.DUMMYFUNCTION("""COMPUTED_VALUE"""),138.31)</f>
        <v>138.31</v>
      </c>
      <c r="BC164" s="1">
        <f>IFERROR(__xludf.DUMMYFUNCTION("""COMPUTED_VALUE"""),92.24)</f>
        <v>92.24</v>
      </c>
      <c r="BD164" s="3">
        <f>IFERROR(__xludf.DUMMYFUNCTION("""COMPUTED_VALUE"""),55.37)</f>
        <v>55.37</v>
      </c>
      <c r="BE164" s="3">
        <f>IFERROR(__xludf.DUMMYFUNCTION("""COMPUTED_VALUE"""),75.19)</f>
        <v>75.19</v>
      </c>
      <c r="BF164" s="1">
        <f>IFERROR(__xludf.DUMMYFUNCTION("""COMPUTED_VALUE"""),86.18)</f>
        <v>86.18</v>
      </c>
      <c r="BG164" s="1">
        <f>IFERROR(__xludf.DUMMYFUNCTION("""COMPUTED_VALUE"""),26.61)</f>
        <v>26.61</v>
      </c>
      <c r="BH164" s="1">
        <f>IFERROR(__xludf.DUMMYFUNCTION("""COMPUTED_VALUE"""),116.01)</f>
        <v>116.01</v>
      </c>
      <c r="BI164" s="1">
        <f>IFERROR(__xludf.DUMMYFUNCTION("""COMPUTED_VALUE"""),44.0)</f>
        <v>44</v>
      </c>
      <c r="BJ164" s="1">
        <f>IFERROR(__xludf.DUMMYFUNCTION("""COMPUTED_VALUE"""),219.53)</f>
        <v>219.53</v>
      </c>
      <c r="BK164" s="1">
        <f>IFERROR(__xludf.DUMMYFUNCTION("""COMPUTED_VALUE"""),522.57)</f>
        <v>522.57</v>
      </c>
      <c r="BL164" s="1">
        <f>IFERROR(__xludf.DUMMYFUNCTION("""COMPUTED_VALUE"""),193.12)</f>
        <v>193.12</v>
      </c>
      <c r="BM164" s="1">
        <f>IFERROR(__xludf.DUMMYFUNCTION("""COMPUTED_VALUE"""),66.5)</f>
        <v>66.5</v>
      </c>
      <c r="BN164" s="3">
        <f>IFERROR(__xludf.DUMMYFUNCTION("""COMPUTED_VALUE"""),8.1)</f>
        <v>8.1</v>
      </c>
      <c r="BO164" s="1">
        <f>IFERROR(__xludf.DUMMYFUNCTION("""COMPUTED_VALUE"""),229.12)</f>
        <v>229.12</v>
      </c>
      <c r="BP164" s="1">
        <f>IFERROR(__xludf.DUMMYFUNCTION("""COMPUTED_VALUE"""),504.51)</f>
        <v>504.51</v>
      </c>
      <c r="BQ164" s="36">
        <f>IFERROR(__xludf.DUMMYFUNCTION("""COMPUTED_VALUE"""),48.45)</f>
        <v>48.45</v>
      </c>
      <c r="BR164" s="1">
        <f>IFERROR(__xludf.DUMMYFUNCTION("""COMPUTED_VALUE"""),12.42)</f>
        <v>12.42</v>
      </c>
      <c r="BS164" s="3">
        <f>IFERROR(__xludf.DUMMYFUNCTION("""COMPUTED_VALUE"""),200.54)</f>
        <v>200.54</v>
      </c>
      <c r="BT164" s="1">
        <f>IFERROR(__xludf.DUMMYFUNCTION("""COMPUTED_VALUE"""),110.82)</f>
        <v>110.82</v>
      </c>
      <c r="BU164" s="3">
        <v>1.0</v>
      </c>
    </row>
    <row r="165">
      <c r="A165" s="25">
        <f>IFERROR(__xludf.DUMMYFUNCTION("""COMPUTED_VALUE"""),45660.66666666667)</f>
        <v>45660.66667</v>
      </c>
      <c r="B165" s="29">
        <f>'Master Scratch Work'!B164</f>
        <v>1335767.71</v>
      </c>
      <c r="C165" s="15">
        <f>IFERROR(__xludf.DUMMYFUNCTION("""COMPUTED_VALUE"""),5942.47)</f>
        <v>5942.47</v>
      </c>
      <c r="D165" s="15">
        <f>IFERROR(__xludf.DUMMYFUNCTION("""COMPUTED_VALUE"""),19621.68)</f>
        <v>19621.68</v>
      </c>
      <c r="E165" s="15">
        <f>IFERROR(__xludf.DUMMYFUNCTION("""COMPUTED_VALUE"""),42732.13)</f>
        <v>42732.13</v>
      </c>
      <c r="F165" s="15">
        <f>IFERROR(__xludf.DUMMYFUNCTION("""COMPUTED_VALUE"""),2268.47)</f>
        <v>2268.47</v>
      </c>
      <c r="G165" s="3">
        <f>IFERROR(__xludf.DUMMYFUNCTION("""COMPUTED_VALUE"""),591.95)</f>
        <v>591.95</v>
      </c>
      <c r="H165" s="3">
        <f>IFERROR(__xludf.DUMMYFUNCTION("""COMPUTED_VALUE"""),518.58)</f>
        <v>518.58</v>
      </c>
      <c r="I165" s="3">
        <f>IFERROR(__xludf.DUMMYFUNCTION("""COMPUTED_VALUE"""),430.57)</f>
        <v>430.57</v>
      </c>
      <c r="J165" s="3">
        <f>IFERROR(__xludf.DUMMYFUNCTION("""COMPUTED_VALUE"""),224.19)</f>
        <v>224.19</v>
      </c>
      <c r="K165" s="3">
        <f>IFERROR(__xludf.DUMMYFUNCTION("""COMPUTED_VALUE"""),123.77)</f>
        <v>123.77</v>
      </c>
      <c r="L165" s="3">
        <f>IFERROR(__xludf.DUMMYFUNCTION("""COMPUTED_VALUE"""),243.36)</f>
        <v>243.36</v>
      </c>
      <c r="M165" s="3">
        <f>IFERROR(__xludf.DUMMYFUNCTION("""COMPUTED_VALUE"""),170.06)</f>
        <v>170.06</v>
      </c>
      <c r="N165" s="3">
        <f>IFERROR(__xludf.DUMMYFUNCTION("""COMPUTED_VALUE"""),76.93)</f>
        <v>76.93</v>
      </c>
      <c r="O165" s="3">
        <f>IFERROR(__xludf.DUMMYFUNCTION("""COMPUTED_VALUE"""),13.3)</f>
        <v>13.3</v>
      </c>
      <c r="P165" s="3">
        <f>IFERROR(__xludf.DUMMYFUNCTION("""COMPUTED_VALUE"""),453.56)</f>
        <v>453.56</v>
      </c>
      <c r="Q165" s="3">
        <f>IFERROR(__xludf.DUMMYFUNCTION("""COMPUTED_VALUE"""),48.81)</f>
        <v>48.81</v>
      </c>
      <c r="R165" s="3">
        <f>IFERROR(__xludf.DUMMYFUNCTION("""COMPUTED_VALUE"""),152.21)</f>
        <v>152.21</v>
      </c>
      <c r="S165" s="3">
        <f>IFERROR(__xludf.DUMMYFUNCTION("""COMPUTED_VALUE"""),90.69)</f>
        <v>90.69</v>
      </c>
      <c r="T165" s="3">
        <f>IFERROR(__xludf.DUMMYFUNCTION("""COMPUTED_VALUE"""),69.26)</f>
        <v>69.26</v>
      </c>
      <c r="U165" s="3">
        <f>IFERROR(__xludf.DUMMYFUNCTION("""COMPUTED_VALUE"""),363.79)</f>
        <v>363.79</v>
      </c>
      <c r="V165" s="3">
        <f>IFERROR(__xludf.DUMMYFUNCTION("""COMPUTED_VALUE"""),53.12)</f>
        <v>53.12</v>
      </c>
      <c r="W165" s="3">
        <f>IFERROR(__xludf.DUMMYFUNCTION("""COMPUTED_VALUE"""),181.4)</f>
        <v>181.4</v>
      </c>
      <c r="X165" s="3">
        <f>IFERROR(__xludf.DUMMYFUNCTION("""COMPUTED_VALUE"""),147.85)</f>
        <v>147.85</v>
      </c>
      <c r="Y165" s="1">
        <f>IFERROR(__xludf.DUMMYFUNCTION("""COMPUTED_VALUE"""),280.7)</f>
        <v>280.7</v>
      </c>
      <c r="Z165" s="1">
        <f>IFERROR(__xludf.DUMMYFUNCTION("""COMPUTED_VALUE"""),44.56)</f>
        <v>44.56</v>
      </c>
      <c r="AA165" s="1">
        <f>IFERROR(__xludf.DUMMYFUNCTION("""COMPUTED_VALUE"""),61.75)</f>
        <v>61.75</v>
      </c>
      <c r="AB165" s="1">
        <f>IFERROR(__xludf.DUMMYFUNCTION("""COMPUTED_VALUE"""),89.24)</f>
        <v>89.24</v>
      </c>
      <c r="AC165" s="1">
        <f>IFERROR(__xludf.DUMMYFUNCTION("""COMPUTED_VALUE"""),181.74)</f>
        <v>181.74</v>
      </c>
      <c r="AD165" s="3">
        <f>IFERROR(__xludf.DUMMYFUNCTION("""COMPUTED_VALUE"""),73.36)</f>
        <v>73.36</v>
      </c>
      <c r="AE165" s="1">
        <f>IFERROR(__xludf.DUMMYFUNCTION("""COMPUTED_VALUE"""),438.08)</f>
        <v>438.08</v>
      </c>
      <c r="AF165" s="1">
        <f>IFERROR(__xludf.DUMMYFUNCTION("""COMPUTED_VALUE"""),61.61)</f>
        <v>61.61</v>
      </c>
      <c r="AG165" s="1">
        <f>IFERROR(__xludf.DUMMYFUNCTION("""COMPUTED_VALUE"""),107.86)</f>
        <v>107.86</v>
      </c>
      <c r="AH165" s="1">
        <f>IFERROR(__xludf.DUMMYFUNCTION("""COMPUTED_VALUE"""),274.41)</f>
        <v>274.41</v>
      </c>
      <c r="AI165" s="1">
        <f>IFERROR(__xludf.DUMMYFUNCTION("""COMPUTED_VALUE"""),417.42)</f>
        <v>417.42</v>
      </c>
      <c r="AJ165" s="1">
        <f>IFERROR(__xludf.DUMMYFUNCTION("""COMPUTED_VALUE"""),263.37)</f>
        <v>263.37</v>
      </c>
      <c r="AK165" s="3">
        <f>IFERROR(__xludf.DUMMYFUNCTION("""COMPUTED_VALUE"""),51.77)</f>
        <v>51.77</v>
      </c>
      <c r="AL165" s="1">
        <f>IFERROR(__xludf.DUMMYFUNCTION("""COMPUTED_VALUE"""),91.41)</f>
        <v>91.41</v>
      </c>
      <c r="AM165" s="1">
        <f>IFERROR(__xludf.DUMMYFUNCTION("""COMPUTED_VALUE"""),580.13)</f>
        <v>580.13</v>
      </c>
      <c r="AN165" s="1">
        <f>IFERROR(__xludf.DUMMYFUNCTION("""COMPUTED_VALUE"""),389.18)</f>
        <v>389.18</v>
      </c>
      <c r="AO165" s="1">
        <f>IFERROR(__xludf.DUMMYFUNCTION("""COMPUTED_VALUE"""),124.66)</f>
        <v>124.66</v>
      </c>
      <c r="AP165" s="1">
        <f>IFERROR(__xludf.DUMMYFUNCTION("""COMPUTED_VALUE"""),149.84)</f>
        <v>149.84</v>
      </c>
      <c r="AQ165" s="3">
        <f>IFERROR(__xludf.DUMMYFUNCTION("""COMPUTED_VALUE"""),535.29)</f>
        <v>535.29</v>
      </c>
      <c r="AR165" s="3">
        <f>IFERROR(__xludf.DUMMYFUNCTION("""COMPUTED_VALUE"""),243.28)</f>
        <v>243.28</v>
      </c>
      <c r="AS165" s="3">
        <f>IFERROR(__xludf.DUMMYFUNCTION("""COMPUTED_VALUE"""),481.82)</f>
        <v>481.82</v>
      </c>
      <c r="AT165" s="3">
        <f>IFERROR(__xludf.DUMMYFUNCTION("""COMPUTED_VALUE"""),378.18)</f>
        <v>378.18</v>
      </c>
      <c r="AU165" s="1">
        <f>IFERROR(__xludf.DUMMYFUNCTION("""COMPUTED_VALUE"""),30.67)</f>
        <v>30.67</v>
      </c>
      <c r="AV165" s="1">
        <f>IFERROR(__xludf.DUMMYFUNCTION("""COMPUTED_VALUE"""),80.95)</f>
        <v>80.95</v>
      </c>
      <c r="AW165" s="1">
        <f>IFERROR(__xludf.DUMMYFUNCTION("""COMPUTED_VALUE"""),82.21)</f>
        <v>82.21</v>
      </c>
      <c r="AX165" s="1">
        <f>IFERROR(__xludf.DUMMYFUNCTION("""COMPUTED_VALUE"""),18.2)</f>
        <v>18.2</v>
      </c>
      <c r="AY165" s="1">
        <f>IFERROR(__xludf.DUMMYFUNCTION("""COMPUTED_VALUE"""),423.35)</f>
        <v>423.35</v>
      </c>
      <c r="AZ165" s="3">
        <f>IFERROR(__xludf.DUMMYFUNCTION("""COMPUTED_VALUE"""),71.99)</f>
        <v>71.99</v>
      </c>
      <c r="BA165" s="3">
        <f>IFERROR(__xludf.DUMMYFUNCTION("""COMPUTED_VALUE"""),98.5)</f>
        <v>98.5</v>
      </c>
      <c r="BB165" s="3">
        <f>IFERROR(__xludf.DUMMYFUNCTION("""COMPUTED_VALUE"""),144.47)</f>
        <v>144.47</v>
      </c>
      <c r="BC165" s="1">
        <f>IFERROR(__xludf.DUMMYFUNCTION("""COMPUTED_VALUE"""),92.89)</f>
        <v>92.89</v>
      </c>
      <c r="BD165" s="3">
        <f>IFERROR(__xludf.DUMMYFUNCTION("""COMPUTED_VALUE"""),56.62)</f>
        <v>56.62</v>
      </c>
      <c r="BE165" s="3">
        <f>IFERROR(__xludf.DUMMYFUNCTION("""COMPUTED_VALUE"""),79.89)</f>
        <v>79.89</v>
      </c>
      <c r="BF165" s="1">
        <f>IFERROR(__xludf.DUMMYFUNCTION("""COMPUTED_VALUE"""),87.6)</f>
        <v>87.6</v>
      </c>
      <c r="BG165" s="1">
        <f>IFERROR(__xludf.DUMMYFUNCTION("""COMPUTED_VALUE"""),26.59)</f>
        <v>26.59</v>
      </c>
      <c r="BH165" s="1">
        <f>IFERROR(__xludf.DUMMYFUNCTION("""COMPUTED_VALUE"""),115.87)</f>
        <v>115.87</v>
      </c>
      <c r="BI165" s="1">
        <f>IFERROR(__xludf.DUMMYFUNCTION("""COMPUTED_VALUE"""),44.12)</f>
        <v>44.12</v>
      </c>
      <c r="BJ165" s="1">
        <f>IFERROR(__xludf.DUMMYFUNCTION("""COMPUTED_VALUE"""),219.11)</f>
        <v>219.11</v>
      </c>
      <c r="BK165" s="1">
        <f>IFERROR(__xludf.DUMMYFUNCTION("""COMPUTED_VALUE"""),532.02)</f>
        <v>532.02</v>
      </c>
      <c r="BL165" s="1">
        <f>IFERROR(__xludf.DUMMYFUNCTION("""COMPUTED_VALUE"""),195.25)</f>
        <v>195.25</v>
      </c>
      <c r="BM165" s="1">
        <f>IFERROR(__xludf.DUMMYFUNCTION("""COMPUTED_VALUE"""),69.09)</f>
        <v>69.09</v>
      </c>
      <c r="BN165" s="3">
        <f>IFERROR(__xludf.DUMMYFUNCTION("""COMPUTED_VALUE"""),8.36)</f>
        <v>8.36</v>
      </c>
      <c r="BO165" s="1">
        <f>IFERROR(__xludf.DUMMYFUNCTION("""COMPUTED_VALUE"""),231.5)</f>
        <v>231.5</v>
      </c>
      <c r="BP165" s="1">
        <f>IFERROR(__xludf.DUMMYFUNCTION("""COMPUTED_VALUE"""),513.0)</f>
        <v>513</v>
      </c>
      <c r="BQ165" s="36">
        <f>IFERROR(__xludf.DUMMYFUNCTION("""COMPUTED_VALUE"""),48.43)</f>
        <v>48.43</v>
      </c>
      <c r="BR165" s="1">
        <f>IFERROR(__xludf.DUMMYFUNCTION("""COMPUTED_VALUE"""),12.28)</f>
        <v>12.28</v>
      </c>
      <c r="BS165" s="3">
        <f>IFERROR(__xludf.DUMMYFUNCTION("""COMPUTED_VALUE"""),201.65)</f>
        <v>201.65</v>
      </c>
      <c r="BT165" s="1">
        <f>IFERROR(__xludf.DUMMYFUNCTION("""COMPUTED_VALUE"""),111.16)</f>
        <v>111.16</v>
      </c>
      <c r="BU165" s="3">
        <v>1.0</v>
      </c>
    </row>
    <row r="166">
      <c r="A166" s="25">
        <f>IFERROR(__xludf.DUMMYFUNCTION("""COMPUTED_VALUE"""),45663.66666666667)</f>
        <v>45663.66667</v>
      </c>
      <c r="B166" s="29">
        <f>'Master Scratch Work'!B165</f>
        <v>1336233.22</v>
      </c>
      <c r="C166" s="15">
        <f>IFERROR(__xludf.DUMMYFUNCTION("""COMPUTED_VALUE"""),5975.38)</f>
        <v>5975.38</v>
      </c>
      <c r="D166" s="15">
        <f>IFERROR(__xludf.DUMMYFUNCTION("""COMPUTED_VALUE"""),19864.98)</f>
        <v>19864.98</v>
      </c>
      <c r="E166" s="15">
        <f>IFERROR(__xludf.DUMMYFUNCTION("""COMPUTED_VALUE"""),42706.56)</f>
        <v>42706.56</v>
      </c>
      <c r="F166" s="15">
        <f>IFERROR(__xludf.DUMMYFUNCTION("""COMPUTED_VALUE"""),2266.65)</f>
        <v>2266.65</v>
      </c>
      <c r="G166" s="3">
        <f>IFERROR(__xludf.DUMMYFUNCTION("""COMPUTED_VALUE"""),595.36)</f>
        <v>595.36</v>
      </c>
      <c r="H166" s="3">
        <f>IFERROR(__xludf.DUMMYFUNCTION("""COMPUTED_VALUE"""),524.54)</f>
        <v>524.54</v>
      </c>
      <c r="I166" s="3">
        <f>IFERROR(__xludf.DUMMYFUNCTION("""COMPUTED_VALUE"""),431.18)</f>
        <v>431.18</v>
      </c>
      <c r="J166" s="3">
        <f>IFERROR(__xludf.DUMMYFUNCTION("""COMPUTED_VALUE"""),227.61)</f>
        <v>227.61</v>
      </c>
      <c r="K166" s="3">
        <f>IFERROR(__xludf.DUMMYFUNCTION("""COMPUTED_VALUE"""),121.97)</f>
        <v>121.97</v>
      </c>
      <c r="L166" s="3">
        <f>IFERROR(__xludf.DUMMYFUNCTION("""COMPUTED_VALUE"""),245.0)</f>
        <v>245</v>
      </c>
      <c r="M166" s="3">
        <f>IFERROR(__xludf.DUMMYFUNCTION("""COMPUTED_VALUE"""),177.48)</f>
        <v>177.48</v>
      </c>
      <c r="N166" s="3">
        <f>IFERROR(__xludf.DUMMYFUNCTION("""COMPUTED_VALUE"""),77.92)</f>
        <v>77.92</v>
      </c>
      <c r="O166" s="3">
        <f>IFERROR(__xludf.DUMMYFUNCTION("""COMPUTED_VALUE"""),13.61)</f>
        <v>13.61</v>
      </c>
      <c r="P166" s="3">
        <f>IFERROR(__xludf.DUMMYFUNCTION("""COMPUTED_VALUE"""),451.41)</f>
        <v>451.41</v>
      </c>
      <c r="Q166" s="3">
        <f>IFERROR(__xludf.DUMMYFUNCTION("""COMPUTED_VALUE"""),48.49)</f>
        <v>48.49</v>
      </c>
      <c r="R166" s="3">
        <f>IFERROR(__xludf.DUMMYFUNCTION("""COMPUTED_VALUE"""),153.27)</f>
        <v>153.27</v>
      </c>
      <c r="S166" s="3">
        <f>IFERROR(__xludf.DUMMYFUNCTION("""COMPUTED_VALUE"""),91.29)</f>
        <v>91.29</v>
      </c>
      <c r="T166" s="3">
        <f>IFERROR(__xludf.DUMMYFUNCTION("""COMPUTED_VALUE"""),68.71)</f>
        <v>68.71</v>
      </c>
      <c r="U166" s="3">
        <f>IFERROR(__xludf.DUMMYFUNCTION("""COMPUTED_VALUE"""),364.2)</f>
        <v>364.2</v>
      </c>
      <c r="V166" s="3">
        <f>IFERROR(__xludf.DUMMYFUNCTION("""COMPUTED_VALUE"""),54.81)</f>
        <v>54.81</v>
      </c>
      <c r="W166" s="3">
        <f>IFERROR(__xludf.DUMMYFUNCTION("""COMPUTED_VALUE"""),179.88)</f>
        <v>179.88</v>
      </c>
      <c r="X166" s="3">
        <f>IFERROR(__xludf.DUMMYFUNCTION("""COMPUTED_VALUE"""),147.26)</f>
        <v>147.26</v>
      </c>
      <c r="Y166" s="1">
        <f>IFERROR(__xludf.DUMMYFUNCTION("""COMPUTED_VALUE"""),279.66)</f>
        <v>279.66</v>
      </c>
      <c r="Z166" s="1">
        <f>IFERROR(__xludf.DUMMYFUNCTION("""COMPUTED_VALUE"""),44.8)</f>
        <v>44.8</v>
      </c>
      <c r="AA166" s="1">
        <f>IFERROR(__xludf.DUMMYFUNCTION("""COMPUTED_VALUE"""),60.81)</f>
        <v>60.81</v>
      </c>
      <c r="AB166" s="1">
        <f>IFERROR(__xludf.DUMMYFUNCTION("""COMPUTED_VALUE"""),88.37)</f>
        <v>88.37</v>
      </c>
      <c r="AC166" s="1">
        <f>IFERROR(__xludf.DUMMYFUNCTION("""COMPUTED_VALUE"""),179.6)</f>
        <v>179.6</v>
      </c>
      <c r="AD166" s="3">
        <f>IFERROR(__xludf.DUMMYFUNCTION("""COMPUTED_VALUE"""),76.61)</f>
        <v>76.61</v>
      </c>
      <c r="AE166" s="1">
        <f>IFERROR(__xludf.DUMMYFUNCTION("""COMPUTED_VALUE"""),424.5)</f>
        <v>424.5</v>
      </c>
      <c r="AF166" s="1">
        <f>IFERROR(__xludf.DUMMYFUNCTION("""COMPUTED_VALUE"""),62.94)</f>
        <v>62.94</v>
      </c>
      <c r="AG166" s="1">
        <f>IFERROR(__xludf.DUMMYFUNCTION("""COMPUTED_VALUE"""),107.74)</f>
        <v>107.74</v>
      </c>
      <c r="AH166" s="1">
        <f>IFERROR(__xludf.DUMMYFUNCTION("""COMPUTED_VALUE"""),273.97)</f>
        <v>273.97</v>
      </c>
      <c r="AI166" s="1">
        <f>IFERROR(__xludf.DUMMYFUNCTION("""COMPUTED_VALUE"""),426.77)</f>
        <v>426.77</v>
      </c>
      <c r="AJ166" s="1">
        <f>IFERROR(__xludf.DUMMYFUNCTION("""COMPUTED_VALUE"""),257.99)</f>
        <v>257.99</v>
      </c>
      <c r="AK166" s="3">
        <f>IFERROR(__xludf.DUMMYFUNCTION("""COMPUTED_VALUE"""),53.53)</f>
        <v>53.53</v>
      </c>
      <c r="AL166" s="1">
        <f>IFERROR(__xludf.DUMMYFUNCTION("""COMPUTED_VALUE"""),91.23)</f>
        <v>91.23</v>
      </c>
      <c r="AM166" s="1">
        <f>IFERROR(__xludf.DUMMYFUNCTION("""COMPUTED_VALUE"""),583.39)</f>
        <v>583.39</v>
      </c>
      <c r="AN166" s="1">
        <f>IFERROR(__xludf.DUMMYFUNCTION("""COMPUTED_VALUE"""),389.37)</f>
        <v>389.37</v>
      </c>
      <c r="AO166" s="1">
        <f>IFERROR(__xludf.DUMMYFUNCTION("""COMPUTED_VALUE"""),121.09)</f>
        <v>121.09</v>
      </c>
      <c r="AP166" s="1">
        <f>IFERROR(__xludf.DUMMYFUNCTION("""COMPUTED_VALUE"""),146.58)</f>
        <v>146.58</v>
      </c>
      <c r="AQ166" s="3">
        <f>IFERROR(__xludf.DUMMYFUNCTION("""COMPUTED_VALUE"""),542.37)</f>
        <v>542.37</v>
      </c>
      <c r="AR166" s="3">
        <f>IFERROR(__xludf.DUMMYFUNCTION("""COMPUTED_VALUE"""),240.85)</f>
        <v>240.85</v>
      </c>
      <c r="AS166" s="3">
        <f>IFERROR(__xludf.DUMMYFUNCTION("""COMPUTED_VALUE"""),466.0)</f>
        <v>466</v>
      </c>
      <c r="AT166" s="3">
        <f>IFERROR(__xludf.DUMMYFUNCTION("""COMPUTED_VALUE"""),395.31)</f>
        <v>395.31</v>
      </c>
      <c r="AU166" s="1">
        <f>IFERROR(__xludf.DUMMYFUNCTION("""COMPUTED_VALUE"""),30.81)</f>
        <v>30.81</v>
      </c>
      <c r="AV166" s="1">
        <f>IFERROR(__xludf.DUMMYFUNCTION("""COMPUTED_VALUE"""),79.84)</f>
        <v>79.84</v>
      </c>
      <c r="AW166" s="1">
        <f>IFERROR(__xludf.DUMMYFUNCTION("""COMPUTED_VALUE"""),81.99)</f>
        <v>81.99</v>
      </c>
      <c r="AX166" s="1">
        <f>IFERROR(__xludf.DUMMYFUNCTION("""COMPUTED_VALUE"""),20.46)</f>
        <v>20.46</v>
      </c>
      <c r="AY166" s="1">
        <f>IFERROR(__xludf.DUMMYFUNCTION("""COMPUTED_VALUE"""),427.85)</f>
        <v>427.85</v>
      </c>
      <c r="AZ166" s="3">
        <f>IFERROR(__xludf.DUMMYFUNCTION("""COMPUTED_VALUE"""),71.24)</f>
        <v>71.24</v>
      </c>
      <c r="BA166" s="3">
        <f>IFERROR(__xludf.DUMMYFUNCTION("""COMPUTED_VALUE"""),98.72)</f>
        <v>98.72</v>
      </c>
      <c r="BB166" s="3">
        <f>IFERROR(__xludf.DUMMYFUNCTION("""COMPUTED_VALUE"""),149.43)</f>
        <v>149.43</v>
      </c>
      <c r="BC166" s="1">
        <f>IFERROR(__xludf.DUMMYFUNCTION("""COMPUTED_VALUE"""),92.29)</f>
        <v>92.29</v>
      </c>
      <c r="BD166" s="3">
        <f>IFERROR(__xludf.DUMMYFUNCTION("""COMPUTED_VALUE"""),54.62)</f>
        <v>54.62</v>
      </c>
      <c r="BE166" s="3">
        <f>IFERROR(__xludf.DUMMYFUNCTION("""COMPUTED_VALUE"""),75.92)</f>
        <v>75.92</v>
      </c>
      <c r="BF166" s="1">
        <f>IFERROR(__xludf.DUMMYFUNCTION("""COMPUTED_VALUE"""),89.53)</f>
        <v>89.53</v>
      </c>
      <c r="BG166" s="1">
        <f>IFERROR(__xludf.DUMMYFUNCTION("""COMPUTED_VALUE"""),26.89)</f>
        <v>26.89</v>
      </c>
      <c r="BH166" s="1">
        <f>IFERROR(__xludf.DUMMYFUNCTION("""COMPUTED_VALUE"""),114.1)</f>
        <v>114.1</v>
      </c>
      <c r="BI166" s="1">
        <f>IFERROR(__xludf.DUMMYFUNCTION("""COMPUTED_VALUE"""),43.84)</f>
        <v>43.84</v>
      </c>
      <c r="BJ166" s="1">
        <f>IFERROR(__xludf.DUMMYFUNCTION("""COMPUTED_VALUE"""),212.38)</f>
        <v>212.38</v>
      </c>
      <c r="BK166" s="1">
        <f>IFERROR(__xludf.DUMMYFUNCTION("""COMPUTED_VALUE"""),537.19)</f>
        <v>537.19</v>
      </c>
      <c r="BL166" s="1">
        <f>IFERROR(__xludf.DUMMYFUNCTION("""COMPUTED_VALUE"""),190.39)</f>
        <v>190.39</v>
      </c>
      <c r="BM166" s="1">
        <f>IFERROR(__xludf.DUMMYFUNCTION("""COMPUTED_VALUE"""),75.63)</f>
        <v>75.63</v>
      </c>
      <c r="BN166" s="3">
        <f>IFERROR(__xludf.DUMMYFUNCTION("""COMPUTED_VALUE"""),8.47)</f>
        <v>8.47</v>
      </c>
      <c r="BO166" s="1">
        <f>IFERROR(__xludf.DUMMYFUNCTION("""COMPUTED_VALUE"""),230.01)</f>
        <v>230.01</v>
      </c>
      <c r="BP166" s="1">
        <f>IFERROR(__xludf.DUMMYFUNCTION("""COMPUTED_VALUE"""),513.67)</f>
        <v>513.67</v>
      </c>
      <c r="BQ166" s="36">
        <f>IFERROR(__xludf.DUMMYFUNCTION("""COMPUTED_VALUE"""),48.45)</f>
        <v>48.45</v>
      </c>
      <c r="BR166" s="1">
        <f>IFERROR(__xludf.DUMMYFUNCTION("""COMPUTED_VALUE"""),11.95)</f>
        <v>11.95</v>
      </c>
      <c r="BS166" s="3">
        <f>IFERROR(__xludf.DUMMYFUNCTION("""COMPUTED_VALUE"""),201.76)</f>
        <v>201.76</v>
      </c>
      <c r="BT166" s="1">
        <f>IFERROR(__xludf.DUMMYFUNCTION("""COMPUTED_VALUE"""),111.05)</f>
        <v>111.05</v>
      </c>
      <c r="BU166" s="3">
        <v>1.0</v>
      </c>
    </row>
    <row r="167">
      <c r="A167" s="25">
        <f>IFERROR(__xludf.DUMMYFUNCTION("""COMPUTED_VALUE"""),45664.66666666667)</f>
        <v>45664.66667</v>
      </c>
      <c r="B167" s="29">
        <f>'Master Scratch Work'!B166</f>
        <v>1328177.26</v>
      </c>
      <c r="C167" s="15">
        <f>IFERROR(__xludf.DUMMYFUNCTION("""COMPUTED_VALUE"""),5909.03)</f>
        <v>5909.03</v>
      </c>
      <c r="D167" s="15">
        <f>IFERROR(__xludf.DUMMYFUNCTION("""COMPUTED_VALUE"""),19489.68)</f>
        <v>19489.68</v>
      </c>
      <c r="E167" s="15">
        <f>IFERROR(__xludf.DUMMYFUNCTION("""COMPUTED_VALUE"""),42528.36)</f>
        <v>42528.36</v>
      </c>
      <c r="F167" s="15">
        <f>IFERROR(__xludf.DUMMYFUNCTION("""COMPUTED_VALUE"""),2249.8)</f>
        <v>2249.8</v>
      </c>
      <c r="G167" s="3">
        <f>IFERROR(__xludf.DUMMYFUNCTION("""COMPUTED_VALUE"""),588.63)</f>
        <v>588.63</v>
      </c>
      <c r="H167" s="3">
        <f>IFERROR(__xludf.DUMMYFUNCTION("""COMPUTED_VALUE"""),515.18)</f>
        <v>515.18</v>
      </c>
      <c r="I167" s="3">
        <f>IFERROR(__xludf.DUMMYFUNCTION("""COMPUTED_VALUE"""),422.63)</f>
        <v>422.63</v>
      </c>
      <c r="J167" s="3">
        <f>IFERROR(__xludf.DUMMYFUNCTION("""COMPUTED_VALUE"""),222.11)</f>
        <v>222.11</v>
      </c>
      <c r="K167" s="3">
        <f>IFERROR(__xludf.DUMMYFUNCTION("""COMPUTED_VALUE"""),121.63)</f>
        <v>121.63</v>
      </c>
      <c r="L167" s="3">
        <f>IFERROR(__xludf.DUMMYFUNCTION("""COMPUTED_VALUE"""),242.21)</f>
        <v>242.21</v>
      </c>
      <c r="M167" s="3">
        <f>IFERROR(__xludf.DUMMYFUNCTION("""COMPUTED_VALUE"""),177.82)</f>
        <v>177.82</v>
      </c>
      <c r="N167" s="3">
        <f>IFERROR(__xludf.DUMMYFUNCTION("""COMPUTED_VALUE"""),77.96)</f>
        <v>77.96</v>
      </c>
      <c r="O167" s="3">
        <f>IFERROR(__xludf.DUMMYFUNCTION("""COMPUTED_VALUE"""),13.25)</f>
        <v>13.25</v>
      </c>
      <c r="P167" s="3">
        <f>IFERROR(__xludf.DUMMYFUNCTION("""COMPUTED_VALUE"""),452.92)</f>
        <v>452.92</v>
      </c>
      <c r="Q167" s="3">
        <f>IFERROR(__xludf.DUMMYFUNCTION("""COMPUTED_VALUE"""),48.18)</f>
        <v>48.18</v>
      </c>
      <c r="R167" s="3">
        <f>IFERROR(__xludf.DUMMYFUNCTION("""COMPUTED_VALUE"""),153.15)</f>
        <v>153.15</v>
      </c>
      <c r="S167" s="3">
        <f>IFERROR(__xludf.DUMMYFUNCTION("""COMPUTED_VALUE"""),91.99)</f>
        <v>91.99</v>
      </c>
      <c r="T167" s="3">
        <f>IFERROR(__xludf.DUMMYFUNCTION("""COMPUTED_VALUE"""),68.21)</f>
        <v>68.21</v>
      </c>
      <c r="U167" s="3">
        <f>IFERROR(__xludf.DUMMYFUNCTION("""COMPUTED_VALUE"""),363.0)</f>
        <v>363</v>
      </c>
      <c r="V167" s="3">
        <f>IFERROR(__xludf.DUMMYFUNCTION("""COMPUTED_VALUE"""),51.58)</f>
        <v>51.58</v>
      </c>
      <c r="W167" s="3">
        <f>IFERROR(__xludf.DUMMYFUNCTION("""COMPUTED_VALUE"""),181.48)</f>
        <v>181.48</v>
      </c>
      <c r="X167" s="3">
        <f>IFERROR(__xludf.DUMMYFUNCTION("""COMPUTED_VALUE"""),149.59)</f>
        <v>149.59</v>
      </c>
      <c r="Y167" s="1">
        <f>IFERROR(__xludf.DUMMYFUNCTION("""COMPUTED_VALUE"""),279.93)</f>
        <v>279.93</v>
      </c>
      <c r="Z167" s="1">
        <f>IFERROR(__xludf.DUMMYFUNCTION("""COMPUTED_VALUE"""),44.7)</f>
        <v>44.7</v>
      </c>
      <c r="AA167" s="1">
        <f>IFERROR(__xludf.DUMMYFUNCTION("""COMPUTED_VALUE"""),60.84)</f>
        <v>60.84</v>
      </c>
      <c r="AB167" s="1">
        <f>IFERROR(__xludf.DUMMYFUNCTION("""COMPUTED_VALUE"""),88.0)</f>
        <v>88</v>
      </c>
      <c r="AC167" s="1">
        <f>IFERROR(__xludf.DUMMYFUNCTION("""COMPUTED_VALUE"""),179.88)</f>
        <v>179.88</v>
      </c>
      <c r="AD167" s="3">
        <f>IFERROR(__xludf.DUMMYFUNCTION("""COMPUTED_VALUE"""),75.01)</f>
        <v>75.01</v>
      </c>
      <c r="AE167" s="1">
        <f>IFERROR(__xludf.DUMMYFUNCTION("""COMPUTED_VALUE"""),410.9)</f>
        <v>410.9</v>
      </c>
      <c r="AF167" s="1">
        <f>IFERROR(__xludf.DUMMYFUNCTION("""COMPUTED_VALUE"""),63.17)</f>
        <v>63.17</v>
      </c>
      <c r="AG167" s="1">
        <f>IFERROR(__xludf.DUMMYFUNCTION("""COMPUTED_VALUE"""),108.75)</f>
        <v>108.75</v>
      </c>
      <c r="AH167" s="1">
        <f>IFERROR(__xludf.DUMMYFUNCTION("""COMPUTED_VALUE"""),275.0)</f>
        <v>275</v>
      </c>
      <c r="AI167" s="1">
        <f>IFERROR(__xludf.DUMMYFUNCTION("""COMPUTED_VALUE"""),427.97)</f>
        <v>427.97</v>
      </c>
      <c r="AJ167" s="1">
        <f>IFERROR(__xludf.DUMMYFUNCTION("""COMPUTED_VALUE"""),259.65)</f>
        <v>259.65</v>
      </c>
      <c r="AK167" s="3">
        <f>IFERROR(__xludf.DUMMYFUNCTION("""COMPUTED_VALUE"""),51.98)</f>
        <v>51.98</v>
      </c>
      <c r="AL167" s="1">
        <f>IFERROR(__xludf.DUMMYFUNCTION("""COMPUTED_VALUE"""),90.63)</f>
        <v>90.63</v>
      </c>
      <c r="AM167" s="1">
        <f>IFERROR(__xludf.DUMMYFUNCTION("""COMPUTED_VALUE"""),580.12)</f>
        <v>580.12</v>
      </c>
      <c r="AN167" s="1">
        <f>IFERROR(__xludf.DUMMYFUNCTION("""COMPUTED_VALUE"""),384.23)</f>
        <v>384.23</v>
      </c>
      <c r="AO167" s="1">
        <f>IFERROR(__xludf.DUMMYFUNCTION("""COMPUTED_VALUE"""),122.61)</f>
        <v>122.61</v>
      </c>
      <c r="AP167" s="1">
        <f>IFERROR(__xludf.DUMMYFUNCTION("""COMPUTED_VALUE"""),146.44)</f>
        <v>146.44</v>
      </c>
      <c r="AQ167" s="3">
        <f>IFERROR(__xludf.DUMMYFUNCTION("""COMPUTED_VALUE"""),531.88)</f>
        <v>531.88</v>
      </c>
      <c r="AR167" s="3">
        <f>IFERROR(__xludf.DUMMYFUNCTION("""COMPUTED_VALUE"""),243.17)</f>
        <v>243.17</v>
      </c>
      <c r="AS167" s="3">
        <f>IFERROR(__xludf.DUMMYFUNCTION("""COMPUTED_VALUE"""),463.96)</f>
        <v>463.96</v>
      </c>
      <c r="AT167" s="3">
        <f>IFERROR(__xludf.DUMMYFUNCTION("""COMPUTED_VALUE"""),393.46)</f>
        <v>393.46</v>
      </c>
      <c r="AU167" s="1">
        <f>IFERROR(__xludf.DUMMYFUNCTION("""COMPUTED_VALUE"""),30.66)</f>
        <v>30.66</v>
      </c>
      <c r="AV167" s="1">
        <f>IFERROR(__xludf.DUMMYFUNCTION("""COMPUTED_VALUE"""),79.87)</f>
        <v>79.87</v>
      </c>
      <c r="AW167" s="1">
        <f>IFERROR(__xludf.DUMMYFUNCTION("""COMPUTED_VALUE"""),82.14)</f>
        <v>82.14</v>
      </c>
      <c r="AX167" s="1">
        <f>IFERROR(__xludf.DUMMYFUNCTION("""COMPUTED_VALUE"""),20.58)</f>
        <v>20.58</v>
      </c>
      <c r="AY167" s="1">
        <f>IFERROR(__xludf.DUMMYFUNCTION("""COMPUTED_VALUE"""),422.37)</f>
        <v>422.37</v>
      </c>
      <c r="AZ167" s="3">
        <f>IFERROR(__xludf.DUMMYFUNCTION("""COMPUTED_VALUE"""),70.43)</f>
        <v>70.43</v>
      </c>
      <c r="BA167" s="3">
        <f>IFERROR(__xludf.DUMMYFUNCTION("""COMPUTED_VALUE"""),96.73)</f>
        <v>96.73</v>
      </c>
      <c r="BB167" s="3">
        <f>IFERROR(__xludf.DUMMYFUNCTION("""COMPUTED_VALUE"""),140.14)</f>
        <v>140.14</v>
      </c>
      <c r="BC167" s="1">
        <f>IFERROR(__xludf.DUMMYFUNCTION("""COMPUTED_VALUE"""),92.12)</f>
        <v>92.12</v>
      </c>
      <c r="BD167" s="3">
        <f>IFERROR(__xludf.DUMMYFUNCTION("""COMPUTED_VALUE"""),55.28)</f>
        <v>55.28</v>
      </c>
      <c r="BE167" s="3">
        <f>IFERROR(__xludf.DUMMYFUNCTION("""COMPUTED_VALUE"""),69.99)</f>
        <v>69.99</v>
      </c>
      <c r="BF167" s="1">
        <f>IFERROR(__xludf.DUMMYFUNCTION("""COMPUTED_VALUE"""),87.97)</f>
        <v>87.97</v>
      </c>
      <c r="BG167" s="1">
        <f>IFERROR(__xludf.DUMMYFUNCTION("""COMPUTED_VALUE"""),27.13)</f>
        <v>27.13</v>
      </c>
      <c r="BH167" s="1">
        <f>IFERROR(__xludf.DUMMYFUNCTION("""COMPUTED_VALUE"""),114.8)</f>
        <v>114.8</v>
      </c>
      <c r="BI167" s="1">
        <f>IFERROR(__xludf.DUMMYFUNCTION("""COMPUTED_VALUE"""),44.33)</f>
        <v>44.33</v>
      </c>
      <c r="BJ167" s="1">
        <f>IFERROR(__xludf.DUMMYFUNCTION("""COMPUTED_VALUE"""),212.34)</f>
        <v>212.34</v>
      </c>
      <c r="BK167" s="1">
        <f>IFERROR(__xludf.DUMMYFUNCTION("""COMPUTED_VALUE"""),545.65)</f>
        <v>545.65</v>
      </c>
      <c r="BL167" s="1">
        <f>IFERROR(__xludf.DUMMYFUNCTION("""COMPUTED_VALUE"""),193.12)</f>
        <v>193.12</v>
      </c>
      <c r="BM167" s="1">
        <f>IFERROR(__xludf.DUMMYFUNCTION("""COMPUTED_VALUE"""),78.67)</f>
        <v>78.67</v>
      </c>
      <c r="BN167" s="3">
        <f>IFERROR(__xludf.DUMMYFUNCTION("""COMPUTED_VALUE"""),8.39)</f>
        <v>8.39</v>
      </c>
      <c r="BO167" s="1">
        <f>IFERROR(__xludf.DUMMYFUNCTION("""COMPUTED_VALUE"""),230.54)</f>
        <v>230.54</v>
      </c>
      <c r="BP167" s="1">
        <f>IFERROR(__xludf.DUMMYFUNCTION("""COMPUTED_VALUE"""),514.25)</f>
        <v>514.25</v>
      </c>
      <c r="BQ167" s="36">
        <f>IFERROR(__xludf.DUMMYFUNCTION("""COMPUTED_VALUE"""),48.45)</f>
        <v>48.45</v>
      </c>
      <c r="BR167" s="1">
        <f>IFERROR(__xludf.DUMMYFUNCTION("""COMPUTED_VALUE"""),12.0)</f>
        <v>12</v>
      </c>
      <c r="BS167" s="3">
        <f>IFERROR(__xludf.DUMMYFUNCTION("""COMPUTED_VALUE"""),203.39)</f>
        <v>203.39</v>
      </c>
      <c r="BT167" s="1">
        <f>IFERROR(__xludf.DUMMYFUNCTION("""COMPUTED_VALUE"""),111.39)</f>
        <v>111.39</v>
      </c>
      <c r="BU167" s="3">
        <v>1.0</v>
      </c>
    </row>
    <row r="168">
      <c r="A168" s="25">
        <f>IFERROR(__xludf.DUMMYFUNCTION("""COMPUTED_VALUE"""),45665.66666666667)</f>
        <v>45665.66667</v>
      </c>
      <c r="B168" s="29">
        <f>'Master Scratch Work'!B167</f>
        <v>1330833.66</v>
      </c>
      <c r="C168" s="15">
        <f>IFERROR(__xludf.DUMMYFUNCTION("""COMPUTED_VALUE"""),5918.25)</f>
        <v>5918.25</v>
      </c>
      <c r="D168" s="15">
        <f>IFERROR(__xludf.DUMMYFUNCTION("""COMPUTED_VALUE"""),19478.88)</f>
        <v>19478.88</v>
      </c>
      <c r="E168" s="15">
        <f>IFERROR(__xludf.DUMMYFUNCTION("""COMPUTED_VALUE"""),42635.2)</f>
        <v>42635.2</v>
      </c>
      <c r="F168" s="15">
        <f>IFERROR(__xludf.DUMMYFUNCTION("""COMPUTED_VALUE"""),2238.96)</f>
        <v>2238.96</v>
      </c>
      <c r="G168" s="3">
        <f>IFERROR(__xludf.DUMMYFUNCTION("""COMPUTED_VALUE"""),589.49)</f>
        <v>589.49</v>
      </c>
      <c r="H168" s="3">
        <f>IFERROR(__xludf.DUMMYFUNCTION("""COMPUTED_VALUE"""),515.27)</f>
        <v>515.27</v>
      </c>
      <c r="I168" s="3">
        <f>IFERROR(__xludf.DUMMYFUNCTION("""COMPUTED_VALUE"""),419.58)</f>
        <v>419.58</v>
      </c>
      <c r="J168" s="3">
        <f>IFERROR(__xludf.DUMMYFUNCTION("""COMPUTED_VALUE"""),222.13)</f>
        <v>222.13</v>
      </c>
      <c r="K168" s="3">
        <f>IFERROR(__xludf.DUMMYFUNCTION("""COMPUTED_VALUE"""),122.61)</f>
        <v>122.61</v>
      </c>
      <c r="L168" s="3">
        <f>IFERROR(__xludf.DUMMYFUNCTION("""COMPUTED_VALUE"""),242.7)</f>
        <v>242.7</v>
      </c>
      <c r="M168" s="3">
        <f>IFERROR(__xludf.DUMMYFUNCTION("""COMPUTED_VALUE"""),176.99)</f>
        <v>176.99</v>
      </c>
      <c r="N168" s="3">
        <f>IFERROR(__xludf.DUMMYFUNCTION("""COMPUTED_VALUE"""),77.95)</f>
        <v>77.95</v>
      </c>
      <c r="O168" s="3">
        <f>IFERROR(__xludf.DUMMYFUNCTION("""COMPUTED_VALUE"""),13.19)</f>
        <v>13.19</v>
      </c>
      <c r="P168" s="3">
        <f>IFERROR(__xludf.DUMMYFUNCTION("""COMPUTED_VALUE"""),451.84)</f>
        <v>451.84</v>
      </c>
      <c r="Q168" s="3">
        <f>IFERROR(__xludf.DUMMYFUNCTION("""COMPUTED_VALUE"""),48.72)</f>
        <v>48.72</v>
      </c>
      <c r="R168" s="3">
        <f>IFERROR(__xludf.DUMMYFUNCTION("""COMPUTED_VALUE"""),150.75)</f>
        <v>150.75</v>
      </c>
      <c r="S168" s="3">
        <f>IFERROR(__xludf.DUMMYFUNCTION("""COMPUTED_VALUE"""),95.95)</f>
        <v>95.95</v>
      </c>
      <c r="T168" s="3">
        <f>IFERROR(__xludf.DUMMYFUNCTION("""COMPUTED_VALUE"""),68.45)</f>
        <v>68.45</v>
      </c>
      <c r="U168" s="3">
        <f>IFERROR(__xludf.DUMMYFUNCTION("""COMPUTED_VALUE"""),361.07)</f>
        <v>361.07</v>
      </c>
      <c r="V168" s="3">
        <f>IFERROR(__xludf.DUMMYFUNCTION("""COMPUTED_VALUE"""),51.38)</f>
        <v>51.38</v>
      </c>
      <c r="W168" s="3">
        <f>IFERROR(__xludf.DUMMYFUNCTION("""COMPUTED_VALUE"""),183.19)</f>
        <v>183.19</v>
      </c>
      <c r="X168" s="3">
        <f>IFERROR(__xludf.DUMMYFUNCTION("""COMPUTED_VALUE"""),150.3)</f>
        <v>150.3</v>
      </c>
      <c r="Y168" s="1">
        <f>IFERROR(__xludf.DUMMYFUNCTION("""COMPUTED_VALUE"""),279.32)</f>
        <v>279.32</v>
      </c>
      <c r="Z168" s="1">
        <f>IFERROR(__xludf.DUMMYFUNCTION("""COMPUTED_VALUE"""),44.78)</f>
        <v>44.78</v>
      </c>
      <c r="AA168" s="1">
        <f>IFERROR(__xludf.DUMMYFUNCTION("""COMPUTED_VALUE"""),61.71)</f>
        <v>61.71</v>
      </c>
      <c r="AB168" s="1">
        <f>IFERROR(__xludf.DUMMYFUNCTION("""COMPUTED_VALUE"""),89.01)</f>
        <v>89.01</v>
      </c>
      <c r="AC168" s="1">
        <f>IFERROR(__xludf.DUMMYFUNCTION("""COMPUTED_VALUE"""),180.87)</f>
        <v>180.87</v>
      </c>
      <c r="AD168" s="3">
        <f>IFERROR(__xludf.DUMMYFUNCTION("""COMPUTED_VALUE"""),71.97)</f>
        <v>71.97</v>
      </c>
      <c r="AE168" s="1">
        <f>IFERROR(__xludf.DUMMYFUNCTION("""COMPUTED_VALUE"""),412.69)</f>
        <v>412.69</v>
      </c>
      <c r="AF168" s="1">
        <f>IFERROR(__xludf.DUMMYFUNCTION("""COMPUTED_VALUE"""),69.4)</f>
        <v>69.4</v>
      </c>
      <c r="AG168" s="1">
        <f>IFERROR(__xludf.DUMMYFUNCTION("""COMPUTED_VALUE"""),106.93)</f>
        <v>106.93</v>
      </c>
      <c r="AH168" s="1">
        <f>IFERROR(__xludf.DUMMYFUNCTION("""COMPUTED_VALUE"""),274.9)</f>
        <v>274.9</v>
      </c>
      <c r="AI168" s="1">
        <f>IFERROR(__xludf.DUMMYFUNCTION("""COMPUTED_VALUE"""),433.87)</f>
        <v>433.87</v>
      </c>
      <c r="AJ168" s="1">
        <f>IFERROR(__xludf.DUMMYFUNCTION("""COMPUTED_VALUE"""),261.47)</f>
        <v>261.47</v>
      </c>
      <c r="AK168" s="3">
        <f>IFERROR(__xludf.DUMMYFUNCTION("""COMPUTED_VALUE"""),51.0)</f>
        <v>51</v>
      </c>
      <c r="AL168" s="1">
        <f>IFERROR(__xludf.DUMMYFUNCTION("""COMPUTED_VALUE"""),89.14)</f>
        <v>89.14</v>
      </c>
      <c r="AM168" s="1">
        <f>IFERROR(__xludf.DUMMYFUNCTION("""COMPUTED_VALUE"""),580.02)</f>
        <v>580.02</v>
      </c>
      <c r="AN168" s="1">
        <f>IFERROR(__xludf.DUMMYFUNCTION("""COMPUTED_VALUE"""),387.2)</f>
        <v>387.2</v>
      </c>
      <c r="AO168" s="1">
        <f>IFERROR(__xludf.DUMMYFUNCTION("""COMPUTED_VALUE"""),125.68)</f>
        <v>125.68</v>
      </c>
      <c r="AP168" s="1">
        <f>IFERROR(__xludf.DUMMYFUNCTION("""COMPUTED_VALUE"""),146.57)</f>
        <v>146.57</v>
      </c>
      <c r="AQ168" s="3">
        <f>IFERROR(__xludf.DUMMYFUNCTION("""COMPUTED_VALUE"""),544.02)</f>
        <v>544.02</v>
      </c>
      <c r="AR168" s="3">
        <f>IFERROR(__xludf.DUMMYFUNCTION("""COMPUTED_VALUE"""),243.13)</f>
        <v>243.13</v>
      </c>
      <c r="AS168" s="3">
        <f>IFERROR(__xludf.DUMMYFUNCTION("""COMPUTED_VALUE"""),468.85)</f>
        <v>468.85</v>
      </c>
      <c r="AT168" s="3">
        <f>IFERROR(__xludf.DUMMYFUNCTION("""COMPUTED_VALUE"""),392.92)</f>
        <v>392.92</v>
      </c>
      <c r="AU168" s="1">
        <f>IFERROR(__xludf.DUMMYFUNCTION("""COMPUTED_VALUE"""),30.68)</f>
        <v>30.68</v>
      </c>
      <c r="AV168" s="1">
        <f>IFERROR(__xludf.DUMMYFUNCTION("""COMPUTED_VALUE"""),82.68)</f>
        <v>82.68</v>
      </c>
      <c r="AW168" s="1">
        <f>IFERROR(__xludf.DUMMYFUNCTION("""COMPUTED_VALUE"""),82.82)</f>
        <v>82.82</v>
      </c>
      <c r="AX168" s="1">
        <f>IFERROR(__xludf.DUMMYFUNCTION("""COMPUTED_VALUE"""),19.38)</f>
        <v>19.38</v>
      </c>
      <c r="AY168" s="1">
        <f>IFERROR(__xludf.DUMMYFUNCTION("""COMPUTED_VALUE"""),424.56)</f>
        <v>424.56</v>
      </c>
      <c r="AZ168" s="3">
        <f>IFERROR(__xludf.DUMMYFUNCTION("""COMPUTED_VALUE"""),70.66)</f>
        <v>70.66</v>
      </c>
      <c r="BA168" s="3">
        <f>IFERROR(__xludf.DUMMYFUNCTION("""COMPUTED_VALUE"""),98.54)</f>
        <v>98.54</v>
      </c>
      <c r="BB168" s="3">
        <f>IFERROR(__xludf.DUMMYFUNCTION("""COMPUTED_VALUE"""),140.11)</f>
        <v>140.11</v>
      </c>
      <c r="BC168" s="1">
        <f>IFERROR(__xludf.DUMMYFUNCTION("""COMPUTED_VALUE"""),91.79)</f>
        <v>91.79</v>
      </c>
      <c r="BD168" s="3">
        <f>IFERROR(__xludf.DUMMYFUNCTION("""COMPUTED_VALUE"""),55.54)</f>
        <v>55.54</v>
      </c>
      <c r="BE168" s="3">
        <f>IFERROR(__xludf.DUMMYFUNCTION("""COMPUTED_VALUE"""),68.23)</f>
        <v>68.23</v>
      </c>
      <c r="BF168" s="1">
        <f>IFERROR(__xludf.DUMMYFUNCTION("""COMPUTED_VALUE"""),87.94)</f>
        <v>87.94</v>
      </c>
      <c r="BG168" s="1">
        <f>IFERROR(__xludf.DUMMYFUNCTION("""COMPUTED_VALUE"""),26.86)</f>
        <v>26.86</v>
      </c>
      <c r="BH168" s="1">
        <f>IFERROR(__xludf.DUMMYFUNCTION("""COMPUTED_VALUE"""),115.92)</f>
        <v>115.92</v>
      </c>
      <c r="BI168" s="1">
        <f>IFERROR(__xludf.DUMMYFUNCTION("""COMPUTED_VALUE"""),44.42)</f>
        <v>44.42</v>
      </c>
      <c r="BJ168" s="1">
        <f>IFERROR(__xludf.DUMMYFUNCTION("""COMPUTED_VALUE"""),215.52)</f>
        <v>215.52</v>
      </c>
      <c r="BK168" s="1">
        <f>IFERROR(__xludf.DUMMYFUNCTION("""COMPUTED_VALUE"""),544.93)</f>
        <v>544.93</v>
      </c>
      <c r="BL168" s="1">
        <f>IFERROR(__xludf.DUMMYFUNCTION("""COMPUTED_VALUE"""),192.55)</f>
        <v>192.55</v>
      </c>
      <c r="BM168" s="1">
        <f>IFERROR(__xludf.DUMMYFUNCTION("""COMPUTED_VALUE"""),72.55)</f>
        <v>72.55</v>
      </c>
      <c r="BN168" s="3">
        <f>IFERROR(__xludf.DUMMYFUNCTION("""COMPUTED_VALUE"""),8.09)</f>
        <v>8.09</v>
      </c>
      <c r="BO168" s="1">
        <f>IFERROR(__xludf.DUMMYFUNCTION("""COMPUTED_VALUE"""),231.82)</f>
        <v>231.82</v>
      </c>
      <c r="BP168" s="1">
        <f>IFERROR(__xludf.DUMMYFUNCTION("""COMPUTED_VALUE"""),524.52)</f>
        <v>524.52</v>
      </c>
      <c r="BQ168" s="36">
        <f>IFERROR(__xludf.DUMMYFUNCTION("""COMPUTED_VALUE"""),48.5)</f>
        <v>48.5</v>
      </c>
      <c r="BR168" s="1">
        <f>IFERROR(__xludf.DUMMYFUNCTION("""COMPUTED_VALUE"""),11.96)</f>
        <v>11.96</v>
      </c>
      <c r="BS168" s="3">
        <f>IFERROR(__xludf.DUMMYFUNCTION("""COMPUTED_VALUE"""),206.58)</f>
        <v>206.58</v>
      </c>
      <c r="BT168" s="1">
        <f>IFERROR(__xludf.DUMMYFUNCTION("""COMPUTED_VALUE"""),109.76)</f>
        <v>109.76</v>
      </c>
      <c r="BU168" s="3">
        <v>1.0</v>
      </c>
    </row>
    <row r="169">
      <c r="A169" s="25">
        <f>IFERROR(__xludf.DUMMYFUNCTION("""COMPUTED_VALUE"""),45667.66666666667)</f>
        <v>45667.66667</v>
      </c>
      <c r="B169" s="29">
        <f>'Master Scratch Work'!B168</f>
        <v>1309706.35</v>
      </c>
      <c r="C169" s="15">
        <f>IFERROR(__xludf.DUMMYFUNCTION("""COMPUTED_VALUE"""),5827.04)</f>
        <v>5827.04</v>
      </c>
      <c r="D169" s="15">
        <f>IFERROR(__xludf.DUMMYFUNCTION("""COMPUTED_VALUE"""),19161.63)</f>
        <v>19161.63</v>
      </c>
      <c r="E169" s="15">
        <f>IFERROR(__xludf.DUMMYFUNCTION("""COMPUTED_VALUE"""),41938.45)</f>
        <v>41938.45</v>
      </c>
      <c r="F169" s="15">
        <f>IFERROR(__xludf.DUMMYFUNCTION("""COMPUTED_VALUE"""),2189.23)</f>
        <v>2189.23</v>
      </c>
      <c r="G169" s="3">
        <f>IFERROR(__xludf.DUMMYFUNCTION("""COMPUTED_VALUE"""),580.49)</f>
        <v>580.49</v>
      </c>
      <c r="H169" s="3">
        <f>IFERROR(__xludf.DUMMYFUNCTION("""COMPUTED_VALUE"""),507.19)</f>
        <v>507.19</v>
      </c>
      <c r="I169" s="3">
        <f>IFERROR(__xludf.DUMMYFUNCTION("""COMPUTED_VALUE"""),405.92)</f>
        <v>405.92</v>
      </c>
      <c r="J169" s="3">
        <f>IFERROR(__xludf.DUMMYFUNCTION("""COMPUTED_VALUE"""),218.94)</f>
        <v>218.94</v>
      </c>
      <c r="K169" s="3">
        <f>IFERROR(__xludf.DUMMYFUNCTION("""COMPUTED_VALUE"""),121.12)</f>
        <v>121.12</v>
      </c>
      <c r="L169" s="3">
        <f>IFERROR(__xludf.DUMMYFUNCTION("""COMPUTED_VALUE"""),236.85)</f>
        <v>236.85</v>
      </c>
      <c r="M169" s="3">
        <f>IFERROR(__xludf.DUMMYFUNCTION("""COMPUTED_VALUE"""),171.65)</f>
        <v>171.65</v>
      </c>
      <c r="N169" s="3">
        <f>IFERROR(__xludf.DUMMYFUNCTION("""COMPUTED_VALUE"""),75.42)</f>
        <v>75.42</v>
      </c>
      <c r="O169" s="3">
        <f>IFERROR(__xludf.DUMMYFUNCTION("""COMPUTED_VALUE"""),12.69)</f>
        <v>12.69</v>
      </c>
      <c r="P169" s="3">
        <f>IFERROR(__xludf.DUMMYFUNCTION("""COMPUTED_VALUE"""),442.66)</f>
        <v>442.66</v>
      </c>
      <c r="Q169" s="3">
        <f>IFERROR(__xludf.DUMMYFUNCTION("""COMPUTED_VALUE"""),48.54)</f>
        <v>48.54</v>
      </c>
      <c r="R169" s="3">
        <f>IFERROR(__xludf.DUMMYFUNCTION("""COMPUTED_VALUE"""),148.82)</f>
        <v>148.82</v>
      </c>
      <c r="S169" s="3">
        <f>IFERROR(__xludf.DUMMYFUNCTION("""COMPUTED_VALUE"""),94.88)</f>
        <v>94.88</v>
      </c>
      <c r="T169" s="3">
        <f>IFERROR(__xludf.DUMMYFUNCTION("""COMPUTED_VALUE"""),66.51)</f>
        <v>66.51</v>
      </c>
      <c r="U169" s="3">
        <f>IFERROR(__xludf.DUMMYFUNCTION("""COMPUTED_VALUE"""),351.0)</f>
        <v>351</v>
      </c>
      <c r="V169" s="3">
        <f>IFERROR(__xludf.DUMMYFUNCTION("""COMPUTED_VALUE"""),49.24)</f>
        <v>49.24</v>
      </c>
      <c r="W169" s="3">
        <f>IFERROR(__xludf.DUMMYFUNCTION("""COMPUTED_VALUE"""),182.0)</f>
        <v>182</v>
      </c>
      <c r="X169" s="3">
        <f>IFERROR(__xludf.DUMMYFUNCTION("""COMPUTED_VALUE"""),153.14)</f>
        <v>153.14</v>
      </c>
      <c r="Y169" s="1">
        <f>IFERROR(__xludf.DUMMYFUNCTION("""COMPUTED_VALUE"""),278.99)</f>
        <v>278.99</v>
      </c>
      <c r="Z169" s="1">
        <f>IFERROR(__xludf.DUMMYFUNCTION("""COMPUTED_VALUE"""),43.3)</f>
        <v>43.3</v>
      </c>
      <c r="AA169" s="1">
        <f>IFERROR(__xludf.DUMMYFUNCTION("""COMPUTED_VALUE"""),61.07)</f>
        <v>61.07</v>
      </c>
      <c r="AB169" s="1">
        <f>IFERROR(__xludf.DUMMYFUNCTION("""COMPUTED_VALUE"""),88.15)</f>
        <v>88.15</v>
      </c>
      <c r="AC169" s="1">
        <f>IFERROR(__xludf.DUMMYFUNCTION("""COMPUTED_VALUE"""),173.34)</f>
        <v>173.34</v>
      </c>
      <c r="AD169" s="3">
        <f>IFERROR(__xludf.DUMMYFUNCTION("""COMPUTED_VALUE"""),72.9)</f>
        <v>72.9</v>
      </c>
      <c r="AE169" s="1">
        <f>IFERROR(__xludf.DUMMYFUNCTION("""COMPUTED_VALUE"""),402.33)</f>
        <v>402.33</v>
      </c>
      <c r="AF169" s="1">
        <f>IFERROR(__xludf.DUMMYFUNCTION("""COMPUTED_VALUE"""),65.9)</f>
        <v>65.9</v>
      </c>
      <c r="AG169" s="1">
        <f>IFERROR(__xludf.DUMMYFUNCTION("""COMPUTED_VALUE"""),106.54)</f>
        <v>106.54</v>
      </c>
      <c r="AH169" s="1">
        <f>IFERROR(__xludf.DUMMYFUNCTION("""COMPUTED_VALUE"""),270.73)</f>
        <v>270.73</v>
      </c>
      <c r="AI169" s="1">
        <f>IFERROR(__xludf.DUMMYFUNCTION("""COMPUTED_VALUE"""),429.29)</f>
        <v>429.29</v>
      </c>
      <c r="AJ169" s="1">
        <f>IFERROR(__xludf.DUMMYFUNCTION("""COMPUTED_VALUE"""),259.38)</f>
        <v>259.38</v>
      </c>
      <c r="AK169" s="3">
        <f>IFERROR(__xludf.DUMMYFUNCTION("""COMPUTED_VALUE"""),49.85)</f>
        <v>49.85</v>
      </c>
      <c r="AL169" s="1">
        <f>IFERROR(__xludf.DUMMYFUNCTION("""COMPUTED_VALUE"""),89.88)</f>
        <v>89.88</v>
      </c>
      <c r="AM169" s="1">
        <f>IFERROR(__xludf.DUMMYFUNCTION("""COMPUTED_VALUE"""),560.0)</f>
        <v>560</v>
      </c>
      <c r="AN169" s="1">
        <f>IFERROR(__xludf.DUMMYFUNCTION("""COMPUTED_VALUE"""),389.89)</f>
        <v>389.89</v>
      </c>
      <c r="AO169" s="1">
        <f>IFERROR(__xludf.DUMMYFUNCTION("""COMPUTED_VALUE"""),124.6)</f>
        <v>124.6</v>
      </c>
      <c r="AP169" s="1">
        <f>IFERROR(__xludf.DUMMYFUNCTION("""COMPUTED_VALUE"""),142.8)</f>
        <v>142.8</v>
      </c>
      <c r="AQ169" s="3">
        <f>IFERROR(__xludf.DUMMYFUNCTION("""COMPUTED_VALUE"""),547.47)</f>
        <v>547.47</v>
      </c>
      <c r="AR169" s="3">
        <f>IFERROR(__xludf.DUMMYFUNCTION("""COMPUTED_VALUE"""),239.87)</f>
        <v>239.87</v>
      </c>
      <c r="AS169" s="3">
        <f>IFERROR(__xludf.DUMMYFUNCTION("""COMPUTED_VALUE"""),468.05)</f>
        <v>468.05</v>
      </c>
      <c r="AT169" s="3">
        <f>IFERROR(__xludf.DUMMYFUNCTION("""COMPUTED_VALUE"""),395.47)</f>
        <v>395.47</v>
      </c>
      <c r="AU169" s="1">
        <f>IFERROR(__xludf.DUMMYFUNCTION("""COMPUTED_VALUE"""),29.79)</f>
        <v>29.79</v>
      </c>
      <c r="AV169" s="1">
        <f>IFERROR(__xludf.DUMMYFUNCTION("""COMPUTED_VALUE"""),80.66)</f>
        <v>80.66</v>
      </c>
      <c r="AW169" s="1">
        <f>IFERROR(__xludf.DUMMYFUNCTION("""COMPUTED_VALUE"""),80.25)</f>
        <v>80.25</v>
      </c>
      <c r="AX169" s="1">
        <f>IFERROR(__xludf.DUMMYFUNCTION("""COMPUTED_VALUE"""),19.75)</f>
        <v>19.75</v>
      </c>
      <c r="AY169" s="1">
        <f>IFERROR(__xludf.DUMMYFUNCTION("""COMPUTED_VALUE"""),418.95)</f>
        <v>418.95</v>
      </c>
      <c r="AZ169" s="3">
        <f>IFERROR(__xludf.DUMMYFUNCTION("""COMPUTED_VALUE"""),67.38)</f>
        <v>67.38</v>
      </c>
      <c r="BA169" s="3">
        <f>IFERROR(__xludf.DUMMYFUNCTION("""COMPUTED_VALUE"""),99.39)</f>
        <v>99.39</v>
      </c>
      <c r="BB169" s="3">
        <f>IFERROR(__xludf.DUMMYFUNCTION("""COMPUTED_VALUE"""),135.91)</f>
        <v>135.91</v>
      </c>
      <c r="BC169" s="1">
        <f>IFERROR(__xludf.DUMMYFUNCTION("""COMPUTED_VALUE"""),90.77)</f>
        <v>90.77</v>
      </c>
      <c r="BD169" s="3">
        <f>IFERROR(__xludf.DUMMYFUNCTION("""COMPUTED_VALUE"""),56.63)</f>
        <v>56.63</v>
      </c>
      <c r="BE169" s="3">
        <f>IFERROR(__xludf.DUMMYFUNCTION("""COMPUTED_VALUE"""),67.26)</f>
        <v>67.26</v>
      </c>
      <c r="BF169" s="1">
        <f>IFERROR(__xludf.DUMMYFUNCTION("""COMPUTED_VALUE"""),83.36)</f>
        <v>83.36</v>
      </c>
      <c r="BG169" s="1">
        <f>IFERROR(__xludf.DUMMYFUNCTION("""COMPUTED_VALUE"""),26.72)</f>
        <v>26.72</v>
      </c>
      <c r="BH169" s="1">
        <f>IFERROR(__xludf.DUMMYFUNCTION("""COMPUTED_VALUE"""),115.11)</f>
        <v>115.11</v>
      </c>
      <c r="BI169" s="1">
        <f>IFERROR(__xludf.DUMMYFUNCTION("""COMPUTED_VALUE"""),41.78)</f>
        <v>41.78</v>
      </c>
      <c r="BJ169" s="1">
        <f>IFERROR(__xludf.DUMMYFUNCTION("""COMPUTED_VALUE"""),211.3)</f>
        <v>211.3</v>
      </c>
      <c r="BK169" s="1">
        <f>IFERROR(__xludf.DUMMYFUNCTION("""COMPUTED_VALUE"""),542.31)</f>
        <v>542.31</v>
      </c>
      <c r="BL169" s="1">
        <f>IFERROR(__xludf.DUMMYFUNCTION("""COMPUTED_VALUE"""),183.47)</f>
        <v>183.47</v>
      </c>
      <c r="BM169" s="1">
        <f>IFERROR(__xludf.DUMMYFUNCTION("""COMPUTED_VALUE"""),68.81)</f>
        <v>68.81</v>
      </c>
      <c r="BN169" s="3">
        <f>IFERROR(__xludf.DUMMYFUNCTION("""COMPUTED_VALUE"""),8.21)</f>
        <v>8.21</v>
      </c>
      <c r="BO169" s="1">
        <f>IFERROR(__xludf.DUMMYFUNCTION("""COMPUTED_VALUE"""),225.21)</f>
        <v>225.21</v>
      </c>
      <c r="BP169" s="1">
        <f>IFERROR(__xludf.DUMMYFUNCTION("""COMPUTED_VALUE"""),520.69)</f>
        <v>520.69</v>
      </c>
      <c r="BQ169" s="36">
        <f>IFERROR(__xludf.DUMMYFUNCTION("""COMPUTED_VALUE"""),48.45)</f>
        <v>48.45</v>
      </c>
      <c r="BR169" s="1">
        <f>IFERROR(__xludf.DUMMYFUNCTION("""COMPUTED_VALUE"""),11.67)</f>
        <v>11.67</v>
      </c>
      <c r="BS169" s="3">
        <f>IFERROR(__xludf.DUMMYFUNCTION("""COMPUTED_VALUE"""),207.25)</f>
        <v>207.25</v>
      </c>
      <c r="BT169" s="1">
        <f>IFERROR(__xludf.DUMMYFUNCTION("""COMPUTED_VALUE"""),108.65)</f>
        <v>108.65</v>
      </c>
      <c r="BU169" s="3">
        <v>1.0</v>
      </c>
    </row>
    <row r="170">
      <c r="A170" s="25">
        <f>IFERROR(__xludf.DUMMYFUNCTION("""COMPUTED_VALUE"""),45670.66666666667)</f>
        <v>45670.66667</v>
      </c>
      <c r="B170" s="29">
        <f>'Master Scratch Work'!B169</f>
        <v>1314583.16</v>
      </c>
      <c r="C170" s="15">
        <f>IFERROR(__xludf.DUMMYFUNCTION("""COMPUTED_VALUE"""),5836.22)</f>
        <v>5836.22</v>
      </c>
      <c r="D170" s="15">
        <f>IFERROR(__xludf.DUMMYFUNCTION("""COMPUTED_VALUE"""),19088.1)</f>
        <v>19088.1</v>
      </c>
      <c r="E170" s="15">
        <f>IFERROR(__xludf.DUMMYFUNCTION("""COMPUTED_VALUE"""),42297.12)</f>
        <v>42297.12</v>
      </c>
      <c r="F170" s="15">
        <f>IFERROR(__xludf.DUMMYFUNCTION("""COMPUTED_VALUE"""),2194.4)</f>
        <v>2194.4</v>
      </c>
      <c r="G170" s="3">
        <f>IFERROR(__xludf.DUMMYFUNCTION("""COMPUTED_VALUE"""),581.39)</f>
        <v>581.39</v>
      </c>
      <c r="H170" s="3">
        <f>IFERROR(__xludf.DUMMYFUNCTION("""COMPUTED_VALUE"""),505.56)</f>
        <v>505.56</v>
      </c>
      <c r="I170" s="3">
        <f>IFERROR(__xludf.DUMMYFUNCTION("""COMPUTED_VALUE"""),408.5)</f>
        <v>408.5</v>
      </c>
      <c r="J170" s="3">
        <f>IFERROR(__xludf.DUMMYFUNCTION("""COMPUTED_VALUE"""),218.46)</f>
        <v>218.46</v>
      </c>
      <c r="K170" s="3">
        <f>IFERROR(__xludf.DUMMYFUNCTION("""COMPUTED_VALUE"""),121.01)</f>
        <v>121.01</v>
      </c>
      <c r="L170" s="3">
        <f>IFERROR(__xludf.DUMMYFUNCTION("""COMPUTED_VALUE"""),234.4)</f>
        <v>234.4</v>
      </c>
      <c r="M170" s="3">
        <f>IFERROR(__xludf.DUMMYFUNCTION("""COMPUTED_VALUE"""),170.86)</f>
        <v>170.86</v>
      </c>
      <c r="N170" s="3">
        <f>IFERROR(__xludf.DUMMYFUNCTION("""COMPUTED_VALUE"""),76.11)</f>
        <v>76.11</v>
      </c>
      <c r="O170" s="3">
        <f>IFERROR(__xludf.DUMMYFUNCTION("""COMPUTED_VALUE"""),12.83)</f>
        <v>12.83</v>
      </c>
      <c r="P170" s="3">
        <f>IFERROR(__xludf.DUMMYFUNCTION("""COMPUTED_VALUE"""),443.91)</f>
        <v>443.91</v>
      </c>
      <c r="Q170" s="3">
        <f>IFERROR(__xludf.DUMMYFUNCTION("""COMPUTED_VALUE"""),49.3)</f>
        <v>49.3</v>
      </c>
      <c r="R170" s="3">
        <f>IFERROR(__xludf.DUMMYFUNCTION("""COMPUTED_VALUE"""),150.18)</f>
        <v>150.18</v>
      </c>
      <c r="S170" s="3">
        <f>IFERROR(__xludf.DUMMYFUNCTION("""COMPUTED_VALUE"""),94.61)</f>
        <v>94.61</v>
      </c>
      <c r="T170" s="3">
        <f>IFERROR(__xludf.DUMMYFUNCTION("""COMPUTED_VALUE"""),67.11)</f>
        <v>67.11</v>
      </c>
      <c r="U170" s="3">
        <f>IFERROR(__xludf.DUMMYFUNCTION("""COMPUTED_VALUE"""),362.5)</f>
        <v>362.5</v>
      </c>
      <c r="V170" s="3">
        <f>IFERROR(__xludf.DUMMYFUNCTION("""COMPUTED_VALUE"""),48.8)</f>
        <v>48.8</v>
      </c>
      <c r="W170" s="3">
        <f>IFERROR(__xludf.DUMMYFUNCTION("""COMPUTED_VALUE"""),182.69)</f>
        <v>182.69</v>
      </c>
      <c r="X170" s="3">
        <f>IFERROR(__xludf.DUMMYFUNCTION("""COMPUTED_VALUE"""),155.35)</f>
        <v>155.35</v>
      </c>
      <c r="Y170" s="1">
        <f>IFERROR(__xludf.DUMMYFUNCTION("""COMPUTED_VALUE"""),282.45)</f>
        <v>282.45</v>
      </c>
      <c r="Z170" s="1">
        <f>IFERROR(__xludf.DUMMYFUNCTION("""COMPUTED_VALUE"""),44.16)</f>
        <v>44.16</v>
      </c>
      <c r="AA170" s="1">
        <f>IFERROR(__xludf.DUMMYFUNCTION("""COMPUTED_VALUE"""),61.65)</f>
        <v>61.65</v>
      </c>
      <c r="AB170" s="1">
        <f>IFERROR(__xludf.DUMMYFUNCTION("""COMPUTED_VALUE"""),88.47)</f>
        <v>88.47</v>
      </c>
      <c r="AC170" s="1">
        <f>IFERROR(__xludf.DUMMYFUNCTION("""COMPUTED_VALUE"""),171.92)</f>
        <v>171.92</v>
      </c>
      <c r="AD170" s="3">
        <f>IFERROR(__xludf.DUMMYFUNCTION("""COMPUTED_VALUE"""),71.15)</f>
        <v>71.15</v>
      </c>
      <c r="AE170" s="1">
        <f>IFERROR(__xludf.DUMMYFUNCTION("""COMPUTED_VALUE"""),410.14)</f>
        <v>410.14</v>
      </c>
      <c r="AF170" s="1">
        <f>IFERROR(__xludf.DUMMYFUNCTION("""COMPUTED_VALUE"""),65.72)</f>
        <v>65.72</v>
      </c>
      <c r="AG170" s="1">
        <f>IFERROR(__xludf.DUMMYFUNCTION("""COMPUTED_VALUE"""),109.29)</f>
        <v>109.29</v>
      </c>
      <c r="AH170" s="1">
        <f>IFERROR(__xludf.DUMMYFUNCTION("""COMPUTED_VALUE"""),274.59)</f>
        <v>274.59</v>
      </c>
      <c r="AI170" s="1">
        <f>IFERROR(__xludf.DUMMYFUNCTION("""COMPUTED_VALUE"""),418.37)</f>
        <v>418.37</v>
      </c>
      <c r="AJ170" s="1">
        <f>IFERROR(__xludf.DUMMYFUNCTION("""COMPUTED_VALUE"""),263.67)</f>
        <v>263.67</v>
      </c>
      <c r="AK170" s="3">
        <f>IFERROR(__xludf.DUMMYFUNCTION("""COMPUTED_VALUE"""),49.93)</f>
        <v>49.93</v>
      </c>
      <c r="AL170" s="1">
        <f>IFERROR(__xludf.DUMMYFUNCTION("""COMPUTED_VALUE"""),89.94)</f>
        <v>89.94</v>
      </c>
      <c r="AM170" s="1">
        <f>IFERROR(__xludf.DUMMYFUNCTION("""COMPUTED_VALUE"""),562.95)</f>
        <v>562.95</v>
      </c>
      <c r="AN170" s="1">
        <f>IFERROR(__xludf.DUMMYFUNCTION("""COMPUTED_VALUE"""),389.18)</f>
        <v>389.18</v>
      </c>
      <c r="AO170" s="1">
        <f>IFERROR(__xludf.DUMMYFUNCTION("""COMPUTED_VALUE"""),124.1)</f>
        <v>124.1</v>
      </c>
      <c r="AP170" s="1">
        <f>IFERROR(__xludf.DUMMYFUNCTION("""COMPUTED_VALUE"""),143.89)</f>
        <v>143.89</v>
      </c>
      <c r="AQ170" s="3">
        <f>IFERROR(__xludf.DUMMYFUNCTION("""COMPUTED_VALUE"""),539.75)</f>
        <v>539.75</v>
      </c>
      <c r="AR170" s="3">
        <f>IFERROR(__xludf.DUMMYFUNCTION("""COMPUTED_VALUE"""),244.21)</f>
        <v>244.21</v>
      </c>
      <c r="AS170" s="3">
        <f>IFERROR(__xludf.DUMMYFUNCTION("""COMPUTED_VALUE"""),483.16)</f>
        <v>483.16</v>
      </c>
      <c r="AT170" s="3">
        <f>IFERROR(__xludf.DUMMYFUNCTION("""COMPUTED_VALUE"""),398.86)</f>
        <v>398.86</v>
      </c>
      <c r="AU170" s="1">
        <f>IFERROR(__xludf.DUMMYFUNCTION("""COMPUTED_VALUE"""),29.54)</f>
        <v>29.54</v>
      </c>
      <c r="AV170" s="1">
        <f>IFERROR(__xludf.DUMMYFUNCTION("""COMPUTED_VALUE"""),81.79)</f>
        <v>81.79</v>
      </c>
      <c r="AW170" s="1">
        <f>IFERROR(__xludf.DUMMYFUNCTION("""COMPUTED_VALUE"""),81.91)</f>
        <v>81.91</v>
      </c>
      <c r="AX170" s="1">
        <f>IFERROR(__xludf.DUMMYFUNCTION("""COMPUTED_VALUE"""),19.53)</f>
        <v>19.53</v>
      </c>
      <c r="AY170" s="1">
        <f>IFERROR(__xludf.DUMMYFUNCTION("""COMPUTED_VALUE"""),417.19)</f>
        <v>417.19</v>
      </c>
      <c r="AZ170" s="3">
        <f>IFERROR(__xludf.DUMMYFUNCTION("""COMPUTED_VALUE"""),66.96)</f>
        <v>66.96</v>
      </c>
      <c r="BA170" s="3">
        <f>IFERROR(__xludf.DUMMYFUNCTION("""COMPUTED_VALUE"""),97.2)</f>
        <v>97.2</v>
      </c>
      <c r="BB170" s="3">
        <f>IFERROR(__xludf.DUMMYFUNCTION("""COMPUTED_VALUE"""),133.23)</f>
        <v>133.23</v>
      </c>
      <c r="BC170" s="1">
        <f>IFERROR(__xludf.DUMMYFUNCTION("""COMPUTED_VALUE"""),91.16)</f>
        <v>91.16</v>
      </c>
      <c r="BD170" s="3">
        <f>IFERROR(__xludf.DUMMYFUNCTION("""COMPUTED_VALUE"""),55.38)</f>
        <v>55.38</v>
      </c>
      <c r="BE170" s="3">
        <f>IFERROR(__xludf.DUMMYFUNCTION("""COMPUTED_VALUE"""),64.98)</f>
        <v>64.98</v>
      </c>
      <c r="BF170" s="1">
        <f>IFERROR(__xludf.DUMMYFUNCTION("""COMPUTED_VALUE"""),83.99)</f>
        <v>83.99</v>
      </c>
      <c r="BG170" s="1">
        <f>IFERROR(__xludf.DUMMYFUNCTION("""COMPUTED_VALUE"""),26.8)</f>
        <v>26.8</v>
      </c>
      <c r="BH170" s="1">
        <f>IFERROR(__xludf.DUMMYFUNCTION("""COMPUTED_VALUE"""),117.74)</f>
        <v>117.74</v>
      </c>
      <c r="BI170" s="1">
        <f>IFERROR(__xludf.DUMMYFUNCTION("""COMPUTED_VALUE"""),42.57)</f>
        <v>42.57</v>
      </c>
      <c r="BJ170" s="1">
        <f>IFERROR(__xludf.DUMMYFUNCTION("""COMPUTED_VALUE"""),213.46)</f>
        <v>213.46</v>
      </c>
      <c r="BK170" s="1">
        <f>IFERROR(__xludf.DUMMYFUNCTION("""COMPUTED_VALUE"""),555.52)</f>
        <v>555.52</v>
      </c>
      <c r="BL170" s="1">
        <f>IFERROR(__xludf.DUMMYFUNCTION("""COMPUTED_VALUE"""),183.25)</f>
        <v>183.25</v>
      </c>
      <c r="BM170" s="1">
        <f>IFERROR(__xludf.DUMMYFUNCTION("""COMPUTED_VALUE"""),64.05)</f>
        <v>64.05</v>
      </c>
      <c r="BN170" s="3">
        <f>IFERROR(__xludf.DUMMYFUNCTION("""COMPUTED_VALUE"""),8.3)</f>
        <v>8.3</v>
      </c>
      <c r="BO170" s="1">
        <f>IFERROR(__xludf.DUMMYFUNCTION("""COMPUTED_VALUE"""),226.76)</f>
        <v>226.76</v>
      </c>
      <c r="BP170" s="1">
        <f>IFERROR(__xludf.DUMMYFUNCTION("""COMPUTED_VALUE"""),541.14)</f>
        <v>541.14</v>
      </c>
      <c r="BQ170" s="36">
        <f>IFERROR(__xludf.DUMMYFUNCTION("""COMPUTED_VALUE"""),48.48)</f>
        <v>48.48</v>
      </c>
      <c r="BR170" s="1">
        <f>IFERROR(__xludf.DUMMYFUNCTION("""COMPUTED_VALUE"""),11.8)</f>
        <v>11.8</v>
      </c>
      <c r="BS170" s="3">
        <f>IFERROR(__xludf.DUMMYFUNCTION("""COMPUTED_VALUE"""),207.53)</f>
        <v>207.53</v>
      </c>
      <c r="BT170" s="1">
        <f>IFERROR(__xludf.DUMMYFUNCTION("""COMPUTED_VALUE"""),108.08)</f>
        <v>108.08</v>
      </c>
      <c r="BU170" s="3">
        <v>1.0</v>
      </c>
    </row>
    <row r="171">
      <c r="A171" s="25">
        <f>IFERROR(__xludf.DUMMYFUNCTION("""COMPUTED_VALUE"""),45671.66666666667)</f>
        <v>45671.66667</v>
      </c>
      <c r="B171" s="29">
        <f>'Master Scratch Work'!B170</f>
        <v>1322580.6</v>
      </c>
      <c r="C171" s="15">
        <f>IFERROR(__xludf.DUMMYFUNCTION("""COMPUTED_VALUE"""),5842.91)</f>
        <v>5842.91</v>
      </c>
      <c r="D171" s="15">
        <f>IFERROR(__xludf.DUMMYFUNCTION("""COMPUTED_VALUE"""),19044.39)</f>
        <v>19044.39</v>
      </c>
      <c r="E171" s="15">
        <f>IFERROR(__xludf.DUMMYFUNCTION("""COMPUTED_VALUE"""),42518.28)</f>
        <v>42518.28</v>
      </c>
      <c r="F171" s="15">
        <f>IFERROR(__xludf.DUMMYFUNCTION("""COMPUTED_VALUE"""),2219.24)</f>
        <v>2219.24</v>
      </c>
      <c r="G171" s="3">
        <f>IFERROR(__xludf.DUMMYFUNCTION("""COMPUTED_VALUE"""),582.19)</f>
        <v>582.19</v>
      </c>
      <c r="H171" s="3">
        <f>IFERROR(__xludf.DUMMYFUNCTION("""COMPUTED_VALUE"""),505.08)</f>
        <v>505.08</v>
      </c>
      <c r="I171" s="3">
        <f>IFERROR(__xludf.DUMMYFUNCTION("""COMPUTED_VALUE"""),412.71)</f>
        <v>412.71</v>
      </c>
      <c r="J171" s="3">
        <f>IFERROR(__xludf.DUMMYFUNCTION("""COMPUTED_VALUE"""),217.76)</f>
        <v>217.76</v>
      </c>
      <c r="K171" s="3">
        <f>IFERROR(__xludf.DUMMYFUNCTION("""COMPUTED_VALUE"""),122.52)</f>
        <v>122.52</v>
      </c>
      <c r="L171" s="3">
        <f>IFERROR(__xludf.DUMMYFUNCTION("""COMPUTED_VALUE"""),233.28)</f>
        <v>233.28</v>
      </c>
      <c r="M171" s="3">
        <f>IFERROR(__xludf.DUMMYFUNCTION("""COMPUTED_VALUE"""),173.65)</f>
        <v>173.65</v>
      </c>
      <c r="N171" s="3">
        <f>IFERROR(__xludf.DUMMYFUNCTION("""COMPUTED_VALUE"""),75.94)</f>
        <v>75.94</v>
      </c>
      <c r="O171" s="3">
        <f>IFERROR(__xludf.DUMMYFUNCTION("""COMPUTED_VALUE"""),13.03)</f>
        <v>13.03</v>
      </c>
      <c r="P171" s="3">
        <f>IFERROR(__xludf.DUMMYFUNCTION("""COMPUTED_VALUE"""),450.03)</f>
        <v>450.03</v>
      </c>
      <c r="Q171" s="3">
        <f>IFERROR(__xludf.DUMMYFUNCTION("""COMPUTED_VALUE"""),49.62)</f>
        <v>49.62</v>
      </c>
      <c r="R171" s="3">
        <f>IFERROR(__xludf.DUMMYFUNCTION("""COMPUTED_VALUE"""),143.06)</f>
        <v>143.06</v>
      </c>
      <c r="S171" s="3">
        <f>IFERROR(__xludf.DUMMYFUNCTION("""COMPUTED_VALUE"""),95.65)</f>
        <v>95.65</v>
      </c>
      <c r="T171" s="3">
        <f>IFERROR(__xludf.DUMMYFUNCTION("""COMPUTED_VALUE"""),68.4)</f>
        <v>68.4</v>
      </c>
      <c r="U171" s="3">
        <f>IFERROR(__xludf.DUMMYFUNCTION("""COMPUTED_VALUE"""),371.57)</f>
        <v>371.57</v>
      </c>
      <c r="V171" s="3">
        <f>IFERROR(__xludf.DUMMYFUNCTION("""COMPUTED_VALUE"""),49.06)</f>
        <v>49.06</v>
      </c>
      <c r="W171" s="3">
        <f>IFERROR(__xludf.DUMMYFUNCTION("""COMPUTED_VALUE"""),183.25)</f>
        <v>183.25</v>
      </c>
      <c r="X171" s="3">
        <f>IFERROR(__xludf.DUMMYFUNCTION("""COMPUTED_VALUE"""),156.9)</f>
        <v>156.9</v>
      </c>
      <c r="Y171" s="1">
        <f>IFERROR(__xludf.DUMMYFUNCTION("""COMPUTED_VALUE"""),285.03)</f>
        <v>285.03</v>
      </c>
      <c r="Z171" s="1">
        <f>IFERROR(__xludf.DUMMYFUNCTION("""COMPUTED_VALUE"""),45.7)</f>
        <v>45.7</v>
      </c>
      <c r="AA171" s="1">
        <f>IFERROR(__xludf.DUMMYFUNCTION("""COMPUTED_VALUE"""),62.04)</f>
        <v>62.04</v>
      </c>
      <c r="AB171" s="1">
        <f>IFERROR(__xludf.DUMMYFUNCTION("""COMPUTED_VALUE"""),89.37)</f>
        <v>89.37</v>
      </c>
      <c r="AC171" s="1">
        <f>IFERROR(__xludf.DUMMYFUNCTION("""COMPUTED_VALUE"""),173.89)</f>
        <v>173.89</v>
      </c>
      <c r="AD171" s="3">
        <f>IFERROR(__xludf.DUMMYFUNCTION("""COMPUTED_VALUE"""),70.17)</f>
        <v>70.17</v>
      </c>
      <c r="AE171" s="1">
        <f>IFERROR(__xludf.DUMMYFUNCTION("""COMPUTED_VALUE"""),416.08)</f>
        <v>416.08</v>
      </c>
      <c r="AF171" s="1">
        <f>IFERROR(__xludf.DUMMYFUNCTION("""COMPUTED_VALUE"""),64.41)</f>
        <v>64.41</v>
      </c>
      <c r="AG171" s="1">
        <f>IFERROR(__xludf.DUMMYFUNCTION("""COMPUTED_VALUE"""),109.72)</f>
        <v>109.72</v>
      </c>
      <c r="AH171" s="1">
        <f>IFERROR(__xludf.DUMMYFUNCTION("""COMPUTED_VALUE"""),277.62)</f>
        <v>277.62</v>
      </c>
      <c r="AI171" s="1">
        <f>IFERROR(__xludf.DUMMYFUNCTION("""COMPUTED_VALUE"""),421.97)</f>
        <v>421.97</v>
      </c>
      <c r="AJ171" s="1">
        <f>IFERROR(__xludf.DUMMYFUNCTION("""COMPUTED_VALUE"""),265.12)</f>
        <v>265.12</v>
      </c>
      <c r="AK171" s="3">
        <f>IFERROR(__xludf.DUMMYFUNCTION("""COMPUTED_VALUE"""),50.94)</f>
        <v>50.94</v>
      </c>
      <c r="AL171" s="1">
        <f>IFERROR(__xludf.DUMMYFUNCTION("""COMPUTED_VALUE"""),91.0)</f>
        <v>91</v>
      </c>
      <c r="AM171" s="1">
        <f>IFERROR(__xludf.DUMMYFUNCTION("""COMPUTED_VALUE"""),571.53)</f>
        <v>571.53</v>
      </c>
      <c r="AN171" s="1">
        <f>IFERROR(__xludf.DUMMYFUNCTION("""COMPUTED_VALUE"""),392.78)</f>
        <v>392.78</v>
      </c>
      <c r="AO171" s="1">
        <f>IFERROR(__xludf.DUMMYFUNCTION("""COMPUTED_VALUE"""),126.8)</f>
        <v>126.8</v>
      </c>
      <c r="AP171" s="1">
        <f>IFERROR(__xludf.DUMMYFUNCTION("""COMPUTED_VALUE"""),145.25)</f>
        <v>145.25</v>
      </c>
      <c r="AQ171" s="3">
        <f>IFERROR(__xludf.DUMMYFUNCTION("""COMPUTED_VALUE"""),538.88)</f>
        <v>538.88</v>
      </c>
      <c r="AR171" s="3">
        <f>IFERROR(__xludf.DUMMYFUNCTION("""COMPUTED_VALUE"""),247.47)</f>
        <v>247.47</v>
      </c>
      <c r="AS171" s="3">
        <f>IFERROR(__xludf.DUMMYFUNCTION("""COMPUTED_VALUE"""),484.46)</f>
        <v>484.46</v>
      </c>
      <c r="AT171" s="3">
        <f>IFERROR(__xludf.DUMMYFUNCTION("""COMPUTED_VALUE"""),388.74)</f>
        <v>388.74</v>
      </c>
      <c r="AU171" s="1">
        <f>IFERROR(__xludf.DUMMYFUNCTION("""COMPUTED_VALUE"""),29.84)</f>
        <v>29.84</v>
      </c>
      <c r="AV171" s="1">
        <f>IFERROR(__xludf.DUMMYFUNCTION("""COMPUTED_VALUE"""),85.25)</f>
        <v>85.25</v>
      </c>
      <c r="AW171" s="1">
        <f>IFERROR(__xludf.DUMMYFUNCTION("""COMPUTED_VALUE"""),83.83)</f>
        <v>83.83</v>
      </c>
      <c r="AX171" s="1">
        <f>IFERROR(__xludf.DUMMYFUNCTION("""COMPUTED_VALUE"""),19.39)</f>
        <v>19.39</v>
      </c>
      <c r="AY171" s="1">
        <f>IFERROR(__xludf.DUMMYFUNCTION("""COMPUTED_VALUE"""),415.67)</f>
        <v>415.67</v>
      </c>
      <c r="AZ171" s="3">
        <f>IFERROR(__xludf.DUMMYFUNCTION("""COMPUTED_VALUE"""),67.98)</f>
        <v>67.98</v>
      </c>
      <c r="BA171" s="3">
        <f>IFERROR(__xludf.DUMMYFUNCTION("""COMPUTED_VALUE"""),99.79)</f>
        <v>99.79</v>
      </c>
      <c r="BB171" s="3">
        <f>IFERROR(__xludf.DUMMYFUNCTION("""COMPUTED_VALUE"""),131.76)</f>
        <v>131.76</v>
      </c>
      <c r="BC171" s="1">
        <f>IFERROR(__xludf.DUMMYFUNCTION("""COMPUTED_VALUE"""),91.78)</f>
        <v>91.78</v>
      </c>
      <c r="BD171" s="3">
        <f>IFERROR(__xludf.DUMMYFUNCTION("""COMPUTED_VALUE"""),54.5)</f>
        <v>54.5</v>
      </c>
      <c r="BE171" s="3">
        <f>IFERROR(__xludf.DUMMYFUNCTION("""COMPUTED_VALUE"""),65.91)</f>
        <v>65.91</v>
      </c>
      <c r="BF171" s="1">
        <f>IFERROR(__xludf.DUMMYFUNCTION("""COMPUTED_VALUE"""),87.18)</f>
        <v>87.18</v>
      </c>
      <c r="BG171" s="1">
        <f>IFERROR(__xludf.DUMMYFUNCTION("""COMPUTED_VALUE"""),26.41)</f>
        <v>26.41</v>
      </c>
      <c r="BH171" s="1">
        <f>IFERROR(__xludf.DUMMYFUNCTION("""COMPUTED_VALUE"""),119.47)</f>
        <v>119.47</v>
      </c>
      <c r="BI171" s="1">
        <f>IFERROR(__xludf.DUMMYFUNCTION("""COMPUTED_VALUE"""),39.83)</f>
        <v>39.83</v>
      </c>
      <c r="BJ171" s="1">
        <f>IFERROR(__xludf.DUMMYFUNCTION("""COMPUTED_VALUE"""),214.18)</f>
        <v>214.18</v>
      </c>
      <c r="BK171" s="1">
        <f>IFERROR(__xludf.DUMMYFUNCTION("""COMPUTED_VALUE"""),556.99)</f>
        <v>556.99</v>
      </c>
      <c r="BL171" s="1">
        <f>IFERROR(__xludf.DUMMYFUNCTION("""COMPUTED_VALUE"""),185.41)</f>
        <v>185.41</v>
      </c>
      <c r="BM171" s="1">
        <f>IFERROR(__xludf.DUMMYFUNCTION("""COMPUTED_VALUE"""),62.54)</f>
        <v>62.54</v>
      </c>
      <c r="BN171" s="3">
        <f>IFERROR(__xludf.DUMMYFUNCTION("""COMPUTED_VALUE"""),8.19)</f>
        <v>8.19</v>
      </c>
      <c r="BO171" s="1">
        <f>IFERROR(__xludf.DUMMYFUNCTION("""COMPUTED_VALUE"""),229.38)</f>
        <v>229.38</v>
      </c>
      <c r="BP171" s="1">
        <f>IFERROR(__xludf.DUMMYFUNCTION("""COMPUTED_VALUE"""),543.74)</f>
        <v>543.74</v>
      </c>
      <c r="BQ171" s="36">
        <f>IFERROR(__xludf.DUMMYFUNCTION("""COMPUTED_VALUE"""),48.52)</f>
        <v>48.52</v>
      </c>
      <c r="BR171" s="1">
        <f>IFERROR(__xludf.DUMMYFUNCTION("""COMPUTED_VALUE"""),11.72)</f>
        <v>11.72</v>
      </c>
      <c r="BS171" s="3">
        <f>IFERROR(__xludf.DUMMYFUNCTION("""COMPUTED_VALUE"""),207.17)</f>
        <v>207.17</v>
      </c>
      <c r="BT171" s="1">
        <f>IFERROR(__xludf.DUMMYFUNCTION("""COMPUTED_VALUE"""),108.12)</f>
        <v>108.12</v>
      </c>
      <c r="BU171" s="3">
        <v>1.0</v>
      </c>
    </row>
    <row r="172">
      <c r="A172" s="25">
        <f>IFERROR(__xludf.DUMMYFUNCTION("""COMPUTED_VALUE"""),45672.66666666667)</f>
        <v>45672.66667</v>
      </c>
      <c r="B172" s="29">
        <f>'Master Scratch Work'!B171</f>
        <v>1341454.36</v>
      </c>
      <c r="C172" s="15">
        <f>IFERROR(__xludf.DUMMYFUNCTION("""COMPUTED_VALUE"""),5949.91)</f>
        <v>5949.91</v>
      </c>
      <c r="D172" s="15">
        <f>IFERROR(__xludf.DUMMYFUNCTION("""COMPUTED_VALUE"""),19511.23)</f>
        <v>19511.23</v>
      </c>
      <c r="E172" s="15">
        <f>IFERROR(__xludf.DUMMYFUNCTION("""COMPUTED_VALUE"""),43221.55)</f>
        <v>43221.55</v>
      </c>
      <c r="F172" s="15">
        <f>IFERROR(__xludf.DUMMYFUNCTION("""COMPUTED_VALUE"""),2263.29)</f>
        <v>2263.29</v>
      </c>
      <c r="G172" s="3">
        <f>IFERROR(__xludf.DUMMYFUNCTION("""COMPUTED_VALUE"""),592.78)</f>
        <v>592.78</v>
      </c>
      <c r="H172" s="3">
        <f>IFERROR(__xludf.DUMMYFUNCTION("""COMPUTED_VALUE"""),516.7)</f>
        <v>516.7</v>
      </c>
      <c r="I172" s="3">
        <f>IFERROR(__xludf.DUMMYFUNCTION("""COMPUTED_VALUE"""),417.28)</f>
        <v>417.28</v>
      </c>
      <c r="J172" s="3">
        <f>IFERROR(__xludf.DUMMYFUNCTION("""COMPUTED_VALUE"""),223.35)</f>
        <v>223.35</v>
      </c>
      <c r="K172" s="3">
        <f>IFERROR(__xludf.DUMMYFUNCTION("""COMPUTED_VALUE"""),123.53)</f>
        <v>123.53</v>
      </c>
      <c r="L172" s="3">
        <f>IFERROR(__xludf.DUMMYFUNCTION("""COMPUTED_VALUE"""),237.87)</f>
        <v>237.87</v>
      </c>
      <c r="M172" s="3">
        <f>IFERROR(__xludf.DUMMYFUNCTION("""COMPUTED_VALUE"""),178.38)</f>
        <v>178.38</v>
      </c>
      <c r="N172" s="3">
        <f>IFERROR(__xludf.DUMMYFUNCTION("""COMPUTED_VALUE"""),82.04)</f>
        <v>82.04</v>
      </c>
      <c r="O172" s="3">
        <f>IFERROR(__xludf.DUMMYFUNCTION("""COMPUTED_VALUE"""),14.04)</f>
        <v>14.04</v>
      </c>
      <c r="P172" s="3">
        <f>IFERROR(__xludf.DUMMYFUNCTION("""COMPUTED_VALUE"""),458.51)</f>
        <v>458.51</v>
      </c>
      <c r="Q172" s="3">
        <f>IFERROR(__xludf.DUMMYFUNCTION("""COMPUTED_VALUE"""),49.81)</f>
        <v>49.81</v>
      </c>
      <c r="R172" s="3">
        <f>IFERROR(__xludf.DUMMYFUNCTION("""COMPUTED_VALUE"""),141.0)</f>
        <v>141</v>
      </c>
      <c r="S172" s="3">
        <f>IFERROR(__xludf.DUMMYFUNCTION("""COMPUTED_VALUE"""),96.89)</f>
        <v>96.89</v>
      </c>
      <c r="T172" s="3">
        <f>IFERROR(__xludf.DUMMYFUNCTION("""COMPUTED_VALUE"""),68.8)</f>
        <v>68.8</v>
      </c>
      <c r="U172" s="3">
        <f>IFERROR(__xludf.DUMMYFUNCTION("""COMPUTED_VALUE"""),374.89)</f>
        <v>374.89</v>
      </c>
      <c r="V172" s="3">
        <f>IFERROR(__xludf.DUMMYFUNCTION("""COMPUTED_VALUE"""),49.67)</f>
        <v>49.67</v>
      </c>
      <c r="W172" s="3">
        <f>IFERROR(__xludf.DUMMYFUNCTION("""COMPUTED_VALUE"""),183.4)</f>
        <v>183.4</v>
      </c>
      <c r="X172" s="3">
        <f>IFERROR(__xludf.DUMMYFUNCTION("""COMPUTED_VALUE"""),158.33)</f>
        <v>158.33</v>
      </c>
      <c r="Y172" s="1">
        <f>IFERROR(__xludf.DUMMYFUNCTION("""COMPUTED_VALUE"""),284.58)</f>
        <v>284.58</v>
      </c>
      <c r="Z172" s="1">
        <f>IFERROR(__xludf.DUMMYFUNCTION("""COMPUTED_VALUE"""),47.08)</f>
        <v>47.08</v>
      </c>
      <c r="AA172" s="1">
        <f>IFERROR(__xludf.DUMMYFUNCTION("""COMPUTED_VALUE"""),61.77)</f>
        <v>61.77</v>
      </c>
      <c r="AB172" s="1">
        <f>IFERROR(__xludf.DUMMYFUNCTION("""COMPUTED_VALUE"""),90.23)</f>
        <v>90.23</v>
      </c>
      <c r="AC172" s="1">
        <f>IFERROR(__xludf.DUMMYFUNCTION("""COMPUTED_VALUE"""),174.91)</f>
        <v>174.91</v>
      </c>
      <c r="AD172" s="3">
        <f>IFERROR(__xludf.DUMMYFUNCTION("""COMPUTED_VALUE"""),70.34)</f>
        <v>70.34</v>
      </c>
      <c r="AE172" s="1">
        <f>IFERROR(__xludf.DUMMYFUNCTION("""COMPUTED_VALUE"""),413.93)</f>
        <v>413.93</v>
      </c>
      <c r="AF172" s="1">
        <f>IFERROR(__xludf.DUMMYFUNCTION("""COMPUTED_VALUE"""),65.11)</f>
        <v>65.11</v>
      </c>
      <c r="AG172" s="1">
        <f>IFERROR(__xludf.DUMMYFUNCTION("""COMPUTED_VALUE"""),111.51)</f>
        <v>111.51</v>
      </c>
      <c r="AH172" s="1">
        <f>IFERROR(__xludf.DUMMYFUNCTION("""COMPUTED_VALUE"""),276.59)</f>
        <v>276.59</v>
      </c>
      <c r="AI172" s="1">
        <f>IFERROR(__xludf.DUMMYFUNCTION("""COMPUTED_VALUE"""),431.68)</f>
        <v>431.68</v>
      </c>
      <c r="AJ172" s="1">
        <f>IFERROR(__xludf.DUMMYFUNCTION("""COMPUTED_VALUE"""),266.09)</f>
        <v>266.09</v>
      </c>
      <c r="AK172" s="3">
        <f>IFERROR(__xludf.DUMMYFUNCTION("""COMPUTED_VALUE"""),51.7)</f>
        <v>51.7</v>
      </c>
      <c r="AL172" s="1">
        <f>IFERROR(__xludf.DUMMYFUNCTION("""COMPUTED_VALUE"""),92.38)</f>
        <v>92.38</v>
      </c>
      <c r="AM172" s="1">
        <f>IFERROR(__xludf.DUMMYFUNCTION("""COMPUTED_VALUE"""),605.92)</f>
        <v>605.92</v>
      </c>
      <c r="AN172" s="1">
        <f>IFERROR(__xludf.DUMMYFUNCTION("""COMPUTED_VALUE"""),406.09)</f>
        <v>406.09</v>
      </c>
      <c r="AO172" s="1">
        <f>IFERROR(__xludf.DUMMYFUNCTION("""COMPUTED_VALUE"""),127.39)</f>
        <v>127.39</v>
      </c>
      <c r="AP172" s="1">
        <f>IFERROR(__xludf.DUMMYFUNCTION("""COMPUTED_VALUE"""),148.24)</f>
        <v>148.24</v>
      </c>
      <c r="AQ172" s="3">
        <f>IFERROR(__xludf.DUMMYFUNCTION("""COMPUTED_VALUE"""),580.11)</f>
        <v>580.11</v>
      </c>
      <c r="AR172" s="3">
        <f>IFERROR(__xludf.DUMMYFUNCTION("""COMPUTED_VALUE"""),252.35)</f>
        <v>252.35</v>
      </c>
      <c r="AS172" s="3">
        <f>IFERROR(__xludf.DUMMYFUNCTION("""COMPUTED_VALUE"""),483.97)</f>
        <v>483.97</v>
      </c>
      <c r="AT172" s="3">
        <f>IFERROR(__xludf.DUMMYFUNCTION("""COMPUTED_VALUE"""),376.66)</f>
        <v>376.66</v>
      </c>
      <c r="AU172" s="1">
        <f>IFERROR(__xludf.DUMMYFUNCTION("""COMPUTED_VALUE"""),30.7)</f>
        <v>30.7</v>
      </c>
      <c r="AV172" s="1">
        <f>IFERROR(__xludf.DUMMYFUNCTION("""COMPUTED_VALUE"""),85.4)</f>
        <v>85.4</v>
      </c>
      <c r="AW172" s="1">
        <f>IFERROR(__xludf.DUMMYFUNCTION("""COMPUTED_VALUE"""),84.93)</f>
        <v>84.93</v>
      </c>
      <c r="AX172" s="1">
        <f>IFERROR(__xludf.DUMMYFUNCTION("""COMPUTED_VALUE"""),20.61)</f>
        <v>20.61</v>
      </c>
      <c r="AY172" s="1">
        <f>IFERROR(__xludf.DUMMYFUNCTION("""COMPUTED_VALUE"""),426.31)</f>
        <v>426.31</v>
      </c>
      <c r="AZ172" s="3">
        <f>IFERROR(__xludf.DUMMYFUNCTION("""COMPUTED_VALUE"""),69.29)</f>
        <v>69.29</v>
      </c>
      <c r="BA172" s="3">
        <f>IFERROR(__xludf.DUMMYFUNCTION("""COMPUTED_VALUE"""),104.07)</f>
        <v>104.07</v>
      </c>
      <c r="BB172" s="3">
        <f>IFERROR(__xludf.DUMMYFUNCTION("""COMPUTED_VALUE"""),136.24)</f>
        <v>136.24</v>
      </c>
      <c r="BC172" s="1">
        <f>IFERROR(__xludf.DUMMYFUNCTION("""COMPUTED_VALUE"""),92.25)</f>
        <v>92.25</v>
      </c>
      <c r="BD172" s="3">
        <f>IFERROR(__xludf.DUMMYFUNCTION("""COMPUTED_VALUE"""),54.72)</f>
        <v>54.72</v>
      </c>
      <c r="BE172" s="3">
        <f>IFERROR(__xludf.DUMMYFUNCTION("""COMPUTED_VALUE"""),68.14)</f>
        <v>68.14</v>
      </c>
      <c r="BF172" s="1">
        <f>IFERROR(__xludf.DUMMYFUNCTION("""COMPUTED_VALUE"""),89.64)</f>
        <v>89.64</v>
      </c>
      <c r="BG172" s="1">
        <f>IFERROR(__xludf.DUMMYFUNCTION("""COMPUTED_VALUE"""),26.22)</f>
        <v>26.22</v>
      </c>
      <c r="BH172" s="1">
        <f>IFERROR(__xludf.DUMMYFUNCTION("""COMPUTED_VALUE"""),119.09)</f>
        <v>119.09</v>
      </c>
      <c r="BI172" s="1">
        <f>IFERROR(__xludf.DUMMYFUNCTION("""COMPUTED_VALUE"""),39.96)</f>
        <v>39.96</v>
      </c>
      <c r="BJ172" s="1">
        <f>IFERROR(__xludf.DUMMYFUNCTION("""COMPUTED_VALUE"""),214.2)</f>
        <v>214.2</v>
      </c>
      <c r="BK172" s="1">
        <f>IFERROR(__xludf.DUMMYFUNCTION("""COMPUTED_VALUE"""),551.47)</f>
        <v>551.47</v>
      </c>
      <c r="BL172" s="1">
        <f>IFERROR(__xludf.DUMMYFUNCTION("""COMPUTED_VALUE"""),184.84)</f>
        <v>184.84</v>
      </c>
      <c r="BM172" s="1">
        <f>IFERROR(__xludf.DUMMYFUNCTION("""COMPUTED_VALUE"""),60.44)</f>
        <v>60.44</v>
      </c>
      <c r="BN172" s="3">
        <f>IFERROR(__xludf.DUMMYFUNCTION("""COMPUTED_VALUE"""),8.1)</f>
        <v>8.1</v>
      </c>
      <c r="BO172" s="1">
        <f>IFERROR(__xludf.DUMMYFUNCTION("""COMPUTED_VALUE"""),230.86)</f>
        <v>230.86</v>
      </c>
      <c r="BP172" s="1">
        <f>IFERROR(__xludf.DUMMYFUNCTION("""COMPUTED_VALUE"""),543.42)</f>
        <v>543.42</v>
      </c>
      <c r="BQ172" s="36">
        <f>IFERROR(__xludf.DUMMYFUNCTION("""COMPUTED_VALUE"""),48.65)</f>
        <v>48.65</v>
      </c>
      <c r="BR172" s="1">
        <f>IFERROR(__xludf.DUMMYFUNCTION("""COMPUTED_VALUE"""),11.39)</f>
        <v>11.39</v>
      </c>
      <c r="BS172" s="3">
        <f>IFERROR(__xludf.DUMMYFUNCTION("""COMPUTED_VALUE"""),208.0)</f>
        <v>208</v>
      </c>
      <c r="BT172" s="1">
        <f>IFERROR(__xludf.DUMMYFUNCTION("""COMPUTED_VALUE"""),108.18)</f>
        <v>108.18</v>
      </c>
      <c r="BU172" s="3">
        <v>1.0</v>
      </c>
    </row>
    <row r="173">
      <c r="A173" s="25">
        <f>IFERROR(__xludf.DUMMYFUNCTION("""COMPUTED_VALUE"""),45673.66666666667)</f>
        <v>45673.66667</v>
      </c>
      <c r="B173" s="29">
        <f>'Master Scratch Work'!B172</f>
        <v>1342332.82</v>
      </c>
      <c r="C173" s="15">
        <f>IFERROR(__xludf.DUMMYFUNCTION("""COMPUTED_VALUE"""),5937.34)</f>
        <v>5937.34</v>
      </c>
      <c r="D173" s="15">
        <f>IFERROR(__xludf.DUMMYFUNCTION("""COMPUTED_VALUE"""),19338.29)</f>
        <v>19338.29</v>
      </c>
      <c r="E173" s="15">
        <f>IFERROR(__xludf.DUMMYFUNCTION("""COMPUTED_VALUE"""),43153.13)</f>
        <v>43153.13</v>
      </c>
      <c r="F173" s="15">
        <f>IFERROR(__xludf.DUMMYFUNCTION("""COMPUTED_VALUE"""),2266.79)</f>
        <v>2266.79</v>
      </c>
      <c r="G173" s="3">
        <f>IFERROR(__xludf.DUMMYFUNCTION("""COMPUTED_VALUE"""),591.64)</f>
        <v>591.64</v>
      </c>
      <c r="H173" s="3">
        <f>IFERROR(__xludf.DUMMYFUNCTION("""COMPUTED_VALUE"""),513.08)</f>
        <v>513.08</v>
      </c>
      <c r="I173" s="3">
        <f>IFERROR(__xludf.DUMMYFUNCTION("""COMPUTED_VALUE"""),426.93)</f>
        <v>426.93</v>
      </c>
      <c r="J173" s="3">
        <f>IFERROR(__xludf.DUMMYFUNCTION("""COMPUTED_VALUE"""),220.66)</f>
        <v>220.66</v>
      </c>
      <c r="K173" s="3">
        <f>IFERROR(__xludf.DUMMYFUNCTION("""COMPUTED_VALUE"""),126.36)</f>
        <v>126.36</v>
      </c>
      <c r="L173" s="3">
        <f>IFERROR(__xludf.DUMMYFUNCTION("""COMPUTED_VALUE"""),228.26)</f>
        <v>228.26</v>
      </c>
      <c r="M173" s="3">
        <f>IFERROR(__xludf.DUMMYFUNCTION("""COMPUTED_VALUE"""),186.48)</f>
        <v>186.48</v>
      </c>
      <c r="N173" s="3">
        <f>IFERROR(__xludf.DUMMYFUNCTION("""COMPUTED_VALUE"""),82.25)</f>
        <v>82.25</v>
      </c>
      <c r="O173" s="3">
        <f>IFERROR(__xludf.DUMMYFUNCTION("""COMPUTED_VALUE"""),13.99)</f>
        <v>13.99</v>
      </c>
      <c r="P173" s="3">
        <f>IFERROR(__xludf.DUMMYFUNCTION("""COMPUTED_VALUE"""),462.81)</f>
        <v>462.81</v>
      </c>
      <c r="Q173" s="3">
        <f>IFERROR(__xludf.DUMMYFUNCTION("""COMPUTED_VALUE"""),49.56)</f>
        <v>49.56</v>
      </c>
      <c r="R173" s="3">
        <f>IFERROR(__xludf.DUMMYFUNCTION("""COMPUTED_VALUE"""),141.23)</f>
        <v>141.23</v>
      </c>
      <c r="S173" s="3">
        <f>IFERROR(__xludf.DUMMYFUNCTION("""COMPUTED_VALUE"""),98.17)</f>
        <v>98.17</v>
      </c>
      <c r="T173" s="3">
        <f>IFERROR(__xludf.DUMMYFUNCTION("""COMPUTED_VALUE"""),69.74)</f>
        <v>69.74</v>
      </c>
      <c r="U173" s="3">
        <f>IFERROR(__xludf.DUMMYFUNCTION("""COMPUTED_VALUE"""),380.55)</f>
        <v>380.55</v>
      </c>
      <c r="V173" s="3">
        <f>IFERROR(__xludf.DUMMYFUNCTION("""COMPUTED_VALUE"""),49.51)</f>
        <v>49.51</v>
      </c>
      <c r="W173" s="3">
        <f>IFERROR(__xludf.DUMMYFUNCTION("""COMPUTED_VALUE"""),186.77)</f>
        <v>186.77</v>
      </c>
      <c r="X173" s="3">
        <f>IFERROR(__xludf.DUMMYFUNCTION("""COMPUTED_VALUE"""),159.38)</f>
        <v>159.38</v>
      </c>
      <c r="Y173" s="1">
        <f>IFERROR(__xludf.DUMMYFUNCTION("""COMPUTED_VALUE"""),280.97)</f>
        <v>280.97</v>
      </c>
      <c r="Z173" s="1">
        <f>IFERROR(__xludf.DUMMYFUNCTION("""COMPUTED_VALUE"""),46.8)</f>
        <v>46.8</v>
      </c>
      <c r="AA173" s="1">
        <f>IFERROR(__xludf.DUMMYFUNCTION("""COMPUTED_VALUE"""),62.25)</f>
        <v>62.25</v>
      </c>
      <c r="AB173" s="1">
        <f>IFERROR(__xludf.DUMMYFUNCTION("""COMPUTED_VALUE"""),92.22)</f>
        <v>92.22</v>
      </c>
      <c r="AC173" s="1">
        <f>IFERROR(__xludf.DUMMYFUNCTION("""COMPUTED_VALUE"""),180.1)</f>
        <v>180.1</v>
      </c>
      <c r="AD173" s="3">
        <f>IFERROR(__xludf.DUMMYFUNCTION("""COMPUTED_VALUE"""),71.08)</f>
        <v>71.08</v>
      </c>
      <c r="AE173" s="1">
        <f>IFERROR(__xludf.DUMMYFUNCTION("""COMPUTED_VALUE"""),418.91)</f>
        <v>418.91</v>
      </c>
      <c r="AF173" s="1">
        <f>IFERROR(__xludf.DUMMYFUNCTION("""COMPUTED_VALUE"""),65.06)</f>
        <v>65.06</v>
      </c>
      <c r="AG173" s="1">
        <f>IFERROR(__xludf.DUMMYFUNCTION("""COMPUTED_VALUE"""),111.32)</f>
        <v>111.32</v>
      </c>
      <c r="AH173" s="1">
        <f>IFERROR(__xludf.DUMMYFUNCTION("""COMPUTED_VALUE"""),277.37)</f>
        <v>277.37</v>
      </c>
      <c r="AI173" s="1">
        <f>IFERROR(__xludf.DUMMYFUNCTION("""COMPUTED_VALUE"""),432.94)</f>
        <v>432.94</v>
      </c>
      <c r="AJ173" s="1">
        <f>IFERROR(__xludf.DUMMYFUNCTION("""COMPUTED_VALUE"""),268.83)</f>
        <v>268.83</v>
      </c>
      <c r="AK173" s="3">
        <f>IFERROR(__xludf.DUMMYFUNCTION("""COMPUTED_VALUE"""),51.84)</f>
        <v>51.84</v>
      </c>
      <c r="AL173" s="1">
        <f>IFERROR(__xludf.DUMMYFUNCTION("""COMPUTED_VALUE"""),91.65)</f>
        <v>91.65</v>
      </c>
      <c r="AM173" s="1">
        <f>IFERROR(__xludf.DUMMYFUNCTION("""COMPUTED_VALUE"""),612.99)</f>
        <v>612.99</v>
      </c>
      <c r="AN173" s="1">
        <f>IFERROR(__xludf.DUMMYFUNCTION("""COMPUTED_VALUE"""),409.33)</f>
        <v>409.33</v>
      </c>
      <c r="AO173" s="1">
        <f>IFERROR(__xludf.DUMMYFUNCTION("""COMPUTED_VALUE"""),127.55)</f>
        <v>127.55</v>
      </c>
      <c r="AP173" s="1">
        <f>IFERROR(__xludf.DUMMYFUNCTION("""COMPUTED_VALUE"""),150.23)</f>
        <v>150.23</v>
      </c>
      <c r="AQ173" s="3">
        <f>IFERROR(__xludf.DUMMYFUNCTION("""COMPUTED_VALUE"""),584.08)</f>
        <v>584.08</v>
      </c>
      <c r="AR173" s="3">
        <f>IFERROR(__xludf.DUMMYFUNCTION("""COMPUTED_VALUE"""),254.27)</f>
        <v>254.27</v>
      </c>
      <c r="AS173" s="3">
        <f>IFERROR(__xludf.DUMMYFUNCTION("""COMPUTED_VALUE"""),486.86)</f>
        <v>486.86</v>
      </c>
      <c r="AT173" s="3">
        <f>IFERROR(__xludf.DUMMYFUNCTION("""COMPUTED_VALUE"""),370.99)</f>
        <v>370.99</v>
      </c>
      <c r="AU173" s="1">
        <f>IFERROR(__xludf.DUMMYFUNCTION("""COMPUTED_VALUE"""),30.83)</f>
        <v>30.83</v>
      </c>
      <c r="AV173" s="1">
        <f>IFERROR(__xludf.DUMMYFUNCTION("""COMPUTED_VALUE"""),87.16)</f>
        <v>87.16</v>
      </c>
      <c r="AW173" s="1">
        <f>IFERROR(__xludf.DUMMYFUNCTION("""COMPUTED_VALUE"""),85.89)</f>
        <v>85.89</v>
      </c>
      <c r="AX173" s="1">
        <f>IFERROR(__xludf.DUMMYFUNCTION("""COMPUTED_VALUE"""),21.17)</f>
        <v>21.17</v>
      </c>
      <c r="AY173" s="1">
        <f>IFERROR(__xludf.DUMMYFUNCTION("""COMPUTED_VALUE"""),424.58)</f>
        <v>424.58</v>
      </c>
      <c r="AZ173" s="3">
        <f>IFERROR(__xludf.DUMMYFUNCTION("""COMPUTED_VALUE"""),71.37)</f>
        <v>71.37</v>
      </c>
      <c r="BA173" s="3">
        <f>IFERROR(__xludf.DUMMYFUNCTION("""COMPUTED_VALUE"""),106.0)</f>
        <v>106</v>
      </c>
      <c r="BB173" s="3">
        <f>IFERROR(__xludf.DUMMYFUNCTION("""COMPUTED_VALUE"""),133.57)</f>
        <v>133.57</v>
      </c>
      <c r="BC173" s="1">
        <f>IFERROR(__xludf.DUMMYFUNCTION("""COMPUTED_VALUE"""),93.2)</f>
        <v>93.2</v>
      </c>
      <c r="BD173" s="3">
        <f>IFERROR(__xludf.DUMMYFUNCTION("""COMPUTED_VALUE"""),56.33)</f>
        <v>56.33</v>
      </c>
      <c r="BE173" s="3">
        <f>IFERROR(__xludf.DUMMYFUNCTION("""COMPUTED_VALUE"""),69.24)</f>
        <v>69.24</v>
      </c>
      <c r="BF173" s="1">
        <f>IFERROR(__xludf.DUMMYFUNCTION("""COMPUTED_VALUE"""),88.92)</f>
        <v>88.92</v>
      </c>
      <c r="BG173" s="1">
        <f>IFERROR(__xludf.DUMMYFUNCTION("""COMPUTED_VALUE"""),26.49)</f>
        <v>26.49</v>
      </c>
      <c r="BH173" s="1">
        <f>IFERROR(__xludf.DUMMYFUNCTION("""COMPUTED_VALUE"""),120.46)</f>
        <v>120.46</v>
      </c>
      <c r="BI173" s="1">
        <f>IFERROR(__xludf.DUMMYFUNCTION("""COMPUTED_VALUE"""),39.9)</f>
        <v>39.9</v>
      </c>
      <c r="BJ173" s="1">
        <f>IFERROR(__xludf.DUMMYFUNCTION("""COMPUTED_VALUE"""),215.75)</f>
        <v>215.75</v>
      </c>
      <c r="BK173" s="1">
        <f>IFERROR(__xludf.DUMMYFUNCTION("""COMPUTED_VALUE"""),561.71)</f>
        <v>561.71</v>
      </c>
      <c r="BL173" s="1">
        <f>IFERROR(__xludf.DUMMYFUNCTION("""COMPUTED_VALUE"""),181.48)</f>
        <v>181.48</v>
      </c>
      <c r="BM173" s="1">
        <f>IFERROR(__xludf.DUMMYFUNCTION("""COMPUTED_VALUE"""),58.02)</f>
        <v>58.02</v>
      </c>
      <c r="BN173" s="3">
        <f>IFERROR(__xludf.DUMMYFUNCTION("""COMPUTED_VALUE"""),8.08)</f>
        <v>8.08</v>
      </c>
      <c r="BO173" s="1">
        <f>IFERROR(__xludf.DUMMYFUNCTION("""COMPUTED_VALUE"""),234.89)</f>
        <v>234.89</v>
      </c>
      <c r="BP173" s="1">
        <f>IFERROR(__xludf.DUMMYFUNCTION("""COMPUTED_VALUE"""),510.59)</f>
        <v>510.59</v>
      </c>
      <c r="BQ173" s="36">
        <f>IFERROR(__xludf.DUMMYFUNCTION("""COMPUTED_VALUE"""),48.7)</f>
        <v>48.7</v>
      </c>
      <c r="BR173" s="1">
        <f>IFERROR(__xludf.DUMMYFUNCTION("""COMPUTED_VALUE"""),11.34)</f>
        <v>11.34</v>
      </c>
      <c r="BS173" s="3">
        <f>IFERROR(__xludf.DUMMYFUNCTION("""COMPUTED_VALUE"""),211.01)</f>
        <v>211.01</v>
      </c>
      <c r="BT173" s="1">
        <f>IFERROR(__xludf.DUMMYFUNCTION("""COMPUTED_VALUE"""),106.46)</f>
        <v>106.46</v>
      </c>
      <c r="BU173" s="3">
        <v>1.0</v>
      </c>
    </row>
    <row r="174">
      <c r="A174" s="25">
        <f>IFERROR(__xludf.DUMMYFUNCTION("""COMPUTED_VALUE"""),45674.66666666667)</f>
        <v>45674.66667</v>
      </c>
      <c r="B174" s="29">
        <f>'Master Scratch Work'!B173</f>
        <v>1353893.16</v>
      </c>
      <c r="C174" s="15">
        <f>IFERROR(__xludf.DUMMYFUNCTION("""COMPUTED_VALUE"""),5996.66)</f>
        <v>5996.66</v>
      </c>
      <c r="D174" s="15">
        <f>IFERROR(__xludf.DUMMYFUNCTION("""COMPUTED_VALUE"""),19630.2)</f>
        <v>19630.2</v>
      </c>
      <c r="E174" s="15">
        <f>IFERROR(__xludf.DUMMYFUNCTION("""COMPUTED_VALUE"""),43487.83)</f>
        <v>43487.83</v>
      </c>
      <c r="F174" s="15">
        <f>IFERROR(__xludf.DUMMYFUNCTION("""COMPUTED_VALUE"""),2275.88)</f>
        <v>2275.88</v>
      </c>
      <c r="G174" s="3">
        <f>IFERROR(__xludf.DUMMYFUNCTION("""COMPUTED_VALUE"""),597.58)</f>
        <v>597.58</v>
      </c>
      <c r="H174" s="3">
        <f>IFERROR(__xludf.DUMMYFUNCTION("""COMPUTED_VALUE"""),521.74)</f>
        <v>521.74</v>
      </c>
      <c r="I174" s="3">
        <f>IFERROR(__xludf.DUMMYFUNCTION("""COMPUTED_VALUE"""),429.99)</f>
        <v>429.99</v>
      </c>
      <c r="J174" s="3">
        <f>IFERROR(__xludf.DUMMYFUNCTION("""COMPUTED_VALUE"""),225.94)</f>
        <v>225.94</v>
      </c>
      <c r="K174" s="3">
        <f>IFERROR(__xludf.DUMMYFUNCTION("""COMPUTED_VALUE"""),126.6)</f>
        <v>126.6</v>
      </c>
      <c r="L174" s="3">
        <f>IFERROR(__xludf.DUMMYFUNCTION("""COMPUTED_VALUE"""),229.98)</f>
        <v>229.98</v>
      </c>
      <c r="M174" s="3">
        <f>IFERROR(__xludf.DUMMYFUNCTION("""COMPUTED_VALUE"""),192.05)</f>
        <v>192.05</v>
      </c>
      <c r="N174" s="3">
        <f>IFERROR(__xludf.DUMMYFUNCTION("""COMPUTED_VALUE"""),83.29)</f>
        <v>83.29</v>
      </c>
      <c r="O174" s="3">
        <f>IFERROR(__xludf.DUMMYFUNCTION("""COMPUTED_VALUE"""),14.26)</f>
        <v>14.26</v>
      </c>
      <c r="P174" s="3">
        <f>IFERROR(__xludf.DUMMYFUNCTION("""COMPUTED_VALUE"""),467.95)</f>
        <v>467.95</v>
      </c>
      <c r="Q174" s="3">
        <f>IFERROR(__xludf.DUMMYFUNCTION("""COMPUTED_VALUE"""),50.09)</f>
        <v>50.09</v>
      </c>
      <c r="R174" s="3">
        <f>IFERROR(__xludf.DUMMYFUNCTION("""COMPUTED_VALUE"""),140.55)</f>
        <v>140.55</v>
      </c>
      <c r="S174" s="3">
        <f>IFERROR(__xludf.DUMMYFUNCTION("""COMPUTED_VALUE"""),98.66)</f>
        <v>98.66</v>
      </c>
      <c r="T174" s="3">
        <f>IFERROR(__xludf.DUMMYFUNCTION("""COMPUTED_VALUE"""),69.66)</f>
        <v>69.66</v>
      </c>
      <c r="U174" s="3">
        <f>IFERROR(__xludf.DUMMYFUNCTION("""COMPUTED_VALUE"""),386.02)</f>
        <v>386.02</v>
      </c>
      <c r="V174" s="3">
        <f>IFERROR(__xludf.DUMMYFUNCTION("""COMPUTED_VALUE"""),51.63)</f>
        <v>51.63</v>
      </c>
      <c r="W174" s="3">
        <f>IFERROR(__xludf.DUMMYFUNCTION("""COMPUTED_VALUE"""),187.87)</f>
        <v>187.87</v>
      </c>
      <c r="X174" s="3">
        <f>IFERROR(__xludf.DUMMYFUNCTION("""COMPUTED_VALUE"""),161.47)</f>
        <v>161.47</v>
      </c>
      <c r="Y174" s="1">
        <f>IFERROR(__xludf.DUMMYFUNCTION("""COMPUTED_VALUE"""),283.99)</f>
        <v>283.99</v>
      </c>
      <c r="Z174" s="1">
        <f>IFERROR(__xludf.DUMMYFUNCTION("""COMPUTED_VALUE"""),47.54)</f>
        <v>47.54</v>
      </c>
      <c r="AA174" s="1">
        <f>IFERROR(__xludf.DUMMYFUNCTION("""COMPUTED_VALUE"""),62.71)</f>
        <v>62.71</v>
      </c>
      <c r="AB174" s="1">
        <f>IFERROR(__xludf.DUMMYFUNCTION("""COMPUTED_VALUE"""),93.65)</f>
        <v>93.65</v>
      </c>
      <c r="AC174" s="1">
        <f>IFERROR(__xludf.DUMMYFUNCTION("""COMPUTED_VALUE"""),178.43)</f>
        <v>178.43</v>
      </c>
      <c r="AD174" s="3">
        <f>IFERROR(__xludf.DUMMYFUNCTION("""COMPUTED_VALUE"""),72.07)</f>
        <v>72.07</v>
      </c>
      <c r="AE174" s="1">
        <f>IFERROR(__xludf.DUMMYFUNCTION("""COMPUTED_VALUE"""),427.35)</f>
        <v>427.35</v>
      </c>
      <c r="AF174" s="1">
        <f>IFERROR(__xludf.DUMMYFUNCTION("""COMPUTED_VALUE"""),66.19)</f>
        <v>66.19</v>
      </c>
      <c r="AG174" s="1">
        <f>IFERROR(__xludf.DUMMYFUNCTION("""COMPUTED_VALUE"""),112.32)</f>
        <v>112.32</v>
      </c>
      <c r="AH174" s="1">
        <f>IFERROR(__xludf.DUMMYFUNCTION("""COMPUTED_VALUE"""),275.1)</f>
        <v>275.1</v>
      </c>
      <c r="AI174" s="1">
        <f>IFERROR(__xludf.DUMMYFUNCTION("""COMPUTED_VALUE"""),435.87)</f>
        <v>435.87</v>
      </c>
      <c r="AJ174" s="1">
        <f>IFERROR(__xludf.DUMMYFUNCTION("""COMPUTED_VALUE"""),266.67)</f>
        <v>266.67</v>
      </c>
      <c r="AK174" s="3">
        <f>IFERROR(__xludf.DUMMYFUNCTION("""COMPUTED_VALUE"""),50.97)</f>
        <v>50.97</v>
      </c>
      <c r="AL174" s="1">
        <f>IFERROR(__xludf.DUMMYFUNCTION("""COMPUTED_VALUE"""),91.84)</f>
        <v>91.84</v>
      </c>
      <c r="AM174" s="1">
        <f>IFERROR(__xludf.DUMMYFUNCTION("""COMPUTED_VALUE"""),625.94)</f>
        <v>625.94</v>
      </c>
      <c r="AN174" s="1">
        <f>IFERROR(__xludf.DUMMYFUNCTION("""COMPUTED_VALUE"""),409.38)</f>
        <v>409.38</v>
      </c>
      <c r="AO174" s="1">
        <f>IFERROR(__xludf.DUMMYFUNCTION("""COMPUTED_VALUE"""),127.03)</f>
        <v>127.03</v>
      </c>
      <c r="AP174" s="1">
        <f>IFERROR(__xludf.DUMMYFUNCTION("""COMPUTED_VALUE"""),149.11)</f>
        <v>149.11</v>
      </c>
      <c r="AQ174" s="3">
        <f>IFERROR(__xludf.DUMMYFUNCTION("""COMPUTED_VALUE"""),592.64)</f>
        <v>592.64</v>
      </c>
      <c r="AR174" s="3">
        <f>IFERROR(__xludf.DUMMYFUNCTION("""COMPUTED_VALUE"""),259.16)</f>
        <v>259.16</v>
      </c>
      <c r="AS174" s="3">
        <f>IFERROR(__xludf.DUMMYFUNCTION("""COMPUTED_VALUE"""),490.32)</f>
        <v>490.32</v>
      </c>
      <c r="AT174" s="3">
        <f>IFERROR(__xludf.DUMMYFUNCTION("""COMPUTED_VALUE"""),373.7)</f>
        <v>373.7</v>
      </c>
      <c r="AU174" s="1">
        <f>IFERROR(__xludf.DUMMYFUNCTION("""COMPUTED_VALUE"""),30.61)</f>
        <v>30.61</v>
      </c>
      <c r="AV174" s="1">
        <f>IFERROR(__xludf.DUMMYFUNCTION("""COMPUTED_VALUE"""),88.08)</f>
        <v>88.08</v>
      </c>
      <c r="AW174" s="1">
        <f>IFERROR(__xludf.DUMMYFUNCTION("""COMPUTED_VALUE"""),86.78)</f>
        <v>86.78</v>
      </c>
      <c r="AX174" s="1">
        <f>IFERROR(__xludf.DUMMYFUNCTION("""COMPUTED_VALUE"""),20.94)</f>
        <v>20.94</v>
      </c>
      <c r="AY174" s="1">
        <f>IFERROR(__xludf.DUMMYFUNCTION("""COMPUTED_VALUE"""),429.03)</f>
        <v>429.03</v>
      </c>
      <c r="AZ174" s="3">
        <f>IFERROR(__xludf.DUMMYFUNCTION("""COMPUTED_VALUE"""),70.76)</f>
        <v>70.76</v>
      </c>
      <c r="BA174" s="3">
        <f>IFERROR(__xludf.DUMMYFUNCTION("""COMPUTED_VALUE"""),104.51)</f>
        <v>104.51</v>
      </c>
      <c r="BB174" s="3">
        <f>IFERROR(__xludf.DUMMYFUNCTION("""COMPUTED_VALUE"""),137.71)</f>
        <v>137.71</v>
      </c>
      <c r="BC174" s="1">
        <f>IFERROR(__xludf.DUMMYFUNCTION("""COMPUTED_VALUE"""),94.77)</f>
        <v>94.77</v>
      </c>
      <c r="BD174" s="3">
        <f>IFERROR(__xludf.DUMMYFUNCTION("""COMPUTED_VALUE"""),57.98)</f>
        <v>57.98</v>
      </c>
      <c r="BE174" s="3">
        <f>IFERROR(__xludf.DUMMYFUNCTION("""COMPUTED_VALUE"""),71.77)</f>
        <v>71.77</v>
      </c>
      <c r="BF174" s="1">
        <f>IFERROR(__xludf.DUMMYFUNCTION("""COMPUTED_VALUE"""),91.81)</f>
        <v>91.81</v>
      </c>
      <c r="BG174" s="1">
        <f>IFERROR(__xludf.DUMMYFUNCTION("""COMPUTED_VALUE"""),26.3)</f>
        <v>26.3</v>
      </c>
      <c r="BH174" s="1">
        <f>IFERROR(__xludf.DUMMYFUNCTION("""COMPUTED_VALUE"""),121.11)</f>
        <v>121.11</v>
      </c>
      <c r="BI174" s="1">
        <f>IFERROR(__xludf.DUMMYFUNCTION("""COMPUTED_VALUE"""),40.29)</f>
        <v>40.29</v>
      </c>
      <c r="BJ174" s="1">
        <f>IFERROR(__xludf.DUMMYFUNCTION("""COMPUTED_VALUE"""),218.97)</f>
        <v>218.97</v>
      </c>
      <c r="BK174" s="1">
        <f>IFERROR(__xludf.DUMMYFUNCTION("""COMPUTED_VALUE"""),559.65)</f>
        <v>559.65</v>
      </c>
      <c r="BL174" s="1">
        <f>IFERROR(__xludf.DUMMYFUNCTION("""COMPUTED_VALUE"""),180.78)</f>
        <v>180.78</v>
      </c>
      <c r="BM174" s="1">
        <f>IFERROR(__xludf.DUMMYFUNCTION("""COMPUTED_VALUE"""),57.2)</f>
        <v>57.2</v>
      </c>
      <c r="BN174" s="3">
        <f>IFERROR(__xludf.DUMMYFUNCTION("""COMPUTED_VALUE"""),8.2)</f>
        <v>8.2</v>
      </c>
      <c r="BO174" s="1">
        <f>IFERROR(__xludf.DUMMYFUNCTION("""COMPUTED_VALUE"""),234.26)</f>
        <v>234.26</v>
      </c>
      <c r="BP174" s="1">
        <f>IFERROR(__xludf.DUMMYFUNCTION("""COMPUTED_VALUE"""),509.76)</f>
        <v>509.76</v>
      </c>
      <c r="BQ174" s="36">
        <f>IFERROR(__xludf.DUMMYFUNCTION("""COMPUTED_VALUE"""),48.7)</f>
        <v>48.7</v>
      </c>
      <c r="BR174" s="1">
        <f>IFERROR(__xludf.DUMMYFUNCTION("""COMPUTED_VALUE"""),11.3)</f>
        <v>11.3</v>
      </c>
      <c r="BS174" s="3">
        <f>IFERROR(__xludf.DUMMYFUNCTION("""COMPUTED_VALUE"""),211.71)</f>
        <v>211.71</v>
      </c>
      <c r="BT174" s="1">
        <f>IFERROR(__xludf.DUMMYFUNCTION("""COMPUTED_VALUE"""),107.02)</f>
        <v>107.02</v>
      </c>
      <c r="BU174" s="3">
        <v>1.0</v>
      </c>
    </row>
    <row r="175">
      <c r="A175" s="25">
        <f>IFERROR(__xludf.DUMMYFUNCTION("""COMPUTED_VALUE"""),45678.66666666667)</f>
        <v>45678.66667</v>
      </c>
      <c r="B175" s="29">
        <f>'Master Scratch Work'!B174</f>
        <v>1367606.71</v>
      </c>
      <c r="C175" s="15">
        <f>IFERROR(__xludf.DUMMYFUNCTION("""COMPUTED_VALUE"""),6049.24)</f>
        <v>6049.24</v>
      </c>
      <c r="D175" s="15">
        <f>IFERROR(__xludf.DUMMYFUNCTION("""COMPUTED_VALUE"""),19756.78)</f>
        <v>19756.78</v>
      </c>
      <c r="E175" s="15">
        <f>IFERROR(__xludf.DUMMYFUNCTION("""COMPUTED_VALUE"""),44025.81)</f>
        <v>44025.81</v>
      </c>
      <c r="F175" s="15">
        <f>IFERROR(__xludf.DUMMYFUNCTION("""COMPUTED_VALUE"""),2317.97)</f>
        <v>2317.97</v>
      </c>
      <c r="G175" s="3">
        <f>IFERROR(__xludf.DUMMYFUNCTION("""COMPUTED_VALUE"""),603.05)</f>
        <v>603.05</v>
      </c>
      <c r="H175" s="3">
        <f>IFERROR(__xludf.DUMMYFUNCTION("""COMPUTED_VALUE"""),524.8)</f>
        <v>524.8</v>
      </c>
      <c r="I175" s="3">
        <f>IFERROR(__xludf.DUMMYFUNCTION("""COMPUTED_VALUE"""),436.36)</f>
        <v>436.36</v>
      </c>
      <c r="J175" s="3">
        <f>IFERROR(__xludf.DUMMYFUNCTION("""COMPUTED_VALUE"""),230.71)</f>
        <v>230.71</v>
      </c>
      <c r="K175" s="3">
        <f>IFERROR(__xludf.DUMMYFUNCTION("""COMPUTED_VALUE"""),126.33)</f>
        <v>126.33</v>
      </c>
      <c r="L175" s="3">
        <f>IFERROR(__xludf.DUMMYFUNCTION("""COMPUTED_VALUE"""),222.64)</f>
        <v>222.64</v>
      </c>
      <c r="M175" s="3">
        <f>IFERROR(__xludf.DUMMYFUNCTION("""COMPUTED_VALUE"""),192.87)</f>
        <v>192.87</v>
      </c>
      <c r="N175" s="3">
        <f>IFERROR(__xludf.DUMMYFUNCTION("""COMPUTED_VALUE"""),84.93)</f>
        <v>84.93</v>
      </c>
      <c r="O175" s="3">
        <f>IFERROR(__xludf.DUMMYFUNCTION("""COMPUTED_VALUE"""),14.9)</f>
        <v>14.9</v>
      </c>
      <c r="P175" s="3">
        <f>IFERROR(__xludf.DUMMYFUNCTION("""COMPUTED_VALUE"""),468.57)</f>
        <v>468.57</v>
      </c>
      <c r="Q175" s="3">
        <f>IFERROR(__xludf.DUMMYFUNCTION("""COMPUTED_VALUE"""),50.12)</f>
        <v>50.12</v>
      </c>
      <c r="R175" s="3">
        <f>IFERROR(__xludf.DUMMYFUNCTION("""COMPUTED_VALUE"""),140.98)</f>
        <v>140.98</v>
      </c>
      <c r="S175" s="3">
        <f>IFERROR(__xludf.DUMMYFUNCTION("""COMPUTED_VALUE"""),100.91)</f>
        <v>100.91</v>
      </c>
      <c r="T175" s="3">
        <f>IFERROR(__xludf.DUMMYFUNCTION("""COMPUTED_VALUE"""),70.55)</f>
        <v>70.55</v>
      </c>
      <c r="U175" s="3">
        <f>IFERROR(__xludf.DUMMYFUNCTION("""COMPUTED_VALUE"""),398.36)</f>
        <v>398.36</v>
      </c>
      <c r="V175" s="3">
        <f>IFERROR(__xludf.DUMMYFUNCTION("""COMPUTED_VALUE"""),53.56)</f>
        <v>53.56</v>
      </c>
      <c r="W175" s="3">
        <f>IFERROR(__xludf.DUMMYFUNCTION("""COMPUTED_VALUE"""),192.96)</f>
        <v>192.96</v>
      </c>
      <c r="X175" s="3">
        <f>IFERROR(__xludf.DUMMYFUNCTION("""COMPUTED_VALUE"""),158.24)</f>
        <v>158.24</v>
      </c>
      <c r="Y175" s="1">
        <f>IFERROR(__xludf.DUMMYFUNCTION("""COMPUTED_VALUE"""),288.59)</f>
        <v>288.59</v>
      </c>
      <c r="Z175" s="1">
        <f>IFERROR(__xludf.DUMMYFUNCTION("""COMPUTED_VALUE"""),48.31)</f>
        <v>48.31</v>
      </c>
      <c r="AA175" s="1">
        <f>IFERROR(__xludf.DUMMYFUNCTION("""COMPUTED_VALUE"""),62.42)</f>
        <v>62.42</v>
      </c>
      <c r="AB175" s="1">
        <f>IFERROR(__xludf.DUMMYFUNCTION("""COMPUTED_VALUE"""),93.21)</f>
        <v>93.21</v>
      </c>
      <c r="AC175" s="1">
        <f>IFERROR(__xludf.DUMMYFUNCTION("""COMPUTED_VALUE"""),183.56)</f>
        <v>183.56</v>
      </c>
      <c r="AD175" s="3">
        <f>IFERROR(__xludf.DUMMYFUNCTION("""COMPUTED_VALUE"""),73.76)</f>
        <v>73.76</v>
      </c>
      <c r="AE175" s="1">
        <f>IFERROR(__xludf.DUMMYFUNCTION("""COMPUTED_VALUE"""),440.8)</f>
        <v>440.8</v>
      </c>
      <c r="AF175" s="1">
        <f>IFERROR(__xludf.DUMMYFUNCTION("""COMPUTED_VALUE"""),64.63)</f>
        <v>64.63</v>
      </c>
      <c r="AG175" s="1">
        <f>IFERROR(__xludf.DUMMYFUNCTION("""COMPUTED_VALUE"""),111.47)</f>
        <v>111.47</v>
      </c>
      <c r="AH175" s="1">
        <f>IFERROR(__xludf.DUMMYFUNCTION("""COMPUTED_VALUE"""),275.57)</f>
        <v>275.57</v>
      </c>
      <c r="AI175" s="1">
        <f>IFERROR(__xludf.DUMMYFUNCTION("""COMPUTED_VALUE"""),440.23)</f>
        <v>440.23</v>
      </c>
      <c r="AJ175" s="1">
        <f>IFERROR(__xludf.DUMMYFUNCTION("""COMPUTED_VALUE"""),271.63)</f>
        <v>271.63</v>
      </c>
      <c r="AK175" s="3">
        <f>IFERROR(__xludf.DUMMYFUNCTION("""COMPUTED_VALUE"""),53.89)</f>
        <v>53.89</v>
      </c>
      <c r="AL175" s="1">
        <f>IFERROR(__xludf.DUMMYFUNCTION("""COMPUTED_VALUE"""),92.96)</f>
        <v>92.96</v>
      </c>
      <c r="AM175" s="1">
        <f>IFERROR(__xludf.DUMMYFUNCTION("""COMPUTED_VALUE"""),634.74)</f>
        <v>634.74</v>
      </c>
      <c r="AN175" s="1">
        <f>IFERROR(__xludf.DUMMYFUNCTION("""COMPUTED_VALUE"""),418.43)</f>
        <v>418.43</v>
      </c>
      <c r="AO175" s="1">
        <f>IFERROR(__xludf.DUMMYFUNCTION("""COMPUTED_VALUE"""),128.75)</f>
        <v>128.75</v>
      </c>
      <c r="AP175" s="1">
        <f>IFERROR(__xludf.DUMMYFUNCTION("""COMPUTED_VALUE"""),151.72)</f>
        <v>151.72</v>
      </c>
      <c r="AQ175" s="3">
        <f>IFERROR(__xludf.DUMMYFUNCTION("""COMPUTED_VALUE"""),604.12)</f>
        <v>604.12</v>
      </c>
      <c r="AR175" s="3">
        <f>IFERROR(__xludf.DUMMYFUNCTION("""COMPUTED_VALUE"""),263.03)</f>
        <v>263.03</v>
      </c>
      <c r="AS175" s="3">
        <f>IFERROR(__xludf.DUMMYFUNCTION("""COMPUTED_VALUE"""),506.29)</f>
        <v>506.29</v>
      </c>
      <c r="AT175" s="3">
        <f>IFERROR(__xludf.DUMMYFUNCTION("""COMPUTED_VALUE"""),372.81)</f>
        <v>372.81</v>
      </c>
      <c r="AU175" s="1">
        <f>IFERROR(__xludf.DUMMYFUNCTION("""COMPUTED_VALUE"""),30.84)</f>
        <v>30.84</v>
      </c>
      <c r="AV175" s="1">
        <f>IFERROR(__xludf.DUMMYFUNCTION("""COMPUTED_VALUE"""),88.38)</f>
        <v>88.38</v>
      </c>
      <c r="AW175" s="1">
        <f>IFERROR(__xludf.DUMMYFUNCTION("""COMPUTED_VALUE"""),86.88)</f>
        <v>86.88</v>
      </c>
      <c r="AX175" s="1">
        <f>IFERROR(__xludf.DUMMYFUNCTION("""COMPUTED_VALUE"""),20.87)</f>
        <v>20.87</v>
      </c>
      <c r="AY175" s="1">
        <f>IFERROR(__xludf.DUMMYFUNCTION("""COMPUTED_VALUE"""),428.5)</f>
        <v>428.5</v>
      </c>
      <c r="AZ175" s="3">
        <f>IFERROR(__xludf.DUMMYFUNCTION("""COMPUTED_VALUE"""),70.85)</f>
        <v>70.85</v>
      </c>
      <c r="BA175" s="3">
        <f>IFERROR(__xludf.DUMMYFUNCTION("""COMPUTED_VALUE"""),111.55)</f>
        <v>111.55</v>
      </c>
      <c r="BB175" s="3">
        <f>IFERROR(__xludf.DUMMYFUNCTION("""COMPUTED_VALUE"""),140.83)</f>
        <v>140.83</v>
      </c>
      <c r="BC175" s="1">
        <f>IFERROR(__xludf.DUMMYFUNCTION("""COMPUTED_VALUE"""),95.5)</f>
        <v>95.5</v>
      </c>
      <c r="BD175" s="3">
        <f>IFERROR(__xludf.DUMMYFUNCTION("""COMPUTED_VALUE"""),59.95)</f>
        <v>59.95</v>
      </c>
      <c r="BE175" s="3">
        <f>IFERROR(__xludf.DUMMYFUNCTION("""COMPUTED_VALUE"""),73.07)</f>
        <v>73.07</v>
      </c>
      <c r="BF175" s="1">
        <f>IFERROR(__xludf.DUMMYFUNCTION("""COMPUTED_VALUE"""),89.77)</f>
        <v>89.77</v>
      </c>
      <c r="BG175" s="1">
        <f>IFERROR(__xludf.DUMMYFUNCTION("""COMPUTED_VALUE"""),26.64)</f>
        <v>26.64</v>
      </c>
      <c r="BH175" s="1">
        <f>IFERROR(__xludf.DUMMYFUNCTION("""COMPUTED_VALUE"""),125.75)</f>
        <v>125.75</v>
      </c>
      <c r="BI175" s="1">
        <f>IFERROR(__xludf.DUMMYFUNCTION("""COMPUTED_VALUE"""),40.16)</f>
        <v>40.16</v>
      </c>
      <c r="BJ175" s="1">
        <f>IFERROR(__xludf.DUMMYFUNCTION("""COMPUTED_VALUE"""),219.49)</f>
        <v>219.49</v>
      </c>
      <c r="BK175" s="1">
        <f>IFERROR(__xludf.DUMMYFUNCTION("""COMPUTED_VALUE"""),573.06)</f>
        <v>573.06</v>
      </c>
      <c r="BL175" s="1">
        <f>IFERROR(__xludf.DUMMYFUNCTION("""COMPUTED_VALUE"""),186.93)</f>
        <v>186.93</v>
      </c>
      <c r="BM175" s="1">
        <f>IFERROR(__xludf.DUMMYFUNCTION("""COMPUTED_VALUE"""),56.73)</f>
        <v>56.73</v>
      </c>
      <c r="BN175" s="3">
        <f>IFERROR(__xludf.DUMMYFUNCTION("""COMPUTED_VALUE"""),8.54)</f>
        <v>8.54</v>
      </c>
      <c r="BO175" s="1">
        <f>IFERROR(__xludf.DUMMYFUNCTION("""COMPUTED_VALUE"""),236.73)</f>
        <v>236.73</v>
      </c>
      <c r="BP175" s="1">
        <f>IFERROR(__xludf.DUMMYFUNCTION("""COMPUTED_VALUE"""),524.99)</f>
        <v>524.99</v>
      </c>
      <c r="BQ175" s="36">
        <f>IFERROR(__xludf.DUMMYFUNCTION("""COMPUTED_VALUE"""),48.67)</f>
        <v>48.67</v>
      </c>
      <c r="BR175" s="1">
        <f>IFERROR(__xludf.DUMMYFUNCTION("""COMPUTED_VALUE"""),11.33)</f>
        <v>11.33</v>
      </c>
      <c r="BS175" s="3">
        <f>IFERROR(__xludf.DUMMYFUNCTION("""COMPUTED_VALUE"""),212.93)</f>
        <v>212.93</v>
      </c>
      <c r="BT175" s="1">
        <f>IFERROR(__xludf.DUMMYFUNCTION("""COMPUTED_VALUE"""),108.7)</f>
        <v>108.7</v>
      </c>
      <c r="BU175" s="3">
        <v>1.0</v>
      </c>
    </row>
    <row r="176">
      <c r="A176" s="25">
        <f>IFERROR(__xludf.DUMMYFUNCTION("""COMPUTED_VALUE"""),45679.66666666667)</f>
        <v>45679.66667</v>
      </c>
      <c r="B176" s="29">
        <f>'Master Scratch Work'!B175</f>
        <v>1368922.37</v>
      </c>
      <c r="C176" s="15">
        <f>IFERROR(__xludf.DUMMYFUNCTION("""COMPUTED_VALUE"""),6086.37)</f>
        <v>6086.37</v>
      </c>
      <c r="D176" s="15">
        <f>IFERROR(__xludf.DUMMYFUNCTION("""COMPUTED_VALUE"""),20009.34)</f>
        <v>20009.34</v>
      </c>
      <c r="E176" s="15">
        <f>IFERROR(__xludf.DUMMYFUNCTION("""COMPUTED_VALUE"""),44156.73)</f>
        <v>44156.73</v>
      </c>
      <c r="F176" s="15">
        <f>IFERROR(__xludf.DUMMYFUNCTION("""COMPUTED_VALUE"""),2303.72)</f>
        <v>2303.72</v>
      </c>
      <c r="G176" s="3">
        <f>IFERROR(__xludf.DUMMYFUNCTION("""COMPUTED_VALUE"""),606.44)</f>
        <v>606.44</v>
      </c>
      <c r="H176" s="3">
        <f>IFERROR(__xludf.DUMMYFUNCTION("""COMPUTED_VALUE"""),531.51)</f>
        <v>531.51</v>
      </c>
      <c r="I176" s="3">
        <f>IFERROR(__xludf.DUMMYFUNCTION("""COMPUTED_VALUE"""),437.32)</f>
        <v>437.32</v>
      </c>
      <c r="J176" s="3">
        <f>IFERROR(__xludf.DUMMYFUNCTION("""COMPUTED_VALUE"""),235.01)</f>
        <v>235.01</v>
      </c>
      <c r="K176" s="3">
        <f>IFERROR(__xludf.DUMMYFUNCTION("""COMPUTED_VALUE"""),121.68)</f>
        <v>121.68</v>
      </c>
      <c r="L176" s="3">
        <f>IFERROR(__xludf.DUMMYFUNCTION("""COMPUTED_VALUE"""),223.83)</f>
        <v>223.83</v>
      </c>
      <c r="M176" s="3">
        <f>IFERROR(__xludf.DUMMYFUNCTION("""COMPUTED_VALUE"""),195.51)</f>
        <v>195.51</v>
      </c>
      <c r="N176" s="3">
        <f>IFERROR(__xludf.DUMMYFUNCTION("""COMPUTED_VALUE"""),84.33)</f>
        <v>84.33</v>
      </c>
      <c r="O176" s="3">
        <f>IFERROR(__xludf.DUMMYFUNCTION("""COMPUTED_VALUE"""),14.48)</f>
        <v>14.48</v>
      </c>
      <c r="P176" s="3">
        <f>IFERROR(__xludf.DUMMYFUNCTION("""COMPUTED_VALUE"""),460.51)</f>
        <v>460.51</v>
      </c>
      <c r="Q176" s="3">
        <f>IFERROR(__xludf.DUMMYFUNCTION("""COMPUTED_VALUE"""),49.07)</f>
        <v>49.07</v>
      </c>
      <c r="R176" s="3">
        <f>IFERROR(__xludf.DUMMYFUNCTION("""COMPUTED_VALUE"""),142.75)</f>
        <v>142.75</v>
      </c>
      <c r="S176" s="3">
        <f>IFERROR(__xludf.DUMMYFUNCTION("""COMPUTED_VALUE"""),100.31)</f>
        <v>100.31</v>
      </c>
      <c r="T176" s="3">
        <f>IFERROR(__xludf.DUMMYFUNCTION("""COMPUTED_VALUE"""),70.03)</f>
        <v>70.03</v>
      </c>
      <c r="U176" s="3">
        <f>IFERROR(__xludf.DUMMYFUNCTION("""COMPUTED_VALUE"""),397.61)</f>
        <v>397.61</v>
      </c>
      <c r="V176" s="3">
        <f>IFERROR(__xludf.DUMMYFUNCTION("""COMPUTED_VALUE"""),56.32)</f>
        <v>56.32</v>
      </c>
      <c r="W176" s="3">
        <f>IFERROR(__xludf.DUMMYFUNCTION("""COMPUTED_VALUE"""),194.28)</f>
        <v>194.28</v>
      </c>
      <c r="X176" s="3">
        <f>IFERROR(__xludf.DUMMYFUNCTION("""COMPUTED_VALUE"""),156.41)</f>
        <v>156.41</v>
      </c>
      <c r="Y176" s="1">
        <f>IFERROR(__xludf.DUMMYFUNCTION("""COMPUTED_VALUE"""),289.04)</f>
        <v>289.04</v>
      </c>
      <c r="Z176" s="1">
        <f>IFERROR(__xludf.DUMMYFUNCTION("""COMPUTED_VALUE"""),47.03)</f>
        <v>47.03</v>
      </c>
      <c r="AA176" s="1">
        <f>IFERROR(__xludf.DUMMYFUNCTION("""COMPUTED_VALUE"""),61.78)</f>
        <v>61.78</v>
      </c>
      <c r="AB176" s="1">
        <f>IFERROR(__xludf.DUMMYFUNCTION("""COMPUTED_VALUE"""),90.77)</f>
        <v>90.77</v>
      </c>
      <c r="AC176" s="1">
        <f>IFERROR(__xludf.DUMMYFUNCTION("""COMPUTED_VALUE"""),182.44)</f>
        <v>182.44</v>
      </c>
      <c r="AD176" s="3">
        <f>IFERROR(__xludf.DUMMYFUNCTION("""COMPUTED_VALUE"""),71.97)</f>
        <v>71.97</v>
      </c>
      <c r="AE176" s="1">
        <f>IFERROR(__xludf.DUMMYFUNCTION("""COMPUTED_VALUE"""),442.12)</f>
        <v>442.12</v>
      </c>
      <c r="AF176" s="1">
        <f>IFERROR(__xludf.DUMMYFUNCTION("""COMPUTED_VALUE"""),63.88)</f>
        <v>63.88</v>
      </c>
      <c r="AG176" s="1">
        <f>IFERROR(__xludf.DUMMYFUNCTION("""COMPUTED_VALUE"""),109.53)</f>
        <v>109.53</v>
      </c>
      <c r="AH176" s="1">
        <f>IFERROR(__xludf.DUMMYFUNCTION("""COMPUTED_VALUE"""),270.43)</f>
        <v>270.43</v>
      </c>
      <c r="AI176" s="1">
        <f>IFERROR(__xludf.DUMMYFUNCTION("""COMPUTED_VALUE"""),432.5)</f>
        <v>432.5</v>
      </c>
      <c r="AJ176" s="1">
        <f>IFERROR(__xludf.DUMMYFUNCTION("""COMPUTED_VALUE"""),268.84)</f>
        <v>268.84</v>
      </c>
      <c r="AK176" s="3">
        <f>IFERROR(__xludf.DUMMYFUNCTION("""COMPUTED_VALUE"""),52.76)</f>
        <v>52.76</v>
      </c>
      <c r="AL176" s="1">
        <f>IFERROR(__xludf.DUMMYFUNCTION("""COMPUTED_VALUE"""),93.04)</f>
        <v>93.04</v>
      </c>
      <c r="AM176" s="1">
        <f>IFERROR(__xludf.DUMMYFUNCTION("""COMPUTED_VALUE"""),632.73)</f>
        <v>632.73</v>
      </c>
      <c r="AN176" s="1">
        <f>IFERROR(__xludf.DUMMYFUNCTION("""COMPUTED_VALUE"""),410.1)</f>
        <v>410.1</v>
      </c>
      <c r="AO176" s="1">
        <f>IFERROR(__xludf.DUMMYFUNCTION("""COMPUTED_VALUE"""),127.37)</f>
        <v>127.37</v>
      </c>
      <c r="AP176" s="1">
        <f>IFERROR(__xludf.DUMMYFUNCTION("""COMPUTED_VALUE"""),154.17)</f>
        <v>154.17</v>
      </c>
      <c r="AQ176" s="3">
        <f>IFERROR(__xludf.DUMMYFUNCTION("""COMPUTED_VALUE"""),610.45)</f>
        <v>610.45</v>
      </c>
      <c r="AR176" s="3">
        <f>IFERROR(__xludf.DUMMYFUNCTION("""COMPUTED_VALUE"""),262.84)</f>
        <v>262.84</v>
      </c>
      <c r="AS176" s="3">
        <f>IFERROR(__xludf.DUMMYFUNCTION("""COMPUTED_VALUE"""),499.34)</f>
        <v>499.34</v>
      </c>
      <c r="AT176" s="3">
        <f>IFERROR(__xludf.DUMMYFUNCTION("""COMPUTED_VALUE"""),382.82)</f>
        <v>382.82</v>
      </c>
      <c r="AU176" s="1">
        <f>IFERROR(__xludf.DUMMYFUNCTION("""COMPUTED_VALUE"""),30.43)</f>
        <v>30.43</v>
      </c>
      <c r="AV176" s="1">
        <f>IFERROR(__xludf.DUMMYFUNCTION("""COMPUTED_VALUE"""),87.84)</f>
        <v>87.84</v>
      </c>
      <c r="AW176" s="1">
        <f>IFERROR(__xludf.DUMMYFUNCTION("""COMPUTED_VALUE"""),85.76)</f>
        <v>85.76</v>
      </c>
      <c r="AX176" s="1">
        <f>IFERROR(__xludf.DUMMYFUNCTION("""COMPUTED_VALUE"""),21.08)</f>
        <v>21.08</v>
      </c>
      <c r="AY176" s="1">
        <f>IFERROR(__xludf.DUMMYFUNCTION("""COMPUTED_VALUE"""),446.2)</f>
        <v>446.2</v>
      </c>
      <c r="AZ176" s="3">
        <f>IFERROR(__xludf.DUMMYFUNCTION("""COMPUTED_VALUE"""),68.49)</f>
        <v>68.49</v>
      </c>
      <c r="BA176" s="3">
        <f>IFERROR(__xludf.DUMMYFUNCTION("""COMPUTED_VALUE"""),110.35)</f>
        <v>110.35</v>
      </c>
      <c r="BB176" s="3">
        <f>IFERROR(__xludf.DUMMYFUNCTION("""COMPUTED_VALUE"""),147.07)</f>
        <v>147.07</v>
      </c>
      <c r="BC176" s="1">
        <f>IFERROR(__xludf.DUMMYFUNCTION("""COMPUTED_VALUE"""),95.39)</f>
        <v>95.39</v>
      </c>
      <c r="BD176" s="3">
        <f>IFERROR(__xludf.DUMMYFUNCTION("""COMPUTED_VALUE"""),58.56)</f>
        <v>58.56</v>
      </c>
      <c r="BE176" s="3">
        <f>IFERROR(__xludf.DUMMYFUNCTION("""COMPUTED_VALUE"""),76.87)</f>
        <v>76.87</v>
      </c>
      <c r="BF176" s="1">
        <f>IFERROR(__xludf.DUMMYFUNCTION("""COMPUTED_VALUE"""),89.85)</f>
        <v>89.85</v>
      </c>
      <c r="BG176" s="1">
        <f>IFERROR(__xludf.DUMMYFUNCTION("""COMPUTED_VALUE"""),26.01)</f>
        <v>26.01</v>
      </c>
      <c r="BH176" s="1">
        <f>IFERROR(__xludf.DUMMYFUNCTION("""COMPUTED_VALUE"""),124.38)</f>
        <v>124.38</v>
      </c>
      <c r="BI176" s="1">
        <f>IFERROR(__xludf.DUMMYFUNCTION("""COMPUTED_VALUE"""),40.92)</f>
        <v>40.92</v>
      </c>
      <c r="BJ176" s="1">
        <f>IFERROR(__xludf.DUMMYFUNCTION("""COMPUTED_VALUE"""),218.18)</f>
        <v>218.18</v>
      </c>
      <c r="BK176" s="1">
        <f>IFERROR(__xludf.DUMMYFUNCTION("""COMPUTED_VALUE"""),574.59)</f>
        <v>574.59</v>
      </c>
      <c r="BL176" s="1">
        <f>IFERROR(__xludf.DUMMYFUNCTION("""COMPUTED_VALUE"""),186.52)</f>
        <v>186.52</v>
      </c>
      <c r="BM176" s="1">
        <f>IFERROR(__xludf.DUMMYFUNCTION("""COMPUTED_VALUE"""),61.97)</f>
        <v>61.97</v>
      </c>
      <c r="BN176" s="3">
        <f>IFERROR(__xludf.DUMMYFUNCTION("""COMPUTED_VALUE"""),8.61)</f>
        <v>8.61</v>
      </c>
      <c r="BO176" s="1">
        <f>IFERROR(__xludf.DUMMYFUNCTION("""COMPUTED_VALUE"""),235.8)</f>
        <v>235.8</v>
      </c>
      <c r="BP176" s="1">
        <f>IFERROR(__xludf.DUMMYFUNCTION("""COMPUTED_VALUE"""),519.72)</f>
        <v>519.72</v>
      </c>
      <c r="BQ176" s="36">
        <f>IFERROR(__xludf.DUMMYFUNCTION("""COMPUTED_VALUE"""),48.65)</f>
        <v>48.65</v>
      </c>
      <c r="BR176" s="1">
        <f>IFERROR(__xludf.DUMMYFUNCTION("""COMPUTED_VALUE"""),11.14)</f>
        <v>11.14</v>
      </c>
      <c r="BS176" s="3">
        <f>IFERROR(__xludf.DUMMYFUNCTION("""COMPUTED_VALUE"""),211.44)</f>
        <v>211.44</v>
      </c>
      <c r="BT176" s="1">
        <f>IFERROR(__xludf.DUMMYFUNCTION("""COMPUTED_VALUE"""),108.81)</f>
        <v>108.81</v>
      </c>
      <c r="BU176" s="3">
        <v>1.0</v>
      </c>
    </row>
    <row r="177">
      <c r="A177" s="25">
        <f>IFERROR(__xludf.DUMMYFUNCTION("""COMPUTED_VALUE"""),45680.66666666667)</f>
        <v>45680.66667</v>
      </c>
      <c r="B177" s="29">
        <f>'Master Scratch Work'!B176</f>
        <v>1378458.63</v>
      </c>
      <c r="C177" s="15">
        <f>IFERROR(__xludf.DUMMYFUNCTION("""COMPUTED_VALUE"""),6118.71)</f>
        <v>6118.71</v>
      </c>
      <c r="D177" s="15">
        <f>IFERROR(__xludf.DUMMYFUNCTION("""COMPUTED_VALUE"""),20053.68)</f>
        <v>20053.68</v>
      </c>
      <c r="E177" s="15">
        <f>IFERROR(__xludf.DUMMYFUNCTION("""COMPUTED_VALUE"""),44565.07)</f>
        <v>44565.07</v>
      </c>
      <c r="F177" s="15">
        <f>IFERROR(__xludf.DUMMYFUNCTION("""COMPUTED_VALUE"""),2314.6)</f>
        <v>2314.6</v>
      </c>
      <c r="G177" s="3">
        <f>IFERROR(__xludf.DUMMYFUNCTION("""COMPUTED_VALUE"""),609.75)</f>
        <v>609.75</v>
      </c>
      <c r="H177" s="3">
        <f>IFERROR(__xludf.DUMMYFUNCTION("""COMPUTED_VALUE"""),532.64)</f>
        <v>532.64</v>
      </c>
      <c r="I177" s="3">
        <f>IFERROR(__xludf.DUMMYFUNCTION("""COMPUTED_VALUE"""),437.28)</f>
        <v>437.28</v>
      </c>
      <c r="J177" s="3">
        <f>IFERROR(__xludf.DUMMYFUNCTION("""COMPUTED_VALUE"""),235.42)</f>
        <v>235.42</v>
      </c>
      <c r="K177" s="3">
        <f>IFERROR(__xludf.DUMMYFUNCTION("""COMPUTED_VALUE"""),121.81)</f>
        <v>121.81</v>
      </c>
      <c r="L177" s="3">
        <f>IFERROR(__xludf.DUMMYFUNCTION("""COMPUTED_VALUE"""),223.66)</f>
        <v>223.66</v>
      </c>
      <c r="M177" s="3">
        <f>IFERROR(__xludf.DUMMYFUNCTION("""COMPUTED_VALUE"""),190.7)</f>
        <v>190.7</v>
      </c>
      <c r="N177" s="3">
        <f>IFERROR(__xludf.DUMMYFUNCTION("""COMPUTED_VALUE"""),84.73)</f>
        <v>84.73</v>
      </c>
      <c r="O177" s="3">
        <f>IFERROR(__xludf.DUMMYFUNCTION("""COMPUTED_VALUE"""),14.76)</f>
        <v>14.76</v>
      </c>
      <c r="P177" s="3">
        <f>IFERROR(__xludf.DUMMYFUNCTION("""COMPUTED_VALUE"""),459.83)</f>
        <v>459.83</v>
      </c>
      <c r="Q177" s="3">
        <f>IFERROR(__xludf.DUMMYFUNCTION("""COMPUTED_VALUE"""),49.47)</f>
        <v>49.47</v>
      </c>
      <c r="R177" s="3">
        <f>IFERROR(__xludf.DUMMYFUNCTION("""COMPUTED_VALUE"""),143.67)</f>
        <v>143.67</v>
      </c>
      <c r="S177" s="3">
        <f>IFERROR(__xludf.DUMMYFUNCTION("""COMPUTED_VALUE"""),101.64)</f>
        <v>101.64</v>
      </c>
      <c r="T177" s="3">
        <f>IFERROR(__xludf.DUMMYFUNCTION("""COMPUTED_VALUE"""),69.88)</f>
        <v>69.88</v>
      </c>
      <c r="U177" s="3">
        <f>IFERROR(__xludf.DUMMYFUNCTION("""COMPUTED_VALUE"""),406.4)</f>
        <v>406.4</v>
      </c>
      <c r="V177" s="3">
        <f>IFERROR(__xludf.DUMMYFUNCTION("""COMPUTED_VALUE"""),56.86)</f>
        <v>56.86</v>
      </c>
      <c r="W177" s="3">
        <f>IFERROR(__xludf.DUMMYFUNCTION("""COMPUTED_VALUE"""),196.38)</f>
        <v>196.38</v>
      </c>
      <c r="X177" s="3">
        <f>IFERROR(__xludf.DUMMYFUNCTION("""COMPUTED_VALUE"""),156.01)</f>
        <v>156.01</v>
      </c>
      <c r="Y177" s="1">
        <f>IFERROR(__xludf.DUMMYFUNCTION("""COMPUTED_VALUE"""),294.99)</f>
        <v>294.99</v>
      </c>
      <c r="Z177" s="1">
        <f>IFERROR(__xludf.DUMMYFUNCTION("""COMPUTED_VALUE"""),47.34)</f>
        <v>47.34</v>
      </c>
      <c r="AA177" s="1">
        <f>IFERROR(__xludf.DUMMYFUNCTION("""COMPUTED_VALUE"""),61.53)</f>
        <v>61.53</v>
      </c>
      <c r="AB177" s="1">
        <f>IFERROR(__xludf.DUMMYFUNCTION("""COMPUTED_VALUE"""),90.76)</f>
        <v>90.76</v>
      </c>
      <c r="AC177" s="1">
        <f>IFERROR(__xludf.DUMMYFUNCTION("""COMPUTED_VALUE"""),183.51)</f>
        <v>183.51</v>
      </c>
      <c r="AD177" s="3">
        <f>IFERROR(__xludf.DUMMYFUNCTION("""COMPUTED_VALUE"""),71.14)</f>
        <v>71.14</v>
      </c>
      <c r="AE177" s="1">
        <f>IFERROR(__xludf.DUMMYFUNCTION("""COMPUTED_VALUE"""),447.76)</f>
        <v>447.76</v>
      </c>
      <c r="AF177" s="1">
        <f>IFERROR(__xludf.DUMMYFUNCTION("""COMPUTED_VALUE"""),64.75)</f>
        <v>64.75</v>
      </c>
      <c r="AG177" s="1">
        <f>IFERROR(__xludf.DUMMYFUNCTION("""COMPUTED_VALUE"""),110.15)</f>
        <v>110.15</v>
      </c>
      <c r="AH177" s="1">
        <f>IFERROR(__xludf.DUMMYFUNCTION("""COMPUTED_VALUE"""),270.03)</f>
        <v>270.03</v>
      </c>
      <c r="AI177" s="1">
        <f>IFERROR(__xludf.DUMMYFUNCTION("""COMPUTED_VALUE"""),429.98)</f>
        <v>429.98</v>
      </c>
      <c r="AJ177" s="1">
        <f>IFERROR(__xludf.DUMMYFUNCTION("""COMPUTED_VALUE"""),268.56)</f>
        <v>268.56</v>
      </c>
      <c r="AK177" s="3">
        <f>IFERROR(__xludf.DUMMYFUNCTION("""COMPUTED_VALUE"""),54.22)</f>
        <v>54.22</v>
      </c>
      <c r="AL177" s="1">
        <f>IFERROR(__xludf.DUMMYFUNCTION("""COMPUTED_VALUE"""),92.92)</f>
        <v>92.92</v>
      </c>
      <c r="AM177" s="1">
        <f>IFERROR(__xludf.DUMMYFUNCTION("""COMPUTED_VALUE"""),639.5)</f>
        <v>639.5</v>
      </c>
      <c r="AN177" s="1">
        <f>IFERROR(__xludf.DUMMYFUNCTION("""COMPUTED_VALUE"""),414.39)</f>
        <v>414.39</v>
      </c>
      <c r="AO177" s="1">
        <f>IFERROR(__xludf.DUMMYFUNCTION("""COMPUTED_VALUE"""),125.93)</f>
        <v>125.93</v>
      </c>
      <c r="AP177" s="1">
        <f>IFERROR(__xludf.DUMMYFUNCTION("""COMPUTED_VALUE"""),157.68)</f>
        <v>157.68</v>
      </c>
      <c r="AQ177" s="3">
        <f>IFERROR(__xludf.DUMMYFUNCTION("""COMPUTED_VALUE"""),608.66)</f>
        <v>608.66</v>
      </c>
      <c r="AR177" s="3">
        <f>IFERROR(__xludf.DUMMYFUNCTION("""COMPUTED_VALUE"""),265.95)</f>
        <v>265.95</v>
      </c>
      <c r="AS177" s="3">
        <f>IFERROR(__xludf.DUMMYFUNCTION("""COMPUTED_VALUE"""),497.28)</f>
        <v>497.28</v>
      </c>
      <c r="AT177" s="3">
        <f>IFERROR(__xludf.DUMMYFUNCTION("""COMPUTED_VALUE"""),387.85)</f>
        <v>387.85</v>
      </c>
      <c r="AU177" s="1">
        <f>IFERROR(__xludf.DUMMYFUNCTION("""COMPUTED_VALUE"""),30.67)</f>
        <v>30.67</v>
      </c>
      <c r="AV177" s="1">
        <f>IFERROR(__xludf.DUMMYFUNCTION("""COMPUTED_VALUE"""),89.25)</f>
        <v>89.25</v>
      </c>
      <c r="AW177" s="1">
        <f>IFERROR(__xludf.DUMMYFUNCTION("""COMPUTED_VALUE"""),86.76)</f>
        <v>86.76</v>
      </c>
      <c r="AX177" s="1">
        <f>IFERROR(__xludf.DUMMYFUNCTION("""COMPUTED_VALUE"""),21.41)</f>
        <v>21.41</v>
      </c>
      <c r="AY177" s="1">
        <f>IFERROR(__xludf.DUMMYFUNCTION("""COMPUTED_VALUE"""),446.71)</f>
        <v>446.71</v>
      </c>
      <c r="AZ177" s="3">
        <f>IFERROR(__xludf.DUMMYFUNCTION("""COMPUTED_VALUE"""),69.23)</f>
        <v>69.23</v>
      </c>
      <c r="BA177" s="3">
        <f>IFERROR(__xludf.DUMMYFUNCTION("""COMPUTED_VALUE"""),110.54)</f>
        <v>110.54</v>
      </c>
      <c r="BB177" s="3">
        <f>IFERROR(__xludf.DUMMYFUNCTION("""COMPUTED_VALUE"""),147.22)</f>
        <v>147.22</v>
      </c>
      <c r="BC177" s="1">
        <f>IFERROR(__xludf.DUMMYFUNCTION("""COMPUTED_VALUE"""),96.2)</f>
        <v>96.2</v>
      </c>
      <c r="BD177" s="3">
        <f>IFERROR(__xludf.DUMMYFUNCTION("""COMPUTED_VALUE"""),60.45)</f>
        <v>60.45</v>
      </c>
      <c r="BE177" s="3">
        <f>IFERROR(__xludf.DUMMYFUNCTION("""COMPUTED_VALUE"""),78.98)</f>
        <v>78.98</v>
      </c>
      <c r="BF177" s="1">
        <f>IFERROR(__xludf.DUMMYFUNCTION("""COMPUTED_VALUE"""),89.73)</f>
        <v>89.73</v>
      </c>
      <c r="BG177" s="1">
        <f>IFERROR(__xludf.DUMMYFUNCTION("""COMPUTED_VALUE"""),26.44)</f>
        <v>26.44</v>
      </c>
      <c r="BH177" s="1">
        <f>IFERROR(__xludf.DUMMYFUNCTION("""COMPUTED_VALUE"""),126.29)</f>
        <v>126.29</v>
      </c>
      <c r="BI177" s="1">
        <f>IFERROR(__xludf.DUMMYFUNCTION("""COMPUTED_VALUE"""),41.14)</f>
        <v>41.14</v>
      </c>
      <c r="BJ177" s="1">
        <f>IFERROR(__xludf.DUMMYFUNCTION("""COMPUTED_VALUE"""),216.04)</f>
        <v>216.04</v>
      </c>
      <c r="BK177" s="1">
        <f>IFERROR(__xludf.DUMMYFUNCTION("""COMPUTED_VALUE"""),574.85)</f>
        <v>574.85</v>
      </c>
      <c r="BL177" s="1">
        <f>IFERROR(__xludf.DUMMYFUNCTION("""COMPUTED_VALUE"""),186.27)</f>
        <v>186.27</v>
      </c>
      <c r="BM177" s="1">
        <f>IFERROR(__xludf.DUMMYFUNCTION("""COMPUTED_VALUE"""),62.55)</f>
        <v>62.55</v>
      </c>
      <c r="BN177" s="3">
        <f>IFERROR(__xludf.DUMMYFUNCTION("""COMPUTED_VALUE"""),8.52)</f>
        <v>8.52</v>
      </c>
      <c r="BO177" s="1">
        <f>IFERROR(__xludf.DUMMYFUNCTION("""COMPUTED_VALUE"""),248.05)</f>
        <v>248.05</v>
      </c>
      <c r="BP177" s="1">
        <f>IFERROR(__xludf.DUMMYFUNCTION("""COMPUTED_VALUE"""),529.77)</f>
        <v>529.77</v>
      </c>
      <c r="BQ177" s="36">
        <f>IFERROR(__xludf.DUMMYFUNCTION("""COMPUTED_VALUE"""),48.69)</f>
        <v>48.69</v>
      </c>
      <c r="BR177" s="1">
        <f>IFERROR(__xludf.DUMMYFUNCTION("""COMPUTED_VALUE"""),11.14)</f>
        <v>11.14</v>
      </c>
      <c r="BS177" s="3">
        <f>IFERROR(__xludf.DUMMYFUNCTION("""COMPUTED_VALUE"""),210.1)</f>
        <v>210.1</v>
      </c>
      <c r="BT177" s="1">
        <f>IFERROR(__xludf.DUMMYFUNCTION("""COMPUTED_VALUE"""),111.04)</f>
        <v>111.04</v>
      </c>
      <c r="BU177" s="3">
        <v>1.0</v>
      </c>
    </row>
    <row r="178">
      <c r="A178" s="25">
        <f>IFERROR(__xludf.DUMMYFUNCTION("""COMPUTED_VALUE"""),45681.66666666667)</f>
        <v>45681.66667</v>
      </c>
      <c r="B178" s="29">
        <f>'Master Scratch Work'!B177</f>
        <v>1376457.24</v>
      </c>
      <c r="C178" s="15">
        <f>IFERROR(__xludf.DUMMYFUNCTION("""COMPUTED_VALUE"""),6101.24)</f>
        <v>6101.24</v>
      </c>
      <c r="D178" s="15">
        <f>IFERROR(__xludf.DUMMYFUNCTION("""COMPUTED_VALUE"""),19954.3)</f>
        <v>19954.3</v>
      </c>
      <c r="E178" s="15">
        <f>IFERROR(__xludf.DUMMYFUNCTION("""COMPUTED_VALUE"""),44424.25)</f>
        <v>44424.25</v>
      </c>
      <c r="F178" s="15">
        <f>IFERROR(__xludf.DUMMYFUNCTION("""COMPUTED_VALUE"""),2307.74)</f>
        <v>2307.74</v>
      </c>
      <c r="G178" s="3">
        <f>IFERROR(__xludf.DUMMYFUNCTION("""COMPUTED_VALUE"""),607.97)</f>
        <v>607.97</v>
      </c>
      <c r="H178" s="3">
        <f>IFERROR(__xludf.DUMMYFUNCTION("""COMPUTED_VALUE"""),529.63)</f>
        <v>529.63</v>
      </c>
      <c r="I178" s="3">
        <f>IFERROR(__xludf.DUMMYFUNCTION("""COMPUTED_VALUE"""),435.38)</f>
        <v>435.38</v>
      </c>
      <c r="J178" s="3">
        <f>IFERROR(__xludf.DUMMYFUNCTION("""COMPUTED_VALUE"""),234.85)</f>
        <v>234.85</v>
      </c>
      <c r="K178" s="3">
        <f>IFERROR(__xludf.DUMMYFUNCTION("""COMPUTED_VALUE"""),121.63)</f>
        <v>121.63</v>
      </c>
      <c r="L178" s="3">
        <f>IFERROR(__xludf.DUMMYFUNCTION("""COMPUTED_VALUE"""),222.78)</f>
        <v>222.78</v>
      </c>
      <c r="M178" s="3">
        <f>IFERROR(__xludf.DUMMYFUNCTION("""COMPUTED_VALUE"""),186.75)</f>
        <v>186.75</v>
      </c>
      <c r="N178" s="3">
        <f>IFERROR(__xludf.DUMMYFUNCTION("""COMPUTED_VALUE"""),85.79)</f>
        <v>85.79</v>
      </c>
      <c r="O178" s="3">
        <f>IFERROR(__xludf.DUMMYFUNCTION("""COMPUTED_VALUE"""),14.62)</f>
        <v>14.62</v>
      </c>
      <c r="P178" s="3">
        <f>IFERROR(__xludf.DUMMYFUNCTION("""COMPUTED_VALUE"""),463.19)</f>
        <v>463.19</v>
      </c>
      <c r="Q178" s="3">
        <f>IFERROR(__xludf.DUMMYFUNCTION("""COMPUTED_VALUE"""),49.87)</f>
        <v>49.87</v>
      </c>
      <c r="R178" s="3">
        <f>IFERROR(__xludf.DUMMYFUNCTION("""COMPUTED_VALUE"""),146.2)</f>
        <v>146.2</v>
      </c>
      <c r="S178" s="3">
        <f>IFERROR(__xludf.DUMMYFUNCTION("""COMPUTED_VALUE"""),101.94)</f>
        <v>101.94</v>
      </c>
      <c r="T178" s="3">
        <f>IFERROR(__xludf.DUMMYFUNCTION("""COMPUTED_VALUE"""),70.12)</f>
        <v>70.12</v>
      </c>
      <c r="U178" s="3">
        <f>IFERROR(__xludf.DUMMYFUNCTION("""COMPUTED_VALUE"""),407.63)</f>
        <v>407.63</v>
      </c>
      <c r="V178" s="3">
        <f>IFERROR(__xludf.DUMMYFUNCTION("""COMPUTED_VALUE"""),56.0)</f>
        <v>56</v>
      </c>
      <c r="W178" s="3">
        <f>IFERROR(__xludf.DUMMYFUNCTION("""COMPUTED_VALUE"""),194.48)</f>
        <v>194.48</v>
      </c>
      <c r="X178" s="3">
        <f>IFERROR(__xludf.DUMMYFUNCTION("""COMPUTED_VALUE"""),155.65)</f>
        <v>155.65</v>
      </c>
      <c r="Y178" s="1">
        <f>IFERROR(__xludf.DUMMYFUNCTION("""COMPUTED_VALUE"""),293.64)</f>
        <v>293.64</v>
      </c>
      <c r="Z178" s="1">
        <f>IFERROR(__xludf.DUMMYFUNCTION("""COMPUTED_VALUE"""),47.46)</f>
        <v>47.46</v>
      </c>
      <c r="AA178" s="1">
        <f>IFERROR(__xludf.DUMMYFUNCTION("""COMPUTED_VALUE"""),61.92)</f>
        <v>61.92</v>
      </c>
      <c r="AB178" s="1">
        <f>IFERROR(__xludf.DUMMYFUNCTION("""COMPUTED_VALUE"""),90.6)</f>
        <v>90.6</v>
      </c>
      <c r="AC178" s="1">
        <f>IFERROR(__xludf.DUMMYFUNCTION("""COMPUTED_VALUE"""),180.5)</f>
        <v>180.5</v>
      </c>
      <c r="AD178" s="3">
        <f>IFERROR(__xludf.DUMMYFUNCTION("""COMPUTED_VALUE"""),72.48)</f>
        <v>72.48</v>
      </c>
      <c r="AE178" s="1">
        <f>IFERROR(__xludf.DUMMYFUNCTION("""COMPUTED_VALUE"""),434.23)</f>
        <v>434.23</v>
      </c>
      <c r="AF178" s="1">
        <f>IFERROR(__xludf.DUMMYFUNCTION("""COMPUTED_VALUE"""),64.81)</f>
        <v>64.81</v>
      </c>
      <c r="AG178" s="1">
        <f>IFERROR(__xludf.DUMMYFUNCTION("""COMPUTED_VALUE"""),108.66)</f>
        <v>108.66</v>
      </c>
      <c r="AH178" s="1">
        <f>IFERROR(__xludf.DUMMYFUNCTION("""COMPUTED_VALUE"""),273.29)</f>
        <v>273.29</v>
      </c>
      <c r="AI178" s="1">
        <f>IFERROR(__xludf.DUMMYFUNCTION("""COMPUTED_VALUE"""),432.37)</f>
        <v>432.37</v>
      </c>
      <c r="AJ178" s="1">
        <f>IFERROR(__xludf.DUMMYFUNCTION("""COMPUTED_VALUE"""),266.43)</f>
        <v>266.43</v>
      </c>
      <c r="AK178" s="3">
        <f>IFERROR(__xludf.DUMMYFUNCTION("""COMPUTED_VALUE"""),53.91)</f>
        <v>53.91</v>
      </c>
      <c r="AL178" s="1">
        <f>IFERROR(__xludf.DUMMYFUNCTION("""COMPUTED_VALUE"""),93.07)</f>
        <v>93.07</v>
      </c>
      <c r="AM178" s="1">
        <f>IFERROR(__xludf.DUMMYFUNCTION("""COMPUTED_VALUE"""),636.9)</f>
        <v>636.9</v>
      </c>
      <c r="AN178" s="1">
        <f>IFERROR(__xludf.DUMMYFUNCTION("""COMPUTED_VALUE"""),414.5)</f>
        <v>414.5</v>
      </c>
      <c r="AO178" s="1">
        <f>IFERROR(__xludf.DUMMYFUNCTION("""COMPUTED_VALUE"""),125.07)</f>
        <v>125.07</v>
      </c>
      <c r="AP178" s="1">
        <f>IFERROR(__xludf.DUMMYFUNCTION("""COMPUTED_VALUE"""),157.47)</f>
        <v>157.47</v>
      </c>
      <c r="AQ178" s="3">
        <f>IFERROR(__xludf.DUMMYFUNCTION("""COMPUTED_VALUE"""),584.05)</f>
        <v>584.05</v>
      </c>
      <c r="AR178" s="3">
        <f>IFERROR(__xludf.DUMMYFUNCTION("""COMPUTED_VALUE"""),264.84)</f>
        <v>264.84</v>
      </c>
      <c r="AS178" s="3">
        <f>IFERROR(__xludf.DUMMYFUNCTION("""COMPUTED_VALUE"""),496.96)</f>
        <v>496.96</v>
      </c>
      <c r="AT178" s="3">
        <f>IFERROR(__xludf.DUMMYFUNCTION("""COMPUTED_VALUE"""),400.03)</f>
        <v>400.03</v>
      </c>
      <c r="AU178" s="1">
        <f>IFERROR(__xludf.DUMMYFUNCTION("""COMPUTED_VALUE"""),30.56)</f>
        <v>30.56</v>
      </c>
      <c r="AV178" s="1">
        <f>IFERROR(__xludf.DUMMYFUNCTION("""COMPUTED_VALUE"""),90.19)</f>
        <v>90.19</v>
      </c>
      <c r="AW178" s="1">
        <f>IFERROR(__xludf.DUMMYFUNCTION("""COMPUTED_VALUE"""),86.03)</f>
        <v>86.03</v>
      </c>
      <c r="AX178" s="1">
        <f>IFERROR(__xludf.DUMMYFUNCTION("""COMPUTED_VALUE"""),21.57)</f>
        <v>21.57</v>
      </c>
      <c r="AY178" s="1">
        <f>IFERROR(__xludf.DUMMYFUNCTION("""COMPUTED_VALUE"""),444.06)</f>
        <v>444.06</v>
      </c>
      <c r="AZ178" s="3">
        <f>IFERROR(__xludf.DUMMYFUNCTION("""COMPUTED_VALUE"""),72.83)</f>
        <v>72.83</v>
      </c>
      <c r="BA178" s="3">
        <f>IFERROR(__xludf.DUMMYFUNCTION("""COMPUTED_VALUE"""),112.37)</f>
        <v>112.37</v>
      </c>
      <c r="BB178" s="3">
        <f>IFERROR(__xludf.DUMMYFUNCTION("""COMPUTED_VALUE"""),142.62)</f>
        <v>142.62</v>
      </c>
      <c r="BC178" s="1">
        <f>IFERROR(__xludf.DUMMYFUNCTION("""COMPUTED_VALUE"""),96.67)</f>
        <v>96.67</v>
      </c>
      <c r="BD178" s="3">
        <f>IFERROR(__xludf.DUMMYFUNCTION("""COMPUTED_VALUE"""),60.15)</f>
        <v>60.15</v>
      </c>
      <c r="BE178" s="3">
        <f>IFERROR(__xludf.DUMMYFUNCTION("""COMPUTED_VALUE"""),78.98)</f>
        <v>78.98</v>
      </c>
      <c r="BF178" s="1">
        <f>IFERROR(__xludf.DUMMYFUNCTION("""COMPUTED_VALUE"""),89.11)</f>
        <v>89.11</v>
      </c>
      <c r="BG178" s="1">
        <f>IFERROR(__xludf.DUMMYFUNCTION("""COMPUTED_VALUE"""),26.09)</f>
        <v>26.09</v>
      </c>
      <c r="BH178" s="1">
        <f>IFERROR(__xludf.DUMMYFUNCTION("""COMPUTED_VALUE"""),125.31)</f>
        <v>125.31</v>
      </c>
      <c r="BI178" s="1">
        <f>IFERROR(__xludf.DUMMYFUNCTION("""COMPUTED_VALUE"""),40.99)</f>
        <v>40.99</v>
      </c>
      <c r="BJ178" s="1">
        <f>IFERROR(__xludf.DUMMYFUNCTION("""COMPUTED_VALUE"""),218.57)</f>
        <v>218.57</v>
      </c>
      <c r="BK178" s="1">
        <f>IFERROR(__xludf.DUMMYFUNCTION("""COMPUTED_VALUE"""),574.82)</f>
        <v>574.82</v>
      </c>
      <c r="BL178" s="1">
        <f>IFERROR(__xludf.DUMMYFUNCTION("""COMPUTED_VALUE"""),186.61)</f>
        <v>186.61</v>
      </c>
      <c r="BM178" s="1">
        <f>IFERROR(__xludf.DUMMYFUNCTION("""COMPUTED_VALUE"""),60.82)</f>
        <v>60.82</v>
      </c>
      <c r="BN178" s="3">
        <f>IFERROR(__xludf.DUMMYFUNCTION("""COMPUTED_VALUE"""),8.42)</f>
        <v>8.42</v>
      </c>
      <c r="BO178" s="1">
        <f>IFERROR(__xludf.DUMMYFUNCTION("""COMPUTED_VALUE"""),248.78)</f>
        <v>248.78</v>
      </c>
      <c r="BP178" s="1">
        <f>IFERROR(__xludf.DUMMYFUNCTION("""COMPUTED_VALUE"""),532.51)</f>
        <v>532.51</v>
      </c>
      <c r="BQ178" s="36">
        <f>IFERROR(__xludf.DUMMYFUNCTION("""COMPUTED_VALUE"""),48.71)</f>
        <v>48.71</v>
      </c>
      <c r="BR178" s="1">
        <f>IFERROR(__xludf.DUMMYFUNCTION("""COMPUTED_VALUE"""),11.2)</f>
        <v>11.2</v>
      </c>
      <c r="BS178" s="3">
        <f>IFERROR(__xludf.DUMMYFUNCTION("""COMPUTED_VALUE"""),209.43)</f>
        <v>209.43</v>
      </c>
      <c r="BT178" s="1">
        <f>IFERROR(__xludf.DUMMYFUNCTION("""COMPUTED_VALUE"""),112.16)</f>
        <v>112.16</v>
      </c>
      <c r="BU178" s="3">
        <v>1.0</v>
      </c>
    </row>
    <row r="179">
      <c r="A179" s="25">
        <f>IFERROR(__xludf.DUMMYFUNCTION("""COMPUTED_VALUE"""),45684.66666666667)</f>
        <v>45684.66667</v>
      </c>
      <c r="B179" s="29">
        <f>'Master Scratch Work'!B178</f>
        <v>1377707.25</v>
      </c>
      <c r="C179" s="15">
        <f>IFERROR(__xludf.DUMMYFUNCTION("""COMPUTED_VALUE"""),6012.28)</f>
        <v>6012.28</v>
      </c>
      <c r="D179" s="15">
        <f>IFERROR(__xludf.DUMMYFUNCTION("""COMPUTED_VALUE"""),19341.83)</f>
        <v>19341.83</v>
      </c>
      <c r="E179" s="15">
        <f>IFERROR(__xludf.DUMMYFUNCTION("""COMPUTED_VALUE"""),44713.58)</f>
        <v>44713.58</v>
      </c>
      <c r="F179" s="15">
        <f>IFERROR(__xludf.DUMMYFUNCTION("""COMPUTED_VALUE"""),2284.02)</f>
        <v>2284.02</v>
      </c>
      <c r="G179" s="3">
        <f>IFERROR(__xludf.DUMMYFUNCTION("""COMPUTED_VALUE"""),599.37)</f>
        <v>599.37</v>
      </c>
      <c r="H179" s="3">
        <f>IFERROR(__xludf.DUMMYFUNCTION("""COMPUTED_VALUE"""),514.21)</f>
        <v>514.21</v>
      </c>
      <c r="I179" s="3">
        <f>IFERROR(__xludf.DUMMYFUNCTION("""COMPUTED_VALUE"""),438.6)</f>
        <v>438.6</v>
      </c>
      <c r="J179" s="3">
        <f>IFERROR(__xludf.DUMMYFUNCTION("""COMPUTED_VALUE"""),235.42)</f>
        <v>235.42</v>
      </c>
      <c r="K179" s="3">
        <f>IFERROR(__xludf.DUMMYFUNCTION("""COMPUTED_VALUE"""),129.95)</f>
        <v>129.95</v>
      </c>
      <c r="L179" s="3">
        <f>IFERROR(__xludf.DUMMYFUNCTION("""COMPUTED_VALUE"""),229.86)</f>
        <v>229.86</v>
      </c>
      <c r="M179" s="3">
        <f>IFERROR(__xludf.DUMMYFUNCTION("""COMPUTED_VALUE"""),174.57)</f>
        <v>174.57</v>
      </c>
      <c r="N179" s="3">
        <f>IFERROR(__xludf.DUMMYFUNCTION("""COMPUTED_VALUE"""),85.9)</f>
        <v>85.9</v>
      </c>
      <c r="O179" s="3">
        <f>IFERROR(__xludf.DUMMYFUNCTION("""COMPUTED_VALUE"""),14.46)</f>
        <v>14.46</v>
      </c>
      <c r="P179" s="3">
        <f>IFERROR(__xludf.DUMMYFUNCTION("""COMPUTED_VALUE"""),474.7)</f>
        <v>474.7</v>
      </c>
      <c r="Q179" s="3">
        <f>IFERROR(__xludf.DUMMYFUNCTION("""COMPUTED_VALUE"""),49.9)</f>
        <v>49.9</v>
      </c>
      <c r="R179" s="3">
        <f>IFERROR(__xludf.DUMMYFUNCTION("""COMPUTED_VALUE"""),148.76)</f>
        <v>148.76</v>
      </c>
      <c r="S179" s="3">
        <f>IFERROR(__xludf.DUMMYFUNCTION("""COMPUTED_VALUE"""),102.27)</f>
        <v>102.27</v>
      </c>
      <c r="T179" s="3">
        <f>IFERROR(__xludf.DUMMYFUNCTION("""COMPUTED_VALUE"""),67.43)</f>
        <v>67.43</v>
      </c>
      <c r="U179" s="3">
        <f>IFERROR(__xludf.DUMMYFUNCTION("""COMPUTED_VALUE"""),394.98)</f>
        <v>394.98</v>
      </c>
      <c r="V179" s="3">
        <f>IFERROR(__xludf.DUMMYFUNCTION("""COMPUTED_VALUE"""),47.51)</f>
        <v>47.51</v>
      </c>
      <c r="W179" s="3">
        <f>IFERROR(__xludf.DUMMYFUNCTION("""COMPUTED_VALUE"""),198.2)</f>
        <v>198.2</v>
      </c>
      <c r="X179" s="3">
        <f>IFERROR(__xludf.DUMMYFUNCTION("""COMPUTED_VALUE"""),157.23)</f>
        <v>157.23</v>
      </c>
      <c r="Y179" s="1">
        <f>IFERROR(__xludf.DUMMYFUNCTION("""COMPUTED_VALUE"""),305.72)</f>
        <v>305.72</v>
      </c>
      <c r="Z179" s="1">
        <f>IFERROR(__xludf.DUMMYFUNCTION("""COMPUTED_VALUE"""),47.55)</f>
        <v>47.55</v>
      </c>
      <c r="AA179" s="1">
        <f>IFERROR(__xludf.DUMMYFUNCTION("""COMPUTED_VALUE"""),63.87)</f>
        <v>63.87</v>
      </c>
      <c r="AB179" s="1">
        <f>IFERROR(__xludf.DUMMYFUNCTION("""COMPUTED_VALUE"""),94.89)</f>
        <v>94.89</v>
      </c>
      <c r="AC179" s="1">
        <f>IFERROR(__xludf.DUMMYFUNCTION("""COMPUTED_VALUE"""),164.74)</f>
        <v>164.74</v>
      </c>
      <c r="AD179" s="3">
        <f>IFERROR(__xludf.DUMMYFUNCTION("""COMPUTED_VALUE"""),74.95)</f>
        <v>74.95</v>
      </c>
      <c r="AE179" s="1">
        <f>IFERROR(__xludf.DUMMYFUNCTION("""COMPUTED_VALUE"""),431.15)</f>
        <v>431.15</v>
      </c>
      <c r="AF179" s="1">
        <f>IFERROR(__xludf.DUMMYFUNCTION("""COMPUTED_VALUE"""),66.84)</f>
        <v>66.84</v>
      </c>
      <c r="AG179" s="1">
        <f>IFERROR(__xludf.DUMMYFUNCTION("""COMPUTED_VALUE"""),110.17)</f>
        <v>110.17</v>
      </c>
      <c r="AH179" s="1">
        <f>IFERROR(__xludf.DUMMYFUNCTION("""COMPUTED_VALUE"""),281.53)</f>
        <v>281.53</v>
      </c>
      <c r="AI179" s="1">
        <f>IFERROR(__xludf.DUMMYFUNCTION("""COMPUTED_VALUE"""),432.32)</f>
        <v>432.32</v>
      </c>
      <c r="AJ179" s="1">
        <f>IFERROR(__xludf.DUMMYFUNCTION("""COMPUTED_VALUE"""),269.84)</f>
        <v>269.84</v>
      </c>
      <c r="AK179" s="3">
        <f>IFERROR(__xludf.DUMMYFUNCTION("""COMPUTED_VALUE"""),54.92)</f>
        <v>54.92</v>
      </c>
      <c r="AL179" s="1">
        <f>IFERROR(__xludf.DUMMYFUNCTION("""COMPUTED_VALUE"""),95.35)</f>
        <v>95.35</v>
      </c>
      <c r="AM179" s="1">
        <f>IFERROR(__xludf.DUMMYFUNCTION("""COMPUTED_VALUE"""),633.28)</f>
        <v>633.28</v>
      </c>
      <c r="AN179" s="1">
        <f>IFERROR(__xludf.DUMMYFUNCTION("""COMPUTED_VALUE"""),424.87)</f>
        <v>424.87</v>
      </c>
      <c r="AO179" s="1">
        <f>IFERROR(__xludf.DUMMYFUNCTION("""COMPUTED_VALUE"""),126.68)</f>
        <v>126.68</v>
      </c>
      <c r="AP179" s="1">
        <f>IFERROR(__xludf.DUMMYFUNCTION("""COMPUTED_VALUE"""),160.83)</f>
        <v>160.83</v>
      </c>
      <c r="AQ179" s="3">
        <f>IFERROR(__xludf.DUMMYFUNCTION("""COMPUTED_VALUE"""),573.48)</f>
        <v>573.48</v>
      </c>
      <c r="AR179" s="3">
        <f>IFERROR(__xludf.DUMMYFUNCTION("""COMPUTED_VALUE"""),265.85)</f>
        <v>265.85</v>
      </c>
      <c r="AS179" s="3">
        <f>IFERROR(__xludf.DUMMYFUNCTION("""COMPUTED_VALUE"""),503.69)</f>
        <v>503.69</v>
      </c>
      <c r="AT179" s="3">
        <f>IFERROR(__xludf.DUMMYFUNCTION("""COMPUTED_VALUE"""),402.9)</f>
        <v>402.9</v>
      </c>
      <c r="AU179" s="1">
        <f>IFERROR(__xludf.DUMMYFUNCTION("""COMPUTED_VALUE"""),30.35)</f>
        <v>30.35</v>
      </c>
      <c r="AV179" s="1">
        <f>IFERROR(__xludf.DUMMYFUNCTION("""COMPUTED_VALUE"""),92.46)</f>
        <v>92.46</v>
      </c>
      <c r="AW179" s="1">
        <f>IFERROR(__xludf.DUMMYFUNCTION("""COMPUTED_VALUE"""),86.96)</f>
        <v>86.96</v>
      </c>
      <c r="AX179" s="1">
        <f>IFERROR(__xludf.DUMMYFUNCTION("""COMPUTED_VALUE"""),21.52)</f>
        <v>21.52</v>
      </c>
      <c r="AY179" s="1">
        <f>IFERROR(__xludf.DUMMYFUNCTION("""COMPUTED_VALUE"""),434.56)</f>
        <v>434.56</v>
      </c>
      <c r="AZ179" s="3">
        <f>IFERROR(__xludf.DUMMYFUNCTION("""COMPUTED_VALUE"""),73.83)</f>
        <v>73.83</v>
      </c>
      <c r="BA179" s="3">
        <f>IFERROR(__xludf.DUMMYFUNCTION("""COMPUTED_VALUE"""),97.49)</f>
        <v>97.49</v>
      </c>
      <c r="BB179" s="3">
        <f>IFERROR(__xludf.DUMMYFUNCTION("""COMPUTED_VALUE"""),118.42)</f>
        <v>118.42</v>
      </c>
      <c r="BC179" s="1">
        <f>IFERROR(__xludf.DUMMYFUNCTION("""COMPUTED_VALUE"""),97.74)</f>
        <v>97.74</v>
      </c>
      <c r="BD179" s="3">
        <f>IFERROR(__xludf.DUMMYFUNCTION("""COMPUTED_VALUE"""),59.9)</f>
        <v>59.9</v>
      </c>
      <c r="BE179" s="3">
        <f>IFERROR(__xludf.DUMMYFUNCTION("""COMPUTED_VALUE"""),75.44)</f>
        <v>75.44</v>
      </c>
      <c r="BF179" s="1">
        <f>IFERROR(__xludf.DUMMYFUNCTION("""COMPUTED_VALUE"""),90.24)</f>
        <v>90.24</v>
      </c>
      <c r="BG179" s="1">
        <f>IFERROR(__xludf.DUMMYFUNCTION("""COMPUTED_VALUE"""),26.86)</f>
        <v>26.86</v>
      </c>
      <c r="BH179" s="1">
        <f>IFERROR(__xludf.DUMMYFUNCTION("""COMPUTED_VALUE"""),125.05)</f>
        <v>125.05</v>
      </c>
      <c r="BI179" s="1">
        <f>IFERROR(__xludf.DUMMYFUNCTION("""COMPUTED_VALUE"""),40.73)</f>
        <v>40.73</v>
      </c>
      <c r="BJ179" s="1">
        <f>IFERROR(__xludf.DUMMYFUNCTION("""COMPUTED_VALUE"""),221.43)</f>
        <v>221.43</v>
      </c>
      <c r="BK179" s="1">
        <f>IFERROR(__xludf.DUMMYFUNCTION("""COMPUTED_VALUE"""),583.64)</f>
        <v>583.64</v>
      </c>
      <c r="BL179" s="1">
        <f>IFERROR(__xludf.DUMMYFUNCTION("""COMPUTED_VALUE"""),186.5)</f>
        <v>186.5</v>
      </c>
      <c r="BM179" s="1">
        <f>IFERROR(__xludf.DUMMYFUNCTION("""COMPUTED_VALUE"""),61.07)</f>
        <v>61.07</v>
      </c>
      <c r="BN179" s="3">
        <f>IFERROR(__xludf.DUMMYFUNCTION("""COMPUTED_VALUE"""),8.26)</f>
        <v>8.26</v>
      </c>
      <c r="BO179" s="1">
        <f>IFERROR(__xludf.DUMMYFUNCTION("""COMPUTED_VALUE"""),254.42)</f>
        <v>254.42</v>
      </c>
      <c r="BP179" s="1">
        <f>IFERROR(__xludf.DUMMYFUNCTION("""COMPUTED_VALUE"""),543.52)</f>
        <v>543.52</v>
      </c>
      <c r="BQ179" s="36">
        <f>IFERROR(__xludf.DUMMYFUNCTION("""COMPUTED_VALUE"""),48.77)</f>
        <v>48.77</v>
      </c>
      <c r="BR179" s="1">
        <f>IFERROR(__xludf.DUMMYFUNCTION("""COMPUTED_VALUE"""),11.42)</f>
        <v>11.42</v>
      </c>
      <c r="BS179" s="3">
        <f>IFERROR(__xludf.DUMMYFUNCTION("""COMPUTED_VALUE"""),213.63)</f>
        <v>213.63</v>
      </c>
      <c r="BT179" s="1">
        <f>IFERROR(__xludf.DUMMYFUNCTION("""COMPUTED_VALUE"""),113.34)</f>
        <v>113.34</v>
      </c>
      <c r="BU179" s="3">
        <v>1.0</v>
      </c>
    </row>
    <row r="180">
      <c r="A180" s="25">
        <f>IFERROR(__xludf.DUMMYFUNCTION("""COMPUTED_VALUE"""),45685.66666666667)</f>
        <v>45685.66667</v>
      </c>
      <c r="B180" s="29">
        <f>'Master Scratch Work'!B179</f>
        <v>1377500.92</v>
      </c>
      <c r="C180" s="15">
        <f>IFERROR(__xludf.DUMMYFUNCTION("""COMPUTED_VALUE"""),6067.7)</f>
        <v>6067.7</v>
      </c>
      <c r="D180" s="15">
        <f>IFERROR(__xludf.DUMMYFUNCTION("""COMPUTED_VALUE"""),19733.59)</f>
        <v>19733.59</v>
      </c>
      <c r="E180" s="15">
        <f>IFERROR(__xludf.DUMMYFUNCTION("""COMPUTED_VALUE"""),44850.35)</f>
        <v>44850.35</v>
      </c>
      <c r="F180" s="15">
        <f>IFERROR(__xludf.DUMMYFUNCTION("""COMPUTED_VALUE"""),2288.86)</f>
        <v>2288.86</v>
      </c>
      <c r="G180" s="3">
        <f>IFERROR(__xludf.DUMMYFUNCTION("""COMPUTED_VALUE"""),604.52)</f>
        <v>604.52</v>
      </c>
      <c r="H180" s="3">
        <f>IFERROR(__xludf.DUMMYFUNCTION("""COMPUTED_VALUE"""),521.81)</f>
        <v>521.81</v>
      </c>
      <c r="I180" s="3">
        <f>IFERROR(__xludf.DUMMYFUNCTION("""COMPUTED_VALUE"""),442.84)</f>
        <v>442.84</v>
      </c>
      <c r="J180" s="3">
        <f>IFERROR(__xludf.DUMMYFUNCTION("""COMPUTED_VALUE"""),238.15)</f>
        <v>238.15</v>
      </c>
      <c r="K180" s="3">
        <f>IFERROR(__xludf.DUMMYFUNCTION("""COMPUTED_VALUE"""),126.33)</f>
        <v>126.33</v>
      </c>
      <c r="L180" s="3">
        <f>IFERROR(__xludf.DUMMYFUNCTION("""COMPUTED_VALUE"""),238.26)</f>
        <v>238.26</v>
      </c>
      <c r="M180" s="3">
        <f>IFERROR(__xludf.DUMMYFUNCTION("""COMPUTED_VALUE"""),172.85)</f>
        <v>172.85</v>
      </c>
      <c r="N180" s="3">
        <f>IFERROR(__xludf.DUMMYFUNCTION("""COMPUTED_VALUE"""),86.34)</f>
        <v>86.34</v>
      </c>
      <c r="O180" s="3">
        <f>IFERROR(__xludf.DUMMYFUNCTION("""COMPUTED_VALUE"""),14.59)</f>
        <v>14.59</v>
      </c>
      <c r="P180" s="3">
        <f>IFERROR(__xludf.DUMMYFUNCTION("""COMPUTED_VALUE"""),469.97)</f>
        <v>469.97</v>
      </c>
      <c r="Q180" s="3">
        <f>IFERROR(__xludf.DUMMYFUNCTION("""COMPUTED_VALUE"""),48.71)</f>
        <v>48.71</v>
      </c>
      <c r="R180" s="3">
        <f>IFERROR(__xludf.DUMMYFUNCTION("""COMPUTED_VALUE"""),145.49)</f>
        <v>145.49</v>
      </c>
      <c r="S180" s="3">
        <f>IFERROR(__xludf.DUMMYFUNCTION("""COMPUTED_VALUE"""),102.32)</f>
        <v>102.32</v>
      </c>
      <c r="T180" s="3">
        <f>IFERROR(__xludf.DUMMYFUNCTION("""COMPUTED_VALUE"""),67.3)</f>
        <v>67.3</v>
      </c>
      <c r="U180" s="3">
        <f>IFERROR(__xludf.DUMMYFUNCTION("""COMPUTED_VALUE"""),390.29)</f>
        <v>390.29</v>
      </c>
      <c r="V180" s="3">
        <f>IFERROR(__xludf.DUMMYFUNCTION("""COMPUTED_VALUE"""),48.6)</f>
        <v>48.6</v>
      </c>
      <c r="W180" s="3">
        <f>IFERROR(__xludf.DUMMYFUNCTION("""COMPUTED_VALUE"""),202.94)</f>
        <v>202.94</v>
      </c>
      <c r="X180" s="3">
        <f>IFERROR(__xludf.DUMMYFUNCTION("""COMPUTED_VALUE"""),156.21)</f>
        <v>156.21</v>
      </c>
      <c r="Y180" s="1">
        <f>IFERROR(__xludf.DUMMYFUNCTION("""COMPUTED_VALUE"""),302.82)</f>
        <v>302.82</v>
      </c>
      <c r="Z180" s="1">
        <f>IFERROR(__xludf.DUMMYFUNCTION("""COMPUTED_VALUE"""),47.35)</f>
        <v>47.35</v>
      </c>
      <c r="AA180" s="1">
        <f>IFERROR(__xludf.DUMMYFUNCTION("""COMPUTED_VALUE"""),62.36)</f>
        <v>62.36</v>
      </c>
      <c r="AB180" s="1">
        <f>IFERROR(__xludf.DUMMYFUNCTION("""COMPUTED_VALUE"""),93.39)</f>
        <v>93.39</v>
      </c>
      <c r="AC180" s="1">
        <f>IFERROR(__xludf.DUMMYFUNCTION("""COMPUTED_VALUE"""),162.14)</f>
        <v>162.14</v>
      </c>
      <c r="AD180" s="3">
        <f>IFERROR(__xludf.DUMMYFUNCTION("""COMPUTED_VALUE"""),74.95)</f>
        <v>74.95</v>
      </c>
      <c r="AE180" s="1">
        <f>IFERROR(__xludf.DUMMYFUNCTION("""COMPUTED_VALUE"""),429.81)</f>
        <v>429.81</v>
      </c>
      <c r="AF180" s="1">
        <f>IFERROR(__xludf.DUMMYFUNCTION("""COMPUTED_VALUE"""),67.19)</f>
        <v>67.19</v>
      </c>
      <c r="AG180" s="1">
        <f>IFERROR(__xludf.DUMMYFUNCTION("""COMPUTED_VALUE"""),108.04)</f>
        <v>108.04</v>
      </c>
      <c r="AH180" s="1">
        <f>IFERROR(__xludf.DUMMYFUNCTION("""COMPUTED_VALUE"""),278.65)</f>
        <v>278.65</v>
      </c>
      <c r="AI180" s="1">
        <f>IFERROR(__xludf.DUMMYFUNCTION("""COMPUTED_VALUE"""),431.09)</f>
        <v>431.09</v>
      </c>
      <c r="AJ180" s="1">
        <f>IFERROR(__xludf.DUMMYFUNCTION("""COMPUTED_VALUE"""),262.57)</f>
        <v>262.57</v>
      </c>
      <c r="AK180" s="3">
        <f>IFERROR(__xludf.DUMMYFUNCTION("""COMPUTED_VALUE"""),50.04)</f>
        <v>50.04</v>
      </c>
      <c r="AL180" s="1">
        <f>IFERROR(__xludf.DUMMYFUNCTION("""COMPUTED_VALUE"""),93.85)</f>
        <v>93.85</v>
      </c>
      <c r="AM180" s="1">
        <f>IFERROR(__xludf.DUMMYFUNCTION("""COMPUTED_VALUE"""),637.8)</f>
        <v>637.8</v>
      </c>
      <c r="AN180" s="1">
        <f>IFERROR(__xludf.DUMMYFUNCTION("""COMPUTED_VALUE"""),418.83)</f>
        <v>418.83</v>
      </c>
      <c r="AO180" s="1">
        <f>IFERROR(__xludf.DUMMYFUNCTION("""COMPUTED_VALUE"""),129.14)</f>
        <v>129.14</v>
      </c>
      <c r="AP180" s="1">
        <f>IFERROR(__xludf.DUMMYFUNCTION("""COMPUTED_VALUE"""),158.84)</f>
        <v>158.84</v>
      </c>
      <c r="AQ180" s="3">
        <f>IFERROR(__xludf.DUMMYFUNCTION("""COMPUTED_VALUE"""),574.14)</f>
        <v>574.14</v>
      </c>
      <c r="AR180" s="3">
        <f>IFERROR(__xludf.DUMMYFUNCTION("""COMPUTED_VALUE"""),267.14)</f>
        <v>267.14</v>
      </c>
      <c r="AS180" s="3">
        <f>IFERROR(__xludf.DUMMYFUNCTION("""COMPUTED_VALUE"""),457.45)</f>
        <v>457.45</v>
      </c>
      <c r="AT180" s="3">
        <f>IFERROR(__xludf.DUMMYFUNCTION("""COMPUTED_VALUE"""),409.42)</f>
        <v>409.42</v>
      </c>
      <c r="AU180" s="1">
        <f>IFERROR(__xludf.DUMMYFUNCTION("""COMPUTED_VALUE"""),30.22)</f>
        <v>30.22</v>
      </c>
      <c r="AV180" s="1">
        <f>IFERROR(__xludf.DUMMYFUNCTION("""COMPUTED_VALUE"""),91.98)</f>
        <v>91.98</v>
      </c>
      <c r="AW180" s="1">
        <f>IFERROR(__xludf.DUMMYFUNCTION("""COMPUTED_VALUE"""),85.68)</f>
        <v>85.68</v>
      </c>
      <c r="AX180" s="1">
        <f>IFERROR(__xludf.DUMMYFUNCTION("""COMPUTED_VALUE"""),20.82)</f>
        <v>20.82</v>
      </c>
      <c r="AY180" s="1">
        <f>IFERROR(__xludf.DUMMYFUNCTION("""COMPUTED_VALUE"""),447.2)</f>
        <v>447.2</v>
      </c>
      <c r="AZ180" s="3">
        <f>IFERROR(__xludf.DUMMYFUNCTION("""COMPUTED_VALUE"""),70.54)</f>
        <v>70.54</v>
      </c>
      <c r="BA180" s="3">
        <f>IFERROR(__xludf.DUMMYFUNCTION("""COMPUTED_VALUE"""),100.87)</f>
        <v>100.87</v>
      </c>
      <c r="BB180" s="3">
        <f>IFERROR(__xludf.DUMMYFUNCTION("""COMPUTED_VALUE"""),128.99)</f>
        <v>128.99</v>
      </c>
      <c r="BC180" s="1">
        <f>IFERROR(__xludf.DUMMYFUNCTION("""COMPUTED_VALUE"""),95.87)</f>
        <v>95.87</v>
      </c>
      <c r="BD180" s="3">
        <f>IFERROR(__xludf.DUMMYFUNCTION("""COMPUTED_VALUE"""),62.16)</f>
        <v>62.16</v>
      </c>
      <c r="BE180" s="3">
        <f>IFERROR(__xludf.DUMMYFUNCTION("""COMPUTED_VALUE"""),80.23)</f>
        <v>80.23</v>
      </c>
      <c r="BF180" s="1">
        <f>IFERROR(__xludf.DUMMYFUNCTION("""COMPUTED_VALUE"""),88.19)</f>
        <v>88.19</v>
      </c>
      <c r="BG180" s="1">
        <f>IFERROR(__xludf.DUMMYFUNCTION("""COMPUTED_VALUE"""),26.75)</f>
        <v>26.75</v>
      </c>
      <c r="BH180" s="1">
        <f>IFERROR(__xludf.DUMMYFUNCTION("""COMPUTED_VALUE"""),128.35)</f>
        <v>128.35</v>
      </c>
      <c r="BI180" s="1">
        <f>IFERROR(__xludf.DUMMYFUNCTION("""COMPUTED_VALUE"""),40.92)</f>
        <v>40.92</v>
      </c>
      <c r="BJ180" s="1">
        <f>IFERROR(__xludf.DUMMYFUNCTION("""COMPUTED_VALUE"""),221.14)</f>
        <v>221.14</v>
      </c>
      <c r="BK180" s="1">
        <f>IFERROR(__xludf.DUMMYFUNCTION("""COMPUTED_VALUE"""),584.29)</f>
        <v>584.29</v>
      </c>
      <c r="BL180" s="1">
        <f>IFERROR(__xludf.DUMMYFUNCTION("""COMPUTED_VALUE"""),185.29)</f>
        <v>185.29</v>
      </c>
      <c r="BM180" s="1">
        <f>IFERROR(__xludf.DUMMYFUNCTION("""COMPUTED_VALUE"""),67.03)</f>
        <v>67.03</v>
      </c>
      <c r="BN180" s="3">
        <f>IFERROR(__xludf.DUMMYFUNCTION("""COMPUTED_VALUE"""),8.1)</f>
        <v>8.1</v>
      </c>
      <c r="BO180" s="1">
        <f>IFERROR(__xludf.DUMMYFUNCTION("""COMPUTED_VALUE"""),249.16)</f>
        <v>249.16</v>
      </c>
      <c r="BP180" s="1">
        <f>IFERROR(__xludf.DUMMYFUNCTION("""COMPUTED_VALUE"""),542.48)</f>
        <v>542.48</v>
      </c>
      <c r="BQ180" s="36">
        <f>IFERROR(__xludf.DUMMYFUNCTION("""COMPUTED_VALUE"""),48.82)</f>
        <v>48.82</v>
      </c>
      <c r="BR180" s="1">
        <f>IFERROR(__xludf.DUMMYFUNCTION("""COMPUTED_VALUE"""),11.2)</f>
        <v>11.2</v>
      </c>
      <c r="BS180" s="3">
        <f>IFERROR(__xludf.DUMMYFUNCTION("""COMPUTED_VALUE"""),213.65)</f>
        <v>213.65</v>
      </c>
      <c r="BT180" s="1">
        <f>IFERROR(__xludf.DUMMYFUNCTION("""COMPUTED_VALUE"""),112.14)</f>
        <v>112.14</v>
      </c>
      <c r="BU180" s="3">
        <v>1.0</v>
      </c>
    </row>
    <row r="181">
      <c r="A181" s="25">
        <f>IFERROR(__xludf.DUMMYFUNCTION("""COMPUTED_VALUE"""),45686.66666666667)</f>
        <v>45686.66667</v>
      </c>
      <c r="B181" s="29">
        <f>'Master Scratch Work'!B180</f>
        <v>1376917.15</v>
      </c>
      <c r="C181" s="15">
        <f>IFERROR(__xludf.DUMMYFUNCTION("""COMPUTED_VALUE"""),6039.31)</f>
        <v>6039.31</v>
      </c>
      <c r="D181" s="15">
        <f>IFERROR(__xludf.DUMMYFUNCTION("""COMPUTED_VALUE"""),19632.32)</f>
        <v>19632.32</v>
      </c>
      <c r="E181" s="15">
        <f>IFERROR(__xludf.DUMMYFUNCTION("""COMPUTED_VALUE"""),44713.52)</f>
        <v>44713.52</v>
      </c>
      <c r="F181" s="15">
        <f>IFERROR(__xludf.DUMMYFUNCTION("""COMPUTED_VALUE"""),2283.1)</f>
        <v>2283.1</v>
      </c>
      <c r="G181" s="3">
        <f>IFERROR(__xludf.DUMMYFUNCTION("""COMPUTED_VALUE"""),601.81)</f>
        <v>601.81</v>
      </c>
      <c r="H181" s="3">
        <f>IFERROR(__xludf.DUMMYFUNCTION("""COMPUTED_VALUE"""),520.83)</f>
        <v>520.83</v>
      </c>
      <c r="I181" s="3">
        <f>IFERROR(__xludf.DUMMYFUNCTION("""COMPUTED_VALUE"""),441.68)</f>
        <v>441.68</v>
      </c>
      <c r="J181" s="3">
        <f>IFERROR(__xludf.DUMMYFUNCTION("""COMPUTED_VALUE"""),237.07)</f>
        <v>237.07</v>
      </c>
      <c r="K181" s="3">
        <f>IFERROR(__xludf.DUMMYFUNCTION("""COMPUTED_VALUE"""),124.25)</f>
        <v>124.25</v>
      </c>
      <c r="L181" s="3">
        <f>IFERROR(__xludf.DUMMYFUNCTION("""COMPUTED_VALUE"""),239.36)</f>
        <v>239.36</v>
      </c>
      <c r="M181" s="3">
        <f>IFERROR(__xludf.DUMMYFUNCTION("""COMPUTED_VALUE"""),175.28)</f>
        <v>175.28</v>
      </c>
      <c r="N181" s="3">
        <f>IFERROR(__xludf.DUMMYFUNCTION("""COMPUTED_VALUE"""),86.04)</f>
        <v>86.04</v>
      </c>
      <c r="O181" s="3">
        <f>IFERROR(__xludf.DUMMYFUNCTION("""COMPUTED_VALUE"""),14.67)</f>
        <v>14.67</v>
      </c>
      <c r="P181" s="3">
        <f>IFERROR(__xludf.DUMMYFUNCTION("""COMPUTED_VALUE"""),469.26)</f>
        <v>469.26</v>
      </c>
      <c r="Q181" s="3">
        <f>IFERROR(__xludf.DUMMYFUNCTION("""COMPUTED_VALUE"""),48.79)</f>
        <v>48.79</v>
      </c>
      <c r="R181" s="3">
        <f>IFERROR(__xludf.DUMMYFUNCTION("""COMPUTED_VALUE"""),144.41)</f>
        <v>144.41</v>
      </c>
      <c r="S181" s="3">
        <f>IFERROR(__xludf.DUMMYFUNCTION("""COMPUTED_VALUE"""),102.71)</f>
        <v>102.71</v>
      </c>
      <c r="T181" s="3">
        <f>IFERROR(__xludf.DUMMYFUNCTION("""COMPUTED_VALUE"""),64.8)</f>
        <v>64.8</v>
      </c>
      <c r="U181" s="3">
        <f>IFERROR(__xludf.DUMMYFUNCTION("""COMPUTED_VALUE"""),393.23)</f>
        <v>393.23</v>
      </c>
      <c r="V181" s="3">
        <f>IFERROR(__xludf.DUMMYFUNCTION("""COMPUTED_VALUE"""),50.07)</f>
        <v>50.07</v>
      </c>
      <c r="W181" s="3">
        <f>IFERROR(__xludf.DUMMYFUNCTION("""COMPUTED_VALUE"""),203.9)</f>
        <v>203.9</v>
      </c>
      <c r="X181" s="3">
        <f>IFERROR(__xludf.DUMMYFUNCTION("""COMPUTED_VALUE"""),155.69)</f>
        <v>155.69</v>
      </c>
      <c r="Y181" s="1">
        <f>IFERROR(__xludf.DUMMYFUNCTION("""COMPUTED_VALUE"""),303.31)</f>
        <v>303.31</v>
      </c>
      <c r="Z181" s="1">
        <f>IFERROR(__xludf.DUMMYFUNCTION("""COMPUTED_VALUE"""),47.62)</f>
        <v>47.62</v>
      </c>
      <c r="AA181" s="1">
        <f>IFERROR(__xludf.DUMMYFUNCTION("""COMPUTED_VALUE"""),62.83)</f>
        <v>62.83</v>
      </c>
      <c r="AB181" s="1">
        <f>IFERROR(__xludf.DUMMYFUNCTION("""COMPUTED_VALUE"""),92.57)</f>
        <v>92.57</v>
      </c>
      <c r="AC181" s="1">
        <f>IFERROR(__xludf.DUMMYFUNCTION("""COMPUTED_VALUE"""),161.73)</f>
        <v>161.73</v>
      </c>
      <c r="AD181" s="3">
        <f>IFERROR(__xludf.DUMMYFUNCTION("""COMPUTED_VALUE"""),74.2)</f>
        <v>74.2</v>
      </c>
      <c r="AE181" s="1">
        <f>IFERROR(__xludf.DUMMYFUNCTION("""COMPUTED_VALUE"""),427.78)</f>
        <v>427.78</v>
      </c>
      <c r="AF181" s="1">
        <f>IFERROR(__xludf.DUMMYFUNCTION("""COMPUTED_VALUE"""),66.0)</f>
        <v>66</v>
      </c>
      <c r="AG181" s="1">
        <f>IFERROR(__xludf.DUMMYFUNCTION("""COMPUTED_VALUE"""),108.67)</f>
        <v>108.67</v>
      </c>
      <c r="AH181" s="1">
        <f>IFERROR(__xludf.DUMMYFUNCTION("""COMPUTED_VALUE"""),275.06)</f>
        <v>275.06</v>
      </c>
      <c r="AI181" s="1">
        <f>IFERROR(__xludf.DUMMYFUNCTION("""COMPUTED_VALUE"""),428.99)</f>
        <v>428.99</v>
      </c>
      <c r="AJ181" s="1">
        <f>IFERROR(__xludf.DUMMYFUNCTION("""COMPUTED_VALUE"""),251.45)</f>
        <v>251.45</v>
      </c>
      <c r="AK181" s="3">
        <f>IFERROR(__xludf.DUMMYFUNCTION("""COMPUTED_VALUE"""),49.78)</f>
        <v>49.78</v>
      </c>
      <c r="AL181" s="1">
        <f>IFERROR(__xludf.DUMMYFUNCTION("""COMPUTED_VALUE"""),95.59)</f>
        <v>95.59</v>
      </c>
      <c r="AM181" s="1">
        <f>IFERROR(__xludf.DUMMYFUNCTION("""COMPUTED_VALUE"""),637.38)</f>
        <v>637.38</v>
      </c>
      <c r="AN181" s="1">
        <f>IFERROR(__xludf.DUMMYFUNCTION("""COMPUTED_VALUE"""),413.42)</f>
        <v>413.42</v>
      </c>
      <c r="AO181" s="1">
        <f>IFERROR(__xludf.DUMMYFUNCTION("""COMPUTED_VALUE"""),127.9)</f>
        <v>127.9</v>
      </c>
      <c r="AP181" s="1">
        <f>IFERROR(__xludf.DUMMYFUNCTION("""COMPUTED_VALUE"""),157.22)</f>
        <v>157.22</v>
      </c>
      <c r="AQ181" s="3">
        <f>IFERROR(__xludf.DUMMYFUNCTION("""COMPUTED_VALUE"""),572.71)</f>
        <v>572.71</v>
      </c>
      <c r="AR181" s="3">
        <f>IFERROR(__xludf.DUMMYFUNCTION("""COMPUTED_VALUE"""),266.58)</f>
        <v>266.58</v>
      </c>
      <c r="AS181" s="3">
        <f>IFERROR(__xludf.DUMMYFUNCTION("""COMPUTED_VALUE"""),454.36)</f>
        <v>454.36</v>
      </c>
      <c r="AT181" s="3">
        <f>IFERROR(__xludf.DUMMYFUNCTION("""COMPUTED_VALUE"""),411.16)</f>
        <v>411.16</v>
      </c>
      <c r="AU181" s="1">
        <f>IFERROR(__xludf.DUMMYFUNCTION("""COMPUTED_VALUE"""),30.39)</f>
        <v>30.39</v>
      </c>
      <c r="AV181" s="1">
        <f>IFERROR(__xludf.DUMMYFUNCTION("""COMPUTED_VALUE"""),91.41)</f>
        <v>91.41</v>
      </c>
      <c r="AW181" s="1">
        <f>IFERROR(__xludf.DUMMYFUNCTION("""COMPUTED_VALUE"""),86.64)</f>
        <v>86.64</v>
      </c>
      <c r="AX181" s="1">
        <f>IFERROR(__xludf.DUMMYFUNCTION("""COMPUTED_VALUE"""),20.68)</f>
        <v>20.68</v>
      </c>
      <c r="AY181" s="1">
        <f>IFERROR(__xludf.DUMMYFUNCTION("""COMPUTED_VALUE"""),442.33)</f>
        <v>442.33</v>
      </c>
      <c r="AZ181" s="3">
        <f>IFERROR(__xludf.DUMMYFUNCTION("""COMPUTED_VALUE"""),70.89)</f>
        <v>70.89</v>
      </c>
      <c r="BA181" s="3">
        <f>IFERROR(__xludf.DUMMYFUNCTION("""COMPUTED_VALUE"""),100.57)</f>
        <v>100.57</v>
      </c>
      <c r="BB181" s="3">
        <f>IFERROR(__xludf.DUMMYFUNCTION("""COMPUTED_VALUE"""),123.7)</f>
        <v>123.7</v>
      </c>
      <c r="BC181" s="1">
        <f>IFERROR(__xludf.DUMMYFUNCTION("""COMPUTED_VALUE"""),94.65)</f>
        <v>94.65</v>
      </c>
      <c r="BD181" s="3">
        <f>IFERROR(__xludf.DUMMYFUNCTION("""COMPUTED_VALUE"""),63.04)</f>
        <v>63.04</v>
      </c>
      <c r="BE181" s="3">
        <f>IFERROR(__xludf.DUMMYFUNCTION("""COMPUTED_VALUE"""),79.76)</f>
        <v>79.76</v>
      </c>
      <c r="BF181" s="1">
        <f>IFERROR(__xludf.DUMMYFUNCTION("""COMPUTED_VALUE"""),88.76)</f>
        <v>88.76</v>
      </c>
      <c r="BG181" s="1">
        <f>IFERROR(__xludf.DUMMYFUNCTION("""COMPUTED_VALUE"""),26.62)</f>
        <v>26.62</v>
      </c>
      <c r="BH181" s="1">
        <f>IFERROR(__xludf.DUMMYFUNCTION("""COMPUTED_VALUE"""),125.13)</f>
        <v>125.13</v>
      </c>
      <c r="BI181" s="1">
        <f>IFERROR(__xludf.DUMMYFUNCTION("""COMPUTED_VALUE"""),40.92)</f>
        <v>40.92</v>
      </c>
      <c r="BJ181" s="1">
        <f>IFERROR(__xludf.DUMMYFUNCTION("""COMPUTED_VALUE"""),235.15)</f>
        <v>235.15</v>
      </c>
      <c r="BK181" s="1">
        <f>IFERROR(__xludf.DUMMYFUNCTION("""COMPUTED_VALUE"""),568.23)</f>
        <v>568.23</v>
      </c>
      <c r="BL181" s="1">
        <f>IFERROR(__xludf.DUMMYFUNCTION("""COMPUTED_VALUE"""),186.98)</f>
        <v>186.98</v>
      </c>
      <c r="BM181" s="1">
        <f>IFERROR(__xludf.DUMMYFUNCTION("""COMPUTED_VALUE"""),65.53)</f>
        <v>65.53</v>
      </c>
      <c r="BN181" s="3">
        <f>IFERROR(__xludf.DUMMYFUNCTION("""COMPUTED_VALUE"""),8.21)</f>
        <v>8.21</v>
      </c>
      <c r="BO181" s="1">
        <f>IFERROR(__xludf.DUMMYFUNCTION("""COMPUTED_VALUE"""),249.55)</f>
        <v>249.55</v>
      </c>
      <c r="BP181" s="1">
        <f>IFERROR(__xludf.DUMMYFUNCTION("""COMPUTED_VALUE"""),538.1)</f>
        <v>538.1</v>
      </c>
      <c r="BQ181" s="36">
        <f>IFERROR(__xludf.DUMMYFUNCTION("""COMPUTED_VALUE"""),48.78)</f>
        <v>48.78</v>
      </c>
      <c r="BR181" s="1">
        <f>IFERROR(__xludf.DUMMYFUNCTION("""COMPUTED_VALUE"""),11.33)</f>
        <v>11.33</v>
      </c>
      <c r="BS181" s="3">
        <f>IFERROR(__xludf.DUMMYFUNCTION("""COMPUTED_VALUE"""),209.55)</f>
        <v>209.55</v>
      </c>
      <c r="BT181" s="1">
        <f>IFERROR(__xludf.DUMMYFUNCTION("""COMPUTED_VALUE"""),113.19)</f>
        <v>113.19</v>
      </c>
      <c r="BU181" s="3">
        <v>1.0</v>
      </c>
    </row>
    <row r="182">
      <c r="A182" s="25">
        <f>IFERROR(__xludf.DUMMYFUNCTION("""COMPUTED_VALUE"""),45687.66666666667)</f>
        <v>45687.66667</v>
      </c>
      <c r="B182" s="29">
        <f>'Master Scratch Work'!B181</f>
        <v>1351811.81</v>
      </c>
      <c r="C182" s="15">
        <f>IFERROR(__xludf.DUMMYFUNCTION("""COMPUTED_VALUE"""),6071.17)</f>
        <v>6071.17</v>
      </c>
      <c r="D182" s="15">
        <f>IFERROR(__xludf.DUMMYFUNCTION("""COMPUTED_VALUE"""),19681.75)</f>
        <v>19681.75</v>
      </c>
      <c r="E182" s="15">
        <f>IFERROR(__xludf.DUMMYFUNCTION("""COMPUTED_VALUE"""),44882.13)</f>
        <v>44882.13</v>
      </c>
      <c r="F182" s="15">
        <f>IFERROR(__xludf.DUMMYFUNCTION("""COMPUTED_VALUE"""),2307.45)</f>
        <v>2307.45</v>
      </c>
      <c r="G182" s="3">
        <f>IFERROR(__xludf.DUMMYFUNCTION("""COMPUTED_VALUE"""),605.04)</f>
        <v>605.04</v>
      </c>
      <c r="H182" s="3">
        <f>IFERROR(__xludf.DUMMYFUNCTION("""COMPUTED_VALUE"""),523.05)</f>
        <v>523.05</v>
      </c>
      <c r="I182" s="3">
        <f>IFERROR(__xludf.DUMMYFUNCTION("""COMPUTED_VALUE"""),446.0)</f>
        <v>446</v>
      </c>
      <c r="J182" s="3">
        <f>IFERROR(__xludf.DUMMYFUNCTION("""COMPUTED_VALUE"""),234.64)</f>
        <v>234.64</v>
      </c>
      <c r="K182" s="3">
        <f>IFERROR(__xludf.DUMMYFUNCTION("""COMPUTED_VALUE"""),123.66)</f>
        <v>123.66</v>
      </c>
      <c r="L182" s="3">
        <f>IFERROR(__xludf.DUMMYFUNCTION("""COMPUTED_VALUE"""),237.59)</f>
        <v>237.59</v>
      </c>
      <c r="M182" s="3">
        <f>IFERROR(__xludf.DUMMYFUNCTION("""COMPUTED_VALUE"""),181.72)</f>
        <v>181.72</v>
      </c>
      <c r="N182" s="3">
        <f>IFERROR(__xludf.DUMMYFUNCTION("""COMPUTED_VALUE"""),86.5)</f>
        <v>86.5</v>
      </c>
      <c r="O182" s="3">
        <f>IFERROR(__xludf.DUMMYFUNCTION("""COMPUTED_VALUE"""),14.8)</f>
        <v>14.8</v>
      </c>
      <c r="P182" s="3">
        <f>IFERROR(__xludf.DUMMYFUNCTION("""COMPUTED_VALUE"""),472.35)</f>
        <v>472.35</v>
      </c>
      <c r="Q182" s="3">
        <f>IFERROR(__xludf.DUMMYFUNCTION("""COMPUTED_VALUE"""),49.75)</f>
        <v>49.75</v>
      </c>
      <c r="R182" s="3">
        <f>IFERROR(__xludf.DUMMYFUNCTION("""COMPUTED_VALUE"""),146.23)</f>
        <v>146.23</v>
      </c>
      <c r="S182" s="3">
        <f>IFERROR(__xludf.DUMMYFUNCTION("""COMPUTED_VALUE"""),103.04)</f>
        <v>103.04</v>
      </c>
      <c r="T182" s="3">
        <f>IFERROR(__xludf.DUMMYFUNCTION("""COMPUTED_VALUE"""),65.97)</f>
        <v>65.97</v>
      </c>
      <c r="U182" s="3">
        <f>IFERROR(__xludf.DUMMYFUNCTION("""COMPUTED_VALUE"""),374.98)</f>
        <v>374.98</v>
      </c>
      <c r="V182" s="3">
        <f>IFERROR(__xludf.DUMMYFUNCTION("""COMPUTED_VALUE"""),50.3)</f>
        <v>50.3</v>
      </c>
      <c r="W182" s="3">
        <f>IFERROR(__xludf.DUMMYFUNCTION("""COMPUTED_VALUE"""),218.99)</f>
        <v>218.99</v>
      </c>
      <c r="X182" s="3">
        <f>IFERROR(__xludf.DUMMYFUNCTION("""COMPUTED_VALUE"""),156.32)</f>
        <v>156.32</v>
      </c>
      <c r="Y182" s="1">
        <f>IFERROR(__xludf.DUMMYFUNCTION("""COMPUTED_VALUE"""),282.98)</f>
        <v>282.98</v>
      </c>
      <c r="Z182" s="1">
        <f>IFERROR(__xludf.DUMMYFUNCTION("""COMPUTED_VALUE"""),48.36)</f>
        <v>48.36</v>
      </c>
      <c r="AA182" s="1">
        <f>IFERROR(__xludf.DUMMYFUNCTION("""COMPUTED_VALUE"""),64.05)</f>
        <v>64.05</v>
      </c>
      <c r="AB182" s="1">
        <f>IFERROR(__xludf.DUMMYFUNCTION("""COMPUTED_VALUE"""),93.86)</f>
        <v>93.86</v>
      </c>
      <c r="AC182" s="1">
        <f>IFERROR(__xludf.DUMMYFUNCTION("""COMPUTED_VALUE"""),164.23)</f>
        <v>164.23</v>
      </c>
      <c r="AD182" s="3">
        <f>IFERROR(__xludf.DUMMYFUNCTION("""COMPUTED_VALUE"""),74.5)</f>
        <v>74.5</v>
      </c>
      <c r="AE182" s="1">
        <f>IFERROR(__xludf.DUMMYFUNCTION("""COMPUTED_VALUE"""),450.8)</f>
        <v>450.8</v>
      </c>
      <c r="AF182" s="1">
        <f>IFERROR(__xludf.DUMMYFUNCTION("""COMPUTED_VALUE"""),67.52)</f>
        <v>67.52</v>
      </c>
      <c r="AG182" s="1">
        <f>IFERROR(__xludf.DUMMYFUNCTION("""COMPUTED_VALUE"""),109.57)</f>
        <v>109.57</v>
      </c>
      <c r="AH182" s="1">
        <f>IFERROR(__xludf.DUMMYFUNCTION("""COMPUTED_VALUE"""),269.24)</f>
        <v>269.24</v>
      </c>
      <c r="AI182" s="1">
        <f>IFERROR(__xludf.DUMMYFUNCTION("""COMPUTED_VALUE"""),431.95)</f>
        <v>431.95</v>
      </c>
      <c r="AJ182" s="1">
        <f>IFERROR(__xludf.DUMMYFUNCTION("""COMPUTED_VALUE"""),256.93)</f>
        <v>256.93</v>
      </c>
      <c r="AK182" s="1">
        <f>IFERROR(__xludf.DUMMYFUNCTION("""COMPUTED_VALUE"""),49.5)</f>
        <v>49.5</v>
      </c>
      <c r="AL182" s="1">
        <f>IFERROR(__xludf.DUMMYFUNCTION("""COMPUTED_VALUE"""),96.95)</f>
        <v>96.95</v>
      </c>
      <c r="AM182" s="1">
        <f>IFERROR(__xludf.DUMMYFUNCTION("""COMPUTED_VALUE"""),645.7)</f>
        <v>645.7</v>
      </c>
      <c r="AN182" s="1">
        <f>IFERROR(__xludf.DUMMYFUNCTION("""COMPUTED_VALUE"""),414.5)</f>
        <v>414.5</v>
      </c>
      <c r="AO182" s="1">
        <f>IFERROR(__xludf.DUMMYFUNCTION("""COMPUTED_VALUE"""),132.77)</f>
        <v>132.77</v>
      </c>
      <c r="AP182" s="1">
        <f>IFERROR(__xludf.DUMMYFUNCTION("""COMPUTED_VALUE"""),159.44)</f>
        <v>159.44</v>
      </c>
      <c r="AQ182" s="3">
        <f>IFERROR(__xludf.DUMMYFUNCTION("""COMPUTED_VALUE"""),580.18)</f>
        <v>580.18</v>
      </c>
      <c r="AR182" s="3">
        <f>IFERROR(__xludf.DUMMYFUNCTION("""COMPUTED_VALUE"""),268.23)</f>
        <v>268.23</v>
      </c>
      <c r="AS182" s="3">
        <f>IFERROR(__xludf.DUMMYFUNCTION("""COMPUTED_VALUE"""),459.65)</f>
        <v>459.65</v>
      </c>
      <c r="AT182" s="3">
        <f>IFERROR(__xludf.DUMMYFUNCTION("""COMPUTED_VALUE"""),421.16)</f>
        <v>421.16</v>
      </c>
      <c r="AU182" s="1">
        <f>IFERROR(__xludf.DUMMYFUNCTION("""COMPUTED_VALUE"""),30.53)</f>
        <v>30.53</v>
      </c>
      <c r="AV182" s="1">
        <f>IFERROR(__xludf.DUMMYFUNCTION("""COMPUTED_VALUE"""),91.99)</f>
        <v>91.99</v>
      </c>
      <c r="AW182" s="1">
        <f>IFERROR(__xludf.DUMMYFUNCTION("""COMPUTED_VALUE"""),87.0)</f>
        <v>87</v>
      </c>
      <c r="AX182" s="1">
        <f>IFERROR(__xludf.DUMMYFUNCTION("""COMPUTED_VALUE"""),21.74)</f>
        <v>21.74</v>
      </c>
      <c r="AY182" s="1">
        <f>IFERROR(__xludf.DUMMYFUNCTION("""COMPUTED_VALUE"""),414.99)</f>
        <v>414.99</v>
      </c>
      <c r="AZ182" s="3">
        <f>IFERROR(__xludf.DUMMYFUNCTION("""COMPUTED_VALUE"""),71.3)</f>
        <v>71.3</v>
      </c>
      <c r="BA182" s="3">
        <f>IFERROR(__xludf.DUMMYFUNCTION("""COMPUTED_VALUE"""),105.0)</f>
        <v>105</v>
      </c>
      <c r="BB182" s="3">
        <f>IFERROR(__xludf.DUMMYFUNCTION("""COMPUTED_VALUE"""),124.65)</f>
        <v>124.65</v>
      </c>
      <c r="BC182" s="1">
        <f>IFERROR(__xludf.DUMMYFUNCTION("""COMPUTED_VALUE"""),95.36)</f>
        <v>95.36</v>
      </c>
      <c r="BD182" s="3">
        <f>IFERROR(__xludf.DUMMYFUNCTION("""COMPUTED_VALUE"""),63.62)</f>
        <v>63.62</v>
      </c>
      <c r="BE182" s="3">
        <f>IFERROR(__xludf.DUMMYFUNCTION("""COMPUTED_VALUE"""),81.22)</f>
        <v>81.22</v>
      </c>
      <c r="BF182" s="1">
        <f>IFERROR(__xludf.DUMMYFUNCTION("""COMPUTED_VALUE"""),89.57)</f>
        <v>89.57</v>
      </c>
      <c r="BG182" s="1">
        <f>IFERROR(__xludf.DUMMYFUNCTION("""COMPUTED_VALUE"""),26.91)</f>
        <v>26.91</v>
      </c>
      <c r="BH182" s="1">
        <f>IFERROR(__xludf.DUMMYFUNCTION("""COMPUTED_VALUE"""),128.98)</f>
        <v>128.98</v>
      </c>
      <c r="BI182" s="1">
        <f>IFERROR(__xludf.DUMMYFUNCTION("""COMPUTED_VALUE"""),43.07)</f>
        <v>43.07</v>
      </c>
      <c r="BJ182" s="1">
        <f>IFERROR(__xludf.DUMMYFUNCTION("""COMPUTED_VALUE"""),234.37)</f>
        <v>234.37</v>
      </c>
      <c r="BK182" s="1">
        <f>IFERROR(__xludf.DUMMYFUNCTION("""COMPUTED_VALUE"""),606.74)</f>
        <v>606.74</v>
      </c>
      <c r="BL182" s="1">
        <f>IFERROR(__xludf.DUMMYFUNCTION("""COMPUTED_VALUE"""),190.97)</f>
        <v>190.97</v>
      </c>
      <c r="BM182" s="1">
        <f>IFERROR(__xludf.DUMMYFUNCTION("""COMPUTED_VALUE"""),66.95)</f>
        <v>66.95</v>
      </c>
      <c r="BN182" s="3">
        <f>IFERROR(__xludf.DUMMYFUNCTION("""COMPUTED_VALUE"""),8.66)</f>
        <v>8.66</v>
      </c>
      <c r="BO182" s="1">
        <f>IFERROR(__xludf.DUMMYFUNCTION("""COMPUTED_VALUE"""),249.92)</f>
        <v>249.92</v>
      </c>
      <c r="BP182" s="1">
        <f>IFERROR(__xludf.DUMMYFUNCTION("""COMPUTED_VALUE"""),545.57)</f>
        <v>545.57</v>
      </c>
      <c r="BQ182" s="36">
        <f>IFERROR(__xludf.DUMMYFUNCTION("""COMPUTED_VALUE"""),48.82)</f>
        <v>48.82</v>
      </c>
      <c r="BR182" s="1">
        <f>IFERROR(__xludf.DUMMYFUNCTION("""COMPUTED_VALUE"""),11.42)</f>
        <v>11.42</v>
      </c>
      <c r="BS182" s="3">
        <f>IFERROR(__xludf.DUMMYFUNCTION("""COMPUTED_VALUE"""),222.43)</f>
        <v>222.43</v>
      </c>
      <c r="BT182" s="1">
        <f>IFERROR(__xludf.DUMMYFUNCTION("""COMPUTED_VALUE"""),113.43)</f>
        <v>113.43</v>
      </c>
      <c r="BU182" s="3">
        <v>1.0</v>
      </c>
    </row>
    <row r="183">
      <c r="A183" s="25">
        <f>IFERROR(__xludf.DUMMYFUNCTION("""COMPUTED_VALUE"""),45688.66666666667)</f>
        <v>45688.66667</v>
      </c>
      <c r="B183" s="29">
        <f>'Master Scratch Work'!B182</f>
        <v>1334595.74</v>
      </c>
      <c r="C183" s="15">
        <f>IFERROR(__xludf.DUMMYFUNCTION("""COMPUTED_VALUE"""),6040.53)</f>
        <v>6040.53</v>
      </c>
      <c r="D183" s="15">
        <f>IFERROR(__xludf.DUMMYFUNCTION("""COMPUTED_VALUE"""),19627.44)</f>
        <v>19627.44</v>
      </c>
      <c r="E183" s="15">
        <f>IFERROR(__xludf.DUMMYFUNCTION("""COMPUTED_VALUE"""),44544.66)</f>
        <v>44544.66</v>
      </c>
      <c r="F183" s="15">
        <f>IFERROR(__xludf.DUMMYFUNCTION("""COMPUTED_VALUE"""),2287.69)</f>
        <v>2287.69</v>
      </c>
      <c r="G183" s="3">
        <f>IFERROR(__xludf.DUMMYFUNCTION("""COMPUTED_VALUE"""),601.82)</f>
        <v>601.82</v>
      </c>
      <c r="H183" s="3">
        <f>IFERROR(__xludf.DUMMYFUNCTION("""COMPUTED_VALUE"""),522.29)</f>
        <v>522.29</v>
      </c>
      <c r="I183" s="3">
        <f>IFERROR(__xludf.DUMMYFUNCTION("""COMPUTED_VALUE"""),437.45)</f>
        <v>437.45</v>
      </c>
      <c r="J183" s="3">
        <f>IFERROR(__xludf.DUMMYFUNCTION("""COMPUTED_VALUE"""),237.68)</f>
        <v>237.68</v>
      </c>
      <c r="K183" s="3">
        <f>IFERROR(__xludf.DUMMYFUNCTION("""COMPUTED_VALUE"""),124.64)</f>
        <v>124.64</v>
      </c>
      <c r="L183" s="3">
        <f>IFERROR(__xludf.DUMMYFUNCTION("""COMPUTED_VALUE"""),236.0)</f>
        <v>236</v>
      </c>
      <c r="M183" s="3">
        <f>IFERROR(__xludf.DUMMYFUNCTION("""COMPUTED_VALUE"""),180.35)</f>
        <v>180.35</v>
      </c>
      <c r="N183" s="3">
        <f>IFERROR(__xludf.DUMMYFUNCTION("""COMPUTED_VALUE"""),85.93)</f>
        <v>85.93</v>
      </c>
      <c r="O183" s="3">
        <f>IFERROR(__xludf.DUMMYFUNCTION("""COMPUTED_VALUE"""),14.68)</f>
        <v>14.68</v>
      </c>
      <c r="P183" s="3">
        <f>IFERROR(__xludf.DUMMYFUNCTION("""COMPUTED_VALUE"""),468.67)</f>
        <v>468.67</v>
      </c>
      <c r="Q183" s="3">
        <f>IFERROR(__xludf.DUMMYFUNCTION("""COMPUTED_VALUE"""),49.15)</f>
        <v>49.15</v>
      </c>
      <c r="R183" s="3">
        <f>IFERROR(__xludf.DUMMYFUNCTION("""COMPUTED_VALUE"""),143.93)</f>
        <v>143.93</v>
      </c>
      <c r="S183" s="3">
        <f>IFERROR(__xludf.DUMMYFUNCTION("""COMPUTED_VALUE"""),102.36)</f>
        <v>102.36</v>
      </c>
      <c r="T183" s="3">
        <f>IFERROR(__xludf.DUMMYFUNCTION("""COMPUTED_VALUE"""),65.38)</f>
        <v>65.38</v>
      </c>
      <c r="U183" s="3">
        <f>IFERROR(__xludf.DUMMYFUNCTION("""COMPUTED_VALUE"""),371.44)</f>
        <v>371.44</v>
      </c>
      <c r="V183" s="3">
        <f>IFERROR(__xludf.DUMMYFUNCTION("""COMPUTED_VALUE"""),49.44)</f>
        <v>49.44</v>
      </c>
      <c r="W183" s="3">
        <f>IFERROR(__xludf.DUMMYFUNCTION("""COMPUTED_VALUE"""),218.02)</f>
        <v>218.02</v>
      </c>
      <c r="X183" s="3">
        <f>IFERROR(__xludf.DUMMYFUNCTION("""COMPUTED_VALUE"""),149.19)</f>
        <v>149.19</v>
      </c>
      <c r="Y183" s="1">
        <f>IFERROR(__xludf.DUMMYFUNCTION("""COMPUTED_VALUE"""),294.21)</f>
        <v>294.21</v>
      </c>
      <c r="Z183" s="1">
        <f>IFERROR(__xludf.DUMMYFUNCTION("""COMPUTED_VALUE"""),47.57)</f>
        <v>47.57</v>
      </c>
      <c r="AA183" s="1">
        <f>IFERROR(__xludf.DUMMYFUNCTION("""COMPUTED_VALUE"""),63.48)</f>
        <v>63.48</v>
      </c>
      <c r="AB183" s="1">
        <f>IFERROR(__xludf.DUMMYFUNCTION("""COMPUTED_VALUE"""),93.74)</f>
        <v>93.74</v>
      </c>
      <c r="AC183" s="1">
        <f>IFERROR(__xludf.DUMMYFUNCTION("""COMPUTED_VALUE"""),163.86)</f>
        <v>163.86</v>
      </c>
      <c r="AD183" s="3">
        <f>IFERROR(__xludf.DUMMYFUNCTION("""COMPUTED_VALUE"""),73.35)</f>
        <v>73.35</v>
      </c>
      <c r="AE183" s="1">
        <f>IFERROR(__xludf.DUMMYFUNCTION("""COMPUTED_VALUE"""),449.12)</f>
        <v>449.12</v>
      </c>
      <c r="AF183" s="1">
        <f>IFERROR(__xludf.DUMMYFUNCTION("""COMPUTED_VALUE"""),67.48)</f>
        <v>67.48</v>
      </c>
      <c r="AG183" s="1">
        <f>IFERROR(__xludf.DUMMYFUNCTION("""COMPUTED_VALUE"""),106.83)</f>
        <v>106.83</v>
      </c>
      <c r="AH183" s="1">
        <f>IFERROR(__xludf.DUMMYFUNCTION("""COMPUTED_VALUE"""),264.87)</f>
        <v>264.87</v>
      </c>
      <c r="AI183" s="1">
        <f>IFERROR(__xludf.DUMMYFUNCTION("""COMPUTED_VALUE"""),428.52)</f>
        <v>428.52</v>
      </c>
      <c r="AJ183" s="1">
        <f>IFERROR(__xludf.DUMMYFUNCTION("""COMPUTED_VALUE"""),256.98)</f>
        <v>256.98</v>
      </c>
      <c r="AK183" s="1">
        <f>IFERROR(__xludf.DUMMYFUNCTION("""COMPUTED_VALUE"""),49.46)</f>
        <v>49.46</v>
      </c>
      <c r="AL183" s="1">
        <f>IFERROR(__xludf.DUMMYFUNCTION("""COMPUTED_VALUE"""),97.2)</f>
        <v>97.2</v>
      </c>
      <c r="AM183" s="1">
        <f>IFERROR(__xludf.DUMMYFUNCTION("""COMPUTED_VALUE"""),640.4)</f>
        <v>640.4</v>
      </c>
      <c r="AN183" s="1">
        <f>IFERROR(__xludf.DUMMYFUNCTION("""COMPUTED_VALUE"""),411.98)</f>
        <v>411.98</v>
      </c>
      <c r="AO183" s="1">
        <f>IFERROR(__xludf.DUMMYFUNCTION("""COMPUTED_VALUE"""),126.78)</f>
        <v>126.78</v>
      </c>
      <c r="AP183" s="1">
        <f>IFERROR(__xludf.DUMMYFUNCTION("""COMPUTED_VALUE"""),159.83)</f>
        <v>159.83</v>
      </c>
      <c r="AQ183" s="3">
        <f>IFERROR(__xludf.DUMMYFUNCTION("""COMPUTED_VALUE"""),571.88)</f>
        <v>571.88</v>
      </c>
      <c r="AR183" s="3">
        <f>IFERROR(__xludf.DUMMYFUNCTION("""COMPUTED_VALUE"""),267.3)</f>
        <v>267.3</v>
      </c>
      <c r="AS183" s="3">
        <f>IFERROR(__xludf.DUMMYFUNCTION("""COMPUTED_VALUE"""),462.95)</f>
        <v>462.95</v>
      </c>
      <c r="AT183" s="3">
        <f>IFERROR(__xludf.DUMMYFUNCTION("""COMPUTED_VALUE"""),414.2)</f>
        <v>414.2</v>
      </c>
      <c r="AU183" s="1">
        <f>IFERROR(__xludf.DUMMYFUNCTION("""COMPUTED_VALUE"""),29.91)</f>
        <v>29.91</v>
      </c>
      <c r="AV183" s="1">
        <f>IFERROR(__xludf.DUMMYFUNCTION("""COMPUTED_VALUE"""),90.82)</f>
        <v>90.82</v>
      </c>
      <c r="AW183" s="1">
        <f>IFERROR(__xludf.DUMMYFUNCTION("""COMPUTED_VALUE"""),86.51)</f>
        <v>86.51</v>
      </c>
      <c r="AX183" s="1">
        <f>IFERROR(__xludf.DUMMYFUNCTION("""COMPUTED_VALUE"""),21.96)</f>
        <v>21.96</v>
      </c>
      <c r="AY183" s="1">
        <f>IFERROR(__xludf.DUMMYFUNCTION("""COMPUTED_VALUE"""),415.06)</f>
        <v>415.06</v>
      </c>
      <c r="AZ183" s="3">
        <f>IFERROR(__xludf.DUMMYFUNCTION("""COMPUTED_VALUE"""),71.56)</f>
        <v>71.56</v>
      </c>
      <c r="BA183" s="3">
        <f>IFERROR(__xludf.DUMMYFUNCTION("""COMPUTED_VALUE"""),102.44)</f>
        <v>102.44</v>
      </c>
      <c r="BB183" s="3">
        <f>IFERROR(__xludf.DUMMYFUNCTION("""COMPUTED_VALUE"""),120.07)</f>
        <v>120.07</v>
      </c>
      <c r="BC183" s="1">
        <f>IFERROR(__xludf.DUMMYFUNCTION("""COMPUTED_VALUE"""),95.42)</f>
        <v>95.42</v>
      </c>
      <c r="BD183" s="3">
        <f>IFERROR(__xludf.DUMMYFUNCTION("""COMPUTED_VALUE"""),59.88)</f>
        <v>59.88</v>
      </c>
      <c r="BE183" s="3">
        <f>IFERROR(__xludf.DUMMYFUNCTION("""COMPUTED_VALUE"""),82.49)</f>
        <v>82.49</v>
      </c>
      <c r="BF183" s="1">
        <f>IFERROR(__xludf.DUMMYFUNCTION("""COMPUTED_VALUE"""),88.58)</f>
        <v>88.58</v>
      </c>
      <c r="BG183" s="1">
        <f>IFERROR(__xludf.DUMMYFUNCTION("""COMPUTED_VALUE"""),26.52)</f>
        <v>26.52</v>
      </c>
      <c r="BH183" s="1">
        <f>IFERROR(__xludf.DUMMYFUNCTION("""COMPUTED_VALUE"""),128.95)</f>
        <v>128.95</v>
      </c>
      <c r="BI183" s="1">
        <f>IFERROR(__xludf.DUMMYFUNCTION("""COMPUTED_VALUE"""),42.95)</f>
        <v>42.95</v>
      </c>
      <c r="BJ183" s="1">
        <f>IFERROR(__xludf.DUMMYFUNCTION("""COMPUTED_VALUE"""),232.97)</f>
        <v>232.97</v>
      </c>
      <c r="BK183" s="1">
        <f>IFERROR(__xludf.DUMMYFUNCTION("""COMPUTED_VALUE"""),597.75)</f>
        <v>597.75</v>
      </c>
      <c r="BL183" s="1">
        <f>IFERROR(__xludf.DUMMYFUNCTION("""COMPUTED_VALUE"""),188.93)</f>
        <v>188.93</v>
      </c>
      <c r="BM183" s="1">
        <f>IFERROR(__xludf.DUMMYFUNCTION("""COMPUTED_VALUE"""),67.55)</f>
        <v>67.55</v>
      </c>
      <c r="BN183" s="3">
        <f>IFERROR(__xludf.DUMMYFUNCTION("""COMPUTED_VALUE"""),8.35)</f>
        <v>8.35</v>
      </c>
      <c r="BO183" s="1">
        <f>IFERROR(__xludf.DUMMYFUNCTION("""COMPUTED_VALUE"""),247.79)</f>
        <v>247.79</v>
      </c>
      <c r="BP183" s="1">
        <f>IFERROR(__xludf.DUMMYFUNCTION("""COMPUTED_VALUE"""),542.49)</f>
        <v>542.49</v>
      </c>
      <c r="BQ183" s="36">
        <f>IFERROR(__xludf.DUMMYFUNCTION("""COMPUTED_VALUE"""),48.88)</f>
        <v>48.88</v>
      </c>
      <c r="BR183" s="1">
        <f>IFERROR(__xludf.DUMMYFUNCTION("""COMPUTED_VALUE"""),11.28)</f>
        <v>11.28</v>
      </c>
      <c r="BS183" s="3">
        <f>IFERROR(__xludf.DUMMYFUNCTION("""COMPUTED_VALUE"""),220.26)</f>
        <v>220.26</v>
      </c>
      <c r="BT183" s="1">
        <f>IFERROR(__xludf.DUMMYFUNCTION("""COMPUTED_VALUE"""),113.06)</f>
        <v>113.06</v>
      </c>
      <c r="BU183" s="3">
        <v>1.0</v>
      </c>
    </row>
    <row r="184">
      <c r="A184" s="25">
        <f>IFERROR(__xludf.DUMMYFUNCTION("""COMPUTED_VALUE"""),45691.66666666667)</f>
        <v>45691.66667</v>
      </c>
      <c r="B184" s="29">
        <f>'Master Scratch Work'!B183</f>
        <v>1325950.82</v>
      </c>
      <c r="C184" s="15">
        <f>IFERROR(__xludf.DUMMYFUNCTION("""COMPUTED_VALUE"""),5994.57)</f>
        <v>5994.57</v>
      </c>
      <c r="D184" s="15">
        <f>IFERROR(__xludf.DUMMYFUNCTION("""COMPUTED_VALUE"""),19391.96)</f>
        <v>19391.96</v>
      </c>
      <c r="E184" s="15">
        <f>IFERROR(__xludf.DUMMYFUNCTION("""COMPUTED_VALUE"""),44421.91)</f>
        <v>44421.91</v>
      </c>
      <c r="F184" s="15">
        <f>IFERROR(__xludf.DUMMYFUNCTION("""COMPUTED_VALUE"""),2258.42)</f>
        <v>2258.42</v>
      </c>
      <c r="G184" s="3">
        <f>IFERROR(__xludf.DUMMYFUNCTION("""COMPUTED_VALUE"""),597.77)</f>
        <v>597.77</v>
      </c>
      <c r="H184" s="3">
        <f>IFERROR(__xludf.DUMMYFUNCTION("""COMPUTED_VALUE"""),518.11)</f>
        <v>518.11</v>
      </c>
      <c r="I184" s="3">
        <f>IFERROR(__xludf.DUMMYFUNCTION("""COMPUTED_VALUE"""),438.6)</f>
        <v>438.6</v>
      </c>
      <c r="J184" s="3">
        <f>IFERROR(__xludf.DUMMYFUNCTION("""COMPUTED_VALUE"""),237.42)</f>
        <v>237.42</v>
      </c>
      <c r="K184" s="3">
        <f>IFERROR(__xludf.DUMMYFUNCTION("""COMPUTED_VALUE"""),125.76)</f>
        <v>125.76</v>
      </c>
      <c r="L184" s="3">
        <f>IFERROR(__xludf.DUMMYFUNCTION("""COMPUTED_VALUE"""),228.01)</f>
        <v>228.01</v>
      </c>
      <c r="M184" s="3">
        <f>IFERROR(__xludf.DUMMYFUNCTION("""COMPUTED_VALUE"""),178.8)</f>
        <v>178.8</v>
      </c>
      <c r="N184" s="3">
        <f>IFERROR(__xludf.DUMMYFUNCTION("""COMPUTED_VALUE"""),85.19)</f>
        <v>85.19</v>
      </c>
      <c r="O184" s="3">
        <f>IFERROR(__xludf.DUMMYFUNCTION("""COMPUTED_VALUE"""),14.39)</f>
        <v>14.39</v>
      </c>
      <c r="P184" s="3">
        <f>IFERROR(__xludf.DUMMYFUNCTION("""COMPUTED_VALUE"""),464.61)</f>
        <v>464.61</v>
      </c>
      <c r="Q184" s="3">
        <f>IFERROR(__xludf.DUMMYFUNCTION("""COMPUTED_VALUE"""),48.79)</f>
        <v>48.79</v>
      </c>
      <c r="R184" s="3">
        <f>IFERROR(__xludf.DUMMYFUNCTION("""COMPUTED_VALUE"""),142.34)</f>
        <v>142.34</v>
      </c>
      <c r="S184" s="3">
        <f>IFERROR(__xludf.DUMMYFUNCTION("""COMPUTED_VALUE"""),103.07)</f>
        <v>103.07</v>
      </c>
      <c r="T184" s="3">
        <f>IFERROR(__xludf.DUMMYFUNCTION("""COMPUTED_VALUE"""),63.15)</f>
        <v>63.15</v>
      </c>
      <c r="U184" s="3">
        <f>IFERROR(__xludf.DUMMYFUNCTION("""COMPUTED_VALUE"""),361.55)</f>
        <v>361.55</v>
      </c>
      <c r="V184" s="3">
        <f>IFERROR(__xludf.DUMMYFUNCTION("""COMPUTED_VALUE"""),47.45)</f>
        <v>47.45</v>
      </c>
      <c r="W184" s="3">
        <f>IFERROR(__xludf.DUMMYFUNCTION("""COMPUTED_VALUE"""),213.87)</f>
        <v>213.87</v>
      </c>
      <c r="X184" s="3">
        <f>IFERROR(__xludf.DUMMYFUNCTION("""COMPUTED_VALUE"""),149.34)</f>
        <v>149.34</v>
      </c>
      <c r="Y184" s="1">
        <f>IFERROR(__xludf.DUMMYFUNCTION("""COMPUTED_VALUE"""),292.46)</f>
        <v>292.46</v>
      </c>
      <c r="Z184" s="1">
        <f>IFERROR(__xludf.DUMMYFUNCTION("""COMPUTED_VALUE"""),46.37)</f>
        <v>46.37</v>
      </c>
      <c r="AA184" s="1">
        <f>IFERROR(__xludf.DUMMYFUNCTION("""COMPUTED_VALUE"""),63.35)</f>
        <v>63.35</v>
      </c>
      <c r="AB184" s="1">
        <f>IFERROR(__xludf.DUMMYFUNCTION("""COMPUTED_VALUE"""),95.62)</f>
        <v>95.62</v>
      </c>
      <c r="AC184" s="1">
        <f>IFERROR(__xludf.DUMMYFUNCTION("""COMPUTED_VALUE"""),161.43)</f>
        <v>161.43</v>
      </c>
      <c r="AD184" s="3">
        <f>IFERROR(__xludf.DUMMYFUNCTION("""COMPUTED_VALUE"""),71.63)</f>
        <v>71.63</v>
      </c>
      <c r="AE184" s="1">
        <f>IFERROR(__xludf.DUMMYFUNCTION("""COMPUTED_VALUE"""),455.85)</f>
        <v>455.85</v>
      </c>
      <c r="AF184" s="1">
        <f>IFERROR(__xludf.DUMMYFUNCTION("""COMPUTED_VALUE"""),67.18)</f>
        <v>67.18</v>
      </c>
      <c r="AG184" s="1">
        <f>IFERROR(__xludf.DUMMYFUNCTION("""COMPUTED_VALUE"""),107.09)</f>
        <v>107.09</v>
      </c>
      <c r="AH184" s="1">
        <f>IFERROR(__xludf.DUMMYFUNCTION("""COMPUTED_VALUE"""),247.34)</f>
        <v>247.34</v>
      </c>
      <c r="AI184" s="1">
        <f>IFERROR(__xludf.DUMMYFUNCTION("""COMPUTED_VALUE"""),428.94)</f>
        <v>428.94</v>
      </c>
      <c r="AJ184" s="1">
        <f>IFERROR(__xludf.DUMMYFUNCTION("""COMPUTED_VALUE"""),256.59)</f>
        <v>256.59</v>
      </c>
      <c r="AK184" s="1">
        <f>IFERROR(__xludf.DUMMYFUNCTION("""COMPUTED_VALUE"""),47.9)</f>
        <v>47.9</v>
      </c>
      <c r="AL184" s="1">
        <f>IFERROR(__xludf.DUMMYFUNCTION("""COMPUTED_VALUE"""),98.38)</f>
        <v>98.38</v>
      </c>
      <c r="AM184" s="1">
        <f>IFERROR(__xludf.DUMMYFUNCTION("""COMPUTED_VALUE"""),632.37)</f>
        <v>632.37</v>
      </c>
      <c r="AN184" s="1">
        <f>IFERROR(__xludf.DUMMYFUNCTION("""COMPUTED_VALUE"""),408.76)</f>
        <v>408.76</v>
      </c>
      <c r="AO184" s="1">
        <f>IFERROR(__xludf.DUMMYFUNCTION("""COMPUTED_VALUE"""),126.63)</f>
        <v>126.63</v>
      </c>
      <c r="AP184" s="1">
        <f>IFERROR(__xludf.DUMMYFUNCTION("""COMPUTED_VALUE"""),160.39)</f>
        <v>160.39</v>
      </c>
      <c r="AQ184" s="3">
        <f>IFERROR(__xludf.DUMMYFUNCTION("""COMPUTED_VALUE"""),578.55)</f>
        <v>578.55</v>
      </c>
      <c r="AR184" s="3">
        <f>IFERROR(__xludf.DUMMYFUNCTION("""COMPUTED_VALUE"""),266.81)</f>
        <v>266.81</v>
      </c>
      <c r="AS184" s="3">
        <f>IFERROR(__xludf.DUMMYFUNCTION("""COMPUTED_VALUE"""),455.42)</f>
        <v>455.42</v>
      </c>
      <c r="AT184" s="3">
        <f>IFERROR(__xludf.DUMMYFUNCTION("""COMPUTED_VALUE"""),410.29)</f>
        <v>410.29</v>
      </c>
      <c r="AU184" s="1">
        <f>IFERROR(__xludf.DUMMYFUNCTION("""COMPUTED_VALUE"""),29.3)</f>
        <v>29.3</v>
      </c>
      <c r="AV184" s="1">
        <f>IFERROR(__xludf.DUMMYFUNCTION("""COMPUTED_VALUE"""),90.53)</f>
        <v>90.53</v>
      </c>
      <c r="AW184" s="1">
        <f>IFERROR(__xludf.DUMMYFUNCTION("""COMPUTED_VALUE"""),85.49)</f>
        <v>85.49</v>
      </c>
      <c r="AX184" s="1">
        <f>IFERROR(__xludf.DUMMYFUNCTION("""COMPUTED_VALUE"""),22.23)</f>
        <v>22.23</v>
      </c>
      <c r="AY184" s="1">
        <f>IFERROR(__xludf.DUMMYFUNCTION("""COMPUTED_VALUE"""),410.92)</f>
        <v>410.92</v>
      </c>
      <c r="AZ184" s="3">
        <f>IFERROR(__xludf.DUMMYFUNCTION("""COMPUTED_VALUE"""),71.05)</f>
        <v>71.05</v>
      </c>
      <c r="BA184" s="3">
        <f>IFERROR(__xludf.DUMMYFUNCTION("""COMPUTED_VALUE"""),102.68)</f>
        <v>102.68</v>
      </c>
      <c r="BB184" s="3">
        <f>IFERROR(__xludf.DUMMYFUNCTION("""COMPUTED_VALUE"""),116.66)</f>
        <v>116.66</v>
      </c>
      <c r="BC184" s="1">
        <f>IFERROR(__xludf.DUMMYFUNCTION("""COMPUTED_VALUE"""),94.55)</f>
        <v>94.55</v>
      </c>
      <c r="BD184" s="3">
        <f>IFERROR(__xludf.DUMMYFUNCTION("""COMPUTED_VALUE"""),58.52)</f>
        <v>58.52</v>
      </c>
      <c r="BE184" s="3">
        <f>IFERROR(__xludf.DUMMYFUNCTION("""COMPUTED_VALUE"""),83.74)</f>
        <v>83.74</v>
      </c>
      <c r="BF184" s="1">
        <f>IFERROR(__xludf.DUMMYFUNCTION("""COMPUTED_VALUE"""),89.51)</f>
        <v>89.51</v>
      </c>
      <c r="BG184" s="1">
        <f>IFERROR(__xludf.DUMMYFUNCTION("""COMPUTED_VALUE"""),26.2)</f>
        <v>26.2</v>
      </c>
      <c r="BH184" s="1">
        <f>IFERROR(__xludf.DUMMYFUNCTION("""COMPUTED_VALUE"""),129.92)</f>
        <v>129.92</v>
      </c>
      <c r="BI184" s="1">
        <f>IFERROR(__xludf.DUMMYFUNCTION("""COMPUTED_VALUE"""),42.14)</f>
        <v>42.14</v>
      </c>
      <c r="BJ184" s="1">
        <f>IFERROR(__xludf.DUMMYFUNCTION("""COMPUTED_VALUE"""),238.1)</f>
        <v>238.1</v>
      </c>
      <c r="BK184" s="1">
        <f>IFERROR(__xludf.DUMMYFUNCTION("""COMPUTED_VALUE"""),593.75)</f>
        <v>593.75</v>
      </c>
      <c r="BL184" s="1">
        <f>IFERROR(__xludf.DUMMYFUNCTION("""COMPUTED_VALUE"""),183.65)</f>
        <v>183.65</v>
      </c>
      <c r="BM184" s="1">
        <f>IFERROR(__xludf.DUMMYFUNCTION("""COMPUTED_VALUE"""),68.76)</f>
        <v>68.76</v>
      </c>
      <c r="BN184" s="3">
        <f>IFERROR(__xludf.DUMMYFUNCTION("""COMPUTED_VALUE"""),8.25)</f>
        <v>8.25</v>
      </c>
      <c r="BO184" s="1">
        <f>IFERROR(__xludf.DUMMYFUNCTION("""COMPUTED_VALUE"""),243.02)</f>
        <v>243.02</v>
      </c>
      <c r="BP184" s="1">
        <f>IFERROR(__xludf.DUMMYFUNCTION("""COMPUTED_VALUE"""),548.18)</f>
        <v>548.18</v>
      </c>
      <c r="BQ184" s="36">
        <f>IFERROR(__xludf.DUMMYFUNCTION("""COMPUTED_VALUE"""),48.92)</f>
        <v>48.92</v>
      </c>
      <c r="BR184" s="1">
        <f>IFERROR(__xludf.DUMMYFUNCTION("""COMPUTED_VALUE"""),11.04)</f>
        <v>11.04</v>
      </c>
      <c r="BS184" s="3">
        <f>IFERROR(__xludf.DUMMYFUNCTION("""COMPUTED_VALUE"""),223.72)</f>
        <v>223.72</v>
      </c>
      <c r="BT184" s="1">
        <f>IFERROR(__xludf.DUMMYFUNCTION("""COMPUTED_VALUE"""),114.0)</f>
        <v>114</v>
      </c>
      <c r="BU184" s="3">
        <v>1.0</v>
      </c>
    </row>
    <row r="185">
      <c r="A185" s="25">
        <f>IFERROR(__xludf.DUMMYFUNCTION("""COMPUTED_VALUE"""),45692.66666666667)</f>
        <v>45692.66667</v>
      </c>
      <c r="B185" s="29">
        <f>'Master Scratch Work'!B184</f>
        <v>1339343.63</v>
      </c>
      <c r="C185" s="15">
        <f>IFERROR(__xludf.DUMMYFUNCTION("""COMPUTED_VALUE"""),6037.88)</f>
        <v>6037.88</v>
      </c>
      <c r="D185" s="15">
        <f>IFERROR(__xludf.DUMMYFUNCTION("""COMPUTED_VALUE"""),19654.02)</f>
        <v>19654.02</v>
      </c>
      <c r="E185" s="15">
        <f>IFERROR(__xludf.DUMMYFUNCTION("""COMPUTED_VALUE"""),44556.04)</f>
        <v>44556.04</v>
      </c>
      <c r="F185" s="15">
        <f>IFERROR(__xludf.DUMMYFUNCTION("""COMPUTED_VALUE"""),2290.21)</f>
        <v>2290.21</v>
      </c>
      <c r="G185" s="3">
        <f>IFERROR(__xludf.DUMMYFUNCTION("""COMPUTED_VALUE"""),601.78)</f>
        <v>601.78</v>
      </c>
      <c r="H185" s="3">
        <f>IFERROR(__xludf.DUMMYFUNCTION("""COMPUTED_VALUE"""),524.47)</f>
        <v>524.47</v>
      </c>
      <c r="I185" s="3">
        <f>IFERROR(__xludf.DUMMYFUNCTION("""COMPUTED_VALUE"""),440.23)</f>
        <v>440.23</v>
      </c>
      <c r="J185" s="3">
        <f>IFERROR(__xludf.DUMMYFUNCTION("""COMPUTED_VALUE"""),242.06)</f>
        <v>242.06</v>
      </c>
      <c r="K185" s="3">
        <f>IFERROR(__xludf.DUMMYFUNCTION("""COMPUTED_VALUE"""),123.85)</f>
        <v>123.85</v>
      </c>
      <c r="L185" s="3">
        <f>IFERROR(__xludf.DUMMYFUNCTION("""COMPUTED_VALUE"""),232.8)</f>
        <v>232.8</v>
      </c>
      <c r="M185" s="3">
        <f>IFERROR(__xludf.DUMMYFUNCTION("""COMPUTED_VALUE"""),178.56)</f>
        <v>178.56</v>
      </c>
      <c r="N185" s="3">
        <f>IFERROR(__xludf.DUMMYFUNCTION("""COMPUTED_VALUE"""),84.86)</f>
        <v>84.86</v>
      </c>
      <c r="O185" s="3">
        <f>IFERROR(__xludf.DUMMYFUNCTION("""COMPUTED_VALUE"""),14.65)</f>
        <v>14.65</v>
      </c>
      <c r="P185" s="3">
        <f>IFERROR(__xludf.DUMMYFUNCTION("""COMPUTED_VALUE"""),467.49)</f>
        <v>467.49</v>
      </c>
      <c r="Q185" s="3">
        <f>IFERROR(__xludf.DUMMYFUNCTION("""COMPUTED_VALUE"""),49.83)</f>
        <v>49.83</v>
      </c>
      <c r="R185" s="3">
        <f>IFERROR(__xludf.DUMMYFUNCTION("""COMPUTED_VALUE"""),142.49)</f>
        <v>142.49</v>
      </c>
      <c r="S185" s="3">
        <f>IFERROR(__xludf.DUMMYFUNCTION("""COMPUTED_VALUE"""),103.54)</f>
        <v>103.54</v>
      </c>
      <c r="T185" s="3">
        <f>IFERROR(__xludf.DUMMYFUNCTION("""COMPUTED_VALUE"""),63.88)</f>
        <v>63.88</v>
      </c>
      <c r="U185" s="3">
        <f>IFERROR(__xludf.DUMMYFUNCTION("""COMPUTED_VALUE"""),361.95)</f>
        <v>361.95</v>
      </c>
      <c r="V185" s="3">
        <f>IFERROR(__xludf.DUMMYFUNCTION("""COMPUTED_VALUE"""),50.32)</f>
        <v>50.32</v>
      </c>
      <c r="W185" s="3">
        <f>IFERROR(__xludf.DUMMYFUNCTION("""COMPUTED_VALUE"""),212.26)</f>
        <v>212.26</v>
      </c>
      <c r="X185" s="3">
        <f>IFERROR(__xludf.DUMMYFUNCTION("""COMPUTED_VALUE"""),153.22)</f>
        <v>153.22</v>
      </c>
      <c r="Y185" s="1">
        <f>IFERROR(__xludf.DUMMYFUNCTION("""COMPUTED_VALUE"""),291.46)</f>
        <v>291.46</v>
      </c>
      <c r="Z185" s="1">
        <f>IFERROR(__xludf.DUMMYFUNCTION("""COMPUTED_VALUE"""),47.04)</f>
        <v>47.04</v>
      </c>
      <c r="AA185" s="1">
        <f>IFERROR(__xludf.DUMMYFUNCTION("""COMPUTED_VALUE"""),62.67)</f>
        <v>62.67</v>
      </c>
      <c r="AB185" s="1">
        <f>IFERROR(__xludf.DUMMYFUNCTION("""COMPUTED_VALUE"""),94.91)</f>
        <v>94.91</v>
      </c>
      <c r="AC185" s="1">
        <f>IFERROR(__xludf.DUMMYFUNCTION("""COMPUTED_VALUE"""),163.34)</f>
        <v>163.34</v>
      </c>
      <c r="AD185" s="3">
        <f>IFERROR(__xludf.DUMMYFUNCTION("""COMPUTED_VALUE"""),74.31)</f>
        <v>74.31</v>
      </c>
      <c r="AE185" s="1">
        <f>IFERROR(__xludf.DUMMYFUNCTION("""COMPUTED_VALUE"""),465.93)</f>
        <v>465.93</v>
      </c>
      <c r="AF185" s="1">
        <f>IFERROR(__xludf.DUMMYFUNCTION("""COMPUTED_VALUE"""),66.95)</f>
        <v>66.95</v>
      </c>
      <c r="AG185" s="1">
        <f>IFERROR(__xludf.DUMMYFUNCTION("""COMPUTED_VALUE"""),109.96)</f>
        <v>109.96</v>
      </c>
      <c r="AH185" s="1">
        <f>IFERROR(__xludf.DUMMYFUNCTION("""COMPUTED_VALUE"""),250.95)</f>
        <v>250.95</v>
      </c>
      <c r="AI185" s="1">
        <f>IFERROR(__xludf.DUMMYFUNCTION("""COMPUTED_VALUE"""),459.3)</f>
        <v>459.3</v>
      </c>
      <c r="AJ185" s="1">
        <f>IFERROR(__xludf.DUMMYFUNCTION("""COMPUTED_VALUE"""),257.43)</f>
        <v>257.43</v>
      </c>
      <c r="AK185" s="1">
        <f>IFERROR(__xludf.DUMMYFUNCTION("""COMPUTED_VALUE"""),48.57)</f>
        <v>48.57</v>
      </c>
      <c r="AL185" s="1">
        <f>IFERROR(__xludf.DUMMYFUNCTION("""COMPUTED_VALUE"""),97.99)</f>
        <v>97.99</v>
      </c>
      <c r="AM185" s="1">
        <f>IFERROR(__xludf.DUMMYFUNCTION("""COMPUTED_VALUE"""),634.18)</f>
        <v>634.18</v>
      </c>
      <c r="AN185" s="1">
        <f>IFERROR(__xludf.DUMMYFUNCTION("""COMPUTED_VALUE"""),411.49)</f>
        <v>411.49</v>
      </c>
      <c r="AO185" s="1">
        <f>IFERROR(__xludf.DUMMYFUNCTION("""COMPUTED_VALUE"""),124.76)</f>
        <v>124.76</v>
      </c>
      <c r="AP185" s="1">
        <f>IFERROR(__xludf.DUMMYFUNCTION("""COMPUTED_VALUE"""),159.32)</f>
        <v>159.32</v>
      </c>
      <c r="AQ185" s="3">
        <f>IFERROR(__xludf.DUMMYFUNCTION("""COMPUTED_VALUE"""),579.65)</f>
        <v>579.65</v>
      </c>
      <c r="AR185" s="3">
        <f>IFERROR(__xludf.DUMMYFUNCTION("""COMPUTED_VALUE"""),267.94)</f>
        <v>267.94</v>
      </c>
      <c r="AS185" s="3">
        <f>IFERROR(__xludf.DUMMYFUNCTION("""COMPUTED_VALUE"""),453.68)</f>
        <v>453.68</v>
      </c>
      <c r="AT185" s="3">
        <f>IFERROR(__xludf.DUMMYFUNCTION("""COMPUTED_VALUE"""),415.9)</f>
        <v>415.9</v>
      </c>
      <c r="AU185" s="1">
        <f>IFERROR(__xludf.DUMMYFUNCTION("""COMPUTED_VALUE"""),29.69)</f>
        <v>29.69</v>
      </c>
      <c r="AV185" s="1">
        <f>IFERROR(__xludf.DUMMYFUNCTION("""COMPUTED_VALUE"""),90.97)</f>
        <v>90.97</v>
      </c>
      <c r="AW185" s="1">
        <f>IFERROR(__xludf.DUMMYFUNCTION("""COMPUTED_VALUE"""),84.63)</f>
        <v>84.63</v>
      </c>
      <c r="AX185" s="1">
        <f>IFERROR(__xludf.DUMMYFUNCTION("""COMPUTED_VALUE"""),24.47)</f>
        <v>24.47</v>
      </c>
      <c r="AY185" s="1">
        <f>IFERROR(__xludf.DUMMYFUNCTION("""COMPUTED_VALUE"""),412.37)</f>
        <v>412.37</v>
      </c>
      <c r="AZ185" s="3">
        <f>IFERROR(__xludf.DUMMYFUNCTION("""COMPUTED_VALUE"""),69.9)</f>
        <v>69.9</v>
      </c>
      <c r="BA185" s="3">
        <f>IFERROR(__xludf.DUMMYFUNCTION("""COMPUTED_VALUE"""),101.66)</f>
        <v>101.66</v>
      </c>
      <c r="BB185" s="3">
        <f>IFERROR(__xludf.DUMMYFUNCTION("""COMPUTED_VALUE"""),118.65)</f>
        <v>118.65</v>
      </c>
      <c r="BC185" s="1">
        <f>IFERROR(__xludf.DUMMYFUNCTION("""COMPUTED_VALUE"""),94.43)</f>
        <v>94.43</v>
      </c>
      <c r="BD185" s="3">
        <f>IFERROR(__xludf.DUMMYFUNCTION("""COMPUTED_VALUE"""),58.34)</f>
        <v>58.34</v>
      </c>
      <c r="BE185" s="3">
        <f>IFERROR(__xludf.DUMMYFUNCTION("""COMPUTED_VALUE"""),103.83)</f>
        <v>103.83</v>
      </c>
      <c r="BF185" s="1">
        <f>IFERROR(__xludf.DUMMYFUNCTION("""COMPUTED_VALUE"""),77.72)</f>
        <v>77.72</v>
      </c>
      <c r="BG185" s="1">
        <f>IFERROR(__xludf.DUMMYFUNCTION("""COMPUTED_VALUE"""),25.87)</f>
        <v>25.87</v>
      </c>
      <c r="BH185" s="1">
        <f>IFERROR(__xludf.DUMMYFUNCTION("""COMPUTED_VALUE"""),128.37)</f>
        <v>128.37</v>
      </c>
      <c r="BI185" s="1">
        <f>IFERROR(__xludf.DUMMYFUNCTION("""COMPUTED_VALUE"""),42.32)</f>
        <v>42.32</v>
      </c>
      <c r="BJ185" s="1">
        <f>IFERROR(__xludf.DUMMYFUNCTION("""COMPUTED_VALUE"""),237.25)</f>
        <v>237.25</v>
      </c>
      <c r="BK185" s="1">
        <f>IFERROR(__xludf.DUMMYFUNCTION("""COMPUTED_VALUE"""),580.57)</f>
        <v>580.57</v>
      </c>
      <c r="BL185" s="1">
        <f>IFERROR(__xludf.DUMMYFUNCTION("""COMPUTED_VALUE"""),187.56)</f>
        <v>187.56</v>
      </c>
      <c r="BM185" s="1">
        <f>IFERROR(__xludf.DUMMYFUNCTION("""COMPUTED_VALUE"""),72.14)</f>
        <v>72.14</v>
      </c>
      <c r="BN185" s="3">
        <f>IFERROR(__xludf.DUMMYFUNCTION("""COMPUTED_VALUE"""),8.25)</f>
        <v>8.25</v>
      </c>
      <c r="BO185" s="1">
        <f>IFERROR(__xludf.DUMMYFUNCTION("""COMPUTED_VALUE"""),243.5)</f>
        <v>243.5</v>
      </c>
      <c r="BP185" s="1">
        <f>IFERROR(__xludf.DUMMYFUNCTION("""COMPUTED_VALUE"""),545.45)</f>
        <v>545.45</v>
      </c>
      <c r="BQ185" s="36">
        <f>IFERROR(__xludf.DUMMYFUNCTION("""COMPUTED_VALUE"""),48.95)</f>
        <v>48.95</v>
      </c>
      <c r="BR185" s="1">
        <f>IFERROR(__xludf.DUMMYFUNCTION("""COMPUTED_VALUE"""),10.89)</f>
        <v>10.89</v>
      </c>
      <c r="BS185" s="3">
        <f>IFERROR(__xludf.DUMMYFUNCTION("""COMPUTED_VALUE"""),222.14)</f>
        <v>222.14</v>
      </c>
      <c r="BT185" s="1">
        <f>IFERROR(__xludf.DUMMYFUNCTION("""COMPUTED_VALUE"""),113.3)</f>
        <v>113.3</v>
      </c>
      <c r="BU185" s="3">
        <v>1.0</v>
      </c>
    </row>
    <row r="186">
      <c r="A186" s="25">
        <f>IFERROR(__xludf.DUMMYFUNCTION("""COMPUTED_VALUE"""),45693.66666666667)</f>
        <v>45693.66667</v>
      </c>
      <c r="B186" s="29">
        <f>'Master Scratch Work'!B185</f>
        <v>1345083.62</v>
      </c>
      <c r="C186" s="15">
        <f>IFERROR(__xludf.DUMMYFUNCTION("""COMPUTED_VALUE"""),6061.48)</f>
        <v>6061.48</v>
      </c>
      <c r="D186" s="15">
        <f>IFERROR(__xludf.DUMMYFUNCTION("""COMPUTED_VALUE"""),19692.33)</f>
        <v>19692.33</v>
      </c>
      <c r="E186" s="15">
        <f>IFERROR(__xludf.DUMMYFUNCTION("""COMPUTED_VALUE"""),44873.28)</f>
        <v>44873.28</v>
      </c>
      <c r="F186" s="15">
        <f>IFERROR(__xludf.DUMMYFUNCTION("""COMPUTED_VALUE"""),2316.23)</f>
        <v>2316.23</v>
      </c>
      <c r="G186" s="3">
        <f>IFERROR(__xludf.DUMMYFUNCTION("""COMPUTED_VALUE"""),604.22)</f>
        <v>604.22</v>
      </c>
      <c r="H186" s="3">
        <f>IFERROR(__xludf.DUMMYFUNCTION("""COMPUTED_VALUE"""),526.85)</f>
        <v>526.85</v>
      </c>
      <c r="I186" s="3">
        <f>IFERROR(__xludf.DUMMYFUNCTION("""COMPUTED_VALUE"""),437.63)</f>
        <v>437.63</v>
      </c>
      <c r="J186" s="3">
        <f>IFERROR(__xludf.DUMMYFUNCTION("""COMPUTED_VALUE"""),236.17)</f>
        <v>236.17</v>
      </c>
      <c r="K186" s="3">
        <f>IFERROR(__xludf.DUMMYFUNCTION("""COMPUTED_VALUE"""),123.61)</f>
        <v>123.61</v>
      </c>
      <c r="L186" s="3">
        <f>IFERROR(__xludf.DUMMYFUNCTION("""COMPUTED_VALUE"""),232.47)</f>
        <v>232.47</v>
      </c>
      <c r="M186" s="3">
        <f>IFERROR(__xludf.DUMMYFUNCTION("""COMPUTED_VALUE"""),180.67)</f>
        <v>180.67</v>
      </c>
      <c r="N186" s="3">
        <f>IFERROR(__xludf.DUMMYFUNCTION("""COMPUTED_VALUE"""),85.74)</f>
        <v>85.74</v>
      </c>
      <c r="O186" s="3">
        <f>IFERROR(__xludf.DUMMYFUNCTION("""COMPUTED_VALUE"""),14.86)</f>
        <v>14.86</v>
      </c>
      <c r="P186" s="3">
        <f>IFERROR(__xludf.DUMMYFUNCTION("""COMPUTED_VALUE"""),473.73)</f>
        <v>473.73</v>
      </c>
      <c r="Q186" s="3">
        <f>IFERROR(__xludf.DUMMYFUNCTION("""COMPUTED_VALUE"""),50.05)</f>
        <v>50.05</v>
      </c>
      <c r="R186" s="3">
        <f>IFERROR(__xludf.DUMMYFUNCTION("""COMPUTED_VALUE"""),145.53)</f>
        <v>145.53</v>
      </c>
      <c r="S186" s="3">
        <f>IFERROR(__xludf.DUMMYFUNCTION("""COMPUTED_VALUE"""),104.97)</f>
        <v>104.97</v>
      </c>
      <c r="T186" s="3">
        <f>IFERROR(__xludf.DUMMYFUNCTION("""COMPUTED_VALUE"""),64.56)</f>
        <v>64.56</v>
      </c>
      <c r="U186" s="3">
        <f>IFERROR(__xludf.DUMMYFUNCTION("""COMPUTED_VALUE"""),358.85)</f>
        <v>358.85</v>
      </c>
      <c r="V186" s="3">
        <f>IFERROR(__xludf.DUMMYFUNCTION("""COMPUTED_VALUE"""),50.35)</f>
        <v>50.35</v>
      </c>
      <c r="W186" s="3">
        <f>IFERROR(__xludf.DUMMYFUNCTION("""COMPUTED_VALUE"""),216.99)</f>
        <v>216.99</v>
      </c>
      <c r="X186" s="3">
        <f>IFERROR(__xludf.DUMMYFUNCTION("""COMPUTED_VALUE"""),152.99)</f>
        <v>152.99</v>
      </c>
      <c r="Y186" s="1">
        <f>IFERROR(__xludf.DUMMYFUNCTION("""COMPUTED_VALUE"""),293.31)</f>
        <v>293.31</v>
      </c>
      <c r="Z186" s="1">
        <f>IFERROR(__xludf.DUMMYFUNCTION("""COMPUTED_VALUE"""),47.65)</f>
        <v>47.65</v>
      </c>
      <c r="AA186" s="1">
        <f>IFERROR(__xludf.DUMMYFUNCTION("""COMPUTED_VALUE"""),63.12)</f>
        <v>63.12</v>
      </c>
      <c r="AB186" s="1">
        <f>IFERROR(__xludf.DUMMYFUNCTION("""COMPUTED_VALUE"""),96.19)</f>
        <v>96.19</v>
      </c>
      <c r="AC186" s="1">
        <f>IFERROR(__xludf.DUMMYFUNCTION("""COMPUTED_VALUE"""),167.19)</f>
        <v>167.19</v>
      </c>
      <c r="AD186" s="3">
        <f>IFERROR(__xludf.DUMMYFUNCTION("""COMPUTED_VALUE"""),74.23)</f>
        <v>74.23</v>
      </c>
      <c r="AE186" s="1">
        <f>IFERROR(__xludf.DUMMYFUNCTION("""COMPUTED_VALUE"""),454.75)</f>
        <v>454.75</v>
      </c>
      <c r="AF186" s="1">
        <f>IFERROR(__xludf.DUMMYFUNCTION("""COMPUTED_VALUE"""),67.39)</f>
        <v>67.39</v>
      </c>
      <c r="AG186" s="1">
        <f>IFERROR(__xludf.DUMMYFUNCTION("""COMPUTED_VALUE"""),109.88)</f>
        <v>109.88</v>
      </c>
      <c r="AH186" s="1">
        <f>IFERROR(__xludf.DUMMYFUNCTION("""COMPUTED_VALUE"""),252.41)</f>
        <v>252.41</v>
      </c>
      <c r="AI186" s="1">
        <f>IFERROR(__xludf.DUMMYFUNCTION("""COMPUTED_VALUE"""),464.19)</f>
        <v>464.19</v>
      </c>
      <c r="AJ186" s="1">
        <f>IFERROR(__xludf.DUMMYFUNCTION("""COMPUTED_VALUE"""),258.58)</f>
        <v>258.58</v>
      </c>
      <c r="AK186" s="1">
        <f>IFERROR(__xludf.DUMMYFUNCTION("""COMPUTED_VALUE"""),47.81)</f>
        <v>47.81</v>
      </c>
      <c r="AL186" s="1">
        <f>IFERROR(__xludf.DUMMYFUNCTION("""COMPUTED_VALUE"""),99.65)</f>
        <v>99.65</v>
      </c>
      <c r="AM186" s="1">
        <f>IFERROR(__xludf.DUMMYFUNCTION("""COMPUTED_VALUE"""),645.45)</f>
        <v>645.45</v>
      </c>
      <c r="AN186" s="1">
        <f>IFERROR(__xludf.DUMMYFUNCTION("""COMPUTED_VALUE"""),413.82)</f>
        <v>413.82</v>
      </c>
      <c r="AO186" s="1">
        <f>IFERROR(__xludf.DUMMYFUNCTION("""COMPUTED_VALUE"""),126.17)</f>
        <v>126.17</v>
      </c>
      <c r="AP186" s="1">
        <f>IFERROR(__xludf.DUMMYFUNCTION("""COMPUTED_VALUE"""),160.7)</f>
        <v>160.7</v>
      </c>
      <c r="AQ186" s="3">
        <f>IFERROR(__xludf.DUMMYFUNCTION("""COMPUTED_VALUE"""),590.9)</f>
        <v>590.9</v>
      </c>
      <c r="AR186" s="3">
        <f>IFERROR(__xludf.DUMMYFUNCTION("""COMPUTED_VALUE"""),270.43)</f>
        <v>270.43</v>
      </c>
      <c r="AS186" s="3">
        <f>IFERROR(__xludf.DUMMYFUNCTION("""COMPUTED_VALUE"""),449.87)</f>
        <v>449.87</v>
      </c>
      <c r="AT186" s="3">
        <f>IFERROR(__xludf.DUMMYFUNCTION("""COMPUTED_VALUE"""),412.8)</f>
        <v>412.8</v>
      </c>
      <c r="AU186" s="1">
        <f>IFERROR(__xludf.DUMMYFUNCTION("""COMPUTED_VALUE"""),29.87)</f>
        <v>29.87</v>
      </c>
      <c r="AV186" s="1">
        <f>IFERROR(__xludf.DUMMYFUNCTION("""COMPUTED_VALUE"""),91.69)</f>
        <v>91.69</v>
      </c>
      <c r="AW186" s="1">
        <f>IFERROR(__xludf.DUMMYFUNCTION("""COMPUTED_VALUE"""),85.0)</f>
        <v>85</v>
      </c>
      <c r="AX186" s="1">
        <f>IFERROR(__xludf.DUMMYFUNCTION("""COMPUTED_VALUE"""),23.56)</f>
        <v>23.56</v>
      </c>
      <c r="AY186" s="1">
        <f>IFERROR(__xludf.DUMMYFUNCTION("""COMPUTED_VALUE"""),413.29)</f>
        <v>413.29</v>
      </c>
      <c r="AZ186" s="3">
        <f>IFERROR(__xludf.DUMMYFUNCTION("""COMPUTED_VALUE"""),69.2)</f>
        <v>69.2</v>
      </c>
      <c r="BA186" s="3">
        <f>IFERROR(__xludf.DUMMYFUNCTION("""COMPUTED_VALUE"""),102.88)</f>
        <v>102.88</v>
      </c>
      <c r="BB186" s="3">
        <f>IFERROR(__xludf.DUMMYFUNCTION("""COMPUTED_VALUE"""),124.83)</f>
        <v>124.83</v>
      </c>
      <c r="BC186" s="1">
        <f>IFERROR(__xludf.DUMMYFUNCTION("""COMPUTED_VALUE"""),94.55)</f>
        <v>94.55</v>
      </c>
      <c r="BD186" s="3">
        <f>IFERROR(__xludf.DUMMYFUNCTION("""COMPUTED_VALUE"""),59.04)</f>
        <v>59.04</v>
      </c>
      <c r="BE186" s="3">
        <f>IFERROR(__xludf.DUMMYFUNCTION("""COMPUTED_VALUE"""),101.36)</f>
        <v>101.36</v>
      </c>
      <c r="BF186" s="1">
        <f>IFERROR(__xludf.DUMMYFUNCTION("""COMPUTED_VALUE"""),79.2)</f>
        <v>79.2</v>
      </c>
      <c r="BG186" s="1">
        <f>IFERROR(__xludf.DUMMYFUNCTION("""COMPUTED_VALUE"""),26.44)</f>
        <v>26.44</v>
      </c>
      <c r="BH186" s="1">
        <f>IFERROR(__xludf.DUMMYFUNCTION("""COMPUTED_VALUE"""),129.16)</f>
        <v>129.16</v>
      </c>
      <c r="BI186" s="1">
        <f>IFERROR(__xludf.DUMMYFUNCTION("""COMPUTED_VALUE"""),44.25)</f>
        <v>44.25</v>
      </c>
      <c r="BJ186" s="1">
        <f>IFERROR(__xludf.DUMMYFUNCTION("""COMPUTED_VALUE"""),242.43)</f>
        <v>242.43</v>
      </c>
      <c r="BK186" s="1">
        <f>IFERROR(__xludf.DUMMYFUNCTION("""COMPUTED_VALUE"""),582.38)</f>
        <v>582.38</v>
      </c>
      <c r="BL186" s="1">
        <f>IFERROR(__xludf.DUMMYFUNCTION("""COMPUTED_VALUE"""),195.35)</f>
        <v>195.35</v>
      </c>
      <c r="BM186" s="1">
        <f>IFERROR(__xludf.DUMMYFUNCTION("""COMPUTED_VALUE"""),74.57)</f>
        <v>74.57</v>
      </c>
      <c r="BN186" s="3">
        <f>IFERROR(__xludf.DUMMYFUNCTION("""COMPUTED_VALUE"""),8.24)</f>
        <v>8.24</v>
      </c>
      <c r="BO186" s="1">
        <f>IFERROR(__xludf.DUMMYFUNCTION("""COMPUTED_VALUE"""),244.48)</f>
        <v>244.48</v>
      </c>
      <c r="BP186" s="1">
        <f>IFERROR(__xludf.DUMMYFUNCTION("""COMPUTED_VALUE"""),539.81)</f>
        <v>539.81</v>
      </c>
      <c r="BQ186" s="36">
        <f>IFERROR(__xludf.DUMMYFUNCTION("""COMPUTED_VALUE"""),49.0)</f>
        <v>49</v>
      </c>
      <c r="BR186" s="1">
        <f>IFERROR(__xludf.DUMMYFUNCTION("""COMPUTED_VALUE"""),10.95)</f>
        <v>10.95</v>
      </c>
      <c r="BS186" s="3">
        <f>IFERROR(__xludf.DUMMYFUNCTION("""COMPUTED_VALUE"""),224.77)</f>
        <v>224.77</v>
      </c>
      <c r="BT186" s="1">
        <f>IFERROR(__xludf.DUMMYFUNCTION("""COMPUTED_VALUE"""),110.54)</f>
        <v>110.54</v>
      </c>
      <c r="BU186" s="3">
        <v>1.0</v>
      </c>
    </row>
    <row r="187">
      <c r="A187" s="25">
        <f>IFERROR(__xludf.DUMMYFUNCTION("""COMPUTED_VALUE"""),45694.66666666667)</f>
        <v>45694.66667</v>
      </c>
      <c r="B187" s="29">
        <f>'Master Scratch Work'!B186</f>
        <v>1352488.87</v>
      </c>
      <c r="C187" s="15">
        <f>IFERROR(__xludf.DUMMYFUNCTION("""COMPUTED_VALUE"""),6083.57)</f>
        <v>6083.57</v>
      </c>
      <c r="D187" s="15">
        <f>IFERROR(__xludf.DUMMYFUNCTION("""COMPUTED_VALUE"""),19791.99)</f>
        <v>19791.99</v>
      </c>
      <c r="E187" s="15">
        <f>IFERROR(__xludf.DUMMYFUNCTION("""COMPUTED_VALUE"""),44747.63)</f>
        <v>44747.63</v>
      </c>
      <c r="F187" s="15">
        <f>IFERROR(__xludf.DUMMYFUNCTION("""COMPUTED_VALUE"""),2307.12)</f>
        <v>2307.12</v>
      </c>
      <c r="G187" s="3">
        <f>IFERROR(__xludf.DUMMYFUNCTION("""COMPUTED_VALUE"""),606.32)</f>
        <v>606.32</v>
      </c>
      <c r="H187" s="3">
        <f>IFERROR(__xludf.DUMMYFUNCTION("""COMPUTED_VALUE"""),529.6)</f>
        <v>529.6</v>
      </c>
      <c r="I187" s="3">
        <f>IFERROR(__xludf.DUMMYFUNCTION("""COMPUTED_VALUE"""),435.4)</f>
        <v>435.4</v>
      </c>
      <c r="J187" s="3">
        <f>IFERROR(__xludf.DUMMYFUNCTION("""COMPUTED_VALUE"""),238.83)</f>
        <v>238.83</v>
      </c>
      <c r="K187" s="3">
        <f>IFERROR(__xludf.DUMMYFUNCTION("""COMPUTED_VALUE"""),123.98)</f>
        <v>123.98</v>
      </c>
      <c r="L187" s="3">
        <f>IFERROR(__xludf.DUMMYFUNCTION("""COMPUTED_VALUE"""),233.22)</f>
        <v>233.22</v>
      </c>
      <c r="M187" s="3">
        <f>IFERROR(__xludf.DUMMYFUNCTION("""COMPUTED_VALUE"""),182.8)</f>
        <v>182.8</v>
      </c>
      <c r="N187" s="3">
        <f>IFERROR(__xludf.DUMMYFUNCTION("""COMPUTED_VALUE"""),86.4)</f>
        <v>86.4</v>
      </c>
      <c r="O187" s="3">
        <f>IFERROR(__xludf.DUMMYFUNCTION("""COMPUTED_VALUE"""),15.27)</f>
        <v>15.27</v>
      </c>
      <c r="P187" s="3">
        <f>IFERROR(__xludf.DUMMYFUNCTION("""COMPUTED_VALUE"""),477.22)</f>
        <v>477.22</v>
      </c>
      <c r="Q187" s="3">
        <f>IFERROR(__xludf.DUMMYFUNCTION("""COMPUTED_VALUE"""),50.69)</f>
        <v>50.69</v>
      </c>
      <c r="R187" s="3">
        <f>IFERROR(__xludf.DUMMYFUNCTION("""COMPUTED_VALUE"""),142.37)</f>
        <v>142.37</v>
      </c>
      <c r="S187" s="3">
        <f>IFERROR(__xludf.DUMMYFUNCTION("""COMPUTED_VALUE"""),105.02)</f>
        <v>105.02</v>
      </c>
      <c r="T187" s="3">
        <f>IFERROR(__xludf.DUMMYFUNCTION("""COMPUTED_VALUE"""),65.21)</f>
        <v>65.21</v>
      </c>
      <c r="U187" s="3">
        <f>IFERROR(__xludf.DUMMYFUNCTION("""COMPUTED_VALUE"""),365.45)</f>
        <v>365.45</v>
      </c>
      <c r="V187" s="3">
        <f>IFERROR(__xludf.DUMMYFUNCTION("""COMPUTED_VALUE"""),48.7)</f>
        <v>48.7</v>
      </c>
      <c r="W187" s="3">
        <f>IFERROR(__xludf.DUMMYFUNCTION("""COMPUTED_VALUE"""),212.44)</f>
        <v>212.44</v>
      </c>
      <c r="X187" s="3">
        <f>IFERROR(__xludf.DUMMYFUNCTION("""COMPUTED_VALUE"""),151.9)</f>
        <v>151.9</v>
      </c>
      <c r="Y187" s="1">
        <f>IFERROR(__xludf.DUMMYFUNCTION("""COMPUTED_VALUE"""),287.23)</f>
        <v>287.23</v>
      </c>
      <c r="Z187" s="1">
        <f>IFERROR(__xludf.DUMMYFUNCTION("""COMPUTED_VALUE"""),48.32)</f>
        <v>48.32</v>
      </c>
      <c r="AA187" s="1">
        <f>IFERROR(__xludf.DUMMYFUNCTION("""COMPUTED_VALUE"""),63.36)</f>
        <v>63.36</v>
      </c>
      <c r="AB187" s="1">
        <f>IFERROR(__xludf.DUMMYFUNCTION("""COMPUTED_VALUE"""),95.42)</f>
        <v>95.42</v>
      </c>
      <c r="AC187" s="1">
        <f>IFERROR(__xludf.DUMMYFUNCTION("""COMPUTED_VALUE"""),168.11)</f>
        <v>168.11</v>
      </c>
      <c r="AD187" s="3">
        <f>IFERROR(__xludf.DUMMYFUNCTION("""COMPUTED_VALUE"""),74.52)</f>
        <v>74.52</v>
      </c>
      <c r="AE187" s="1">
        <f>IFERROR(__xludf.DUMMYFUNCTION("""COMPUTED_VALUE"""),470.56)</f>
        <v>470.56</v>
      </c>
      <c r="AF187" s="1">
        <f>IFERROR(__xludf.DUMMYFUNCTION("""COMPUTED_VALUE"""),67.5)</f>
        <v>67.5</v>
      </c>
      <c r="AG187" s="1">
        <f>IFERROR(__xludf.DUMMYFUNCTION("""COMPUTED_VALUE"""),108.43)</f>
        <v>108.43</v>
      </c>
      <c r="AH187" s="1">
        <f>IFERROR(__xludf.DUMMYFUNCTION("""COMPUTED_VALUE"""),258.77)</f>
        <v>258.77</v>
      </c>
      <c r="AI187" s="1">
        <f>IFERROR(__xludf.DUMMYFUNCTION("""COMPUTED_VALUE"""),461.56)</f>
        <v>461.56</v>
      </c>
      <c r="AJ187" s="1">
        <f>IFERROR(__xludf.DUMMYFUNCTION("""COMPUTED_VALUE"""),255.53)</f>
        <v>255.53</v>
      </c>
      <c r="AK187" s="1">
        <f>IFERROR(__xludf.DUMMYFUNCTION("""COMPUTED_VALUE"""),47.93)</f>
        <v>47.93</v>
      </c>
      <c r="AL187" s="1">
        <f>IFERROR(__xludf.DUMMYFUNCTION("""COMPUTED_VALUE"""),98.04)</f>
        <v>98.04</v>
      </c>
      <c r="AM187" s="1">
        <f>IFERROR(__xludf.DUMMYFUNCTION("""COMPUTED_VALUE"""),658.22)</f>
        <v>658.22</v>
      </c>
      <c r="AN187" s="1">
        <f>IFERROR(__xludf.DUMMYFUNCTION("""COMPUTED_VALUE"""),414.16)</f>
        <v>414.16</v>
      </c>
      <c r="AO187" s="1">
        <f>IFERROR(__xludf.DUMMYFUNCTION("""COMPUTED_VALUE"""),126.57)</f>
        <v>126.57</v>
      </c>
      <c r="AP187" s="1">
        <f>IFERROR(__xludf.DUMMYFUNCTION("""COMPUTED_VALUE"""),167.68)</f>
        <v>167.68</v>
      </c>
      <c r="AQ187" s="3">
        <f>IFERROR(__xludf.DUMMYFUNCTION("""COMPUTED_VALUE"""),588.5)</f>
        <v>588.5</v>
      </c>
      <c r="AR187" s="3">
        <f>IFERROR(__xludf.DUMMYFUNCTION("""COMPUTED_VALUE"""),276.9)</f>
        <v>276.9</v>
      </c>
      <c r="AS187" s="3">
        <f>IFERROR(__xludf.DUMMYFUNCTION("""COMPUTED_VALUE"""),448.52)</f>
        <v>448.52</v>
      </c>
      <c r="AT187" s="3">
        <f>IFERROR(__xludf.DUMMYFUNCTION("""COMPUTED_VALUE"""),411.83)</f>
        <v>411.83</v>
      </c>
      <c r="AU187" s="1">
        <f>IFERROR(__xludf.DUMMYFUNCTION("""COMPUTED_VALUE"""),30.01)</f>
        <v>30.01</v>
      </c>
      <c r="AV187" s="1">
        <f>IFERROR(__xludf.DUMMYFUNCTION("""COMPUTED_VALUE"""),90.82)</f>
        <v>90.82</v>
      </c>
      <c r="AW187" s="1">
        <f>IFERROR(__xludf.DUMMYFUNCTION("""COMPUTED_VALUE"""),83.67)</f>
        <v>83.67</v>
      </c>
      <c r="AX187" s="1">
        <f>IFERROR(__xludf.DUMMYFUNCTION("""COMPUTED_VALUE"""),24.11)</f>
        <v>24.11</v>
      </c>
      <c r="AY187" s="1">
        <f>IFERROR(__xludf.DUMMYFUNCTION("""COMPUTED_VALUE"""),415.82)</f>
        <v>415.82</v>
      </c>
      <c r="AZ187" s="3">
        <f>IFERROR(__xludf.DUMMYFUNCTION("""COMPUTED_VALUE"""),69.27)</f>
        <v>69.27</v>
      </c>
      <c r="BA187" s="3">
        <f>IFERROR(__xludf.DUMMYFUNCTION("""COMPUTED_VALUE"""),103.31)</f>
        <v>103.31</v>
      </c>
      <c r="BB187" s="3">
        <f>IFERROR(__xludf.DUMMYFUNCTION("""COMPUTED_VALUE"""),128.68)</f>
        <v>128.68</v>
      </c>
      <c r="BC187" s="1">
        <f>IFERROR(__xludf.DUMMYFUNCTION("""COMPUTED_VALUE"""),96.05)</f>
        <v>96.05</v>
      </c>
      <c r="BD187" s="3">
        <f>IFERROR(__xludf.DUMMYFUNCTION("""COMPUTED_VALUE"""),59.72)</f>
        <v>59.72</v>
      </c>
      <c r="BE187" s="3">
        <f>IFERROR(__xludf.DUMMYFUNCTION("""COMPUTED_VALUE"""),111.28)</f>
        <v>111.28</v>
      </c>
      <c r="BF187" s="1">
        <f>IFERROR(__xludf.DUMMYFUNCTION("""COMPUTED_VALUE"""),78.57)</f>
        <v>78.57</v>
      </c>
      <c r="BG187" s="1">
        <f>IFERROR(__xludf.DUMMYFUNCTION("""COMPUTED_VALUE"""),25.83)</f>
        <v>25.83</v>
      </c>
      <c r="BH187" s="1">
        <f>IFERROR(__xludf.DUMMYFUNCTION("""COMPUTED_VALUE"""),128.78)</f>
        <v>128.78</v>
      </c>
      <c r="BI187" s="1">
        <f>IFERROR(__xludf.DUMMYFUNCTION("""COMPUTED_VALUE"""),43.57)</f>
        <v>43.57</v>
      </c>
      <c r="BJ187" s="1">
        <f>IFERROR(__xludf.DUMMYFUNCTION("""COMPUTED_VALUE"""),247.17)</f>
        <v>247.17</v>
      </c>
      <c r="BK187" s="1">
        <f>IFERROR(__xludf.DUMMYFUNCTION("""COMPUTED_VALUE"""),572.71)</f>
        <v>572.71</v>
      </c>
      <c r="BL187" s="1">
        <f>IFERROR(__xludf.DUMMYFUNCTION("""COMPUTED_VALUE"""),190.5)</f>
        <v>190.5</v>
      </c>
      <c r="BM187" s="1">
        <f>IFERROR(__xludf.DUMMYFUNCTION("""COMPUTED_VALUE"""),73.5)</f>
        <v>73.5</v>
      </c>
      <c r="BN187" s="3">
        <f>IFERROR(__xludf.DUMMYFUNCTION("""COMPUTED_VALUE"""),7.6)</f>
        <v>7.6</v>
      </c>
      <c r="BO187" s="1">
        <f>IFERROR(__xludf.DUMMYFUNCTION("""COMPUTED_VALUE"""),243.51)</f>
        <v>243.51</v>
      </c>
      <c r="BP187" s="1">
        <f>IFERROR(__xludf.DUMMYFUNCTION("""COMPUTED_VALUE"""),530.04)</f>
        <v>530.04</v>
      </c>
      <c r="BQ187" s="36">
        <f>IFERROR(__xludf.DUMMYFUNCTION("""COMPUTED_VALUE"""),48.97)</f>
        <v>48.97</v>
      </c>
      <c r="BR187" s="1">
        <f>IFERROR(__xludf.DUMMYFUNCTION("""COMPUTED_VALUE"""),10.9)</f>
        <v>10.9</v>
      </c>
      <c r="BS187" s="3">
        <f>IFERROR(__xludf.DUMMYFUNCTION("""COMPUTED_VALUE"""),224.92)</f>
        <v>224.92</v>
      </c>
      <c r="BT187" s="1">
        <f>IFERROR(__xludf.DUMMYFUNCTION("""COMPUTED_VALUE"""),112.09)</f>
        <v>112.09</v>
      </c>
      <c r="BU187" s="3">
        <v>1.0</v>
      </c>
    </row>
    <row r="188">
      <c r="A188" s="25">
        <f>IFERROR(__xludf.DUMMYFUNCTION("""COMPUTED_VALUE"""),45695.66666666667)</f>
        <v>45695.66667</v>
      </c>
      <c r="B188" s="29">
        <f>'Master Scratch Work'!B187</f>
        <v>1340949.02</v>
      </c>
      <c r="C188" s="15">
        <f>IFERROR(__xludf.DUMMYFUNCTION("""COMPUTED_VALUE"""),6025.99)</f>
        <v>6025.99</v>
      </c>
      <c r="D188" s="15">
        <f>IFERROR(__xludf.DUMMYFUNCTION("""COMPUTED_VALUE"""),19523.4)</f>
        <v>19523.4</v>
      </c>
      <c r="E188" s="15">
        <f>IFERROR(__xludf.DUMMYFUNCTION("""COMPUTED_VALUE"""),44303.4)</f>
        <v>44303.4</v>
      </c>
      <c r="F188" s="15">
        <f>IFERROR(__xludf.DUMMYFUNCTION("""COMPUTED_VALUE"""),2279.71)</f>
        <v>2279.71</v>
      </c>
      <c r="G188" s="3">
        <f>IFERROR(__xludf.DUMMYFUNCTION("""COMPUTED_VALUE"""),600.77)</f>
        <v>600.77</v>
      </c>
      <c r="H188" s="3">
        <f>IFERROR(__xludf.DUMMYFUNCTION("""COMPUTED_VALUE"""),522.92)</f>
        <v>522.92</v>
      </c>
      <c r="I188" s="3">
        <f>IFERROR(__xludf.DUMMYFUNCTION("""COMPUTED_VALUE"""),433.07)</f>
        <v>433.07</v>
      </c>
      <c r="J188" s="3">
        <f>IFERROR(__xludf.DUMMYFUNCTION("""COMPUTED_VALUE"""),229.15)</f>
        <v>229.15</v>
      </c>
      <c r="K188" s="3">
        <f>IFERROR(__xludf.DUMMYFUNCTION("""COMPUTED_VALUE"""),122.49)</f>
        <v>122.49</v>
      </c>
      <c r="L188" s="3">
        <f>IFERROR(__xludf.DUMMYFUNCTION("""COMPUTED_VALUE"""),227.63)</f>
        <v>227.63</v>
      </c>
      <c r="M188" s="3">
        <f>IFERROR(__xludf.DUMMYFUNCTION("""COMPUTED_VALUE"""),180.0)</f>
        <v>180</v>
      </c>
      <c r="N188" s="3">
        <f>IFERROR(__xludf.DUMMYFUNCTION("""COMPUTED_VALUE"""),86.15)</f>
        <v>86.15</v>
      </c>
      <c r="O188" s="3">
        <f>IFERROR(__xludf.DUMMYFUNCTION("""COMPUTED_VALUE"""),15.07)</f>
        <v>15.07</v>
      </c>
      <c r="P188" s="3">
        <f>IFERROR(__xludf.DUMMYFUNCTION("""COMPUTED_VALUE"""),472.74)</f>
        <v>472.74</v>
      </c>
      <c r="Q188" s="3">
        <f>IFERROR(__xludf.DUMMYFUNCTION("""COMPUTED_VALUE"""),50.35)</f>
        <v>50.35</v>
      </c>
      <c r="R188" s="3">
        <f>IFERROR(__xludf.DUMMYFUNCTION("""COMPUTED_VALUE"""),141.35)</f>
        <v>141.35</v>
      </c>
      <c r="S188" s="3">
        <f>IFERROR(__xludf.DUMMYFUNCTION("""COMPUTED_VALUE"""),105.25)</f>
        <v>105.25</v>
      </c>
      <c r="T188" s="3">
        <f>IFERROR(__xludf.DUMMYFUNCTION("""COMPUTED_VALUE"""),64.17)</f>
        <v>64.17</v>
      </c>
      <c r="U188" s="3">
        <f>IFERROR(__xludf.DUMMYFUNCTION("""COMPUTED_VALUE"""),363.88)</f>
        <v>363.88</v>
      </c>
      <c r="V188" s="3">
        <f>IFERROR(__xludf.DUMMYFUNCTION("""COMPUTED_VALUE"""),49.93)</f>
        <v>49.93</v>
      </c>
      <c r="W188" s="3">
        <f>IFERROR(__xludf.DUMMYFUNCTION("""COMPUTED_VALUE"""),212.24)</f>
        <v>212.24</v>
      </c>
      <c r="X188" s="3">
        <f>IFERROR(__xludf.DUMMYFUNCTION("""COMPUTED_VALUE"""),152.62)</f>
        <v>152.62</v>
      </c>
      <c r="Y188" s="1">
        <f>IFERROR(__xludf.DUMMYFUNCTION("""COMPUTED_VALUE"""),286.71)</f>
        <v>286.71</v>
      </c>
      <c r="Z188" s="1">
        <f>IFERROR(__xludf.DUMMYFUNCTION("""COMPUTED_VALUE"""),47.93)</f>
        <v>47.93</v>
      </c>
      <c r="AA188" s="1">
        <f>IFERROR(__xludf.DUMMYFUNCTION("""COMPUTED_VALUE"""),63.84)</f>
        <v>63.84</v>
      </c>
      <c r="AB188" s="1">
        <f>IFERROR(__xludf.DUMMYFUNCTION("""COMPUTED_VALUE"""),96.08)</f>
        <v>96.08</v>
      </c>
      <c r="AC188" s="1">
        <f>IFERROR(__xludf.DUMMYFUNCTION("""COMPUTED_VALUE"""),168.07)</f>
        <v>168.07</v>
      </c>
      <c r="AD188" s="3">
        <f>IFERROR(__xludf.DUMMYFUNCTION("""COMPUTED_VALUE"""),72.66)</f>
        <v>72.66</v>
      </c>
      <c r="AE188" s="1">
        <f>IFERROR(__xludf.DUMMYFUNCTION("""COMPUTED_VALUE"""),466.74)</f>
        <v>466.74</v>
      </c>
      <c r="AF188" s="1">
        <f>IFERROR(__xludf.DUMMYFUNCTION("""COMPUTED_VALUE"""),67.83)</f>
        <v>67.83</v>
      </c>
      <c r="AG188" s="1">
        <f>IFERROR(__xludf.DUMMYFUNCTION("""COMPUTED_VALUE"""),108.89)</f>
        <v>108.89</v>
      </c>
      <c r="AH188" s="1">
        <f>IFERROR(__xludf.DUMMYFUNCTION("""COMPUTED_VALUE"""),256.08)</f>
        <v>256.08</v>
      </c>
      <c r="AI188" s="1">
        <f>IFERROR(__xludf.DUMMYFUNCTION("""COMPUTED_VALUE"""),446.44)</f>
        <v>446.44</v>
      </c>
      <c r="AJ188" s="1">
        <f>IFERROR(__xludf.DUMMYFUNCTION("""COMPUTED_VALUE"""),254.83)</f>
        <v>254.83</v>
      </c>
      <c r="AK188" s="1">
        <f>IFERROR(__xludf.DUMMYFUNCTION("""COMPUTED_VALUE"""),47.39)</f>
        <v>47.39</v>
      </c>
      <c r="AL188" s="1">
        <f>IFERROR(__xludf.DUMMYFUNCTION("""COMPUTED_VALUE"""),96.04)</f>
        <v>96.04</v>
      </c>
      <c r="AM188" s="1">
        <f>IFERROR(__xludf.DUMMYFUNCTION("""COMPUTED_VALUE"""),655.9)</f>
        <v>655.9</v>
      </c>
      <c r="AN188" s="1">
        <f>IFERROR(__xludf.DUMMYFUNCTION("""COMPUTED_VALUE"""),407.37)</f>
        <v>407.37</v>
      </c>
      <c r="AO188" s="1">
        <f>IFERROR(__xludf.DUMMYFUNCTION("""COMPUTED_VALUE"""),125.3)</f>
        <v>125.3</v>
      </c>
      <c r="AP188" s="1">
        <f>IFERROR(__xludf.DUMMYFUNCTION("""COMPUTED_VALUE"""),166.83)</f>
        <v>166.83</v>
      </c>
      <c r="AQ188" s="3">
        <f>IFERROR(__xludf.DUMMYFUNCTION("""COMPUTED_VALUE"""),582.98)</f>
        <v>582.98</v>
      </c>
      <c r="AR188" s="3">
        <f>IFERROR(__xludf.DUMMYFUNCTION("""COMPUTED_VALUE"""),275.8)</f>
        <v>275.8</v>
      </c>
      <c r="AS188" s="3">
        <f>IFERROR(__xludf.DUMMYFUNCTION("""COMPUTED_VALUE"""),444.39)</f>
        <v>444.39</v>
      </c>
      <c r="AT188" s="3">
        <f>IFERROR(__xludf.DUMMYFUNCTION("""COMPUTED_VALUE"""),398.1)</f>
        <v>398.1</v>
      </c>
      <c r="AU188" s="1">
        <f>IFERROR(__xludf.DUMMYFUNCTION("""COMPUTED_VALUE"""),30.14)</f>
        <v>30.14</v>
      </c>
      <c r="AV188" s="1">
        <f>IFERROR(__xludf.DUMMYFUNCTION("""COMPUTED_VALUE"""),90.01)</f>
        <v>90.01</v>
      </c>
      <c r="AW188" s="1">
        <f>IFERROR(__xludf.DUMMYFUNCTION("""COMPUTED_VALUE"""),83.92)</f>
        <v>83.92</v>
      </c>
      <c r="AX188" s="1">
        <f>IFERROR(__xludf.DUMMYFUNCTION("""COMPUTED_VALUE"""),23.94)</f>
        <v>23.94</v>
      </c>
      <c r="AY188" s="1">
        <f>IFERROR(__xludf.DUMMYFUNCTION("""COMPUTED_VALUE"""),409.75)</f>
        <v>409.75</v>
      </c>
      <c r="AZ188" s="3">
        <f>IFERROR(__xludf.DUMMYFUNCTION("""COMPUTED_VALUE"""),68.27)</f>
        <v>68.27</v>
      </c>
      <c r="BA188" s="3">
        <f>IFERROR(__xludf.DUMMYFUNCTION("""COMPUTED_VALUE"""),103.01)</f>
        <v>103.01</v>
      </c>
      <c r="BB188" s="3">
        <f>IFERROR(__xludf.DUMMYFUNCTION("""COMPUTED_VALUE"""),129.84)</f>
        <v>129.84</v>
      </c>
      <c r="BC188" s="1">
        <f>IFERROR(__xludf.DUMMYFUNCTION("""COMPUTED_VALUE"""),94.83)</f>
        <v>94.83</v>
      </c>
      <c r="BD188" s="3">
        <f>IFERROR(__xludf.DUMMYFUNCTION("""COMPUTED_VALUE"""),56.41)</f>
        <v>56.41</v>
      </c>
      <c r="BE188" s="3">
        <f>IFERROR(__xludf.DUMMYFUNCTION("""COMPUTED_VALUE"""),110.85)</f>
        <v>110.85</v>
      </c>
      <c r="BF188" s="1">
        <f>IFERROR(__xludf.DUMMYFUNCTION("""COMPUTED_VALUE"""),77.31)</f>
        <v>77.31</v>
      </c>
      <c r="BG188" s="1">
        <f>IFERROR(__xludf.DUMMYFUNCTION("""COMPUTED_VALUE"""),25.74)</f>
        <v>25.74</v>
      </c>
      <c r="BH188" s="1">
        <f>IFERROR(__xludf.DUMMYFUNCTION("""COMPUTED_VALUE"""),127.95)</f>
        <v>127.95</v>
      </c>
      <c r="BI188" s="1">
        <f>IFERROR(__xludf.DUMMYFUNCTION("""COMPUTED_VALUE"""),42.19)</f>
        <v>42.19</v>
      </c>
      <c r="BJ188" s="1">
        <f>IFERROR(__xludf.DUMMYFUNCTION("""COMPUTED_VALUE"""),246.24)</f>
        <v>246.24</v>
      </c>
      <c r="BK188" s="1">
        <f>IFERROR(__xludf.DUMMYFUNCTION("""COMPUTED_VALUE"""),571.47)</f>
        <v>571.47</v>
      </c>
      <c r="BL188" s="1">
        <f>IFERROR(__xludf.DUMMYFUNCTION("""COMPUTED_VALUE"""),183.98)</f>
        <v>183.98</v>
      </c>
      <c r="BM188" s="1">
        <f>IFERROR(__xludf.DUMMYFUNCTION("""COMPUTED_VALUE"""),72.6)</f>
        <v>72.6</v>
      </c>
      <c r="BN188" s="3">
        <f>IFERROR(__xludf.DUMMYFUNCTION("""COMPUTED_VALUE"""),7.3)</f>
        <v>7.3</v>
      </c>
      <c r="BO188" s="1">
        <f>IFERROR(__xludf.DUMMYFUNCTION("""COMPUTED_VALUE"""),242.08)</f>
        <v>242.08</v>
      </c>
      <c r="BP188" s="1">
        <f>IFERROR(__xludf.DUMMYFUNCTION("""COMPUTED_VALUE"""),527.03)</f>
        <v>527.03</v>
      </c>
      <c r="BQ188" s="36">
        <f>IFERROR(__xludf.DUMMYFUNCTION("""COMPUTED_VALUE"""),48.91)</f>
        <v>48.91</v>
      </c>
      <c r="BR188" s="1">
        <f>IFERROR(__xludf.DUMMYFUNCTION("""COMPUTED_VALUE"""),10.73)</f>
        <v>10.73</v>
      </c>
      <c r="BS188" s="3">
        <f>IFERROR(__xludf.DUMMYFUNCTION("""COMPUTED_VALUE"""),224.91)</f>
        <v>224.91</v>
      </c>
      <c r="BT188" s="1">
        <f>IFERROR(__xludf.DUMMYFUNCTION("""COMPUTED_VALUE"""),110.86)</f>
        <v>110.86</v>
      </c>
      <c r="BU188" s="3">
        <v>1.0</v>
      </c>
    </row>
    <row r="189">
      <c r="A189" s="25">
        <f>IFERROR(__xludf.DUMMYFUNCTION("""COMPUTED_VALUE"""),45698.66666666667)</f>
        <v>45698.66667</v>
      </c>
      <c r="B189" s="29">
        <f>'Master Scratch Work'!B188</f>
        <v>1350416.44</v>
      </c>
      <c r="C189" s="15">
        <f>IFERROR(__xludf.DUMMYFUNCTION("""COMPUTED_VALUE"""),6066.44)</f>
        <v>6066.44</v>
      </c>
      <c r="D189" s="15">
        <f>IFERROR(__xludf.DUMMYFUNCTION("""COMPUTED_VALUE"""),19714.27)</f>
        <v>19714.27</v>
      </c>
      <c r="E189" s="15">
        <f>IFERROR(__xludf.DUMMYFUNCTION("""COMPUTED_VALUE"""),44470.41)</f>
        <v>44470.41</v>
      </c>
      <c r="F189" s="15">
        <f>IFERROR(__xludf.DUMMYFUNCTION("""COMPUTED_VALUE"""),2287.94)</f>
        <v>2287.94</v>
      </c>
      <c r="G189" s="3">
        <f>IFERROR(__xludf.DUMMYFUNCTION("""COMPUTED_VALUE"""),604.85)</f>
        <v>604.85</v>
      </c>
      <c r="H189" s="3">
        <f>IFERROR(__xludf.DUMMYFUNCTION("""COMPUTED_VALUE"""),529.25)</f>
        <v>529.25</v>
      </c>
      <c r="I189" s="3">
        <f>IFERROR(__xludf.DUMMYFUNCTION("""COMPUTED_VALUE"""),451.1)</f>
        <v>451.1</v>
      </c>
      <c r="J189" s="3">
        <f>IFERROR(__xludf.DUMMYFUNCTION("""COMPUTED_VALUE"""),233.14)</f>
        <v>233.14</v>
      </c>
      <c r="K189" s="3">
        <f>IFERROR(__xludf.DUMMYFUNCTION("""COMPUTED_VALUE"""),123.11)</f>
        <v>123.11</v>
      </c>
      <c r="L189" s="3">
        <f>IFERROR(__xludf.DUMMYFUNCTION("""COMPUTED_VALUE"""),227.65)</f>
        <v>227.65</v>
      </c>
      <c r="M189" s="3">
        <f>IFERROR(__xludf.DUMMYFUNCTION("""COMPUTED_VALUE"""),183.66)</f>
        <v>183.66</v>
      </c>
      <c r="N189" s="3">
        <f>IFERROR(__xludf.DUMMYFUNCTION("""COMPUTED_VALUE"""),85.03)</f>
        <v>85.03</v>
      </c>
      <c r="O189" s="3">
        <f>IFERROR(__xludf.DUMMYFUNCTION("""COMPUTED_VALUE"""),14.98)</f>
        <v>14.98</v>
      </c>
      <c r="P189" s="3">
        <f>IFERROR(__xludf.DUMMYFUNCTION("""COMPUTED_VALUE"""),470.17)</f>
        <v>470.17</v>
      </c>
      <c r="Q189" s="3">
        <f>IFERROR(__xludf.DUMMYFUNCTION("""COMPUTED_VALUE"""),50.82)</f>
        <v>50.82</v>
      </c>
      <c r="R189" s="3">
        <f>IFERROR(__xludf.DUMMYFUNCTION("""COMPUTED_VALUE"""),142.54)</f>
        <v>142.54</v>
      </c>
      <c r="S189" s="3">
        <f>IFERROR(__xludf.DUMMYFUNCTION("""COMPUTED_VALUE"""),106.18)</f>
        <v>106.18</v>
      </c>
      <c r="T189" s="3">
        <f>IFERROR(__xludf.DUMMYFUNCTION("""COMPUTED_VALUE"""),66.23)</f>
        <v>66.23</v>
      </c>
      <c r="U189" s="3">
        <f>IFERROR(__xludf.DUMMYFUNCTION("""COMPUTED_VALUE"""),363.22)</f>
        <v>363.22</v>
      </c>
      <c r="V189" s="3">
        <f>IFERROR(__xludf.DUMMYFUNCTION("""COMPUTED_VALUE"""),50.36)</f>
        <v>50.36</v>
      </c>
      <c r="W189" s="3">
        <f>IFERROR(__xludf.DUMMYFUNCTION("""COMPUTED_VALUE"""),215.0)</f>
        <v>215</v>
      </c>
      <c r="X189" s="3">
        <f>IFERROR(__xludf.DUMMYFUNCTION("""COMPUTED_VALUE"""),155.77)</f>
        <v>155.77</v>
      </c>
      <c r="Y189" s="1">
        <f>IFERROR(__xludf.DUMMYFUNCTION("""COMPUTED_VALUE"""),292.82)</f>
        <v>292.82</v>
      </c>
      <c r="Z189" s="1">
        <f>IFERROR(__xludf.DUMMYFUNCTION("""COMPUTED_VALUE"""),47.36)</f>
        <v>47.36</v>
      </c>
      <c r="AA189" s="1">
        <f>IFERROR(__xludf.DUMMYFUNCTION("""COMPUTED_VALUE"""),64.55)</f>
        <v>64.55</v>
      </c>
      <c r="AB189" s="1">
        <f>IFERROR(__xludf.DUMMYFUNCTION("""COMPUTED_VALUE"""),96.7)</f>
        <v>96.7</v>
      </c>
      <c r="AC189" s="1">
        <f>IFERROR(__xludf.DUMMYFUNCTION("""COMPUTED_VALUE"""),166.39)</f>
        <v>166.39</v>
      </c>
      <c r="AD189" s="3">
        <f>IFERROR(__xludf.DUMMYFUNCTION("""COMPUTED_VALUE"""),73.86)</f>
        <v>73.86</v>
      </c>
      <c r="AE189" s="1">
        <f>IFERROR(__xludf.DUMMYFUNCTION("""COMPUTED_VALUE"""),474.94)</f>
        <v>474.94</v>
      </c>
      <c r="AF189" s="1">
        <f>IFERROR(__xludf.DUMMYFUNCTION("""COMPUTED_VALUE"""),68.26)</f>
        <v>68.26</v>
      </c>
      <c r="AG189" s="1">
        <f>IFERROR(__xludf.DUMMYFUNCTION("""COMPUTED_VALUE"""),110.97)</f>
        <v>110.97</v>
      </c>
      <c r="AH189" s="1">
        <f>IFERROR(__xludf.DUMMYFUNCTION("""COMPUTED_VALUE"""),258.23)</f>
        <v>258.23</v>
      </c>
      <c r="AI189" s="1">
        <f>IFERROR(__xludf.DUMMYFUNCTION("""COMPUTED_VALUE"""),460.8)</f>
        <v>460.8</v>
      </c>
      <c r="AJ189" s="1">
        <f>IFERROR(__xludf.DUMMYFUNCTION("""COMPUTED_VALUE"""),256.34)</f>
        <v>256.34</v>
      </c>
      <c r="AK189" s="1">
        <f>IFERROR(__xludf.DUMMYFUNCTION("""COMPUTED_VALUE"""),46.57)</f>
        <v>46.57</v>
      </c>
      <c r="AL189" s="1">
        <f>IFERROR(__xludf.DUMMYFUNCTION("""COMPUTED_VALUE"""),95.48)</f>
        <v>95.48</v>
      </c>
      <c r="AM189" s="1">
        <f>IFERROR(__xludf.DUMMYFUNCTION("""COMPUTED_VALUE"""),650.53)</f>
        <v>650.53</v>
      </c>
      <c r="AN189" s="1">
        <f>IFERROR(__xludf.DUMMYFUNCTION("""COMPUTED_VALUE"""),413.99)</f>
        <v>413.99</v>
      </c>
      <c r="AO189" s="1">
        <f>IFERROR(__xludf.DUMMYFUNCTION("""COMPUTED_VALUE"""),124.9)</f>
        <v>124.9</v>
      </c>
      <c r="AP189" s="1">
        <f>IFERROR(__xludf.DUMMYFUNCTION("""COMPUTED_VALUE"""),167.12)</f>
        <v>167.12</v>
      </c>
      <c r="AQ189" s="3">
        <f>IFERROR(__xludf.DUMMYFUNCTION("""COMPUTED_VALUE"""),595.7)</f>
        <v>595.7</v>
      </c>
      <c r="AR189" s="3">
        <f>IFERROR(__xludf.DUMMYFUNCTION("""COMPUTED_VALUE"""),271.04)</f>
        <v>271.04</v>
      </c>
      <c r="AS189" s="3">
        <f>IFERROR(__xludf.DUMMYFUNCTION("""COMPUTED_VALUE"""),448.22)</f>
        <v>448.22</v>
      </c>
      <c r="AT189" s="3">
        <f>IFERROR(__xludf.DUMMYFUNCTION("""COMPUTED_VALUE"""),399.71)</f>
        <v>399.71</v>
      </c>
      <c r="AU189" s="1">
        <f>IFERROR(__xludf.DUMMYFUNCTION("""COMPUTED_VALUE"""),29.87)</f>
        <v>29.87</v>
      </c>
      <c r="AV189" s="1">
        <f>IFERROR(__xludf.DUMMYFUNCTION("""COMPUTED_VALUE"""),90.84)</f>
        <v>90.84</v>
      </c>
      <c r="AW189" s="1">
        <f>IFERROR(__xludf.DUMMYFUNCTION("""COMPUTED_VALUE"""),83.08)</f>
        <v>83.08</v>
      </c>
      <c r="AX189" s="1">
        <f>IFERROR(__xludf.DUMMYFUNCTION("""COMPUTED_VALUE"""),25.52)</f>
        <v>25.52</v>
      </c>
      <c r="AY189" s="1">
        <f>IFERROR(__xludf.DUMMYFUNCTION("""COMPUTED_VALUE"""),412.22)</f>
        <v>412.22</v>
      </c>
      <c r="AZ189" s="3">
        <f>IFERROR(__xludf.DUMMYFUNCTION("""COMPUTED_VALUE"""),69.7)</f>
        <v>69.7</v>
      </c>
      <c r="BA189" s="3">
        <f>IFERROR(__xludf.DUMMYFUNCTION("""COMPUTED_VALUE"""),105.18)</f>
        <v>105.18</v>
      </c>
      <c r="BB189" s="3">
        <f>IFERROR(__xludf.DUMMYFUNCTION("""COMPUTED_VALUE"""),133.57)</f>
        <v>133.57</v>
      </c>
      <c r="BC189" s="1">
        <f>IFERROR(__xludf.DUMMYFUNCTION("""COMPUTED_VALUE"""),96.06)</f>
        <v>96.06</v>
      </c>
      <c r="BD189" s="3">
        <f>IFERROR(__xludf.DUMMYFUNCTION("""COMPUTED_VALUE"""),55.71)</f>
        <v>55.71</v>
      </c>
      <c r="BE189" s="3">
        <f>IFERROR(__xludf.DUMMYFUNCTION("""COMPUTED_VALUE"""),116.65)</f>
        <v>116.65</v>
      </c>
      <c r="BF189" s="1">
        <f>IFERROR(__xludf.DUMMYFUNCTION("""COMPUTED_VALUE"""),78.24)</f>
        <v>78.24</v>
      </c>
      <c r="BG189" s="1">
        <f>IFERROR(__xludf.DUMMYFUNCTION("""COMPUTED_VALUE"""),25.87)</f>
        <v>25.87</v>
      </c>
      <c r="BH189" s="1">
        <f>IFERROR(__xludf.DUMMYFUNCTION("""COMPUTED_VALUE"""),128.25)</f>
        <v>128.25</v>
      </c>
      <c r="BI189" s="1">
        <f>IFERROR(__xludf.DUMMYFUNCTION("""COMPUTED_VALUE"""),42.06)</f>
        <v>42.06</v>
      </c>
      <c r="BJ189" s="1">
        <f>IFERROR(__xludf.DUMMYFUNCTION("""COMPUTED_VALUE"""),255.83)</f>
        <v>255.83</v>
      </c>
      <c r="BK189" s="1">
        <f>IFERROR(__xludf.DUMMYFUNCTION("""COMPUTED_VALUE"""),552.86)</f>
        <v>552.86</v>
      </c>
      <c r="BL189" s="1">
        <f>IFERROR(__xludf.DUMMYFUNCTION("""COMPUTED_VALUE"""),185.06)</f>
        <v>185.06</v>
      </c>
      <c r="BM189" s="1">
        <f>IFERROR(__xludf.DUMMYFUNCTION("""COMPUTED_VALUE"""),70.24)</f>
        <v>70.24</v>
      </c>
      <c r="BN189" s="3">
        <f>IFERROR(__xludf.DUMMYFUNCTION("""COMPUTED_VALUE"""),7.28)</f>
        <v>7.28</v>
      </c>
      <c r="BO189" s="1">
        <f>IFERROR(__xludf.DUMMYFUNCTION("""COMPUTED_VALUE"""),244.33)</f>
        <v>244.33</v>
      </c>
      <c r="BP189" s="1">
        <f>IFERROR(__xludf.DUMMYFUNCTION("""COMPUTED_VALUE"""),533.37)</f>
        <v>533.37</v>
      </c>
      <c r="BQ189" s="36">
        <f>IFERROR(__xludf.DUMMYFUNCTION("""COMPUTED_VALUE"""),48.96)</f>
        <v>48.96</v>
      </c>
      <c r="BR189" s="1">
        <f>IFERROR(__xludf.DUMMYFUNCTION("""COMPUTED_VALUE"""),10.62)</f>
        <v>10.62</v>
      </c>
      <c r="BS189" s="3">
        <f>IFERROR(__xludf.DUMMYFUNCTION("""COMPUTED_VALUE"""),226.09)</f>
        <v>226.09</v>
      </c>
      <c r="BT189" s="1">
        <f>IFERROR(__xludf.DUMMYFUNCTION("""COMPUTED_VALUE"""),109.28)</f>
        <v>109.28</v>
      </c>
      <c r="BU189" s="3">
        <v>1.0</v>
      </c>
    </row>
    <row r="190">
      <c r="A190" s="25">
        <f>IFERROR(__xludf.DUMMYFUNCTION("""COMPUTED_VALUE"""),45699.66666666667)</f>
        <v>45699.66667</v>
      </c>
      <c r="B190" s="29">
        <f>'Master Scratch Work'!B189</f>
        <v>1353350.13</v>
      </c>
      <c r="C190" s="15">
        <f>IFERROR(__xludf.DUMMYFUNCTION("""COMPUTED_VALUE"""),6068.5)</f>
        <v>6068.5</v>
      </c>
      <c r="D190" s="15">
        <f>IFERROR(__xludf.DUMMYFUNCTION("""COMPUTED_VALUE"""),19643.86)</f>
        <v>19643.86</v>
      </c>
      <c r="E190" s="15">
        <f>IFERROR(__xludf.DUMMYFUNCTION("""COMPUTED_VALUE"""),44593.65)</f>
        <v>44593.65</v>
      </c>
      <c r="F190" s="15">
        <f>IFERROR(__xludf.DUMMYFUNCTION("""COMPUTED_VALUE"""),2275.7)</f>
        <v>2275.7</v>
      </c>
      <c r="G190" s="3">
        <f>IFERROR(__xludf.DUMMYFUNCTION("""COMPUTED_VALUE"""),605.31)</f>
        <v>605.31</v>
      </c>
      <c r="H190" s="3">
        <f>IFERROR(__xludf.DUMMYFUNCTION("""COMPUTED_VALUE"""),527.99)</f>
        <v>527.99</v>
      </c>
      <c r="I190" s="3">
        <f>IFERROR(__xludf.DUMMYFUNCTION("""COMPUTED_VALUE"""),458.82)</f>
        <v>458.82</v>
      </c>
      <c r="J190" s="3">
        <f>IFERROR(__xludf.DUMMYFUNCTION("""COMPUTED_VALUE"""),232.76)</f>
        <v>232.76</v>
      </c>
      <c r="K190" s="3">
        <f>IFERROR(__xludf.DUMMYFUNCTION("""COMPUTED_VALUE"""),125.08)</f>
        <v>125.08</v>
      </c>
      <c r="L190" s="3">
        <f>IFERROR(__xludf.DUMMYFUNCTION("""COMPUTED_VALUE"""),232.62)</f>
        <v>232.62</v>
      </c>
      <c r="M190" s="3">
        <f>IFERROR(__xludf.DUMMYFUNCTION("""COMPUTED_VALUE"""),183.2)</f>
        <v>183.2</v>
      </c>
      <c r="N190" s="3">
        <f>IFERROR(__xludf.DUMMYFUNCTION("""COMPUTED_VALUE"""),85.5)</f>
        <v>85.5</v>
      </c>
      <c r="O190" s="3">
        <f>IFERROR(__xludf.DUMMYFUNCTION("""COMPUTED_VALUE"""),15.23)</f>
        <v>15.23</v>
      </c>
      <c r="P190" s="3">
        <f>IFERROR(__xludf.DUMMYFUNCTION("""COMPUTED_VALUE"""),472.61)</f>
        <v>472.61</v>
      </c>
      <c r="Q190" s="3">
        <f>IFERROR(__xludf.DUMMYFUNCTION("""COMPUTED_VALUE"""),50.2)</f>
        <v>50.2</v>
      </c>
      <c r="R190" s="3">
        <f>IFERROR(__xludf.DUMMYFUNCTION("""COMPUTED_VALUE"""),139.39)</f>
        <v>139.39</v>
      </c>
      <c r="S190" s="3">
        <f>IFERROR(__xludf.DUMMYFUNCTION("""COMPUTED_VALUE"""),105.98)</f>
        <v>105.98</v>
      </c>
      <c r="T190" s="3">
        <f>IFERROR(__xludf.DUMMYFUNCTION("""COMPUTED_VALUE"""),65.16)</f>
        <v>65.16</v>
      </c>
      <c r="U190" s="3">
        <f>IFERROR(__xludf.DUMMYFUNCTION("""COMPUTED_VALUE"""),362.23)</f>
        <v>362.23</v>
      </c>
      <c r="V190" s="3">
        <f>IFERROR(__xludf.DUMMYFUNCTION("""COMPUTED_VALUE"""),49.85)</f>
        <v>49.85</v>
      </c>
      <c r="W190" s="3">
        <f>IFERROR(__xludf.DUMMYFUNCTION("""COMPUTED_VALUE"""),218.52)</f>
        <v>218.52</v>
      </c>
      <c r="X190" s="3">
        <f>IFERROR(__xludf.DUMMYFUNCTION("""COMPUTED_VALUE"""),157.44)</f>
        <v>157.44</v>
      </c>
      <c r="Y190" s="1">
        <f>IFERROR(__xludf.DUMMYFUNCTION("""COMPUTED_VALUE"""),295.24)</f>
        <v>295.24</v>
      </c>
      <c r="Z190" s="1">
        <f>IFERROR(__xludf.DUMMYFUNCTION("""COMPUTED_VALUE"""),47.17)</f>
        <v>47.17</v>
      </c>
      <c r="AA190" s="1">
        <f>IFERROR(__xludf.DUMMYFUNCTION("""COMPUTED_VALUE"""),67.6)</f>
        <v>67.6</v>
      </c>
      <c r="AB190" s="1">
        <f>IFERROR(__xludf.DUMMYFUNCTION("""COMPUTED_VALUE"""),96.31)</f>
        <v>96.31</v>
      </c>
      <c r="AC190" s="1">
        <f>IFERROR(__xludf.DUMMYFUNCTION("""COMPUTED_VALUE"""),165.66)</f>
        <v>165.66</v>
      </c>
      <c r="AD190" s="3">
        <f>IFERROR(__xludf.DUMMYFUNCTION("""COMPUTED_VALUE"""),72.24)</f>
        <v>72.24</v>
      </c>
      <c r="AE190" s="1">
        <f>IFERROR(__xludf.DUMMYFUNCTION("""COMPUTED_VALUE"""),474.06)</f>
        <v>474.06</v>
      </c>
      <c r="AF190" s="1">
        <f>IFERROR(__xludf.DUMMYFUNCTION("""COMPUTED_VALUE"""),68.46)</f>
        <v>68.46</v>
      </c>
      <c r="AG190" s="1">
        <f>IFERROR(__xludf.DUMMYFUNCTION("""COMPUTED_VALUE"""),111.67)</f>
        <v>111.67</v>
      </c>
      <c r="AH190" s="1">
        <f>IFERROR(__xludf.DUMMYFUNCTION("""COMPUTED_VALUE"""),261.26)</f>
        <v>261.26</v>
      </c>
      <c r="AI190" s="1">
        <f>IFERROR(__xludf.DUMMYFUNCTION("""COMPUTED_VALUE"""),474.96)</f>
        <v>474.96</v>
      </c>
      <c r="AJ190" s="1">
        <f>IFERROR(__xludf.DUMMYFUNCTION("""COMPUTED_VALUE"""),256.99)</f>
        <v>256.99</v>
      </c>
      <c r="AK190" s="1">
        <f>IFERROR(__xludf.DUMMYFUNCTION("""COMPUTED_VALUE"""),46.7)</f>
        <v>46.7</v>
      </c>
      <c r="AL190" s="1">
        <f>IFERROR(__xludf.DUMMYFUNCTION("""COMPUTED_VALUE"""),96.14)</f>
        <v>96.14</v>
      </c>
      <c r="AM190" s="1">
        <f>IFERROR(__xludf.DUMMYFUNCTION("""COMPUTED_VALUE"""),647.24)</f>
        <v>647.24</v>
      </c>
      <c r="AN190" s="1">
        <f>IFERROR(__xludf.DUMMYFUNCTION("""COMPUTED_VALUE"""),416.36)</f>
        <v>416.36</v>
      </c>
      <c r="AO190" s="1">
        <f>IFERROR(__xludf.DUMMYFUNCTION("""COMPUTED_VALUE"""),128.71)</f>
        <v>128.71</v>
      </c>
      <c r="AP190" s="1">
        <f>IFERROR(__xludf.DUMMYFUNCTION("""COMPUTED_VALUE"""),166.94)</f>
        <v>166.94</v>
      </c>
      <c r="AQ190" s="3">
        <f>IFERROR(__xludf.DUMMYFUNCTION("""COMPUTED_VALUE"""),591.65)</f>
        <v>591.65</v>
      </c>
      <c r="AR190" s="3">
        <f>IFERROR(__xludf.DUMMYFUNCTION("""COMPUTED_VALUE"""),274.99)</f>
        <v>274.99</v>
      </c>
      <c r="AS190" s="3">
        <f>IFERROR(__xludf.DUMMYFUNCTION("""COMPUTED_VALUE"""),449.36)</f>
        <v>449.36</v>
      </c>
      <c r="AT190" s="3">
        <f>IFERROR(__xludf.DUMMYFUNCTION("""COMPUTED_VALUE"""),397.63)</f>
        <v>397.63</v>
      </c>
      <c r="AU190" s="1">
        <f>IFERROR(__xludf.DUMMYFUNCTION("""COMPUTED_VALUE"""),29.61)</f>
        <v>29.61</v>
      </c>
      <c r="AV190" s="1">
        <f>IFERROR(__xludf.DUMMYFUNCTION("""COMPUTED_VALUE"""),91.2)</f>
        <v>91.2</v>
      </c>
      <c r="AW190" s="1">
        <f>IFERROR(__xludf.DUMMYFUNCTION("""COMPUTED_VALUE"""),83.17)</f>
        <v>83.17</v>
      </c>
      <c r="AX190" s="1">
        <f>IFERROR(__xludf.DUMMYFUNCTION("""COMPUTED_VALUE"""),24.69)</f>
        <v>24.69</v>
      </c>
      <c r="AY190" s="1">
        <f>IFERROR(__xludf.DUMMYFUNCTION("""COMPUTED_VALUE"""),411.44)</f>
        <v>411.44</v>
      </c>
      <c r="AZ190" s="3">
        <f>IFERROR(__xludf.DUMMYFUNCTION("""COMPUTED_VALUE"""),70.33)</f>
        <v>70.33</v>
      </c>
      <c r="BA190" s="3">
        <f>IFERROR(__xludf.DUMMYFUNCTION("""COMPUTED_VALUE"""),104.66)</f>
        <v>104.66</v>
      </c>
      <c r="BB190" s="3">
        <f>IFERROR(__xludf.DUMMYFUNCTION("""COMPUTED_VALUE"""),132.8)</f>
        <v>132.8</v>
      </c>
      <c r="BC190" s="1">
        <f>IFERROR(__xludf.DUMMYFUNCTION("""COMPUTED_VALUE"""),96.68)</f>
        <v>96.68</v>
      </c>
      <c r="BD190" s="3">
        <f>IFERROR(__xludf.DUMMYFUNCTION("""COMPUTED_VALUE"""),53.97)</f>
        <v>53.97</v>
      </c>
      <c r="BE190" s="3">
        <f>IFERROR(__xludf.DUMMYFUNCTION("""COMPUTED_VALUE"""),112.62)</f>
        <v>112.62</v>
      </c>
      <c r="BF190" s="1">
        <f>IFERROR(__xludf.DUMMYFUNCTION("""COMPUTED_VALUE"""),76.21)</f>
        <v>76.21</v>
      </c>
      <c r="BG190" s="1">
        <f>IFERROR(__xludf.DUMMYFUNCTION("""COMPUTED_VALUE"""),25.53)</f>
        <v>25.53</v>
      </c>
      <c r="BH190" s="1">
        <f>IFERROR(__xludf.DUMMYFUNCTION("""COMPUTED_VALUE"""),129.11)</f>
        <v>129.11</v>
      </c>
      <c r="BI190" s="1">
        <f>IFERROR(__xludf.DUMMYFUNCTION("""COMPUTED_VALUE"""),41.45)</f>
        <v>41.45</v>
      </c>
      <c r="BJ190" s="1">
        <f>IFERROR(__xludf.DUMMYFUNCTION("""COMPUTED_VALUE"""),258.7)</f>
        <v>258.7</v>
      </c>
      <c r="BK190" s="1">
        <f>IFERROR(__xludf.DUMMYFUNCTION("""COMPUTED_VALUE"""),545.23)</f>
        <v>545.23</v>
      </c>
      <c r="BL190" s="1">
        <f>IFERROR(__xludf.DUMMYFUNCTION("""COMPUTED_VALUE"""),185.74)</f>
        <v>185.74</v>
      </c>
      <c r="BM190" s="1">
        <f>IFERROR(__xludf.DUMMYFUNCTION("""COMPUTED_VALUE"""),68.11)</f>
        <v>68.11</v>
      </c>
      <c r="BN190" s="3">
        <f>IFERROR(__xludf.DUMMYFUNCTION("""COMPUTED_VALUE"""),7.23)</f>
        <v>7.23</v>
      </c>
      <c r="BO190" s="1">
        <f>IFERROR(__xludf.DUMMYFUNCTION("""COMPUTED_VALUE"""),247.73)</f>
        <v>247.73</v>
      </c>
      <c r="BP190" s="1">
        <f>IFERROR(__xludf.DUMMYFUNCTION("""COMPUTED_VALUE"""),533.92)</f>
        <v>533.92</v>
      </c>
      <c r="BQ190" s="36">
        <f>IFERROR(__xludf.DUMMYFUNCTION("""COMPUTED_VALUE"""),48.98)</f>
        <v>48.98</v>
      </c>
      <c r="BR190" s="1">
        <f>IFERROR(__xludf.DUMMYFUNCTION("""COMPUTED_VALUE"""),10.61)</f>
        <v>10.61</v>
      </c>
      <c r="BS190" s="3">
        <f>IFERROR(__xludf.DUMMYFUNCTION("""COMPUTED_VALUE"""),226.75)</f>
        <v>226.75</v>
      </c>
      <c r="BT190" s="1">
        <f>IFERROR(__xludf.DUMMYFUNCTION("""COMPUTED_VALUE"""),109.02)</f>
        <v>109.02</v>
      </c>
      <c r="BU190" s="3">
        <v>1.0</v>
      </c>
    </row>
    <row r="191">
      <c r="A191" s="25">
        <f>IFERROR(__xludf.DUMMYFUNCTION("""COMPUTED_VALUE"""),45700.66666666667)</f>
        <v>45700.66667</v>
      </c>
      <c r="B191" s="29">
        <f>'Master Scratch Work'!B190</f>
        <v>1349130.4</v>
      </c>
      <c r="C191" s="15">
        <f>IFERROR(__xludf.DUMMYFUNCTION("""COMPUTED_VALUE"""),6051.97)</f>
        <v>6051.97</v>
      </c>
      <c r="D191" s="15">
        <f>IFERROR(__xludf.DUMMYFUNCTION("""COMPUTED_VALUE"""),19649.95)</f>
        <v>19649.95</v>
      </c>
      <c r="E191" s="15">
        <f>IFERROR(__xludf.DUMMYFUNCTION("""COMPUTED_VALUE"""),44368.56)</f>
        <v>44368.56</v>
      </c>
      <c r="F191" s="15">
        <f>IFERROR(__xludf.DUMMYFUNCTION("""COMPUTED_VALUE"""),2255.89)</f>
        <v>2255.89</v>
      </c>
      <c r="G191" s="3">
        <f>IFERROR(__xludf.DUMMYFUNCTION("""COMPUTED_VALUE"""),603.36)</f>
        <v>603.36</v>
      </c>
      <c r="H191" s="3">
        <f>IFERROR(__xludf.DUMMYFUNCTION("""COMPUTED_VALUE"""),528.3)</f>
        <v>528.3</v>
      </c>
      <c r="I191" s="3">
        <f>IFERROR(__xludf.DUMMYFUNCTION("""COMPUTED_VALUE"""),462.76)</f>
        <v>462.76</v>
      </c>
      <c r="J191" s="3">
        <f>IFERROR(__xludf.DUMMYFUNCTION("""COMPUTED_VALUE"""),228.93)</f>
        <v>228.93</v>
      </c>
      <c r="K191" s="3">
        <f>IFERROR(__xludf.DUMMYFUNCTION("""COMPUTED_VALUE"""),125.02)</f>
        <v>125.02</v>
      </c>
      <c r="L191" s="3">
        <f>IFERROR(__xludf.DUMMYFUNCTION("""COMPUTED_VALUE"""),236.87)</f>
        <v>236.87</v>
      </c>
      <c r="M191" s="3">
        <f>IFERROR(__xludf.DUMMYFUNCTION("""COMPUTED_VALUE"""),180.89)</f>
        <v>180.89</v>
      </c>
      <c r="N191" s="3">
        <f>IFERROR(__xludf.DUMMYFUNCTION("""COMPUTED_VALUE"""),85.32)</f>
        <v>85.32</v>
      </c>
      <c r="O191" s="3">
        <f>IFERROR(__xludf.DUMMYFUNCTION("""COMPUTED_VALUE"""),15.39)</f>
        <v>15.39</v>
      </c>
      <c r="P191" s="3">
        <f>IFERROR(__xludf.DUMMYFUNCTION("""COMPUTED_VALUE"""),471.73)</f>
        <v>471.73</v>
      </c>
      <c r="Q191" s="3">
        <f>IFERROR(__xludf.DUMMYFUNCTION("""COMPUTED_VALUE"""),50.66)</f>
        <v>50.66</v>
      </c>
      <c r="R191" s="3">
        <f>IFERROR(__xludf.DUMMYFUNCTION("""COMPUTED_VALUE"""),133.43)</f>
        <v>133.43</v>
      </c>
      <c r="S191" s="3">
        <f>IFERROR(__xludf.DUMMYFUNCTION("""COMPUTED_VALUE"""),105.77)</f>
        <v>105.77</v>
      </c>
      <c r="T191" s="3">
        <f>IFERROR(__xludf.DUMMYFUNCTION("""COMPUTED_VALUE"""),63.6)</f>
        <v>63.6</v>
      </c>
      <c r="U191" s="3">
        <f>IFERROR(__xludf.DUMMYFUNCTION("""COMPUTED_VALUE"""),352.04)</f>
        <v>352.04</v>
      </c>
      <c r="V191" s="3">
        <f>IFERROR(__xludf.DUMMYFUNCTION("""COMPUTED_VALUE"""),49.63)</f>
        <v>49.63</v>
      </c>
      <c r="W191" s="3">
        <f>IFERROR(__xludf.DUMMYFUNCTION("""COMPUTED_VALUE"""),216.86)</f>
        <v>216.86</v>
      </c>
      <c r="X191" s="3">
        <f>IFERROR(__xludf.DUMMYFUNCTION("""COMPUTED_VALUE"""),154.9)</f>
        <v>154.9</v>
      </c>
      <c r="Y191" s="1">
        <f>IFERROR(__xludf.DUMMYFUNCTION("""COMPUTED_VALUE"""),292.69)</f>
        <v>292.69</v>
      </c>
      <c r="Z191" s="1">
        <f>IFERROR(__xludf.DUMMYFUNCTION("""COMPUTED_VALUE"""),46.16)</f>
        <v>46.16</v>
      </c>
      <c r="AA191" s="1">
        <f>IFERROR(__xludf.DUMMYFUNCTION("""COMPUTED_VALUE"""),68.71)</f>
        <v>68.71</v>
      </c>
      <c r="AB191" s="1">
        <f>IFERROR(__xludf.DUMMYFUNCTION("""COMPUTED_VALUE"""),94.57)</f>
        <v>94.57</v>
      </c>
      <c r="AC191" s="1">
        <f>IFERROR(__xludf.DUMMYFUNCTION("""COMPUTED_VALUE"""),163.22)</f>
        <v>163.22</v>
      </c>
      <c r="AD191" s="3">
        <f>IFERROR(__xludf.DUMMYFUNCTION("""COMPUTED_VALUE"""),71.74)</f>
        <v>71.74</v>
      </c>
      <c r="AE191" s="1">
        <f>IFERROR(__xludf.DUMMYFUNCTION("""COMPUTED_VALUE"""),471.47)</f>
        <v>471.47</v>
      </c>
      <c r="AF191" s="1">
        <f>IFERROR(__xludf.DUMMYFUNCTION("""COMPUTED_VALUE"""),67.94)</f>
        <v>67.94</v>
      </c>
      <c r="AG191" s="1">
        <f>IFERROR(__xludf.DUMMYFUNCTION("""COMPUTED_VALUE"""),107.35)</f>
        <v>107.35</v>
      </c>
      <c r="AH191" s="1">
        <f>IFERROR(__xludf.DUMMYFUNCTION("""COMPUTED_VALUE"""),262.65)</f>
        <v>262.65</v>
      </c>
      <c r="AI191" s="1">
        <f>IFERROR(__xludf.DUMMYFUNCTION("""COMPUTED_VALUE"""),482.55)</f>
        <v>482.55</v>
      </c>
      <c r="AJ191" s="1">
        <f>IFERROR(__xludf.DUMMYFUNCTION("""COMPUTED_VALUE"""),251.33)</f>
        <v>251.33</v>
      </c>
      <c r="AK191" s="1">
        <f>IFERROR(__xludf.DUMMYFUNCTION("""COMPUTED_VALUE"""),47.69)</f>
        <v>47.69</v>
      </c>
      <c r="AL191" s="1">
        <f>IFERROR(__xludf.DUMMYFUNCTION("""COMPUTED_VALUE"""),103.31)</f>
        <v>103.31</v>
      </c>
      <c r="AM191" s="1">
        <f>IFERROR(__xludf.DUMMYFUNCTION("""COMPUTED_VALUE"""),649.0)</f>
        <v>649</v>
      </c>
      <c r="AN191" s="1">
        <f>IFERROR(__xludf.DUMMYFUNCTION("""COMPUTED_VALUE"""),407.14)</f>
        <v>407.14</v>
      </c>
      <c r="AO191" s="1">
        <f>IFERROR(__xludf.DUMMYFUNCTION("""COMPUTED_VALUE"""),129.22)</f>
        <v>129.22</v>
      </c>
      <c r="AP191" s="1">
        <f>IFERROR(__xludf.DUMMYFUNCTION("""COMPUTED_VALUE"""),166.56)</f>
        <v>166.56</v>
      </c>
      <c r="AQ191" s="3">
        <f>IFERROR(__xludf.DUMMYFUNCTION("""COMPUTED_VALUE"""),589.61)</f>
        <v>589.61</v>
      </c>
      <c r="AR191" s="3">
        <f>IFERROR(__xludf.DUMMYFUNCTION("""COMPUTED_VALUE"""),275.45)</f>
        <v>275.45</v>
      </c>
      <c r="AS191" s="3">
        <f>IFERROR(__xludf.DUMMYFUNCTION("""COMPUTED_VALUE"""),441.97)</f>
        <v>441.97</v>
      </c>
      <c r="AT191" s="3">
        <f>IFERROR(__xludf.DUMMYFUNCTION("""COMPUTED_VALUE"""),395.16)</f>
        <v>395.16</v>
      </c>
      <c r="AU191" s="1">
        <f>IFERROR(__xludf.DUMMYFUNCTION("""COMPUTED_VALUE"""),29.6)</f>
        <v>29.6</v>
      </c>
      <c r="AV191" s="1">
        <f>IFERROR(__xludf.DUMMYFUNCTION("""COMPUTED_VALUE"""),91.35)</f>
        <v>91.35</v>
      </c>
      <c r="AW191" s="1">
        <f>IFERROR(__xludf.DUMMYFUNCTION("""COMPUTED_VALUE"""),82.73)</f>
        <v>82.73</v>
      </c>
      <c r="AX191" s="3">
        <f>IFERROR(__xludf.DUMMYFUNCTION("""COMPUTED_VALUE"""),24.15)</f>
        <v>24.15</v>
      </c>
      <c r="AY191" s="1">
        <f>IFERROR(__xludf.DUMMYFUNCTION("""COMPUTED_VALUE"""),409.04)</f>
        <v>409.04</v>
      </c>
      <c r="AZ191" s="3">
        <f>IFERROR(__xludf.DUMMYFUNCTION("""COMPUTED_VALUE"""),69.28)</f>
        <v>69.28</v>
      </c>
      <c r="BA191" s="3">
        <f>IFERROR(__xludf.DUMMYFUNCTION("""COMPUTED_VALUE"""),102.66)</f>
        <v>102.66</v>
      </c>
      <c r="BB191" s="3">
        <f>IFERROR(__xludf.DUMMYFUNCTION("""COMPUTED_VALUE"""),131.14)</f>
        <v>131.14</v>
      </c>
      <c r="BC191" s="1">
        <f>IFERROR(__xludf.DUMMYFUNCTION("""COMPUTED_VALUE"""),96.74)</f>
        <v>96.74</v>
      </c>
      <c r="BD191" s="3">
        <f>IFERROR(__xludf.DUMMYFUNCTION("""COMPUTED_VALUE"""),54.04)</f>
        <v>54.04</v>
      </c>
      <c r="BE191" s="3">
        <f>IFERROR(__xludf.DUMMYFUNCTION("""COMPUTED_VALUE"""),117.39)</f>
        <v>117.39</v>
      </c>
      <c r="BF191" s="1">
        <f>IFERROR(__xludf.DUMMYFUNCTION("""COMPUTED_VALUE"""),76.27)</f>
        <v>76.27</v>
      </c>
      <c r="BG191" s="1">
        <f>IFERROR(__xludf.DUMMYFUNCTION("""COMPUTED_VALUE"""),25.47)</f>
        <v>25.47</v>
      </c>
      <c r="BH191" s="1">
        <f>IFERROR(__xludf.DUMMYFUNCTION("""COMPUTED_VALUE"""),126.78)</f>
        <v>126.78</v>
      </c>
      <c r="BI191" s="1">
        <f>IFERROR(__xludf.DUMMYFUNCTION("""COMPUTED_VALUE"""),42.0)</f>
        <v>42</v>
      </c>
      <c r="BJ191" s="1">
        <f>IFERROR(__xludf.DUMMYFUNCTION("""COMPUTED_VALUE"""),255.28)</f>
        <v>255.28</v>
      </c>
      <c r="BK191" s="1">
        <f>IFERROR(__xludf.DUMMYFUNCTION("""COMPUTED_VALUE"""),538.0)</f>
        <v>538</v>
      </c>
      <c r="BL191" s="1">
        <f>IFERROR(__xludf.DUMMYFUNCTION("""COMPUTED_VALUE"""),182.69)</f>
        <v>182.69</v>
      </c>
      <c r="BM191" s="1">
        <f>IFERROR(__xludf.DUMMYFUNCTION("""COMPUTED_VALUE"""),69.52)</f>
        <v>69.52</v>
      </c>
      <c r="BN191" s="3">
        <f>IFERROR(__xludf.DUMMYFUNCTION("""COMPUTED_VALUE"""),7.14)</f>
        <v>7.14</v>
      </c>
      <c r="BO191" s="1">
        <f>IFERROR(__xludf.DUMMYFUNCTION("""COMPUTED_VALUE"""),248.51)</f>
        <v>248.51</v>
      </c>
      <c r="BP191" s="1">
        <f>IFERROR(__xludf.DUMMYFUNCTION("""COMPUTED_VALUE"""),527.4)</f>
        <v>527.4</v>
      </c>
      <c r="BQ191" s="36">
        <f>IFERROR(__xludf.DUMMYFUNCTION("""COMPUTED_VALUE"""),48.89)</f>
        <v>48.89</v>
      </c>
      <c r="BR191" s="1">
        <f>IFERROR(__xludf.DUMMYFUNCTION("""COMPUTED_VALUE"""),10.6)</f>
        <v>10.6</v>
      </c>
      <c r="BS191" s="3">
        <f>IFERROR(__xludf.DUMMYFUNCTION("""COMPUTED_VALUE"""),227.4)</f>
        <v>227.4</v>
      </c>
      <c r="BT191" s="1">
        <f>IFERROR(__xludf.DUMMYFUNCTION("""COMPUTED_VALUE"""),109.23)</f>
        <v>109.23</v>
      </c>
      <c r="BU191" s="3">
        <v>1.0</v>
      </c>
    </row>
    <row r="192">
      <c r="A192" s="25">
        <f>IFERROR(__xludf.DUMMYFUNCTION("""COMPUTED_VALUE"""),45701.66666666667)</f>
        <v>45701.66667</v>
      </c>
      <c r="B192" s="29">
        <f>'Master Scratch Work'!B191</f>
        <v>1370322.71</v>
      </c>
      <c r="C192" s="15">
        <f>IFERROR(__xludf.DUMMYFUNCTION("""COMPUTED_VALUE"""),6115.07)</f>
        <v>6115.07</v>
      </c>
      <c r="D192" s="15">
        <f>IFERROR(__xludf.DUMMYFUNCTION("""COMPUTED_VALUE"""),19945.64)</f>
        <v>19945.64</v>
      </c>
      <c r="E192" s="15">
        <f>IFERROR(__xludf.DUMMYFUNCTION("""COMPUTED_VALUE"""),44711.43)</f>
        <v>44711.43</v>
      </c>
      <c r="F192" s="15">
        <f>IFERROR(__xludf.DUMMYFUNCTION("""COMPUTED_VALUE"""),2282.18)</f>
        <v>2282.18</v>
      </c>
      <c r="G192" s="3">
        <f>IFERROR(__xludf.DUMMYFUNCTION("""COMPUTED_VALUE"""),609.73)</f>
        <v>609.73</v>
      </c>
      <c r="H192" s="3">
        <f>IFERROR(__xludf.DUMMYFUNCTION("""COMPUTED_VALUE"""),535.9)</f>
        <v>535.9</v>
      </c>
      <c r="I192" s="3">
        <f>IFERROR(__xludf.DUMMYFUNCTION("""COMPUTED_VALUE"""),459.22)</f>
        <v>459.22</v>
      </c>
      <c r="J192" s="3">
        <f>IFERROR(__xludf.DUMMYFUNCTION("""COMPUTED_VALUE"""),230.37)</f>
        <v>230.37</v>
      </c>
      <c r="K192" s="3">
        <f>IFERROR(__xludf.DUMMYFUNCTION("""COMPUTED_VALUE"""),126.87)</f>
        <v>126.87</v>
      </c>
      <c r="L192" s="3">
        <f>IFERROR(__xludf.DUMMYFUNCTION("""COMPUTED_VALUE"""),241.53)</f>
        <v>241.53</v>
      </c>
      <c r="M192" s="3">
        <f>IFERROR(__xludf.DUMMYFUNCTION("""COMPUTED_VALUE"""),184.27)</f>
        <v>184.27</v>
      </c>
      <c r="N192" s="3">
        <f>IFERROR(__xludf.DUMMYFUNCTION("""COMPUTED_VALUE"""),86.88)</f>
        <v>86.88</v>
      </c>
      <c r="O192" s="3">
        <f>IFERROR(__xludf.DUMMYFUNCTION("""COMPUTED_VALUE"""),14.54)</f>
        <v>14.54</v>
      </c>
      <c r="P192" s="3">
        <f>IFERROR(__xludf.DUMMYFUNCTION("""COMPUTED_VALUE"""),480.49)</f>
        <v>480.49</v>
      </c>
      <c r="Q192" s="3">
        <f>IFERROR(__xludf.DUMMYFUNCTION("""COMPUTED_VALUE"""),51.83)</f>
        <v>51.83</v>
      </c>
      <c r="R192" s="3">
        <f>IFERROR(__xludf.DUMMYFUNCTION("""COMPUTED_VALUE"""),138.45)</f>
        <v>138.45</v>
      </c>
      <c r="S192" s="3">
        <f>IFERROR(__xludf.DUMMYFUNCTION("""COMPUTED_VALUE"""),106.14)</f>
        <v>106.14</v>
      </c>
      <c r="T192" s="3">
        <f>IFERROR(__xludf.DUMMYFUNCTION("""COMPUTED_VALUE"""),63.67)</f>
        <v>63.67</v>
      </c>
      <c r="U192" s="3">
        <f>IFERROR(__xludf.DUMMYFUNCTION("""COMPUTED_VALUE"""),353.7)</f>
        <v>353.7</v>
      </c>
      <c r="V192" s="3">
        <f>IFERROR(__xludf.DUMMYFUNCTION("""COMPUTED_VALUE"""),49.08)</f>
        <v>49.08</v>
      </c>
      <c r="W192" s="3">
        <f>IFERROR(__xludf.DUMMYFUNCTION("""COMPUTED_VALUE"""),221.12)</f>
        <v>221.12</v>
      </c>
      <c r="X192" s="3">
        <f>IFERROR(__xludf.DUMMYFUNCTION("""COMPUTED_VALUE"""),155.88)</f>
        <v>155.88</v>
      </c>
      <c r="Y192" s="1">
        <f>IFERROR(__xludf.DUMMYFUNCTION("""COMPUTED_VALUE"""),299.82)</f>
        <v>299.82</v>
      </c>
      <c r="Z192" s="1">
        <f>IFERROR(__xludf.DUMMYFUNCTION("""COMPUTED_VALUE"""),46.05)</f>
        <v>46.05</v>
      </c>
      <c r="AA192" s="1">
        <f>IFERROR(__xludf.DUMMYFUNCTION("""COMPUTED_VALUE"""),69.5)</f>
        <v>69.5</v>
      </c>
      <c r="AB192" s="1">
        <f>IFERROR(__xludf.DUMMYFUNCTION("""COMPUTED_VALUE"""),95.66)</f>
        <v>95.66</v>
      </c>
      <c r="AC192" s="1">
        <f>IFERROR(__xludf.DUMMYFUNCTION("""COMPUTED_VALUE"""),164.81)</f>
        <v>164.81</v>
      </c>
      <c r="AD192" s="3">
        <f>IFERROR(__xludf.DUMMYFUNCTION("""COMPUTED_VALUE"""),72.01)</f>
        <v>72.01</v>
      </c>
      <c r="AE192" s="1">
        <f>IFERROR(__xludf.DUMMYFUNCTION("""COMPUTED_VALUE"""),479.88)</f>
        <v>479.88</v>
      </c>
      <c r="AF192" s="1">
        <f>IFERROR(__xludf.DUMMYFUNCTION("""COMPUTED_VALUE"""),69.26)</f>
        <v>69.26</v>
      </c>
      <c r="AG192" s="1">
        <f>IFERROR(__xludf.DUMMYFUNCTION("""COMPUTED_VALUE"""),108.13)</f>
        <v>108.13</v>
      </c>
      <c r="AH192" s="1">
        <f>IFERROR(__xludf.DUMMYFUNCTION("""COMPUTED_VALUE"""),263.12)</f>
        <v>263.12</v>
      </c>
      <c r="AI192" s="1">
        <f>IFERROR(__xludf.DUMMYFUNCTION("""COMPUTED_VALUE"""),490.45)</f>
        <v>490.45</v>
      </c>
      <c r="AJ192" s="1">
        <f>IFERROR(__xludf.DUMMYFUNCTION("""COMPUTED_VALUE"""),246.16)</f>
        <v>246.16</v>
      </c>
      <c r="AK192" s="1">
        <f>IFERROR(__xludf.DUMMYFUNCTION("""COMPUTED_VALUE"""),47.89)</f>
        <v>47.89</v>
      </c>
      <c r="AL192" s="1">
        <f>IFERROR(__xludf.DUMMYFUNCTION("""COMPUTED_VALUE"""),105.96)</f>
        <v>105.96</v>
      </c>
      <c r="AM192" s="1">
        <f>IFERROR(__xludf.DUMMYFUNCTION("""COMPUTED_VALUE"""),648.95)</f>
        <v>648.95</v>
      </c>
      <c r="AN192" s="1">
        <f>IFERROR(__xludf.DUMMYFUNCTION("""COMPUTED_VALUE"""),412.43)</f>
        <v>412.43</v>
      </c>
      <c r="AO192" s="1">
        <f>IFERROR(__xludf.DUMMYFUNCTION("""COMPUTED_VALUE"""),130.36)</f>
        <v>130.36</v>
      </c>
      <c r="AP192" s="1">
        <f>IFERROR(__xludf.DUMMYFUNCTION("""COMPUTED_VALUE"""),168.57)</f>
        <v>168.57</v>
      </c>
      <c r="AQ192" s="3">
        <f>IFERROR(__xludf.DUMMYFUNCTION("""COMPUTED_VALUE"""),591.39)</f>
        <v>591.39</v>
      </c>
      <c r="AR192" s="3">
        <f>IFERROR(__xludf.DUMMYFUNCTION("""COMPUTED_VALUE"""),276.32)</f>
        <v>276.32</v>
      </c>
      <c r="AS192" s="3">
        <f>IFERROR(__xludf.DUMMYFUNCTION("""COMPUTED_VALUE"""),434.72)</f>
        <v>434.72</v>
      </c>
      <c r="AT192" s="3">
        <f>IFERROR(__xludf.DUMMYFUNCTION("""COMPUTED_VALUE"""),390.85)</f>
        <v>390.85</v>
      </c>
      <c r="AU192" s="1">
        <f>IFERROR(__xludf.DUMMYFUNCTION("""COMPUTED_VALUE"""),29.64)</f>
        <v>29.64</v>
      </c>
      <c r="AV192" s="1">
        <f>IFERROR(__xludf.DUMMYFUNCTION("""COMPUTED_VALUE"""),92.2)</f>
        <v>92.2</v>
      </c>
      <c r="AW192" s="1">
        <f>IFERROR(__xludf.DUMMYFUNCTION("""COMPUTED_VALUE"""),82.34)</f>
        <v>82.34</v>
      </c>
      <c r="AX192" s="3">
        <f>IFERROR(__xludf.DUMMYFUNCTION("""COMPUTED_VALUE"""),24.38)</f>
        <v>24.38</v>
      </c>
      <c r="AY192" s="1">
        <f>IFERROR(__xludf.DUMMYFUNCTION("""COMPUTED_VALUE"""),410.54)</f>
        <v>410.54</v>
      </c>
      <c r="AZ192" s="3">
        <f>IFERROR(__xludf.DUMMYFUNCTION("""COMPUTED_VALUE"""),68.6)</f>
        <v>68.6</v>
      </c>
      <c r="BA192" s="3">
        <f>IFERROR(__xludf.DUMMYFUNCTION("""COMPUTED_VALUE"""),106.25)</f>
        <v>106.25</v>
      </c>
      <c r="BB192" s="3">
        <f>IFERROR(__xludf.DUMMYFUNCTION("""COMPUTED_VALUE"""),135.29)</f>
        <v>135.29</v>
      </c>
      <c r="BC192" s="1">
        <f>IFERROR(__xludf.DUMMYFUNCTION("""COMPUTED_VALUE"""),98.02)</f>
        <v>98.02</v>
      </c>
      <c r="BD192" s="3">
        <f>IFERROR(__xludf.DUMMYFUNCTION("""COMPUTED_VALUE"""),52.37)</f>
        <v>52.37</v>
      </c>
      <c r="BE192" s="3">
        <f>IFERROR(__xludf.DUMMYFUNCTION("""COMPUTED_VALUE"""),117.91)</f>
        <v>117.91</v>
      </c>
      <c r="BF192" s="1">
        <f>IFERROR(__xludf.DUMMYFUNCTION("""COMPUTED_VALUE"""),76.59)</f>
        <v>76.59</v>
      </c>
      <c r="BG192" s="1">
        <f>IFERROR(__xludf.DUMMYFUNCTION("""COMPUTED_VALUE"""),25.64)</f>
        <v>25.64</v>
      </c>
      <c r="BH192" s="1">
        <f>IFERROR(__xludf.DUMMYFUNCTION("""COMPUTED_VALUE"""),125.84)</f>
        <v>125.84</v>
      </c>
      <c r="BI192" s="1">
        <f>IFERROR(__xludf.DUMMYFUNCTION("""COMPUTED_VALUE"""),41.32)</f>
        <v>41.32</v>
      </c>
      <c r="BJ192" s="1">
        <f>IFERROR(__xludf.DUMMYFUNCTION("""COMPUTED_VALUE"""),265.08)</f>
        <v>265.08</v>
      </c>
      <c r="BK192" s="1">
        <f>IFERROR(__xludf.DUMMYFUNCTION("""COMPUTED_VALUE"""),532.64)</f>
        <v>532.64</v>
      </c>
      <c r="BL192" s="1">
        <f>IFERROR(__xludf.DUMMYFUNCTION("""COMPUTED_VALUE"""),184.01)</f>
        <v>184.01</v>
      </c>
      <c r="BM192" s="1">
        <f>IFERROR(__xludf.DUMMYFUNCTION("""COMPUTED_VALUE"""),71.22)</f>
        <v>71.22</v>
      </c>
      <c r="BN192" s="3">
        <f>IFERROR(__xludf.DUMMYFUNCTION("""COMPUTED_VALUE"""),7.28)</f>
        <v>7.28</v>
      </c>
      <c r="BO192" s="1">
        <f>IFERROR(__xludf.DUMMYFUNCTION("""COMPUTED_VALUE"""),250.97)</f>
        <v>250.97</v>
      </c>
      <c r="BP192" s="1">
        <f>IFERROR(__xludf.DUMMYFUNCTION("""COMPUTED_VALUE"""),531.18)</f>
        <v>531.18</v>
      </c>
      <c r="BQ192" s="36">
        <f>IFERROR(__xludf.DUMMYFUNCTION("""COMPUTED_VALUE"""),48.98)</f>
        <v>48.98</v>
      </c>
      <c r="BR192" s="1">
        <f>IFERROR(__xludf.DUMMYFUNCTION("""COMPUTED_VALUE"""),10.8)</f>
        <v>10.8</v>
      </c>
      <c r="BS192" s="3">
        <f>IFERROR(__xludf.DUMMYFUNCTION("""COMPUTED_VALUE"""),227.6)</f>
        <v>227.6</v>
      </c>
      <c r="BT192" s="1">
        <f>IFERROR(__xludf.DUMMYFUNCTION("""COMPUTED_VALUE"""),109.59)</f>
        <v>109.59</v>
      </c>
      <c r="BU192" s="3">
        <v>1.0</v>
      </c>
    </row>
    <row r="193">
      <c r="A193" s="25">
        <f>IFERROR(__xludf.DUMMYFUNCTION("""COMPUTED_VALUE"""),45702.66666666667)</f>
        <v>45702.66667</v>
      </c>
      <c r="B193" s="29">
        <f>'Master Scratch Work'!B192</f>
        <v>1367838.53</v>
      </c>
      <c r="C193" s="15">
        <f>IFERROR(__xludf.DUMMYFUNCTION("""COMPUTED_VALUE"""),6114.63)</f>
        <v>6114.63</v>
      </c>
      <c r="D193" s="15">
        <f>IFERROR(__xludf.DUMMYFUNCTION("""COMPUTED_VALUE"""),20026.77)</f>
        <v>20026.77</v>
      </c>
      <c r="E193" s="15">
        <f>IFERROR(__xludf.DUMMYFUNCTION("""COMPUTED_VALUE"""),44546.08)</f>
        <v>44546.08</v>
      </c>
      <c r="F193" s="15">
        <f>IFERROR(__xludf.DUMMYFUNCTION("""COMPUTED_VALUE"""),2279.98)</f>
        <v>2279.98</v>
      </c>
      <c r="G193" s="3">
        <f>IFERROR(__xludf.DUMMYFUNCTION("""COMPUTED_VALUE"""),609.7)</f>
        <v>609.7</v>
      </c>
      <c r="H193" s="3">
        <f>IFERROR(__xludf.DUMMYFUNCTION("""COMPUTED_VALUE"""),538.15)</f>
        <v>538.15</v>
      </c>
      <c r="I193" s="3">
        <f>IFERROR(__xludf.DUMMYFUNCTION("""COMPUTED_VALUE"""),460.16)</f>
        <v>460.16</v>
      </c>
      <c r="J193" s="3">
        <f>IFERROR(__xludf.DUMMYFUNCTION("""COMPUTED_VALUE"""),228.68)</f>
        <v>228.68</v>
      </c>
      <c r="K193" s="3">
        <f>IFERROR(__xludf.DUMMYFUNCTION("""COMPUTED_VALUE"""),125.66)</f>
        <v>125.66</v>
      </c>
      <c r="L193" s="3">
        <f>IFERROR(__xludf.DUMMYFUNCTION("""COMPUTED_VALUE"""),244.6)</f>
        <v>244.6</v>
      </c>
      <c r="M193" s="3">
        <f>IFERROR(__xludf.DUMMYFUNCTION("""COMPUTED_VALUE"""),169.2)</f>
        <v>169.2</v>
      </c>
      <c r="N193" s="3">
        <f>IFERROR(__xludf.DUMMYFUNCTION("""COMPUTED_VALUE"""),87.84)</f>
        <v>87.84</v>
      </c>
      <c r="O193" s="3">
        <f>IFERROR(__xludf.DUMMYFUNCTION("""COMPUTED_VALUE"""),14.88)</f>
        <v>14.88</v>
      </c>
      <c r="P193" s="3">
        <f>IFERROR(__xludf.DUMMYFUNCTION("""COMPUTED_VALUE"""),479.59)</f>
        <v>479.59</v>
      </c>
      <c r="Q193" s="3">
        <f>IFERROR(__xludf.DUMMYFUNCTION("""COMPUTED_VALUE"""),51.55)</f>
        <v>51.55</v>
      </c>
      <c r="R193" s="3">
        <f>IFERROR(__xludf.DUMMYFUNCTION("""COMPUTED_VALUE"""),137.33)</f>
        <v>137.33</v>
      </c>
      <c r="S193" s="3">
        <f>IFERROR(__xludf.DUMMYFUNCTION("""COMPUTED_VALUE"""),106.11)</f>
        <v>106.11</v>
      </c>
      <c r="T193" s="3">
        <f>IFERROR(__xludf.DUMMYFUNCTION("""COMPUTED_VALUE"""),65.13)</f>
        <v>65.13</v>
      </c>
      <c r="U193" s="3">
        <f>IFERROR(__xludf.DUMMYFUNCTION("""COMPUTED_VALUE"""),353.32)</f>
        <v>353.32</v>
      </c>
      <c r="V193" s="3">
        <f>IFERROR(__xludf.DUMMYFUNCTION("""COMPUTED_VALUE"""),47.19)</f>
        <v>47.19</v>
      </c>
      <c r="W193" s="3">
        <f>IFERROR(__xludf.DUMMYFUNCTION("""COMPUTED_VALUE"""),222.09)</f>
        <v>222.09</v>
      </c>
      <c r="X193" s="3">
        <f>IFERROR(__xludf.DUMMYFUNCTION("""COMPUTED_VALUE"""),155.34)</f>
        <v>155.34</v>
      </c>
      <c r="Y193" s="1">
        <f>IFERROR(__xludf.DUMMYFUNCTION("""COMPUTED_VALUE"""),292.32)</f>
        <v>292.32</v>
      </c>
      <c r="Z193" s="1">
        <f>IFERROR(__xludf.DUMMYFUNCTION("""COMPUTED_VALUE"""),46.35)</f>
        <v>46.35</v>
      </c>
      <c r="AA193" s="1">
        <f>IFERROR(__xludf.DUMMYFUNCTION("""COMPUTED_VALUE"""),68.87)</f>
        <v>68.87</v>
      </c>
      <c r="AB193" s="1">
        <f>IFERROR(__xludf.DUMMYFUNCTION("""COMPUTED_VALUE"""),94.92)</f>
        <v>94.92</v>
      </c>
      <c r="AC193" s="1">
        <f>IFERROR(__xludf.DUMMYFUNCTION("""COMPUTED_VALUE"""),164.28)</f>
        <v>164.28</v>
      </c>
      <c r="AD193" s="3">
        <f>IFERROR(__xludf.DUMMYFUNCTION("""COMPUTED_VALUE"""),71.56)</f>
        <v>71.56</v>
      </c>
      <c r="AE193" s="1">
        <f>IFERROR(__xludf.DUMMYFUNCTION("""COMPUTED_VALUE"""),476.66)</f>
        <v>476.66</v>
      </c>
      <c r="AF193" s="1">
        <f>IFERROR(__xludf.DUMMYFUNCTION("""COMPUTED_VALUE"""),69.9)</f>
        <v>69.9</v>
      </c>
      <c r="AG193" s="1">
        <f>IFERROR(__xludf.DUMMYFUNCTION("""COMPUTED_VALUE"""),108.24)</f>
        <v>108.24</v>
      </c>
      <c r="AH193" s="1">
        <f>IFERROR(__xludf.DUMMYFUNCTION("""COMPUTED_VALUE"""),267.77)</f>
        <v>267.77</v>
      </c>
      <c r="AI193" s="1">
        <f>IFERROR(__xludf.DUMMYFUNCTION("""COMPUTED_VALUE"""),503.84)</f>
        <v>503.84</v>
      </c>
      <c r="AJ193" s="1">
        <f>IFERROR(__xludf.DUMMYFUNCTION("""COMPUTED_VALUE"""),241.94)</f>
        <v>241.94</v>
      </c>
      <c r="AK193" s="1">
        <f>IFERROR(__xludf.DUMMYFUNCTION("""COMPUTED_VALUE"""),48.37)</f>
        <v>48.37</v>
      </c>
      <c r="AL193" s="1">
        <f>IFERROR(__xludf.DUMMYFUNCTION("""COMPUTED_VALUE"""),104.08)</f>
        <v>104.08</v>
      </c>
      <c r="AM193" s="1">
        <f>IFERROR(__xludf.DUMMYFUNCTION("""COMPUTED_VALUE"""),660.55)</f>
        <v>660.55</v>
      </c>
      <c r="AN193" s="1">
        <f>IFERROR(__xludf.DUMMYFUNCTION("""COMPUTED_VALUE"""),409.5)</f>
        <v>409.5</v>
      </c>
      <c r="AO193" s="1">
        <f>IFERROR(__xludf.DUMMYFUNCTION("""COMPUTED_VALUE"""),128.54)</f>
        <v>128.54</v>
      </c>
      <c r="AP193" s="1">
        <f>IFERROR(__xludf.DUMMYFUNCTION("""COMPUTED_VALUE"""),166.71)</f>
        <v>166.71</v>
      </c>
      <c r="AQ193" s="3">
        <f>IFERROR(__xludf.DUMMYFUNCTION("""COMPUTED_VALUE"""),595.55)</f>
        <v>595.55</v>
      </c>
      <c r="AR193" s="3">
        <f>IFERROR(__xludf.DUMMYFUNCTION("""COMPUTED_VALUE"""),276.59)</f>
        <v>276.59</v>
      </c>
      <c r="AS193" s="3">
        <f>IFERROR(__xludf.DUMMYFUNCTION("""COMPUTED_VALUE"""),423.19)</f>
        <v>423.19</v>
      </c>
      <c r="AT193" s="3">
        <f>IFERROR(__xludf.DUMMYFUNCTION("""COMPUTED_VALUE"""),366.68)</f>
        <v>366.68</v>
      </c>
      <c r="AU193" s="1">
        <f>IFERROR(__xludf.DUMMYFUNCTION("""COMPUTED_VALUE"""),29.69)</f>
        <v>29.69</v>
      </c>
      <c r="AV193" s="1">
        <f>IFERROR(__xludf.DUMMYFUNCTION("""COMPUTED_VALUE"""),92.81)</f>
        <v>92.81</v>
      </c>
      <c r="AW193" s="1">
        <f>IFERROR(__xludf.DUMMYFUNCTION("""COMPUTED_VALUE"""),81.7)</f>
        <v>81.7</v>
      </c>
      <c r="AX193" s="3">
        <f>IFERROR(__xludf.DUMMYFUNCTION("""COMPUTED_VALUE"""),23.72)</f>
        <v>23.72</v>
      </c>
      <c r="AY193" s="1">
        <f>IFERROR(__xludf.DUMMYFUNCTION("""COMPUTED_VALUE"""),408.43)</f>
        <v>408.43</v>
      </c>
      <c r="AZ193" s="3">
        <f>IFERROR(__xludf.DUMMYFUNCTION("""COMPUTED_VALUE"""),68.06)</f>
        <v>68.06</v>
      </c>
      <c r="BA193" s="3">
        <f>IFERROR(__xludf.DUMMYFUNCTION("""COMPUTED_VALUE"""),107.6)</f>
        <v>107.6</v>
      </c>
      <c r="BB193" s="3">
        <f>IFERROR(__xludf.DUMMYFUNCTION("""COMPUTED_VALUE"""),138.85)</f>
        <v>138.85</v>
      </c>
      <c r="BC193" s="1">
        <f>IFERROR(__xludf.DUMMYFUNCTION("""COMPUTED_VALUE"""),96.74)</f>
        <v>96.74</v>
      </c>
      <c r="BD193" s="3">
        <f>IFERROR(__xludf.DUMMYFUNCTION("""COMPUTED_VALUE"""),52.03)</f>
        <v>52.03</v>
      </c>
      <c r="BE193" s="3">
        <f>IFERROR(__xludf.DUMMYFUNCTION("""COMPUTED_VALUE"""),119.16)</f>
        <v>119.16</v>
      </c>
      <c r="BF193" s="1">
        <f>IFERROR(__xludf.DUMMYFUNCTION("""COMPUTED_VALUE"""),77.97)</f>
        <v>77.97</v>
      </c>
      <c r="BG193" s="1">
        <f>IFERROR(__xludf.DUMMYFUNCTION("""COMPUTED_VALUE"""),25.53)</f>
        <v>25.53</v>
      </c>
      <c r="BH193" s="1">
        <f>IFERROR(__xludf.DUMMYFUNCTION("""COMPUTED_VALUE"""),122.41)</f>
        <v>122.41</v>
      </c>
      <c r="BI193" s="1">
        <f>IFERROR(__xludf.DUMMYFUNCTION("""COMPUTED_VALUE"""),40.67)</f>
        <v>40.67</v>
      </c>
      <c r="BJ193" s="1">
        <f>IFERROR(__xludf.DUMMYFUNCTION("""COMPUTED_VALUE"""),270.82)</f>
        <v>270.82</v>
      </c>
      <c r="BK193" s="1">
        <f>IFERROR(__xludf.DUMMYFUNCTION("""COMPUTED_VALUE"""),531.85)</f>
        <v>531.85</v>
      </c>
      <c r="BL193" s="1">
        <f>IFERROR(__xludf.DUMMYFUNCTION("""COMPUTED_VALUE"""),184.24)</f>
        <v>184.24</v>
      </c>
      <c r="BM193" s="1">
        <f>IFERROR(__xludf.DUMMYFUNCTION("""COMPUTED_VALUE"""),72.18)</f>
        <v>72.18</v>
      </c>
      <c r="BN193" s="3">
        <f>IFERROR(__xludf.DUMMYFUNCTION("""COMPUTED_VALUE"""),7.1)</f>
        <v>7.1</v>
      </c>
      <c r="BO193" s="1">
        <f>IFERROR(__xludf.DUMMYFUNCTION("""COMPUTED_VALUE"""),249.22)</f>
        <v>249.22</v>
      </c>
      <c r="BP193" s="1">
        <f>IFERROR(__xludf.DUMMYFUNCTION("""COMPUTED_VALUE"""),523.51)</f>
        <v>523.51</v>
      </c>
      <c r="BQ193" s="36">
        <f>IFERROR(__xludf.DUMMYFUNCTION("""COMPUTED_VALUE"""),49.03)</f>
        <v>49.03</v>
      </c>
      <c r="BR193" s="1">
        <f>IFERROR(__xludf.DUMMYFUNCTION("""COMPUTED_VALUE"""),10.8)</f>
        <v>10.8</v>
      </c>
      <c r="BS193" s="3">
        <f>IFERROR(__xludf.DUMMYFUNCTION("""COMPUTED_VALUE"""),227.73)</f>
        <v>227.73</v>
      </c>
      <c r="BT193" s="1">
        <f>IFERROR(__xludf.DUMMYFUNCTION("""COMPUTED_VALUE"""),110.38)</f>
        <v>110.38</v>
      </c>
      <c r="BU193" s="3">
        <v>1.0</v>
      </c>
    </row>
    <row r="194">
      <c r="A194" s="25">
        <f>IFERROR(__xludf.DUMMYFUNCTION("""COMPUTED_VALUE"""),45706.66666666667)</f>
        <v>45706.66667</v>
      </c>
      <c r="B194" s="29">
        <f>'Master Scratch Work'!B193</f>
        <v>1371126.32</v>
      </c>
      <c r="C194" s="15">
        <f>IFERROR(__xludf.DUMMYFUNCTION("""COMPUTED_VALUE"""),6129.58)</f>
        <v>6129.58</v>
      </c>
      <c r="D194" s="15">
        <f>IFERROR(__xludf.DUMMYFUNCTION("""COMPUTED_VALUE"""),20041.26)</f>
        <v>20041.26</v>
      </c>
      <c r="E194" s="15">
        <f>IFERROR(__xludf.DUMMYFUNCTION("""COMPUTED_VALUE"""),44556.34)</f>
        <v>44556.34</v>
      </c>
      <c r="F194" s="15">
        <f>IFERROR(__xludf.DUMMYFUNCTION("""COMPUTED_VALUE"""),2290.35)</f>
        <v>2290.35</v>
      </c>
      <c r="G194" s="3">
        <f>IFERROR(__xludf.DUMMYFUNCTION("""COMPUTED_VALUE"""),611.49)</f>
        <v>611.49</v>
      </c>
      <c r="H194" s="3">
        <f>IFERROR(__xludf.DUMMYFUNCTION("""COMPUTED_VALUE"""),539.37)</f>
        <v>539.37</v>
      </c>
      <c r="I194" s="3">
        <f>IFERROR(__xludf.DUMMYFUNCTION("""COMPUTED_VALUE"""),464.11)</f>
        <v>464.11</v>
      </c>
      <c r="J194" s="3">
        <f>IFERROR(__xludf.DUMMYFUNCTION("""COMPUTED_VALUE"""),226.65)</f>
        <v>226.65</v>
      </c>
      <c r="K194" s="3">
        <f>IFERROR(__xludf.DUMMYFUNCTION("""COMPUTED_VALUE"""),127.17)</f>
        <v>127.17</v>
      </c>
      <c r="L194" s="3">
        <f>IFERROR(__xludf.DUMMYFUNCTION("""COMPUTED_VALUE"""),244.47)</f>
        <v>244.47</v>
      </c>
      <c r="M194" s="3">
        <f>IFERROR(__xludf.DUMMYFUNCTION("""COMPUTED_VALUE"""),172.0)</f>
        <v>172</v>
      </c>
      <c r="N194" s="3">
        <f>IFERROR(__xludf.DUMMYFUNCTION("""COMPUTED_VALUE"""),88.9)</f>
        <v>88.9</v>
      </c>
      <c r="O194" s="3">
        <f>IFERROR(__xludf.DUMMYFUNCTION("""COMPUTED_VALUE"""),15.65)</f>
        <v>15.65</v>
      </c>
      <c r="P194" s="3">
        <f>IFERROR(__xludf.DUMMYFUNCTION("""COMPUTED_VALUE"""),482.82)</f>
        <v>482.82</v>
      </c>
      <c r="Q194" s="3">
        <f>IFERROR(__xludf.DUMMYFUNCTION("""COMPUTED_VALUE"""),51.94)</f>
        <v>51.94</v>
      </c>
      <c r="R194" s="3">
        <f>IFERROR(__xludf.DUMMYFUNCTION("""COMPUTED_VALUE"""),136.57)</f>
        <v>136.57</v>
      </c>
      <c r="S194" s="3">
        <f>IFERROR(__xludf.DUMMYFUNCTION("""COMPUTED_VALUE"""),105.35)</f>
        <v>105.35</v>
      </c>
      <c r="T194" s="3">
        <f>IFERROR(__xludf.DUMMYFUNCTION("""COMPUTED_VALUE"""),66.59)</f>
        <v>66.59</v>
      </c>
      <c r="U194" s="3">
        <f>IFERROR(__xludf.DUMMYFUNCTION("""COMPUTED_VALUE"""),354.0)</f>
        <v>354</v>
      </c>
      <c r="V194" s="3">
        <f>IFERROR(__xludf.DUMMYFUNCTION("""COMPUTED_VALUE"""),47.92)</f>
        <v>47.92</v>
      </c>
      <c r="W194" s="3">
        <f>IFERROR(__xludf.DUMMYFUNCTION("""COMPUTED_VALUE"""),220.46)</f>
        <v>220.46</v>
      </c>
      <c r="X194" s="3">
        <f>IFERROR(__xludf.DUMMYFUNCTION("""COMPUTED_VALUE"""),156.16)</f>
        <v>156.16</v>
      </c>
      <c r="Y194" s="1">
        <f>IFERROR(__xludf.DUMMYFUNCTION("""COMPUTED_VALUE"""),294.75)</f>
        <v>294.75</v>
      </c>
      <c r="Z194" s="1">
        <f>IFERROR(__xludf.DUMMYFUNCTION("""COMPUTED_VALUE"""),46.8)</f>
        <v>46.8</v>
      </c>
      <c r="AA194" s="1">
        <f>IFERROR(__xludf.DUMMYFUNCTION("""COMPUTED_VALUE"""),69.05)</f>
        <v>69.05</v>
      </c>
      <c r="AB194" s="1">
        <f>IFERROR(__xludf.DUMMYFUNCTION("""COMPUTED_VALUE"""),95.76)</f>
        <v>95.76</v>
      </c>
      <c r="AC194" s="1">
        <f>IFERROR(__xludf.DUMMYFUNCTION("""COMPUTED_VALUE"""),165.65)</f>
        <v>165.65</v>
      </c>
      <c r="AD194" s="3">
        <f>IFERROR(__xludf.DUMMYFUNCTION("""COMPUTED_VALUE"""),74.52)</f>
        <v>74.52</v>
      </c>
      <c r="AE194" s="1">
        <f>IFERROR(__xludf.DUMMYFUNCTION("""COMPUTED_VALUE"""),477.53)</f>
        <v>477.53</v>
      </c>
      <c r="AF194" s="1">
        <f>IFERROR(__xludf.DUMMYFUNCTION("""COMPUTED_VALUE"""),69.79)</f>
        <v>69.79</v>
      </c>
      <c r="AG194" s="1">
        <f>IFERROR(__xludf.DUMMYFUNCTION("""COMPUTED_VALUE"""),110.14)</f>
        <v>110.14</v>
      </c>
      <c r="AH194" s="1">
        <f>IFERROR(__xludf.DUMMYFUNCTION("""COMPUTED_VALUE"""),267.45)</f>
        <v>267.45</v>
      </c>
      <c r="AI194" s="1">
        <f>IFERROR(__xludf.DUMMYFUNCTION("""COMPUTED_VALUE"""),504.69)</f>
        <v>504.69</v>
      </c>
      <c r="AJ194" s="1">
        <f>IFERROR(__xludf.DUMMYFUNCTION("""COMPUTED_VALUE"""),242.6)</f>
        <v>242.6</v>
      </c>
      <c r="AK194" s="1">
        <f>IFERROR(__xludf.DUMMYFUNCTION("""COMPUTED_VALUE"""),48.13)</f>
        <v>48.13</v>
      </c>
      <c r="AL194" s="1">
        <f>IFERROR(__xludf.DUMMYFUNCTION("""COMPUTED_VALUE"""),105.25)</f>
        <v>105.25</v>
      </c>
      <c r="AM194" s="1">
        <f>IFERROR(__xludf.DUMMYFUNCTION("""COMPUTED_VALUE"""),672.19)</f>
        <v>672.19</v>
      </c>
      <c r="AN194" s="1">
        <f>IFERROR(__xludf.DUMMYFUNCTION("""COMPUTED_VALUE"""),403.31)</f>
        <v>403.31</v>
      </c>
      <c r="AO194" s="1">
        <f>IFERROR(__xludf.DUMMYFUNCTION("""COMPUTED_VALUE"""),129.78)</f>
        <v>129.78</v>
      </c>
      <c r="AP194" s="1">
        <f>IFERROR(__xludf.DUMMYFUNCTION("""COMPUTED_VALUE"""),166.5)</f>
        <v>166.5</v>
      </c>
      <c r="AQ194" s="3">
        <f>IFERROR(__xludf.DUMMYFUNCTION("""COMPUTED_VALUE"""),600.89)</f>
        <v>600.89</v>
      </c>
      <c r="AR194" s="3">
        <f>IFERROR(__xludf.DUMMYFUNCTION("""COMPUTED_VALUE"""),279.95)</f>
        <v>279.95</v>
      </c>
      <c r="AS194" s="3">
        <f>IFERROR(__xludf.DUMMYFUNCTION("""COMPUTED_VALUE"""),428.54)</f>
        <v>428.54</v>
      </c>
      <c r="AT194" s="3">
        <f>IFERROR(__xludf.DUMMYFUNCTION("""COMPUTED_VALUE"""),372.44)</f>
        <v>372.44</v>
      </c>
      <c r="AU194" s="1">
        <f>IFERROR(__xludf.DUMMYFUNCTION("""COMPUTED_VALUE"""),30.01)</f>
        <v>30.01</v>
      </c>
      <c r="AV194" s="1">
        <f>IFERROR(__xludf.DUMMYFUNCTION("""COMPUTED_VALUE"""),86.07)</f>
        <v>86.07</v>
      </c>
      <c r="AW194" s="1">
        <f>IFERROR(__xludf.DUMMYFUNCTION("""COMPUTED_VALUE"""),82.43)</f>
        <v>82.43</v>
      </c>
      <c r="AX194" s="3">
        <f>IFERROR(__xludf.DUMMYFUNCTION("""COMPUTED_VALUE"""),23.45)</f>
        <v>23.45</v>
      </c>
      <c r="AY194" s="1">
        <f>IFERROR(__xludf.DUMMYFUNCTION("""COMPUTED_VALUE"""),409.64)</f>
        <v>409.64</v>
      </c>
      <c r="AZ194" s="3">
        <f>IFERROR(__xludf.DUMMYFUNCTION("""COMPUTED_VALUE"""),68.5)</f>
        <v>68.5</v>
      </c>
      <c r="BA194" s="3">
        <f>IFERROR(__xludf.DUMMYFUNCTION("""COMPUTED_VALUE"""),111.91)</f>
        <v>111.91</v>
      </c>
      <c r="BB194" s="3">
        <f>IFERROR(__xludf.DUMMYFUNCTION("""COMPUTED_VALUE"""),139.4)</f>
        <v>139.4</v>
      </c>
      <c r="BC194" s="1">
        <f>IFERROR(__xludf.DUMMYFUNCTION("""COMPUTED_VALUE"""),97.61)</f>
        <v>97.61</v>
      </c>
      <c r="BD194" s="3">
        <f>IFERROR(__xludf.DUMMYFUNCTION("""COMPUTED_VALUE"""),53.36)</f>
        <v>53.36</v>
      </c>
      <c r="BE194" s="3">
        <f>IFERROR(__xludf.DUMMYFUNCTION("""COMPUTED_VALUE"""),124.62)</f>
        <v>124.62</v>
      </c>
      <c r="BF194" s="1">
        <f>IFERROR(__xludf.DUMMYFUNCTION("""COMPUTED_VALUE"""),78.62)</f>
        <v>78.62</v>
      </c>
      <c r="BG194" s="1">
        <f>IFERROR(__xludf.DUMMYFUNCTION("""COMPUTED_VALUE"""),25.56)</f>
        <v>25.56</v>
      </c>
      <c r="BH194" s="1">
        <f>IFERROR(__xludf.DUMMYFUNCTION("""COMPUTED_VALUE"""),123.76)</f>
        <v>123.76</v>
      </c>
      <c r="BI194" s="1">
        <f>IFERROR(__xludf.DUMMYFUNCTION("""COMPUTED_VALUE"""),41.47)</f>
        <v>41.47</v>
      </c>
      <c r="BJ194" s="1">
        <f>IFERROR(__xludf.DUMMYFUNCTION("""COMPUTED_VALUE"""),263.21)</f>
        <v>263.21</v>
      </c>
      <c r="BK194" s="1">
        <f>IFERROR(__xludf.DUMMYFUNCTION("""COMPUTED_VALUE"""),523.09)</f>
        <v>523.09</v>
      </c>
      <c r="BL194" s="1">
        <f>IFERROR(__xludf.DUMMYFUNCTION("""COMPUTED_VALUE"""),184.07)</f>
        <v>184.07</v>
      </c>
      <c r="BM194" s="1">
        <f>IFERROR(__xludf.DUMMYFUNCTION("""COMPUTED_VALUE"""),75.02)</f>
        <v>75.02</v>
      </c>
      <c r="BN194" s="3">
        <f>IFERROR(__xludf.DUMMYFUNCTION("""COMPUTED_VALUE"""),7.22)</f>
        <v>7.22</v>
      </c>
      <c r="BO194" s="1">
        <f>IFERROR(__xludf.DUMMYFUNCTION("""COMPUTED_VALUE"""),251.17)</f>
        <v>251.17</v>
      </c>
      <c r="BP194" s="1">
        <f>IFERROR(__xludf.DUMMYFUNCTION("""COMPUTED_VALUE"""),500.73)</f>
        <v>500.73</v>
      </c>
      <c r="BQ194" s="36">
        <f>IFERROR(__xludf.DUMMYFUNCTION("""COMPUTED_VALUE"""),49.0)</f>
        <v>49</v>
      </c>
      <c r="BR194" s="1">
        <f>IFERROR(__xludf.DUMMYFUNCTION("""COMPUTED_VALUE"""),10.86)</f>
        <v>10.86</v>
      </c>
      <c r="BS194" s="3">
        <f>IFERROR(__xludf.DUMMYFUNCTION("""COMPUTED_VALUE"""),228.35)</f>
        <v>228.35</v>
      </c>
      <c r="BT194" s="1">
        <f>IFERROR(__xludf.DUMMYFUNCTION("""COMPUTED_VALUE"""),109.56)</f>
        <v>109.56</v>
      </c>
      <c r="BU194" s="3">
        <v>1.0</v>
      </c>
    </row>
    <row r="195">
      <c r="A195" s="25">
        <f>IFERROR(__xludf.DUMMYFUNCTION("""COMPUTED_VALUE"""),45707.66666666667)</f>
        <v>45707.66667</v>
      </c>
      <c r="B195" s="29">
        <f>'Master Scratch Work'!B194</f>
        <v>1368917.02</v>
      </c>
      <c r="C195" s="15">
        <f>IFERROR(__xludf.DUMMYFUNCTION("""COMPUTED_VALUE"""),6144.15)</f>
        <v>6144.15</v>
      </c>
      <c r="D195" s="15">
        <f>IFERROR(__xludf.DUMMYFUNCTION("""COMPUTED_VALUE"""),20056.25)</f>
        <v>20056.25</v>
      </c>
      <c r="E195" s="15">
        <f>IFERROR(__xludf.DUMMYFUNCTION("""COMPUTED_VALUE"""),44627.59)</f>
        <v>44627.59</v>
      </c>
      <c r="F195" s="15">
        <f>IFERROR(__xludf.DUMMYFUNCTION("""COMPUTED_VALUE"""),2282.46)</f>
        <v>2282.46</v>
      </c>
      <c r="G195" s="3">
        <f>IFERROR(__xludf.DUMMYFUNCTION("""COMPUTED_VALUE"""),612.93)</f>
        <v>612.93</v>
      </c>
      <c r="H195" s="3">
        <f>IFERROR(__xludf.DUMMYFUNCTION("""COMPUTED_VALUE"""),539.52)</f>
        <v>539.52</v>
      </c>
      <c r="I195" s="3">
        <f>IFERROR(__xludf.DUMMYFUNCTION("""COMPUTED_VALUE"""),456.99)</f>
        <v>456.99</v>
      </c>
      <c r="J195" s="3">
        <f>IFERROR(__xludf.DUMMYFUNCTION("""COMPUTED_VALUE"""),226.63)</f>
        <v>226.63</v>
      </c>
      <c r="K195" s="3">
        <f>IFERROR(__xludf.DUMMYFUNCTION("""COMPUTED_VALUE"""),127.86)</f>
        <v>127.86</v>
      </c>
      <c r="L195" s="3">
        <f>IFERROR(__xludf.DUMMYFUNCTION("""COMPUTED_VALUE"""),244.87)</f>
        <v>244.87</v>
      </c>
      <c r="M195" s="3">
        <f>IFERROR(__xludf.DUMMYFUNCTION("""COMPUTED_VALUE"""),174.06)</f>
        <v>174.06</v>
      </c>
      <c r="N195" s="3">
        <f>IFERROR(__xludf.DUMMYFUNCTION("""COMPUTED_VALUE"""),88.31)</f>
        <v>88.31</v>
      </c>
      <c r="O195" s="3">
        <f>IFERROR(__xludf.DUMMYFUNCTION("""COMPUTED_VALUE"""),15.37)</f>
        <v>15.37</v>
      </c>
      <c r="P195" s="3">
        <f>IFERROR(__xludf.DUMMYFUNCTION("""COMPUTED_VALUE"""),483.77)</f>
        <v>483.77</v>
      </c>
      <c r="Q195" s="3">
        <f>IFERROR(__xludf.DUMMYFUNCTION("""COMPUTED_VALUE"""),51.08)</f>
        <v>51.08</v>
      </c>
      <c r="R195" s="3">
        <f>IFERROR(__xludf.DUMMYFUNCTION("""COMPUTED_VALUE"""),136.68)</f>
        <v>136.68</v>
      </c>
      <c r="S195" s="3">
        <f>IFERROR(__xludf.DUMMYFUNCTION("""COMPUTED_VALUE"""),105.67)</f>
        <v>105.67</v>
      </c>
      <c r="T195" s="3">
        <f>IFERROR(__xludf.DUMMYFUNCTION("""COMPUTED_VALUE"""),65.98)</f>
        <v>65.98</v>
      </c>
      <c r="U195" s="3">
        <f>IFERROR(__xludf.DUMMYFUNCTION("""COMPUTED_VALUE"""),353.0)</f>
        <v>353</v>
      </c>
      <c r="V195" s="3">
        <f>IFERROR(__xludf.DUMMYFUNCTION("""COMPUTED_VALUE"""),46.55)</f>
        <v>46.55</v>
      </c>
      <c r="W195" s="3">
        <f>IFERROR(__xludf.DUMMYFUNCTION("""COMPUTED_VALUE"""),223.08)</f>
        <v>223.08</v>
      </c>
      <c r="X195" s="3">
        <f>IFERROR(__xludf.DUMMYFUNCTION("""COMPUTED_VALUE"""),157.23)</f>
        <v>157.23</v>
      </c>
      <c r="Y195" s="1">
        <f>IFERROR(__xludf.DUMMYFUNCTION("""COMPUTED_VALUE"""),297.23)</f>
        <v>297.23</v>
      </c>
      <c r="Z195" s="1">
        <f>IFERROR(__xludf.DUMMYFUNCTION("""COMPUTED_VALUE"""),47.39)</f>
        <v>47.39</v>
      </c>
      <c r="AA195" s="1">
        <f>IFERROR(__xludf.DUMMYFUNCTION("""COMPUTED_VALUE"""),70.07)</f>
        <v>70.07</v>
      </c>
      <c r="AB195" s="1">
        <f>IFERROR(__xludf.DUMMYFUNCTION("""COMPUTED_VALUE"""),95.26)</f>
        <v>95.26</v>
      </c>
      <c r="AC195" s="1">
        <f>IFERROR(__xludf.DUMMYFUNCTION("""COMPUTED_VALUE"""),169.61)</f>
        <v>169.61</v>
      </c>
      <c r="AD195" s="3">
        <f>IFERROR(__xludf.DUMMYFUNCTION("""COMPUTED_VALUE"""),75.62)</f>
        <v>75.62</v>
      </c>
      <c r="AE195" s="1">
        <f>IFERROR(__xludf.DUMMYFUNCTION("""COMPUTED_VALUE"""),475.35)</f>
        <v>475.35</v>
      </c>
      <c r="AF195" s="1">
        <f>IFERROR(__xludf.DUMMYFUNCTION("""COMPUTED_VALUE"""),69.32)</f>
        <v>69.32</v>
      </c>
      <c r="AG195" s="1">
        <f>IFERROR(__xludf.DUMMYFUNCTION("""COMPUTED_VALUE"""),110.3)</f>
        <v>110.3</v>
      </c>
      <c r="AH195" s="1">
        <f>IFERROR(__xludf.DUMMYFUNCTION("""COMPUTED_VALUE"""),266.87)</f>
        <v>266.87</v>
      </c>
      <c r="AI195" s="1">
        <f>IFERROR(__xludf.DUMMYFUNCTION("""COMPUTED_VALUE"""),500.84)</f>
        <v>500.84</v>
      </c>
      <c r="AJ195" s="1">
        <f>IFERROR(__xludf.DUMMYFUNCTION("""COMPUTED_VALUE"""),244.18)</f>
        <v>244.18</v>
      </c>
      <c r="AK195" s="1">
        <f>IFERROR(__xludf.DUMMYFUNCTION("""COMPUTED_VALUE"""),47.8)</f>
        <v>47.8</v>
      </c>
      <c r="AL195" s="1">
        <f>IFERROR(__xludf.DUMMYFUNCTION("""COMPUTED_VALUE"""),107.65)</f>
        <v>107.65</v>
      </c>
      <c r="AM195" s="1">
        <f>IFERROR(__xludf.DUMMYFUNCTION("""COMPUTED_VALUE"""),668.15)</f>
        <v>668.15</v>
      </c>
      <c r="AN195" s="1">
        <f>IFERROR(__xludf.DUMMYFUNCTION("""COMPUTED_VALUE"""),395.43)</f>
        <v>395.43</v>
      </c>
      <c r="AO195" s="1">
        <f>IFERROR(__xludf.DUMMYFUNCTION("""COMPUTED_VALUE"""),131.22)</f>
        <v>131.22</v>
      </c>
      <c r="AP195" s="1">
        <f>IFERROR(__xludf.DUMMYFUNCTION("""COMPUTED_VALUE"""),166.96)</f>
        <v>166.96</v>
      </c>
      <c r="AQ195" s="3">
        <f>IFERROR(__xludf.DUMMYFUNCTION("""COMPUTED_VALUE"""),608.48)</f>
        <v>608.48</v>
      </c>
      <c r="AR195" s="3">
        <f>IFERROR(__xludf.DUMMYFUNCTION("""COMPUTED_VALUE"""),279.25)</f>
        <v>279.25</v>
      </c>
      <c r="AS195" s="3">
        <f>IFERROR(__xludf.DUMMYFUNCTION("""COMPUTED_VALUE"""),432.95)</f>
        <v>432.95</v>
      </c>
      <c r="AT195" s="3">
        <f>IFERROR(__xludf.DUMMYFUNCTION("""COMPUTED_VALUE"""),367.22)</f>
        <v>367.22</v>
      </c>
      <c r="AU195" s="1">
        <f>IFERROR(__xludf.DUMMYFUNCTION("""COMPUTED_VALUE"""),29.78)</f>
        <v>29.78</v>
      </c>
      <c r="AV195" s="1">
        <f>IFERROR(__xludf.DUMMYFUNCTION("""COMPUTED_VALUE"""),87.0)</f>
        <v>87</v>
      </c>
      <c r="AW195" s="1">
        <f>IFERROR(__xludf.DUMMYFUNCTION("""COMPUTED_VALUE"""),83.07)</f>
        <v>83.07</v>
      </c>
      <c r="AX195" s="3">
        <f>IFERROR(__xludf.DUMMYFUNCTION("""COMPUTED_VALUE"""),22.99)</f>
        <v>22.99</v>
      </c>
      <c r="AY195" s="1">
        <f>IFERROR(__xludf.DUMMYFUNCTION("""COMPUTED_VALUE"""),414.77)</f>
        <v>414.77</v>
      </c>
      <c r="AZ195" s="3">
        <f>IFERROR(__xludf.DUMMYFUNCTION("""COMPUTED_VALUE"""),69.06)</f>
        <v>69.06</v>
      </c>
      <c r="BA195" s="3">
        <f>IFERROR(__xludf.DUMMYFUNCTION("""COMPUTED_VALUE"""),112.41)</f>
        <v>112.41</v>
      </c>
      <c r="BB195" s="3">
        <f>IFERROR(__xludf.DUMMYFUNCTION("""COMPUTED_VALUE"""),139.23)</f>
        <v>139.23</v>
      </c>
      <c r="BC195" s="1">
        <f>IFERROR(__xludf.DUMMYFUNCTION("""COMPUTED_VALUE"""),98.3)</f>
        <v>98.3</v>
      </c>
      <c r="BD195" s="3">
        <f>IFERROR(__xludf.DUMMYFUNCTION("""COMPUTED_VALUE"""),52.07)</f>
        <v>52.07</v>
      </c>
      <c r="BE195" s="3">
        <f>IFERROR(__xludf.DUMMYFUNCTION("""COMPUTED_VALUE"""),112.06)</f>
        <v>112.06</v>
      </c>
      <c r="BF195" s="1">
        <f>IFERROR(__xludf.DUMMYFUNCTION("""COMPUTED_VALUE"""),78.36)</f>
        <v>78.36</v>
      </c>
      <c r="BG195" s="1">
        <f>IFERROR(__xludf.DUMMYFUNCTION("""COMPUTED_VALUE"""),25.89)</f>
        <v>25.89</v>
      </c>
      <c r="BH195" s="1">
        <f>IFERROR(__xludf.DUMMYFUNCTION("""COMPUTED_VALUE"""),125.41)</f>
        <v>125.41</v>
      </c>
      <c r="BI195" s="1">
        <f>IFERROR(__xludf.DUMMYFUNCTION("""COMPUTED_VALUE"""),42.34)</f>
        <v>42.34</v>
      </c>
      <c r="BJ195" s="1">
        <f>IFERROR(__xludf.DUMMYFUNCTION("""COMPUTED_VALUE"""),263.35)</f>
        <v>263.35</v>
      </c>
      <c r="BK195" s="1">
        <f>IFERROR(__xludf.DUMMYFUNCTION("""COMPUTED_VALUE"""),530.86)</f>
        <v>530.86</v>
      </c>
      <c r="BL195" s="1">
        <f>IFERROR(__xludf.DUMMYFUNCTION("""COMPUTED_VALUE"""),180.1)</f>
        <v>180.1</v>
      </c>
      <c r="BM195" s="1">
        <f>IFERROR(__xludf.DUMMYFUNCTION("""COMPUTED_VALUE"""),79.42)</f>
        <v>79.42</v>
      </c>
      <c r="BN195" s="3">
        <f>IFERROR(__xludf.DUMMYFUNCTION("""COMPUTED_VALUE"""),7.24)</f>
        <v>7.24</v>
      </c>
      <c r="BO195" s="1">
        <f>IFERROR(__xludf.DUMMYFUNCTION("""COMPUTED_VALUE"""),247.06)</f>
        <v>247.06</v>
      </c>
      <c r="BP195" s="1">
        <f>IFERROR(__xludf.DUMMYFUNCTION("""COMPUTED_VALUE"""),511.04)</f>
        <v>511.04</v>
      </c>
      <c r="BQ195" s="36">
        <f>IFERROR(__xludf.DUMMYFUNCTION("""COMPUTED_VALUE"""),49.07)</f>
        <v>49.07</v>
      </c>
      <c r="BR195" s="1">
        <f>IFERROR(__xludf.DUMMYFUNCTION("""COMPUTED_VALUE"""),10.93)</f>
        <v>10.93</v>
      </c>
      <c r="BS195" s="3">
        <f>IFERROR(__xludf.DUMMYFUNCTION("""COMPUTED_VALUE"""),228.52)</f>
        <v>228.52</v>
      </c>
      <c r="BT195" s="1">
        <f>IFERROR(__xludf.DUMMYFUNCTION("""COMPUTED_VALUE"""),111.35)</f>
        <v>111.35</v>
      </c>
      <c r="BU195" s="3">
        <v>1.0</v>
      </c>
    </row>
    <row r="196">
      <c r="A196" s="25">
        <f>IFERROR(__xludf.DUMMYFUNCTION("""COMPUTED_VALUE"""),45708.66666666667)</f>
        <v>45708.66667</v>
      </c>
      <c r="B196" s="29">
        <f>'Master Scratch Work'!B195</f>
        <v>1363508.85</v>
      </c>
      <c r="C196" s="15">
        <f>IFERROR(__xludf.DUMMYFUNCTION("""COMPUTED_VALUE"""),6117.52)</f>
        <v>6117.52</v>
      </c>
      <c r="D196" s="15">
        <f>IFERROR(__xludf.DUMMYFUNCTION("""COMPUTED_VALUE"""),19962.36)</f>
        <v>19962.36</v>
      </c>
      <c r="E196" s="15">
        <f>IFERROR(__xludf.DUMMYFUNCTION("""COMPUTED_VALUE"""),44176.65)</f>
        <v>44176.65</v>
      </c>
      <c r="F196" s="15">
        <f>IFERROR(__xludf.DUMMYFUNCTION("""COMPUTED_VALUE"""),2261.74)</f>
        <v>2261.74</v>
      </c>
      <c r="G196" s="3">
        <f>IFERROR(__xludf.DUMMYFUNCTION("""COMPUTED_VALUE"""),610.38)</f>
        <v>610.38</v>
      </c>
      <c r="H196" s="3">
        <f>IFERROR(__xludf.DUMMYFUNCTION("""COMPUTED_VALUE"""),537.23)</f>
        <v>537.23</v>
      </c>
      <c r="I196" s="3">
        <f>IFERROR(__xludf.DUMMYFUNCTION("""COMPUTED_VALUE"""),454.69)</f>
        <v>454.69</v>
      </c>
      <c r="J196" s="3">
        <f>IFERROR(__xludf.DUMMYFUNCTION("""COMPUTED_VALUE"""),222.88)</f>
        <v>222.88</v>
      </c>
      <c r="K196" s="3">
        <f>IFERROR(__xludf.DUMMYFUNCTION("""COMPUTED_VALUE"""),128.67)</f>
        <v>128.67</v>
      </c>
      <c r="L196" s="3">
        <f>IFERROR(__xludf.DUMMYFUNCTION("""COMPUTED_VALUE"""),245.83)</f>
        <v>245.83</v>
      </c>
      <c r="M196" s="3">
        <f>IFERROR(__xludf.DUMMYFUNCTION("""COMPUTED_VALUE"""),176.01)</f>
        <v>176.01</v>
      </c>
      <c r="N196" s="3">
        <f>IFERROR(__xludf.DUMMYFUNCTION("""COMPUTED_VALUE"""),87.16)</f>
        <v>87.16</v>
      </c>
      <c r="O196" s="3">
        <f>IFERROR(__xludf.DUMMYFUNCTION("""COMPUTED_VALUE"""),15.17)</f>
        <v>15.17</v>
      </c>
      <c r="P196" s="3">
        <f>IFERROR(__xludf.DUMMYFUNCTION("""COMPUTED_VALUE"""),481.8)</f>
        <v>481.8</v>
      </c>
      <c r="Q196" s="3">
        <f>IFERROR(__xludf.DUMMYFUNCTION("""COMPUTED_VALUE"""),52.11)</f>
        <v>52.11</v>
      </c>
      <c r="R196" s="3">
        <f>IFERROR(__xludf.DUMMYFUNCTION("""COMPUTED_VALUE"""),137.08)</f>
        <v>137.08</v>
      </c>
      <c r="S196" s="3">
        <f>IFERROR(__xludf.DUMMYFUNCTION("""COMPUTED_VALUE"""),105.36)</f>
        <v>105.36</v>
      </c>
      <c r="T196" s="3">
        <f>IFERROR(__xludf.DUMMYFUNCTION("""COMPUTED_VALUE"""),67.11)</f>
        <v>67.11</v>
      </c>
      <c r="U196" s="3">
        <f>IFERROR(__xludf.DUMMYFUNCTION("""COMPUTED_VALUE"""),349.15)</f>
        <v>349.15</v>
      </c>
      <c r="V196" s="3">
        <f>IFERROR(__xludf.DUMMYFUNCTION("""COMPUTED_VALUE"""),46.54)</f>
        <v>46.54</v>
      </c>
      <c r="W196" s="3">
        <f>IFERROR(__xludf.DUMMYFUNCTION("""COMPUTED_VALUE"""),219.05)</f>
        <v>219.05</v>
      </c>
      <c r="X196" s="3">
        <f>IFERROR(__xludf.DUMMYFUNCTION("""COMPUTED_VALUE"""),158.79)</f>
        <v>158.79</v>
      </c>
      <c r="Y196" s="1">
        <f>IFERROR(__xludf.DUMMYFUNCTION("""COMPUTED_VALUE"""),299.68)</f>
        <v>299.68</v>
      </c>
      <c r="Z196" s="1">
        <f>IFERROR(__xludf.DUMMYFUNCTION("""COMPUTED_VALUE"""),46.18)</f>
        <v>46.18</v>
      </c>
      <c r="AA196" s="1">
        <f>IFERROR(__xludf.DUMMYFUNCTION("""COMPUTED_VALUE"""),70.04)</f>
        <v>70.04</v>
      </c>
      <c r="AB196" s="1">
        <f>IFERROR(__xludf.DUMMYFUNCTION("""COMPUTED_VALUE"""),95.76)</f>
        <v>95.76</v>
      </c>
      <c r="AC196" s="1">
        <f>IFERROR(__xludf.DUMMYFUNCTION("""COMPUTED_VALUE"""),172.0)</f>
        <v>172</v>
      </c>
      <c r="AD196" s="3">
        <f>IFERROR(__xludf.DUMMYFUNCTION("""COMPUTED_VALUE"""),76.29)</f>
        <v>76.29</v>
      </c>
      <c r="AE196" s="1">
        <f>IFERROR(__xludf.DUMMYFUNCTION("""COMPUTED_VALUE"""),471.76)</f>
        <v>471.76</v>
      </c>
      <c r="AF196" s="1">
        <f>IFERROR(__xludf.DUMMYFUNCTION("""COMPUTED_VALUE"""),69.46)</f>
        <v>69.46</v>
      </c>
      <c r="AG196" s="1">
        <f>IFERROR(__xludf.DUMMYFUNCTION("""COMPUTED_VALUE"""),112.0)</f>
        <v>112</v>
      </c>
      <c r="AH196" s="1">
        <f>IFERROR(__xludf.DUMMYFUNCTION("""COMPUTED_VALUE"""),268.46)</f>
        <v>268.46</v>
      </c>
      <c r="AI196" s="1">
        <f>IFERROR(__xludf.DUMMYFUNCTION("""COMPUTED_VALUE"""),508.15)</f>
        <v>508.15</v>
      </c>
      <c r="AJ196" s="1">
        <f>IFERROR(__xludf.DUMMYFUNCTION("""COMPUTED_VALUE"""),246.2)</f>
        <v>246.2</v>
      </c>
      <c r="AK196" s="1">
        <f>IFERROR(__xludf.DUMMYFUNCTION("""COMPUTED_VALUE"""),47.89)</f>
        <v>47.89</v>
      </c>
      <c r="AL196" s="1">
        <f>IFERROR(__xludf.DUMMYFUNCTION("""COMPUTED_VALUE"""),110.03)</f>
        <v>110.03</v>
      </c>
      <c r="AM196" s="1">
        <f>IFERROR(__xludf.DUMMYFUNCTION("""COMPUTED_VALUE"""),642.26)</f>
        <v>642.26</v>
      </c>
      <c r="AN196" s="1">
        <f>IFERROR(__xludf.DUMMYFUNCTION("""COMPUTED_VALUE"""),394.64)</f>
        <v>394.64</v>
      </c>
      <c r="AO196" s="1">
        <f>IFERROR(__xludf.DUMMYFUNCTION("""COMPUTED_VALUE"""),128.88)</f>
        <v>128.88</v>
      </c>
      <c r="AP196" s="1">
        <f>IFERROR(__xludf.DUMMYFUNCTION("""COMPUTED_VALUE"""),166.79)</f>
        <v>166.79</v>
      </c>
      <c r="AQ196" s="3">
        <f>IFERROR(__xludf.DUMMYFUNCTION("""COMPUTED_VALUE"""),606.57)</f>
        <v>606.57</v>
      </c>
      <c r="AR196" s="3">
        <f>IFERROR(__xludf.DUMMYFUNCTION("""COMPUTED_VALUE"""),266.8)</f>
        <v>266.8</v>
      </c>
      <c r="AS196" s="3">
        <f>IFERROR(__xludf.DUMMYFUNCTION("""COMPUTED_VALUE"""),436.29)</f>
        <v>436.29</v>
      </c>
      <c r="AT196" s="3">
        <f>IFERROR(__xludf.DUMMYFUNCTION("""COMPUTED_VALUE"""),365.82)</f>
        <v>365.82</v>
      </c>
      <c r="AU196" s="1">
        <f>IFERROR(__xludf.DUMMYFUNCTION("""COMPUTED_VALUE"""),31.82)</f>
        <v>31.82</v>
      </c>
      <c r="AV196" s="1">
        <f>IFERROR(__xludf.DUMMYFUNCTION("""COMPUTED_VALUE"""),87.94)</f>
        <v>87.94</v>
      </c>
      <c r="AW196" s="1">
        <f>IFERROR(__xludf.DUMMYFUNCTION("""COMPUTED_VALUE"""),82.74)</f>
        <v>82.74</v>
      </c>
      <c r="AX196" s="3">
        <f>IFERROR(__xludf.DUMMYFUNCTION("""COMPUTED_VALUE"""),23.18)</f>
        <v>23.18</v>
      </c>
      <c r="AY196" s="1">
        <f>IFERROR(__xludf.DUMMYFUNCTION("""COMPUTED_VALUE"""),416.13)</f>
        <v>416.13</v>
      </c>
      <c r="AZ196" s="3">
        <f>IFERROR(__xludf.DUMMYFUNCTION("""COMPUTED_VALUE"""),70.14)</f>
        <v>70.14</v>
      </c>
      <c r="BA196" s="3">
        <f>IFERROR(__xludf.DUMMYFUNCTION("""COMPUTED_VALUE"""),111.07)</f>
        <v>111.07</v>
      </c>
      <c r="BB196" s="3">
        <f>IFERROR(__xludf.DUMMYFUNCTION("""COMPUTED_VALUE"""),140.11)</f>
        <v>140.11</v>
      </c>
      <c r="BC196" s="1">
        <f>IFERROR(__xludf.DUMMYFUNCTION("""COMPUTED_VALUE"""),99.03)</f>
        <v>99.03</v>
      </c>
      <c r="BD196" s="3">
        <f>IFERROR(__xludf.DUMMYFUNCTION("""COMPUTED_VALUE"""),51.21)</f>
        <v>51.21</v>
      </c>
      <c r="BE196" s="3">
        <f>IFERROR(__xludf.DUMMYFUNCTION("""COMPUTED_VALUE"""),106.27)</f>
        <v>106.27</v>
      </c>
      <c r="BF196" s="1">
        <f>IFERROR(__xludf.DUMMYFUNCTION("""COMPUTED_VALUE"""),77.63)</f>
        <v>77.63</v>
      </c>
      <c r="BG196" s="1">
        <f>IFERROR(__xludf.DUMMYFUNCTION("""COMPUTED_VALUE"""),25.9)</f>
        <v>25.9</v>
      </c>
      <c r="BH196" s="1">
        <f>IFERROR(__xludf.DUMMYFUNCTION("""COMPUTED_VALUE"""),125.11)</f>
        <v>125.11</v>
      </c>
      <c r="BI196" s="1">
        <f>IFERROR(__xludf.DUMMYFUNCTION("""COMPUTED_VALUE"""),42.26)</f>
        <v>42.26</v>
      </c>
      <c r="BJ196" s="1">
        <f>IFERROR(__xludf.DUMMYFUNCTION("""COMPUTED_VALUE"""),265.4)</f>
        <v>265.4</v>
      </c>
      <c r="BK196" s="1">
        <f>IFERROR(__xludf.DUMMYFUNCTION("""COMPUTED_VALUE"""),537.83)</f>
        <v>537.83</v>
      </c>
      <c r="BL196" s="1">
        <f>IFERROR(__xludf.DUMMYFUNCTION("""COMPUTED_VALUE"""),180.68)</f>
        <v>180.68</v>
      </c>
      <c r="BM196" s="1">
        <f>IFERROR(__xludf.DUMMYFUNCTION("""COMPUTED_VALUE"""),75.45)</f>
        <v>75.45</v>
      </c>
      <c r="BN196" s="3">
        <f>IFERROR(__xludf.DUMMYFUNCTION("""COMPUTED_VALUE"""),7.16)</f>
        <v>7.16</v>
      </c>
      <c r="BO196" s="1">
        <f>IFERROR(__xludf.DUMMYFUNCTION("""COMPUTED_VALUE"""),247.65)</f>
        <v>247.65</v>
      </c>
      <c r="BP196" s="1">
        <f>IFERROR(__xludf.DUMMYFUNCTION("""COMPUTED_VALUE"""),502.42)</f>
        <v>502.42</v>
      </c>
      <c r="BQ196" s="36">
        <f>IFERROR(__xludf.DUMMYFUNCTION("""COMPUTED_VALUE"""),49.1)</f>
        <v>49.1</v>
      </c>
      <c r="BR196" s="1">
        <f>IFERROR(__xludf.DUMMYFUNCTION("""COMPUTED_VALUE"""),11.06)</f>
        <v>11.06</v>
      </c>
      <c r="BS196" s="3">
        <f>IFERROR(__xludf.DUMMYFUNCTION("""COMPUTED_VALUE"""),229.12)</f>
        <v>229.12</v>
      </c>
      <c r="BT196" s="1">
        <f>IFERROR(__xludf.DUMMYFUNCTION("""COMPUTED_VALUE"""),110.55)</f>
        <v>110.55</v>
      </c>
      <c r="BU196" s="3">
        <v>1.0</v>
      </c>
    </row>
    <row r="197">
      <c r="A197" s="25">
        <f>IFERROR(__xludf.DUMMYFUNCTION("""COMPUTED_VALUE"""),45709.66666666667)</f>
        <v>45709.66667</v>
      </c>
      <c r="B197" s="29">
        <f>'Master Scratch Work'!B196</f>
        <v>1343847.09</v>
      </c>
      <c r="C197" s="15">
        <f>IFERROR(__xludf.DUMMYFUNCTION("""COMPUTED_VALUE"""),6013.13)</f>
        <v>6013.13</v>
      </c>
      <c r="D197" s="15">
        <f>IFERROR(__xludf.DUMMYFUNCTION("""COMPUTED_VALUE"""),19524.01)</f>
        <v>19524.01</v>
      </c>
      <c r="E197" s="15">
        <f>IFERROR(__xludf.DUMMYFUNCTION("""COMPUTED_VALUE"""),43428.02)</f>
        <v>43428.02</v>
      </c>
      <c r="F197" s="15">
        <f>IFERROR(__xludf.DUMMYFUNCTION("""COMPUTED_VALUE"""),2195.35)</f>
        <v>2195.35</v>
      </c>
      <c r="G197" s="3">
        <f>IFERROR(__xludf.DUMMYFUNCTION("""COMPUTED_VALUE"""),599.94)</f>
        <v>599.94</v>
      </c>
      <c r="H197" s="3">
        <f>IFERROR(__xludf.DUMMYFUNCTION("""COMPUTED_VALUE"""),526.08)</f>
        <v>526.08</v>
      </c>
      <c r="I197" s="3">
        <f>IFERROR(__xludf.DUMMYFUNCTION("""COMPUTED_VALUE"""),444.32)</f>
        <v>444.32</v>
      </c>
      <c r="J197" s="3">
        <f>IFERROR(__xludf.DUMMYFUNCTION("""COMPUTED_VALUE"""),216.58)</f>
        <v>216.58</v>
      </c>
      <c r="K197" s="3">
        <f>IFERROR(__xludf.DUMMYFUNCTION("""COMPUTED_VALUE"""),132.68)</f>
        <v>132.68</v>
      </c>
      <c r="L197" s="3">
        <f>IFERROR(__xludf.DUMMYFUNCTION("""COMPUTED_VALUE"""),245.55)</f>
        <v>245.55</v>
      </c>
      <c r="M197" s="3">
        <f>IFERROR(__xludf.DUMMYFUNCTION("""COMPUTED_VALUE"""),171.98)</f>
        <v>171.98</v>
      </c>
      <c r="N197" s="3">
        <f>IFERROR(__xludf.DUMMYFUNCTION("""COMPUTED_VALUE"""),87.25)</f>
        <v>87.25</v>
      </c>
      <c r="O197" s="3">
        <f>IFERROR(__xludf.DUMMYFUNCTION("""COMPUTED_VALUE"""),15.18)</f>
        <v>15.18</v>
      </c>
      <c r="P197" s="3">
        <f>IFERROR(__xludf.DUMMYFUNCTION("""COMPUTED_VALUE"""),478.74)</f>
        <v>478.74</v>
      </c>
      <c r="Q197" s="3">
        <f>IFERROR(__xludf.DUMMYFUNCTION("""COMPUTED_VALUE"""),51.44)</f>
        <v>51.44</v>
      </c>
      <c r="R197" s="3">
        <f>IFERROR(__xludf.DUMMYFUNCTION("""COMPUTED_VALUE"""),140.64)</f>
        <v>140.64</v>
      </c>
      <c r="S197" s="3">
        <f>IFERROR(__xludf.DUMMYFUNCTION("""COMPUTED_VALUE"""),104.49)</f>
        <v>104.49</v>
      </c>
      <c r="T197" s="3">
        <f>IFERROR(__xludf.DUMMYFUNCTION("""COMPUTED_VALUE"""),66.13)</f>
        <v>66.13</v>
      </c>
      <c r="U197" s="3">
        <f>IFERROR(__xludf.DUMMYFUNCTION("""COMPUTED_VALUE"""),340.04)</f>
        <v>340.04</v>
      </c>
      <c r="V197" s="3">
        <f>IFERROR(__xludf.DUMMYFUNCTION("""COMPUTED_VALUE"""),43.48)</f>
        <v>43.48</v>
      </c>
      <c r="W197" s="3">
        <f>IFERROR(__xludf.DUMMYFUNCTION("""COMPUTED_VALUE"""),216.8)</f>
        <v>216.8</v>
      </c>
      <c r="X197" s="3">
        <f>IFERROR(__xludf.DUMMYFUNCTION("""COMPUTED_VALUE"""),156.92)</f>
        <v>156.92</v>
      </c>
      <c r="Y197" s="1">
        <f>IFERROR(__xludf.DUMMYFUNCTION("""COMPUTED_VALUE"""),299.81)</f>
        <v>299.81</v>
      </c>
      <c r="Z197" s="1">
        <f>IFERROR(__xludf.DUMMYFUNCTION("""COMPUTED_VALUE"""),44.88)</f>
        <v>44.88</v>
      </c>
      <c r="AA197" s="1">
        <f>IFERROR(__xludf.DUMMYFUNCTION("""COMPUTED_VALUE"""),71.35)</f>
        <v>71.35</v>
      </c>
      <c r="AB197" s="1">
        <f>IFERROR(__xludf.DUMMYFUNCTION("""COMPUTED_VALUE"""),98.26)</f>
        <v>98.26</v>
      </c>
      <c r="AC197" s="1">
        <f>IFERROR(__xludf.DUMMYFUNCTION("""COMPUTED_VALUE"""),165.36)</f>
        <v>165.36</v>
      </c>
      <c r="AD197" s="3">
        <f>IFERROR(__xludf.DUMMYFUNCTION("""COMPUTED_VALUE"""),74.96)</f>
        <v>74.96</v>
      </c>
      <c r="AE197" s="1">
        <f>IFERROR(__xludf.DUMMYFUNCTION("""COMPUTED_VALUE"""),462.37)</f>
        <v>462.37</v>
      </c>
      <c r="AF197" s="1">
        <f>IFERROR(__xludf.DUMMYFUNCTION("""COMPUTED_VALUE"""),69.39)</f>
        <v>69.39</v>
      </c>
      <c r="AG197" s="1">
        <f>IFERROR(__xludf.DUMMYFUNCTION("""COMPUTED_VALUE"""),110.69)</f>
        <v>110.69</v>
      </c>
      <c r="AH197" s="1">
        <f>IFERROR(__xludf.DUMMYFUNCTION("""COMPUTED_VALUE"""),254.19)</f>
        <v>254.19</v>
      </c>
      <c r="AI197" s="1">
        <f>IFERROR(__xludf.DUMMYFUNCTION("""COMPUTED_VALUE"""),503.43)</f>
        <v>503.43</v>
      </c>
      <c r="AJ197" s="1">
        <f>IFERROR(__xludf.DUMMYFUNCTION("""COMPUTED_VALUE"""),243.06)</f>
        <v>243.06</v>
      </c>
      <c r="AK197" s="1">
        <f>IFERROR(__xludf.DUMMYFUNCTION("""COMPUTED_VALUE"""),46.29)</f>
        <v>46.29</v>
      </c>
      <c r="AL197" s="1">
        <f>IFERROR(__xludf.DUMMYFUNCTION("""COMPUTED_VALUE"""),109.95)</f>
        <v>109.95</v>
      </c>
      <c r="AM197" s="1">
        <f>IFERROR(__xludf.DUMMYFUNCTION("""COMPUTED_VALUE"""),625.6)</f>
        <v>625.6</v>
      </c>
      <c r="AN197" s="1">
        <f>IFERROR(__xludf.DUMMYFUNCTION("""COMPUTED_VALUE"""),385.3)</f>
        <v>385.3</v>
      </c>
      <c r="AO197" s="1">
        <f>IFERROR(__xludf.DUMMYFUNCTION("""COMPUTED_VALUE"""),123.74)</f>
        <v>123.74</v>
      </c>
      <c r="AP197" s="1">
        <f>IFERROR(__xludf.DUMMYFUNCTION("""COMPUTED_VALUE"""),167.87)</f>
        <v>167.87</v>
      </c>
      <c r="AQ197" s="3">
        <f>IFERROR(__xludf.DUMMYFUNCTION("""COMPUTED_VALUE"""),591.79)</f>
        <v>591.79</v>
      </c>
      <c r="AR197" s="3">
        <f>IFERROR(__xludf.DUMMYFUNCTION("""COMPUTED_VALUE"""),264.24)</f>
        <v>264.24</v>
      </c>
      <c r="AS197" s="3">
        <f>IFERROR(__xludf.DUMMYFUNCTION("""COMPUTED_VALUE"""),440.72)</f>
        <v>440.72</v>
      </c>
      <c r="AT197" s="3">
        <f>IFERROR(__xludf.DUMMYFUNCTION("""COMPUTED_VALUE"""),358.97)</f>
        <v>358.97</v>
      </c>
      <c r="AU197" s="1">
        <f>IFERROR(__xludf.DUMMYFUNCTION("""COMPUTED_VALUE"""),30.36)</f>
        <v>30.36</v>
      </c>
      <c r="AV197" s="1">
        <f>IFERROR(__xludf.DUMMYFUNCTION("""COMPUTED_VALUE"""),89.94)</f>
        <v>89.94</v>
      </c>
      <c r="AW197" s="1">
        <f>IFERROR(__xludf.DUMMYFUNCTION("""COMPUTED_VALUE"""),81.01)</f>
        <v>81.01</v>
      </c>
      <c r="AX197" s="3">
        <f>IFERROR(__xludf.DUMMYFUNCTION("""COMPUTED_VALUE"""),24.3)</f>
        <v>24.3</v>
      </c>
      <c r="AY197" s="1">
        <f>IFERROR(__xludf.DUMMYFUNCTION("""COMPUTED_VALUE"""),408.21)</f>
        <v>408.21</v>
      </c>
      <c r="AZ197" s="3">
        <f>IFERROR(__xludf.DUMMYFUNCTION("""COMPUTED_VALUE"""),71.58)</f>
        <v>71.58</v>
      </c>
      <c r="BA197" s="3">
        <f>IFERROR(__xludf.DUMMYFUNCTION("""COMPUTED_VALUE"""),105.96)</f>
        <v>105.96</v>
      </c>
      <c r="BB197" s="3">
        <f>IFERROR(__xludf.DUMMYFUNCTION("""COMPUTED_VALUE"""),134.43)</f>
        <v>134.43</v>
      </c>
      <c r="BC197" s="1">
        <f>IFERROR(__xludf.DUMMYFUNCTION("""COMPUTED_VALUE"""),98.37)</f>
        <v>98.37</v>
      </c>
      <c r="BD197" s="3">
        <f>IFERROR(__xludf.DUMMYFUNCTION("""COMPUTED_VALUE"""),48.44)</f>
        <v>48.44</v>
      </c>
      <c r="BE197" s="3">
        <f>IFERROR(__xludf.DUMMYFUNCTION("""COMPUTED_VALUE"""),101.35)</f>
        <v>101.35</v>
      </c>
      <c r="BF197" s="1">
        <f>IFERROR(__xludf.DUMMYFUNCTION("""COMPUTED_VALUE"""),74.95)</f>
        <v>74.95</v>
      </c>
      <c r="BG197" s="1">
        <f>IFERROR(__xludf.DUMMYFUNCTION("""COMPUTED_VALUE"""),26.3)</f>
        <v>26.3</v>
      </c>
      <c r="BH197" s="1">
        <f>IFERROR(__xludf.DUMMYFUNCTION("""COMPUTED_VALUE"""),123.29)</f>
        <v>123.29</v>
      </c>
      <c r="BI197" s="1">
        <f>IFERROR(__xludf.DUMMYFUNCTION("""COMPUTED_VALUE"""),41.34)</f>
        <v>41.34</v>
      </c>
      <c r="BJ197" s="1">
        <f>IFERROR(__xludf.DUMMYFUNCTION("""COMPUTED_VALUE"""),265.17)</f>
        <v>265.17</v>
      </c>
      <c r="BK197" s="1">
        <f>IFERROR(__xludf.DUMMYFUNCTION("""COMPUTED_VALUE"""),532.55)</f>
        <v>532.55</v>
      </c>
      <c r="BL197" s="1">
        <f>IFERROR(__xludf.DUMMYFUNCTION("""COMPUTED_VALUE"""),177.11)</f>
        <v>177.11</v>
      </c>
      <c r="BM197" s="1">
        <f>IFERROR(__xludf.DUMMYFUNCTION("""COMPUTED_VALUE"""),71.95)</f>
        <v>71.95</v>
      </c>
      <c r="BN197" s="3">
        <f>IFERROR(__xludf.DUMMYFUNCTION("""COMPUTED_VALUE"""),7.09)</f>
        <v>7.09</v>
      </c>
      <c r="BO197" s="1">
        <f>IFERROR(__xludf.DUMMYFUNCTION("""COMPUTED_VALUE"""),245.55)</f>
        <v>245.55</v>
      </c>
      <c r="BP197" s="1">
        <f>IFERROR(__xludf.DUMMYFUNCTION("""COMPUTED_VALUE"""),466.42)</f>
        <v>466.42</v>
      </c>
      <c r="BQ197" s="36">
        <f>IFERROR(__xludf.DUMMYFUNCTION("""COMPUTED_VALUE"""),49.13)</f>
        <v>49.13</v>
      </c>
      <c r="BR197" s="1">
        <f>IFERROR(__xludf.DUMMYFUNCTION("""COMPUTED_VALUE"""),11.25)</f>
        <v>11.25</v>
      </c>
      <c r="BS197" s="3">
        <f>IFERROR(__xludf.DUMMYFUNCTION("""COMPUTED_VALUE"""),228.03)</f>
        <v>228.03</v>
      </c>
      <c r="BT197" s="1">
        <f>IFERROR(__xludf.DUMMYFUNCTION("""COMPUTED_VALUE"""),108.66)</f>
        <v>108.66</v>
      </c>
      <c r="BU197" s="3">
        <v>1.0</v>
      </c>
    </row>
    <row r="198">
      <c r="A198" s="25">
        <f>IFERROR(__xludf.DUMMYFUNCTION("""COMPUTED_VALUE"""),45712.66666666667)</f>
        <v>45712.66667</v>
      </c>
      <c r="B198" s="29">
        <f>'Master Scratch Work'!B197</f>
        <v>1341127.6</v>
      </c>
      <c r="C198" s="15">
        <f>IFERROR(__xludf.DUMMYFUNCTION("""COMPUTED_VALUE"""),5983.25)</f>
        <v>5983.25</v>
      </c>
      <c r="D198" s="15">
        <f>IFERROR(__xludf.DUMMYFUNCTION("""COMPUTED_VALUE"""),19286.93)</f>
        <v>19286.93</v>
      </c>
      <c r="E198" s="15">
        <f>IFERROR(__xludf.DUMMYFUNCTION("""COMPUTED_VALUE"""),43461.21)</f>
        <v>43461.21</v>
      </c>
      <c r="F198" s="15">
        <f>IFERROR(__xludf.DUMMYFUNCTION("""COMPUTED_VALUE"""),2178.27)</f>
        <v>2178.27</v>
      </c>
      <c r="G198" s="3">
        <f>IFERROR(__xludf.DUMMYFUNCTION("""COMPUTED_VALUE"""),597.21)</f>
        <v>597.21</v>
      </c>
      <c r="H198" s="3">
        <f>IFERROR(__xludf.DUMMYFUNCTION("""COMPUTED_VALUE"""),519.87)</f>
        <v>519.87</v>
      </c>
      <c r="I198" s="3">
        <f>IFERROR(__xludf.DUMMYFUNCTION("""COMPUTED_VALUE"""),444.42)</f>
        <v>444.42</v>
      </c>
      <c r="J198" s="3">
        <f>IFERROR(__xludf.DUMMYFUNCTION("""COMPUTED_VALUE"""),212.71)</f>
        <v>212.71</v>
      </c>
      <c r="K198" s="3">
        <f>IFERROR(__xludf.DUMMYFUNCTION("""COMPUTED_VALUE"""),133.59)</f>
        <v>133.59</v>
      </c>
      <c r="L198" s="3">
        <f>IFERROR(__xludf.DUMMYFUNCTION("""COMPUTED_VALUE"""),247.1)</f>
        <v>247.1</v>
      </c>
      <c r="M198" s="3">
        <f>IFERROR(__xludf.DUMMYFUNCTION("""COMPUTED_VALUE"""),168.57)</f>
        <v>168.57</v>
      </c>
      <c r="N198" s="3">
        <f>IFERROR(__xludf.DUMMYFUNCTION("""COMPUTED_VALUE"""),88.01)</f>
        <v>88.01</v>
      </c>
      <c r="O198" s="3">
        <f>IFERROR(__xludf.DUMMYFUNCTION("""COMPUTED_VALUE"""),15.11)</f>
        <v>15.11</v>
      </c>
      <c r="P198" s="3">
        <f>IFERROR(__xludf.DUMMYFUNCTION("""COMPUTED_VALUE"""),498.42)</f>
        <v>498.42</v>
      </c>
      <c r="Q198" s="3">
        <f>IFERROR(__xludf.DUMMYFUNCTION("""COMPUTED_VALUE"""),51.09)</f>
        <v>51.09</v>
      </c>
      <c r="R198" s="3">
        <f>IFERROR(__xludf.DUMMYFUNCTION("""COMPUTED_VALUE"""),141.27)</f>
        <v>141.27</v>
      </c>
      <c r="S198" s="3">
        <f>IFERROR(__xludf.DUMMYFUNCTION("""COMPUTED_VALUE"""),104.39)</f>
        <v>104.39</v>
      </c>
      <c r="T198" s="3">
        <f>IFERROR(__xludf.DUMMYFUNCTION("""COMPUTED_VALUE"""),66.55)</f>
        <v>66.55</v>
      </c>
      <c r="U198" s="3">
        <f>IFERROR(__xludf.DUMMYFUNCTION("""COMPUTED_VALUE"""),338.92)</f>
        <v>338.92</v>
      </c>
      <c r="V198" s="3">
        <f>IFERROR(__xludf.DUMMYFUNCTION("""COMPUTED_VALUE"""),43.28)</f>
        <v>43.28</v>
      </c>
      <c r="W198" s="3">
        <f>IFERROR(__xludf.DUMMYFUNCTION("""COMPUTED_VALUE"""),215.21)</f>
        <v>215.21</v>
      </c>
      <c r="X198" s="3">
        <f>IFERROR(__xludf.DUMMYFUNCTION("""COMPUTED_VALUE"""),157.89)</f>
        <v>157.89</v>
      </c>
      <c r="Y198" s="1">
        <f>IFERROR(__xludf.DUMMYFUNCTION("""COMPUTED_VALUE"""),301.02)</f>
        <v>301.02</v>
      </c>
      <c r="Z198" s="1">
        <f>IFERROR(__xludf.DUMMYFUNCTION("""COMPUTED_VALUE"""),44.37)</f>
        <v>44.37</v>
      </c>
      <c r="AA198" s="1">
        <f>IFERROR(__xludf.DUMMYFUNCTION("""COMPUTED_VALUE"""),70.59)</f>
        <v>70.59</v>
      </c>
      <c r="AB198" s="1">
        <f>IFERROR(__xludf.DUMMYFUNCTION("""COMPUTED_VALUE"""),99.68)</f>
        <v>99.68</v>
      </c>
      <c r="AC198" s="1">
        <f>IFERROR(__xludf.DUMMYFUNCTION("""COMPUTED_VALUE"""),159.69)</f>
        <v>159.69</v>
      </c>
      <c r="AD198" s="3">
        <f>IFERROR(__xludf.DUMMYFUNCTION("""COMPUTED_VALUE"""),75.31)</f>
        <v>75.31</v>
      </c>
      <c r="AE198" s="1">
        <f>IFERROR(__xludf.DUMMYFUNCTION("""COMPUTED_VALUE"""),455.64)</f>
        <v>455.64</v>
      </c>
      <c r="AF198" s="1">
        <f>IFERROR(__xludf.DUMMYFUNCTION("""COMPUTED_VALUE"""),69.99)</f>
        <v>69.99</v>
      </c>
      <c r="AG198" s="1">
        <f>IFERROR(__xludf.DUMMYFUNCTION("""COMPUTED_VALUE"""),111.27)</f>
        <v>111.27</v>
      </c>
      <c r="AH198" s="1">
        <f>IFERROR(__xludf.DUMMYFUNCTION("""COMPUTED_VALUE"""),253.54)</f>
        <v>253.54</v>
      </c>
      <c r="AI198" s="1">
        <f>IFERROR(__xludf.DUMMYFUNCTION("""COMPUTED_VALUE"""),499.22)</f>
        <v>499.22</v>
      </c>
      <c r="AJ198" s="1">
        <f>IFERROR(__xludf.DUMMYFUNCTION("""COMPUTED_VALUE"""),246.27)</f>
        <v>246.27</v>
      </c>
      <c r="AK198" s="1">
        <f>IFERROR(__xludf.DUMMYFUNCTION("""COMPUTED_VALUE"""),46.57)</f>
        <v>46.57</v>
      </c>
      <c r="AL198" s="1">
        <f>IFERROR(__xludf.DUMMYFUNCTION("""COMPUTED_VALUE"""),111.03)</f>
        <v>111.03</v>
      </c>
      <c r="AM198" s="1">
        <f>IFERROR(__xludf.DUMMYFUNCTION("""COMPUTED_VALUE"""),626.14)</f>
        <v>626.14</v>
      </c>
      <c r="AN198" s="1">
        <f>IFERROR(__xludf.DUMMYFUNCTION("""COMPUTED_VALUE"""),382.42)</f>
        <v>382.42</v>
      </c>
      <c r="AO198" s="1">
        <f>IFERROR(__xludf.DUMMYFUNCTION("""COMPUTED_VALUE"""),125.3)</f>
        <v>125.3</v>
      </c>
      <c r="AP198" s="1">
        <f>IFERROR(__xludf.DUMMYFUNCTION("""COMPUTED_VALUE"""),168.42)</f>
        <v>168.42</v>
      </c>
      <c r="AQ198" s="3">
        <f>IFERROR(__xludf.DUMMYFUNCTION("""COMPUTED_VALUE"""),591.01)</f>
        <v>591.01</v>
      </c>
      <c r="AR198" s="3">
        <f>IFERROR(__xludf.DUMMYFUNCTION("""COMPUTED_VALUE"""),261.34)</f>
        <v>261.34</v>
      </c>
      <c r="AS198" s="3">
        <f>IFERROR(__xludf.DUMMYFUNCTION("""COMPUTED_VALUE"""),440.27)</f>
        <v>440.27</v>
      </c>
      <c r="AT198" s="3">
        <f>IFERROR(__xludf.DUMMYFUNCTION("""COMPUTED_VALUE"""),368.22)</f>
        <v>368.22</v>
      </c>
      <c r="AU198" s="1">
        <f>IFERROR(__xludf.DUMMYFUNCTION("""COMPUTED_VALUE"""),30.13)</f>
        <v>30.13</v>
      </c>
      <c r="AV198" s="1">
        <f>IFERROR(__xludf.DUMMYFUNCTION("""COMPUTED_VALUE"""),90.17)</f>
        <v>90.17</v>
      </c>
      <c r="AW198" s="1">
        <f>IFERROR(__xludf.DUMMYFUNCTION("""COMPUTED_VALUE"""),81.21)</f>
        <v>81.21</v>
      </c>
      <c r="AX198" s="3">
        <f>IFERROR(__xludf.DUMMYFUNCTION("""COMPUTED_VALUE"""),24.27)</f>
        <v>24.27</v>
      </c>
      <c r="AY198" s="1">
        <f>IFERROR(__xludf.DUMMYFUNCTION("""COMPUTED_VALUE"""),404.0)</f>
        <v>404</v>
      </c>
      <c r="AZ198" s="3">
        <f>IFERROR(__xludf.DUMMYFUNCTION("""COMPUTED_VALUE"""),70.8)</f>
        <v>70.8</v>
      </c>
      <c r="BA198" s="3">
        <f>IFERROR(__xludf.DUMMYFUNCTION("""COMPUTED_VALUE"""),103.43)</f>
        <v>103.43</v>
      </c>
      <c r="BB198" s="3">
        <f>IFERROR(__xludf.DUMMYFUNCTION("""COMPUTED_VALUE"""),130.28)</f>
        <v>130.28</v>
      </c>
      <c r="BC198" s="1">
        <f>IFERROR(__xludf.DUMMYFUNCTION("""COMPUTED_VALUE"""),98.68)</f>
        <v>98.68</v>
      </c>
      <c r="BD198" s="3">
        <f>IFERROR(__xludf.DUMMYFUNCTION("""COMPUTED_VALUE"""),48.75)</f>
        <v>48.75</v>
      </c>
      <c r="BE198" s="3">
        <f>IFERROR(__xludf.DUMMYFUNCTION("""COMPUTED_VALUE"""),90.68)</f>
        <v>90.68</v>
      </c>
      <c r="BF198" s="1">
        <f>IFERROR(__xludf.DUMMYFUNCTION("""COMPUTED_VALUE"""),75.25)</f>
        <v>75.25</v>
      </c>
      <c r="BG198" s="1">
        <f>IFERROR(__xludf.DUMMYFUNCTION("""COMPUTED_VALUE"""),26.65)</f>
        <v>26.65</v>
      </c>
      <c r="BH198" s="1">
        <f>IFERROR(__xludf.DUMMYFUNCTION("""COMPUTED_VALUE"""),125.43)</f>
        <v>125.43</v>
      </c>
      <c r="BI198" s="1">
        <f>IFERROR(__xludf.DUMMYFUNCTION("""COMPUTED_VALUE"""),41.23)</f>
        <v>41.23</v>
      </c>
      <c r="BJ198" s="1">
        <f>IFERROR(__xludf.DUMMYFUNCTION("""COMPUTED_VALUE"""),268.13)</f>
        <v>268.13</v>
      </c>
      <c r="BK198" s="1">
        <f>IFERROR(__xludf.DUMMYFUNCTION("""COMPUTED_VALUE"""),535.55)</f>
        <v>535.55</v>
      </c>
      <c r="BL198" s="1">
        <f>IFERROR(__xludf.DUMMYFUNCTION("""COMPUTED_VALUE"""),176.62)</f>
        <v>176.62</v>
      </c>
      <c r="BM198" s="1">
        <f>IFERROR(__xludf.DUMMYFUNCTION("""COMPUTED_VALUE"""),77.12)</f>
        <v>77.12</v>
      </c>
      <c r="BN198" s="3">
        <f>IFERROR(__xludf.DUMMYFUNCTION("""COMPUTED_VALUE"""),7.21)</f>
        <v>7.21</v>
      </c>
      <c r="BO198" s="1">
        <f>IFERROR(__xludf.DUMMYFUNCTION("""COMPUTED_VALUE"""),242.33)</f>
        <v>242.33</v>
      </c>
      <c r="BP198" s="1">
        <f>IFERROR(__xludf.DUMMYFUNCTION("""COMPUTED_VALUE"""),461.52)</f>
        <v>461.52</v>
      </c>
      <c r="BQ198" s="36">
        <f>IFERROR(__xludf.DUMMYFUNCTION("""COMPUTED_VALUE"""),49.18)</f>
        <v>49.18</v>
      </c>
      <c r="BR198" s="1">
        <f>IFERROR(__xludf.DUMMYFUNCTION("""COMPUTED_VALUE"""),11.39)</f>
        <v>11.39</v>
      </c>
      <c r="BS198" s="3">
        <f>IFERROR(__xludf.DUMMYFUNCTION("""COMPUTED_VALUE"""),229.68)</f>
        <v>229.68</v>
      </c>
      <c r="BT198" s="1">
        <f>IFERROR(__xludf.DUMMYFUNCTION("""COMPUTED_VALUE"""),111.2)</f>
        <v>111.2</v>
      </c>
      <c r="BU198" s="3">
        <v>1.0</v>
      </c>
    </row>
    <row r="199">
      <c r="A199" s="25">
        <f>IFERROR(__xludf.DUMMYFUNCTION("""COMPUTED_VALUE"""),45713.66666666667)</f>
        <v>45713.66667</v>
      </c>
      <c r="B199" s="29">
        <f>'Master Scratch Work'!B198</f>
        <v>1343829.19</v>
      </c>
      <c r="C199" s="15">
        <f>IFERROR(__xludf.DUMMYFUNCTION("""COMPUTED_VALUE"""),5955.25)</f>
        <v>5955.25</v>
      </c>
      <c r="D199" s="15">
        <f>IFERROR(__xludf.DUMMYFUNCTION("""COMPUTED_VALUE"""),19026.39)</f>
        <v>19026.39</v>
      </c>
      <c r="E199" s="15">
        <f>IFERROR(__xludf.DUMMYFUNCTION("""COMPUTED_VALUE"""),43621.16)</f>
        <v>43621.16</v>
      </c>
      <c r="F199" s="15">
        <f>IFERROR(__xludf.DUMMYFUNCTION("""COMPUTED_VALUE"""),2170.08)</f>
        <v>2170.08</v>
      </c>
      <c r="G199" s="3">
        <f>IFERROR(__xludf.DUMMYFUNCTION("""COMPUTED_VALUE"""),594.24)</f>
        <v>594.24</v>
      </c>
      <c r="H199" s="3">
        <f>IFERROR(__xludf.DUMMYFUNCTION("""COMPUTED_VALUE"""),513.32)</f>
        <v>513.32</v>
      </c>
      <c r="I199" s="3">
        <f>IFERROR(__xludf.DUMMYFUNCTION("""COMPUTED_VALUE"""),443.41)</f>
        <v>443.41</v>
      </c>
      <c r="J199" s="3">
        <f>IFERROR(__xludf.DUMMYFUNCTION("""COMPUTED_VALUE"""),212.8)</f>
        <v>212.8</v>
      </c>
      <c r="K199" s="3">
        <f>IFERROR(__xludf.DUMMYFUNCTION("""COMPUTED_VALUE"""),137.25)</f>
        <v>137.25</v>
      </c>
      <c r="L199" s="3">
        <f>IFERROR(__xludf.DUMMYFUNCTION("""COMPUTED_VALUE"""),247.04)</f>
        <v>247.04</v>
      </c>
      <c r="M199" s="3">
        <f>IFERROR(__xludf.DUMMYFUNCTION("""COMPUTED_VALUE"""),165.54)</f>
        <v>165.54</v>
      </c>
      <c r="N199" s="3">
        <f>IFERROR(__xludf.DUMMYFUNCTION("""COMPUTED_VALUE"""),86.75)</f>
        <v>86.75</v>
      </c>
      <c r="O199" s="3">
        <f>IFERROR(__xludf.DUMMYFUNCTION("""COMPUTED_VALUE"""),15.45)</f>
        <v>15.45</v>
      </c>
      <c r="P199" s="3">
        <f>IFERROR(__xludf.DUMMYFUNCTION("""COMPUTED_VALUE"""),499.82)</f>
        <v>499.82</v>
      </c>
      <c r="Q199" s="3">
        <f>IFERROR(__xludf.DUMMYFUNCTION("""COMPUTED_VALUE"""),50.7)</f>
        <v>50.7</v>
      </c>
      <c r="R199" s="3">
        <f>IFERROR(__xludf.DUMMYFUNCTION("""COMPUTED_VALUE"""),143.46)</f>
        <v>143.46</v>
      </c>
      <c r="S199" s="3">
        <f>IFERROR(__xludf.DUMMYFUNCTION("""COMPUTED_VALUE"""),100.72)</f>
        <v>100.72</v>
      </c>
      <c r="T199" s="3">
        <f>IFERROR(__xludf.DUMMYFUNCTION("""COMPUTED_VALUE"""),67.2)</f>
        <v>67.2</v>
      </c>
      <c r="U199" s="3">
        <f>IFERROR(__xludf.DUMMYFUNCTION("""COMPUTED_VALUE"""),342.36)</f>
        <v>342.36</v>
      </c>
      <c r="V199" s="3">
        <f>IFERROR(__xludf.DUMMYFUNCTION("""COMPUTED_VALUE"""),43.59)</f>
        <v>43.59</v>
      </c>
      <c r="W199" s="3">
        <f>IFERROR(__xludf.DUMMYFUNCTION("""COMPUTED_VALUE"""),218.63)</f>
        <v>218.63</v>
      </c>
      <c r="X199" s="3">
        <f>IFERROR(__xludf.DUMMYFUNCTION("""COMPUTED_VALUE"""),156.42)</f>
        <v>156.42</v>
      </c>
      <c r="Y199" s="1">
        <f>IFERROR(__xludf.DUMMYFUNCTION("""COMPUTED_VALUE"""),313.9)</f>
        <v>313.9</v>
      </c>
      <c r="Z199" s="1">
        <f>IFERROR(__xludf.DUMMYFUNCTION("""COMPUTED_VALUE"""),44.41)</f>
        <v>44.41</v>
      </c>
      <c r="AA199" s="1">
        <f>IFERROR(__xludf.DUMMYFUNCTION("""COMPUTED_VALUE"""),71.49)</f>
        <v>71.49</v>
      </c>
      <c r="AB199" s="1">
        <f>IFERROR(__xludf.DUMMYFUNCTION("""COMPUTED_VALUE"""),100.97)</f>
        <v>100.97</v>
      </c>
      <c r="AC199" s="1">
        <f>IFERROR(__xludf.DUMMYFUNCTION("""COMPUTED_VALUE"""),158.16)</f>
        <v>158.16</v>
      </c>
      <c r="AD199" s="3">
        <f>IFERROR(__xludf.DUMMYFUNCTION("""COMPUTED_VALUE"""),76.22)</f>
        <v>76.22</v>
      </c>
      <c r="AE199" s="1">
        <f>IFERROR(__xludf.DUMMYFUNCTION("""COMPUTED_VALUE"""),470.14)</f>
        <v>470.14</v>
      </c>
      <c r="AF199" s="1">
        <f>IFERROR(__xludf.DUMMYFUNCTION("""COMPUTED_VALUE"""),70.93)</f>
        <v>70.93</v>
      </c>
      <c r="AG199" s="1">
        <f>IFERROR(__xludf.DUMMYFUNCTION("""COMPUTED_VALUE"""),109.73)</f>
        <v>109.73</v>
      </c>
      <c r="AH199" s="1">
        <f>IFERROR(__xludf.DUMMYFUNCTION("""COMPUTED_VALUE"""),256.48)</f>
        <v>256.48</v>
      </c>
      <c r="AI199" s="1">
        <f>IFERROR(__xludf.DUMMYFUNCTION("""COMPUTED_VALUE"""),504.5)</f>
        <v>504.5</v>
      </c>
      <c r="AJ199" s="1">
        <f>IFERROR(__xludf.DUMMYFUNCTION("""COMPUTED_VALUE"""),249.91)</f>
        <v>249.91</v>
      </c>
      <c r="AK199" s="1">
        <f>IFERROR(__xludf.DUMMYFUNCTION("""COMPUTED_VALUE"""),46.71)</f>
        <v>46.71</v>
      </c>
      <c r="AL199" s="1">
        <f>IFERROR(__xludf.DUMMYFUNCTION("""COMPUTED_VALUE"""),111.53)</f>
        <v>111.53</v>
      </c>
      <c r="AM199" s="1">
        <f>IFERROR(__xludf.DUMMYFUNCTION("""COMPUTED_VALUE"""),614.91)</f>
        <v>614.91</v>
      </c>
      <c r="AN199" s="1">
        <f>IFERROR(__xludf.DUMMYFUNCTION("""COMPUTED_VALUE"""),393.29)</f>
        <v>393.29</v>
      </c>
      <c r="AO199" s="1">
        <f>IFERROR(__xludf.DUMMYFUNCTION("""COMPUTED_VALUE"""),125.33)</f>
        <v>125.33</v>
      </c>
      <c r="AP199" s="1">
        <f>IFERROR(__xludf.DUMMYFUNCTION("""COMPUTED_VALUE"""),171.21)</f>
        <v>171.21</v>
      </c>
      <c r="AQ199" s="3">
        <f>IFERROR(__xludf.DUMMYFUNCTION("""COMPUTED_VALUE"""),573.74)</f>
        <v>573.74</v>
      </c>
      <c r="AR199" s="3">
        <f>IFERROR(__xludf.DUMMYFUNCTION("""COMPUTED_VALUE"""),257.4)</f>
        <v>257.4</v>
      </c>
      <c r="AS199" s="3">
        <f>IFERROR(__xludf.DUMMYFUNCTION("""COMPUTED_VALUE"""),448.46)</f>
        <v>448.46</v>
      </c>
      <c r="AT199" s="3">
        <f>IFERROR(__xludf.DUMMYFUNCTION("""COMPUTED_VALUE"""),366.72)</f>
        <v>366.72</v>
      </c>
      <c r="AU199" s="1">
        <f>IFERROR(__xludf.DUMMYFUNCTION("""COMPUTED_VALUE"""),30.72)</f>
        <v>30.72</v>
      </c>
      <c r="AV199" s="1">
        <f>IFERROR(__xludf.DUMMYFUNCTION("""COMPUTED_VALUE"""),90.48)</f>
        <v>90.48</v>
      </c>
      <c r="AW199" s="1">
        <f>IFERROR(__xludf.DUMMYFUNCTION("""COMPUTED_VALUE"""),82.2)</f>
        <v>82.2</v>
      </c>
      <c r="AX199" s="3">
        <f>IFERROR(__xludf.DUMMYFUNCTION("""COMPUTED_VALUE"""),23.56)</f>
        <v>23.56</v>
      </c>
      <c r="AY199" s="1">
        <f>IFERROR(__xludf.DUMMYFUNCTION("""COMPUTED_VALUE"""),397.9)</f>
        <v>397.9</v>
      </c>
      <c r="AZ199" s="3">
        <f>IFERROR(__xludf.DUMMYFUNCTION("""COMPUTED_VALUE"""),71.28)</f>
        <v>71.28</v>
      </c>
      <c r="BA199" s="3">
        <f>IFERROR(__xludf.DUMMYFUNCTION("""COMPUTED_VALUE"""),102.44)</f>
        <v>102.44</v>
      </c>
      <c r="BB199" s="3">
        <f>IFERROR(__xludf.DUMMYFUNCTION("""COMPUTED_VALUE"""),126.63)</f>
        <v>126.63</v>
      </c>
      <c r="BC199" s="1">
        <f>IFERROR(__xludf.DUMMYFUNCTION("""COMPUTED_VALUE"""),100.05)</f>
        <v>100.05</v>
      </c>
      <c r="BD199" s="3">
        <f>IFERROR(__xludf.DUMMYFUNCTION("""COMPUTED_VALUE"""),48.4)</f>
        <v>48.4</v>
      </c>
      <c r="BE199" s="3">
        <f>IFERROR(__xludf.DUMMYFUNCTION("""COMPUTED_VALUE"""),87.84)</f>
        <v>87.84</v>
      </c>
      <c r="BF199" s="1">
        <f>IFERROR(__xludf.DUMMYFUNCTION("""COMPUTED_VALUE"""),74.07)</f>
        <v>74.07</v>
      </c>
      <c r="BG199" s="1">
        <f>IFERROR(__xludf.DUMMYFUNCTION("""COMPUTED_VALUE"""),26.74)</f>
        <v>26.74</v>
      </c>
      <c r="BH199" s="1">
        <f>IFERROR(__xludf.DUMMYFUNCTION("""COMPUTED_VALUE"""),127.34)</f>
        <v>127.34</v>
      </c>
      <c r="BI199" s="1">
        <f>IFERROR(__xludf.DUMMYFUNCTION("""COMPUTED_VALUE"""),41.34)</f>
        <v>41.34</v>
      </c>
      <c r="BJ199" s="1">
        <f>IFERROR(__xludf.DUMMYFUNCTION("""COMPUTED_VALUE"""),270.54)</f>
        <v>270.54</v>
      </c>
      <c r="BK199" s="1">
        <f>IFERROR(__xludf.DUMMYFUNCTION("""COMPUTED_VALUE"""),539.55)</f>
        <v>539.55</v>
      </c>
      <c r="BL199" s="1">
        <f>IFERROR(__xludf.DUMMYFUNCTION("""COMPUTED_VALUE"""),179.46)</f>
        <v>179.46</v>
      </c>
      <c r="BM199" s="1">
        <f>IFERROR(__xludf.DUMMYFUNCTION("""COMPUTED_VALUE"""),73.0)</f>
        <v>73</v>
      </c>
      <c r="BN199" s="3">
        <f>IFERROR(__xludf.DUMMYFUNCTION("""COMPUTED_VALUE"""),7.11)</f>
        <v>7.11</v>
      </c>
      <c r="BO199" s="1">
        <f>IFERROR(__xludf.DUMMYFUNCTION("""COMPUTED_VALUE"""),245.89)</f>
        <v>245.89</v>
      </c>
      <c r="BP199" s="1">
        <f>IFERROR(__xludf.DUMMYFUNCTION("""COMPUTED_VALUE"""),470.38)</f>
        <v>470.38</v>
      </c>
      <c r="BQ199" s="36">
        <f>IFERROR(__xludf.DUMMYFUNCTION("""COMPUTED_VALUE"""),49.24)</f>
        <v>49.24</v>
      </c>
      <c r="BR199" s="1">
        <f>IFERROR(__xludf.DUMMYFUNCTION("""COMPUTED_VALUE"""),11.48)</f>
        <v>11.48</v>
      </c>
      <c r="BS199" s="3">
        <f>IFERROR(__xludf.DUMMYFUNCTION("""COMPUTED_VALUE"""),230.75)</f>
        <v>230.75</v>
      </c>
      <c r="BT199" s="1">
        <f>IFERROR(__xludf.DUMMYFUNCTION("""COMPUTED_VALUE"""),110.53)</f>
        <v>110.53</v>
      </c>
      <c r="BU199" s="3">
        <v>1.0</v>
      </c>
    </row>
    <row r="200">
      <c r="A200" s="25">
        <f>IFERROR(__xludf.DUMMYFUNCTION("""COMPUTED_VALUE"""),45714.66666666667)</f>
        <v>45714.66667</v>
      </c>
      <c r="B200" s="29">
        <f>'Master Scratch Work'!B199</f>
        <v>1343563.24</v>
      </c>
      <c r="C200" s="15">
        <f>IFERROR(__xludf.DUMMYFUNCTION("""COMPUTED_VALUE"""),5956.06)</f>
        <v>5956.06</v>
      </c>
      <c r="D200" s="15">
        <f>IFERROR(__xludf.DUMMYFUNCTION("""COMPUTED_VALUE"""),19075.26)</f>
        <v>19075.26</v>
      </c>
      <c r="E200" s="15">
        <f>IFERROR(__xludf.DUMMYFUNCTION("""COMPUTED_VALUE"""),43433.12)</f>
        <v>43433.12</v>
      </c>
      <c r="F200" s="15">
        <f>IFERROR(__xludf.DUMMYFUNCTION("""COMPUTED_VALUE"""),2174.17)</f>
        <v>2174.17</v>
      </c>
      <c r="G200" s="3">
        <f>IFERROR(__xludf.DUMMYFUNCTION("""COMPUTED_VALUE"""),594.54)</f>
        <v>594.54</v>
      </c>
      <c r="H200" s="3">
        <f>IFERROR(__xludf.DUMMYFUNCTION("""COMPUTED_VALUE"""),514.56)</f>
        <v>514.56</v>
      </c>
      <c r="I200" s="3">
        <f>IFERROR(__xludf.DUMMYFUNCTION("""COMPUTED_VALUE"""),441.5)</f>
        <v>441.5</v>
      </c>
      <c r="J200" s="3">
        <f>IFERROR(__xludf.DUMMYFUNCTION("""COMPUTED_VALUE"""),214.35)</f>
        <v>214.35</v>
      </c>
      <c r="K200" s="3">
        <f>IFERROR(__xludf.DUMMYFUNCTION("""COMPUTED_VALUE"""),135.06)</f>
        <v>135.06</v>
      </c>
      <c r="L200" s="3">
        <f>IFERROR(__xludf.DUMMYFUNCTION("""COMPUTED_VALUE"""),240.36)</f>
        <v>240.36</v>
      </c>
      <c r="M200" s="3">
        <f>IFERROR(__xludf.DUMMYFUNCTION("""COMPUTED_VALUE"""),168.51)</f>
        <v>168.51</v>
      </c>
      <c r="N200" s="3">
        <f>IFERROR(__xludf.DUMMYFUNCTION("""COMPUTED_VALUE"""),86.34)</f>
        <v>86.34</v>
      </c>
      <c r="O200" s="3">
        <f>IFERROR(__xludf.DUMMYFUNCTION("""COMPUTED_VALUE"""),15.78)</f>
        <v>15.78</v>
      </c>
      <c r="P200" s="3">
        <f>IFERROR(__xludf.DUMMYFUNCTION("""COMPUTED_VALUE"""),494.1)</f>
        <v>494.1</v>
      </c>
      <c r="Q200" s="3">
        <f>IFERROR(__xludf.DUMMYFUNCTION("""COMPUTED_VALUE"""),50.22)</f>
        <v>50.22</v>
      </c>
      <c r="R200" s="3">
        <f>IFERROR(__xludf.DUMMYFUNCTION("""COMPUTED_VALUE"""),140.49)</f>
        <v>140.49</v>
      </c>
      <c r="S200" s="3">
        <f>IFERROR(__xludf.DUMMYFUNCTION("""COMPUTED_VALUE"""),101.56)</f>
        <v>101.56</v>
      </c>
      <c r="T200" s="3">
        <f>IFERROR(__xludf.DUMMYFUNCTION("""COMPUTED_VALUE"""),66.1)</f>
        <v>66.1</v>
      </c>
      <c r="U200" s="3">
        <f>IFERROR(__xludf.DUMMYFUNCTION("""COMPUTED_VALUE"""),342.58)</f>
        <v>342.58</v>
      </c>
      <c r="V200" s="3">
        <f>IFERROR(__xludf.DUMMYFUNCTION("""COMPUTED_VALUE"""),44.72)</f>
        <v>44.72</v>
      </c>
      <c r="W200" s="3">
        <f>IFERROR(__xludf.DUMMYFUNCTION("""COMPUTED_VALUE"""),220.92)</f>
        <v>220.92</v>
      </c>
      <c r="X200" s="3">
        <f>IFERROR(__xludf.DUMMYFUNCTION("""COMPUTED_VALUE"""),155.14)</f>
        <v>155.14</v>
      </c>
      <c r="Y200" s="1">
        <f>IFERROR(__xludf.DUMMYFUNCTION("""COMPUTED_VALUE"""),305.34)</f>
        <v>305.34</v>
      </c>
      <c r="Z200" s="1">
        <f>IFERROR(__xludf.DUMMYFUNCTION("""COMPUTED_VALUE"""),44.99)</f>
        <v>44.99</v>
      </c>
      <c r="AA200" s="1">
        <f>IFERROR(__xludf.DUMMYFUNCTION("""COMPUTED_VALUE"""),70.8)</f>
        <v>70.8</v>
      </c>
      <c r="AB200" s="1">
        <f>IFERROR(__xludf.DUMMYFUNCTION("""COMPUTED_VALUE"""),99.96)</f>
        <v>99.96</v>
      </c>
      <c r="AC200" s="1">
        <f>IFERROR(__xludf.DUMMYFUNCTION("""COMPUTED_VALUE"""),159.38)</f>
        <v>159.38</v>
      </c>
      <c r="AD200" s="3">
        <f>IFERROR(__xludf.DUMMYFUNCTION("""COMPUTED_VALUE"""),74.14)</f>
        <v>74.14</v>
      </c>
      <c r="AE200" s="1">
        <f>IFERROR(__xludf.DUMMYFUNCTION("""COMPUTED_VALUE"""),479.11)</f>
        <v>479.11</v>
      </c>
      <c r="AF200" s="1">
        <f>IFERROR(__xludf.DUMMYFUNCTION("""COMPUTED_VALUE"""),69.14)</f>
        <v>69.14</v>
      </c>
      <c r="AG200" s="1">
        <f>IFERROR(__xludf.DUMMYFUNCTION("""COMPUTED_VALUE"""),109.46)</f>
        <v>109.46</v>
      </c>
      <c r="AH200" s="1">
        <f>IFERROR(__xludf.DUMMYFUNCTION("""COMPUTED_VALUE"""),256.12)</f>
        <v>256.12</v>
      </c>
      <c r="AI200" s="1">
        <f>IFERROR(__xludf.DUMMYFUNCTION("""COMPUTED_VALUE"""),480.0)</f>
        <v>480</v>
      </c>
      <c r="AJ200" s="1">
        <f>IFERROR(__xludf.DUMMYFUNCTION("""COMPUTED_VALUE"""),249.24)</f>
        <v>249.24</v>
      </c>
      <c r="AK200" s="1">
        <f>IFERROR(__xludf.DUMMYFUNCTION("""COMPUTED_VALUE"""),48.46)</f>
        <v>48.46</v>
      </c>
      <c r="AL200" s="1">
        <f>IFERROR(__xludf.DUMMYFUNCTION("""COMPUTED_VALUE"""),110.46)</f>
        <v>110.46</v>
      </c>
      <c r="AM200" s="1">
        <f>IFERROR(__xludf.DUMMYFUNCTION("""COMPUTED_VALUE"""),617.77)</f>
        <v>617.77</v>
      </c>
      <c r="AN200" s="1">
        <f>IFERROR(__xludf.DUMMYFUNCTION("""COMPUTED_VALUE"""),390.48)</f>
        <v>390.48</v>
      </c>
      <c r="AO200" s="1">
        <f>IFERROR(__xludf.DUMMYFUNCTION("""COMPUTED_VALUE"""),148.18)</f>
        <v>148.18</v>
      </c>
      <c r="AP200" s="1">
        <f>IFERROR(__xludf.DUMMYFUNCTION("""COMPUTED_VALUE"""),171.17)</f>
        <v>171.17</v>
      </c>
      <c r="AQ200" s="3">
        <f>IFERROR(__xludf.DUMMYFUNCTION("""COMPUTED_VALUE"""),580.93)</f>
        <v>580.93</v>
      </c>
      <c r="AR200" s="3">
        <f>IFERROR(__xludf.DUMMYFUNCTION("""COMPUTED_VALUE"""),258.79)</f>
        <v>258.79</v>
      </c>
      <c r="AS200" s="3">
        <f>IFERROR(__xludf.DUMMYFUNCTION("""COMPUTED_VALUE"""),441.5)</f>
        <v>441.5</v>
      </c>
      <c r="AT200" s="3">
        <f>IFERROR(__xludf.DUMMYFUNCTION("""COMPUTED_VALUE"""),366.03)</f>
        <v>366.03</v>
      </c>
      <c r="AU200" s="1">
        <f>IFERROR(__xludf.DUMMYFUNCTION("""COMPUTED_VALUE"""),30.8)</f>
        <v>30.8</v>
      </c>
      <c r="AV200" s="1">
        <f>IFERROR(__xludf.DUMMYFUNCTION("""COMPUTED_VALUE"""),90.58)</f>
        <v>90.58</v>
      </c>
      <c r="AW200" s="1">
        <f>IFERROR(__xludf.DUMMYFUNCTION("""COMPUTED_VALUE"""),82.54)</f>
        <v>82.54</v>
      </c>
      <c r="AX200" s="3">
        <f>IFERROR(__xludf.DUMMYFUNCTION("""COMPUTED_VALUE"""),23.77)</f>
        <v>23.77</v>
      </c>
      <c r="AY200" s="1">
        <f>IFERROR(__xludf.DUMMYFUNCTION("""COMPUTED_VALUE"""),399.73)</f>
        <v>399.73</v>
      </c>
      <c r="AZ200" s="3">
        <f>IFERROR(__xludf.DUMMYFUNCTION("""COMPUTED_VALUE"""),71.01)</f>
        <v>71.01</v>
      </c>
      <c r="BA200" s="3">
        <f>IFERROR(__xludf.DUMMYFUNCTION("""COMPUTED_VALUE"""),113.33)</f>
        <v>113.33</v>
      </c>
      <c r="BB200" s="3">
        <f>IFERROR(__xludf.DUMMYFUNCTION("""COMPUTED_VALUE"""),131.28)</f>
        <v>131.28</v>
      </c>
      <c r="BC200" s="1">
        <f>IFERROR(__xludf.DUMMYFUNCTION("""COMPUTED_VALUE"""),98.73)</f>
        <v>98.73</v>
      </c>
      <c r="BD200" s="3">
        <f>IFERROR(__xludf.DUMMYFUNCTION("""COMPUTED_VALUE"""),49.89)</f>
        <v>49.89</v>
      </c>
      <c r="BE200" s="3">
        <f>IFERROR(__xludf.DUMMYFUNCTION("""COMPUTED_VALUE"""),89.31)</f>
        <v>89.31</v>
      </c>
      <c r="BF200" s="1">
        <f>IFERROR(__xludf.DUMMYFUNCTION("""COMPUTED_VALUE"""),72.05)</f>
        <v>72.05</v>
      </c>
      <c r="BG200" s="1">
        <f>IFERROR(__xludf.DUMMYFUNCTION("""COMPUTED_VALUE"""),26.42)</f>
        <v>26.42</v>
      </c>
      <c r="BH200" s="1">
        <f>IFERROR(__xludf.DUMMYFUNCTION("""COMPUTED_VALUE"""),127.31)</f>
        <v>127.31</v>
      </c>
      <c r="BI200" s="1">
        <f>IFERROR(__xludf.DUMMYFUNCTION("""COMPUTED_VALUE"""),40.5)</f>
        <v>40.5</v>
      </c>
      <c r="BJ200" s="1">
        <f>IFERROR(__xludf.DUMMYFUNCTION("""COMPUTED_VALUE"""),263.58)</f>
        <v>263.58</v>
      </c>
      <c r="BK200" s="1">
        <f>IFERROR(__xludf.DUMMYFUNCTION("""COMPUTED_VALUE"""),533.29)</f>
        <v>533.29</v>
      </c>
      <c r="BL200" s="1">
        <f>IFERROR(__xludf.DUMMYFUNCTION("""COMPUTED_VALUE"""),181.21)</f>
        <v>181.21</v>
      </c>
      <c r="BM200" s="1">
        <f>IFERROR(__xludf.DUMMYFUNCTION("""COMPUTED_VALUE"""),73.76)</f>
        <v>73.76</v>
      </c>
      <c r="BN200" s="3">
        <f>IFERROR(__xludf.DUMMYFUNCTION("""COMPUTED_VALUE"""),6.98)</f>
        <v>6.98</v>
      </c>
      <c r="BO200" s="1">
        <f>IFERROR(__xludf.DUMMYFUNCTION("""COMPUTED_VALUE"""),245.48)</f>
        <v>245.48</v>
      </c>
      <c r="BP200" s="1">
        <f>IFERROR(__xludf.DUMMYFUNCTION("""COMPUTED_VALUE"""),463.59)</f>
        <v>463.59</v>
      </c>
      <c r="BQ200" s="36">
        <f>IFERROR(__xludf.DUMMYFUNCTION("""COMPUTED_VALUE"""),49.27)</f>
        <v>49.27</v>
      </c>
      <c r="BR200" s="1">
        <f>IFERROR(__xludf.DUMMYFUNCTION("""COMPUTED_VALUE"""),11.24)</f>
        <v>11.24</v>
      </c>
      <c r="BS200" s="3">
        <f>IFERROR(__xludf.DUMMYFUNCTION("""COMPUTED_VALUE"""),228.69)</f>
        <v>228.69</v>
      </c>
      <c r="BT200" s="1">
        <f>IFERROR(__xludf.DUMMYFUNCTION("""COMPUTED_VALUE"""),111.83)</f>
        <v>111.83</v>
      </c>
      <c r="BU200" s="3">
        <v>1.0</v>
      </c>
    </row>
    <row r="201">
      <c r="A201" s="25">
        <f>IFERROR(__xludf.DUMMYFUNCTION("""COMPUTED_VALUE"""),45715.66666666667)</f>
        <v>45715.66667</v>
      </c>
      <c r="B201" s="29">
        <f>'Master Scratch Work'!B200</f>
        <v>1332228.39</v>
      </c>
      <c r="C201" s="15">
        <f>IFERROR(__xludf.DUMMYFUNCTION("""COMPUTED_VALUE"""),5861.57)</f>
        <v>5861.57</v>
      </c>
      <c r="D201" s="15">
        <f>IFERROR(__xludf.DUMMYFUNCTION("""COMPUTED_VALUE"""),18544.42)</f>
        <v>18544.42</v>
      </c>
      <c r="E201" s="15">
        <f>IFERROR(__xludf.DUMMYFUNCTION("""COMPUTED_VALUE"""),43239.5)</f>
        <v>43239.5</v>
      </c>
      <c r="F201" s="15">
        <f>IFERROR(__xludf.DUMMYFUNCTION("""COMPUTED_VALUE"""),2139.66)</f>
        <v>2139.66</v>
      </c>
      <c r="G201" s="3">
        <f>IFERROR(__xludf.DUMMYFUNCTION("""COMPUTED_VALUE"""),585.05)</f>
        <v>585.05</v>
      </c>
      <c r="H201" s="3">
        <f>IFERROR(__xludf.DUMMYFUNCTION("""COMPUTED_VALUE"""),500.27)</f>
        <v>500.27</v>
      </c>
      <c r="I201" s="3">
        <f>IFERROR(__xludf.DUMMYFUNCTION("""COMPUTED_VALUE"""),437.19)</f>
        <v>437.19</v>
      </c>
      <c r="J201" s="3">
        <f>IFERROR(__xludf.DUMMYFUNCTION("""COMPUTED_VALUE"""),208.74)</f>
        <v>208.74</v>
      </c>
      <c r="K201" s="3">
        <f>IFERROR(__xludf.DUMMYFUNCTION("""COMPUTED_VALUE"""),134.02)</f>
        <v>134.02</v>
      </c>
      <c r="L201" s="3">
        <f>IFERROR(__xludf.DUMMYFUNCTION("""COMPUTED_VALUE"""),237.3)</f>
        <v>237.3</v>
      </c>
      <c r="M201" s="3">
        <f>IFERROR(__xludf.DUMMYFUNCTION("""COMPUTED_VALUE"""),156.64)</f>
        <v>156.64</v>
      </c>
      <c r="N201" s="3">
        <f>IFERROR(__xludf.DUMMYFUNCTION("""COMPUTED_VALUE"""),86.89)</f>
        <v>86.89</v>
      </c>
      <c r="O201" s="3">
        <f>IFERROR(__xludf.DUMMYFUNCTION("""COMPUTED_VALUE"""),15.69)</f>
        <v>15.69</v>
      </c>
      <c r="P201" s="3">
        <f>IFERROR(__xludf.DUMMYFUNCTION("""COMPUTED_VALUE"""),502.41)</f>
        <v>502.41</v>
      </c>
      <c r="Q201" s="3">
        <f>IFERROR(__xludf.DUMMYFUNCTION("""COMPUTED_VALUE"""),49.36)</f>
        <v>49.36</v>
      </c>
      <c r="R201" s="3">
        <f>IFERROR(__xludf.DUMMYFUNCTION("""COMPUTED_VALUE"""),139.88)</f>
        <v>139.88</v>
      </c>
      <c r="S201" s="3">
        <f>IFERROR(__xludf.DUMMYFUNCTION("""COMPUTED_VALUE"""),100.8)</f>
        <v>100.8</v>
      </c>
      <c r="T201" s="3">
        <f>IFERROR(__xludf.DUMMYFUNCTION("""COMPUTED_VALUE"""),64.08)</f>
        <v>64.08</v>
      </c>
      <c r="U201" s="3">
        <f>IFERROR(__xludf.DUMMYFUNCTION("""COMPUTED_VALUE"""),340.0)</f>
        <v>340</v>
      </c>
      <c r="V201" s="3">
        <f>IFERROR(__xludf.DUMMYFUNCTION("""COMPUTED_VALUE"""),43.48)</f>
        <v>43.48</v>
      </c>
      <c r="W201" s="3">
        <f>IFERROR(__xludf.DUMMYFUNCTION("""COMPUTED_VALUE"""),216.69)</f>
        <v>216.69</v>
      </c>
      <c r="X201" s="3">
        <f>IFERROR(__xludf.DUMMYFUNCTION("""COMPUTED_VALUE"""),156.67)</f>
        <v>156.67</v>
      </c>
      <c r="Y201" s="1">
        <f>IFERROR(__xludf.DUMMYFUNCTION("""COMPUTED_VALUE"""),302.92)</f>
        <v>302.92</v>
      </c>
      <c r="Z201" s="1">
        <f>IFERROR(__xludf.DUMMYFUNCTION("""COMPUTED_VALUE"""),45.17)</f>
        <v>45.17</v>
      </c>
      <c r="AA201" s="1">
        <f>IFERROR(__xludf.DUMMYFUNCTION("""COMPUTED_VALUE"""),70.87)</f>
        <v>70.87</v>
      </c>
      <c r="AB201" s="1">
        <f>IFERROR(__xludf.DUMMYFUNCTION("""COMPUTED_VALUE"""),99.92)</f>
        <v>99.92</v>
      </c>
      <c r="AC201" s="1">
        <f>IFERROR(__xludf.DUMMYFUNCTION("""COMPUTED_VALUE"""),157.27)</f>
        <v>157.27</v>
      </c>
      <c r="AD201" s="3">
        <f>IFERROR(__xludf.DUMMYFUNCTION("""COMPUTED_VALUE"""),73.16)</f>
        <v>73.16</v>
      </c>
      <c r="AE201" s="1">
        <f>IFERROR(__xludf.DUMMYFUNCTION("""COMPUTED_VALUE"""),482.28)</f>
        <v>482.28</v>
      </c>
      <c r="AF201" s="1">
        <f>IFERROR(__xludf.DUMMYFUNCTION("""COMPUTED_VALUE"""),63.48)</f>
        <v>63.48</v>
      </c>
      <c r="AG201" s="1">
        <f>IFERROR(__xludf.DUMMYFUNCTION("""COMPUTED_VALUE"""),110.15)</f>
        <v>110.15</v>
      </c>
      <c r="AH201" s="1">
        <f>IFERROR(__xludf.DUMMYFUNCTION("""COMPUTED_VALUE"""),258.54)</f>
        <v>258.54</v>
      </c>
      <c r="AI201" s="1">
        <f>IFERROR(__xludf.DUMMYFUNCTION("""COMPUTED_VALUE"""),460.5)</f>
        <v>460.5</v>
      </c>
      <c r="AJ201" s="1">
        <f>IFERROR(__xludf.DUMMYFUNCTION("""COMPUTED_VALUE"""),251.62)</f>
        <v>251.62</v>
      </c>
      <c r="AK201" s="1">
        <f>IFERROR(__xludf.DUMMYFUNCTION("""COMPUTED_VALUE"""),47.63)</f>
        <v>47.63</v>
      </c>
      <c r="AL201" s="1">
        <f>IFERROR(__xludf.DUMMYFUNCTION("""COMPUTED_VALUE"""),111.99)</f>
        <v>111.99</v>
      </c>
      <c r="AM201" s="1">
        <f>IFERROR(__xludf.DUMMYFUNCTION("""COMPUTED_VALUE"""),608.0)</f>
        <v>608</v>
      </c>
      <c r="AN201" s="1">
        <f>IFERROR(__xludf.DUMMYFUNCTION("""COMPUTED_VALUE"""),390.27)</f>
        <v>390.27</v>
      </c>
      <c r="AO201" s="1">
        <f>IFERROR(__xludf.DUMMYFUNCTION("""COMPUTED_VALUE"""),149.58)</f>
        <v>149.58</v>
      </c>
      <c r="AP201" s="1">
        <f>IFERROR(__xludf.DUMMYFUNCTION("""COMPUTED_VALUE"""),170.84)</f>
        <v>170.84</v>
      </c>
      <c r="AQ201" s="3">
        <f>IFERROR(__xludf.DUMMYFUNCTION("""COMPUTED_VALUE"""),563.77)</f>
        <v>563.77</v>
      </c>
      <c r="AR201" s="3">
        <f>IFERROR(__xludf.DUMMYFUNCTION("""COMPUTED_VALUE"""),259.05)</f>
        <v>259.05</v>
      </c>
      <c r="AS201" s="3">
        <f>IFERROR(__xludf.DUMMYFUNCTION("""COMPUTED_VALUE"""),446.46)</f>
        <v>446.46</v>
      </c>
      <c r="AT201" s="3">
        <f>IFERROR(__xludf.DUMMYFUNCTION("""COMPUTED_VALUE"""),362.16)</f>
        <v>362.16</v>
      </c>
      <c r="AU201" s="1">
        <f>IFERROR(__xludf.DUMMYFUNCTION("""COMPUTED_VALUE"""),30.77)</f>
        <v>30.77</v>
      </c>
      <c r="AV201" s="1">
        <f>IFERROR(__xludf.DUMMYFUNCTION("""COMPUTED_VALUE"""),90.74)</f>
        <v>90.74</v>
      </c>
      <c r="AW201" s="1">
        <f>IFERROR(__xludf.DUMMYFUNCTION("""COMPUTED_VALUE"""),84.05)</f>
        <v>84.05</v>
      </c>
      <c r="AX201" s="3">
        <f>IFERROR(__xludf.DUMMYFUNCTION("""COMPUTED_VALUE"""),23.46)</f>
        <v>23.46</v>
      </c>
      <c r="AY201" s="1">
        <f>IFERROR(__xludf.DUMMYFUNCTION("""COMPUTED_VALUE"""),392.53)</f>
        <v>392.53</v>
      </c>
      <c r="AZ201" s="3">
        <f>IFERROR(__xludf.DUMMYFUNCTION("""COMPUTED_VALUE"""),69.38)</f>
        <v>69.38</v>
      </c>
      <c r="BA201" s="3">
        <f>IFERROR(__xludf.DUMMYFUNCTION("""COMPUTED_VALUE"""),105.11)</f>
        <v>105.11</v>
      </c>
      <c r="BB201" s="3">
        <f>IFERROR(__xludf.DUMMYFUNCTION("""COMPUTED_VALUE"""),120.15)</f>
        <v>120.15</v>
      </c>
      <c r="BC201" s="1">
        <f>IFERROR(__xludf.DUMMYFUNCTION("""COMPUTED_VALUE"""),98.09)</f>
        <v>98.09</v>
      </c>
      <c r="BD201" s="3">
        <f>IFERROR(__xludf.DUMMYFUNCTION("""COMPUTED_VALUE"""),46.69)</f>
        <v>46.69</v>
      </c>
      <c r="BE201" s="3">
        <f>IFERROR(__xludf.DUMMYFUNCTION("""COMPUTED_VALUE"""),84.77)</f>
        <v>84.77</v>
      </c>
      <c r="BF201" s="1">
        <f>IFERROR(__xludf.DUMMYFUNCTION("""COMPUTED_VALUE"""),70.73)</f>
        <v>70.73</v>
      </c>
      <c r="BG201" s="1">
        <f>IFERROR(__xludf.DUMMYFUNCTION("""COMPUTED_VALUE"""),26.1)</f>
        <v>26.1</v>
      </c>
      <c r="BH201" s="1">
        <f>IFERROR(__xludf.DUMMYFUNCTION("""COMPUTED_VALUE"""),130.52)</f>
        <v>130.52</v>
      </c>
      <c r="BI201" s="1">
        <f>IFERROR(__xludf.DUMMYFUNCTION("""COMPUTED_VALUE"""),39.08)</f>
        <v>39.08</v>
      </c>
      <c r="BJ201" s="1">
        <f>IFERROR(__xludf.DUMMYFUNCTION("""COMPUTED_VALUE"""),264.17)</f>
        <v>264.17</v>
      </c>
      <c r="BK201" s="1">
        <f>IFERROR(__xludf.DUMMYFUNCTION("""COMPUTED_VALUE"""),523.23)</f>
        <v>523.23</v>
      </c>
      <c r="BL201" s="1">
        <f>IFERROR(__xludf.DUMMYFUNCTION("""COMPUTED_VALUE"""),182.28)</f>
        <v>182.28</v>
      </c>
      <c r="BM201" s="1">
        <f>IFERROR(__xludf.DUMMYFUNCTION("""COMPUTED_VALUE"""),72.12)</f>
        <v>72.12</v>
      </c>
      <c r="BN201" s="3">
        <f>IFERROR(__xludf.DUMMYFUNCTION("""COMPUTED_VALUE"""),6.78)</f>
        <v>6.78</v>
      </c>
      <c r="BO201" s="1">
        <f>IFERROR(__xludf.DUMMYFUNCTION("""COMPUTED_VALUE"""),245.07)</f>
        <v>245.07</v>
      </c>
      <c r="BP201" s="1">
        <f>IFERROR(__xludf.DUMMYFUNCTION("""COMPUTED_VALUE"""),468.56)</f>
        <v>468.56</v>
      </c>
      <c r="BQ201" s="36">
        <f>IFERROR(__xludf.DUMMYFUNCTION("""COMPUTED_VALUE"""),49.31)</f>
        <v>49.31</v>
      </c>
      <c r="BR201" s="1">
        <f>IFERROR(__xludf.DUMMYFUNCTION("""COMPUTED_VALUE"""),9.53)</f>
        <v>9.53</v>
      </c>
      <c r="BS201" s="3">
        <f>IFERROR(__xludf.DUMMYFUNCTION("""COMPUTED_VALUE"""),229.61)</f>
        <v>229.61</v>
      </c>
      <c r="BT201" s="1">
        <f>IFERROR(__xludf.DUMMYFUNCTION("""COMPUTED_VALUE"""),111.31)</f>
        <v>111.31</v>
      </c>
      <c r="BU201" s="3">
        <v>1.0</v>
      </c>
    </row>
    <row r="202">
      <c r="A202" s="25">
        <f>IFERROR(__xludf.DUMMYFUNCTION("""COMPUTED_VALUE"""),45716.66666666667)</f>
        <v>45716.66667</v>
      </c>
      <c r="B202" s="29">
        <f>'Master Scratch Work'!B201</f>
        <v>1351496.6</v>
      </c>
      <c r="C202" s="15">
        <f>IFERROR(__xludf.DUMMYFUNCTION("""COMPUTED_VALUE"""),5954.5)</f>
        <v>5954.5</v>
      </c>
      <c r="D202" s="15">
        <f>IFERROR(__xludf.DUMMYFUNCTION("""COMPUTED_VALUE"""),18847.28)</f>
        <v>18847.28</v>
      </c>
      <c r="E202" s="15">
        <f>IFERROR(__xludf.DUMMYFUNCTION("""COMPUTED_VALUE"""),43840.91)</f>
        <v>43840.91</v>
      </c>
      <c r="F202" s="15">
        <f>IFERROR(__xludf.DUMMYFUNCTION("""COMPUTED_VALUE"""),2163.07)</f>
        <v>2163.07</v>
      </c>
      <c r="G202" s="3">
        <f>IFERROR(__xludf.DUMMYFUNCTION("""COMPUTED_VALUE"""),594.18)</f>
        <v>594.18</v>
      </c>
      <c r="H202" s="3">
        <f>IFERROR(__xludf.DUMMYFUNCTION("""COMPUTED_VALUE"""),508.17)</f>
        <v>508.17</v>
      </c>
      <c r="I202" s="3">
        <f>IFERROR(__xludf.DUMMYFUNCTION("""COMPUTED_VALUE"""),438.56)</f>
        <v>438.56</v>
      </c>
      <c r="J202" s="3">
        <f>IFERROR(__xludf.DUMMYFUNCTION("""COMPUTED_VALUE"""),212.28)</f>
        <v>212.28</v>
      </c>
      <c r="K202" s="3">
        <f>IFERROR(__xludf.DUMMYFUNCTION("""COMPUTED_VALUE"""),135.97)</f>
        <v>135.97</v>
      </c>
      <c r="L202" s="3">
        <f>IFERROR(__xludf.DUMMYFUNCTION("""COMPUTED_VALUE"""),241.84)</f>
        <v>241.84</v>
      </c>
      <c r="M202" s="3">
        <f>IFERROR(__xludf.DUMMYFUNCTION("""COMPUTED_VALUE"""),158.07)</f>
        <v>158.07</v>
      </c>
      <c r="N202" s="3">
        <f>IFERROR(__xludf.DUMMYFUNCTION("""COMPUTED_VALUE"""),88.95)</f>
        <v>88.95</v>
      </c>
      <c r="O202" s="3">
        <f>IFERROR(__xludf.DUMMYFUNCTION("""COMPUTED_VALUE"""),15.84)</f>
        <v>15.84</v>
      </c>
      <c r="P202" s="3">
        <f>IFERROR(__xludf.DUMMYFUNCTION("""COMPUTED_VALUE"""),513.83)</f>
        <v>513.83</v>
      </c>
      <c r="Q202" s="3">
        <f>IFERROR(__xludf.DUMMYFUNCTION("""COMPUTED_VALUE"""),48.48)</f>
        <v>48.48</v>
      </c>
      <c r="R202" s="3">
        <f>IFERROR(__xludf.DUMMYFUNCTION("""COMPUTED_VALUE"""),140.5)</f>
        <v>140.5</v>
      </c>
      <c r="S202" s="3">
        <f>IFERROR(__xludf.DUMMYFUNCTION("""COMPUTED_VALUE"""),103.79)</f>
        <v>103.79</v>
      </c>
      <c r="T202" s="3">
        <f>IFERROR(__xludf.DUMMYFUNCTION("""COMPUTED_VALUE"""),64.8)</f>
        <v>64.8</v>
      </c>
      <c r="U202" s="3">
        <f>IFERROR(__xludf.DUMMYFUNCTION("""COMPUTED_VALUE"""),343.95)</f>
        <v>343.95</v>
      </c>
      <c r="V202" s="3">
        <f>IFERROR(__xludf.DUMMYFUNCTION("""COMPUTED_VALUE"""),44.04)</f>
        <v>44.04</v>
      </c>
      <c r="W202" s="3">
        <f>IFERROR(__xludf.DUMMYFUNCTION("""COMPUTED_VALUE"""),220.26)</f>
        <v>220.26</v>
      </c>
      <c r="X202" s="3">
        <f>IFERROR(__xludf.DUMMYFUNCTION("""COMPUTED_VALUE"""),158.62)</f>
        <v>158.62</v>
      </c>
      <c r="Y202" s="1">
        <f>IFERROR(__xludf.DUMMYFUNCTION("""COMPUTED_VALUE"""),308.85)</f>
        <v>308.85</v>
      </c>
      <c r="Z202" s="1">
        <f>IFERROR(__xludf.DUMMYFUNCTION("""COMPUTED_VALUE"""),45.77)</f>
        <v>45.77</v>
      </c>
      <c r="AA202" s="1">
        <f>IFERROR(__xludf.DUMMYFUNCTION("""COMPUTED_VALUE"""),71.21)</f>
        <v>71.21</v>
      </c>
      <c r="AB202" s="1">
        <f>IFERROR(__xludf.DUMMYFUNCTION("""COMPUTED_VALUE"""),101.52)</f>
        <v>101.52</v>
      </c>
      <c r="AC202" s="1">
        <f>IFERROR(__xludf.DUMMYFUNCTION("""COMPUTED_VALUE"""),156.32)</f>
        <v>156.32</v>
      </c>
      <c r="AD202" s="3">
        <f>IFERROR(__xludf.DUMMYFUNCTION("""COMPUTED_VALUE"""),72.86)</f>
        <v>72.86</v>
      </c>
      <c r="AE202" s="1">
        <f>IFERROR(__xludf.DUMMYFUNCTION("""COMPUTED_VALUE"""),489.71)</f>
        <v>489.71</v>
      </c>
      <c r="AF202" s="1">
        <f>IFERROR(__xludf.DUMMYFUNCTION("""COMPUTED_VALUE"""),64.74)</f>
        <v>64.74</v>
      </c>
      <c r="AG202" s="1">
        <f>IFERROR(__xludf.DUMMYFUNCTION("""COMPUTED_VALUE"""),111.33)</f>
        <v>111.33</v>
      </c>
      <c r="AH202" s="1">
        <f>IFERROR(__xludf.DUMMYFUNCTION("""COMPUTED_VALUE"""),262.9)</f>
        <v>262.9</v>
      </c>
      <c r="AI202" s="1">
        <f>IFERROR(__xludf.DUMMYFUNCTION("""COMPUTED_VALUE"""),464.57)</f>
        <v>464.57</v>
      </c>
      <c r="AJ202" s="1">
        <f>IFERROR(__xludf.DUMMYFUNCTION("""COMPUTED_VALUE"""),252.6)</f>
        <v>252.6</v>
      </c>
      <c r="AK202" s="1">
        <f>IFERROR(__xludf.DUMMYFUNCTION("""COMPUTED_VALUE"""),49.13)</f>
        <v>49.13</v>
      </c>
      <c r="AL202" s="1">
        <f>IFERROR(__xludf.DUMMYFUNCTION("""COMPUTED_VALUE"""),114.31)</f>
        <v>114.31</v>
      </c>
      <c r="AM202" s="1">
        <f>IFERROR(__xludf.DUMMYFUNCTION("""COMPUTED_VALUE"""),622.29)</f>
        <v>622.29</v>
      </c>
      <c r="AN202" s="1">
        <f>IFERROR(__xludf.DUMMYFUNCTION("""COMPUTED_VALUE"""),396.6)</f>
        <v>396.6</v>
      </c>
      <c r="AO202" s="1">
        <f>IFERROR(__xludf.DUMMYFUNCTION("""COMPUTED_VALUE"""),152.46)</f>
        <v>152.46</v>
      </c>
      <c r="AP202" s="1">
        <f>IFERROR(__xludf.DUMMYFUNCTION("""COMPUTED_VALUE"""),173.23)</f>
        <v>173.23</v>
      </c>
      <c r="AQ202" s="3">
        <f>IFERROR(__xludf.DUMMYFUNCTION("""COMPUTED_VALUE"""),573.15)</f>
        <v>573.15</v>
      </c>
      <c r="AR202" s="3">
        <f>IFERROR(__xludf.DUMMYFUNCTION("""COMPUTED_VALUE"""),264.65)</f>
        <v>264.65</v>
      </c>
      <c r="AS202" s="3">
        <f>IFERROR(__xludf.DUMMYFUNCTION("""COMPUTED_VALUE"""),450.37)</f>
        <v>450.37</v>
      </c>
      <c r="AT202" s="3">
        <f>IFERROR(__xludf.DUMMYFUNCTION("""COMPUTED_VALUE"""),365.61)</f>
        <v>365.61</v>
      </c>
      <c r="AU202" s="1">
        <f>IFERROR(__xludf.DUMMYFUNCTION("""COMPUTED_VALUE"""),31.16)</f>
        <v>31.16</v>
      </c>
      <c r="AV202" s="1">
        <f>IFERROR(__xludf.DUMMYFUNCTION("""COMPUTED_VALUE"""),92.02)</f>
        <v>92.02</v>
      </c>
      <c r="AW202" s="1">
        <f>IFERROR(__xludf.DUMMYFUNCTION("""COMPUTED_VALUE"""),86.18)</f>
        <v>86.18</v>
      </c>
      <c r="AX202" s="3">
        <f>IFERROR(__xludf.DUMMYFUNCTION("""COMPUTED_VALUE"""),24.01)</f>
        <v>24.01</v>
      </c>
      <c r="AY202" s="1">
        <f>IFERROR(__xludf.DUMMYFUNCTION("""COMPUTED_VALUE"""),396.99)</f>
        <v>396.99</v>
      </c>
      <c r="AZ202" s="3">
        <f>IFERROR(__xludf.DUMMYFUNCTION("""COMPUTED_VALUE"""),70.17)</f>
        <v>70.17</v>
      </c>
      <c r="BA202" s="3">
        <f>IFERROR(__xludf.DUMMYFUNCTION("""COMPUTED_VALUE"""),105.71)</f>
        <v>105.71</v>
      </c>
      <c r="BB202" s="3">
        <f>IFERROR(__xludf.DUMMYFUNCTION("""COMPUTED_VALUE"""),124.92)</f>
        <v>124.92</v>
      </c>
      <c r="BC202" s="1">
        <f>IFERROR(__xludf.DUMMYFUNCTION("""COMPUTED_VALUE"""),99.78)</f>
        <v>99.78</v>
      </c>
      <c r="BD202" s="3">
        <f>IFERROR(__xludf.DUMMYFUNCTION("""COMPUTED_VALUE"""),48.48)</f>
        <v>48.48</v>
      </c>
      <c r="BE202" s="3">
        <f>IFERROR(__xludf.DUMMYFUNCTION("""COMPUTED_VALUE"""),84.92)</f>
        <v>84.92</v>
      </c>
      <c r="BF202" s="1">
        <f>IFERROR(__xludf.DUMMYFUNCTION("""COMPUTED_VALUE"""),71.05)</f>
        <v>71.05</v>
      </c>
      <c r="BG202" s="1">
        <f>IFERROR(__xludf.DUMMYFUNCTION("""COMPUTED_VALUE"""),26.43)</f>
        <v>26.43</v>
      </c>
      <c r="BH202" s="1">
        <f>IFERROR(__xludf.DUMMYFUNCTION("""COMPUTED_VALUE"""),132.99)</f>
        <v>132.99</v>
      </c>
      <c r="BI202" s="1">
        <f>IFERROR(__xludf.DUMMYFUNCTION("""COMPUTED_VALUE"""),40.74)</f>
        <v>40.74</v>
      </c>
      <c r="BJ202" s="1">
        <f>IFERROR(__xludf.DUMMYFUNCTION("""COMPUTED_VALUE"""),269.69)</f>
        <v>269.69</v>
      </c>
      <c r="BK202" s="1">
        <f>IFERROR(__xludf.DUMMYFUNCTION("""COMPUTED_VALUE"""),528.96)</f>
        <v>528.96</v>
      </c>
      <c r="BL202" s="1">
        <f>IFERROR(__xludf.DUMMYFUNCTION("""COMPUTED_VALUE"""),181.48)</f>
        <v>181.48</v>
      </c>
      <c r="BM202" s="1">
        <f>IFERROR(__xludf.DUMMYFUNCTION("""COMPUTED_VALUE"""),76.32)</f>
        <v>76.32</v>
      </c>
      <c r="BN202" s="3">
        <f>IFERROR(__xludf.DUMMYFUNCTION("""COMPUTED_VALUE"""),6.81)</f>
        <v>6.81</v>
      </c>
      <c r="BO202" s="1">
        <f>IFERROR(__xludf.DUMMYFUNCTION("""COMPUTED_VALUE"""),246.69)</f>
        <v>246.69</v>
      </c>
      <c r="BP202" s="1">
        <f>IFERROR(__xludf.DUMMYFUNCTION("""COMPUTED_VALUE"""),474.96)</f>
        <v>474.96</v>
      </c>
      <c r="BQ202" s="36">
        <f>IFERROR(__xludf.DUMMYFUNCTION("""COMPUTED_VALUE"""),49.45)</f>
        <v>49.45</v>
      </c>
      <c r="BR202" s="1">
        <f>IFERROR(__xludf.DUMMYFUNCTION("""COMPUTED_VALUE"""),9.23)</f>
        <v>9.23</v>
      </c>
      <c r="BS202" s="3">
        <f>IFERROR(__xludf.DUMMYFUNCTION("""COMPUTED_VALUE"""),232.78)</f>
        <v>232.78</v>
      </c>
      <c r="BT202" s="1">
        <f>IFERROR(__xludf.DUMMYFUNCTION("""COMPUTED_VALUE"""),113.8)</f>
        <v>113.8</v>
      </c>
      <c r="BU202" s="3">
        <v>1.0</v>
      </c>
    </row>
    <row r="203">
      <c r="A203" s="25">
        <f>IFERROR(__xludf.DUMMYFUNCTION("""COMPUTED_VALUE"""),45719.66666666667)</f>
        <v>45719.66667</v>
      </c>
      <c r="B203" s="29">
        <f>'Master Scratch Work'!B202</f>
        <v>1335407.18</v>
      </c>
      <c r="C203" s="15">
        <f>IFERROR(__xludf.DUMMYFUNCTION("""COMPUTED_VALUE"""),5849.72)</f>
        <v>5849.72</v>
      </c>
      <c r="D203" s="15">
        <f>IFERROR(__xludf.DUMMYFUNCTION("""COMPUTED_VALUE"""),18350.19)</f>
        <v>18350.19</v>
      </c>
      <c r="E203" s="15">
        <f>IFERROR(__xludf.DUMMYFUNCTION("""COMPUTED_VALUE"""),43191.24)</f>
        <v>43191.24</v>
      </c>
      <c r="F203" s="15">
        <f>IFERROR(__xludf.DUMMYFUNCTION("""COMPUTED_VALUE"""),2102.24)</f>
        <v>2102.24</v>
      </c>
      <c r="G203" s="3">
        <f>IFERROR(__xludf.DUMMYFUNCTION("""COMPUTED_VALUE"""),583.77)</f>
        <v>583.77</v>
      </c>
      <c r="H203" s="3">
        <f>IFERROR(__xludf.DUMMYFUNCTION("""COMPUTED_VALUE"""),497.05)</f>
        <v>497.05</v>
      </c>
      <c r="I203" s="3">
        <f>IFERROR(__xludf.DUMMYFUNCTION("""COMPUTED_VALUE"""),440.72)</f>
        <v>440.72</v>
      </c>
      <c r="J203" s="3">
        <f>IFERROR(__xludf.DUMMYFUNCTION("""COMPUTED_VALUE"""),205.02)</f>
        <v>205.02</v>
      </c>
      <c r="K203" s="3">
        <f>IFERROR(__xludf.DUMMYFUNCTION("""COMPUTED_VALUE"""),139.57)</f>
        <v>139.57</v>
      </c>
      <c r="L203" s="3">
        <f>IFERROR(__xludf.DUMMYFUNCTION("""COMPUTED_VALUE"""),238.03)</f>
        <v>238.03</v>
      </c>
      <c r="M203" s="3">
        <f>IFERROR(__xludf.DUMMYFUNCTION("""COMPUTED_VALUE"""),152.13)</f>
        <v>152.13</v>
      </c>
      <c r="N203" s="3">
        <f>IFERROR(__xludf.DUMMYFUNCTION("""COMPUTED_VALUE"""),88.35)</f>
        <v>88.35</v>
      </c>
      <c r="O203" s="3">
        <f>IFERROR(__xludf.DUMMYFUNCTION("""COMPUTED_VALUE"""),15.83)</f>
        <v>15.83</v>
      </c>
      <c r="P203" s="3">
        <f>IFERROR(__xludf.DUMMYFUNCTION("""COMPUTED_VALUE"""),510.08)</f>
        <v>510.08</v>
      </c>
      <c r="Q203" s="3">
        <f>IFERROR(__xludf.DUMMYFUNCTION("""COMPUTED_VALUE"""),48.84)</f>
        <v>48.84</v>
      </c>
      <c r="R203" s="3">
        <f>IFERROR(__xludf.DUMMYFUNCTION("""COMPUTED_VALUE"""),141.71)</f>
        <v>141.71</v>
      </c>
      <c r="S203" s="3">
        <f>IFERROR(__xludf.DUMMYFUNCTION("""COMPUTED_VALUE"""),104.87)</f>
        <v>104.87</v>
      </c>
      <c r="T203" s="3">
        <f>IFERROR(__xludf.DUMMYFUNCTION("""COMPUTED_VALUE"""),63.26)</f>
        <v>63.26</v>
      </c>
      <c r="U203" s="3">
        <f>IFERROR(__xludf.DUMMYFUNCTION("""COMPUTED_VALUE"""),332.04)</f>
        <v>332.04</v>
      </c>
      <c r="V203" s="3">
        <f>IFERROR(__xludf.DUMMYFUNCTION("""COMPUTED_VALUE"""),41.11)</f>
        <v>41.11</v>
      </c>
      <c r="W203" s="3">
        <f>IFERROR(__xludf.DUMMYFUNCTION("""COMPUTED_VALUE"""),221.09)</f>
        <v>221.09</v>
      </c>
      <c r="X203" s="3">
        <f>IFERROR(__xludf.DUMMYFUNCTION("""COMPUTED_VALUE"""),153.09)</f>
        <v>153.09</v>
      </c>
      <c r="Y203" s="1">
        <f>IFERROR(__xludf.DUMMYFUNCTION("""COMPUTED_VALUE"""),311.51)</f>
        <v>311.51</v>
      </c>
      <c r="Z203" s="1">
        <f>IFERROR(__xludf.DUMMYFUNCTION("""COMPUTED_VALUE"""),45.05)</f>
        <v>45.05</v>
      </c>
      <c r="AA203" s="1">
        <f>IFERROR(__xludf.DUMMYFUNCTION("""COMPUTED_VALUE"""),72.32)</f>
        <v>72.32</v>
      </c>
      <c r="AB203" s="1">
        <f>IFERROR(__xludf.DUMMYFUNCTION("""COMPUTED_VALUE"""),104.02)</f>
        <v>104.02</v>
      </c>
      <c r="AC203" s="1">
        <f>IFERROR(__xludf.DUMMYFUNCTION("""COMPUTED_VALUE"""),155.31)</f>
        <v>155.31</v>
      </c>
      <c r="AD203" s="3">
        <f>IFERROR(__xludf.DUMMYFUNCTION("""COMPUTED_VALUE"""),68.77)</f>
        <v>68.77</v>
      </c>
      <c r="AE203" s="1">
        <f>IFERROR(__xludf.DUMMYFUNCTION("""COMPUTED_VALUE"""),483.82)</f>
        <v>483.82</v>
      </c>
      <c r="AF203" s="1">
        <f>IFERROR(__xludf.DUMMYFUNCTION("""COMPUTED_VALUE"""),65.22)</f>
        <v>65.22</v>
      </c>
      <c r="AG203" s="1">
        <f>IFERROR(__xludf.DUMMYFUNCTION("""COMPUTED_VALUE"""),107.76)</f>
        <v>107.76</v>
      </c>
      <c r="AH203" s="1">
        <f>IFERROR(__xludf.DUMMYFUNCTION("""COMPUTED_VALUE"""),258.77)</f>
        <v>258.77</v>
      </c>
      <c r="AI203" s="1">
        <f>IFERROR(__xludf.DUMMYFUNCTION("""COMPUTED_VALUE"""),464.2)</f>
        <v>464.2</v>
      </c>
      <c r="AJ203" s="1">
        <f>IFERROR(__xludf.DUMMYFUNCTION("""COMPUTED_VALUE"""),254.04)</f>
        <v>254.04</v>
      </c>
      <c r="AK203" s="1">
        <f>IFERROR(__xludf.DUMMYFUNCTION("""COMPUTED_VALUE"""),47.38)</f>
        <v>47.38</v>
      </c>
      <c r="AL203" s="1">
        <f>IFERROR(__xludf.DUMMYFUNCTION("""COMPUTED_VALUE"""),115.99)</f>
        <v>115.99</v>
      </c>
      <c r="AM203" s="1">
        <f>IFERROR(__xludf.DUMMYFUNCTION("""COMPUTED_VALUE"""),605.26)</f>
        <v>605.26</v>
      </c>
      <c r="AN203" s="1">
        <f>IFERROR(__xludf.DUMMYFUNCTION("""COMPUTED_VALUE"""),389.69)</f>
        <v>389.69</v>
      </c>
      <c r="AO203" s="1">
        <f>IFERROR(__xludf.DUMMYFUNCTION("""COMPUTED_VALUE"""),148.42)</f>
        <v>148.42</v>
      </c>
      <c r="AP203" s="1">
        <f>IFERROR(__xludf.DUMMYFUNCTION("""COMPUTED_VALUE"""),173.2)</f>
        <v>173.2</v>
      </c>
      <c r="AQ203" s="3">
        <f>IFERROR(__xludf.DUMMYFUNCTION("""COMPUTED_VALUE"""),566.98)</f>
        <v>566.98</v>
      </c>
      <c r="AR203" s="3">
        <f>IFERROR(__xludf.DUMMYFUNCTION("""COMPUTED_VALUE"""),260.62)</f>
        <v>260.62</v>
      </c>
      <c r="AS203" s="3">
        <f>IFERROR(__xludf.DUMMYFUNCTION("""COMPUTED_VALUE"""),451.94)</f>
        <v>451.94</v>
      </c>
      <c r="AT203" s="3">
        <f>IFERROR(__xludf.DUMMYFUNCTION("""COMPUTED_VALUE"""),347.81)</f>
        <v>347.81</v>
      </c>
      <c r="AU203" s="1">
        <f>IFERROR(__xludf.DUMMYFUNCTION("""COMPUTED_VALUE"""),30.62)</f>
        <v>30.62</v>
      </c>
      <c r="AV203" s="1">
        <f>IFERROR(__xludf.DUMMYFUNCTION("""COMPUTED_VALUE"""),94.3)</f>
        <v>94.3</v>
      </c>
      <c r="AW203" s="1">
        <f>IFERROR(__xludf.DUMMYFUNCTION("""COMPUTED_VALUE"""),85.7)</f>
        <v>85.7</v>
      </c>
      <c r="AX203" s="3">
        <f>IFERROR(__xludf.DUMMYFUNCTION("""COMPUTED_VALUE"""),22.53)</f>
        <v>22.53</v>
      </c>
      <c r="AY203" s="1">
        <f>IFERROR(__xludf.DUMMYFUNCTION("""COMPUTED_VALUE"""),388.49)</f>
        <v>388.49</v>
      </c>
      <c r="AZ203" s="3">
        <f>IFERROR(__xludf.DUMMYFUNCTION("""COMPUTED_VALUE"""),71.62)</f>
        <v>71.62</v>
      </c>
      <c r="BA203" s="3">
        <f>IFERROR(__xludf.DUMMYFUNCTION("""COMPUTED_VALUE"""),100.25)</f>
        <v>100.25</v>
      </c>
      <c r="BB203" s="3">
        <f>IFERROR(__xludf.DUMMYFUNCTION("""COMPUTED_VALUE"""),114.06)</f>
        <v>114.06</v>
      </c>
      <c r="BC203" s="1">
        <f>IFERROR(__xludf.DUMMYFUNCTION("""COMPUTED_VALUE"""),100.73)</f>
        <v>100.73</v>
      </c>
      <c r="BD203" s="3">
        <f>IFERROR(__xludf.DUMMYFUNCTION("""COMPUTED_VALUE"""),47.85)</f>
        <v>47.85</v>
      </c>
      <c r="BE203" s="3">
        <f>IFERROR(__xludf.DUMMYFUNCTION("""COMPUTED_VALUE"""),83.42)</f>
        <v>83.42</v>
      </c>
      <c r="BF203" s="1">
        <f>IFERROR(__xludf.DUMMYFUNCTION("""COMPUTED_VALUE"""),69.75)</f>
        <v>69.75</v>
      </c>
      <c r="BG203" s="1">
        <f>IFERROR(__xludf.DUMMYFUNCTION("""COMPUTED_VALUE"""),26.25)</f>
        <v>26.25</v>
      </c>
      <c r="BH203" s="1">
        <f>IFERROR(__xludf.DUMMYFUNCTION("""COMPUTED_VALUE"""),133.83)</f>
        <v>133.83</v>
      </c>
      <c r="BI203" s="1">
        <f>IFERROR(__xludf.DUMMYFUNCTION("""COMPUTED_VALUE"""),38.34)</f>
        <v>38.34</v>
      </c>
      <c r="BJ203" s="1">
        <f>IFERROR(__xludf.DUMMYFUNCTION("""COMPUTED_VALUE"""),272.83)</f>
        <v>272.83</v>
      </c>
      <c r="BK203" s="1">
        <f>IFERROR(__xludf.DUMMYFUNCTION("""COMPUTED_VALUE"""),523.64)</f>
        <v>523.64</v>
      </c>
      <c r="BL203" s="1">
        <f>IFERROR(__xludf.DUMMYFUNCTION("""COMPUTED_VALUE"""),183.79)</f>
        <v>183.79</v>
      </c>
      <c r="BM203" s="1">
        <f>IFERROR(__xludf.DUMMYFUNCTION("""COMPUTED_VALUE"""),69.33)</f>
        <v>69.33</v>
      </c>
      <c r="BN203" s="3">
        <f>IFERROR(__xludf.DUMMYFUNCTION("""COMPUTED_VALUE"""),6.72)</f>
        <v>6.72</v>
      </c>
      <c r="BO203" s="1">
        <f>IFERROR(__xludf.DUMMYFUNCTION("""COMPUTED_VALUE"""),245.81)</f>
        <v>245.81</v>
      </c>
      <c r="BP203" s="1">
        <f>IFERROR(__xludf.DUMMYFUNCTION("""COMPUTED_VALUE"""),467.05)</f>
        <v>467.05</v>
      </c>
      <c r="BQ203" s="36">
        <f>IFERROR(__xludf.DUMMYFUNCTION("""COMPUTED_VALUE"""),49.51)</f>
        <v>49.51</v>
      </c>
      <c r="BR203" s="1">
        <f>IFERROR(__xludf.DUMMYFUNCTION("""COMPUTED_VALUE"""),9.33)</f>
        <v>9.33</v>
      </c>
      <c r="BS203" s="3">
        <f>IFERROR(__xludf.DUMMYFUNCTION("""COMPUTED_VALUE"""),233.78)</f>
        <v>233.78</v>
      </c>
      <c r="BT203" s="1">
        <f>IFERROR(__xludf.DUMMYFUNCTION("""COMPUTED_VALUE"""),112.79)</f>
        <v>112.79</v>
      </c>
      <c r="BU203" s="3">
        <v>1.0</v>
      </c>
    </row>
    <row r="204">
      <c r="A204" s="25">
        <f>IFERROR(__xludf.DUMMYFUNCTION("""COMPUTED_VALUE"""),45720.66666666667)</f>
        <v>45720.66667</v>
      </c>
      <c r="B204" s="29">
        <f>'Master Scratch Work'!B203</f>
        <v>1318610.78</v>
      </c>
      <c r="C204" s="15">
        <f>IFERROR(__xludf.DUMMYFUNCTION("""COMPUTED_VALUE"""),5778.15)</f>
        <v>5778.15</v>
      </c>
      <c r="D204" s="15">
        <f>IFERROR(__xludf.DUMMYFUNCTION("""COMPUTED_VALUE"""),18285.16)</f>
        <v>18285.16</v>
      </c>
      <c r="E204" s="15">
        <f>IFERROR(__xludf.DUMMYFUNCTION("""COMPUTED_VALUE"""),42520.99)</f>
        <v>42520.99</v>
      </c>
      <c r="F204" s="15">
        <f>IFERROR(__xludf.DUMMYFUNCTION("""COMPUTED_VALUE"""),2079.53)</f>
        <v>2079.53</v>
      </c>
      <c r="G204" s="3">
        <f>IFERROR(__xludf.DUMMYFUNCTION("""COMPUTED_VALUE"""),576.86)</f>
        <v>576.86</v>
      </c>
      <c r="H204" s="3">
        <f>IFERROR(__xludf.DUMMYFUNCTION("""COMPUTED_VALUE"""),495.55)</f>
        <v>495.55</v>
      </c>
      <c r="I204" s="3">
        <f>IFERROR(__xludf.DUMMYFUNCTION("""COMPUTED_VALUE"""),446.03)</f>
        <v>446.03</v>
      </c>
      <c r="J204" s="3">
        <f>IFERROR(__xludf.DUMMYFUNCTION("""COMPUTED_VALUE"""),203.8)</f>
        <v>203.8</v>
      </c>
      <c r="K204" s="3">
        <f>IFERROR(__xludf.DUMMYFUNCTION("""COMPUTED_VALUE"""),139.2)</f>
        <v>139.2</v>
      </c>
      <c r="L204" s="3">
        <f>IFERROR(__xludf.DUMMYFUNCTION("""COMPUTED_VALUE"""),235.93)</f>
        <v>235.93</v>
      </c>
      <c r="M204" s="3">
        <f>IFERROR(__xludf.DUMMYFUNCTION("""COMPUTED_VALUE"""),152.87)</f>
        <v>152.87</v>
      </c>
      <c r="N204" s="3">
        <f>IFERROR(__xludf.DUMMYFUNCTION("""COMPUTED_VALUE"""),85.54)</f>
        <v>85.54</v>
      </c>
      <c r="O204" s="3">
        <f>IFERROR(__xludf.DUMMYFUNCTION("""COMPUTED_VALUE"""),15.71)</f>
        <v>15.71</v>
      </c>
      <c r="P204" s="3">
        <f>IFERROR(__xludf.DUMMYFUNCTION("""COMPUTED_VALUE"""),495.86)</f>
        <v>495.86</v>
      </c>
      <c r="Q204" s="3">
        <f>IFERROR(__xludf.DUMMYFUNCTION("""COMPUTED_VALUE"""),49.22)</f>
        <v>49.22</v>
      </c>
      <c r="R204" s="3">
        <f>IFERROR(__xludf.DUMMYFUNCTION("""COMPUTED_VALUE"""),142.65)</f>
        <v>142.65</v>
      </c>
      <c r="S204" s="3">
        <f>IFERROR(__xludf.DUMMYFUNCTION("""COMPUTED_VALUE"""),103.61)</f>
        <v>103.61</v>
      </c>
      <c r="T204" s="3">
        <f>IFERROR(__xludf.DUMMYFUNCTION("""COMPUTED_VALUE"""),62.07)</f>
        <v>62.07</v>
      </c>
      <c r="U204" s="3">
        <f>IFERROR(__xludf.DUMMYFUNCTION("""COMPUTED_VALUE"""),326.75)</f>
        <v>326.75</v>
      </c>
      <c r="V204" s="3">
        <f>IFERROR(__xludf.DUMMYFUNCTION("""COMPUTED_VALUE"""),41.89)</f>
        <v>41.89</v>
      </c>
      <c r="W204" s="3">
        <f>IFERROR(__xludf.DUMMYFUNCTION("""COMPUTED_VALUE"""),221.22)</f>
        <v>221.22</v>
      </c>
      <c r="X204" s="3">
        <f>IFERROR(__xludf.DUMMYFUNCTION("""COMPUTED_VALUE"""),152.0)</f>
        <v>152</v>
      </c>
      <c r="Y204" s="1">
        <f>IFERROR(__xludf.DUMMYFUNCTION("""COMPUTED_VALUE"""),308.86)</f>
        <v>308.86</v>
      </c>
      <c r="Z204" s="1">
        <f>IFERROR(__xludf.DUMMYFUNCTION("""COMPUTED_VALUE"""),43.59)</f>
        <v>43.59</v>
      </c>
      <c r="AA204" s="1">
        <f>IFERROR(__xludf.DUMMYFUNCTION("""COMPUTED_VALUE"""),70.19)</f>
        <v>70.19</v>
      </c>
      <c r="AB204" s="1">
        <f>IFERROR(__xludf.DUMMYFUNCTION("""COMPUTED_VALUE"""),102.15)</f>
        <v>102.15</v>
      </c>
      <c r="AC204" s="1">
        <f>IFERROR(__xludf.DUMMYFUNCTION("""COMPUTED_VALUE"""),155.67)</f>
        <v>155.67</v>
      </c>
      <c r="AD204" s="3">
        <f>IFERROR(__xludf.DUMMYFUNCTION("""COMPUTED_VALUE"""),66.68)</f>
        <v>66.68</v>
      </c>
      <c r="AE204" s="1">
        <f>IFERROR(__xludf.DUMMYFUNCTION("""COMPUTED_VALUE"""),481.77)</f>
        <v>481.77</v>
      </c>
      <c r="AF204" s="1">
        <f>IFERROR(__xludf.DUMMYFUNCTION("""COMPUTED_VALUE"""),66.67)</f>
        <v>66.67</v>
      </c>
      <c r="AG204" s="1">
        <f>IFERROR(__xludf.DUMMYFUNCTION("""COMPUTED_VALUE"""),107.54)</f>
        <v>107.54</v>
      </c>
      <c r="AH204" s="1">
        <f>IFERROR(__xludf.DUMMYFUNCTION("""COMPUTED_VALUE"""),247.74)</f>
        <v>247.74</v>
      </c>
      <c r="AI204" s="1">
        <f>IFERROR(__xludf.DUMMYFUNCTION("""COMPUTED_VALUE"""),459.59)</f>
        <v>459.59</v>
      </c>
      <c r="AJ204" s="1">
        <f>IFERROR(__xludf.DUMMYFUNCTION("""COMPUTED_VALUE"""),250.8)</f>
        <v>250.8</v>
      </c>
      <c r="AK204" s="1">
        <f>IFERROR(__xludf.DUMMYFUNCTION("""COMPUTED_VALUE"""),45.22)</f>
        <v>45.22</v>
      </c>
      <c r="AL204" s="1">
        <f>IFERROR(__xludf.DUMMYFUNCTION("""COMPUTED_VALUE"""),114.74)</f>
        <v>114.74</v>
      </c>
      <c r="AM204" s="1">
        <f>IFERROR(__xludf.DUMMYFUNCTION("""COMPUTED_VALUE"""),581.14)</f>
        <v>581.14</v>
      </c>
      <c r="AN204" s="1">
        <f>IFERROR(__xludf.DUMMYFUNCTION("""COMPUTED_VALUE"""),381.68)</f>
        <v>381.68</v>
      </c>
      <c r="AO204" s="1">
        <f>IFERROR(__xludf.DUMMYFUNCTION("""COMPUTED_VALUE"""),147.63)</f>
        <v>147.63</v>
      </c>
      <c r="AP204" s="1">
        <f>IFERROR(__xludf.DUMMYFUNCTION("""COMPUTED_VALUE"""),169.85)</f>
        <v>169.85</v>
      </c>
      <c r="AQ204" s="3">
        <f>IFERROR(__xludf.DUMMYFUNCTION("""COMPUTED_VALUE"""),557.96)</f>
        <v>557.96</v>
      </c>
      <c r="AR204" s="3">
        <f>IFERROR(__xludf.DUMMYFUNCTION("""COMPUTED_VALUE"""),250.25)</f>
        <v>250.25</v>
      </c>
      <c r="AS204" s="3">
        <f>IFERROR(__xludf.DUMMYFUNCTION("""COMPUTED_VALUE"""),448.82)</f>
        <v>448.82</v>
      </c>
      <c r="AT204" s="3">
        <f>IFERROR(__xludf.DUMMYFUNCTION("""COMPUTED_VALUE"""),345.29)</f>
        <v>345.29</v>
      </c>
      <c r="AU204" s="1">
        <f>IFERROR(__xludf.DUMMYFUNCTION("""COMPUTED_VALUE"""),29.19)</f>
        <v>29.19</v>
      </c>
      <c r="AV204" s="1">
        <f>IFERROR(__xludf.DUMMYFUNCTION("""COMPUTED_VALUE"""),93.03)</f>
        <v>93.03</v>
      </c>
      <c r="AW204" s="1">
        <f>IFERROR(__xludf.DUMMYFUNCTION("""COMPUTED_VALUE"""),81.56)</f>
        <v>81.56</v>
      </c>
      <c r="AX204" s="3">
        <f>IFERROR(__xludf.DUMMYFUNCTION("""COMPUTED_VALUE"""),22.45)</f>
        <v>22.45</v>
      </c>
      <c r="AY204" s="1">
        <f>IFERROR(__xludf.DUMMYFUNCTION("""COMPUTED_VALUE"""),388.61)</f>
        <v>388.61</v>
      </c>
      <c r="AZ204" s="3">
        <f>IFERROR(__xludf.DUMMYFUNCTION("""COMPUTED_VALUE"""),70.85)</f>
        <v>70.85</v>
      </c>
      <c r="BA204" s="3">
        <f>IFERROR(__xludf.DUMMYFUNCTION("""COMPUTED_VALUE"""),100.25)</f>
        <v>100.25</v>
      </c>
      <c r="BB204" s="3">
        <f>IFERROR(__xludf.DUMMYFUNCTION("""COMPUTED_VALUE"""),115.99)</f>
        <v>115.99</v>
      </c>
      <c r="BC204" s="1">
        <f>IFERROR(__xludf.DUMMYFUNCTION("""COMPUTED_VALUE"""),99.61)</f>
        <v>99.61</v>
      </c>
      <c r="BD204" s="3">
        <f>IFERROR(__xludf.DUMMYFUNCTION("""COMPUTED_VALUE"""),50.63)</f>
        <v>50.63</v>
      </c>
      <c r="BE204" s="3">
        <f>IFERROR(__xludf.DUMMYFUNCTION("""COMPUTED_VALUE"""),84.4)</f>
        <v>84.4</v>
      </c>
      <c r="BF204" s="1">
        <f>IFERROR(__xludf.DUMMYFUNCTION("""COMPUTED_VALUE"""),67.48)</f>
        <v>67.48</v>
      </c>
      <c r="BG204" s="1">
        <f>IFERROR(__xludf.DUMMYFUNCTION("""COMPUTED_VALUE"""),25.75)</f>
        <v>25.75</v>
      </c>
      <c r="BH204" s="1">
        <f>IFERROR(__xludf.DUMMYFUNCTION("""COMPUTED_VALUE"""),128.7)</f>
        <v>128.7</v>
      </c>
      <c r="BI204" s="1">
        <f>IFERROR(__xludf.DUMMYFUNCTION("""COMPUTED_VALUE"""),37.96)</f>
        <v>37.96</v>
      </c>
      <c r="BJ204" s="1">
        <f>IFERROR(__xludf.DUMMYFUNCTION("""COMPUTED_VALUE"""),264.65)</f>
        <v>264.65</v>
      </c>
      <c r="BK204" s="1">
        <f>IFERROR(__xludf.DUMMYFUNCTION("""COMPUTED_VALUE"""),516.57)</f>
        <v>516.57</v>
      </c>
      <c r="BL204" s="1">
        <f>IFERROR(__xludf.DUMMYFUNCTION("""COMPUTED_VALUE"""),180.66)</f>
        <v>180.66</v>
      </c>
      <c r="BM204" s="1">
        <f>IFERROR(__xludf.DUMMYFUNCTION("""COMPUTED_VALUE"""),69.11)</f>
        <v>69.11</v>
      </c>
      <c r="BN204" s="3">
        <f>IFERROR(__xludf.DUMMYFUNCTION("""COMPUTED_VALUE"""),6.67)</f>
        <v>6.67</v>
      </c>
      <c r="BO204" s="1">
        <f>IFERROR(__xludf.DUMMYFUNCTION("""COMPUTED_VALUE"""),241.52)</f>
        <v>241.52</v>
      </c>
      <c r="BP204" s="1">
        <f>IFERROR(__xludf.DUMMYFUNCTION("""COMPUTED_VALUE"""),474.61)</f>
        <v>474.61</v>
      </c>
      <c r="BQ204" s="36">
        <f>IFERROR(__xludf.DUMMYFUNCTION("""COMPUTED_VALUE"""),49.5)</f>
        <v>49.5</v>
      </c>
      <c r="BR204" s="1">
        <f>IFERROR(__xludf.DUMMYFUNCTION("""COMPUTED_VALUE"""),9.37)</f>
        <v>9.37</v>
      </c>
      <c r="BS204" s="3">
        <f>IFERROR(__xludf.DUMMYFUNCTION("""COMPUTED_VALUE"""),229.96)</f>
        <v>229.96</v>
      </c>
      <c r="BT204" s="1">
        <f>IFERROR(__xludf.DUMMYFUNCTION("""COMPUTED_VALUE"""),109.01)</f>
        <v>109.01</v>
      </c>
      <c r="BU204" s="3">
        <v>1.0</v>
      </c>
    </row>
    <row r="205">
      <c r="A205" s="25">
        <f>IFERROR(__xludf.DUMMYFUNCTION("""COMPUTED_VALUE"""),45721.66666666667)</f>
        <v>45721.66667</v>
      </c>
      <c r="B205" s="29">
        <f>'Master Scratch Work'!B204</f>
        <v>1334190.44</v>
      </c>
      <c r="C205" s="15">
        <f>IFERROR(__xludf.DUMMYFUNCTION("""COMPUTED_VALUE"""),5842.63)</f>
        <v>5842.63</v>
      </c>
      <c r="D205" s="15">
        <f>IFERROR(__xludf.DUMMYFUNCTION("""COMPUTED_VALUE"""),18552.73)</f>
        <v>18552.73</v>
      </c>
      <c r="E205" s="15">
        <f>IFERROR(__xludf.DUMMYFUNCTION("""COMPUTED_VALUE"""),43006.59)</f>
        <v>43006.59</v>
      </c>
      <c r="F205" s="15">
        <f>IFERROR(__xludf.DUMMYFUNCTION("""COMPUTED_VALUE"""),2100.75)</f>
        <v>2100.75</v>
      </c>
      <c r="G205" s="3">
        <f>IFERROR(__xludf.DUMMYFUNCTION("""COMPUTED_VALUE"""),583.06)</f>
        <v>583.06</v>
      </c>
      <c r="H205" s="3">
        <f>IFERROR(__xludf.DUMMYFUNCTION("""COMPUTED_VALUE"""),502.01)</f>
        <v>502.01</v>
      </c>
      <c r="I205" s="3">
        <f>IFERROR(__xludf.DUMMYFUNCTION("""COMPUTED_VALUE"""),451.24)</f>
        <v>451.24</v>
      </c>
      <c r="J205" s="3">
        <f>IFERROR(__xludf.DUMMYFUNCTION("""COMPUTED_VALUE"""),208.36)</f>
        <v>208.36</v>
      </c>
      <c r="K205" s="3">
        <f>IFERROR(__xludf.DUMMYFUNCTION("""COMPUTED_VALUE"""),137.82)</f>
        <v>137.82</v>
      </c>
      <c r="L205" s="3">
        <f>IFERROR(__xludf.DUMMYFUNCTION("""COMPUTED_VALUE"""),235.74)</f>
        <v>235.74</v>
      </c>
      <c r="M205" s="3">
        <f>IFERROR(__xludf.DUMMYFUNCTION("""COMPUTED_VALUE"""),155.32)</f>
        <v>155.32</v>
      </c>
      <c r="N205" s="3">
        <f>IFERROR(__xludf.DUMMYFUNCTION("""COMPUTED_VALUE"""),86.56)</f>
        <v>86.56</v>
      </c>
      <c r="O205" s="3">
        <f>IFERROR(__xludf.DUMMYFUNCTION("""COMPUTED_VALUE"""),16.24)</f>
        <v>16.24</v>
      </c>
      <c r="P205" s="3">
        <f>IFERROR(__xludf.DUMMYFUNCTION("""COMPUTED_VALUE"""),498.5)</f>
        <v>498.5</v>
      </c>
      <c r="Q205" s="3">
        <f>IFERROR(__xludf.DUMMYFUNCTION("""COMPUTED_VALUE"""),50.71)</f>
        <v>50.71</v>
      </c>
      <c r="R205" s="3">
        <f>IFERROR(__xludf.DUMMYFUNCTION("""COMPUTED_VALUE"""),143.77)</f>
        <v>143.77</v>
      </c>
      <c r="S205" s="3">
        <f>IFERROR(__xludf.DUMMYFUNCTION("""COMPUTED_VALUE"""),104.71)</f>
        <v>104.71</v>
      </c>
      <c r="T205" s="3">
        <f>IFERROR(__xludf.DUMMYFUNCTION("""COMPUTED_VALUE"""),64.87)</f>
        <v>64.87</v>
      </c>
      <c r="U205" s="3">
        <f>IFERROR(__xludf.DUMMYFUNCTION("""COMPUTED_VALUE"""),338.49)</f>
        <v>338.49</v>
      </c>
      <c r="V205" s="3">
        <f>IFERROR(__xludf.DUMMYFUNCTION("""COMPUTED_VALUE"""),42.99)</f>
        <v>42.99</v>
      </c>
      <c r="W205" s="3">
        <f>IFERROR(__xludf.DUMMYFUNCTION("""COMPUTED_VALUE"""),221.6)</f>
        <v>221.6</v>
      </c>
      <c r="X205" s="3">
        <f>IFERROR(__xludf.DUMMYFUNCTION("""COMPUTED_VALUE"""),150.81)</f>
        <v>150.81</v>
      </c>
      <c r="Y205" s="1">
        <f>IFERROR(__xludf.DUMMYFUNCTION("""COMPUTED_VALUE"""),309.83)</f>
        <v>309.83</v>
      </c>
      <c r="Z205" s="1">
        <f>IFERROR(__xludf.DUMMYFUNCTION("""COMPUTED_VALUE"""),43.34)</f>
        <v>43.34</v>
      </c>
      <c r="AA205" s="1">
        <f>IFERROR(__xludf.DUMMYFUNCTION("""COMPUTED_VALUE"""),70.08)</f>
        <v>70.08</v>
      </c>
      <c r="AB205" s="1">
        <f>IFERROR(__xludf.DUMMYFUNCTION("""COMPUTED_VALUE"""),100.2)</f>
        <v>100.2</v>
      </c>
      <c r="AC205" s="1">
        <f>IFERROR(__xludf.DUMMYFUNCTION("""COMPUTED_VALUE"""),157.28)</f>
        <v>157.28</v>
      </c>
      <c r="AD205" s="3">
        <f>IFERROR(__xludf.DUMMYFUNCTION("""COMPUTED_VALUE"""),70.16)</f>
        <v>70.16</v>
      </c>
      <c r="AE205" s="1">
        <f>IFERROR(__xludf.DUMMYFUNCTION("""COMPUTED_VALUE"""),476.18)</f>
        <v>476.18</v>
      </c>
      <c r="AF205" s="1">
        <f>IFERROR(__xludf.DUMMYFUNCTION("""COMPUTED_VALUE"""),66.55)</f>
        <v>66.55</v>
      </c>
      <c r="AG205" s="1">
        <f>IFERROR(__xludf.DUMMYFUNCTION("""COMPUTED_VALUE"""),105.44)</f>
        <v>105.44</v>
      </c>
      <c r="AH205" s="1">
        <f>IFERROR(__xludf.DUMMYFUNCTION("""COMPUTED_VALUE"""),250.41)</f>
        <v>250.41</v>
      </c>
      <c r="AI205" s="1">
        <f>IFERROR(__xludf.DUMMYFUNCTION("""COMPUTED_VALUE"""),459.2)</f>
        <v>459.2</v>
      </c>
      <c r="AJ205" s="1">
        <f>IFERROR(__xludf.DUMMYFUNCTION("""COMPUTED_VALUE"""),262.96)</f>
        <v>262.96</v>
      </c>
      <c r="AK205" s="1">
        <f>IFERROR(__xludf.DUMMYFUNCTION("""COMPUTED_VALUE"""),48.48)</f>
        <v>48.48</v>
      </c>
      <c r="AL205" s="1">
        <f>IFERROR(__xludf.DUMMYFUNCTION("""COMPUTED_VALUE"""),115.44)</f>
        <v>115.44</v>
      </c>
      <c r="AM205" s="1">
        <f>IFERROR(__xludf.DUMMYFUNCTION("""COMPUTED_VALUE"""),593.07)</f>
        <v>593.07</v>
      </c>
      <c r="AN205" s="1">
        <f>IFERROR(__xludf.DUMMYFUNCTION("""COMPUTED_VALUE"""),386.35)</f>
        <v>386.35</v>
      </c>
      <c r="AO205" s="1">
        <f>IFERROR(__xludf.DUMMYFUNCTION("""COMPUTED_VALUE"""),147.88)</f>
        <v>147.88</v>
      </c>
      <c r="AP205" s="1">
        <f>IFERROR(__xludf.DUMMYFUNCTION("""COMPUTED_VALUE"""),171.61)</f>
        <v>171.61</v>
      </c>
      <c r="AQ205" s="3">
        <f>IFERROR(__xludf.DUMMYFUNCTION("""COMPUTED_VALUE"""),568.02)</f>
        <v>568.02</v>
      </c>
      <c r="AR205" s="3">
        <f>IFERROR(__xludf.DUMMYFUNCTION("""COMPUTED_VALUE"""),251.53)</f>
        <v>251.53</v>
      </c>
      <c r="AS205" s="3">
        <f>IFERROR(__xludf.DUMMYFUNCTION("""COMPUTED_VALUE"""),460.42)</f>
        <v>460.42</v>
      </c>
      <c r="AT205" s="3">
        <f>IFERROR(__xludf.DUMMYFUNCTION("""COMPUTED_VALUE"""),349.53)</f>
        <v>349.53</v>
      </c>
      <c r="AU205" s="1">
        <f>IFERROR(__xludf.DUMMYFUNCTION("""COMPUTED_VALUE"""),29.96)</f>
        <v>29.96</v>
      </c>
      <c r="AV205" s="1">
        <f>IFERROR(__xludf.DUMMYFUNCTION("""COMPUTED_VALUE"""),94.06)</f>
        <v>94.06</v>
      </c>
      <c r="AW205" s="1">
        <f>IFERROR(__xludf.DUMMYFUNCTION("""COMPUTED_VALUE"""),83.06)</f>
        <v>83.06</v>
      </c>
      <c r="AX205" s="3">
        <f>IFERROR(__xludf.DUMMYFUNCTION("""COMPUTED_VALUE"""),25.66)</f>
        <v>25.66</v>
      </c>
      <c r="AY205" s="1">
        <f>IFERROR(__xludf.DUMMYFUNCTION("""COMPUTED_VALUE"""),401.02)</f>
        <v>401.02</v>
      </c>
      <c r="AZ205" s="3">
        <f>IFERROR(__xludf.DUMMYFUNCTION("""COMPUTED_VALUE"""),70.48)</f>
        <v>70.48</v>
      </c>
      <c r="BA205" s="3">
        <f>IFERROR(__xludf.DUMMYFUNCTION("""COMPUTED_VALUE"""),98.71)</f>
        <v>98.71</v>
      </c>
      <c r="BB205" s="3">
        <f>IFERROR(__xludf.DUMMYFUNCTION("""COMPUTED_VALUE"""),117.3)</f>
        <v>117.3</v>
      </c>
      <c r="BC205" s="1">
        <f>IFERROR(__xludf.DUMMYFUNCTION("""COMPUTED_VALUE"""),101.36)</f>
        <v>101.36</v>
      </c>
      <c r="BD205" s="3">
        <f>IFERROR(__xludf.DUMMYFUNCTION("""COMPUTED_VALUE"""),52.48)</f>
        <v>52.48</v>
      </c>
      <c r="BE205" s="3">
        <f>IFERROR(__xludf.DUMMYFUNCTION("""COMPUTED_VALUE"""),90.13)</f>
        <v>90.13</v>
      </c>
      <c r="BF205" s="1">
        <f>IFERROR(__xludf.DUMMYFUNCTION("""COMPUTED_VALUE"""),69.5)</f>
        <v>69.5</v>
      </c>
      <c r="BG205" s="1">
        <f>IFERROR(__xludf.DUMMYFUNCTION("""COMPUTED_VALUE"""),25.94)</f>
        <v>25.94</v>
      </c>
      <c r="BH205" s="1">
        <f>IFERROR(__xludf.DUMMYFUNCTION("""COMPUTED_VALUE"""),129.64)</f>
        <v>129.64</v>
      </c>
      <c r="BI205" s="3">
        <f>IFERROR(__xludf.DUMMYFUNCTION("""COMPUTED_VALUE"""),39.62)</f>
        <v>39.62</v>
      </c>
      <c r="BJ205" s="1">
        <f>IFERROR(__xludf.DUMMYFUNCTION("""COMPUTED_VALUE"""),262.74)</f>
        <v>262.74</v>
      </c>
      <c r="BK205" s="1">
        <f>IFERROR(__xludf.DUMMYFUNCTION("""COMPUTED_VALUE"""),524.19)</f>
        <v>524.19</v>
      </c>
      <c r="BL205" s="1">
        <f>IFERROR(__xludf.DUMMYFUNCTION("""COMPUTED_VALUE"""),192.35)</f>
        <v>192.35</v>
      </c>
      <c r="BM205" s="1">
        <f>IFERROR(__xludf.DUMMYFUNCTION("""COMPUTED_VALUE"""),67.44)</f>
        <v>67.44</v>
      </c>
      <c r="BN205" s="3">
        <f>IFERROR(__xludf.DUMMYFUNCTION("""COMPUTED_VALUE"""),6.95)</f>
        <v>6.95</v>
      </c>
      <c r="BO205" s="1">
        <f>IFERROR(__xludf.DUMMYFUNCTION("""COMPUTED_VALUE"""),243.61)</f>
        <v>243.61</v>
      </c>
      <c r="BP205" s="1">
        <f>IFERROR(__xludf.DUMMYFUNCTION("""COMPUTED_VALUE"""),475.98)</f>
        <v>475.98</v>
      </c>
      <c r="BQ205" s="36">
        <f>IFERROR(__xludf.DUMMYFUNCTION("""COMPUTED_VALUE"""),49.39)</f>
        <v>49.39</v>
      </c>
      <c r="BR205" s="1">
        <f>IFERROR(__xludf.DUMMYFUNCTION("""COMPUTED_VALUE"""),9.48)</f>
        <v>9.48</v>
      </c>
      <c r="BS205" s="3">
        <f>IFERROR(__xludf.DUMMYFUNCTION("""COMPUTED_VALUE"""),230.39)</f>
        <v>230.39</v>
      </c>
      <c r="BT205" s="1">
        <f>IFERROR(__xludf.DUMMYFUNCTION("""COMPUTED_VALUE"""),109.31)</f>
        <v>109.31</v>
      </c>
      <c r="BU205" s="3">
        <v>1.0</v>
      </c>
    </row>
    <row r="206">
      <c r="A206" s="25">
        <f>IFERROR(__xludf.DUMMYFUNCTION("""COMPUTED_VALUE"""),45722.66666666667)</f>
        <v>45722.66667</v>
      </c>
      <c r="B206" s="29">
        <f>'Master Scratch Work'!B205</f>
        <v>1332352.89</v>
      </c>
      <c r="C206" s="15">
        <f>IFERROR(__xludf.DUMMYFUNCTION("""COMPUTED_VALUE"""),5738.52)</f>
        <v>5738.52</v>
      </c>
      <c r="D206" s="15">
        <f>IFERROR(__xludf.DUMMYFUNCTION("""COMPUTED_VALUE"""),18069.26)</f>
        <v>18069.26</v>
      </c>
      <c r="E206" s="15">
        <f>IFERROR(__xludf.DUMMYFUNCTION("""COMPUTED_VALUE"""),42579.08)</f>
        <v>42579.08</v>
      </c>
      <c r="F206" s="15">
        <f>IFERROR(__xludf.DUMMYFUNCTION("""COMPUTED_VALUE"""),2066.55)</f>
        <v>2066.55</v>
      </c>
      <c r="G206" s="3">
        <f>IFERROR(__xludf.DUMMYFUNCTION("""COMPUTED_VALUE"""),572.71)</f>
        <v>572.71</v>
      </c>
      <c r="H206" s="3">
        <f>IFERROR(__xludf.DUMMYFUNCTION("""COMPUTED_VALUE"""),488.2)</f>
        <v>488.2</v>
      </c>
      <c r="I206" s="3">
        <f>IFERROR(__xludf.DUMMYFUNCTION("""COMPUTED_VALUE"""),444.78)</f>
        <v>444.78</v>
      </c>
      <c r="J206" s="3">
        <f>IFERROR(__xludf.DUMMYFUNCTION("""COMPUTED_VALUE"""),200.7)</f>
        <v>200.7</v>
      </c>
      <c r="K206" s="3">
        <f>IFERROR(__xludf.DUMMYFUNCTION("""COMPUTED_VALUE"""),138.18)</f>
        <v>138.18</v>
      </c>
      <c r="L206" s="3">
        <f>IFERROR(__xludf.DUMMYFUNCTION("""COMPUTED_VALUE"""),235.33)</f>
        <v>235.33</v>
      </c>
      <c r="M206" s="3">
        <f>IFERROR(__xludf.DUMMYFUNCTION("""COMPUTED_VALUE"""),151.54)</f>
        <v>151.54</v>
      </c>
      <c r="N206" s="3">
        <f>IFERROR(__xludf.DUMMYFUNCTION("""COMPUTED_VALUE"""),84.69)</f>
        <v>84.69</v>
      </c>
      <c r="O206" s="3">
        <f>IFERROR(__xludf.DUMMYFUNCTION("""COMPUTED_VALUE"""),16.02)</f>
        <v>16.02</v>
      </c>
      <c r="P206" s="3">
        <f>IFERROR(__xludf.DUMMYFUNCTION("""COMPUTED_VALUE"""),497.84)</f>
        <v>497.84</v>
      </c>
      <c r="Q206" s="3">
        <f>IFERROR(__xludf.DUMMYFUNCTION("""COMPUTED_VALUE"""),50.69)</f>
        <v>50.69</v>
      </c>
      <c r="R206" s="3">
        <f>IFERROR(__xludf.DUMMYFUNCTION("""COMPUTED_VALUE"""),147.37)</f>
        <v>147.37</v>
      </c>
      <c r="S206" s="3">
        <f>IFERROR(__xludf.DUMMYFUNCTION("""COMPUTED_VALUE"""),100.8)</f>
        <v>100.8</v>
      </c>
      <c r="T206" s="3">
        <f>IFERROR(__xludf.DUMMYFUNCTION("""COMPUTED_VALUE"""),65.37)</f>
        <v>65.37</v>
      </c>
      <c r="U206" s="3">
        <f>IFERROR(__xludf.DUMMYFUNCTION("""COMPUTED_VALUE"""),341.01)</f>
        <v>341.01</v>
      </c>
      <c r="V206" s="3">
        <f>IFERROR(__xludf.DUMMYFUNCTION("""COMPUTED_VALUE"""),42.13)</f>
        <v>42.13</v>
      </c>
      <c r="W206" s="3">
        <f>IFERROR(__xludf.DUMMYFUNCTION("""COMPUTED_VALUE"""),223.48)</f>
        <v>223.48</v>
      </c>
      <c r="X206" s="3">
        <f>IFERROR(__xludf.DUMMYFUNCTION("""COMPUTED_VALUE"""),152.95)</f>
        <v>152.95</v>
      </c>
      <c r="Y206" s="1">
        <f>IFERROR(__xludf.DUMMYFUNCTION("""COMPUTED_VALUE"""),315.63)</f>
        <v>315.63</v>
      </c>
      <c r="Z206" s="1">
        <f>IFERROR(__xludf.DUMMYFUNCTION("""COMPUTED_VALUE"""),42.37)</f>
        <v>42.37</v>
      </c>
      <c r="AA206" s="1">
        <f>IFERROR(__xludf.DUMMYFUNCTION("""COMPUTED_VALUE"""),70.46)</f>
        <v>70.46</v>
      </c>
      <c r="AB206" s="1">
        <f>IFERROR(__xludf.DUMMYFUNCTION("""COMPUTED_VALUE"""),100.91)</f>
        <v>100.91</v>
      </c>
      <c r="AC206" s="1">
        <f>IFERROR(__xludf.DUMMYFUNCTION("""COMPUTED_VALUE"""),148.42)</f>
        <v>148.42</v>
      </c>
      <c r="AD206" s="3">
        <f>IFERROR(__xludf.DUMMYFUNCTION("""COMPUTED_VALUE"""),69.1)</f>
        <v>69.1</v>
      </c>
      <c r="AE206" s="1">
        <f>IFERROR(__xludf.DUMMYFUNCTION("""COMPUTED_VALUE"""),480.24)</f>
        <v>480.24</v>
      </c>
      <c r="AF206" s="1">
        <f>IFERROR(__xludf.DUMMYFUNCTION("""COMPUTED_VALUE"""),67.87)</f>
        <v>67.87</v>
      </c>
      <c r="AG206" s="1">
        <f>IFERROR(__xludf.DUMMYFUNCTION("""COMPUTED_VALUE"""),107.62)</f>
        <v>107.62</v>
      </c>
      <c r="AH206" s="1">
        <f>IFERROR(__xludf.DUMMYFUNCTION("""COMPUTED_VALUE"""),249.79)</f>
        <v>249.79</v>
      </c>
      <c r="AI206" s="1">
        <f>IFERROR(__xludf.DUMMYFUNCTION("""COMPUTED_VALUE"""),446.7)</f>
        <v>446.7</v>
      </c>
      <c r="AJ206" s="1">
        <f>IFERROR(__xludf.DUMMYFUNCTION("""COMPUTED_VALUE"""),264.55)</f>
        <v>264.55</v>
      </c>
      <c r="AK206" s="1">
        <f>IFERROR(__xludf.DUMMYFUNCTION("""COMPUTED_VALUE"""),47.2)</f>
        <v>47.2</v>
      </c>
      <c r="AL206" s="1">
        <f>IFERROR(__xludf.DUMMYFUNCTION("""COMPUTED_VALUE"""),116.04)</f>
        <v>116.04</v>
      </c>
      <c r="AM206" s="1">
        <f>IFERROR(__xludf.DUMMYFUNCTION("""COMPUTED_VALUE"""),567.67)</f>
        <v>567.67</v>
      </c>
      <c r="AN206" s="1">
        <f>IFERROR(__xludf.DUMMYFUNCTION("""COMPUTED_VALUE"""),381.73)</f>
        <v>381.73</v>
      </c>
      <c r="AO206" s="1">
        <f>IFERROR(__xludf.DUMMYFUNCTION("""COMPUTED_VALUE"""),145.46)</f>
        <v>145.46</v>
      </c>
      <c r="AP206" s="1">
        <f>IFERROR(__xludf.DUMMYFUNCTION("""COMPUTED_VALUE"""),169.65)</f>
        <v>169.65</v>
      </c>
      <c r="AQ206" s="3">
        <f>IFERROR(__xludf.DUMMYFUNCTION("""COMPUTED_VALUE"""),538.57)</f>
        <v>538.57</v>
      </c>
      <c r="AR206" s="3">
        <f>IFERROR(__xludf.DUMMYFUNCTION("""COMPUTED_VALUE"""),246.54)</f>
        <v>246.54</v>
      </c>
      <c r="AS206" s="3">
        <f>IFERROR(__xludf.DUMMYFUNCTION("""COMPUTED_VALUE"""),461.5)</f>
        <v>461.5</v>
      </c>
      <c r="AT206" s="3">
        <f>IFERROR(__xludf.DUMMYFUNCTION("""COMPUTED_VALUE"""),347.94)</f>
        <v>347.94</v>
      </c>
      <c r="AU206" s="1">
        <f>IFERROR(__xludf.DUMMYFUNCTION("""COMPUTED_VALUE"""),29.37)</f>
        <v>29.37</v>
      </c>
      <c r="AV206" s="1">
        <f>IFERROR(__xludf.DUMMYFUNCTION("""COMPUTED_VALUE"""),93.13)</f>
        <v>93.13</v>
      </c>
      <c r="AW206" s="1">
        <f>IFERROR(__xludf.DUMMYFUNCTION("""COMPUTED_VALUE"""),82.22)</f>
        <v>82.22</v>
      </c>
      <c r="AX206" s="3">
        <f>IFERROR(__xludf.DUMMYFUNCTION("""COMPUTED_VALUE"""),24.4)</f>
        <v>24.4</v>
      </c>
      <c r="AY206" s="1">
        <f>IFERROR(__xludf.DUMMYFUNCTION("""COMPUTED_VALUE"""),396.89)</f>
        <v>396.89</v>
      </c>
      <c r="AZ206" s="3">
        <f>IFERROR(__xludf.DUMMYFUNCTION("""COMPUTED_VALUE"""),70.01)</f>
        <v>70.01</v>
      </c>
      <c r="BA206" s="3">
        <f>IFERROR(__xludf.DUMMYFUNCTION("""COMPUTED_VALUE"""),91.14)</f>
        <v>91.14</v>
      </c>
      <c r="BB206" s="3">
        <f>IFERROR(__xludf.DUMMYFUNCTION("""COMPUTED_VALUE"""),110.57)</f>
        <v>110.57</v>
      </c>
      <c r="BC206" s="1">
        <f>IFERROR(__xludf.DUMMYFUNCTION("""COMPUTED_VALUE"""),102.57)</f>
        <v>102.57</v>
      </c>
      <c r="BD206" s="3">
        <f>IFERROR(__xludf.DUMMYFUNCTION("""COMPUTED_VALUE"""),49.53)</f>
        <v>49.53</v>
      </c>
      <c r="BE206" s="3">
        <f>IFERROR(__xludf.DUMMYFUNCTION("""COMPUTED_VALUE"""),80.46)</f>
        <v>80.46</v>
      </c>
      <c r="BF206" s="1">
        <f>IFERROR(__xludf.DUMMYFUNCTION("""COMPUTED_VALUE"""),68.08)</f>
        <v>68.08</v>
      </c>
      <c r="BG206" s="1">
        <f>IFERROR(__xludf.DUMMYFUNCTION("""COMPUTED_VALUE"""),26.24)</f>
        <v>26.24</v>
      </c>
      <c r="BH206" s="1">
        <f>IFERROR(__xludf.DUMMYFUNCTION("""COMPUTED_VALUE"""),128.28)</f>
        <v>128.28</v>
      </c>
      <c r="BI206" s="3">
        <f>IFERROR(__xludf.DUMMYFUNCTION("""COMPUTED_VALUE"""),39.22)</f>
        <v>39.22</v>
      </c>
      <c r="BJ206" s="1">
        <f>IFERROR(__xludf.DUMMYFUNCTION("""COMPUTED_VALUE"""),262.95)</f>
        <v>262.95</v>
      </c>
      <c r="BK206" s="1">
        <f>IFERROR(__xludf.DUMMYFUNCTION("""COMPUTED_VALUE"""),527.64)</f>
        <v>527.64</v>
      </c>
      <c r="BL206" s="1">
        <f>IFERROR(__xludf.DUMMYFUNCTION("""COMPUTED_VALUE"""),187.51)</f>
        <v>187.51</v>
      </c>
      <c r="BM206" s="1">
        <f>IFERROR(__xludf.DUMMYFUNCTION("""COMPUTED_VALUE"""),65.29)</f>
        <v>65.29</v>
      </c>
      <c r="BN206" s="3">
        <f>IFERROR(__xludf.DUMMYFUNCTION("""COMPUTED_VALUE"""),6.9)</f>
        <v>6.9</v>
      </c>
      <c r="BO206" s="1">
        <f>IFERROR(__xludf.DUMMYFUNCTION("""COMPUTED_VALUE"""),245.27)</f>
        <v>245.27</v>
      </c>
      <c r="BP206" s="1">
        <f>IFERROR(__xludf.DUMMYFUNCTION("""COMPUTED_VALUE"""),487.72)</f>
        <v>487.72</v>
      </c>
      <c r="BQ206" s="36">
        <f>IFERROR(__xludf.DUMMYFUNCTION("""COMPUTED_VALUE"""),49.38)</f>
        <v>49.38</v>
      </c>
      <c r="BR206" s="1">
        <f>IFERROR(__xludf.DUMMYFUNCTION("""COMPUTED_VALUE"""),9.51)</f>
        <v>9.51</v>
      </c>
      <c r="BS206" s="3">
        <f>IFERROR(__xludf.DUMMYFUNCTION("""COMPUTED_VALUE"""),225.96)</f>
        <v>225.96</v>
      </c>
      <c r="BT206" s="1">
        <f>IFERROR(__xludf.DUMMYFUNCTION("""COMPUTED_VALUE"""),105.43)</f>
        <v>105.43</v>
      </c>
      <c r="BU206" s="3">
        <v>1.0</v>
      </c>
    </row>
    <row r="207">
      <c r="A207" s="25">
        <f>IFERROR(__xludf.DUMMYFUNCTION("""COMPUTED_VALUE"""),45723.66666666667)</f>
        <v>45723.66667</v>
      </c>
      <c r="B207" s="29">
        <f>'Master Scratch Work'!B206</f>
        <v>1343769.26</v>
      </c>
      <c r="C207" s="15">
        <f>IFERROR(__xludf.DUMMYFUNCTION("""COMPUTED_VALUE"""),5770.2)</f>
        <v>5770.2</v>
      </c>
      <c r="D207" s="15">
        <f>IFERROR(__xludf.DUMMYFUNCTION("""COMPUTED_VALUE"""),18196.22)</f>
        <v>18196.22</v>
      </c>
      <c r="E207" s="15">
        <f>IFERROR(__xludf.DUMMYFUNCTION("""COMPUTED_VALUE"""),42801.72)</f>
        <v>42801.72</v>
      </c>
      <c r="F207" s="15">
        <f>IFERROR(__xludf.DUMMYFUNCTION("""COMPUTED_VALUE"""),2075.48)</f>
        <v>2075.48</v>
      </c>
      <c r="G207" s="3">
        <f>IFERROR(__xludf.DUMMYFUNCTION("""COMPUTED_VALUE"""),575.92)</f>
        <v>575.92</v>
      </c>
      <c r="H207" s="3">
        <f>IFERROR(__xludf.DUMMYFUNCTION("""COMPUTED_VALUE"""),491.79)</f>
        <v>491.79</v>
      </c>
      <c r="I207" s="3">
        <f>IFERROR(__xludf.DUMMYFUNCTION("""COMPUTED_VALUE"""),449.4)</f>
        <v>449.4</v>
      </c>
      <c r="J207" s="3">
        <f>IFERROR(__xludf.DUMMYFUNCTION("""COMPUTED_VALUE"""),199.25)</f>
        <v>199.25</v>
      </c>
      <c r="K207" s="3">
        <f>IFERROR(__xludf.DUMMYFUNCTION("""COMPUTED_VALUE"""),145.4)</f>
        <v>145.4</v>
      </c>
      <c r="L207" s="3">
        <f>IFERROR(__xludf.DUMMYFUNCTION("""COMPUTED_VALUE"""),239.07)</f>
        <v>239.07</v>
      </c>
      <c r="M207" s="3">
        <f>IFERROR(__xludf.DUMMYFUNCTION("""COMPUTED_VALUE"""),155.68)</f>
        <v>155.68</v>
      </c>
      <c r="N207" s="3">
        <f>IFERROR(__xludf.DUMMYFUNCTION("""COMPUTED_VALUE"""),85.84)</f>
        <v>85.84</v>
      </c>
      <c r="O207" s="3">
        <f>IFERROR(__xludf.DUMMYFUNCTION("""COMPUTED_VALUE"""),15.94)</f>
        <v>15.94</v>
      </c>
      <c r="P207" s="3">
        <f>IFERROR(__xludf.DUMMYFUNCTION("""COMPUTED_VALUE"""),495.62)</f>
        <v>495.62</v>
      </c>
      <c r="Q207" s="3">
        <f>IFERROR(__xludf.DUMMYFUNCTION("""COMPUTED_VALUE"""),50.16)</f>
        <v>50.16</v>
      </c>
      <c r="R207" s="3">
        <f>IFERROR(__xludf.DUMMYFUNCTION("""COMPUTED_VALUE"""),150.38)</f>
        <v>150.38</v>
      </c>
      <c r="S207" s="3">
        <f>IFERROR(__xludf.DUMMYFUNCTION("""COMPUTED_VALUE"""),99.13)</f>
        <v>99.13</v>
      </c>
      <c r="T207" s="3">
        <f>IFERROR(__xludf.DUMMYFUNCTION("""COMPUTED_VALUE"""),67.39)</f>
        <v>67.39</v>
      </c>
      <c r="U207" s="3">
        <f>IFERROR(__xludf.DUMMYFUNCTION("""COMPUTED_VALUE"""),350.3)</f>
        <v>350.3</v>
      </c>
      <c r="V207" s="3">
        <f>IFERROR(__xludf.DUMMYFUNCTION("""COMPUTED_VALUE"""),41.83)</f>
        <v>41.83</v>
      </c>
      <c r="W207" s="3">
        <f>IFERROR(__xludf.DUMMYFUNCTION("""COMPUTED_VALUE"""),230.2)</f>
        <v>230.2</v>
      </c>
      <c r="X207" s="3">
        <f>IFERROR(__xludf.DUMMYFUNCTION("""COMPUTED_VALUE"""),156.34)</f>
        <v>156.34</v>
      </c>
      <c r="Y207" s="1">
        <f>IFERROR(__xludf.DUMMYFUNCTION("""COMPUTED_VALUE"""),321.02)</f>
        <v>321.02</v>
      </c>
      <c r="Z207" s="1">
        <f>IFERROR(__xludf.DUMMYFUNCTION("""COMPUTED_VALUE"""),41.64)</f>
        <v>41.64</v>
      </c>
      <c r="AA207" s="1">
        <f>IFERROR(__xludf.DUMMYFUNCTION("""COMPUTED_VALUE"""),71.43)</f>
        <v>71.43</v>
      </c>
      <c r="AB207" s="1">
        <f>IFERROR(__xludf.DUMMYFUNCTION("""COMPUTED_VALUE"""),103.64)</f>
        <v>103.64</v>
      </c>
      <c r="AC207" s="1">
        <f>IFERROR(__xludf.DUMMYFUNCTION("""COMPUTED_VALUE"""),149.17)</f>
        <v>149.17</v>
      </c>
      <c r="AD207" s="3">
        <f>IFERROR(__xludf.DUMMYFUNCTION("""COMPUTED_VALUE"""),68.99)</f>
        <v>68.99</v>
      </c>
      <c r="AE207" s="1">
        <f>IFERROR(__xludf.DUMMYFUNCTION("""COMPUTED_VALUE"""),472.05)</f>
        <v>472.05</v>
      </c>
      <c r="AF207" s="1">
        <f>IFERROR(__xludf.DUMMYFUNCTION("""COMPUTED_VALUE"""),70.51)</f>
        <v>70.51</v>
      </c>
      <c r="AG207" s="1">
        <f>IFERROR(__xludf.DUMMYFUNCTION("""COMPUTED_VALUE"""),109.02)</f>
        <v>109.02</v>
      </c>
      <c r="AH207" s="1">
        <f>IFERROR(__xludf.DUMMYFUNCTION("""COMPUTED_VALUE"""),253.92)</f>
        <v>253.92</v>
      </c>
      <c r="AI207" s="1">
        <f>IFERROR(__xludf.DUMMYFUNCTION("""COMPUTED_VALUE"""),449.56)</f>
        <v>449.56</v>
      </c>
      <c r="AJ207" s="1">
        <f>IFERROR(__xludf.DUMMYFUNCTION("""COMPUTED_VALUE"""),271.56)</f>
        <v>271.56</v>
      </c>
      <c r="AK207" s="1">
        <f>IFERROR(__xludf.DUMMYFUNCTION("""COMPUTED_VALUE"""),47.44)</f>
        <v>47.44</v>
      </c>
      <c r="AL207" s="1">
        <f>IFERROR(__xludf.DUMMYFUNCTION("""COMPUTED_VALUE"""),117.41)</f>
        <v>117.41</v>
      </c>
      <c r="AM207" s="1">
        <f>IFERROR(__xludf.DUMMYFUNCTION("""COMPUTED_VALUE"""),559.67)</f>
        <v>559.67</v>
      </c>
      <c r="AN207" s="1">
        <f>IFERROR(__xludf.DUMMYFUNCTION("""COMPUTED_VALUE"""),376.8)</f>
        <v>376.8</v>
      </c>
      <c r="AO207" s="1">
        <f>IFERROR(__xludf.DUMMYFUNCTION("""COMPUTED_VALUE"""),149.28)</f>
        <v>149.28</v>
      </c>
      <c r="AP207" s="1">
        <f>IFERROR(__xludf.DUMMYFUNCTION("""COMPUTED_VALUE"""),170.24)</f>
        <v>170.24</v>
      </c>
      <c r="AQ207" s="3">
        <f>IFERROR(__xludf.DUMMYFUNCTION("""COMPUTED_VALUE"""),518.26)</f>
        <v>518.26</v>
      </c>
      <c r="AR207" s="3">
        <f>IFERROR(__xludf.DUMMYFUNCTION("""COMPUTED_VALUE"""),242.28)</f>
        <v>242.28</v>
      </c>
      <c r="AS207" s="3">
        <f>IFERROR(__xludf.DUMMYFUNCTION("""COMPUTED_VALUE"""),473.65)</f>
        <v>473.65</v>
      </c>
      <c r="AT207" s="3">
        <f>IFERROR(__xludf.DUMMYFUNCTION("""COMPUTED_VALUE"""),344.36)</f>
        <v>344.36</v>
      </c>
      <c r="AU207" s="1">
        <f>IFERROR(__xludf.DUMMYFUNCTION("""COMPUTED_VALUE"""),29.26)</f>
        <v>29.26</v>
      </c>
      <c r="AV207" s="1">
        <f>IFERROR(__xludf.DUMMYFUNCTION("""COMPUTED_VALUE"""),94.5)</f>
        <v>94.5</v>
      </c>
      <c r="AW207" s="1">
        <f>IFERROR(__xludf.DUMMYFUNCTION("""COMPUTED_VALUE"""),82.25)</f>
        <v>82.25</v>
      </c>
      <c r="AX207" s="3">
        <f>IFERROR(__xludf.DUMMYFUNCTION("""COMPUTED_VALUE"""),24.98)</f>
        <v>24.98</v>
      </c>
      <c r="AY207" s="1">
        <f>IFERROR(__xludf.DUMMYFUNCTION("""COMPUTED_VALUE"""),393.31)</f>
        <v>393.31</v>
      </c>
      <c r="AZ207" s="3">
        <f>IFERROR(__xludf.DUMMYFUNCTION("""COMPUTED_VALUE"""),72.83)</f>
        <v>72.83</v>
      </c>
      <c r="BA207" s="3">
        <f>IFERROR(__xludf.DUMMYFUNCTION("""COMPUTED_VALUE"""),88.09)</f>
        <v>88.09</v>
      </c>
      <c r="BB207" s="3">
        <f>IFERROR(__xludf.DUMMYFUNCTION("""COMPUTED_VALUE"""),112.69)</f>
        <v>112.69</v>
      </c>
      <c r="BC207" s="1">
        <f>IFERROR(__xludf.DUMMYFUNCTION("""COMPUTED_VALUE"""),104.01)</f>
        <v>104.01</v>
      </c>
      <c r="BD207" s="3">
        <f>IFERROR(__xludf.DUMMYFUNCTION("""COMPUTED_VALUE"""),46.66)</f>
        <v>46.66</v>
      </c>
      <c r="BE207" s="3">
        <f>IFERROR(__xludf.DUMMYFUNCTION("""COMPUTED_VALUE"""),84.91)</f>
        <v>84.91</v>
      </c>
      <c r="BF207" s="1">
        <f>IFERROR(__xludf.DUMMYFUNCTION("""COMPUTED_VALUE"""),70.48)</f>
        <v>70.48</v>
      </c>
      <c r="BG207" s="1">
        <f>IFERROR(__xludf.DUMMYFUNCTION("""COMPUTED_VALUE"""),26.73)</f>
        <v>26.73</v>
      </c>
      <c r="BH207" s="1">
        <f>IFERROR(__xludf.DUMMYFUNCTION("""COMPUTED_VALUE"""),128.4)</f>
        <v>128.4</v>
      </c>
      <c r="BI207" s="3">
        <f>IFERROR(__xludf.DUMMYFUNCTION("""COMPUTED_VALUE"""),39.21)</f>
        <v>39.21</v>
      </c>
      <c r="BJ207" s="1">
        <f>IFERROR(__xludf.DUMMYFUNCTION("""COMPUTED_VALUE"""),265.24)</f>
        <v>265.24</v>
      </c>
      <c r="BK207" s="1">
        <f>IFERROR(__xludf.DUMMYFUNCTION("""COMPUTED_VALUE"""),531.71)</f>
        <v>531.71</v>
      </c>
      <c r="BL207" s="1">
        <f>IFERROR(__xludf.DUMMYFUNCTION("""COMPUTED_VALUE"""),190.18)</f>
        <v>190.18</v>
      </c>
      <c r="BM207" s="1">
        <f>IFERROR(__xludf.DUMMYFUNCTION("""COMPUTED_VALUE"""),67.46)</f>
        <v>67.46</v>
      </c>
      <c r="BN207" s="3">
        <f>IFERROR(__xludf.DUMMYFUNCTION("""COMPUTED_VALUE"""),7.08)</f>
        <v>7.08</v>
      </c>
      <c r="BO207" s="1">
        <f>IFERROR(__xludf.DUMMYFUNCTION("""COMPUTED_VALUE"""),249.31)</f>
        <v>249.31</v>
      </c>
      <c r="BP207" s="1">
        <f>IFERROR(__xludf.DUMMYFUNCTION("""COMPUTED_VALUE"""),493.48)</f>
        <v>493.48</v>
      </c>
      <c r="BQ207" s="36">
        <f>IFERROR(__xludf.DUMMYFUNCTION("""COMPUTED_VALUE"""),49.38)</f>
        <v>49.38</v>
      </c>
      <c r="BR207" s="1">
        <f>IFERROR(__xludf.DUMMYFUNCTION("""COMPUTED_VALUE"""),9.65)</f>
        <v>9.65</v>
      </c>
      <c r="BS207" s="3">
        <f>IFERROR(__xludf.DUMMYFUNCTION("""COMPUTED_VALUE"""),229.55)</f>
        <v>229.55</v>
      </c>
      <c r="BT207" s="1">
        <f>IFERROR(__xludf.DUMMYFUNCTION("""COMPUTED_VALUE"""),105.51)</f>
        <v>105.51</v>
      </c>
      <c r="BU207" s="3">
        <v>1.0</v>
      </c>
    </row>
    <row r="208">
      <c r="A208" s="25">
        <f>IFERROR(__xludf.DUMMYFUNCTION("""COMPUTED_VALUE"""),45726.66666666667)</f>
        <v>45726.66667</v>
      </c>
      <c r="B208" s="29">
        <f>'Master Scratch Work'!B207</f>
        <v>1319051.14</v>
      </c>
      <c r="C208" s="15">
        <f>IFERROR(__xludf.DUMMYFUNCTION("""COMPUTED_VALUE"""),5614.56)</f>
        <v>5614.56</v>
      </c>
      <c r="D208" s="15">
        <f>IFERROR(__xludf.DUMMYFUNCTION("""COMPUTED_VALUE"""),17468.32)</f>
        <v>17468.32</v>
      </c>
      <c r="E208" s="15">
        <f>IFERROR(__xludf.DUMMYFUNCTION("""COMPUTED_VALUE"""),41911.71)</f>
        <v>41911.71</v>
      </c>
      <c r="F208" s="15">
        <f>IFERROR(__xludf.DUMMYFUNCTION("""COMPUTED_VALUE"""),2019.07)</f>
        <v>2019.07</v>
      </c>
      <c r="G208" s="3">
        <f>IFERROR(__xludf.DUMMYFUNCTION("""COMPUTED_VALUE"""),560.58)</f>
        <v>560.58</v>
      </c>
      <c r="H208" s="3">
        <f>IFERROR(__xludf.DUMMYFUNCTION("""COMPUTED_VALUE"""),472.73)</f>
        <v>472.73</v>
      </c>
      <c r="I208" s="3">
        <f>IFERROR(__xludf.DUMMYFUNCTION("""COMPUTED_VALUE"""),435.08)</f>
        <v>435.08</v>
      </c>
      <c r="J208" s="3">
        <f>IFERROR(__xludf.DUMMYFUNCTION("""COMPUTED_VALUE"""),194.54)</f>
        <v>194.54</v>
      </c>
      <c r="K208" s="3">
        <f>IFERROR(__xludf.DUMMYFUNCTION("""COMPUTED_VALUE"""),149.31)</f>
        <v>149.31</v>
      </c>
      <c r="L208" s="3">
        <f>IFERROR(__xludf.DUMMYFUNCTION("""COMPUTED_VALUE"""),227.48)</f>
        <v>227.48</v>
      </c>
      <c r="M208" s="3">
        <f>IFERROR(__xludf.DUMMYFUNCTION("""COMPUTED_VALUE"""),149.99)</f>
        <v>149.99</v>
      </c>
      <c r="N208" s="3">
        <f>IFERROR(__xludf.DUMMYFUNCTION("""COMPUTED_VALUE"""),84.24)</f>
        <v>84.24</v>
      </c>
      <c r="O208" s="3">
        <f>IFERROR(__xludf.DUMMYFUNCTION("""COMPUTED_VALUE"""),14.79)</f>
        <v>14.79</v>
      </c>
      <c r="P208" s="3">
        <f>IFERROR(__xludf.DUMMYFUNCTION("""COMPUTED_VALUE"""),497.1)</f>
        <v>497.1</v>
      </c>
      <c r="Q208" s="3">
        <f>IFERROR(__xludf.DUMMYFUNCTION("""COMPUTED_VALUE"""),49.61)</f>
        <v>49.61</v>
      </c>
      <c r="R208" s="3">
        <f>IFERROR(__xludf.DUMMYFUNCTION("""COMPUTED_VALUE"""),150.71)</f>
        <v>150.71</v>
      </c>
      <c r="S208" s="3">
        <f>IFERROR(__xludf.DUMMYFUNCTION("""COMPUTED_VALUE"""),94.13)</f>
        <v>94.13</v>
      </c>
      <c r="T208" s="3">
        <f>IFERROR(__xludf.DUMMYFUNCTION("""COMPUTED_VALUE"""),67.05)</f>
        <v>67.05</v>
      </c>
      <c r="U208" s="3">
        <f>IFERROR(__xludf.DUMMYFUNCTION("""COMPUTED_VALUE"""),345.21)</f>
        <v>345.21</v>
      </c>
      <c r="V208" s="3">
        <f>IFERROR(__xludf.DUMMYFUNCTION("""COMPUTED_VALUE"""),40.64)</f>
        <v>40.64</v>
      </c>
      <c r="W208" s="3">
        <f>IFERROR(__xludf.DUMMYFUNCTION("""COMPUTED_VALUE"""),225.27)</f>
        <v>225.27</v>
      </c>
      <c r="X208" s="3">
        <f>IFERROR(__xludf.DUMMYFUNCTION("""COMPUTED_VALUE"""),157.57)</f>
        <v>157.57</v>
      </c>
      <c r="Y208" s="1">
        <f>IFERROR(__xludf.DUMMYFUNCTION("""COMPUTED_VALUE"""),326.68)</f>
        <v>326.68</v>
      </c>
      <c r="Z208" s="1">
        <f>IFERROR(__xludf.DUMMYFUNCTION("""COMPUTED_VALUE"""),39.81)</f>
        <v>39.81</v>
      </c>
      <c r="AA208" s="1">
        <f>IFERROR(__xludf.DUMMYFUNCTION("""COMPUTED_VALUE"""),71.45)</f>
        <v>71.45</v>
      </c>
      <c r="AB208" s="1">
        <f>IFERROR(__xludf.DUMMYFUNCTION("""COMPUTED_VALUE"""),106.66)</f>
        <v>106.66</v>
      </c>
      <c r="AC208" s="1">
        <f>IFERROR(__xludf.DUMMYFUNCTION("""COMPUTED_VALUE"""),145.63)</f>
        <v>145.63</v>
      </c>
      <c r="AD208" s="3">
        <f>IFERROR(__xludf.DUMMYFUNCTION("""COMPUTED_VALUE"""),67.44)</f>
        <v>67.44</v>
      </c>
      <c r="AE208" s="1">
        <f>IFERROR(__xludf.DUMMYFUNCTION("""COMPUTED_VALUE"""),440.03)</f>
        <v>440.03</v>
      </c>
      <c r="AF208" s="1">
        <f>IFERROR(__xludf.DUMMYFUNCTION("""COMPUTED_VALUE"""),68.19)</f>
        <v>68.19</v>
      </c>
      <c r="AG208" s="1">
        <f>IFERROR(__xludf.DUMMYFUNCTION("""COMPUTED_VALUE"""),111.8)</f>
        <v>111.8</v>
      </c>
      <c r="AH208" s="1">
        <f>IFERROR(__xludf.DUMMYFUNCTION("""COMPUTED_VALUE"""),246.51)</f>
        <v>246.51</v>
      </c>
      <c r="AI208" s="1">
        <f>IFERROR(__xludf.DUMMYFUNCTION("""COMPUTED_VALUE"""),437.08)</f>
        <v>437.08</v>
      </c>
      <c r="AJ208" s="1">
        <f>IFERROR(__xludf.DUMMYFUNCTION("""COMPUTED_VALUE"""),271.94)</f>
        <v>271.94</v>
      </c>
      <c r="AK208" s="1">
        <f>IFERROR(__xludf.DUMMYFUNCTION("""COMPUTED_VALUE"""),48.08)</f>
        <v>48.08</v>
      </c>
      <c r="AL208" s="1">
        <f>IFERROR(__xludf.DUMMYFUNCTION("""COMPUTED_VALUE"""),117.21)</f>
        <v>117.21</v>
      </c>
      <c r="AM208" s="1">
        <f>IFERROR(__xludf.DUMMYFUNCTION("""COMPUTED_VALUE"""),531.66)</f>
        <v>531.66</v>
      </c>
      <c r="AN208" s="1">
        <f>IFERROR(__xludf.DUMMYFUNCTION("""COMPUTED_VALUE"""),374.65)</f>
        <v>374.65</v>
      </c>
      <c r="AO208" s="1">
        <f>IFERROR(__xludf.DUMMYFUNCTION("""COMPUTED_VALUE"""),144.24)</f>
        <v>144.24</v>
      </c>
      <c r="AP208" s="1">
        <f>IFERROR(__xludf.DUMMYFUNCTION("""COMPUTED_VALUE"""),169.15)</f>
        <v>169.15</v>
      </c>
      <c r="AQ208" s="3">
        <f>IFERROR(__xludf.DUMMYFUNCTION("""COMPUTED_VALUE"""),482.61)</f>
        <v>482.61</v>
      </c>
      <c r="AR208" s="3">
        <f>IFERROR(__xludf.DUMMYFUNCTION("""COMPUTED_VALUE"""),232.22)</f>
        <v>232.22</v>
      </c>
      <c r="AS208" s="3">
        <f>IFERROR(__xludf.DUMMYFUNCTION("""COMPUTED_VALUE"""),479.17)</f>
        <v>479.17</v>
      </c>
      <c r="AT208" s="3">
        <f>IFERROR(__xludf.DUMMYFUNCTION("""COMPUTED_VALUE"""),333.77)</f>
        <v>333.77</v>
      </c>
      <c r="AU208" s="1">
        <f>IFERROR(__xludf.DUMMYFUNCTION("""COMPUTED_VALUE"""),28.54)</f>
        <v>28.54</v>
      </c>
      <c r="AV208" s="1">
        <f>IFERROR(__xludf.DUMMYFUNCTION("""COMPUTED_VALUE"""),93.8)</f>
        <v>93.8</v>
      </c>
      <c r="AW208" s="1">
        <f>IFERROR(__xludf.DUMMYFUNCTION("""COMPUTED_VALUE"""),79.18)</f>
        <v>79.18</v>
      </c>
      <c r="AX208" s="3">
        <f>IFERROR(__xludf.DUMMYFUNCTION("""COMPUTED_VALUE"""),24.42)</f>
        <v>24.42</v>
      </c>
      <c r="AY208" s="1">
        <f>IFERROR(__xludf.DUMMYFUNCTION("""COMPUTED_VALUE"""),380.16)</f>
        <v>380.16</v>
      </c>
      <c r="AZ208" s="3">
        <f>IFERROR(__xludf.DUMMYFUNCTION("""COMPUTED_VALUE"""),76.16)</f>
        <v>76.16</v>
      </c>
      <c r="BA208" s="3">
        <f>IFERROR(__xludf.DUMMYFUNCTION("""COMPUTED_VALUE"""),84.82)</f>
        <v>84.82</v>
      </c>
      <c r="BB208" s="3">
        <f>IFERROR(__xludf.DUMMYFUNCTION("""COMPUTED_VALUE"""),106.98)</f>
        <v>106.98</v>
      </c>
      <c r="BC208" s="1">
        <f>IFERROR(__xludf.DUMMYFUNCTION("""COMPUTED_VALUE"""),103.92)</f>
        <v>103.92</v>
      </c>
      <c r="BD208" s="3">
        <f>IFERROR(__xludf.DUMMYFUNCTION("""COMPUTED_VALUE"""),44.23)</f>
        <v>44.23</v>
      </c>
      <c r="BE208" s="3">
        <f>IFERROR(__xludf.DUMMYFUNCTION("""COMPUTED_VALUE"""),76.38)</f>
        <v>76.38</v>
      </c>
      <c r="BF208" s="1">
        <f>IFERROR(__xludf.DUMMYFUNCTION("""COMPUTED_VALUE"""),68.16)</f>
        <v>68.16</v>
      </c>
      <c r="BG208" s="1">
        <f>IFERROR(__xludf.DUMMYFUNCTION("""COMPUTED_VALUE"""),26.64)</f>
        <v>26.64</v>
      </c>
      <c r="BH208" s="1">
        <f>IFERROR(__xludf.DUMMYFUNCTION("""COMPUTED_VALUE"""),128.52)</f>
        <v>128.52</v>
      </c>
      <c r="BI208" s="3">
        <f>IFERROR(__xludf.DUMMYFUNCTION("""COMPUTED_VALUE"""),36.82)</f>
        <v>36.82</v>
      </c>
      <c r="BJ208" s="1">
        <f>IFERROR(__xludf.DUMMYFUNCTION("""COMPUTED_VALUE"""),266.63)</f>
        <v>266.63</v>
      </c>
      <c r="BK208" s="1">
        <f>IFERROR(__xludf.DUMMYFUNCTION("""COMPUTED_VALUE"""),526.8)</f>
        <v>526.8</v>
      </c>
      <c r="BL208" s="1">
        <f>IFERROR(__xludf.DUMMYFUNCTION("""COMPUTED_VALUE"""),188.35)</f>
        <v>188.35</v>
      </c>
      <c r="BM208" s="1">
        <f>IFERROR(__xludf.DUMMYFUNCTION("""COMPUTED_VALUE"""),66.03)</f>
        <v>66.03</v>
      </c>
      <c r="BN208" s="3">
        <f>IFERROR(__xludf.DUMMYFUNCTION("""COMPUTED_VALUE"""),7.26)</f>
        <v>7.26</v>
      </c>
      <c r="BO208" s="1">
        <f>IFERROR(__xludf.DUMMYFUNCTION("""COMPUTED_VALUE"""),248.29)</f>
        <v>248.29</v>
      </c>
      <c r="BP208" s="1">
        <f>IFERROR(__xludf.DUMMYFUNCTION("""COMPUTED_VALUE"""),480.22)</f>
        <v>480.22</v>
      </c>
      <c r="BQ208" s="36">
        <f>IFERROR(__xludf.DUMMYFUNCTION("""COMPUTED_VALUE"""),49.49)</f>
        <v>49.49</v>
      </c>
      <c r="BR208" s="1">
        <f>IFERROR(__xludf.DUMMYFUNCTION("""COMPUTED_VALUE"""),9.5)</f>
        <v>9.5</v>
      </c>
      <c r="BS208" s="3">
        <f>IFERROR(__xludf.DUMMYFUNCTION("""COMPUTED_VALUE"""),227.77)</f>
        <v>227.77</v>
      </c>
      <c r="BT208" s="1">
        <f>IFERROR(__xludf.DUMMYFUNCTION("""COMPUTED_VALUE"""),103.08)</f>
        <v>103.08</v>
      </c>
      <c r="BU208" s="3">
        <v>1.0</v>
      </c>
    </row>
    <row r="209">
      <c r="A209" s="25">
        <f>IFERROR(__xludf.DUMMYFUNCTION("""COMPUTED_VALUE"""),45727.66666666667)</f>
        <v>45727.66667</v>
      </c>
      <c r="B209" s="29">
        <f>'Master Scratch Work'!B208</f>
        <v>1305711.69</v>
      </c>
      <c r="C209" s="15">
        <f>IFERROR(__xludf.DUMMYFUNCTION("""COMPUTED_VALUE"""),5572.07)</f>
        <v>5572.07</v>
      </c>
      <c r="D209" s="15">
        <f>IFERROR(__xludf.DUMMYFUNCTION("""COMPUTED_VALUE"""),17436.1)</f>
        <v>17436.1</v>
      </c>
      <c r="E209" s="15">
        <f>IFERROR(__xludf.DUMMYFUNCTION("""COMPUTED_VALUE"""),41433.48)</f>
        <v>41433.48</v>
      </c>
      <c r="F209" s="15">
        <f>IFERROR(__xludf.DUMMYFUNCTION("""COMPUTED_VALUE"""),2023.59)</f>
        <v>2023.59</v>
      </c>
      <c r="G209" s="3">
        <f>IFERROR(__xludf.DUMMYFUNCTION("""COMPUTED_VALUE"""),555.92)</f>
        <v>555.92</v>
      </c>
      <c r="H209" s="3">
        <f>IFERROR(__xludf.DUMMYFUNCTION("""COMPUTED_VALUE"""),471.6)</f>
        <v>471.6</v>
      </c>
      <c r="I209" s="3">
        <f>IFERROR(__xludf.DUMMYFUNCTION("""COMPUTED_VALUE"""),433.66)</f>
        <v>433.66</v>
      </c>
      <c r="J209" s="3">
        <f>IFERROR(__xludf.DUMMYFUNCTION("""COMPUTED_VALUE"""),196.59)</f>
        <v>196.59</v>
      </c>
      <c r="K209" s="3">
        <f>IFERROR(__xludf.DUMMYFUNCTION("""COMPUTED_VALUE"""),143.43)</f>
        <v>143.43</v>
      </c>
      <c r="L209" s="3">
        <f>IFERROR(__xludf.DUMMYFUNCTION("""COMPUTED_VALUE"""),220.84)</f>
        <v>220.84</v>
      </c>
      <c r="M209" s="3">
        <f>IFERROR(__xludf.DUMMYFUNCTION("""COMPUTED_VALUE"""),146.99)</f>
        <v>146.99</v>
      </c>
      <c r="N209" s="3">
        <f>IFERROR(__xludf.DUMMYFUNCTION("""COMPUTED_VALUE"""),81.05)</f>
        <v>81.05</v>
      </c>
      <c r="O209" s="3">
        <f>IFERROR(__xludf.DUMMYFUNCTION("""COMPUTED_VALUE"""),15.1)</f>
        <v>15.1</v>
      </c>
      <c r="P209" s="3">
        <f>IFERROR(__xludf.DUMMYFUNCTION("""COMPUTED_VALUE"""),496.25)</f>
        <v>496.25</v>
      </c>
      <c r="Q209" s="3">
        <f>IFERROR(__xludf.DUMMYFUNCTION("""COMPUTED_VALUE"""),49.78)</f>
        <v>49.78</v>
      </c>
      <c r="R209" s="3">
        <f>IFERROR(__xludf.DUMMYFUNCTION("""COMPUTED_VALUE"""),143.66)</f>
        <v>143.66</v>
      </c>
      <c r="S209" s="3">
        <f>IFERROR(__xludf.DUMMYFUNCTION("""COMPUTED_VALUE"""),95.52)</f>
        <v>95.52</v>
      </c>
      <c r="T209" s="3">
        <f>IFERROR(__xludf.DUMMYFUNCTION("""COMPUTED_VALUE"""),65.65)</f>
        <v>65.65</v>
      </c>
      <c r="U209" s="3">
        <f>IFERROR(__xludf.DUMMYFUNCTION("""COMPUTED_VALUE"""),339.77)</f>
        <v>339.77</v>
      </c>
      <c r="V209" s="3">
        <f>IFERROR(__xludf.DUMMYFUNCTION("""COMPUTED_VALUE"""),41.73)</f>
        <v>41.73</v>
      </c>
      <c r="W209" s="3">
        <f>IFERROR(__xludf.DUMMYFUNCTION("""COMPUTED_VALUE"""),222.39)</f>
        <v>222.39</v>
      </c>
      <c r="X209" s="3">
        <f>IFERROR(__xludf.DUMMYFUNCTION("""COMPUTED_VALUE"""),154.08)</f>
        <v>154.08</v>
      </c>
      <c r="Y209" s="1">
        <f>IFERROR(__xludf.DUMMYFUNCTION("""COMPUTED_VALUE"""),317.87)</f>
        <v>317.87</v>
      </c>
      <c r="Z209" s="1">
        <f>IFERROR(__xludf.DUMMYFUNCTION("""COMPUTED_VALUE"""),39.91)</f>
        <v>39.91</v>
      </c>
      <c r="AA209" s="1">
        <f>IFERROR(__xludf.DUMMYFUNCTION("""COMPUTED_VALUE"""),71.04)</f>
        <v>71.04</v>
      </c>
      <c r="AB209" s="1">
        <f>IFERROR(__xludf.DUMMYFUNCTION("""COMPUTED_VALUE"""),103.77)</f>
        <v>103.77</v>
      </c>
      <c r="AC209" s="1">
        <f>IFERROR(__xludf.DUMMYFUNCTION("""COMPUTED_VALUE"""),147.01)</f>
        <v>147.01</v>
      </c>
      <c r="AD209" s="3">
        <f>IFERROR(__xludf.DUMMYFUNCTION("""COMPUTED_VALUE"""),65.69)</f>
        <v>65.69</v>
      </c>
      <c r="AE209" s="1">
        <f>IFERROR(__xludf.DUMMYFUNCTION("""COMPUTED_VALUE"""),430.56)</f>
        <v>430.56</v>
      </c>
      <c r="AF209" s="1">
        <f>IFERROR(__xludf.DUMMYFUNCTION("""COMPUTED_VALUE"""),65.22)</f>
        <v>65.22</v>
      </c>
      <c r="AG209" s="1">
        <f>IFERROR(__xludf.DUMMYFUNCTION("""COMPUTED_VALUE"""),109.16)</f>
        <v>109.16</v>
      </c>
      <c r="AH209" s="1">
        <f>IFERROR(__xludf.DUMMYFUNCTION("""COMPUTED_VALUE"""),242.96)</f>
        <v>242.96</v>
      </c>
      <c r="AI209" s="1">
        <f>IFERROR(__xludf.DUMMYFUNCTION("""COMPUTED_VALUE"""),441.25)</f>
        <v>441.25</v>
      </c>
      <c r="AJ209" s="1">
        <f>IFERROR(__xludf.DUMMYFUNCTION("""COMPUTED_VALUE"""),264.12)</f>
        <v>264.12</v>
      </c>
      <c r="AK209" s="1">
        <f>IFERROR(__xludf.DUMMYFUNCTION("""COMPUTED_VALUE"""),48.28)</f>
        <v>48.28</v>
      </c>
      <c r="AL209" s="1">
        <f>IFERROR(__xludf.DUMMYFUNCTION("""COMPUTED_VALUE"""),114.43)</f>
        <v>114.43</v>
      </c>
      <c r="AM209" s="1">
        <f>IFERROR(__xludf.DUMMYFUNCTION("""COMPUTED_VALUE"""),531.43)</f>
        <v>531.43</v>
      </c>
      <c r="AN209" s="1">
        <f>IFERROR(__xludf.DUMMYFUNCTION("""COMPUTED_VALUE"""),368.16)</f>
        <v>368.16</v>
      </c>
      <c r="AO209" s="1">
        <f>IFERROR(__xludf.DUMMYFUNCTION("""COMPUTED_VALUE"""),145.24)</f>
        <v>145.24</v>
      </c>
      <c r="AP209" s="1">
        <f>IFERROR(__xludf.DUMMYFUNCTION("""COMPUTED_VALUE"""),168.36)</f>
        <v>168.36</v>
      </c>
      <c r="AQ209" s="3">
        <f>IFERROR(__xludf.DUMMYFUNCTION("""COMPUTED_VALUE"""),493.72)</f>
        <v>493.72</v>
      </c>
      <c r="AR209" s="3">
        <f>IFERROR(__xludf.DUMMYFUNCTION("""COMPUTED_VALUE"""),229.14)</f>
        <v>229.14</v>
      </c>
      <c r="AS209" s="3">
        <f>IFERROR(__xludf.DUMMYFUNCTION("""COMPUTED_VALUE"""),468.88)</f>
        <v>468.88</v>
      </c>
      <c r="AT209" s="3">
        <f>IFERROR(__xludf.DUMMYFUNCTION("""COMPUTED_VALUE"""),319.42)</f>
        <v>319.42</v>
      </c>
      <c r="AU209" s="1">
        <f>IFERROR(__xludf.DUMMYFUNCTION("""COMPUTED_VALUE"""),28.6)</f>
        <v>28.6</v>
      </c>
      <c r="AV209" s="1">
        <f>IFERROR(__xludf.DUMMYFUNCTION("""COMPUTED_VALUE"""),93.28)</f>
        <v>93.28</v>
      </c>
      <c r="AW209" s="1">
        <f>IFERROR(__xludf.DUMMYFUNCTION("""COMPUTED_VALUE"""),78.45)</f>
        <v>78.45</v>
      </c>
      <c r="AX209" s="3">
        <f>IFERROR(__xludf.DUMMYFUNCTION("""COMPUTED_VALUE"""),24.01)</f>
        <v>24.01</v>
      </c>
      <c r="AY209" s="1">
        <f>IFERROR(__xludf.DUMMYFUNCTION("""COMPUTED_VALUE"""),380.45)</f>
        <v>380.45</v>
      </c>
      <c r="AZ209" s="3">
        <f>IFERROR(__xludf.DUMMYFUNCTION("""COMPUTED_VALUE"""),74.03)</f>
        <v>74.03</v>
      </c>
      <c r="BA209" s="3">
        <f>IFERROR(__xludf.DUMMYFUNCTION("""COMPUTED_VALUE"""),88.62)</f>
        <v>88.62</v>
      </c>
      <c r="BB209" s="3">
        <f>IFERROR(__xludf.DUMMYFUNCTION("""COMPUTED_VALUE"""),108.76)</f>
        <v>108.76</v>
      </c>
      <c r="BC209" s="1">
        <f>IFERROR(__xludf.DUMMYFUNCTION("""COMPUTED_VALUE"""),101.15)</f>
        <v>101.15</v>
      </c>
      <c r="BD209" s="3">
        <f>IFERROR(__xludf.DUMMYFUNCTION("""COMPUTED_VALUE"""),45.17)</f>
        <v>45.17</v>
      </c>
      <c r="BE209" s="3">
        <f>IFERROR(__xludf.DUMMYFUNCTION("""COMPUTED_VALUE"""),78.05)</f>
        <v>78.05</v>
      </c>
      <c r="BF209" s="1">
        <f>IFERROR(__xludf.DUMMYFUNCTION("""COMPUTED_VALUE"""),67.98)</f>
        <v>67.98</v>
      </c>
      <c r="BG209" s="1">
        <f>IFERROR(__xludf.DUMMYFUNCTION("""COMPUTED_VALUE"""),25.99)</f>
        <v>25.99</v>
      </c>
      <c r="BH209" s="1">
        <f>IFERROR(__xludf.DUMMYFUNCTION("""COMPUTED_VALUE"""),128.11)</f>
        <v>128.11</v>
      </c>
      <c r="BI209" s="3">
        <f>IFERROR(__xludf.DUMMYFUNCTION("""COMPUTED_VALUE"""),38.89)</f>
        <v>38.89</v>
      </c>
      <c r="BJ209" s="1">
        <f>IFERROR(__xludf.DUMMYFUNCTION("""COMPUTED_VALUE"""),256.67)</f>
        <v>256.67</v>
      </c>
      <c r="BK209" s="1">
        <f>IFERROR(__xludf.DUMMYFUNCTION("""COMPUTED_VALUE"""),514.2)</f>
        <v>514.2</v>
      </c>
      <c r="BL209" s="1">
        <f>IFERROR(__xludf.DUMMYFUNCTION("""COMPUTED_VALUE"""),184.53)</f>
        <v>184.53</v>
      </c>
      <c r="BM209" s="1">
        <f>IFERROR(__xludf.DUMMYFUNCTION("""COMPUTED_VALUE"""),67.65)</f>
        <v>67.65</v>
      </c>
      <c r="BN209" s="3">
        <f>IFERROR(__xludf.DUMMYFUNCTION("""COMPUTED_VALUE"""),7.38)</f>
        <v>7.38</v>
      </c>
      <c r="BO209" s="1">
        <f>IFERROR(__xludf.DUMMYFUNCTION("""COMPUTED_VALUE"""),237.78)</f>
        <v>237.78</v>
      </c>
      <c r="BP209" s="1">
        <f>IFERROR(__xludf.DUMMYFUNCTION("""COMPUTED_VALUE"""),486.04)</f>
        <v>486.04</v>
      </c>
      <c r="BQ209" s="36">
        <f>IFERROR(__xludf.DUMMYFUNCTION("""COMPUTED_VALUE"""),49.47)</f>
        <v>49.47</v>
      </c>
      <c r="BR209" s="1">
        <f>IFERROR(__xludf.DUMMYFUNCTION("""COMPUTED_VALUE"""),9.34)</f>
        <v>9.34</v>
      </c>
      <c r="BS209" s="3">
        <f>IFERROR(__xludf.DUMMYFUNCTION("""COMPUTED_VALUE"""),224.21)</f>
        <v>224.21</v>
      </c>
      <c r="BT209" s="1">
        <f>IFERROR(__xludf.DUMMYFUNCTION("""COMPUTED_VALUE"""),97.9)</f>
        <v>97.9</v>
      </c>
      <c r="BU209" s="3">
        <v>1.0</v>
      </c>
    </row>
    <row r="210">
      <c r="A210" s="25">
        <f>IFERROR(__xludf.DUMMYFUNCTION("""COMPUTED_VALUE"""),45728.66666666667)</f>
        <v>45728.66667</v>
      </c>
      <c r="B210" s="29">
        <f>'Master Scratch Work'!B209</f>
        <v>1306353.2</v>
      </c>
      <c r="C210" s="15">
        <f>IFERROR(__xludf.DUMMYFUNCTION("""COMPUTED_VALUE"""),5599.3)</f>
        <v>5599.3</v>
      </c>
      <c r="D210" s="15">
        <f>IFERROR(__xludf.DUMMYFUNCTION("""COMPUTED_VALUE"""),17648.45)</f>
        <v>17648.45</v>
      </c>
      <c r="E210" s="15">
        <f>IFERROR(__xludf.DUMMYFUNCTION("""COMPUTED_VALUE"""),41350.93)</f>
        <v>41350.93</v>
      </c>
      <c r="F210" s="15">
        <f>IFERROR(__xludf.DUMMYFUNCTION("""COMPUTED_VALUE"""),2026.47)</f>
        <v>2026.47</v>
      </c>
      <c r="G210" s="3">
        <f>IFERROR(__xludf.DUMMYFUNCTION("""COMPUTED_VALUE"""),558.87)</f>
        <v>558.87</v>
      </c>
      <c r="H210" s="3">
        <f>IFERROR(__xludf.DUMMYFUNCTION("""COMPUTED_VALUE"""),476.92)</f>
        <v>476.92</v>
      </c>
      <c r="I210" s="3">
        <f>IFERROR(__xludf.DUMMYFUNCTION("""COMPUTED_VALUE"""),438.6)</f>
        <v>438.6</v>
      </c>
      <c r="J210" s="3">
        <f>IFERROR(__xludf.DUMMYFUNCTION("""COMPUTED_VALUE"""),198.89)</f>
        <v>198.89</v>
      </c>
      <c r="K210" s="3">
        <f>IFERROR(__xludf.DUMMYFUNCTION("""COMPUTED_VALUE"""),140.86)</f>
        <v>140.86</v>
      </c>
      <c r="L210" s="3">
        <f>IFERROR(__xludf.DUMMYFUNCTION("""COMPUTED_VALUE"""),216.98)</f>
        <v>216.98</v>
      </c>
      <c r="M210" s="3">
        <f>IFERROR(__xludf.DUMMYFUNCTION("""COMPUTED_VALUE"""),149.06)</f>
        <v>149.06</v>
      </c>
      <c r="N210" s="3">
        <f>IFERROR(__xludf.DUMMYFUNCTION("""COMPUTED_VALUE"""),80.76)</f>
        <v>80.76</v>
      </c>
      <c r="O210" s="3">
        <f>IFERROR(__xludf.DUMMYFUNCTION("""COMPUTED_VALUE"""),15.56)</f>
        <v>15.56</v>
      </c>
      <c r="P210" s="3">
        <f>IFERROR(__xludf.DUMMYFUNCTION("""COMPUTED_VALUE"""),495.94)</f>
        <v>495.94</v>
      </c>
      <c r="Q210" s="3">
        <f>IFERROR(__xludf.DUMMYFUNCTION("""COMPUTED_VALUE"""),48.36)</f>
        <v>48.36</v>
      </c>
      <c r="R210" s="3">
        <f>IFERROR(__xludf.DUMMYFUNCTION("""COMPUTED_VALUE"""),140.19)</f>
        <v>140.19</v>
      </c>
      <c r="S210" s="3">
        <f>IFERROR(__xludf.DUMMYFUNCTION("""COMPUTED_VALUE"""),96.42)</f>
        <v>96.42</v>
      </c>
      <c r="T210" s="3">
        <f>IFERROR(__xludf.DUMMYFUNCTION("""COMPUTED_VALUE"""),65.43)</f>
        <v>65.43</v>
      </c>
      <c r="U210" s="3">
        <f>IFERROR(__xludf.DUMMYFUNCTION("""COMPUTED_VALUE"""),338.13)</f>
        <v>338.13</v>
      </c>
      <c r="V210" s="3">
        <f>IFERROR(__xludf.DUMMYFUNCTION("""COMPUTED_VALUE"""),42.6)</f>
        <v>42.6</v>
      </c>
      <c r="W210" s="3">
        <f>IFERROR(__xludf.DUMMYFUNCTION("""COMPUTED_VALUE"""),217.99)</f>
        <v>217.99</v>
      </c>
      <c r="X210" s="3">
        <f>IFERROR(__xludf.DUMMYFUNCTION("""COMPUTED_VALUE"""),152.67)</f>
        <v>152.67</v>
      </c>
      <c r="Y210" s="1">
        <f>IFERROR(__xludf.DUMMYFUNCTION("""COMPUTED_VALUE"""),311.05)</f>
        <v>311.05</v>
      </c>
      <c r="Z210" s="1">
        <f>IFERROR(__xludf.DUMMYFUNCTION("""COMPUTED_VALUE"""),40.47)</f>
        <v>40.47</v>
      </c>
      <c r="AA210" s="1">
        <f>IFERROR(__xludf.DUMMYFUNCTION("""COMPUTED_VALUE"""),69.94)</f>
        <v>69.94</v>
      </c>
      <c r="AB210" s="1">
        <f>IFERROR(__xludf.DUMMYFUNCTION("""COMPUTED_VALUE"""),102.64)</f>
        <v>102.64</v>
      </c>
      <c r="AC210" s="1">
        <f>IFERROR(__xludf.DUMMYFUNCTION("""COMPUTED_VALUE"""),151.67)</f>
        <v>151.67</v>
      </c>
      <c r="AD210" s="3">
        <f>IFERROR(__xludf.DUMMYFUNCTION("""COMPUTED_VALUE"""),61.92)</f>
        <v>61.92</v>
      </c>
      <c r="AE210" s="1">
        <f>IFERROR(__xludf.DUMMYFUNCTION("""COMPUTED_VALUE"""),438.71)</f>
        <v>438.71</v>
      </c>
      <c r="AF210" s="1">
        <f>IFERROR(__xludf.DUMMYFUNCTION("""COMPUTED_VALUE"""),65.13)</f>
        <v>65.13</v>
      </c>
      <c r="AG210" s="1">
        <f>IFERROR(__xludf.DUMMYFUNCTION("""COMPUTED_VALUE"""),109.13)</f>
        <v>109.13</v>
      </c>
      <c r="AH210" s="1">
        <f>IFERROR(__xludf.DUMMYFUNCTION("""COMPUTED_VALUE"""),243.51)</f>
        <v>243.51</v>
      </c>
      <c r="AI210" s="1">
        <f>IFERROR(__xludf.DUMMYFUNCTION("""COMPUTED_VALUE"""),450.35)</f>
        <v>450.35</v>
      </c>
      <c r="AJ210" s="1">
        <f>IFERROR(__xludf.DUMMYFUNCTION("""COMPUTED_VALUE"""),260.01)</f>
        <v>260.01</v>
      </c>
      <c r="AK210" s="1">
        <f>IFERROR(__xludf.DUMMYFUNCTION("""COMPUTED_VALUE"""),47.9)</f>
        <v>47.9</v>
      </c>
      <c r="AL210" s="1">
        <f>IFERROR(__xludf.DUMMYFUNCTION("""COMPUTED_VALUE"""),113.99)</f>
        <v>113.99</v>
      </c>
      <c r="AM210" s="1">
        <f>IFERROR(__xludf.DUMMYFUNCTION("""COMPUTED_VALUE"""),535.71)</f>
        <v>535.71</v>
      </c>
      <c r="AN210" s="1">
        <f>IFERROR(__xludf.DUMMYFUNCTION("""COMPUTED_VALUE"""),364.73)</f>
        <v>364.73</v>
      </c>
      <c r="AO210" s="1">
        <f>IFERROR(__xludf.DUMMYFUNCTION("""COMPUTED_VALUE"""),143.75)</f>
        <v>143.75</v>
      </c>
      <c r="AP210" s="1">
        <f>IFERROR(__xludf.DUMMYFUNCTION("""COMPUTED_VALUE"""),169.02)</f>
        <v>169.02</v>
      </c>
      <c r="AQ210" s="3">
        <f>IFERROR(__xludf.DUMMYFUNCTION("""COMPUTED_VALUE"""),497.3)</f>
        <v>497.3</v>
      </c>
      <c r="AR210" s="3">
        <f>IFERROR(__xludf.DUMMYFUNCTION("""COMPUTED_VALUE"""),227.9)</f>
        <v>227.9</v>
      </c>
      <c r="AS210" s="3">
        <f>IFERROR(__xludf.DUMMYFUNCTION("""COMPUTED_VALUE"""),461.5)</f>
        <v>461.5</v>
      </c>
      <c r="AT210" s="3">
        <f>IFERROR(__xludf.DUMMYFUNCTION("""COMPUTED_VALUE"""),316.49)</f>
        <v>316.49</v>
      </c>
      <c r="AU210" s="1">
        <f>IFERROR(__xludf.DUMMYFUNCTION("""COMPUTED_VALUE"""),29.25)</f>
        <v>29.25</v>
      </c>
      <c r="AV210" s="1">
        <f>IFERROR(__xludf.DUMMYFUNCTION("""COMPUTED_VALUE"""),91.51)</f>
        <v>91.51</v>
      </c>
      <c r="AW210" s="1">
        <f>IFERROR(__xludf.DUMMYFUNCTION("""COMPUTED_VALUE"""),79.18)</f>
        <v>79.18</v>
      </c>
      <c r="AX210" s="3">
        <f>IFERROR(__xludf.DUMMYFUNCTION("""COMPUTED_VALUE"""),24.34)</f>
        <v>24.34</v>
      </c>
      <c r="AY210" s="1">
        <f>IFERROR(__xludf.DUMMYFUNCTION("""COMPUTED_VALUE"""),383.27)</f>
        <v>383.27</v>
      </c>
      <c r="AZ210" s="3">
        <f>IFERROR(__xludf.DUMMYFUNCTION("""COMPUTED_VALUE"""),72.92)</f>
        <v>72.92</v>
      </c>
      <c r="BA210" s="3">
        <f>IFERROR(__xludf.DUMMYFUNCTION("""COMPUTED_VALUE"""),92.47)</f>
        <v>92.47</v>
      </c>
      <c r="BB210" s="3">
        <f>IFERROR(__xludf.DUMMYFUNCTION("""COMPUTED_VALUE"""),115.74)</f>
        <v>115.74</v>
      </c>
      <c r="BC210" s="1">
        <f>IFERROR(__xludf.DUMMYFUNCTION("""COMPUTED_VALUE"""),99.91)</f>
        <v>99.91</v>
      </c>
      <c r="BD210" s="3">
        <f>IFERROR(__xludf.DUMMYFUNCTION("""COMPUTED_VALUE"""),46.73)</f>
        <v>46.73</v>
      </c>
      <c r="BE210" s="3">
        <f>IFERROR(__xludf.DUMMYFUNCTION("""COMPUTED_VALUE"""),83.65)</f>
        <v>83.65</v>
      </c>
      <c r="BF210" s="1">
        <f>IFERROR(__xludf.DUMMYFUNCTION("""COMPUTED_VALUE"""),68.62)</f>
        <v>68.62</v>
      </c>
      <c r="BG210" s="1">
        <f>IFERROR(__xludf.DUMMYFUNCTION("""COMPUTED_VALUE"""),25.71)</f>
        <v>25.71</v>
      </c>
      <c r="BH210" s="1">
        <f>IFERROR(__xludf.DUMMYFUNCTION("""COMPUTED_VALUE"""),127.96)</f>
        <v>127.96</v>
      </c>
      <c r="BI210" s="3">
        <f>IFERROR(__xludf.DUMMYFUNCTION("""COMPUTED_VALUE"""),39.2)</f>
        <v>39.2</v>
      </c>
      <c r="BJ210" s="1">
        <f>IFERROR(__xludf.DUMMYFUNCTION("""COMPUTED_VALUE"""),255.61)</f>
        <v>255.61</v>
      </c>
      <c r="BK210" s="1">
        <f>IFERROR(__xludf.DUMMYFUNCTION("""COMPUTED_VALUE"""),512.65)</f>
        <v>512.65</v>
      </c>
      <c r="BL210" s="1">
        <f>IFERROR(__xludf.DUMMYFUNCTION("""COMPUTED_VALUE"""),185.65)</f>
        <v>185.65</v>
      </c>
      <c r="BM210" s="1">
        <f>IFERROR(__xludf.DUMMYFUNCTION("""COMPUTED_VALUE"""),67.08)</f>
        <v>67.08</v>
      </c>
      <c r="BN210" s="3">
        <f>IFERROR(__xludf.DUMMYFUNCTION("""COMPUTED_VALUE"""),7.19)</f>
        <v>7.19</v>
      </c>
      <c r="BO210" s="1">
        <f>IFERROR(__xludf.DUMMYFUNCTION("""COMPUTED_VALUE"""),237.49)</f>
        <v>237.49</v>
      </c>
      <c r="BP210" s="1">
        <f>IFERROR(__xludf.DUMMYFUNCTION("""COMPUTED_VALUE"""),481.11)</f>
        <v>481.11</v>
      </c>
      <c r="BQ210" s="36">
        <f>IFERROR(__xludf.DUMMYFUNCTION("""COMPUTED_VALUE"""),49.46)</f>
        <v>49.46</v>
      </c>
      <c r="BR210" s="1">
        <f>IFERROR(__xludf.DUMMYFUNCTION("""COMPUTED_VALUE"""),9.24)</f>
        <v>9.24</v>
      </c>
      <c r="BS210" s="3">
        <f>IFERROR(__xludf.DUMMYFUNCTION("""COMPUTED_VALUE"""),222.86)</f>
        <v>222.86</v>
      </c>
      <c r="BT210" s="1">
        <f>IFERROR(__xludf.DUMMYFUNCTION("""COMPUTED_VALUE"""),98.76)</f>
        <v>98.76</v>
      </c>
      <c r="BU210" s="3">
        <v>1.0</v>
      </c>
    </row>
    <row r="211">
      <c r="A211" s="25">
        <f>IFERROR(__xludf.DUMMYFUNCTION("""COMPUTED_VALUE"""),45729.66666666667)</f>
        <v>45729.66667</v>
      </c>
      <c r="B211" s="29">
        <f>'Master Scratch Work'!B210</f>
        <v>1292307.94</v>
      </c>
      <c r="C211" s="15">
        <f>IFERROR(__xludf.DUMMYFUNCTION("""COMPUTED_VALUE"""),5521.52)</f>
        <v>5521.52</v>
      </c>
      <c r="D211" s="15">
        <f>IFERROR(__xludf.DUMMYFUNCTION("""COMPUTED_VALUE"""),17303.01)</f>
        <v>17303.01</v>
      </c>
      <c r="E211" s="15">
        <f>IFERROR(__xludf.DUMMYFUNCTION("""COMPUTED_VALUE"""),40813.57)</f>
        <v>40813.57</v>
      </c>
      <c r="F211" s="15">
        <f>IFERROR(__xludf.DUMMYFUNCTION("""COMPUTED_VALUE"""),1993.69)</f>
        <v>1993.69</v>
      </c>
      <c r="G211" s="3">
        <f>IFERROR(__xludf.DUMMYFUNCTION("""COMPUTED_VALUE"""),551.42)</f>
        <v>551.42</v>
      </c>
      <c r="H211" s="3">
        <f>IFERROR(__xludf.DUMMYFUNCTION("""COMPUTED_VALUE"""),468.34)</f>
        <v>468.34</v>
      </c>
      <c r="I211" s="3">
        <f>IFERROR(__xludf.DUMMYFUNCTION("""COMPUTED_VALUE"""),377.84)</f>
        <v>377.84</v>
      </c>
      <c r="J211" s="3">
        <f>IFERROR(__xludf.DUMMYFUNCTION("""COMPUTED_VALUE"""),193.89)</f>
        <v>193.89</v>
      </c>
      <c r="K211" s="3">
        <f>IFERROR(__xludf.DUMMYFUNCTION("""COMPUTED_VALUE"""),142.54)</f>
        <v>142.54</v>
      </c>
      <c r="L211" s="3">
        <f>IFERROR(__xludf.DUMMYFUNCTION("""COMPUTED_VALUE"""),209.68)</f>
        <v>209.68</v>
      </c>
      <c r="M211" s="3">
        <f>IFERROR(__xludf.DUMMYFUNCTION("""COMPUTED_VALUE"""),149.95)</f>
        <v>149.95</v>
      </c>
      <c r="N211" s="3">
        <f>IFERROR(__xludf.DUMMYFUNCTION("""COMPUTED_VALUE"""),79.66)</f>
        <v>79.66</v>
      </c>
      <c r="O211" s="3">
        <f>IFERROR(__xludf.DUMMYFUNCTION("""COMPUTED_VALUE"""),15.03)</f>
        <v>15.03</v>
      </c>
      <c r="P211" s="3">
        <f>IFERROR(__xludf.DUMMYFUNCTION("""COMPUTED_VALUE"""),504.25)</f>
        <v>504.25</v>
      </c>
      <c r="Q211" s="3">
        <f>IFERROR(__xludf.DUMMYFUNCTION("""COMPUTED_VALUE"""),48.65)</f>
        <v>48.65</v>
      </c>
      <c r="R211" s="3">
        <f>IFERROR(__xludf.DUMMYFUNCTION("""COMPUTED_VALUE"""),139.98)</f>
        <v>139.98</v>
      </c>
      <c r="S211" s="3">
        <f>IFERROR(__xludf.DUMMYFUNCTION("""COMPUTED_VALUE"""),95.37)</f>
        <v>95.37</v>
      </c>
      <c r="T211" s="3">
        <f>IFERROR(__xludf.DUMMYFUNCTION("""COMPUTED_VALUE"""),64.25)</f>
        <v>64.25</v>
      </c>
      <c r="U211" s="3">
        <f>IFERROR(__xludf.DUMMYFUNCTION("""COMPUTED_VALUE"""),333.31)</f>
        <v>333.31</v>
      </c>
      <c r="V211" s="3">
        <f>IFERROR(__xludf.DUMMYFUNCTION("""COMPUTED_VALUE"""),41.81)</f>
        <v>41.81</v>
      </c>
      <c r="W211" s="3">
        <f>IFERROR(__xludf.DUMMYFUNCTION("""COMPUTED_VALUE"""),214.9)</f>
        <v>214.9</v>
      </c>
      <c r="X211" s="3">
        <f>IFERROR(__xludf.DUMMYFUNCTION("""COMPUTED_VALUE"""),153.61)</f>
        <v>153.61</v>
      </c>
      <c r="Y211" s="1">
        <f>IFERROR(__xludf.DUMMYFUNCTION("""COMPUTED_VALUE"""),311.99)</f>
        <v>311.99</v>
      </c>
      <c r="Z211" s="1">
        <f>IFERROR(__xludf.DUMMYFUNCTION("""COMPUTED_VALUE"""),39.73)</f>
        <v>39.73</v>
      </c>
      <c r="AA211" s="1">
        <f>IFERROR(__xludf.DUMMYFUNCTION("""COMPUTED_VALUE"""),69.62)</f>
        <v>69.62</v>
      </c>
      <c r="AB211" s="1">
        <f>IFERROR(__xludf.DUMMYFUNCTION("""COMPUTED_VALUE"""),104.57)</f>
        <v>104.57</v>
      </c>
      <c r="AC211" s="1">
        <f>IFERROR(__xludf.DUMMYFUNCTION("""COMPUTED_VALUE"""),145.94)</f>
        <v>145.94</v>
      </c>
      <c r="AD211" s="3">
        <f>IFERROR(__xludf.DUMMYFUNCTION("""COMPUTED_VALUE"""),66.0)</f>
        <v>66</v>
      </c>
      <c r="AE211" s="1">
        <f>IFERROR(__xludf.DUMMYFUNCTION("""COMPUTED_VALUE"""),428.67)</f>
        <v>428.67</v>
      </c>
      <c r="AF211" s="1">
        <f>IFERROR(__xludf.DUMMYFUNCTION("""COMPUTED_VALUE"""),64.25)</f>
        <v>64.25</v>
      </c>
      <c r="AG211" s="1">
        <f>IFERROR(__xludf.DUMMYFUNCTION("""COMPUTED_VALUE"""),108.67)</f>
        <v>108.67</v>
      </c>
      <c r="AH211" s="1">
        <f>IFERROR(__xludf.DUMMYFUNCTION("""COMPUTED_VALUE"""),240.98)</f>
        <v>240.98</v>
      </c>
      <c r="AI211" s="1">
        <f>IFERROR(__xludf.DUMMYFUNCTION("""COMPUTED_VALUE"""),440.66)</f>
        <v>440.66</v>
      </c>
      <c r="AJ211" s="1">
        <f>IFERROR(__xludf.DUMMYFUNCTION("""COMPUTED_VALUE"""),261.16)</f>
        <v>261.16</v>
      </c>
      <c r="AK211" s="1">
        <f>IFERROR(__xludf.DUMMYFUNCTION("""COMPUTED_VALUE"""),47.11)</f>
        <v>47.11</v>
      </c>
      <c r="AL211" s="1">
        <f>IFERROR(__xludf.DUMMYFUNCTION("""COMPUTED_VALUE"""),113.35)</f>
        <v>113.35</v>
      </c>
      <c r="AM211" s="1">
        <f>IFERROR(__xludf.DUMMYFUNCTION("""COMPUTED_VALUE"""),524.81)</f>
        <v>524.81</v>
      </c>
      <c r="AN211" s="1">
        <f>IFERROR(__xludf.DUMMYFUNCTION("""COMPUTED_VALUE"""),347.25)</f>
        <v>347.25</v>
      </c>
      <c r="AO211" s="1">
        <f>IFERROR(__xludf.DUMMYFUNCTION("""COMPUTED_VALUE"""),144.41)</f>
        <v>144.41</v>
      </c>
      <c r="AP211" s="1">
        <f>IFERROR(__xludf.DUMMYFUNCTION("""COMPUTED_VALUE"""),169.14)</f>
        <v>169.14</v>
      </c>
      <c r="AQ211" s="3">
        <f>IFERROR(__xludf.DUMMYFUNCTION("""COMPUTED_VALUE"""),476.78)</f>
        <v>476.78</v>
      </c>
      <c r="AR211" s="3">
        <f>IFERROR(__xludf.DUMMYFUNCTION("""COMPUTED_VALUE"""),225.19)</f>
        <v>225.19</v>
      </c>
      <c r="AS211" s="3">
        <f>IFERROR(__xludf.DUMMYFUNCTION("""COMPUTED_VALUE"""),467.93)</f>
        <v>467.93</v>
      </c>
      <c r="AT211" s="3">
        <f>IFERROR(__xludf.DUMMYFUNCTION("""COMPUTED_VALUE"""),309.68)</f>
        <v>309.68</v>
      </c>
      <c r="AU211" s="1">
        <f>IFERROR(__xludf.DUMMYFUNCTION("""COMPUTED_VALUE"""),28.41)</f>
        <v>28.41</v>
      </c>
      <c r="AV211" s="1">
        <f>IFERROR(__xludf.DUMMYFUNCTION("""COMPUTED_VALUE"""),92.33)</f>
        <v>92.33</v>
      </c>
      <c r="AW211" s="1">
        <f>IFERROR(__xludf.DUMMYFUNCTION("""COMPUTED_VALUE"""),77.7)</f>
        <v>77.7</v>
      </c>
      <c r="AX211" s="3">
        <f>IFERROR(__xludf.DUMMYFUNCTION("""COMPUTED_VALUE"""),24.38)</f>
        <v>24.38</v>
      </c>
      <c r="AY211" s="1">
        <f>IFERROR(__xludf.DUMMYFUNCTION("""COMPUTED_VALUE"""),378.77)</f>
        <v>378.77</v>
      </c>
      <c r="AZ211" s="3">
        <f>IFERROR(__xludf.DUMMYFUNCTION("""COMPUTED_VALUE"""),72.73)</f>
        <v>72.73</v>
      </c>
      <c r="BA211" s="3">
        <f>IFERROR(__xludf.DUMMYFUNCTION("""COMPUTED_VALUE"""),90.92)</f>
        <v>90.92</v>
      </c>
      <c r="BB211" s="3">
        <f>IFERROR(__xludf.DUMMYFUNCTION("""COMPUTED_VALUE"""),115.58)</f>
        <v>115.58</v>
      </c>
      <c r="BC211" s="1">
        <f>IFERROR(__xludf.DUMMYFUNCTION("""COMPUTED_VALUE"""),99.61)</f>
        <v>99.61</v>
      </c>
      <c r="BD211" s="3">
        <f>IFERROR(__xludf.DUMMYFUNCTION("""COMPUTED_VALUE"""),46.37)</f>
        <v>46.37</v>
      </c>
      <c r="BE211" s="3">
        <f>IFERROR(__xludf.DUMMYFUNCTION("""COMPUTED_VALUE"""),79.62)</f>
        <v>79.62</v>
      </c>
      <c r="BF211" s="1">
        <f>IFERROR(__xludf.DUMMYFUNCTION("""COMPUTED_VALUE"""),66.91)</f>
        <v>66.91</v>
      </c>
      <c r="BG211" s="1">
        <f>IFERROR(__xludf.DUMMYFUNCTION("""COMPUTED_VALUE"""),25.6)</f>
        <v>25.6</v>
      </c>
      <c r="BH211" s="1">
        <f>IFERROR(__xludf.DUMMYFUNCTION("""COMPUTED_VALUE"""),129.2)</f>
        <v>129.2</v>
      </c>
      <c r="BI211" s="3">
        <f>IFERROR(__xludf.DUMMYFUNCTION("""COMPUTED_VALUE"""),39.03)</f>
        <v>39.03</v>
      </c>
      <c r="BJ211" s="1">
        <f>IFERROR(__xludf.DUMMYFUNCTION("""COMPUTED_VALUE"""),259.1)</f>
        <v>259.1</v>
      </c>
      <c r="BK211" s="1">
        <f>IFERROR(__xludf.DUMMYFUNCTION("""COMPUTED_VALUE"""),508.9)</f>
        <v>508.9</v>
      </c>
      <c r="BL211" s="1">
        <f>IFERROR(__xludf.DUMMYFUNCTION("""COMPUTED_VALUE"""),182.97)</f>
        <v>182.97</v>
      </c>
      <c r="BM211" s="1">
        <f>IFERROR(__xludf.DUMMYFUNCTION("""COMPUTED_VALUE"""),64.35)</f>
        <v>64.35</v>
      </c>
      <c r="BN211" s="3">
        <f>IFERROR(__xludf.DUMMYFUNCTION("""COMPUTED_VALUE"""),7.05)</f>
        <v>7.05</v>
      </c>
      <c r="BO211" s="1">
        <f>IFERROR(__xludf.DUMMYFUNCTION("""COMPUTED_VALUE"""),234.29)</f>
        <v>234.29</v>
      </c>
      <c r="BP211" s="1">
        <f>IFERROR(__xludf.DUMMYFUNCTION("""COMPUTED_VALUE"""),481.52)</f>
        <v>481.52</v>
      </c>
      <c r="BQ211" s="36">
        <f>IFERROR(__xludf.DUMMYFUNCTION("""COMPUTED_VALUE"""),49.46)</f>
        <v>49.46</v>
      </c>
      <c r="BR211" s="1">
        <f>IFERROR(__xludf.DUMMYFUNCTION("""COMPUTED_VALUE"""),8.98)</f>
        <v>8.98</v>
      </c>
      <c r="BS211" s="3">
        <f>IFERROR(__xludf.DUMMYFUNCTION("""COMPUTED_VALUE"""),223.2)</f>
        <v>223.2</v>
      </c>
      <c r="BT211" s="1">
        <f>IFERROR(__xludf.DUMMYFUNCTION("""COMPUTED_VALUE"""),96.87)</f>
        <v>96.87</v>
      </c>
      <c r="BU211" s="3">
        <v>1.0</v>
      </c>
    </row>
    <row r="212">
      <c r="A212" s="25">
        <f>IFERROR(__xludf.DUMMYFUNCTION("""COMPUTED_VALUE"""),45730.66666666667)</f>
        <v>45730.66667</v>
      </c>
      <c r="B212" s="29">
        <f>'Master Scratch Work'!B211</f>
        <v>1315788.3</v>
      </c>
      <c r="C212" s="15">
        <f>IFERROR(__xludf.DUMMYFUNCTION("""COMPUTED_VALUE"""),5638.94)</f>
        <v>5638.94</v>
      </c>
      <c r="D212" s="15">
        <f>IFERROR(__xludf.DUMMYFUNCTION("""COMPUTED_VALUE"""),17754.09)</f>
        <v>17754.09</v>
      </c>
      <c r="E212" s="15">
        <f>IFERROR(__xludf.DUMMYFUNCTION("""COMPUTED_VALUE"""),41488.19)</f>
        <v>41488.19</v>
      </c>
      <c r="F212" s="15">
        <f>IFERROR(__xludf.DUMMYFUNCTION("""COMPUTED_VALUE"""),2044.1)</f>
        <v>2044.1</v>
      </c>
      <c r="G212" s="3">
        <f>IFERROR(__xludf.DUMMYFUNCTION("""COMPUTED_VALUE"""),562.81)</f>
        <v>562.81</v>
      </c>
      <c r="H212" s="3">
        <f>IFERROR(__xludf.DUMMYFUNCTION("""COMPUTED_VALUE"""),479.66)</f>
        <v>479.66</v>
      </c>
      <c r="I212" s="3">
        <f>IFERROR(__xludf.DUMMYFUNCTION("""COMPUTED_VALUE"""),394.74)</f>
        <v>394.74</v>
      </c>
      <c r="J212" s="3">
        <f>IFERROR(__xludf.DUMMYFUNCTION("""COMPUTED_VALUE"""),197.95)</f>
        <v>197.95</v>
      </c>
      <c r="K212" s="3">
        <f>IFERROR(__xludf.DUMMYFUNCTION("""COMPUTED_VALUE"""),144.32)</f>
        <v>144.32</v>
      </c>
      <c r="L212" s="3">
        <f>IFERROR(__xludf.DUMMYFUNCTION("""COMPUTED_VALUE"""),213.49)</f>
        <v>213.49</v>
      </c>
      <c r="M212" s="3">
        <f>IFERROR(__xludf.DUMMYFUNCTION("""COMPUTED_VALUE"""),155.66)</f>
        <v>155.66</v>
      </c>
      <c r="N212" s="3">
        <f>IFERROR(__xludf.DUMMYFUNCTION("""COMPUTED_VALUE"""),81.75)</f>
        <v>81.75</v>
      </c>
      <c r="O212" s="3">
        <f>IFERROR(__xludf.DUMMYFUNCTION("""COMPUTED_VALUE"""),15.72)</f>
        <v>15.72</v>
      </c>
      <c r="P212" s="3">
        <f>IFERROR(__xludf.DUMMYFUNCTION("""COMPUTED_VALUE"""),514.6)</f>
        <v>514.6</v>
      </c>
      <c r="Q212" s="3">
        <f>IFERROR(__xludf.DUMMYFUNCTION("""COMPUTED_VALUE"""),49.45)</f>
        <v>49.45</v>
      </c>
      <c r="R212" s="3">
        <f>IFERROR(__xludf.DUMMYFUNCTION("""COMPUTED_VALUE"""),139.44)</f>
        <v>139.44</v>
      </c>
      <c r="S212" s="3">
        <f>IFERROR(__xludf.DUMMYFUNCTION("""COMPUTED_VALUE"""),97.16)</f>
        <v>97.16</v>
      </c>
      <c r="T212" s="3">
        <f>IFERROR(__xludf.DUMMYFUNCTION("""COMPUTED_VALUE"""),66.53)</f>
        <v>66.53</v>
      </c>
      <c r="U212" s="3">
        <f>IFERROR(__xludf.DUMMYFUNCTION("""COMPUTED_VALUE"""),339.64)</f>
        <v>339.64</v>
      </c>
      <c r="V212" s="3">
        <f>IFERROR(__xludf.DUMMYFUNCTION("""COMPUTED_VALUE"""),42.47)</f>
        <v>42.47</v>
      </c>
      <c r="W212" s="3">
        <f>IFERROR(__xludf.DUMMYFUNCTION("""COMPUTED_VALUE"""),224.84)</f>
        <v>224.84</v>
      </c>
      <c r="X212" s="3">
        <f>IFERROR(__xludf.DUMMYFUNCTION("""COMPUTED_VALUE"""),157.02)</f>
        <v>157.02</v>
      </c>
      <c r="Y212" s="1">
        <f>IFERROR(__xludf.DUMMYFUNCTION("""COMPUTED_VALUE"""),312.9)</f>
        <v>312.9</v>
      </c>
      <c r="Z212" s="1">
        <f>IFERROR(__xludf.DUMMYFUNCTION("""COMPUTED_VALUE"""),40.7)</f>
        <v>40.7</v>
      </c>
      <c r="AA212" s="1">
        <f>IFERROR(__xludf.DUMMYFUNCTION("""COMPUTED_VALUE"""),69.16)</f>
        <v>69.16</v>
      </c>
      <c r="AB212" s="1">
        <f>IFERROR(__xludf.DUMMYFUNCTION("""COMPUTED_VALUE"""),106.41)</f>
        <v>106.41</v>
      </c>
      <c r="AC212" s="1">
        <f>IFERROR(__xludf.DUMMYFUNCTION("""COMPUTED_VALUE"""),148.57)</f>
        <v>148.57</v>
      </c>
      <c r="AD212" s="3">
        <f>IFERROR(__xludf.DUMMYFUNCTION("""COMPUTED_VALUE"""),64.56)</f>
        <v>64.56</v>
      </c>
      <c r="AE212" s="1">
        <f>IFERROR(__xludf.DUMMYFUNCTION("""COMPUTED_VALUE"""),425.58)</f>
        <v>425.58</v>
      </c>
      <c r="AF212" s="1">
        <f>IFERROR(__xludf.DUMMYFUNCTION("""COMPUTED_VALUE"""),65.28)</f>
        <v>65.28</v>
      </c>
      <c r="AG212" s="1">
        <f>IFERROR(__xludf.DUMMYFUNCTION("""COMPUTED_VALUE"""),111.9)</f>
        <v>111.9</v>
      </c>
      <c r="AH212" s="1">
        <f>IFERROR(__xludf.DUMMYFUNCTION("""COMPUTED_VALUE"""),242.2)</f>
        <v>242.2</v>
      </c>
      <c r="AI212" s="1">
        <f>IFERROR(__xludf.DUMMYFUNCTION("""COMPUTED_VALUE"""),449.23)</f>
        <v>449.23</v>
      </c>
      <c r="AJ212" s="1">
        <f>IFERROR(__xludf.DUMMYFUNCTION("""COMPUTED_VALUE"""),262.03)</f>
        <v>262.03</v>
      </c>
      <c r="AK212" s="1">
        <f>IFERROR(__xludf.DUMMYFUNCTION("""COMPUTED_VALUE"""),48.34)</f>
        <v>48.34</v>
      </c>
      <c r="AL212" s="1">
        <f>IFERROR(__xludf.DUMMYFUNCTION("""COMPUTED_VALUE"""),111.44)</f>
        <v>111.44</v>
      </c>
      <c r="AM212" s="1">
        <f>IFERROR(__xludf.DUMMYFUNCTION("""COMPUTED_VALUE"""),541.41)</f>
        <v>541.41</v>
      </c>
      <c r="AN212" s="1">
        <f>IFERROR(__xludf.DUMMYFUNCTION("""COMPUTED_VALUE"""),351.31)</f>
        <v>351.31</v>
      </c>
      <c r="AO212" s="1">
        <f>IFERROR(__xludf.DUMMYFUNCTION("""COMPUTED_VALUE"""),147.76)</f>
        <v>147.76</v>
      </c>
      <c r="AP212" s="1">
        <f>IFERROR(__xludf.DUMMYFUNCTION("""COMPUTED_VALUE"""),171.06)</f>
        <v>171.06</v>
      </c>
      <c r="AQ212" s="3">
        <f>IFERROR(__xludf.DUMMYFUNCTION("""COMPUTED_VALUE"""),484.44)</f>
        <v>484.44</v>
      </c>
      <c r="AR212" s="3">
        <f>IFERROR(__xludf.DUMMYFUNCTION("""COMPUTED_VALUE"""),232.44)</f>
        <v>232.44</v>
      </c>
      <c r="AS212" s="3">
        <f>IFERROR(__xludf.DUMMYFUNCTION("""COMPUTED_VALUE"""),466.17)</f>
        <v>466.17</v>
      </c>
      <c r="AT212" s="3">
        <f>IFERROR(__xludf.DUMMYFUNCTION("""COMPUTED_VALUE"""),311.03)</f>
        <v>311.03</v>
      </c>
      <c r="AU212" s="1">
        <f>IFERROR(__xludf.DUMMYFUNCTION("""COMPUTED_VALUE"""),29.47)</f>
        <v>29.47</v>
      </c>
      <c r="AV212" s="1">
        <f>IFERROR(__xludf.DUMMYFUNCTION("""COMPUTED_VALUE"""),93.07)</f>
        <v>93.07</v>
      </c>
      <c r="AW212" s="1">
        <f>IFERROR(__xludf.DUMMYFUNCTION("""COMPUTED_VALUE"""),80.41)</f>
        <v>80.41</v>
      </c>
      <c r="AX212" s="3">
        <f>IFERROR(__xludf.DUMMYFUNCTION("""COMPUTED_VALUE"""),26.83)</f>
        <v>26.83</v>
      </c>
      <c r="AY212" s="1">
        <f>IFERROR(__xludf.DUMMYFUNCTION("""COMPUTED_VALUE"""),388.56)</f>
        <v>388.56</v>
      </c>
      <c r="AZ212" s="3">
        <f>IFERROR(__xludf.DUMMYFUNCTION("""COMPUTED_VALUE"""),73.55)</f>
        <v>73.55</v>
      </c>
      <c r="BA212" s="3">
        <f>IFERROR(__xludf.DUMMYFUNCTION("""COMPUTED_VALUE"""),95.39)</f>
        <v>95.39</v>
      </c>
      <c r="BB212" s="3">
        <f>IFERROR(__xludf.DUMMYFUNCTION("""COMPUTED_VALUE"""),121.67)</f>
        <v>121.67</v>
      </c>
      <c r="BC212" s="1">
        <f>IFERROR(__xludf.DUMMYFUNCTION("""COMPUTED_VALUE"""),100.62)</f>
        <v>100.62</v>
      </c>
      <c r="BD212" s="3">
        <f>IFERROR(__xludf.DUMMYFUNCTION("""COMPUTED_VALUE"""),46.44)</f>
        <v>46.44</v>
      </c>
      <c r="BE212" s="3">
        <f>IFERROR(__xludf.DUMMYFUNCTION("""COMPUTED_VALUE"""),86.24)</f>
        <v>86.24</v>
      </c>
      <c r="BF212" s="1">
        <f>IFERROR(__xludf.DUMMYFUNCTION("""COMPUTED_VALUE"""),68.95)</f>
        <v>68.95</v>
      </c>
      <c r="BG212" s="1">
        <f>IFERROR(__xludf.DUMMYFUNCTION("""COMPUTED_VALUE"""),25.72)</f>
        <v>25.72</v>
      </c>
      <c r="BH212" s="1">
        <f>IFERROR(__xludf.DUMMYFUNCTION("""COMPUTED_VALUE"""),129.99)</f>
        <v>129.99</v>
      </c>
      <c r="BI212" s="3">
        <f>IFERROR(__xludf.DUMMYFUNCTION("""COMPUTED_VALUE"""),39.12)</f>
        <v>39.12</v>
      </c>
      <c r="BJ212" s="1">
        <f>IFERROR(__xludf.DUMMYFUNCTION("""COMPUTED_VALUE"""),255.98)</f>
        <v>255.98</v>
      </c>
      <c r="BK212" s="1">
        <f>IFERROR(__xludf.DUMMYFUNCTION("""COMPUTED_VALUE"""),522.05)</f>
        <v>522.05</v>
      </c>
      <c r="BL212" s="1">
        <f>IFERROR(__xludf.DUMMYFUNCTION("""COMPUTED_VALUE"""),186.67)</f>
        <v>186.67</v>
      </c>
      <c r="BM212" s="1">
        <f>IFERROR(__xludf.DUMMYFUNCTION("""COMPUTED_VALUE"""),68.53)</f>
        <v>68.53</v>
      </c>
      <c r="BN212" s="3">
        <f>IFERROR(__xludf.DUMMYFUNCTION("""COMPUTED_VALUE"""),6.7)</f>
        <v>6.7</v>
      </c>
      <c r="BO212" s="1">
        <f>IFERROR(__xludf.DUMMYFUNCTION("""COMPUTED_VALUE"""),237.53)</f>
        <v>237.53</v>
      </c>
      <c r="BP212" s="1">
        <f>IFERROR(__xludf.DUMMYFUNCTION("""COMPUTED_VALUE"""),488.65)</f>
        <v>488.65</v>
      </c>
      <c r="BQ212" s="36">
        <f>IFERROR(__xludf.DUMMYFUNCTION("""COMPUTED_VALUE"""),49.4)</f>
        <v>49.4</v>
      </c>
      <c r="BR212" s="1">
        <f>IFERROR(__xludf.DUMMYFUNCTION("""COMPUTED_VALUE"""),9.1)</f>
        <v>9.1</v>
      </c>
      <c r="BS212" s="3">
        <f>IFERROR(__xludf.DUMMYFUNCTION("""COMPUTED_VALUE"""),224.86)</f>
        <v>224.86</v>
      </c>
      <c r="BT212" s="1">
        <f>IFERROR(__xludf.DUMMYFUNCTION("""COMPUTED_VALUE"""),98.64)</f>
        <v>98.64</v>
      </c>
      <c r="BU212" s="3">
        <v>1.0</v>
      </c>
    </row>
    <row r="213">
      <c r="A213" s="25">
        <f>IFERROR(__xludf.DUMMYFUNCTION("""COMPUTED_VALUE"""),45733.66666666667)</f>
        <v>45733.66667</v>
      </c>
      <c r="B213" s="29">
        <f>'Master Scratch Work'!B212</f>
        <v>1326904.26</v>
      </c>
      <c r="C213" s="15">
        <f>IFERROR(__xludf.DUMMYFUNCTION("""COMPUTED_VALUE"""),5675.12)</f>
        <v>5675.12</v>
      </c>
      <c r="D213" s="15">
        <f>IFERROR(__xludf.DUMMYFUNCTION("""COMPUTED_VALUE"""),17808.66)</f>
        <v>17808.66</v>
      </c>
      <c r="E213" s="15">
        <f>IFERROR(__xludf.DUMMYFUNCTION("""COMPUTED_VALUE"""),41841.63)</f>
        <v>41841.63</v>
      </c>
      <c r="F213" s="15">
        <f>IFERROR(__xludf.DUMMYFUNCTION("""COMPUTED_VALUE"""),2068.33)</f>
        <v>2068.33</v>
      </c>
      <c r="G213" s="3">
        <f>IFERROR(__xludf.DUMMYFUNCTION("""COMPUTED_VALUE"""),567.15)</f>
        <v>567.15</v>
      </c>
      <c r="H213" s="3">
        <f>IFERROR(__xludf.DUMMYFUNCTION("""COMPUTED_VALUE"""),482.77)</f>
        <v>482.77</v>
      </c>
      <c r="I213" s="3">
        <f>IFERROR(__xludf.DUMMYFUNCTION("""COMPUTED_VALUE"""),399.34)</f>
        <v>399.34</v>
      </c>
      <c r="J213" s="3">
        <f>IFERROR(__xludf.DUMMYFUNCTION("""COMPUTED_VALUE"""),195.74)</f>
        <v>195.74</v>
      </c>
      <c r="K213" s="3">
        <f>IFERROR(__xludf.DUMMYFUNCTION("""COMPUTED_VALUE"""),144.82)</f>
        <v>144.82</v>
      </c>
      <c r="L213" s="3">
        <f>IFERROR(__xludf.DUMMYFUNCTION("""COMPUTED_VALUE"""),214.0)</f>
        <v>214</v>
      </c>
      <c r="M213" s="3">
        <f>IFERROR(__xludf.DUMMYFUNCTION("""COMPUTED_VALUE"""),155.46)</f>
        <v>155.46</v>
      </c>
      <c r="N213" s="3">
        <f>IFERROR(__xludf.DUMMYFUNCTION("""COMPUTED_VALUE"""),82.42)</f>
        <v>82.42</v>
      </c>
      <c r="O213" s="3">
        <f>IFERROR(__xludf.DUMMYFUNCTION("""COMPUTED_VALUE"""),15.61)</f>
        <v>15.61</v>
      </c>
      <c r="P213" s="3">
        <f>IFERROR(__xludf.DUMMYFUNCTION("""COMPUTED_VALUE"""),523.01)</f>
        <v>523.01</v>
      </c>
      <c r="Q213" s="3">
        <f>IFERROR(__xludf.DUMMYFUNCTION("""COMPUTED_VALUE"""),50.57)</f>
        <v>50.57</v>
      </c>
      <c r="R213" s="3">
        <f>IFERROR(__xludf.DUMMYFUNCTION("""COMPUTED_VALUE"""),143.54)</f>
        <v>143.54</v>
      </c>
      <c r="S213" s="3">
        <f>IFERROR(__xludf.DUMMYFUNCTION("""COMPUTED_VALUE"""),98.9)</f>
        <v>98.9</v>
      </c>
      <c r="T213" s="3">
        <f>IFERROR(__xludf.DUMMYFUNCTION("""COMPUTED_VALUE"""),67.63)</f>
        <v>67.63</v>
      </c>
      <c r="U213" s="3">
        <f>IFERROR(__xludf.DUMMYFUNCTION("""COMPUTED_VALUE"""),342.64)</f>
        <v>342.64</v>
      </c>
      <c r="V213" s="3">
        <f>IFERROR(__xludf.DUMMYFUNCTION("""COMPUTED_VALUE"""),43.33)</f>
        <v>43.33</v>
      </c>
      <c r="W213" s="3">
        <f>IFERROR(__xludf.DUMMYFUNCTION("""COMPUTED_VALUE"""),230.39)</f>
        <v>230.39</v>
      </c>
      <c r="X213" s="3">
        <f>IFERROR(__xludf.DUMMYFUNCTION("""COMPUTED_VALUE"""),158.72)</f>
        <v>158.72</v>
      </c>
      <c r="Y213" s="1">
        <f>IFERROR(__xludf.DUMMYFUNCTION("""COMPUTED_VALUE"""),316.8)</f>
        <v>316.8</v>
      </c>
      <c r="Z213" s="1">
        <f>IFERROR(__xludf.DUMMYFUNCTION("""COMPUTED_VALUE"""),40.86)</f>
        <v>40.86</v>
      </c>
      <c r="AA213" s="1">
        <f>IFERROR(__xludf.DUMMYFUNCTION("""COMPUTED_VALUE"""),70.12)</f>
        <v>70.12</v>
      </c>
      <c r="AB213" s="1">
        <f>IFERROR(__xludf.DUMMYFUNCTION("""COMPUTED_VALUE"""),107.62)</f>
        <v>107.62</v>
      </c>
      <c r="AC213" s="1">
        <f>IFERROR(__xludf.DUMMYFUNCTION("""COMPUTED_VALUE"""),151.85)</f>
        <v>151.85</v>
      </c>
      <c r="AD213" s="3">
        <f>IFERROR(__xludf.DUMMYFUNCTION("""COMPUTED_VALUE"""),65.79)</f>
        <v>65.79</v>
      </c>
      <c r="AE213" s="1">
        <f>IFERROR(__xludf.DUMMYFUNCTION("""COMPUTED_VALUE"""),449.6)</f>
        <v>449.6</v>
      </c>
      <c r="AF213" s="1">
        <f>IFERROR(__xludf.DUMMYFUNCTION("""COMPUTED_VALUE"""),67.44)</f>
        <v>67.44</v>
      </c>
      <c r="AG213" s="1">
        <f>IFERROR(__xludf.DUMMYFUNCTION("""COMPUTED_VALUE"""),113.76)</f>
        <v>113.76</v>
      </c>
      <c r="AH213" s="1">
        <f>IFERROR(__xludf.DUMMYFUNCTION("""COMPUTED_VALUE"""),245.3)</f>
        <v>245.3</v>
      </c>
      <c r="AI213" s="1">
        <f>IFERROR(__xludf.DUMMYFUNCTION("""COMPUTED_VALUE"""),454.2)</f>
        <v>454.2</v>
      </c>
      <c r="AJ213" s="1">
        <f>IFERROR(__xludf.DUMMYFUNCTION("""COMPUTED_VALUE"""),265.18)</f>
        <v>265.18</v>
      </c>
      <c r="AK213" s="1">
        <f>IFERROR(__xludf.DUMMYFUNCTION("""COMPUTED_VALUE"""),49.0)</f>
        <v>49</v>
      </c>
      <c r="AL213" s="1">
        <f>IFERROR(__xludf.DUMMYFUNCTION("""COMPUTED_VALUE"""),112.26)</f>
        <v>112.26</v>
      </c>
      <c r="AM213" s="1">
        <f>IFERROR(__xludf.DUMMYFUNCTION("""COMPUTED_VALUE"""),551.34)</f>
        <v>551.34</v>
      </c>
      <c r="AN213" s="1">
        <f>IFERROR(__xludf.DUMMYFUNCTION("""COMPUTED_VALUE"""),354.13)</f>
        <v>354.13</v>
      </c>
      <c r="AO213" s="1">
        <f>IFERROR(__xludf.DUMMYFUNCTION("""COMPUTED_VALUE"""),148.85)</f>
        <v>148.85</v>
      </c>
      <c r="AP213" s="1">
        <f>IFERROR(__xludf.DUMMYFUNCTION("""COMPUTED_VALUE"""),172.82)</f>
        <v>172.82</v>
      </c>
      <c r="AQ213" s="3">
        <f>IFERROR(__xludf.DUMMYFUNCTION("""COMPUTED_VALUE"""),488.8)</f>
        <v>488.8</v>
      </c>
      <c r="AR213" s="3">
        <f>IFERROR(__xludf.DUMMYFUNCTION("""COMPUTED_VALUE"""),233.93)</f>
        <v>233.93</v>
      </c>
      <c r="AS213" s="3">
        <f>IFERROR(__xludf.DUMMYFUNCTION("""COMPUTED_VALUE"""),467.61)</f>
        <v>467.61</v>
      </c>
      <c r="AT213" s="3">
        <f>IFERROR(__xludf.DUMMYFUNCTION("""COMPUTED_VALUE"""),327.09)</f>
        <v>327.09</v>
      </c>
      <c r="AU213" s="1">
        <f>IFERROR(__xludf.DUMMYFUNCTION("""COMPUTED_VALUE"""),30.09)</f>
        <v>30.09</v>
      </c>
      <c r="AV213" s="1">
        <f>IFERROR(__xludf.DUMMYFUNCTION("""COMPUTED_VALUE"""),93.35)</f>
        <v>93.35</v>
      </c>
      <c r="AW213" s="1">
        <f>IFERROR(__xludf.DUMMYFUNCTION("""COMPUTED_VALUE"""),82.16)</f>
        <v>82.16</v>
      </c>
      <c r="AX213" s="3">
        <f>IFERROR(__xludf.DUMMYFUNCTION("""COMPUTED_VALUE"""),26.69)</f>
        <v>26.69</v>
      </c>
      <c r="AY213" s="1">
        <f>IFERROR(__xludf.DUMMYFUNCTION("""COMPUTED_VALUE"""),388.7)</f>
        <v>388.7</v>
      </c>
      <c r="AZ213" s="3">
        <f>IFERROR(__xludf.DUMMYFUNCTION("""COMPUTED_VALUE"""),72.11)</f>
        <v>72.11</v>
      </c>
      <c r="BA213" s="3">
        <f>IFERROR(__xludf.DUMMYFUNCTION("""COMPUTED_VALUE"""),96.13)</f>
        <v>96.13</v>
      </c>
      <c r="BB213" s="3">
        <f>IFERROR(__xludf.DUMMYFUNCTION("""COMPUTED_VALUE"""),119.53)</f>
        <v>119.53</v>
      </c>
      <c r="BC213" s="1">
        <f>IFERROR(__xludf.DUMMYFUNCTION("""COMPUTED_VALUE"""),101.39)</f>
        <v>101.39</v>
      </c>
      <c r="BD213" s="3">
        <f>IFERROR(__xludf.DUMMYFUNCTION("""COMPUTED_VALUE"""),48.06)</f>
        <v>48.06</v>
      </c>
      <c r="BE213" s="3">
        <f>IFERROR(__xludf.DUMMYFUNCTION("""COMPUTED_VALUE"""),87.35)</f>
        <v>87.35</v>
      </c>
      <c r="BF213" s="1">
        <f>IFERROR(__xludf.DUMMYFUNCTION("""COMPUTED_VALUE"""),69.65)</f>
        <v>69.65</v>
      </c>
      <c r="BG213" s="1">
        <f>IFERROR(__xludf.DUMMYFUNCTION("""COMPUTED_VALUE"""),26.05)</f>
        <v>26.05</v>
      </c>
      <c r="BH213" s="1">
        <f>IFERROR(__xludf.DUMMYFUNCTION("""COMPUTED_VALUE"""),132.05)</f>
        <v>132.05</v>
      </c>
      <c r="BI213" s="3">
        <f>IFERROR(__xludf.DUMMYFUNCTION("""COMPUTED_VALUE"""),39.13)</f>
        <v>39.13</v>
      </c>
      <c r="BJ213" s="1">
        <f>IFERROR(__xludf.DUMMYFUNCTION("""COMPUTED_VALUE"""),260.17)</f>
        <v>260.17</v>
      </c>
      <c r="BK213" s="1">
        <f>IFERROR(__xludf.DUMMYFUNCTION("""COMPUTED_VALUE"""),519.57)</f>
        <v>519.57</v>
      </c>
      <c r="BL213" s="1">
        <f>IFERROR(__xludf.DUMMYFUNCTION("""COMPUTED_VALUE"""),188.41)</f>
        <v>188.41</v>
      </c>
      <c r="BM213" s="1">
        <f>IFERROR(__xludf.DUMMYFUNCTION("""COMPUTED_VALUE"""),67.69)</f>
        <v>67.69</v>
      </c>
      <c r="BN213" s="3">
        <f>IFERROR(__xludf.DUMMYFUNCTION("""COMPUTED_VALUE"""),6.94)</f>
        <v>6.94</v>
      </c>
      <c r="BO213" s="1">
        <f>IFERROR(__xludf.DUMMYFUNCTION("""COMPUTED_VALUE"""),237.86)</f>
        <v>237.86</v>
      </c>
      <c r="BP213" s="1">
        <f>IFERROR(__xludf.DUMMYFUNCTION("""COMPUTED_VALUE"""),499.02)</f>
        <v>499.02</v>
      </c>
      <c r="BQ213" s="36">
        <f>IFERROR(__xludf.DUMMYFUNCTION("""COMPUTED_VALUE"""),49.38)</f>
        <v>49.38</v>
      </c>
      <c r="BR213" s="1">
        <f>IFERROR(__xludf.DUMMYFUNCTION("""COMPUTED_VALUE"""),9.25)</f>
        <v>9.25</v>
      </c>
      <c r="BS213" s="3">
        <f>IFERROR(__xludf.DUMMYFUNCTION("""COMPUTED_VALUE"""),228.19)</f>
        <v>228.19</v>
      </c>
      <c r="BT213" s="1">
        <f>IFERROR(__xludf.DUMMYFUNCTION("""COMPUTED_VALUE"""),99.36)</f>
        <v>99.36</v>
      </c>
      <c r="BU213" s="3">
        <v>1.0</v>
      </c>
    </row>
    <row r="214">
      <c r="A214" s="25">
        <f>IFERROR(__xludf.DUMMYFUNCTION("""COMPUTED_VALUE"""),45734.66666666667)</f>
        <v>45734.66667</v>
      </c>
      <c r="B214" s="29">
        <f>'Master Scratch Work'!B213</f>
        <v>1320758.39</v>
      </c>
      <c r="C214" s="15">
        <f>IFERROR(__xludf.DUMMYFUNCTION("""COMPUTED_VALUE"""),5614.66)</f>
        <v>5614.66</v>
      </c>
      <c r="D214" s="15">
        <f>IFERROR(__xludf.DUMMYFUNCTION("""COMPUTED_VALUE"""),17504.12)</f>
        <v>17504.12</v>
      </c>
      <c r="E214" s="15">
        <f>IFERROR(__xludf.DUMMYFUNCTION("""COMPUTED_VALUE"""),41581.31)</f>
        <v>41581.31</v>
      </c>
      <c r="F214" s="15">
        <f>IFERROR(__xludf.DUMMYFUNCTION("""COMPUTED_VALUE"""),2049.94)</f>
        <v>2049.94</v>
      </c>
      <c r="G214" s="3">
        <f>IFERROR(__xludf.DUMMYFUNCTION("""COMPUTED_VALUE"""),561.02)</f>
        <v>561.02</v>
      </c>
      <c r="H214" s="3">
        <f>IFERROR(__xludf.DUMMYFUNCTION("""COMPUTED_VALUE"""),474.54)</f>
        <v>474.54</v>
      </c>
      <c r="I214" s="3">
        <f>IFERROR(__xludf.DUMMYFUNCTION("""COMPUTED_VALUE"""),391.37)</f>
        <v>391.37</v>
      </c>
      <c r="J214" s="3">
        <f>IFERROR(__xludf.DUMMYFUNCTION("""COMPUTED_VALUE"""),192.82)</f>
        <v>192.82</v>
      </c>
      <c r="K214" s="3">
        <f>IFERROR(__xludf.DUMMYFUNCTION("""COMPUTED_VALUE"""),144.75)</f>
        <v>144.75</v>
      </c>
      <c r="L214" s="3">
        <f>IFERROR(__xludf.DUMMYFUNCTION("""COMPUTED_VALUE"""),212.69)</f>
        <v>212.69</v>
      </c>
      <c r="M214" s="3">
        <f>IFERROR(__xludf.DUMMYFUNCTION("""COMPUTED_VALUE"""),153.51)</f>
        <v>153.51</v>
      </c>
      <c r="N214" s="3">
        <f>IFERROR(__xludf.DUMMYFUNCTION("""COMPUTED_VALUE"""),82.64)</f>
        <v>82.64</v>
      </c>
      <c r="O214" s="3">
        <f>IFERROR(__xludf.DUMMYFUNCTION("""COMPUTED_VALUE"""),16.06)</f>
        <v>16.06</v>
      </c>
      <c r="P214" s="3">
        <f>IFERROR(__xludf.DUMMYFUNCTION("""COMPUTED_VALUE"""),523.14)</f>
        <v>523.14</v>
      </c>
      <c r="Q214" s="3">
        <f>IFERROR(__xludf.DUMMYFUNCTION("""COMPUTED_VALUE"""),50.54)</f>
        <v>50.54</v>
      </c>
      <c r="R214" s="3">
        <f>IFERROR(__xludf.DUMMYFUNCTION("""COMPUTED_VALUE"""),143.09)</f>
        <v>143.09</v>
      </c>
      <c r="S214" s="3">
        <f>IFERROR(__xludf.DUMMYFUNCTION("""COMPUTED_VALUE"""),99.22)</f>
        <v>99.22</v>
      </c>
      <c r="T214" s="3">
        <f>IFERROR(__xludf.DUMMYFUNCTION("""COMPUTED_VALUE"""),67.3)</f>
        <v>67.3</v>
      </c>
      <c r="U214" s="3">
        <f>IFERROR(__xludf.DUMMYFUNCTION("""COMPUTED_VALUE"""),336.71)</f>
        <v>336.71</v>
      </c>
      <c r="V214" s="3">
        <f>IFERROR(__xludf.DUMMYFUNCTION("""COMPUTED_VALUE"""),43.09)</f>
        <v>43.09</v>
      </c>
      <c r="W214" s="3">
        <f>IFERROR(__xludf.DUMMYFUNCTION("""COMPUTED_VALUE"""),229.75)</f>
        <v>229.75</v>
      </c>
      <c r="X214" s="3">
        <f>IFERROR(__xludf.DUMMYFUNCTION("""COMPUTED_VALUE"""),160.81)</f>
        <v>160.81</v>
      </c>
      <c r="Y214" s="1">
        <f>IFERROR(__xludf.DUMMYFUNCTION("""COMPUTED_VALUE"""),322.43)</f>
        <v>322.43</v>
      </c>
      <c r="Z214" s="1">
        <f>IFERROR(__xludf.DUMMYFUNCTION("""COMPUTED_VALUE"""),40.96)</f>
        <v>40.96</v>
      </c>
      <c r="AA214" s="1">
        <f>IFERROR(__xludf.DUMMYFUNCTION("""COMPUTED_VALUE"""),69.38)</f>
        <v>69.38</v>
      </c>
      <c r="AB214" s="1">
        <f>IFERROR(__xludf.DUMMYFUNCTION("""COMPUTED_VALUE"""),107.81)</f>
        <v>107.81</v>
      </c>
      <c r="AC214" s="1">
        <f>IFERROR(__xludf.DUMMYFUNCTION("""COMPUTED_VALUE"""),148.66)</f>
        <v>148.66</v>
      </c>
      <c r="AD214" s="3">
        <f>IFERROR(__xludf.DUMMYFUNCTION("""COMPUTED_VALUE"""),64.98)</f>
        <v>64.98</v>
      </c>
      <c r="AE214" s="1">
        <f>IFERROR(__xludf.DUMMYFUNCTION("""COMPUTED_VALUE"""),452.68)</f>
        <v>452.68</v>
      </c>
      <c r="AF214" s="1">
        <f>IFERROR(__xludf.DUMMYFUNCTION("""COMPUTED_VALUE"""),65.24)</f>
        <v>65.24</v>
      </c>
      <c r="AG214" s="1">
        <f>IFERROR(__xludf.DUMMYFUNCTION("""COMPUTED_VALUE"""),113.64)</f>
        <v>113.64</v>
      </c>
      <c r="AH214" s="1">
        <f>IFERROR(__xludf.DUMMYFUNCTION("""COMPUTED_VALUE"""),245.8)</f>
        <v>245.8</v>
      </c>
      <c r="AI214" s="1">
        <f>IFERROR(__xludf.DUMMYFUNCTION("""COMPUTED_VALUE"""),446.43)</f>
        <v>446.43</v>
      </c>
      <c r="AJ214" s="1">
        <f>IFERROR(__xludf.DUMMYFUNCTION("""COMPUTED_VALUE"""),267.52)</f>
        <v>267.52</v>
      </c>
      <c r="AK214" s="1">
        <f>IFERROR(__xludf.DUMMYFUNCTION("""COMPUTED_VALUE"""),48.67)</f>
        <v>48.67</v>
      </c>
      <c r="AL214" s="1">
        <f>IFERROR(__xludf.DUMMYFUNCTION("""COMPUTED_VALUE"""),110.23)</f>
        <v>110.23</v>
      </c>
      <c r="AM214" s="1">
        <f>IFERROR(__xludf.DUMMYFUNCTION("""COMPUTED_VALUE"""),551.78)</f>
        <v>551.78</v>
      </c>
      <c r="AN214" s="1">
        <f>IFERROR(__xludf.DUMMYFUNCTION("""COMPUTED_VALUE"""),349.57)</f>
        <v>349.57</v>
      </c>
      <c r="AO214" s="1">
        <f>IFERROR(__xludf.DUMMYFUNCTION("""COMPUTED_VALUE"""),148.39)</f>
        <v>148.39</v>
      </c>
      <c r="AP214" s="1">
        <f>IFERROR(__xludf.DUMMYFUNCTION("""COMPUTED_VALUE"""),172.84)</f>
        <v>172.84</v>
      </c>
      <c r="AQ214" s="3">
        <f>IFERROR(__xludf.DUMMYFUNCTION("""COMPUTED_VALUE"""),483.95)</f>
        <v>483.95</v>
      </c>
      <c r="AR214" s="3">
        <f>IFERROR(__xludf.DUMMYFUNCTION("""COMPUTED_VALUE"""),234.97)</f>
        <v>234.97</v>
      </c>
      <c r="AS214" s="3">
        <f>IFERROR(__xludf.DUMMYFUNCTION("""COMPUTED_VALUE"""),469.28)</f>
        <v>469.28</v>
      </c>
      <c r="AT214" s="3">
        <f>IFERROR(__xludf.DUMMYFUNCTION("""COMPUTED_VALUE"""),323.07)</f>
        <v>323.07</v>
      </c>
      <c r="AU214" s="1">
        <f>IFERROR(__xludf.DUMMYFUNCTION("""COMPUTED_VALUE"""),30.02)</f>
        <v>30.02</v>
      </c>
      <c r="AV214" s="1">
        <f>IFERROR(__xludf.DUMMYFUNCTION("""COMPUTED_VALUE"""),92.21)</f>
        <v>92.21</v>
      </c>
      <c r="AW214" s="1">
        <f>IFERROR(__xludf.DUMMYFUNCTION("""COMPUTED_VALUE"""),81.64)</f>
        <v>81.64</v>
      </c>
      <c r="AX214" s="3">
        <f>IFERROR(__xludf.DUMMYFUNCTION("""COMPUTED_VALUE"""),26.83)</f>
        <v>26.83</v>
      </c>
      <c r="AY214" s="1">
        <f>IFERROR(__xludf.DUMMYFUNCTION("""COMPUTED_VALUE"""),383.52)</f>
        <v>383.52</v>
      </c>
      <c r="AZ214" s="3">
        <f>IFERROR(__xludf.DUMMYFUNCTION("""COMPUTED_VALUE"""),70.7)</f>
        <v>70.7</v>
      </c>
      <c r="BA214" s="3">
        <f>IFERROR(__xludf.DUMMYFUNCTION("""COMPUTED_VALUE"""),94.68)</f>
        <v>94.68</v>
      </c>
      <c r="BB214" s="3">
        <f>IFERROR(__xludf.DUMMYFUNCTION("""COMPUTED_VALUE"""),115.43)</f>
        <v>115.43</v>
      </c>
      <c r="BC214" s="1">
        <f>IFERROR(__xludf.DUMMYFUNCTION("""COMPUTED_VALUE"""),101.67)</f>
        <v>101.67</v>
      </c>
      <c r="BD214" s="3">
        <f>IFERROR(__xludf.DUMMYFUNCTION("""COMPUTED_VALUE"""),46.28)</f>
        <v>46.28</v>
      </c>
      <c r="BE214" s="3">
        <f>IFERROR(__xludf.DUMMYFUNCTION("""COMPUTED_VALUE"""),83.89)</f>
        <v>83.89</v>
      </c>
      <c r="BF214" s="1">
        <f>IFERROR(__xludf.DUMMYFUNCTION("""COMPUTED_VALUE"""),68.88)</f>
        <v>68.88</v>
      </c>
      <c r="BG214" s="1">
        <f>IFERROR(__xludf.DUMMYFUNCTION("""COMPUTED_VALUE"""),26.31)</f>
        <v>26.31</v>
      </c>
      <c r="BH214" s="1">
        <f>IFERROR(__xludf.DUMMYFUNCTION("""COMPUTED_VALUE"""),132.69)</f>
        <v>132.69</v>
      </c>
      <c r="BI214" s="3">
        <f>IFERROR(__xludf.DUMMYFUNCTION("""COMPUTED_VALUE"""),38.16)</f>
        <v>38.16</v>
      </c>
      <c r="BJ214" s="1">
        <f>IFERROR(__xludf.DUMMYFUNCTION("""COMPUTED_VALUE"""),260.73)</f>
        <v>260.73</v>
      </c>
      <c r="BK214" s="1">
        <f>IFERROR(__xludf.DUMMYFUNCTION("""COMPUTED_VALUE"""),521.5)</f>
        <v>521.5</v>
      </c>
      <c r="BL214" s="1">
        <f>IFERROR(__xludf.DUMMYFUNCTION("""COMPUTED_VALUE"""),190.2)</f>
        <v>190.2</v>
      </c>
      <c r="BM214" s="1">
        <f>IFERROR(__xludf.DUMMYFUNCTION("""COMPUTED_VALUE"""),68.99)</f>
        <v>68.99</v>
      </c>
      <c r="BN214" s="3">
        <f>IFERROR(__xludf.DUMMYFUNCTION("""COMPUTED_VALUE"""),6.71)</f>
        <v>6.71</v>
      </c>
      <c r="BO214" s="1">
        <f>IFERROR(__xludf.DUMMYFUNCTION("""COMPUTED_VALUE"""),237.09)</f>
        <v>237.09</v>
      </c>
      <c r="BP214" s="1">
        <f>IFERROR(__xludf.DUMMYFUNCTION("""COMPUTED_VALUE"""),503.8)</f>
        <v>503.8</v>
      </c>
      <c r="BQ214" s="36">
        <f>IFERROR(__xludf.DUMMYFUNCTION("""COMPUTED_VALUE"""),49.42)</f>
        <v>49.42</v>
      </c>
      <c r="BR214" s="1">
        <f>IFERROR(__xludf.DUMMYFUNCTION("""COMPUTED_VALUE"""),9.52)</f>
        <v>9.52</v>
      </c>
      <c r="BS214" s="3">
        <f>IFERROR(__xludf.DUMMYFUNCTION("""COMPUTED_VALUE"""),225.87)</f>
        <v>225.87</v>
      </c>
      <c r="BT214" s="1">
        <f>IFERROR(__xludf.DUMMYFUNCTION("""COMPUTED_VALUE"""),99.35)</f>
        <v>99.35</v>
      </c>
      <c r="BU214" s="3">
        <v>1.0</v>
      </c>
    </row>
    <row r="215">
      <c r="A215" s="25">
        <f>IFERROR(__xludf.DUMMYFUNCTION("""COMPUTED_VALUE"""),45735.66666666667)</f>
        <v>45735.66667</v>
      </c>
      <c r="B215" s="29">
        <f>'Master Scratch Work'!B214</f>
        <v>1329528.49</v>
      </c>
      <c r="C215" s="15">
        <f>IFERROR(__xludf.DUMMYFUNCTION("""COMPUTED_VALUE"""),5675.29)</f>
        <v>5675.29</v>
      </c>
      <c r="D215" s="15">
        <f>IFERROR(__xludf.DUMMYFUNCTION("""COMPUTED_VALUE"""),17750.79)</f>
        <v>17750.79</v>
      </c>
      <c r="E215" s="15">
        <f>IFERROR(__xludf.DUMMYFUNCTION("""COMPUTED_VALUE"""),41964.63)</f>
        <v>41964.63</v>
      </c>
      <c r="F215" s="15">
        <f>IFERROR(__xludf.DUMMYFUNCTION("""COMPUTED_VALUE"""),2082.08)</f>
        <v>2082.08</v>
      </c>
      <c r="G215" s="3">
        <f>IFERROR(__xludf.DUMMYFUNCTION("""COMPUTED_VALUE"""),567.13)</f>
        <v>567.13</v>
      </c>
      <c r="H215" s="3">
        <f>IFERROR(__xludf.DUMMYFUNCTION("""COMPUTED_VALUE"""),480.89)</f>
        <v>480.89</v>
      </c>
      <c r="I215" s="3">
        <f>IFERROR(__xludf.DUMMYFUNCTION("""COMPUTED_VALUE"""),387.89)</f>
        <v>387.89</v>
      </c>
      <c r="J215" s="3">
        <f>IFERROR(__xludf.DUMMYFUNCTION("""COMPUTED_VALUE"""),195.54)</f>
        <v>195.54</v>
      </c>
      <c r="K215" s="3">
        <f>IFERROR(__xludf.DUMMYFUNCTION("""COMPUTED_VALUE"""),142.05)</f>
        <v>142.05</v>
      </c>
      <c r="L215" s="3">
        <f>IFERROR(__xludf.DUMMYFUNCTION("""COMPUTED_VALUE"""),215.24)</f>
        <v>215.24</v>
      </c>
      <c r="M215" s="3">
        <f>IFERROR(__xludf.DUMMYFUNCTION("""COMPUTED_VALUE"""),154.46)</f>
        <v>154.46</v>
      </c>
      <c r="N215" s="3">
        <f>IFERROR(__xludf.DUMMYFUNCTION("""COMPUTED_VALUE"""),83.9)</f>
        <v>83.9</v>
      </c>
      <c r="O215" s="3">
        <f>IFERROR(__xludf.DUMMYFUNCTION("""COMPUTED_VALUE"""),16.16)</f>
        <v>16.16</v>
      </c>
      <c r="P215" s="3">
        <f>IFERROR(__xludf.DUMMYFUNCTION("""COMPUTED_VALUE"""),525.27)</f>
        <v>525.27</v>
      </c>
      <c r="Q215" s="3">
        <f>IFERROR(__xludf.DUMMYFUNCTION("""COMPUTED_VALUE"""),50.06)</f>
        <v>50.06</v>
      </c>
      <c r="R215" s="3">
        <f>IFERROR(__xludf.DUMMYFUNCTION("""COMPUTED_VALUE"""),141.43)</f>
        <v>141.43</v>
      </c>
      <c r="S215" s="3">
        <f>IFERROR(__xludf.DUMMYFUNCTION("""COMPUTED_VALUE"""),100.73)</f>
        <v>100.73</v>
      </c>
      <c r="T215" s="3">
        <f>IFERROR(__xludf.DUMMYFUNCTION("""COMPUTED_VALUE"""),67.68)</f>
        <v>67.68</v>
      </c>
      <c r="U215" s="3">
        <f>IFERROR(__xludf.DUMMYFUNCTION("""COMPUTED_VALUE"""),338.62)</f>
        <v>338.62</v>
      </c>
      <c r="V215" s="3">
        <f>IFERROR(__xludf.DUMMYFUNCTION("""COMPUTED_VALUE"""),44.19)</f>
        <v>44.19</v>
      </c>
      <c r="W215" s="3">
        <f>IFERROR(__xludf.DUMMYFUNCTION("""COMPUTED_VALUE"""),230.32)</f>
        <v>230.32</v>
      </c>
      <c r="X215" s="3">
        <f>IFERROR(__xludf.DUMMYFUNCTION("""COMPUTED_VALUE"""),164.05)</f>
        <v>164.05</v>
      </c>
      <c r="Y215" s="1">
        <f>IFERROR(__xludf.DUMMYFUNCTION("""COMPUTED_VALUE"""),320.83)</f>
        <v>320.83</v>
      </c>
      <c r="Z215" s="1">
        <f>IFERROR(__xludf.DUMMYFUNCTION("""COMPUTED_VALUE"""),41.36)</f>
        <v>41.36</v>
      </c>
      <c r="AA215" s="1">
        <f>IFERROR(__xludf.DUMMYFUNCTION("""COMPUTED_VALUE"""),69.28)</f>
        <v>69.28</v>
      </c>
      <c r="AB215" s="1">
        <f>IFERROR(__xludf.DUMMYFUNCTION("""COMPUTED_VALUE"""),107.49)</f>
        <v>107.49</v>
      </c>
      <c r="AC215" s="1">
        <f>IFERROR(__xludf.DUMMYFUNCTION("""COMPUTED_VALUE"""),151.09)</f>
        <v>151.09</v>
      </c>
      <c r="AD215" s="3">
        <f>IFERROR(__xludf.DUMMYFUNCTION("""COMPUTED_VALUE"""),64.3)</f>
        <v>64.3</v>
      </c>
      <c r="AE215" s="1">
        <f>IFERROR(__xludf.DUMMYFUNCTION("""COMPUTED_VALUE"""),461.67)</f>
        <v>461.67</v>
      </c>
      <c r="AF215" s="1">
        <f>IFERROR(__xludf.DUMMYFUNCTION("""COMPUTED_VALUE"""),67.2)</f>
        <v>67.2</v>
      </c>
      <c r="AG215" s="1">
        <f>IFERROR(__xludf.DUMMYFUNCTION("""COMPUTED_VALUE"""),115.41)</f>
        <v>115.41</v>
      </c>
      <c r="AH215" s="1">
        <f>IFERROR(__xludf.DUMMYFUNCTION("""COMPUTED_VALUE"""),247.12)</f>
        <v>247.12</v>
      </c>
      <c r="AI215" s="1">
        <f>IFERROR(__xludf.DUMMYFUNCTION("""COMPUTED_VALUE"""),453.28)</f>
        <v>453.28</v>
      </c>
      <c r="AJ215" s="1">
        <f>IFERROR(__xludf.DUMMYFUNCTION("""COMPUTED_VALUE"""),267.97)</f>
        <v>267.97</v>
      </c>
      <c r="AK215" s="1">
        <f>IFERROR(__xludf.DUMMYFUNCTION("""COMPUTED_VALUE"""),49.79)</f>
        <v>49.79</v>
      </c>
      <c r="AL215" s="1">
        <f>IFERROR(__xludf.DUMMYFUNCTION("""COMPUTED_VALUE"""),107.51)</f>
        <v>107.51</v>
      </c>
      <c r="AM215" s="1">
        <f>IFERROR(__xludf.DUMMYFUNCTION("""COMPUTED_VALUE"""),557.34)</f>
        <v>557.34</v>
      </c>
      <c r="AN215" s="1">
        <f>IFERROR(__xludf.DUMMYFUNCTION("""COMPUTED_VALUE"""),353.42)</f>
        <v>353.42</v>
      </c>
      <c r="AO215" s="1">
        <f>IFERROR(__xludf.DUMMYFUNCTION("""COMPUTED_VALUE"""),149.73)</f>
        <v>149.73</v>
      </c>
      <c r="AP215" s="1">
        <f>IFERROR(__xludf.DUMMYFUNCTION("""COMPUTED_VALUE"""),173.69)</f>
        <v>173.69</v>
      </c>
      <c r="AQ215" s="3">
        <f>IFERROR(__xludf.DUMMYFUNCTION("""COMPUTED_VALUE"""),492.06)</f>
        <v>492.06</v>
      </c>
      <c r="AR215" s="3">
        <f>IFERROR(__xludf.DUMMYFUNCTION("""COMPUTED_VALUE"""),239.11)</f>
        <v>239.11</v>
      </c>
      <c r="AS215" s="3">
        <f>IFERROR(__xludf.DUMMYFUNCTION("""COMPUTED_VALUE"""),470.55)</f>
        <v>470.55</v>
      </c>
      <c r="AT215" s="3">
        <f>IFERROR(__xludf.DUMMYFUNCTION("""COMPUTED_VALUE"""),329.57)</f>
        <v>329.57</v>
      </c>
      <c r="AU215" s="1">
        <f>IFERROR(__xludf.DUMMYFUNCTION("""COMPUTED_VALUE"""),30.48)</f>
        <v>30.48</v>
      </c>
      <c r="AV215" s="1">
        <f>IFERROR(__xludf.DUMMYFUNCTION("""COMPUTED_VALUE"""),91.87)</f>
        <v>91.87</v>
      </c>
      <c r="AW215" s="1">
        <f>IFERROR(__xludf.DUMMYFUNCTION("""COMPUTED_VALUE"""),83.02)</f>
        <v>83.02</v>
      </c>
      <c r="AX215" s="3">
        <f>IFERROR(__xludf.DUMMYFUNCTION("""COMPUTED_VALUE"""),26.81)</f>
        <v>26.81</v>
      </c>
      <c r="AY215" s="1">
        <f>IFERROR(__xludf.DUMMYFUNCTION("""COMPUTED_VALUE"""),387.82)</f>
        <v>387.82</v>
      </c>
      <c r="AZ215" s="3">
        <f>IFERROR(__xludf.DUMMYFUNCTION("""COMPUTED_VALUE"""),70.5)</f>
        <v>70.5</v>
      </c>
      <c r="BA215" s="3">
        <f>IFERROR(__xludf.DUMMYFUNCTION("""COMPUTED_VALUE"""),98.26)</f>
        <v>98.26</v>
      </c>
      <c r="BB215" s="3">
        <f>IFERROR(__xludf.DUMMYFUNCTION("""COMPUTED_VALUE"""),117.52)</f>
        <v>117.52</v>
      </c>
      <c r="BC215" s="1">
        <f>IFERROR(__xludf.DUMMYFUNCTION("""COMPUTED_VALUE"""),102.77)</f>
        <v>102.77</v>
      </c>
      <c r="BD215" s="3">
        <f>IFERROR(__xludf.DUMMYFUNCTION("""COMPUTED_VALUE"""),47.07)</f>
        <v>47.07</v>
      </c>
      <c r="BE215" s="3">
        <f>IFERROR(__xludf.DUMMYFUNCTION("""COMPUTED_VALUE"""),86.1)</f>
        <v>86.1</v>
      </c>
      <c r="BF215" s="1">
        <f>IFERROR(__xludf.DUMMYFUNCTION("""COMPUTED_VALUE"""),70.0)</f>
        <v>70</v>
      </c>
      <c r="BG215" s="1">
        <f>IFERROR(__xludf.DUMMYFUNCTION("""COMPUTED_VALUE"""),26.21)</f>
        <v>26.21</v>
      </c>
      <c r="BH215" s="1">
        <f>IFERROR(__xludf.DUMMYFUNCTION("""COMPUTED_VALUE"""),135.32)</f>
        <v>135.32</v>
      </c>
      <c r="BI215" s="3">
        <f>IFERROR(__xludf.DUMMYFUNCTION("""COMPUTED_VALUE"""),38.75)</f>
        <v>38.75</v>
      </c>
      <c r="BJ215" s="1">
        <f>IFERROR(__xludf.DUMMYFUNCTION("""COMPUTED_VALUE"""),259.25)</f>
        <v>259.25</v>
      </c>
      <c r="BK215" s="1">
        <f>IFERROR(__xludf.DUMMYFUNCTION("""COMPUTED_VALUE"""),518.41)</f>
        <v>518.41</v>
      </c>
      <c r="BL215" s="1">
        <f>IFERROR(__xludf.DUMMYFUNCTION("""COMPUTED_VALUE"""),193.14)</f>
        <v>193.14</v>
      </c>
      <c r="BM215" s="1">
        <f>IFERROR(__xludf.DUMMYFUNCTION("""COMPUTED_VALUE"""),70.33)</f>
        <v>70.33</v>
      </c>
      <c r="BN215" s="3">
        <f>IFERROR(__xludf.DUMMYFUNCTION("""COMPUTED_VALUE"""),6.6)</f>
        <v>6.6</v>
      </c>
      <c r="BO215" s="1">
        <f>IFERROR(__xludf.DUMMYFUNCTION("""COMPUTED_VALUE"""),236.39)</f>
        <v>236.39</v>
      </c>
      <c r="BP215" s="1">
        <f>IFERROR(__xludf.DUMMYFUNCTION("""COMPUTED_VALUE"""),503.2)</f>
        <v>503.2</v>
      </c>
      <c r="BQ215" s="36">
        <f>IFERROR(__xludf.DUMMYFUNCTION("""COMPUTED_VALUE"""),49.53)</f>
        <v>49.53</v>
      </c>
      <c r="BR215" s="1">
        <f>IFERROR(__xludf.DUMMYFUNCTION("""COMPUTED_VALUE"""),9.42)</f>
        <v>9.42</v>
      </c>
      <c r="BS215" s="3">
        <f>IFERROR(__xludf.DUMMYFUNCTION("""COMPUTED_VALUE"""),227.36)</f>
        <v>227.36</v>
      </c>
      <c r="BT215" s="1">
        <f>IFERROR(__xludf.DUMMYFUNCTION("""COMPUTED_VALUE"""),100.29)</f>
        <v>100.29</v>
      </c>
      <c r="BU215" s="3">
        <v>1.0</v>
      </c>
    </row>
    <row r="216">
      <c r="A216" s="25">
        <f>IFERROR(__xludf.DUMMYFUNCTION("""COMPUTED_VALUE"""),45736.66666666667)</f>
        <v>45736.66667</v>
      </c>
      <c r="B216" s="29">
        <f>'Master Scratch Work'!B215</f>
        <v>1327429.2</v>
      </c>
      <c r="C216" s="15">
        <f>IFERROR(__xludf.DUMMYFUNCTION("""COMPUTED_VALUE"""),5662.89)</f>
        <v>5662.89</v>
      </c>
      <c r="D216" s="15">
        <f>IFERROR(__xludf.DUMMYFUNCTION("""COMPUTED_VALUE"""),17691.63)</f>
        <v>17691.63</v>
      </c>
      <c r="E216" s="15">
        <f>IFERROR(__xludf.DUMMYFUNCTION("""COMPUTED_VALUE"""),41953.32)</f>
        <v>41953.32</v>
      </c>
      <c r="F216" s="15">
        <f>IFERROR(__xludf.DUMMYFUNCTION("""COMPUTED_VALUE"""),2068.63)</f>
        <v>2068.63</v>
      </c>
      <c r="G216" s="3">
        <f>IFERROR(__xludf.DUMMYFUNCTION("""COMPUTED_VALUE"""),565.49)</f>
        <v>565.49</v>
      </c>
      <c r="H216" s="3">
        <f>IFERROR(__xludf.DUMMYFUNCTION("""COMPUTED_VALUE"""),479.26)</f>
        <v>479.26</v>
      </c>
      <c r="I216" s="3">
        <f>IFERROR(__xludf.DUMMYFUNCTION("""COMPUTED_VALUE"""),389.61)</f>
        <v>389.61</v>
      </c>
      <c r="J216" s="3">
        <f>IFERROR(__xludf.DUMMYFUNCTION("""COMPUTED_VALUE"""),194.95)</f>
        <v>194.95</v>
      </c>
      <c r="K216" s="3">
        <f>IFERROR(__xludf.DUMMYFUNCTION("""COMPUTED_VALUE"""),141.81)</f>
        <v>141.81</v>
      </c>
      <c r="L216" s="3">
        <f>IFERROR(__xludf.DUMMYFUNCTION("""COMPUTED_VALUE"""),214.1)</f>
        <v>214.1</v>
      </c>
      <c r="M216" s="3">
        <f>IFERROR(__xludf.DUMMYFUNCTION("""COMPUTED_VALUE"""),154.38)</f>
        <v>154.38</v>
      </c>
      <c r="N216" s="3">
        <f>IFERROR(__xludf.DUMMYFUNCTION("""COMPUTED_VALUE"""),83.93)</f>
        <v>83.93</v>
      </c>
      <c r="O216" s="3">
        <f>IFERROR(__xludf.DUMMYFUNCTION("""COMPUTED_VALUE"""),15.97)</f>
        <v>15.97</v>
      </c>
      <c r="P216" s="3">
        <f>IFERROR(__xludf.DUMMYFUNCTION("""COMPUTED_VALUE"""),528.73)</f>
        <v>528.73</v>
      </c>
      <c r="Q216" s="3">
        <f>IFERROR(__xludf.DUMMYFUNCTION("""COMPUTED_VALUE"""),49.31)</f>
        <v>49.31</v>
      </c>
      <c r="R216" s="3">
        <f>IFERROR(__xludf.DUMMYFUNCTION("""COMPUTED_VALUE"""),141.38)</f>
        <v>141.38</v>
      </c>
      <c r="S216" s="3">
        <f>IFERROR(__xludf.DUMMYFUNCTION("""COMPUTED_VALUE"""),101.51)</f>
        <v>101.51</v>
      </c>
      <c r="T216" s="3">
        <f>IFERROR(__xludf.DUMMYFUNCTION("""COMPUTED_VALUE"""),66.43)</f>
        <v>66.43</v>
      </c>
      <c r="U216" s="3">
        <f>IFERROR(__xludf.DUMMYFUNCTION("""COMPUTED_VALUE"""),336.25)</f>
        <v>336.25</v>
      </c>
      <c r="V216" s="3">
        <f>IFERROR(__xludf.DUMMYFUNCTION("""COMPUTED_VALUE"""),44.85)</f>
        <v>44.85</v>
      </c>
      <c r="W216" s="3">
        <f>IFERROR(__xludf.DUMMYFUNCTION("""COMPUTED_VALUE"""),229.14)</f>
        <v>229.14</v>
      </c>
      <c r="X216" s="3">
        <f>IFERROR(__xludf.DUMMYFUNCTION("""COMPUTED_VALUE"""),164.77)</f>
        <v>164.77</v>
      </c>
      <c r="Y216" s="1">
        <f>IFERROR(__xludf.DUMMYFUNCTION("""COMPUTED_VALUE"""),321.39)</f>
        <v>321.39</v>
      </c>
      <c r="Z216" s="1">
        <f>IFERROR(__xludf.DUMMYFUNCTION("""COMPUTED_VALUE"""),40.99)</f>
        <v>40.99</v>
      </c>
      <c r="AA216" s="1">
        <f>IFERROR(__xludf.DUMMYFUNCTION("""COMPUTED_VALUE"""),69.71)</f>
        <v>69.71</v>
      </c>
      <c r="AB216" s="1">
        <f>IFERROR(__xludf.DUMMYFUNCTION("""COMPUTED_VALUE"""),108.48)</f>
        <v>108.48</v>
      </c>
      <c r="AC216" s="1">
        <f>IFERROR(__xludf.DUMMYFUNCTION("""COMPUTED_VALUE"""),151.41)</f>
        <v>151.41</v>
      </c>
      <c r="AD216" s="3">
        <f>IFERROR(__xludf.DUMMYFUNCTION("""COMPUTED_VALUE"""),64.59)</f>
        <v>64.59</v>
      </c>
      <c r="AE216" s="1">
        <f>IFERROR(__xludf.DUMMYFUNCTION("""COMPUTED_VALUE"""),466.05)</f>
        <v>466.05</v>
      </c>
      <c r="AF216" s="1">
        <f>IFERROR(__xludf.DUMMYFUNCTION("""COMPUTED_VALUE"""),66.34)</f>
        <v>66.34</v>
      </c>
      <c r="AG216" s="1">
        <f>IFERROR(__xludf.DUMMYFUNCTION("""COMPUTED_VALUE"""),115.9)</f>
        <v>115.9</v>
      </c>
      <c r="AH216" s="1">
        <f>IFERROR(__xludf.DUMMYFUNCTION("""COMPUTED_VALUE"""),246.21)</f>
        <v>246.21</v>
      </c>
      <c r="AI216" s="1">
        <f>IFERROR(__xludf.DUMMYFUNCTION("""COMPUTED_VALUE"""),444.03)</f>
        <v>444.03</v>
      </c>
      <c r="AJ216" s="1">
        <f>IFERROR(__xludf.DUMMYFUNCTION("""COMPUTED_VALUE"""),265.7)</f>
        <v>265.7</v>
      </c>
      <c r="AK216" s="1">
        <f>IFERROR(__xludf.DUMMYFUNCTION("""COMPUTED_VALUE"""),49.44)</f>
        <v>49.44</v>
      </c>
      <c r="AL216" s="1">
        <f>IFERROR(__xludf.DUMMYFUNCTION("""COMPUTED_VALUE"""),105.87)</f>
        <v>105.87</v>
      </c>
      <c r="AM216" s="1">
        <f>IFERROR(__xludf.DUMMYFUNCTION("""COMPUTED_VALUE"""),562.68)</f>
        <v>562.68</v>
      </c>
      <c r="AN216" s="1">
        <f>IFERROR(__xludf.DUMMYFUNCTION("""COMPUTED_VALUE"""),355.52)</f>
        <v>355.52</v>
      </c>
      <c r="AO216" s="1">
        <f>IFERROR(__xludf.DUMMYFUNCTION("""COMPUTED_VALUE"""),148.55)</f>
        <v>148.55</v>
      </c>
      <c r="AP216" s="1">
        <f>IFERROR(__xludf.DUMMYFUNCTION("""COMPUTED_VALUE"""),175.59)</f>
        <v>175.59</v>
      </c>
      <c r="AQ216" s="3">
        <f>IFERROR(__xludf.DUMMYFUNCTION("""COMPUTED_VALUE"""),491.81)</f>
        <v>491.81</v>
      </c>
      <c r="AR216" s="3">
        <f>IFERROR(__xludf.DUMMYFUNCTION("""COMPUTED_VALUE"""),239.01)</f>
        <v>239.01</v>
      </c>
      <c r="AS216" s="3">
        <f>IFERROR(__xludf.DUMMYFUNCTION("""COMPUTED_VALUE"""),466.74)</f>
        <v>466.74</v>
      </c>
      <c r="AT216" s="3">
        <f>IFERROR(__xludf.DUMMYFUNCTION("""COMPUTED_VALUE"""),324.45)</f>
        <v>324.45</v>
      </c>
      <c r="AU216" s="1">
        <f>IFERROR(__xludf.DUMMYFUNCTION("""COMPUTED_VALUE"""),30.54)</f>
        <v>30.54</v>
      </c>
      <c r="AV216" s="1">
        <f>IFERROR(__xludf.DUMMYFUNCTION("""COMPUTED_VALUE"""),91.22)</f>
        <v>91.22</v>
      </c>
      <c r="AW216" s="1">
        <f>IFERROR(__xludf.DUMMYFUNCTION("""COMPUTED_VALUE"""),82.72)</f>
        <v>82.72</v>
      </c>
      <c r="AX216" s="3">
        <f>IFERROR(__xludf.DUMMYFUNCTION("""COMPUTED_VALUE"""),26.25)</f>
        <v>26.25</v>
      </c>
      <c r="AY216" s="1">
        <f>IFERROR(__xludf.DUMMYFUNCTION("""COMPUTED_VALUE"""),386.84)</f>
        <v>386.84</v>
      </c>
      <c r="AZ216" s="3">
        <f>IFERROR(__xludf.DUMMYFUNCTION("""COMPUTED_VALUE"""),71.15)</f>
        <v>71.15</v>
      </c>
      <c r="BA216" s="3">
        <f>IFERROR(__xludf.DUMMYFUNCTION("""COMPUTED_VALUE"""),99.64)</f>
        <v>99.64</v>
      </c>
      <c r="BB216" s="3">
        <f>IFERROR(__xludf.DUMMYFUNCTION("""COMPUTED_VALUE"""),118.53)</f>
        <v>118.53</v>
      </c>
      <c r="BC216" s="1">
        <f>IFERROR(__xludf.DUMMYFUNCTION("""COMPUTED_VALUE"""),101.9)</f>
        <v>101.9</v>
      </c>
      <c r="BD216" s="3">
        <f>IFERROR(__xludf.DUMMYFUNCTION("""COMPUTED_VALUE"""),45.56)</f>
        <v>45.56</v>
      </c>
      <c r="BE216" s="3">
        <f>IFERROR(__xludf.DUMMYFUNCTION("""COMPUTED_VALUE"""),87.39)</f>
        <v>87.39</v>
      </c>
      <c r="BF216" s="1">
        <f>IFERROR(__xludf.DUMMYFUNCTION("""COMPUTED_VALUE"""),69.67)</f>
        <v>69.67</v>
      </c>
      <c r="BG216" s="1">
        <f>IFERROR(__xludf.DUMMYFUNCTION("""COMPUTED_VALUE"""),26.19)</f>
        <v>26.19</v>
      </c>
      <c r="BH216" s="1">
        <f>IFERROR(__xludf.DUMMYFUNCTION("""COMPUTED_VALUE"""),134.47)</f>
        <v>134.47</v>
      </c>
      <c r="BI216" s="3">
        <f>IFERROR(__xludf.DUMMYFUNCTION("""COMPUTED_VALUE"""),38.49)</f>
        <v>38.49</v>
      </c>
      <c r="BJ216" s="1">
        <f>IFERROR(__xludf.DUMMYFUNCTION("""COMPUTED_VALUE"""),257.03)</f>
        <v>257.03</v>
      </c>
      <c r="BK216" s="1">
        <f>IFERROR(__xludf.DUMMYFUNCTION("""COMPUTED_VALUE"""),518.64)</f>
        <v>518.64</v>
      </c>
      <c r="BL216" s="1">
        <f>IFERROR(__xludf.DUMMYFUNCTION("""COMPUTED_VALUE"""),192.17)</f>
        <v>192.17</v>
      </c>
      <c r="BM216" s="1">
        <f>IFERROR(__xludf.DUMMYFUNCTION("""COMPUTED_VALUE"""),68.84)</f>
        <v>68.84</v>
      </c>
      <c r="BN216" s="3">
        <f>IFERROR(__xludf.DUMMYFUNCTION("""COMPUTED_VALUE"""),6.47)</f>
        <v>6.47</v>
      </c>
      <c r="BO216" s="1">
        <f>IFERROR(__xludf.DUMMYFUNCTION("""COMPUTED_VALUE"""),234.79)</f>
        <v>234.79</v>
      </c>
      <c r="BP216" s="1">
        <f>IFERROR(__xludf.DUMMYFUNCTION("""COMPUTED_VALUE"""),511.3)</f>
        <v>511.3</v>
      </c>
      <c r="BQ216" s="36">
        <f>IFERROR(__xludf.DUMMYFUNCTION("""COMPUTED_VALUE"""),49.57)</f>
        <v>49.57</v>
      </c>
      <c r="BR216" s="1">
        <f>IFERROR(__xludf.DUMMYFUNCTION("""COMPUTED_VALUE"""),9.44)</f>
        <v>9.44</v>
      </c>
      <c r="BS216" s="3">
        <f>IFERROR(__xludf.DUMMYFUNCTION("""COMPUTED_VALUE"""),226.9)</f>
        <v>226.9</v>
      </c>
      <c r="BT216" s="1">
        <f>IFERROR(__xludf.DUMMYFUNCTION("""COMPUTED_VALUE"""),98.86)</f>
        <v>98.86</v>
      </c>
      <c r="BU216" s="3">
        <v>1.0</v>
      </c>
    </row>
    <row r="217">
      <c r="A217" s="25">
        <f>IFERROR(__xludf.DUMMYFUNCTION("""COMPUTED_VALUE"""),45737.66666666667)</f>
        <v>45737.66667</v>
      </c>
      <c r="B217" s="29">
        <f>'Master Scratch Work'!B216</f>
        <v>1322819.46</v>
      </c>
      <c r="C217" s="15">
        <f>IFERROR(__xludf.DUMMYFUNCTION("""COMPUTED_VALUE"""),5667.56)</f>
        <v>5667.56</v>
      </c>
      <c r="D217" s="15">
        <f>IFERROR(__xludf.DUMMYFUNCTION("""COMPUTED_VALUE"""),17784.05)</f>
        <v>17784.05</v>
      </c>
      <c r="E217" s="15">
        <f>IFERROR(__xludf.DUMMYFUNCTION("""COMPUTED_VALUE"""),41985.35)</f>
        <v>41985.35</v>
      </c>
      <c r="F217" s="15">
        <f>IFERROR(__xludf.DUMMYFUNCTION("""COMPUTED_VALUE"""),2056.98)</f>
        <v>2056.98</v>
      </c>
      <c r="G217" s="3">
        <f>IFERROR(__xludf.DUMMYFUNCTION("""COMPUTED_VALUE"""),563.98)</f>
        <v>563.98</v>
      </c>
      <c r="H217" s="3">
        <f>IFERROR(__xludf.DUMMYFUNCTION("""COMPUTED_VALUE"""),480.84)</f>
        <v>480.84</v>
      </c>
      <c r="I217" s="3">
        <f>IFERROR(__xludf.DUMMYFUNCTION("""COMPUTED_VALUE"""),387.26)</f>
        <v>387.26</v>
      </c>
      <c r="J217" s="3">
        <f>IFERROR(__xludf.DUMMYFUNCTION("""COMPUTED_VALUE"""),196.21)</f>
        <v>196.21</v>
      </c>
      <c r="K217" s="3">
        <f>IFERROR(__xludf.DUMMYFUNCTION("""COMPUTED_VALUE"""),141.13)</f>
        <v>141.13</v>
      </c>
      <c r="L217" s="3">
        <f>IFERROR(__xludf.DUMMYFUNCTION("""COMPUTED_VALUE"""),218.27)</f>
        <v>218.27</v>
      </c>
      <c r="M217" s="3">
        <f>IFERROR(__xludf.DUMMYFUNCTION("""COMPUTED_VALUE"""),152.12)</f>
        <v>152.12</v>
      </c>
      <c r="N217" s="3">
        <f>IFERROR(__xludf.DUMMYFUNCTION("""COMPUTED_VALUE"""),83.55)</f>
        <v>83.55</v>
      </c>
      <c r="O217" s="3">
        <f>IFERROR(__xludf.DUMMYFUNCTION("""COMPUTED_VALUE"""),15.75)</f>
        <v>15.75</v>
      </c>
      <c r="P217" s="3">
        <f>IFERROR(__xludf.DUMMYFUNCTION("""COMPUTED_VALUE"""),521.91)</f>
        <v>521.91</v>
      </c>
      <c r="Q217" s="3">
        <f>IFERROR(__xludf.DUMMYFUNCTION("""COMPUTED_VALUE"""),49.15)</f>
        <v>49.15</v>
      </c>
      <c r="R217" s="3">
        <f>IFERROR(__xludf.DUMMYFUNCTION("""COMPUTED_VALUE"""),140.9)</f>
        <v>140.9</v>
      </c>
      <c r="S217" s="3">
        <f>IFERROR(__xludf.DUMMYFUNCTION("""COMPUTED_VALUE"""),100.69)</f>
        <v>100.69</v>
      </c>
      <c r="T217" s="3">
        <f>IFERROR(__xludf.DUMMYFUNCTION("""COMPUTED_VALUE"""),66.17)</f>
        <v>66.17</v>
      </c>
      <c r="U217" s="3">
        <f>IFERROR(__xludf.DUMMYFUNCTION("""COMPUTED_VALUE"""),335.78)</f>
        <v>335.78</v>
      </c>
      <c r="V217" s="3">
        <f>IFERROR(__xludf.DUMMYFUNCTION("""COMPUTED_VALUE"""),44.53)</f>
        <v>44.53</v>
      </c>
      <c r="W217" s="3">
        <f>IFERROR(__xludf.DUMMYFUNCTION("""COMPUTED_VALUE"""),227.97)</f>
        <v>227.97</v>
      </c>
      <c r="X217" s="3">
        <f>IFERROR(__xludf.DUMMYFUNCTION("""COMPUTED_VALUE"""),164.75)</f>
        <v>164.75</v>
      </c>
      <c r="Y217" s="1">
        <f>IFERROR(__xludf.DUMMYFUNCTION("""COMPUTED_VALUE"""),316.65)</f>
        <v>316.65</v>
      </c>
      <c r="Z217" s="1">
        <f>IFERROR(__xludf.DUMMYFUNCTION("""COMPUTED_VALUE"""),41.19)</f>
        <v>41.19</v>
      </c>
      <c r="AA217" s="1">
        <f>IFERROR(__xludf.DUMMYFUNCTION("""COMPUTED_VALUE"""),68.67)</f>
        <v>68.67</v>
      </c>
      <c r="AB217" s="1">
        <f>IFERROR(__xludf.DUMMYFUNCTION("""COMPUTED_VALUE"""),107.8)</f>
        <v>107.8</v>
      </c>
      <c r="AC217" s="1">
        <f>IFERROR(__xludf.DUMMYFUNCTION("""COMPUTED_VALUE"""),150.38)</f>
        <v>150.38</v>
      </c>
      <c r="AD217" s="3">
        <f>IFERROR(__xludf.DUMMYFUNCTION("""COMPUTED_VALUE"""),66.75)</f>
        <v>66.75</v>
      </c>
      <c r="AE217" s="1">
        <f>IFERROR(__xludf.DUMMYFUNCTION("""COMPUTED_VALUE"""),461.4)</f>
        <v>461.4</v>
      </c>
      <c r="AF217" s="1">
        <f>IFERROR(__xludf.DUMMYFUNCTION("""COMPUTED_VALUE"""),65.78)</f>
        <v>65.78</v>
      </c>
      <c r="AG217" s="1">
        <f>IFERROR(__xludf.DUMMYFUNCTION("""COMPUTED_VALUE"""),115.5)</f>
        <v>115.5</v>
      </c>
      <c r="AH217" s="1">
        <f>IFERROR(__xludf.DUMMYFUNCTION("""COMPUTED_VALUE"""),230.33)</f>
        <v>230.33</v>
      </c>
      <c r="AI217" s="1">
        <f>IFERROR(__xludf.DUMMYFUNCTION("""COMPUTED_VALUE"""),436.32)</f>
        <v>436.32</v>
      </c>
      <c r="AJ217" s="1">
        <f>IFERROR(__xludf.DUMMYFUNCTION("""COMPUTED_VALUE"""),263.41)</f>
        <v>263.41</v>
      </c>
      <c r="AK217" s="1">
        <f>IFERROR(__xludf.DUMMYFUNCTION("""COMPUTED_VALUE"""),49.8)</f>
        <v>49.8</v>
      </c>
      <c r="AL217" s="1">
        <f>IFERROR(__xludf.DUMMYFUNCTION("""COMPUTED_VALUE"""),107.08)</f>
        <v>107.08</v>
      </c>
      <c r="AM217" s="1">
        <f>IFERROR(__xludf.DUMMYFUNCTION("""COMPUTED_VALUE"""),565.14)</f>
        <v>565.14</v>
      </c>
      <c r="AN217" s="1">
        <f>IFERROR(__xludf.DUMMYFUNCTION("""COMPUTED_VALUE"""),351.15)</f>
        <v>351.15</v>
      </c>
      <c r="AO217" s="1">
        <f>IFERROR(__xludf.DUMMYFUNCTION("""COMPUTED_VALUE"""),140.87)</f>
        <v>140.87</v>
      </c>
      <c r="AP217" s="1">
        <f>IFERROR(__xludf.DUMMYFUNCTION("""COMPUTED_VALUE"""),174.39)</f>
        <v>174.39</v>
      </c>
      <c r="AQ217" s="3">
        <f>IFERROR(__xludf.DUMMYFUNCTION("""COMPUTED_VALUE"""),492.49)</f>
        <v>492.49</v>
      </c>
      <c r="AR217" s="3">
        <f>IFERROR(__xludf.DUMMYFUNCTION("""COMPUTED_VALUE"""),241.63)</f>
        <v>241.63</v>
      </c>
      <c r="AS217" s="3">
        <f>IFERROR(__xludf.DUMMYFUNCTION("""COMPUTED_VALUE"""),439.7)</f>
        <v>439.7</v>
      </c>
      <c r="AT217" s="3">
        <f>IFERROR(__xludf.DUMMYFUNCTION("""COMPUTED_VALUE"""),322.62)</f>
        <v>322.62</v>
      </c>
      <c r="AU217" s="1">
        <f>IFERROR(__xludf.DUMMYFUNCTION("""COMPUTED_VALUE"""),30.44)</f>
        <v>30.44</v>
      </c>
      <c r="AV217" s="1">
        <f>IFERROR(__xludf.DUMMYFUNCTION("""COMPUTED_VALUE"""),90.33)</f>
        <v>90.33</v>
      </c>
      <c r="AW217" s="1">
        <f>IFERROR(__xludf.DUMMYFUNCTION("""COMPUTED_VALUE"""),82.36)</f>
        <v>82.36</v>
      </c>
      <c r="AX217" s="3">
        <f>IFERROR(__xludf.DUMMYFUNCTION("""COMPUTED_VALUE"""),25.9)</f>
        <v>25.9</v>
      </c>
      <c r="AY217" s="1">
        <f>IFERROR(__xludf.DUMMYFUNCTION("""COMPUTED_VALUE"""),391.26)</f>
        <v>391.26</v>
      </c>
      <c r="AZ217" s="3">
        <f>IFERROR(__xludf.DUMMYFUNCTION("""COMPUTED_VALUE"""),70.88)</f>
        <v>70.88</v>
      </c>
      <c r="BA217" s="3">
        <f>IFERROR(__xludf.DUMMYFUNCTION("""COMPUTED_VALUE"""),100.66)</f>
        <v>100.66</v>
      </c>
      <c r="BB217" s="3">
        <f>IFERROR(__xludf.DUMMYFUNCTION("""COMPUTED_VALUE"""),117.7)</f>
        <v>117.7</v>
      </c>
      <c r="BC217" s="1">
        <f>IFERROR(__xludf.DUMMYFUNCTION("""COMPUTED_VALUE"""),101.21)</f>
        <v>101.21</v>
      </c>
      <c r="BD217" s="3">
        <f>IFERROR(__xludf.DUMMYFUNCTION("""COMPUTED_VALUE"""),46.25)</f>
        <v>46.25</v>
      </c>
      <c r="BE217" s="3">
        <f>IFERROR(__xludf.DUMMYFUNCTION("""COMPUTED_VALUE"""),90.96)</f>
        <v>90.96</v>
      </c>
      <c r="BF217" s="1">
        <f>IFERROR(__xludf.DUMMYFUNCTION("""COMPUTED_VALUE"""),70.19)</f>
        <v>70.19</v>
      </c>
      <c r="BG217" s="1">
        <f>IFERROR(__xludf.DUMMYFUNCTION("""COMPUTED_VALUE"""),26.28)</f>
        <v>26.28</v>
      </c>
      <c r="BH217" s="1">
        <f>IFERROR(__xludf.DUMMYFUNCTION("""COMPUTED_VALUE"""),132.37)</f>
        <v>132.37</v>
      </c>
      <c r="BI217" s="3">
        <f>IFERROR(__xludf.DUMMYFUNCTION("""COMPUTED_VALUE"""),38.11)</f>
        <v>38.11</v>
      </c>
      <c r="BJ217" s="1">
        <f>IFERROR(__xludf.DUMMYFUNCTION("""COMPUTED_VALUE"""),255.84)</f>
        <v>255.84</v>
      </c>
      <c r="BK217" s="1">
        <f>IFERROR(__xludf.DUMMYFUNCTION("""COMPUTED_VALUE"""),517.72)</f>
        <v>517.72</v>
      </c>
      <c r="BL217" s="1">
        <f>IFERROR(__xludf.DUMMYFUNCTION("""COMPUTED_VALUE"""),190.7)</f>
        <v>190.7</v>
      </c>
      <c r="BM217" s="1">
        <f>IFERROR(__xludf.DUMMYFUNCTION("""COMPUTED_VALUE"""),69.05)</f>
        <v>69.05</v>
      </c>
      <c r="BN217" s="3">
        <f>IFERROR(__xludf.DUMMYFUNCTION("""COMPUTED_VALUE"""),6.42)</f>
        <v>6.42</v>
      </c>
      <c r="BO217" s="1">
        <f>IFERROR(__xludf.DUMMYFUNCTION("""COMPUTED_VALUE"""),233.88)</f>
        <v>233.88</v>
      </c>
      <c r="BP217" s="1">
        <f>IFERROR(__xludf.DUMMYFUNCTION("""COMPUTED_VALUE"""),516.85)</f>
        <v>516.85</v>
      </c>
      <c r="BQ217" s="36">
        <f>IFERROR(__xludf.DUMMYFUNCTION("""COMPUTED_VALUE"""),49.62)</f>
        <v>49.62</v>
      </c>
      <c r="BR217" s="1">
        <f>IFERROR(__xludf.DUMMYFUNCTION("""COMPUTED_VALUE"""),9.15)</f>
        <v>9.15</v>
      </c>
      <c r="BS217" s="3">
        <f>IFERROR(__xludf.DUMMYFUNCTION("""COMPUTED_VALUE"""),224.91)</f>
        <v>224.91</v>
      </c>
      <c r="BT217" s="1">
        <f>IFERROR(__xludf.DUMMYFUNCTION("""COMPUTED_VALUE"""),99.46)</f>
        <v>99.46</v>
      </c>
      <c r="BU217" s="3">
        <v>1.0</v>
      </c>
    </row>
    <row r="218">
      <c r="A218" s="25">
        <f>IFERROR(__xludf.DUMMYFUNCTION("""COMPUTED_VALUE"""),45740.66666666667)</f>
        <v>45740.66667</v>
      </c>
      <c r="B218" s="29">
        <f>'Master Scratch Work'!B217</f>
        <v>1341203.07</v>
      </c>
      <c r="C218" s="15">
        <f>IFERROR(__xludf.DUMMYFUNCTION("""COMPUTED_VALUE"""),5767.57)</f>
        <v>5767.57</v>
      </c>
      <c r="D218" s="15">
        <f>IFERROR(__xludf.DUMMYFUNCTION("""COMPUTED_VALUE"""),18188.59)</f>
        <v>18188.59</v>
      </c>
      <c r="E218" s="15">
        <f>IFERROR(__xludf.DUMMYFUNCTION("""COMPUTED_VALUE"""),42583.32)</f>
        <v>42583.32</v>
      </c>
      <c r="F218" s="15">
        <f>IFERROR(__xludf.DUMMYFUNCTION("""COMPUTED_VALUE"""),2109.38)</f>
        <v>2109.38</v>
      </c>
      <c r="G218" s="3">
        <f>IFERROR(__xludf.DUMMYFUNCTION("""COMPUTED_VALUE"""),574.08)</f>
        <v>574.08</v>
      </c>
      <c r="H218" s="3">
        <f>IFERROR(__xludf.DUMMYFUNCTION("""COMPUTED_VALUE"""),490.66)</f>
        <v>490.66</v>
      </c>
      <c r="I218" s="3">
        <f>IFERROR(__xludf.DUMMYFUNCTION("""COMPUTED_VALUE"""),394.47)</f>
        <v>394.47</v>
      </c>
      <c r="J218" s="3">
        <f>IFERROR(__xludf.DUMMYFUNCTION("""COMPUTED_VALUE"""),203.26)</f>
        <v>203.26</v>
      </c>
      <c r="K218" s="3">
        <f>IFERROR(__xludf.DUMMYFUNCTION("""COMPUTED_VALUE"""),139.7)</f>
        <v>139.7</v>
      </c>
      <c r="L218" s="3">
        <f>IFERROR(__xludf.DUMMYFUNCTION("""COMPUTED_VALUE"""),220.73)</f>
        <v>220.73</v>
      </c>
      <c r="M218" s="3">
        <f>IFERROR(__xludf.DUMMYFUNCTION("""COMPUTED_VALUE"""),154.95)</f>
        <v>154.95</v>
      </c>
      <c r="N218" s="3">
        <f>IFERROR(__xludf.DUMMYFUNCTION("""COMPUTED_VALUE"""),84.7)</f>
        <v>84.7</v>
      </c>
      <c r="O218" s="3">
        <f>IFERROR(__xludf.DUMMYFUNCTION("""COMPUTED_VALUE"""),15.99)</f>
        <v>15.99</v>
      </c>
      <c r="P218" s="3">
        <f>IFERROR(__xludf.DUMMYFUNCTION("""COMPUTED_VALUE"""),525.85)</f>
        <v>525.85</v>
      </c>
      <c r="Q218" s="3">
        <f>IFERROR(__xludf.DUMMYFUNCTION("""COMPUTED_VALUE"""),49.3)</f>
        <v>49.3</v>
      </c>
      <c r="R218" s="3">
        <f>IFERROR(__xludf.DUMMYFUNCTION("""COMPUTED_VALUE"""),141.6)</f>
        <v>141.6</v>
      </c>
      <c r="S218" s="3">
        <f>IFERROR(__xludf.DUMMYFUNCTION("""COMPUTED_VALUE"""),102.67)</f>
        <v>102.67</v>
      </c>
      <c r="T218" s="3">
        <f>IFERROR(__xludf.DUMMYFUNCTION("""COMPUTED_VALUE"""),67.96)</f>
        <v>67.96</v>
      </c>
      <c r="U218" s="3">
        <f>IFERROR(__xludf.DUMMYFUNCTION("""COMPUTED_VALUE"""),341.67)</f>
        <v>341.67</v>
      </c>
      <c r="V218" s="3">
        <f>IFERROR(__xludf.DUMMYFUNCTION("""COMPUTED_VALUE"""),45.74)</f>
        <v>45.74</v>
      </c>
      <c r="W218" s="3">
        <f>IFERROR(__xludf.DUMMYFUNCTION("""COMPUTED_VALUE"""),228.05)</f>
        <v>228.05</v>
      </c>
      <c r="X218" s="3">
        <f>IFERROR(__xludf.DUMMYFUNCTION("""COMPUTED_VALUE"""),165.02)</f>
        <v>165.02</v>
      </c>
      <c r="Y218" s="1">
        <f>IFERROR(__xludf.DUMMYFUNCTION("""COMPUTED_VALUE"""),320.4)</f>
        <v>320.4</v>
      </c>
      <c r="Z218" s="1">
        <f>IFERROR(__xludf.DUMMYFUNCTION("""COMPUTED_VALUE"""),42.24)</f>
        <v>42.24</v>
      </c>
      <c r="AA218" s="1">
        <f>IFERROR(__xludf.DUMMYFUNCTION("""COMPUTED_VALUE"""),68.95)</f>
        <v>68.95</v>
      </c>
      <c r="AB218" s="1">
        <f>IFERROR(__xludf.DUMMYFUNCTION("""COMPUTED_VALUE"""),106.83)</f>
        <v>106.83</v>
      </c>
      <c r="AC218" s="1">
        <f>IFERROR(__xludf.DUMMYFUNCTION("""COMPUTED_VALUE"""),155.49)</f>
        <v>155.49</v>
      </c>
      <c r="AD218" s="3">
        <f>IFERROR(__xludf.DUMMYFUNCTION("""COMPUTED_VALUE"""),69.74)</f>
        <v>69.74</v>
      </c>
      <c r="AE218" s="1">
        <f>IFERROR(__xludf.DUMMYFUNCTION("""COMPUTED_VALUE"""),466.04)</f>
        <v>466.04</v>
      </c>
      <c r="AF218" s="1">
        <f>IFERROR(__xludf.DUMMYFUNCTION("""COMPUTED_VALUE"""),66.54)</f>
        <v>66.54</v>
      </c>
      <c r="AG218" s="1">
        <f>IFERROR(__xludf.DUMMYFUNCTION("""COMPUTED_VALUE"""),115.8)</f>
        <v>115.8</v>
      </c>
      <c r="AH218" s="1">
        <f>IFERROR(__xludf.DUMMYFUNCTION("""COMPUTED_VALUE"""),242.32)</f>
        <v>242.32</v>
      </c>
      <c r="AI218" s="1">
        <f>IFERROR(__xludf.DUMMYFUNCTION("""COMPUTED_VALUE"""),435.83)</f>
        <v>435.83</v>
      </c>
      <c r="AJ218" s="1">
        <f>IFERROR(__xludf.DUMMYFUNCTION("""COMPUTED_VALUE"""),265.88)</f>
        <v>265.88</v>
      </c>
      <c r="AK218" s="1">
        <f>IFERROR(__xludf.DUMMYFUNCTION("""COMPUTED_VALUE"""),51.46)</f>
        <v>51.46</v>
      </c>
      <c r="AL218" s="1">
        <f>IFERROR(__xludf.DUMMYFUNCTION("""COMPUTED_VALUE"""),106.74)</f>
        <v>106.74</v>
      </c>
      <c r="AM218" s="1">
        <f>IFERROR(__xludf.DUMMYFUNCTION("""COMPUTED_VALUE"""),580.1)</f>
        <v>580.1</v>
      </c>
      <c r="AN218" s="1">
        <f>IFERROR(__xludf.DUMMYFUNCTION("""COMPUTED_VALUE"""),363.77)</f>
        <v>363.77</v>
      </c>
      <c r="AO218" s="1">
        <f>IFERROR(__xludf.DUMMYFUNCTION("""COMPUTED_VALUE"""),142.87)</f>
        <v>142.87</v>
      </c>
      <c r="AP218" s="1">
        <f>IFERROR(__xludf.DUMMYFUNCTION("""COMPUTED_VALUE"""),175.25)</f>
        <v>175.25</v>
      </c>
      <c r="AQ218" s="3">
        <f>IFERROR(__xludf.DUMMYFUNCTION("""COMPUTED_VALUE"""),508.58)</f>
        <v>508.58</v>
      </c>
      <c r="AR218" s="3">
        <f>IFERROR(__xludf.DUMMYFUNCTION("""COMPUTED_VALUE"""),248.06)</f>
        <v>248.06</v>
      </c>
      <c r="AS218" s="3">
        <f>IFERROR(__xludf.DUMMYFUNCTION("""COMPUTED_VALUE"""),434.98)</f>
        <v>434.98</v>
      </c>
      <c r="AT218" s="3">
        <f>IFERROR(__xludf.DUMMYFUNCTION("""COMPUTED_VALUE"""),334.96)</f>
        <v>334.96</v>
      </c>
      <c r="AU218" s="1">
        <f>IFERROR(__xludf.DUMMYFUNCTION("""COMPUTED_VALUE"""),31.36)</f>
        <v>31.36</v>
      </c>
      <c r="AV218" s="1">
        <f>IFERROR(__xludf.DUMMYFUNCTION("""COMPUTED_VALUE"""),90.13)</f>
        <v>90.13</v>
      </c>
      <c r="AW218" s="1">
        <f>IFERROR(__xludf.DUMMYFUNCTION("""COMPUTED_VALUE"""),84.18)</f>
        <v>84.18</v>
      </c>
      <c r="AX218" s="3">
        <f>IFERROR(__xludf.DUMMYFUNCTION("""COMPUTED_VALUE"""),26.46)</f>
        <v>26.46</v>
      </c>
      <c r="AY218" s="1">
        <f>IFERROR(__xludf.DUMMYFUNCTION("""COMPUTED_VALUE"""),393.08)</f>
        <v>393.08</v>
      </c>
      <c r="AZ218" s="3">
        <f>IFERROR(__xludf.DUMMYFUNCTION("""COMPUTED_VALUE"""),70.07)</f>
        <v>70.07</v>
      </c>
      <c r="BA218" s="3">
        <f>IFERROR(__xludf.DUMMYFUNCTION("""COMPUTED_VALUE"""),102.86)</f>
        <v>102.86</v>
      </c>
      <c r="BB218" s="3">
        <f>IFERROR(__xludf.DUMMYFUNCTION("""COMPUTED_VALUE"""),121.41)</f>
        <v>121.41</v>
      </c>
      <c r="BC218" s="1">
        <f>IFERROR(__xludf.DUMMYFUNCTION("""COMPUTED_VALUE"""),101.38)</f>
        <v>101.38</v>
      </c>
      <c r="BD218" s="3">
        <f>IFERROR(__xludf.DUMMYFUNCTION("""COMPUTED_VALUE"""),48.32)</f>
        <v>48.32</v>
      </c>
      <c r="BE218" s="3">
        <f>IFERROR(__xludf.DUMMYFUNCTION("""COMPUTED_VALUE"""),96.75)</f>
        <v>96.75</v>
      </c>
      <c r="BF218" s="1">
        <f>IFERROR(__xludf.DUMMYFUNCTION("""COMPUTED_VALUE"""),70.97)</f>
        <v>70.97</v>
      </c>
      <c r="BG218" s="1">
        <f>IFERROR(__xludf.DUMMYFUNCTION("""COMPUTED_VALUE"""),26.14)</f>
        <v>26.14</v>
      </c>
      <c r="BH218" s="1">
        <f>IFERROR(__xludf.DUMMYFUNCTION("""COMPUTED_VALUE"""),134.69)</f>
        <v>134.69</v>
      </c>
      <c r="BI218" s="3">
        <f>IFERROR(__xludf.DUMMYFUNCTION("""COMPUTED_VALUE"""),39.34)</f>
        <v>39.34</v>
      </c>
      <c r="BJ218" s="1">
        <f>IFERROR(__xludf.DUMMYFUNCTION("""COMPUTED_VALUE"""),258.96)</f>
        <v>258.96</v>
      </c>
      <c r="BK218" s="1">
        <f>IFERROR(__xludf.DUMMYFUNCTION("""COMPUTED_VALUE"""),519.9)</f>
        <v>519.9</v>
      </c>
      <c r="BL218" s="1">
        <f>IFERROR(__xludf.DUMMYFUNCTION("""COMPUTED_VALUE"""),192.47)</f>
        <v>192.47</v>
      </c>
      <c r="BM218" s="1">
        <f>IFERROR(__xludf.DUMMYFUNCTION("""COMPUTED_VALUE"""),71.47)</f>
        <v>71.47</v>
      </c>
      <c r="BN218" s="3">
        <f>IFERROR(__xludf.DUMMYFUNCTION("""COMPUTED_VALUE"""),6.61)</f>
        <v>6.61</v>
      </c>
      <c r="BO218" s="1">
        <f>IFERROR(__xludf.DUMMYFUNCTION("""COMPUTED_VALUE"""),235.2)</f>
        <v>235.2</v>
      </c>
      <c r="BP218" s="1">
        <f>IFERROR(__xludf.DUMMYFUNCTION("""COMPUTED_VALUE"""),516.5)</f>
        <v>516.5</v>
      </c>
      <c r="BQ218" s="36">
        <f>IFERROR(__xludf.DUMMYFUNCTION("""COMPUTED_VALUE"""),49.56)</f>
        <v>49.56</v>
      </c>
      <c r="BR218" s="1">
        <f>IFERROR(__xludf.DUMMYFUNCTION("""COMPUTED_VALUE"""),9.3)</f>
        <v>9.3</v>
      </c>
      <c r="BS218" s="3">
        <f>IFERROR(__xludf.DUMMYFUNCTION("""COMPUTED_VALUE"""),226.24)</f>
        <v>226.24</v>
      </c>
      <c r="BT218" s="1">
        <f>IFERROR(__xludf.DUMMYFUNCTION("""COMPUTED_VALUE"""),100.18)</f>
        <v>100.18</v>
      </c>
      <c r="BU218" s="3">
        <v>1.0</v>
      </c>
    </row>
    <row r="219">
      <c r="A219" s="25">
        <f>IFERROR(__xludf.DUMMYFUNCTION("""COMPUTED_VALUE"""),45741.66666666667)</f>
        <v>45741.66667</v>
      </c>
      <c r="B219" s="29">
        <f>'Master Scratch Work'!B218</f>
        <v>1343530.25</v>
      </c>
      <c r="C219" s="15">
        <f>IFERROR(__xludf.DUMMYFUNCTION("""COMPUTED_VALUE"""),5776.65)</f>
        <v>5776.65</v>
      </c>
      <c r="D219" s="15">
        <f>IFERROR(__xludf.DUMMYFUNCTION("""COMPUTED_VALUE"""),18271.86)</f>
        <v>18271.86</v>
      </c>
      <c r="E219" s="15">
        <f>IFERROR(__xludf.DUMMYFUNCTION("""COMPUTED_VALUE"""),42587.5)</f>
        <v>42587.5</v>
      </c>
      <c r="F219" s="15">
        <f>IFERROR(__xludf.DUMMYFUNCTION("""COMPUTED_VALUE"""),2095.38)</f>
        <v>2095.38</v>
      </c>
      <c r="G219" s="3">
        <f>IFERROR(__xludf.DUMMYFUNCTION("""COMPUTED_VALUE"""),575.46)</f>
        <v>575.46</v>
      </c>
      <c r="H219" s="3">
        <f>IFERROR(__xludf.DUMMYFUNCTION("""COMPUTED_VALUE"""),493.46)</f>
        <v>493.46</v>
      </c>
      <c r="I219" s="3">
        <f>IFERROR(__xludf.DUMMYFUNCTION("""COMPUTED_VALUE"""),403.64)</f>
        <v>403.64</v>
      </c>
      <c r="J219" s="3">
        <f>IFERROR(__xludf.DUMMYFUNCTION("""COMPUTED_VALUE"""),205.71)</f>
        <v>205.71</v>
      </c>
      <c r="K219" s="3">
        <f>IFERROR(__xludf.DUMMYFUNCTION("""COMPUTED_VALUE"""),139.16)</f>
        <v>139.16</v>
      </c>
      <c r="L219" s="3">
        <f>IFERROR(__xludf.DUMMYFUNCTION("""COMPUTED_VALUE"""),223.75)</f>
        <v>223.75</v>
      </c>
      <c r="M219" s="3">
        <f>IFERROR(__xludf.DUMMYFUNCTION("""COMPUTED_VALUE"""),153.64)</f>
        <v>153.64</v>
      </c>
      <c r="N219" s="3">
        <f>IFERROR(__xludf.DUMMYFUNCTION("""COMPUTED_VALUE"""),85.25)</f>
        <v>85.25</v>
      </c>
      <c r="O219" s="3">
        <f>IFERROR(__xludf.DUMMYFUNCTION("""COMPUTED_VALUE"""),16.25)</f>
        <v>16.25</v>
      </c>
      <c r="P219" s="3">
        <f>IFERROR(__xludf.DUMMYFUNCTION("""COMPUTED_VALUE"""),528.87)</f>
        <v>528.87</v>
      </c>
      <c r="Q219" s="3">
        <f>IFERROR(__xludf.DUMMYFUNCTION("""COMPUTED_VALUE"""),49.65)</f>
        <v>49.65</v>
      </c>
      <c r="R219" s="3">
        <f>IFERROR(__xludf.DUMMYFUNCTION("""COMPUTED_VALUE"""),139.16)</f>
        <v>139.16</v>
      </c>
      <c r="S219" s="3">
        <f>IFERROR(__xludf.DUMMYFUNCTION("""COMPUTED_VALUE"""),103.08)</f>
        <v>103.08</v>
      </c>
      <c r="T219" s="3">
        <f>IFERROR(__xludf.DUMMYFUNCTION("""COMPUTED_VALUE"""),68.11)</f>
        <v>68.11</v>
      </c>
      <c r="U219" s="3">
        <f>IFERROR(__xludf.DUMMYFUNCTION("""COMPUTED_VALUE"""),342.62)</f>
        <v>342.62</v>
      </c>
      <c r="V219" s="3">
        <f>IFERROR(__xludf.DUMMYFUNCTION("""COMPUTED_VALUE"""),44.48)</f>
        <v>44.48</v>
      </c>
      <c r="W219" s="3">
        <f>IFERROR(__xludf.DUMMYFUNCTION("""COMPUTED_VALUE"""),230.58)</f>
        <v>230.58</v>
      </c>
      <c r="X219" s="3">
        <f>IFERROR(__xludf.DUMMYFUNCTION("""COMPUTED_VALUE"""),165.94)</f>
        <v>165.94</v>
      </c>
      <c r="Y219" s="1">
        <f>IFERROR(__xludf.DUMMYFUNCTION("""COMPUTED_VALUE"""),316.84)</f>
        <v>316.84</v>
      </c>
      <c r="Z219" s="1">
        <f>IFERROR(__xludf.DUMMYFUNCTION("""COMPUTED_VALUE"""),42.27)</f>
        <v>42.27</v>
      </c>
      <c r="AA219" s="1">
        <f>IFERROR(__xludf.DUMMYFUNCTION("""COMPUTED_VALUE"""),68.81)</f>
        <v>68.81</v>
      </c>
      <c r="AB219" s="1">
        <f>IFERROR(__xludf.DUMMYFUNCTION("""COMPUTED_VALUE"""),105.55)</f>
        <v>105.55</v>
      </c>
      <c r="AC219" s="1">
        <f>IFERROR(__xludf.DUMMYFUNCTION("""COMPUTED_VALUE"""),151.42)</f>
        <v>151.42</v>
      </c>
      <c r="AD219" s="3">
        <f>IFERROR(__xludf.DUMMYFUNCTION("""COMPUTED_VALUE"""),67.14)</f>
        <v>67.14</v>
      </c>
      <c r="AE219" s="1">
        <f>IFERROR(__xludf.DUMMYFUNCTION("""COMPUTED_VALUE"""),460.27)</f>
        <v>460.27</v>
      </c>
      <c r="AF219" s="1">
        <f>IFERROR(__xludf.DUMMYFUNCTION("""COMPUTED_VALUE"""),66.3)</f>
        <v>66.3</v>
      </c>
      <c r="AG219" s="1">
        <f>IFERROR(__xludf.DUMMYFUNCTION("""COMPUTED_VALUE"""),116.59)</f>
        <v>116.59</v>
      </c>
      <c r="AH219" s="1">
        <f>IFERROR(__xludf.DUMMYFUNCTION("""COMPUTED_VALUE"""),241.07)</f>
        <v>241.07</v>
      </c>
      <c r="AI219" s="1">
        <f>IFERROR(__xludf.DUMMYFUNCTION("""COMPUTED_VALUE"""),433.98)</f>
        <v>433.98</v>
      </c>
      <c r="AJ219" s="1">
        <f>IFERROR(__xludf.DUMMYFUNCTION("""COMPUTED_VALUE"""),267.54)</f>
        <v>267.54</v>
      </c>
      <c r="AK219" s="1">
        <f>IFERROR(__xludf.DUMMYFUNCTION("""COMPUTED_VALUE"""),52.59)</f>
        <v>52.59</v>
      </c>
      <c r="AL219" s="1">
        <f>IFERROR(__xludf.DUMMYFUNCTION("""COMPUTED_VALUE"""),107.89)</f>
        <v>107.89</v>
      </c>
      <c r="AM219" s="1">
        <f>IFERROR(__xludf.DUMMYFUNCTION("""COMPUTED_VALUE"""),585.94)</f>
        <v>585.94</v>
      </c>
      <c r="AN219" s="1">
        <f>IFERROR(__xludf.DUMMYFUNCTION("""COMPUTED_VALUE"""),360.99)</f>
        <v>360.99</v>
      </c>
      <c r="AO219" s="1">
        <f>IFERROR(__xludf.DUMMYFUNCTION("""COMPUTED_VALUE"""),145.0)</f>
        <v>145</v>
      </c>
      <c r="AP219" s="1">
        <f>IFERROR(__xludf.DUMMYFUNCTION("""COMPUTED_VALUE"""),175.63)</f>
        <v>175.63</v>
      </c>
      <c r="AQ219" s="3">
        <f>IFERROR(__xludf.DUMMYFUNCTION("""COMPUTED_VALUE"""),519.81)</f>
        <v>519.81</v>
      </c>
      <c r="AR219" s="3">
        <f>IFERROR(__xludf.DUMMYFUNCTION("""COMPUTED_VALUE"""),251.13)</f>
        <v>251.13</v>
      </c>
      <c r="AS219" s="3">
        <f>IFERROR(__xludf.DUMMYFUNCTION("""COMPUTED_VALUE"""),442.07)</f>
        <v>442.07</v>
      </c>
      <c r="AT219" s="3">
        <f>IFERROR(__xludf.DUMMYFUNCTION("""COMPUTED_VALUE"""),337.35)</f>
        <v>337.35</v>
      </c>
      <c r="AU219" s="1">
        <f>IFERROR(__xludf.DUMMYFUNCTION("""COMPUTED_VALUE"""),31.41)</f>
        <v>31.41</v>
      </c>
      <c r="AV219" s="1">
        <f>IFERROR(__xludf.DUMMYFUNCTION("""COMPUTED_VALUE"""),88.59)</f>
        <v>88.59</v>
      </c>
      <c r="AW219" s="1">
        <f>IFERROR(__xludf.DUMMYFUNCTION("""COMPUTED_VALUE"""),83.74)</f>
        <v>83.74</v>
      </c>
      <c r="AX219" s="3">
        <f>IFERROR(__xludf.DUMMYFUNCTION("""COMPUTED_VALUE"""),26.93)</f>
        <v>26.93</v>
      </c>
      <c r="AY219" s="1">
        <f>IFERROR(__xludf.DUMMYFUNCTION("""COMPUTED_VALUE"""),395.16)</f>
        <v>395.16</v>
      </c>
      <c r="AZ219" s="3">
        <f>IFERROR(__xludf.DUMMYFUNCTION("""COMPUTED_VALUE"""),68.59)</f>
        <v>68.59</v>
      </c>
      <c r="BA219" s="3">
        <f>IFERROR(__xludf.DUMMYFUNCTION("""COMPUTED_VALUE"""),102.27)</f>
        <v>102.27</v>
      </c>
      <c r="BB219" s="3">
        <f>IFERROR(__xludf.DUMMYFUNCTION("""COMPUTED_VALUE"""),120.69)</f>
        <v>120.69</v>
      </c>
      <c r="BC219" s="1">
        <f>IFERROR(__xludf.DUMMYFUNCTION("""COMPUTED_VALUE"""),101.4)</f>
        <v>101.4</v>
      </c>
      <c r="BD219" s="3">
        <f>IFERROR(__xludf.DUMMYFUNCTION("""COMPUTED_VALUE"""),47.97)</f>
        <v>47.97</v>
      </c>
      <c r="BE219" s="3">
        <f>IFERROR(__xludf.DUMMYFUNCTION("""COMPUTED_VALUE"""),96.5)</f>
        <v>96.5</v>
      </c>
      <c r="BF219" s="1">
        <f>IFERROR(__xludf.DUMMYFUNCTION("""COMPUTED_VALUE"""),70.86)</f>
        <v>70.86</v>
      </c>
      <c r="BG219" s="1">
        <f>IFERROR(__xludf.DUMMYFUNCTION("""COMPUTED_VALUE"""),25.55)</f>
        <v>25.55</v>
      </c>
      <c r="BH219" s="1">
        <f>IFERROR(__xludf.DUMMYFUNCTION("""COMPUTED_VALUE"""),135.66)</f>
        <v>135.66</v>
      </c>
      <c r="BI219" s="3">
        <f>IFERROR(__xludf.DUMMYFUNCTION("""COMPUTED_VALUE"""),38.45)</f>
        <v>38.45</v>
      </c>
      <c r="BJ219" s="1">
        <f>IFERROR(__xludf.DUMMYFUNCTION("""COMPUTED_VALUE"""),258.75)</f>
        <v>258.75</v>
      </c>
      <c r="BK219" s="1">
        <f>IFERROR(__xludf.DUMMYFUNCTION("""COMPUTED_VALUE"""),514.34)</f>
        <v>514.34</v>
      </c>
      <c r="BL219" s="1">
        <f>IFERROR(__xludf.DUMMYFUNCTION("""COMPUTED_VALUE"""),193.01)</f>
        <v>193.01</v>
      </c>
      <c r="BM219" s="1">
        <f>IFERROR(__xludf.DUMMYFUNCTION("""COMPUTED_VALUE"""),70.79)</f>
        <v>70.79</v>
      </c>
      <c r="BN219" s="3">
        <f>IFERROR(__xludf.DUMMYFUNCTION("""COMPUTED_VALUE"""),6.39)</f>
        <v>6.39</v>
      </c>
      <c r="BO219" s="1">
        <f>IFERROR(__xludf.DUMMYFUNCTION("""COMPUTED_VALUE"""),235.79)</f>
        <v>235.79</v>
      </c>
      <c r="BP219" s="1">
        <f>IFERROR(__xludf.DUMMYFUNCTION("""COMPUTED_VALUE"""),513.43)</f>
        <v>513.43</v>
      </c>
      <c r="BQ219" s="36">
        <f>IFERROR(__xludf.DUMMYFUNCTION("""COMPUTED_VALUE"""),49.62)</f>
        <v>49.62</v>
      </c>
      <c r="BR219" s="1">
        <f>IFERROR(__xludf.DUMMYFUNCTION("""COMPUTED_VALUE"""),8.95)</f>
        <v>8.95</v>
      </c>
      <c r="BS219" s="3">
        <f>IFERROR(__xludf.DUMMYFUNCTION("""COMPUTED_VALUE"""),227.07)</f>
        <v>227.07</v>
      </c>
      <c r="BT219" s="1">
        <f>IFERROR(__xludf.DUMMYFUNCTION("""COMPUTED_VALUE"""),101.61)</f>
        <v>101.61</v>
      </c>
      <c r="BU219" s="3">
        <v>1.0</v>
      </c>
    </row>
    <row r="220">
      <c r="A220" s="25">
        <f>IFERROR(__xludf.DUMMYFUNCTION("""COMPUTED_VALUE"""),45742.66666666667)</f>
        <v>45742.66667</v>
      </c>
      <c r="B220" s="29">
        <f>'Master Scratch Work'!B219</f>
        <v>1337566.87</v>
      </c>
      <c r="C220" s="15">
        <f>IFERROR(__xludf.DUMMYFUNCTION("""COMPUTED_VALUE"""),5712.2)</f>
        <v>5712.2</v>
      </c>
      <c r="D220" s="15">
        <f>IFERROR(__xludf.DUMMYFUNCTION("""COMPUTED_VALUE"""),17899.02)</f>
        <v>17899.02</v>
      </c>
      <c r="E220" s="15">
        <f>IFERROR(__xludf.DUMMYFUNCTION("""COMPUTED_VALUE"""),42454.79)</f>
        <v>42454.79</v>
      </c>
      <c r="F220" s="15">
        <f>IFERROR(__xludf.DUMMYFUNCTION("""COMPUTED_VALUE"""),2073.83)</f>
        <v>2073.83</v>
      </c>
      <c r="G220" s="3">
        <f>IFERROR(__xludf.DUMMYFUNCTION("""COMPUTED_VALUE"""),568.59)</f>
        <v>568.59</v>
      </c>
      <c r="H220" s="3">
        <f>IFERROR(__xludf.DUMMYFUNCTION("""COMPUTED_VALUE"""),484.38)</f>
        <v>484.38</v>
      </c>
      <c r="I220" s="3">
        <f>IFERROR(__xludf.DUMMYFUNCTION("""COMPUTED_VALUE"""),397.81)</f>
        <v>397.81</v>
      </c>
      <c r="J220" s="3">
        <f>IFERROR(__xludf.DUMMYFUNCTION("""COMPUTED_VALUE"""),201.13)</f>
        <v>201.13</v>
      </c>
      <c r="K220" s="3">
        <f>IFERROR(__xludf.DUMMYFUNCTION("""COMPUTED_VALUE"""),141.13)</f>
        <v>141.13</v>
      </c>
      <c r="L220" s="3">
        <f>IFERROR(__xludf.DUMMYFUNCTION("""COMPUTED_VALUE"""),221.53)</f>
        <v>221.53</v>
      </c>
      <c r="M220" s="3">
        <f>IFERROR(__xludf.DUMMYFUNCTION("""COMPUTED_VALUE"""),150.68)</f>
        <v>150.68</v>
      </c>
      <c r="N220" s="3">
        <f>IFERROR(__xludf.DUMMYFUNCTION("""COMPUTED_VALUE"""),85.09)</f>
        <v>85.09</v>
      </c>
      <c r="O220" s="3">
        <f>IFERROR(__xludf.DUMMYFUNCTION("""COMPUTED_VALUE"""),16.06)</f>
        <v>16.06</v>
      </c>
      <c r="P220" s="3">
        <f>IFERROR(__xludf.DUMMYFUNCTION("""COMPUTED_VALUE"""),533.21)</f>
        <v>533.21</v>
      </c>
      <c r="Q220" s="3">
        <f>IFERROR(__xludf.DUMMYFUNCTION("""COMPUTED_VALUE"""),49.82)</f>
        <v>49.82</v>
      </c>
      <c r="R220" s="3">
        <f>IFERROR(__xludf.DUMMYFUNCTION("""COMPUTED_VALUE"""),142.43)</f>
        <v>142.43</v>
      </c>
      <c r="S220" s="3">
        <f>IFERROR(__xludf.DUMMYFUNCTION("""COMPUTED_VALUE"""),102.34)</f>
        <v>102.34</v>
      </c>
      <c r="T220" s="3">
        <f>IFERROR(__xludf.DUMMYFUNCTION("""COMPUTED_VALUE"""),66.97)</f>
        <v>66.97</v>
      </c>
      <c r="U220" s="3">
        <f>IFERROR(__xludf.DUMMYFUNCTION("""COMPUTED_VALUE"""),341.11)</f>
        <v>341.11</v>
      </c>
      <c r="V220" s="3">
        <f>IFERROR(__xludf.DUMMYFUNCTION("""COMPUTED_VALUE"""),43.25)</f>
        <v>43.25</v>
      </c>
      <c r="W220" s="3">
        <f>IFERROR(__xludf.DUMMYFUNCTION("""COMPUTED_VALUE"""),227.87)</f>
        <v>227.87</v>
      </c>
      <c r="X220" s="3">
        <f>IFERROR(__xludf.DUMMYFUNCTION("""COMPUTED_VALUE"""),167.97)</f>
        <v>167.97</v>
      </c>
      <c r="Y220" s="1">
        <f>IFERROR(__xludf.DUMMYFUNCTION("""COMPUTED_VALUE"""),321.23)</f>
        <v>321.23</v>
      </c>
      <c r="Z220" s="1">
        <f>IFERROR(__xludf.DUMMYFUNCTION("""COMPUTED_VALUE"""),41.99)</f>
        <v>41.99</v>
      </c>
      <c r="AA220" s="1">
        <f>IFERROR(__xludf.DUMMYFUNCTION("""COMPUTED_VALUE"""),70.02)</f>
        <v>70.02</v>
      </c>
      <c r="AB220" s="1">
        <f>IFERROR(__xludf.DUMMYFUNCTION("""COMPUTED_VALUE"""),107.46)</f>
        <v>107.46</v>
      </c>
      <c r="AC220" s="1">
        <f>IFERROR(__xludf.DUMMYFUNCTION("""COMPUTED_VALUE"""),149.4)</f>
        <v>149.4</v>
      </c>
      <c r="AD220" s="3">
        <f>IFERROR(__xludf.DUMMYFUNCTION("""COMPUTED_VALUE"""),69.21)</f>
        <v>69.21</v>
      </c>
      <c r="AE220" s="1">
        <f>IFERROR(__xludf.DUMMYFUNCTION("""COMPUTED_VALUE"""),466.84)</f>
        <v>466.84</v>
      </c>
      <c r="AF220" s="1">
        <f>IFERROR(__xludf.DUMMYFUNCTION("""COMPUTED_VALUE"""),65.58)</f>
        <v>65.58</v>
      </c>
      <c r="AG220" s="1">
        <f>IFERROR(__xludf.DUMMYFUNCTION("""COMPUTED_VALUE"""),118.27)</f>
        <v>118.27</v>
      </c>
      <c r="AH220" s="1">
        <f>IFERROR(__xludf.DUMMYFUNCTION("""COMPUTED_VALUE"""),243.67)</f>
        <v>243.67</v>
      </c>
      <c r="AI220" s="1">
        <f>IFERROR(__xludf.DUMMYFUNCTION("""COMPUTED_VALUE"""),413.73)</f>
        <v>413.73</v>
      </c>
      <c r="AJ220" s="1">
        <f>IFERROR(__xludf.DUMMYFUNCTION("""COMPUTED_VALUE"""),269.58)</f>
        <v>269.58</v>
      </c>
      <c r="AK220" s="1">
        <f>IFERROR(__xludf.DUMMYFUNCTION("""COMPUTED_VALUE"""),50.95)</f>
        <v>50.95</v>
      </c>
      <c r="AL220" s="1">
        <f>IFERROR(__xludf.DUMMYFUNCTION("""COMPUTED_VALUE"""),109.27)</f>
        <v>109.27</v>
      </c>
      <c r="AM220" s="1">
        <f>IFERROR(__xludf.DUMMYFUNCTION("""COMPUTED_VALUE"""),573.92)</f>
        <v>573.92</v>
      </c>
      <c r="AN220" s="1">
        <f>IFERROR(__xludf.DUMMYFUNCTION("""COMPUTED_VALUE"""),362.13)</f>
        <v>362.13</v>
      </c>
      <c r="AO220" s="1">
        <f>IFERROR(__xludf.DUMMYFUNCTION("""COMPUTED_VALUE"""),142.51)</f>
        <v>142.51</v>
      </c>
      <c r="AP220" s="1">
        <f>IFERROR(__xludf.DUMMYFUNCTION("""COMPUTED_VALUE"""),175.76)</f>
        <v>175.76</v>
      </c>
      <c r="AQ220" s="3">
        <f>IFERROR(__xludf.DUMMYFUNCTION("""COMPUTED_VALUE"""),509.03)</f>
        <v>509.03</v>
      </c>
      <c r="AR220" s="3">
        <f>IFERROR(__xludf.DUMMYFUNCTION("""COMPUTED_VALUE"""),251.03)</f>
        <v>251.03</v>
      </c>
      <c r="AS220" s="3">
        <f>IFERROR(__xludf.DUMMYFUNCTION("""COMPUTED_VALUE"""),445.17)</f>
        <v>445.17</v>
      </c>
      <c r="AT220" s="3">
        <f>IFERROR(__xludf.DUMMYFUNCTION("""COMPUTED_VALUE"""),337.79)</f>
        <v>337.79</v>
      </c>
      <c r="AU220" s="1">
        <f>IFERROR(__xludf.DUMMYFUNCTION("""COMPUTED_VALUE"""),31.12)</f>
        <v>31.12</v>
      </c>
      <c r="AV220" s="1">
        <f>IFERROR(__xludf.DUMMYFUNCTION("""COMPUTED_VALUE"""),88.23)</f>
        <v>88.23</v>
      </c>
      <c r="AW220" s="1">
        <f>IFERROR(__xludf.DUMMYFUNCTION("""COMPUTED_VALUE"""),83.93)</f>
        <v>83.93</v>
      </c>
      <c r="AX220" s="3">
        <f>IFERROR(__xludf.DUMMYFUNCTION("""COMPUTED_VALUE"""),26.06)</f>
        <v>26.06</v>
      </c>
      <c r="AY220" s="1">
        <f>IFERROR(__xludf.DUMMYFUNCTION("""COMPUTED_VALUE"""),389.97)</f>
        <v>389.97</v>
      </c>
      <c r="AZ220" s="3">
        <f>IFERROR(__xludf.DUMMYFUNCTION("""COMPUTED_VALUE"""),69.73)</f>
        <v>69.73</v>
      </c>
      <c r="BA220" s="3">
        <f>IFERROR(__xludf.DUMMYFUNCTION("""COMPUTED_VALUE"""),97.37)</f>
        <v>97.37</v>
      </c>
      <c r="BB220" s="3">
        <f>IFERROR(__xludf.DUMMYFUNCTION("""COMPUTED_VALUE"""),113.76)</f>
        <v>113.76</v>
      </c>
      <c r="BC220" s="1">
        <f>IFERROR(__xludf.DUMMYFUNCTION("""COMPUTED_VALUE"""),102.69)</f>
        <v>102.69</v>
      </c>
      <c r="BD220" s="3">
        <f>IFERROR(__xludf.DUMMYFUNCTION("""COMPUTED_VALUE"""),46.05)</f>
        <v>46.05</v>
      </c>
      <c r="BE220" s="3">
        <f>IFERROR(__xludf.DUMMYFUNCTION("""COMPUTED_VALUE"""),92.28)</f>
        <v>92.28</v>
      </c>
      <c r="BF220" s="1">
        <f>IFERROR(__xludf.DUMMYFUNCTION("""COMPUTED_VALUE"""),69.97)</f>
        <v>69.97</v>
      </c>
      <c r="BG220" s="1">
        <f>IFERROR(__xludf.DUMMYFUNCTION("""COMPUTED_VALUE"""),25.21)</f>
        <v>25.21</v>
      </c>
      <c r="BH220" s="1">
        <f>IFERROR(__xludf.DUMMYFUNCTION("""COMPUTED_VALUE"""),134.33)</f>
        <v>134.33</v>
      </c>
      <c r="BI220" s="3">
        <f>IFERROR(__xludf.DUMMYFUNCTION("""COMPUTED_VALUE"""),37.72)</f>
        <v>37.72</v>
      </c>
      <c r="BJ220" s="1">
        <f>IFERROR(__xludf.DUMMYFUNCTION("""COMPUTED_VALUE"""),262.51)</f>
        <v>262.51</v>
      </c>
      <c r="BK220" s="1">
        <f>IFERROR(__xludf.DUMMYFUNCTION("""COMPUTED_VALUE"""),513.67)</f>
        <v>513.67</v>
      </c>
      <c r="BL220" s="1">
        <f>IFERROR(__xludf.DUMMYFUNCTION("""COMPUTED_VALUE"""),189.28)</f>
        <v>189.28</v>
      </c>
      <c r="BM220" s="1">
        <f>IFERROR(__xludf.DUMMYFUNCTION("""COMPUTED_VALUE"""),70.32)</f>
        <v>70.32</v>
      </c>
      <c r="BN220" s="3">
        <f>IFERROR(__xludf.DUMMYFUNCTION("""COMPUTED_VALUE"""),6.32)</f>
        <v>6.32</v>
      </c>
      <c r="BO220" s="1">
        <f>IFERROR(__xludf.DUMMYFUNCTION("""COMPUTED_VALUE"""),238.03)</f>
        <v>238.03</v>
      </c>
      <c r="BP220" s="1">
        <f>IFERROR(__xludf.DUMMYFUNCTION("""COMPUTED_VALUE"""),518.2)</f>
        <v>518.2</v>
      </c>
      <c r="BQ220" s="36">
        <f>IFERROR(__xludf.DUMMYFUNCTION("""COMPUTED_VALUE"""),49.62)</f>
        <v>49.62</v>
      </c>
      <c r="BR220" s="1">
        <f>IFERROR(__xludf.DUMMYFUNCTION("""COMPUTED_VALUE"""),8.96)</f>
        <v>8.96</v>
      </c>
      <c r="BS220" s="3">
        <f>IFERROR(__xludf.DUMMYFUNCTION("""COMPUTED_VALUE"""),228.93)</f>
        <v>228.93</v>
      </c>
      <c r="BT220" s="1">
        <f>IFERROR(__xludf.DUMMYFUNCTION("""COMPUTED_VALUE"""),100.78)</f>
        <v>100.78</v>
      </c>
      <c r="BU220" s="3">
        <v>1.0</v>
      </c>
    </row>
    <row r="221">
      <c r="A221" s="25">
        <f>IFERROR(__xludf.DUMMYFUNCTION("""COMPUTED_VALUE"""),45743.66666666667)</f>
        <v>45743.66667</v>
      </c>
      <c r="B221" s="29">
        <f>'Master Scratch Work'!B220</f>
        <v>1336648.11</v>
      </c>
      <c r="C221" s="15">
        <f>IFERROR(__xludf.DUMMYFUNCTION("""COMPUTED_VALUE"""),5693.31)</f>
        <v>5693.31</v>
      </c>
      <c r="D221" s="15">
        <f>IFERROR(__xludf.DUMMYFUNCTION("""COMPUTED_VALUE"""),17804.03)</f>
        <v>17804.03</v>
      </c>
      <c r="E221" s="15">
        <f>IFERROR(__xludf.DUMMYFUNCTION("""COMPUTED_VALUE"""),42299.7)</f>
        <v>42299.7</v>
      </c>
      <c r="F221" s="15">
        <f>IFERROR(__xludf.DUMMYFUNCTION("""COMPUTED_VALUE"""),2065.7)</f>
        <v>2065.7</v>
      </c>
      <c r="G221" s="3">
        <f>IFERROR(__xludf.DUMMYFUNCTION("""COMPUTED_VALUE"""),567.08)</f>
        <v>567.08</v>
      </c>
      <c r="H221" s="3">
        <f>IFERROR(__xludf.DUMMYFUNCTION("""COMPUTED_VALUE"""),481.62)</f>
        <v>481.62</v>
      </c>
      <c r="I221" s="3">
        <f>IFERROR(__xludf.DUMMYFUNCTION("""COMPUTED_VALUE"""),396.15)</f>
        <v>396.15</v>
      </c>
      <c r="J221" s="3">
        <f>IFERROR(__xludf.DUMMYFUNCTION("""COMPUTED_VALUE"""),201.36)</f>
        <v>201.36</v>
      </c>
      <c r="K221" s="3">
        <f>IFERROR(__xludf.DUMMYFUNCTION("""COMPUTED_VALUE"""),143.06)</f>
        <v>143.06</v>
      </c>
      <c r="L221" s="3">
        <f>IFERROR(__xludf.DUMMYFUNCTION("""COMPUTED_VALUE"""),223.85)</f>
        <v>223.85</v>
      </c>
      <c r="M221" s="3">
        <f>IFERROR(__xludf.DUMMYFUNCTION("""COMPUTED_VALUE"""),147.68)</f>
        <v>147.68</v>
      </c>
      <c r="N221" s="3">
        <f>IFERROR(__xludf.DUMMYFUNCTION("""COMPUTED_VALUE"""),84.48)</f>
        <v>84.48</v>
      </c>
      <c r="O221" s="3">
        <f>IFERROR(__xludf.DUMMYFUNCTION("""COMPUTED_VALUE"""),15.88)</f>
        <v>15.88</v>
      </c>
      <c r="P221" s="3">
        <f>IFERROR(__xludf.DUMMYFUNCTION("""COMPUTED_VALUE"""),534.52)</f>
        <v>534.52</v>
      </c>
      <c r="Q221" s="3">
        <f>IFERROR(__xludf.DUMMYFUNCTION("""COMPUTED_VALUE"""),49.63)</f>
        <v>49.63</v>
      </c>
      <c r="R221" s="3">
        <f>IFERROR(__xludf.DUMMYFUNCTION("""COMPUTED_VALUE"""),140.33)</f>
        <v>140.33</v>
      </c>
      <c r="S221" s="3">
        <f>IFERROR(__xludf.DUMMYFUNCTION("""COMPUTED_VALUE"""),100.8)</f>
        <v>100.8</v>
      </c>
      <c r="T221" s="3">
        <f>IFERROR(__xludf.DUMMYFUNCTION("""COMPUTED_VALUE"""),65.67)</f>
        <v>65.67</v>
      </c>
      <c r="U221" s="3">
        <f>IFERROR(__xludf.DUMMYFUNCTION("""COMPUTED_VALUE"""),339.3)</f>
        <v>339.3</v>
      </c>
      <c r="V221" s="3">
        <f>IFERROR(__xludf.DUMMYFUNCTION("""COMPUTED_VALUE"""),42.63)</f>
        <v>42.63</v>
      </c>
      <c r="W221" s="3">
        <f>IFERROR(__xludf.DUMMYFUNCTION("""COMPUTED_VALUE"""),231.31)</f>
        <v>231.31</v>
      </c>
      <c r="X221" s="3">
        <f>IFERROR(__xludf.DUMMYFUNCTION("""COMPUTED_VALUE"""),166.65)</f>
        <v>166.65</v>
      </c>
      <c r="Y221" s="1">
        <f>IFERROR(__xludf.DUMMYFUNCTION("""COMPUTED_VALUE"""),324.74)</f>
        <v>324.74</v>
      </c>
      <c r="Z221" s="1">
        <f>IFERROR(__xludf.DUMMYFUNCTION("""COMPUTED_VALUE"""),41.25)</f>
        <v>41.25</v>
      </c>
      <c r="AA221" s="1">
        <f>IFERROR(__xludf.DUMMYFUNCTION("""COMPUTED_VALUE"""),70.74)</f>
        <v>70.74</v>
      </c>
      <c r="AB221" s="1">
        <f>IFERROR(__xludf.DUMMYFUNCTION("""COMPUTED_VALUE"""),107.89)</f>
        <v>107.89</v>
      </c>
      <c r="AC221" s="1">
        <f>IFERROR(__xludf.DUMMYFUNCTION("""COMPUTED_VALUE"""),144.95)</f>
        <v>144.95</v>
      </c>
      <c r="AD221" s="3">
        <f>IFERROR(__xludf.DUMMYFUNCTION("""COMPUTED_VALUE"""),76.95)</f>
        <v>76.95</v>
      </c>
      <c r="AE221" s="1">
        <f>IFERROR(__xludf.DUMMYFUNCTION("""COMPUTED_VALUE"""),471.28)</f>
        <v>471.28</v>
      </c>
      <c r="AF221" s="1">
        <f>IFERROR(__xludf.DUMMYFUNCTION("""COMPUTED_VALUE"""),66.81)</f>
        <v>66.81</v>
      </c>
      <c r="AG221" s="1">
        <f>IFERROR(__xludf.DUMMYFUNCTION("""COMPUTED_VALUE"""),117.89)</f>
        <v>117.89</v>
      </c>
      <c r="AH221" s="1">
        <f>IFERROR(__xludf.DUMMYFUNCTION("""COMPUTED_VALUE"""),243.92)</f>
        <v>243.92</v>
      </c>
      <c r="AI221" s="1">
        <f>IFERROR(__xludf.DUMMYFUNCTION("""COMPUTED_VALUE"""),426.82)</f>
        <v>426.82</v>
      </c>
      <c r="AJ221" s="1">
        <f>IFERROR(__xludf.DUMMYFUNCTION("""COMPUTED_VALUE"""),269.49)</f>
        <v>269.49</v>
      </c>
      <c r="AK221" s="1">
        <f>IFERROR(__xludf.DUMMYFUNCTION("""COMPUTED_VALUE"""),47.2)</f>
        <v>47.2</v>
      </c>
      <c r="AL221" s="1">
        <f>IFERROR(__xludf.DUMMYFUNCTION("""COMPUTED_VALUE"""),111.16)</f>
        <v>111.16</v>
      </c>
      <c r="AM221" s="1">
        <f>IFERROR(__xludf.DUMMYFUNCTION("""COMPUTED_VALUE"""),558.92)</f>
        <v>558.92</v>
      </c>
      <c r="AN221" s="1">
        <f>IFERROR(__xludf.DUMMYFUNCTION("""COMPUTED_VALUE"""),362.73)</f>
        <v>362.73</v>
      </c>
      <c r="AO221" s="1">
        <f>IFERROR(__xludf.DUMMYFUNCTION("""COMPUTED_VALUE"""),142.71)</f>
        <v>142.71</v>
      </c>
      <c r="AP221" s="1">
        <f>IFERROR(__xludf.DUMMYFUNCTION("""COMPUTED_VALUE"""),176.36)</f>
        <v>176.36</v>
      </c>
      <c r="AQ221" s="3">
        <f>IFERROR(__xludf.DUMMYFUNCTION("""COMPUTED_VALUE"""),507.9)</f>
        <v>507.9</v>
      </c>
      <c r="AR221" s="3">
        <f>IFERROR(__xludf.DUMMYFUNCTION("""COMPUTED_VALUE"""),248.12)</f>
        <v>248.12</v>
      </c>
      <c r="AS221" s="3">
        <f>IFERROR(__xludf.DUMMYFUNCTION("""COMPUTED_VALUE"""),442.28)</f>
        <v>442.28</v>
      </c>
      <c r="AT221" s="3">
        <f>IFERROR(__xludf.DUMMYFUNCTION("""COMPUTED_VALUE"""),341.53)</f>
        <v>341.53</v>
      </c>
      <c r="AU221" s="1">
        <f>IFERROR(__xludf.DUMMYFUNCTION("""COMPUTED_VALUE"""),31.12)</f>
        <v>31.12</v>
      </c>
      <c r="AV221" s="1">
        <f>IFERROR(__xludf.DUMMYFUNCTION("""COMPUTED_VALUE"""),88.98)</f>
        <v>88.98</v>
      </c>
      <c r="AW221" s="1">
        <f>IFERROR(__xludf.DUMMYFUNCTION("""COMPUTED_VALUE"""),83.05)</f>
        <v>83.05</v>
      </c>
      <c r="AX221" s="3">
        <f>IFERROR(__xludf.DUMMYFUNCTION("""COMPUTED_VALUE"""),26.17)</f>
        <v>26.17</v>
      </c>
      <c r="AY221" s="1">
        <f>IFERROR(__xludf.DUMMYFUNCTION("""COMPUTED_VALUE"""),390.58)</f>
        <v>390.58</v>
      </c>
      <c r="AZ221" s="3">
        <f>IFERROR(__xludf.DUMMYFUNCTION("""COMPUTED_VALUE"""),70.03)</f>
        <v>70.03</v>
      </c>
      <c r="BA221" s="3">
        <f>IFERROR(__xludf.DUMMYFUNCTION("""COMPUTED_VALUE"""),95.76)</f>
        <v>95.76</v>
      </c>
      <c r="BB221" s="3">
        <f>IFERROR(__xludf.DUMMYFUNCTION("""COMPUTED_VALUE"""),111.43)</f>
        <v>111.43</v>
      </c>
      <c r="BC221" s="1">
        <f>IFERROR(__xludf.DUMMYFUNCTION("""COMPUTED_VALUE"""),103.01)</f>
        <v>103.01</v>
      </c>
      <c r="BD221" s="3">
        <f>IFERROR(__xludf.DUMMYFUNCTION("""COMPUTED_VALUE"""),46.0)</f>
        <v>46</v>
      </c>
      <c r="BE221" s="3">
        <f>IFERROR(__xludf.DUMMYFUNCTION("""COMPUTED_VALUE"""),90.09)</f>
        <v>90.09</v>
      </c>
      <c r="BF221" s="1">
        <f>IFERROR(__xludf.DUMMYFUNCTION("""COMPUTED_VALUE"""),68.86)</f>
        <v>68.86</v>
      </c>
      <c r="BG221" s="1">
        <f>IFERROR(__xludf.DUMMYFUNCTION("""COMPUTED_VALUE"""),25.01)</f>
        <v>25.01</v>
      </c>
      <c r="BH221" s="1">
        <f>IFERROR(__xludf.DUMMYFUNCTION("""COMPUTED_VALUE"""),133.43)</f>
        <v>133.43</v>
      </c>
      <c r="BI221" s="3">
        <f>IFERROR(__xludf.DUMMYFUNCTION("""COMPUTED_VALUE"""),38.1)</f>
        <v>38.1</v>
      </c>
      <c r="BJ221" s="1">
        <f>IFERROR(__xludf.DUMMYFUNCTION("""COMPUTED_VALUE"""),268.28)</f>
        <v>268.28</v>
      </c>
      <c r="BK221" s="1">
        <f>IFERROR(__xludf.DUMMYFUNCTION("""COMPUTED_VALUE"""),511.68)</f>
        <v>511.68</v>
      </c>
      <c r="BL221" s="1">
        <f>IFERROR(__xludf.DUMMYFUNCTION("""COMPUTED_VALUE"""),183.98)</f>
        <v>183.98</v>
      </c>
      <c r="BM221" s="1">
        <f>IFERROR(__xludf.DUMMYFUNCTION("""COMPUTED_VALUE"""),70.44)</f>
        <v>70.44</v>
      </c>
      <c r="BN221" s="3">
        <f>IFERROR(__xludf.DUMMYFUNCTION("""COMPUTED_VALUE"""),6.35)</f>
        <v>6.35</v>
      </c>
      <c r="BO221" s="1">
        <f>IFERROR(__xludf.DUMMYFUNCTION("""COMPUTED_VALUE"""),235.97)</f>
        <v>235.97</v>
      </c>
      <c r="BP221" s="1">
        <f>IFERROR(__xludf.DUMMYFUNCTION("""COMPUTED_VALUE"""),515.72)</f>
        <v>515.72</v>
      </c>
      <c r="BQ221" s="36">
        <f>IFERROR(__xludf.DUMMYFUNCTION("""COMPUTED_VALUE"""),49.71)</f>
        <v>49.71</v>
      </c>
      <c r="BR221" s="1">
        <f>IFERROR(__xludf.DUMMYFUNCTION("""COMPUTED_VALUE"""),8.84)</f>
        <v>8.84</v>
      </c>
      <c r="BS221" s="3">
        <f>IFERROR(__xludf.DUMMYFUNCTION("""COMPUTED_VALUE"""),229.02)</f>
        <v>229.02</v>
      </c>
      <c r="BT221" s="1">
        <f>IFERROR(__xludf.DUMMYFUNCTION("""COMPUTED_VALUE"""),100.45)</f>
        <v>100.45</v>
      </c>
      <c r="BU221" s="3">
        <v>1.0</v>
      </c>
    </row>
    <row r="222">
      <c r="A222" s="25">
        <f>IFERROR(__xludf.DUMMYFUNCTION("""COMPUTED_VALUE"""),45744.66666666667)</f>
        <v>45744.66667</v>
      </c>
      <c r="B222" s="29">
        <f>'Master Scratch Work'!B221</f>
        <v>1314406.65</v>
      </c>
      <c r="C222" s="15">
        <f>IFERROR(__xludf.DUMMYFUNCTION("""COMPUTED_VALUE"""),5580.94)</f>
        <v>5580.94</v>
      </c>
      <c r="D222" s="15">
        <f>IFERROR(__xludf.DUMMYFUNCTION("""COMPUTED_VALUE"""),17322.99)</f>
        <v>17322.99</v>
      </c>
      <c r="E222" s="15">
        <f>IFERROR(__xludf.DUMMYFUNCTION("""COMPUTED_VALUE"""),41583.9)</f>
        <v>41583.9</v>
      </c>
      <c r="F222" s="15">
        <f>IFERROR(__xludf.DUMMYFUNCTION("""COMPUTED_VALUE"""),2023.27)</f>
        <v>2023.27</v>
      </c>
      <c r="G222" s="3">
        <f>IFERROR(__xludf.DUMMYFUNCTION("""COMPUTED_VALUE"""),555.66)</f>
        <v>555.66</v>
      </c>
      <c r="H222" s="3">
        <f>IFERROR(__xludf.DUMMYFUNCTION("""COMPUTED_VALUE"""),468.94)</f>
        <v>468.94</v>
      </c>
      <c r="I222" s="3">
        <f>IFERROR(__xludf.DUMMYFUNCTION("""COMPUTED_VALUE"""),385.71)</f>
        <v>385.71</v>
      </c>
      <c r="J222" s="3">
        <f>IFERROR(__xludf.DUMMYFUNCTION("""COMPUTED_VALUE"""),192.72)</f>
        <v>192.72</v>
      </c>
      <c r="K222" s="3">
        <f>IFERROR(__xludf.DUMMYFUNCTION("""COMPUTED_VALUE"""),146.24)</f>
        <v>146.24</v>
      </c>
      <c r="L222" s="3">
        <f>IFERROR(__xludf.DUMMYFUNCTION("""COMPUTED_VALUE"""),217.9)</f>
        <v>217.9</v>
      </c>
      <c r="M222" s="3">
        <f>IFERROR(__xludf.DUMMYFUNCTION("""COMPUTED_VALUE"""),145.06)</f>
        <v>145.06</v>
      </c>
      <c r="N222" s="3">
        <f>IFERROR(__xludf.DUMMYFUNCTION("""COMPUTED_VALUE"""),82.71)</f>
        <v>82.71</v>
      </c>
      <c r="O222" s="3">
        <f>IFERROR(__xludf.DUMMYFUNCTION("""COMPUTED_VALUE"""),15.39)</f>
        <v>15.39</v>
      </c>
      <c r="P222" s="3">
        <f>IFERROR(__xludf.DUMMYFUNCTION("""COMPUTED_VALUE"""),526.31)</f>
        <v>526.31</v>
      </c>
      <c r="Q222" s="3">
        <f>IFERROR(__xludf.DUMMYFUNCTION("""COMPUTED_VALUE"""),48.92)</f>
        <v>48.92</v>
      </c>
      <c r="R222" s="3">
        <f>IFERROR(__xludf.DUMMYFUNCTION("""COMPUTED_VALUE"""),138.37)</f>
        <v>138.37</v>
      </c>
      <c r="S222" s="3">
        <f>IFERROR(__xludf.DUMMYFUNCTION("""COMPUTED_VALUE"""),99.36)</f>
        <v>99.36</v>
      </c>
      <c r="T222" s="3">
        <f>IFERROR(__xludf.DUMMYFUNCTION("""COMPUTED_VALUE"""),63.33)</f>
        <v>63.33</v>
      </c>
      <c r="U222" s="3">
        <f>IFERROR(__xludf.DUMMYFUNCTION("""COMPUTED_VALUE"""),329.69)</f>
        <v>329.69</v>
      </c>
      <c r="V222" s="3">
        <f>IFERROR(__xludf.DUMMYFUNCTION("""COMPUTED_VALUE"""),41.83)</f>
        <v>41.83</v>
      </c>
      <c r="W222" s="3">
        <f>IFERROR(__xludf.DUMMYFUNCTION("""COMPUTED_VALUE"""),228.37)</f>
        <v>228.37</v>
      </c>
      <c r="X222" s="3">
        <f>IFERROR(__xludf.DUMMYFUNCTION("""COMPUTED_VALUE"""),166.09)</f>
        <v>166.09</v>
      </c>
      <c r="Y222" s="1">
        <f>IFERROR(__xludf.DUMMYFUNCTION("""COMPUTED_VALUE"""),325.04)</f>
        <v>325.04</v>
      </c>
      <c r="Z222" s="1">
        <f>IFERROR(__xludf.DUMMYFUNCTION("""COMPUTED_VALUE"""),40.25)</f>
        <v>40.25</v>
      </c>
      <c r="AA222" s="1">
        <f>IFERROR(__xludf.DUMMYFUNCTION("""COMPUTED_VALUE"""),70.37)</f>
        <v>70.37</v>
      </c>
      <c r="AB222" s="1">
        <f>IFERROR(__xludf.DUMMYFUNCTION("""COMPUTED_VALUE"""),108.77)</f>
        <v>108.77</v>
      </c>
      <c r="AC222" s="1">
        <f>IFERROR(__xludf.DUMMYFUNCTION("""COMPUTED_VALUE"""),142.1)</f>
        <v>142.1</v>
      </c>
      <c r="AD222" s="3">
        <f>IFERROR(__xludf.DUMMYFUNCTION("""COMPUTED_VALUE"""),72.75)</f>
        <v>72.75</v>
      </c>
      <c r="AE222" s="1">
        <f>IFERROR(__xludf.DUMMYFUNCTION("""COMPUTED_VALUE"""),447.12)</f>
        <v>447.12</v>
      </c>
      <c r="AF222" s="1">
        <f>IFERROR(__xludf.DUMMYFUNCTION("""COMPUTED_VALUE"""),67.16)</f>
        <v>67.16</v>
      </c>
      <c r="AG222" s="1">
        <f>IFERROR(__xludf.DUMMYFUNCTION("""COMPUTED_VALUE"""),117.73)</f>
        <v>117.73</v>
      </c>
      <c r="AH222" s="1">
        <f>IFERROR(__xludf.DUMMYFUNCTION("""COMPUTED_VALUE"""),241.71)</f>
        <v>241.71</v>
      </c>
      <c r="AI222" s="1">
        <f>IFERROR(__xludf.DUMMYFUNCTION("""COMPUTED_VALUE"""),429.71)</f>
        <v>429.71</v>
      </c>
      <c r="AJ222" s="1">
        <f>IFERROR(__xludf.DUMMYFUNCTION("""COMPUTED_VALUE"""),269.08)</f>
        <v>269.08</v>
      </c>
      <c r="AK222" s="1">
        <f>IFERROR(__xludf.DUMMYFUNCTION("""COMPUTED_VALUE"""),46.68)</f>
        <v>46.68</v>
      </c>
      <c r="AL222" s="1">
        <f>IFERROR(__xludf.DUMMYFUNCTION("""COMPUTED_VALUE"""),111.79)</f>
        <v>111.79</v>
      </c>
      <c r="AM222" s="1">
        <f>IFERROR(__xludf.DUMMYFUNCTION("""COMPUTED_VALUE"""),543.12)</f>
        <v>543.12</v>
      </c>
      <c r="AN222" s="1">
        <f>IFERROR(__xludf.DUMMYFUNCTION("""COMPUTED_VALUE"""),358.15)</f>
        <v>358.15</v>
      </c>
      <c r="AO222" s="1">
        <f>IFERROR(__xludf.DUMMYFUNCTION("""COMPUTED_VALUE"""),142.3)</f>
        <v>142.3</v>
      </c>
      <c r="AP222" s="1">
        <f>IFERROR(__xludf.DUMMYFUNCTION("""COMPUTED_VALUE"""),174.71)</f>
        <v>174.71</v>
      </c>
      <c r="AQ222" s="3">
        <f>IFERROR(__xludf.DUMMYFUNCTION("""COMPUTED_VALUE"""),491.84)</f>
        <v>491.84</v>
      </c>
      <c r="AR222" s="3">
        <f>IFERROR(__xludf.DUMMYFUNCTION("""COMPUTED_VALUE"""),242.85)</f>
        <v>242.85</v>
      </c>
      <c r="AS222" s="3">
        <f>IFERROR(__xludf.DUMMYFUNCTION("""COMPUTED_VALUE"""),441.49)</f>
        <v>441.49</v>
      </c>
      <c r="AT222" s="3">
        <f>IFERROR(__xludf.DUMMYFUNCTION("""COMPUTED_VALUE"""),293.06)</f>
        <v>293.06</v>
      </c>
      <c r="AU222" s="1">
        <f>IFERROR(__xludf.DUMMYFUNCTION("""COMPUTED_VALUE"""),30.76)</f>
        <v>30.76</v>
      </c>
      <c r="AV222" s="1">
        <f>IFERROR(__xludf.DUMMYFUNCTION("""COMPUTED_VALUE"""),87.63)</f>
        <v>87.63</v>
      </c>
      <c r="AW222" s="1">
        <f>IFERROR(__xludf.DUMMYFUNCTION("""COMPUTED_VALUE"""),79.23)</f>
        <v>79.23</v>
      </c>
      <c r="AX222" s="3">
        <f>IFERROR(__xludf.DUMMYFUNCTION("""COMPUTED_VALUE"""),25.97)</f>
        <v>25.97</v>
      </c>
      <c r="AY222" s="1">
        <f>IFERROR(__xludf.DUMMYFUNCTION("""COMPUTED_VALUE"""),378.8)</f>
        <v>378.8</v>
      </c>
      <c r="AZ222" s="3">
        <f>IFERROR(__xludf.DUMMYFUNCTION("""COMPUTED_VALUE"""),70.45)</f>
        <v>70.45</v>
      </c>
      <c r="BA222" s="3">
        <f>IFERROR(__xludf.DUMMYFUNCTION("""COMPUTED_VALUE"""),95.2)</f>
        <v>95.2</v>
      </c>
      <c r="BB222" s="3">
        <f>IFERROR(__xludf.DUMMYFUNCTION("""COMPUTED_VALUE"""),109.67)</f>
        <v>109.67</v>
      </c>
      <c r="BC222" s="1">
        <f>IFERROR(__xludf.DUMMYFUNCTION("""COMPUTED_VALUE"""),102.11)</f>
        <v>102.11</v>
      </c>
      <c r="BD222" s="3">
        <f>IFERROR(__xludf.DUMMYFUNCTION("""COMPUTED_VALUE"""),44.15)</f>
        <v>44.15</v>
      </c>
      <c r="BE222" s="3">
        <f>IFERROR(__xludf.DUMMYFUNCTION("""COMPUTED_VALUE"""),85.85)</f>
        <v>85.85</v>
      </c>
      <c r="BF222" s="1">
        <f>IFERROR(__xludf.DUMMYFUNCTION("""COMPUTED_VALUE"""),65.15)</f>
        <v>65.15</v>
      </c>
      <c r="BG222" s="1">
        <f>IFERROR(__xludf.DUMMYFUNCTION("""COMPUTED_VALUE"""),25.21)</f>
        <v>25.21</v>
      </c>
      <c r="BH222" s="1">
        <f>IFERROR(__xludf.DUMMYFUNCTION("""COMPUTED_VALUE"""),131.72)</f>
        <v>131.72</v>
      </c>
      <c r="BI222" s="3">
        <f>IFERROR(__xludf.DUMMYFUNCTION("""COMPUTED_VALUE"""),37.35)</f>
        <v>37.35</v>
      </c>
      <c r="BJ222" s="1">
        <f>IFERROR(__xludf.DUMMYFUNCTION("""COMPUTED_VALUE"""),264.93)</f>
        <v>264.93</v>
      </c>
      <c r="BK222" s="1">
        <f>IFERROR(__xludf.DUMMYFUNCTION("""COMPUTED_VALUE"""),500.16)</f>
        <v>500.16</v>
      </c>
      <c r="BL222" s="1">
        <f>IFERROR(__xludf.DUMMYFUNCTION("""COMPUTED_VALUE"""),179.07)</f>
        <v>179.07</v>
      </c>
      <c r="BM222" s="1">
        <f>IFERROR(__xludf.DUMMYFUNCTION("""COMPUTED_VALUE"""),68.58)</f>
        <v>68.58</v>
      </c>
      <c r="BN222" s="3">
        <f>IFERROR(__xludf.DUMMYFUNCTION("""COMPUTED_VALUE"""),6.3)</f>
        <v>6.3</v>
      </c>
      <c r="BO222" s="1">
        <f>IFERROR(__xludf.DUMMYFUNCTION("""COMPUTED_VALUE"""),232.15)</f>
        <v>232.15</v>
      </c>
      <c r="BP222" s="1">
        <f>IFERROR(__xludf.DUMMYFUNCTION("""COMPUTED_VALUE"""),516.04)</f>
        <v>516.04</v>
      </c>
      <c r="BQ222" s="36">
        <f>IFERROR(__xludf.DUMMYFUNCTION("""COMPUTED_VALUE"""),49.86)</f>
        <v>49.86</v>
      </c>
      <c r="BR222" s="1">
        <f>IFERROR(__xludf.DUMMYFUNCTION("""COMPUTED_VALUE"""),8.68)</f>
        <v>8.68</v>
      </c>
      <c r="BS222" s="3">
        <f>IFERROR(__xludf.DUMMYFUNCTION("""COMPUTED_VALUE"""),227.92)</f>
        <v>227.92</v>
      </c>
      <c r="BT222" s="1">
        <f>IFERROR(__xludf.DUMMYFUNCTION("""COMPUTED_VALUE"""),98.07)</f>
        <v>98.07</v>
      </c>
      <c r="BU222" s="3">
        <v>1.0</v>
      </c>
    </row>
    <row r="223">
      <c r="A223" s="25">
        <f>IFERROR(__xludf.DUMMYFUNCTION("""COMPUTED_VALUE"""),45747.66666666667)</f>
        <v>45747.66667</v>
      </c>
      <c r="B223" s="29">
        <f>'Master Scratch Work'!B222</f>
        <v>1319072.67</v>
      </c>
      <c r="C223" s="15">
        <f>IFERROR(__xludf.DUMMYFUNCTION("""COMPUTED_VALUE"""),5611.85)</f>
        <v>5611.85</v>
      </c>
      <c r="D223" s="15">
        <f>IFERROR(__xludf.DUMMYFUNCTION("""COMPUTED_VALUE"""),17299.29)</f>
        <v>17299.29</v>
      </c>
      <c r="E223" s="15">
        <f>IFERROR(__xludf.DUMMYFUNCTION("""COMPUTED_VALUE"""),42001.76)</f>
        <v>42001.76</v>
      </c>
      <c r="F223" s="15">
        <f>IFERROR(__xludf.DUMMYFUNCTION("""COMPUTED_VALUE"""),2011.91)</f>
        <v>2011.91</v>
      </c>
      <c r="G223" s="3">
        <f>IFERROR(__xludf.DUMMYFUNCTION("""COMPUTED_VALUE"""),559.39)</f>
        <v>559.39</v>
      </c>
      <c r="H223" s="3">
        <f>IFERROR(__xludf.DUMMYFUNCTION("""COMPUTED_VALUE"""),468.92)</f>
        <v>468.92</v>
      </c>
      <c r="I223" s="3">
        <f>IFERROR(__xludf.DUMMYFUNCTION("""COMPUTED_VALUE"""),383.53)</f>
        <v>383.53</v>
      </c>
      <c r="J223" s="3">
        <f>IFERROR(__xludf.DUMMYFUNCTION("""COMPUTED_VALUE"""),190.26)</f>
        <v>190.26</v>
      </c>
      <c r="K223" s="3">
        <f>IFERROR(__xludf.DUMMYFUNCTION("""COMPUTED_VALUE"""),147.52)</f>
        <v>147.52</v>
      </c>
      <c r="L223" s="3">
        <f>IFERROR(__xludf.DUMMYFUNCTION("""COMPUTED_VALUE"""),222.13)</f>
        <v>222.13</v>
      </c>
      <c r="M223" s="3">
        <f>IFERROR(__xludf.DUMMYFUNCTION("""COMPUTED_VALUE"""),145.12)</f>
        <v>145.12</v>
      </c>
      <c r="N223" s="3">
        <f>IFERROR(__xludf.DUMMYFUNCTION("""COMPUTED_VALUE"""),83.87)</f>
        <v>83.87</v>
      </c>
      <c r="O223" s="3">
        <f>IFERROR(__xludf.DUMMYFUNCTION("""COMPUTED_VALUE"""),15.36)</f>
        <v>15.36</v>
      </c>
      <c r="P223" s="3">
        <f>IFERROR(__xludf.DUMMYFUNCTION("""COMPUTED_VALUE"""),532.58)</f>
        <v>532.58</v>
      </c>
      <c r="Q223" s="3">
        <f>IFERROR(__xludf.DUMMYFUNCTION("""COMPUTED_VALUE"""),48.54)</f>
        <v>48.54</v>
      </c>
      <c r="R223" s="3">
        <f>IFERROR(__xludf.DUMMYFUNCTION("""COMPUTED_VALUE"""),136.84)</f>
        <v>136.84</v>
      </c>
      <c r="S223" s="3">
        <f>IFERROR(__xludf.DUMMYFUNCTION("""COMPUTED_VALUE"""),100.88)</f>
        <v>100.88</v>
      </c>
      <c r="T223" s="3">
        <f>IFERROR(__xludf.DUMMYFUNCTION("""COMPUTED_VALUE"""),63.4)</f>
        <v>63.4</v>
      </c>
      <c r="U223" s="3">
        <f>IFERROR(__xludf.DUMMYFUNCTION("""COMPUTED_VALUE"""),329.8)</f>
        <v>329.8</v>
      </c>
      <c r="V223" s="3">
        <f>IFERROR(__xludf.DUMMYFUNCTION("""COMPUTED_VALUE"""),41.16)</f>
        <v>41.16</v>
      </c>
      <c r="W223" s="3">
        <f>IFERROR(__xludf.DUMMYFUNCTION("""COMPUTED_VALUE"""),227.92)</f>
        <v>227.92</v>
      </c>
      <c r="X223" s="3">
        <f>IFERROR(__xludf.DUMMYFUNCTION("""COMPUTED_VALUE"""),167.29)</f>
        <v>167.29</v>
      </c>
      <c r="Y223" s="1">
        <f>IFERROR(__xludf.DUMMYFUNCTION("""COMPUTED_VALUE"""),329.0)</f>
        <v>329</v>
      </c>
      <c r="Z223" s="1">
        <f>IFERROR(__xludf.DUMMYFUNCTION("""COMPUTED_VALUE"""),40.97)</f>
        <v>40.97</v>
      </c>
      <c r="AA223" s="1">
        <f>IFERROR(__xludf.DUMMYFUNCTION("""COMPUTED_VALUE"""),71.62)</f>
        <v>71.62</v>
      </c>
      <c r="AB223" s="1">
        <f>IFERROR(__xludf.DUMMYFUNCTION("""COMPUTED_VALUE"""),110.59)</f>
        <v>110.59</v>
      </c>
      <c r="AC223" s="1">
        <f>IFERROR(__xludf.DUMMYFUNCTION("""COMPUTED_VALUE"""),143.29)</f>
        <v>143.29</v>
      </c>
      <c r="AD223" s="3">
        <f>IFERROR(__xludf.DUMMYFUNCTION("""COMPUTED_VALUE"""),75.07)</f>
        <v>75.07</v>
      </c>
      <c r="AE223" s="1">
        <f>IFERROR(__xludf.DUMMYFUNCTION("""COMPUTED_VALUE"""),459.45)</f>
        <v>459.45</v>
      </c>
      <c r="AF223" s="1">
        <f>IFERROR(__xludf.DUMMYFUNCTION("""COMPUTED_VALUE"""),67.73)</f>
        <v>67.73</v>
      </c>
      <c r="AG223" s="1">
        <f>IFERROR(__xludf.DUMMYFUNCTION("""COMPUTED_VALUE"""),118.93)</f>
        <v>118.93</v>
      </c>
      <c r="AH223" s="1">
        <f>IFERROR(__xludf.DUMMYFUNCTION("""COMPUTED_VALUE"""),243.78)</f>
        <v>243.78</v>
      </c>
      <c r="AI223" s="1">
        <f>IFERROR(__xludf.DUMMYFUNCTION("""COMPUTED_VALUE"""),427.88)</f>
        <v>427.88</v>
      </c>
      <c r="AJ223" s="1">
        <f>IFERROR(__xludf.DUMMYFUNCTION("""COMPUTED_VALUE"""),272.58)</f>
        <v>272.58</v>
      </c>
      <c r="AK223" s="1">
        <f>IFERROR(__xludf.DUMMYFUNCTION("""COMPUTED_VALUE"""),47.03)</f>
        <v>47.03</v>
      </c>
      <c r="AL223" s="1">
        <f>IFERROR(__xludf.DUMMYFUNCTION("""COMPUTED_VALUE"""),112.05)</f>
        <v>112.05</v>
      </c>
      <c r="AM223" s="1">
        <f>IFERROR(__xludf.DUMMYFUNCTION("""COMPUTED_VALUE"""),546.29)</f>
        <v>546.29</v>
      </c>
      <c r="AN223" s="1">
        <f>IFERROR(__xludf.DUMMYFUNCTION("""COMPUTED_VALUE"""),366.49)</f>
        <v>366.49</v>
      </c>
      <c r="AO223" s="1">
        <f>IFERROR(__xludf.DUMMYFUNCTION("""COMPUTED_VALUE"""),143.45)</f>
        <v>143.45</v>
      </c>
      <c r="AP223" s="1">
        <f>IFERROR(__xludf.DUMMYFUNCTION("""COMPUTED_VALUE"""),172.5)</f>
        <v>172.5</v>
      </c>
      <c r="AQ223" s="3">
        <f>IFERROR(__xludf.DUMMYFUNCTION("""COMPUTED_VALUE"""),495.27)</f>
        <v>495.27</v>
      </c>
      <c r="AR223" s="3">
        <f>IFERROR(__xludf.DUMMYFUNCTION("""COMPUTED_VALUE"""),245.3)</f>
        <v>245.3</v>
      </c>
      <c r="AS223" s="3">
        <f>IFERROR(__xludf.DUMMYFUNCTION("""COMPUTED_VALUE"""),446.71)</f>
        <v>446.71</v>
      </c>
      <c r="AT223" s="3">
        <f>IFERROR(__xludf.DUMMYFUNCTION("""COMPUTED_VALUE"""),283.06)</f>
        <v>283.06</v>
      </c>
      <c r="AU223" s="1">
        <f>IFERROR(__xludf.DUMMYFUNCTION("""COMPUTED_VALUE"""),31.15)</f>
        <v>31.15</v>
      </c>
      <c r="AV223" s="1">
        <f>IFERROR(__xludf.DUMMYFUNCTION("""COMPUTED_VALUE"""),89.86)</f>
        <v>89.86</v>
      </c>
      <c r="AW223" s="1">
        <f>IFERROR(__xludf.DUMMYFUNCTION("""COMPUTED_VALUE"""),80.29)</f>
        <v>80.29</v>
      </c>
      <c r="AX223" s="3">
        <f>IFERROR(__xludf.DUMMYFUNCTION("""COMPUTED_VALUE"""),24.41)</f>
        <v>24.41</v>
      </c>
      <c r="AY223" s="1">
        <f>IFERROR(__xludf.DUMMYFUNCTION("""COMPUTED_VALUE"""),375.39)</f>
        <v>375.39</v>
      </c>
      <c r="AZ223" s="3">
        <f>IFERROR(__xludf.DUMMYFUNCTION("""COMPUTED_VALUE"""),70.89)</f>
        <v>70.89</v>
      </c>
      <c r="BA223" s="3">
        <f>IFERROR(__xludf.DUMMYFUNCTION("""COMPUTED_VALUE"""),95.46)</f>
        <v>95.46</v>
      </c>
      <c r="BB223" s="3">
        <f>IFERROR(__xludf.DUMMYFUNCTION("""COMPUTED_VALUE"""),108.38)</f>
        <v>108.38</v>
      </c>
      <c r="BC223" s="1">
        <f>IFERROR(__xludf.DUMMYFUNCTION("""COMPUTED_VALUE"""),103.2)</f>
        <v>103.2</v>
      </c>
      <c r="BD223" s="3">
        <f>IFERROR(__xludf.DUMMYFUNCTION("""COMPUTED_VALUE"""),43.92)</f>
        <v>43.92</v>
      </c>
      <c r="BE223" s="3">
        <f>IFERROR(__xludf.DUMMYFUNCTION("""COMPUTED_VALUE"""),84.4)</f>
        <v>84.4</v>
      </c>
      <c r="BF223" s="1">
        <f>IFERROR(__xludf.DUMMYFUNCTION("""COMPUTED_VALUE"""),65.25)</f>
        <v>65.25</v>
      </c>
      <c r="BG223" s="1">
        <f>IFERROR(__xludf.DUMMYFUNCTION("""COMPUTED_VALUE"""),25.34)</f>
        <v>25.34</v>
      </c>
      <c r="BH223" s="1">
        <f>IFERROR(__xludf.DUMMYFUNCTION("""COMPUTED_VALUE"""),132.46)</f>
        <v>132.46</v>
      </c>
      <c r="BI223" s="3">
        <f>IFERROR(__xludf.DUMMYFUNCTION("""COMPUTED_VALUE"""),35.36)</f>
        <v>35.36</v>
      </c>
      <c r="BJ223" s="1">
        <f>IFERROR(__xludf.DUMMYFUNCTION("""COMPUTED_VALUE"""),266.71)</f>
        <v>266.71</v>
      </c>
      <c r="BK223" s="1">
        <f>IFERROR(__xludf.DUMMYFUNCTION("""COMPUTED_VALUE"""),497.6)</f>
        <v>497.6</v>
      </c>
      <c r="BL223" s="1">
        <f>IFERROR(__xludf.DUMMYFUNCTION("""COMPUTED_VALUE"""),176.53)</f>
        <v>176.53</v>
      </c>
      <c r="BM223" s="1">
        <f>IFERROR(__xludf.DUMMYFUNCTION("""COMPUTED_VALUE"""),67.28)</f>
        <v>67.28</v>
      </c>
      <c r="BN223" s="3">
        <f>IFERROR(__xludf.DUMMYFUNCTION("""COMPUTED_VALUE"""),6.25)</f>
        <v>6.25</v>
      </c>
      <c r="BO223" s="1">
        <f>IFERROR(__xludf.DUMMYFUNCTION("""COMPUTED_VALUE"""),236.24)</f>
        <v>236.24</v>
      </c>
      <c r="BP223" s="1">
        <f>IFERROR(__xludf.DUMMYFUNCTION("""COMPUTED_VALUE"""),523.75)</f>
        <v>523.75</v>
      </c>
      <c r="BQ223" s="36">
        <f>IFERROR(__xludf.DUMMYFUNCTION("""COMPUTED_VALUE"""),49.9)</f>
        <v>49.9</v>
      </c>
      <c r="BR223" s="1">
        <f>IFERROR(__xludf.DUMMYFUNCTION("""COMPUTED_VALUE"""),8.71)</f>
        <v>8.71</v>
      </c>
      <c r="BS223" s="3">
        <f>IFERROR(__xludf.DUMMYFUNCTION("""COMPUTED_VALUE"""),231.51)</f>
        <v>231.51</v>
      </c>
      <c r="BT223" s="1">
        <f>IFERROR(__xludf.DUMMYFUNCTION("""COMPUTED_VALUE"""),98.7)</f>
        <v>98.7</v>
      </c>
      <c r="BU223" s="3">
        <v>1.0</v>
      </c>
    </row>
    <row r="224">
      <c r="A224" s="25">
        <f>IFERROR(__xludf.DUMMYFUNCTION("""COMPUTED_VALUE"""),45748.66666666667)</f>
        <v>45748.66667</v>
      </c>
      <c r="B224" s="29">
        <f>'Master Scratch Work'!B223</f>
        <v>1322031.6</v>
      </c>
      <c r="C224" s="15">
        <f>IFERROR(__xludf.DUMMYFUNCTION("""COMPUTED_VALUE"""),5633.07)</f>
        <v>5633.07</v>
      </c>
      <c r="D224" s="15">
        <f>IFERROR(__xludf.DUMMYFUNCTION("""COMPUTED_VALUE"""),17449.89)</f>
        <v>17449.89</v>
      </c>
      <c r="E224" s="15">
        <f>IFERROR(__xludf.DUMMYFUNCTION("""COMPUTED_VALUE"""),41989.96)</f>
        <v>41989.96</v>
      </c>
      <c r="F224" s="15">
        <f>IFERROR(__xludf.DUMMYFUNCTION("""COMPUTED_VALUE"""),2012.24)</f>
        <v>2012.24</v>
      </c>
      <c r="G224" s="3">
        <f>IFERROR(__xludf.DUMMYFUNCTION("""COMPUTED_VALUE"""),560.97)</f>
        <v>560.97</v>
      </c>
      <c r="H224" s="3">
        <f>IFERROR(__xludf.DUMMYFUNCTION("""COMPUTED_VALUE"""),472.7)</f>
        <v>472.7</v>
      </c>
      <c r="I224" s="3">
        <f>IFERROR(__xludf.DUMMYFUNCTION("""COMPUTED_VALUE"""),383.2)</f>
        <v>383.2</v>
      </c>
      <c r="J224" s="3">
        <f>IFERROR(__xludf.DUMMYFUNCTION("""COMPUTED_VALUE"""),192.17)</f>
        <v>192.17</v>
      </c>
      <c r="K224" s="3">
        <f>IFERROR(__xludf.DUMMYFUNCTION("""COMPUTED_VALUE"""),147.0)</f>
        <v>147</v>
      </c>
      <c r="L224" s="3">
        <f>IFERROR(__xludf.DUMMYFUNCTION("""COMPUTED_VALUE"""),223.19)</f>
        <v>223.19</v>
      </c>
      <c r="M224" s="3">
        <f>IFERROR(__xludf.DUMMYFUNCTION("""COMPUTED_VALUE"""),145.66)</f>
        <v>145.66</v>
      </c>
      <c r="N224" s="3">
        <f>IFERROR(__xludf.DUMMYFUNCTION("""COMPUTED_VALUE"""),83.77)</f>
        <v>83.77</v>
      </c>
      <c r="O224" s="3">
        <f>IFERROR(__xludf.DUMMYFUNCTION("""COMPUTED_VALUE"""),15.4)</f>
        <v>15.4</v>
      </c>
      <c r="P224" s="3">
        <f>IFERROR(__xludf.DUMMYFUNCTION("""COMPUTED_VALUE"""),532.99)</f>
        <v>532.99</v>
      </c>
      <c r="Q224" s="3">
        <f>IFERROR(__xludf.DUMMYFUNCTION("""COMPUTED_VALUE"""),48.78)</f>
        <v>48.78</v>
      </c>
      <c r="R224" s="3">
        <f>IFERROR(__xludf.DUMMYFUNCTION("""COMPUTED_VALUE"""),132.03)</f>
        <v>132.03</v>
      </c>
      <c r="S224" s="3">
        <f>IFERROR(__xludf.DUMMYFUNCTION("""COMPUTED_VALUE"""),101.24)</f>
        <v>101.24</v>
      </c>
      <c r="T224" s="3">
        <f>IFERROR(__xludf.DUMMYFUNCTION("""COMPUTED_VALUE"""),63.54)</f>
        <v>63.54</v>
      </c>
      <c r="U224" s="3">
        <f>IFERROR(__xludf.DUMMYFUNCTION("""COMPUTED_VALUE"""),330.57)</f>
        <v>330.57</v>
      </c>
      <c r="V224" s="3">
        <f>IFERROR(__xludf.DUMMYFUNCTION("""COMPUTED_VALUE"""),41.8)</f>
        <v>41.8</v>
      </c>
      <c r="W224" s="3">
        <f>IFERROR(__xludf.DUMMYFUNCTION("""COMPUTED_VALUE"""),230.84)</f>
        <v>230.84</v>
      </c>
      <c r="X224" s="3">
        <f>IFERROR(__xludf.DUMMYFUNCTION("""COMPUTED_VALUE"""),168.51)</f>
        <v>168.51</v>
      </c>
      <c r="Y224" s="1">
        <f>IFERROR(__xludf.DUMMYFUNCTION("""COMPUTED_VALUE"""),331.0)</f>
        <v>331</v>
      </c>
      <c r="Z224" s="1">
        <f>IFERROR(__xludf.DUMMYFUNCTION("""COMPUTED_VALUE"""),40.59)</f>
        <v>40.59</v>
      </c>
      <c r="AA224" s="1">
        <f>IFERROR(__xludf.DUMMYFUNCTION("""COMPUTED_VALUE"""),71.87)</f>
        <v>71.87</v>
      </c>
      <c r="AB224" s="1">
        <f>IFERROR(__xludf.DUMMYFUNCTION("""COMPUTED_VALUE"""),110.06)</f>
        <v>110.06</v>
      </c>
      <c r="AC224" s="1">
        <f>IFERROR(__xludf.DUMMYFUNCTION("""COMPUTED_VALUE"""),146.05)</f>
        <v>146.05</v>
      </c>
      <c r="AD224" s="3">
        <f>IFERROR(__xludf.DUMMYFUNCTION("""COMPUTED_VALUE"""),75.34)</f>
        <v>75.34</v>
      </c>
      <c r="AE224" s="1">
        <f>IFERROR(__xludf.DUMMYFUNCTION("""COMPUTED_VALUE"""),465.47)</f>
        <v>465.47</v>
      </c>
      <c r="AF224" s="1">
        <f>IFERROR(__xludf.DUMMYFUNCTION("""COMPUTED_VALUE"""),67.8)</f>
        <v>67.8</v>
      </c>
      <c r="AG224" s="1">
        <f>IFERROR(__xludf.DUMMYFUNCTION("""COMPUTED_VALUE"""),119.04)</f>
        <v>119.04</v>
      </c>
      <c r="AH224" s="1">
        <f>IFERROR(__xludf.DUMMYFUNCTION("""COMPUTED_VALUE"""),241.98)</f>
        <v>241.98</v>
      </c>
      <c r="AI224" s="1">
        <f>IFERROR(__xludf.DUMMYFUNCTION("""COMPUTED_VALUE"""),430.61)</f>
        <v>430.61</v>
      </c>
      <c r="AJ224" s="1">
        <f>IFERROR(__xludf.DUMMYFUNCTION("""COMPUTED_VALUE"""),274.14)</f>
        <v>274.14</v>
      </c>
      <c r="AK224" s="1">
        <f>IFERROR(__xludf.DUMMYFUNCTION("""COMPUTED_VALUE"""),47.26)</f>
        <v>47.26</v>
      </c>
      <c r="AL224" s="1">
        <f>IFERROR(__xludf.DUMMYFUNCTION("""COMPUTED_VALUE"""),111.28)</f>
        <v>111.28</v>
      </c>
      <c r="AM224" s="1">
        <f>IFERROR(__xludf.DUMMYFUNCTION("""COMPUTED_VALUE"""),548.45)</f>
        <v>548.45</v>
      </c>
      <c r="AN224" s="1">
        <f>IFERROR(__xludf.DUMMYFUNCTION("""COMPUTED_VALUE"""),365.52)</f>
        <v>365.52</v>
      </c>
      <c r="AO224" s="1">
        <f>IFERROR(__xludf.DUMMYFUNCTION("""COMPUTED_VALUE"""),146.38)</f>
        <v>146.38</v>
      </c>
      <c r="AP224" s="1">
        <f>IFERROR(__xludf.DUMMYFUNCTION("""COMPUTED_VALUE"""),171.49)</f>
        <v>171.49</v>
      </c>
      <c r="AQ224" s="3">
        <f>IFERROR(__xludf.DUMMYFUNCTION("""COMPUTED_VALUE"""),496.36)</f>
        <v>496.36</v>
      </c>
      <c r="AR224" s="3">
        <f>IFERROR(__xludf.DUMMYFUNCTION("""COMPUTED_VALUE"""),243.66)</f>
        <v>243.66</v>
      </c>
      <c r="AS224" s="3">
        <f>IFERROR(__xludf.DUMMYFUNCTION("""COMPUTED_VALUE"""),448.64)</f>
        <v>448.64</v>
      </c>
      <c r="AT224" s="3">
        <f>IFERROR(__xludf.DUMMYFUNCTION("""COMPUTED_VALUE"""),279.63)</f>
        <v>279.63</v>
      </c>
      <c r="AU224" s="1">
        <f>IFERROR(__xludf.DUMMYFUNCTION("""COMPUTED_VALUE"""),31.76)</f>
        <v>31.76</v>
      </c>
      <c r="AV224" s="1">
        <f>IFERROR(__xludf.DUMMYFUNCTION("""COMPUTED_VALUE"""),88.49)</f>
        <v>88.49</v>
      </c>
      <c r="AW224" s="1">
        <f>IFERROR(__xludf.DUMMYFUNCTION("""COMPUTED_VALUE"""),81.16)</f>
        <v>81.16</v>
      </c>
      <c r="AX224" s="3">
        <f>IFERROR(__xludf.DUMMYFUNCTION("""COMPUTED_VALUE"""),25.17)</f>
        <v>25.17</v>
      </c>
      <c r="AY224" s="1">
        <f>IFERROR(__xludf.DUMMYFUNCTION("""COMPUTED_VALUE"""),382.19)</f>
        <v>382.19</v>
      </c>
      <c r="AZ224" s="3">
        <f>IFERROR(__xludf.DUMMYFUNCTION("""COMPUTED_VALUE"""),70.92)</f>
        <v>70.92</v>
      </c>
      <c r="BA224" s="3">
        <f>IFERROR(__xludf.DUMMYFUNCTION("""COMPUTED_VALUE"""),98.53)</f>
        <v>98.53</v>
      </c>
      <c r="BB224" s="3">
        <f>IFERROR(__xludf.DUMMYFUNCTION("""COMPUTED_VALUE"""),110.15)</f>
        <v>110.15</v>
      </c>
      <c r="BC224" s="1">
        <f>IFERROR(__xludf.DUMMYFUNCTION("""COMPUTED_VALUE"""),104.06)</f>
        <v>104.06</v>
      </c>
      <c r="BD224" s="3">
        <f>IFERROR(__xludf.DUMMYFUNCTION("""COMPUTED_VALUE"""),42.7)</f>
        <v>42.7</v>
      </c>
      <c r="BE224" s="3">
        <f>IFERROR(__xludf.DUMMYFUNCTION("""COMPUTED_VALUE"""),84.68)</f>
        <v>84.68</v>
      </c>
      <c r="BF224" s="1">
        <f>IFERROR(__xludf.DUMMYFUNCTION("""COMPUTED_VALUE"""),66.1)</f>
        <v>66.1</v>
      </c>
      <c r="BG224" s="1">
        <f>IFERROR(__xludf.DUMMYFUNCTION("""COMPUTED_VALUE"""),24.54)</f>
        <v>24.54</v>
      </c>
      <c r="BH224" s="1">
        <f>IFERROR(__xludf.DUMMYFUNCTION("""COMPUTED_VALUE"""),132.85)</f>
        <v>132.85</v>
      </c>
      <c r="BI224" s="3">
        <f>IFERROR(__xludf.DUMMYFUNCTION("""COMPUTED_VALUE"""),33.62)</f>
        <v>33.62</v>
      </c>
      <c r="BJ224" s="1">
        <f>IFERROR(__xludf.DUMMYFUNCTION("""COMPUTED_VALUE"""),268.54)</f>
        <v>268.54</v>
      </c>
      <c r="BK224" s="1">
        <f>IFERROR(__xludf.DUMMYFUNCTION("""COMPUTED_VALUE"""),482.97)</f>
        <v>482.97</v>
      </c>
      <c r="BL224" s="1">
        <f>IFERROR(__xludf.DUMMYFUNCTION("""COMPUTED_VALUE"""),174.42)</f>
        <v>174.42</v>
      </c>
      <c r="BM224" s="1">
        <f>IFERROR(__xludf.DUMMYFUNCTION("""COMPUTED_VALUE"""),68.27)</f>
        <v>68.27</v>
      </c>
      <c r="BN224" s="3">
        <f>IFERROR(__xludf.DUMMYFUNCTION("""COMPUTED_VALUE"""),6.35)</f>
        <v>6.35</v>
      </c>
      <c r="BO224" s="1">
        <f>IFERROR(__xludf.DUMMYFUNCTION("""COMPUTED_VALUE"""),237.17)</f>
        <v>237.17</v>
      </c>
      <c r="BP224" s="1">
        <f>IFERROR(__xludf.DUMMYFUNCTION("""COMPUTED_VALUE"""),523.12)</f>
        <v>523.12</v>
      </c>
      <c r="BQ224" s="36">
        <f>IFERROR(__xludf.DUMMYFUNCTION("""COMPUTED_VALUE"""),49.81)</f>
        <v>49.81</v>
      </c>
      <c r="BR224" s="1">
        <f>IFERROR(__xludf.DUMMYFUNCTION("""COMPUTED_VALUE"""),8.6)</f>
        <v>8.6</v>
      </c>
      <c r="BS224" s="3">
        <f>IFERROR(__xludf.DUMMYFUNCTION("""COMPUTED_VALUE"""),233.79)</f>
        <v>233.79</v>
      </c>
      <c r="BT224" s="1">
        <f>IFERROR(__xludf.DUMMYFUNCTION("""COMPUTED_VALUE"""),97.68)</f>
        <v>97.68</v>
      </c>
      <c r="BU224" s="3">
        <v>1.0</v>
      </c>
    </row>
    <row r="225">
      <c r="A225" s="25">
        <f>IFERROR(__xludf.DUMMYFUNCTION("""COMPUTED_VALUE"""),45749.66666666667)</f>
        <v>45749.66667</v>
      </c>
      <c r="B225" s="29">
        <f>'Master Scratch Work'!B224</f>
        <v>1331804.84</v>
      </c>
      <c r="C225" s="15">
        <f>IFERROR(__xludf.DUMMYFUNCTION("""COMPUTED_VALUE"""),5670.97)</f>
        <v>5670.97</v>
      </c>
      <c r="D225" s="15">
        <f>IFERROR(__xludf.DUMMYFUNCTION("""COMPUTED_VALUE"""),17601.05)</f>
        <v>17601.05</v>
      </c>
      <c r="E225" s="15">
        <f>IFERROR(__xludf.DUMMYFUNCTION("""COMPUTED_VALUE"""),42225.32)</f>
        <v>42225.32</v>
      </c>
      <c r="F225" s="15">
        <f>IFERROR(__xludf.DUMMYFUNCTION("""COMPUTED_VALUE"""),2045.36)</f>
        <v>2045.36</v>
      </c>
      <c r="G225" s="3">
        <f>IFERROR(__xludf.DUMMYFUNCTION("""COMPUTED_VALUE"""),564.52)</f>
        <v>564.52</v>
      </c>
      <c r="H225" s="3">
        <f>IFERROR(__xludf.DUMMYFUNCTION("""COMPUTED_VALUE"""),476.15)</f>
        <v>476.15</v>
      </c>
      <c r="I225" s="3">
        <f>IFERROR(__xludf.DUMMYFUNCTION("""COMPUTED_VALUE"""),385.78)</f>
        <v>385.78</v>
      </c>
      <c r="J225" s="3">
        <f>IFERROR(__xludf.DUMMYFUNCTION("""COMPUTED_VALUE"""),196.01)</f>
        <v>196.01</v>
      </c>
      <c r="K225" s="3">
        <f>IFERROR(__xludf.DUMMYFUNCTION("""COMPUTED_VALUE"""),146.19)</f>
        <v>146.19</v>
      </c>
      <c r="L225" s="3">
        <f>IFERROR(__xludf.DUMMYFUNCTION("""COMPUTED_VALUE"""),223.89)</f>
        <v>223.89</v>
      </c>
      <c r="M225" s="3">
        <f>IFERROR(__xludf.DUMMYFUNCTION("""COMPUTED_VALUE"""),147.75)</f>
        <v>147.75</v>
      </c>
      <c r="N225" s="3">
        <f>IFERROR(__xludf.DUMMYFUNCTION("""COMPUTED_VALUE"""),84.22)</f>
        <v>84.22</v>
      </c>
      <c r="O225" s="3">
        <f>IFERROR(__xludf.DUMMYFUNCTION("""COMPUTED_VALUE"""),15.74)</f>
        <v>15.74</v>
      </c>
      <c r="P225" s="3">
        <f>IFERROR(__xludf.DUMMYFUNCTION("""COMPUTED_VALUE"""),537.72)</f>
        <v>537.72</v>
      </c>
      <c r="Q225" s="3">
        <f>IFERROR(__xludf.DUMMYFUNCTION("""COMPUTED_VALUE"""),47.88)</f>
        <v>47.88</v>
      </c>
      <c r="R225" s="3">
        <f>IFERROR(__xludf.DUMMYFUNCTION("""COMPUTED_VALUE"""),131.32)</f>
        <v>131.32</v>
      </c>
      <c r="S225" s="3">
        <f>IFERROR(__xludf.DUMMYFUNCTION("""COMPUTED_VALUE"""),100.05)</f>
        <v>100.05</v>
      </c>
      <c r="T225" s="3">
        <f>IFERROR(__xludf.DUMMYFUNCTION("""COMPUTED_VALUE"""),65.04)</f>
        <v>65.04</v>
      </c>
      <c r="U225" s="3">
        <f>IFERROR(__xludf.DUMMYFUNCTION("""COMPUTED_VALUE"""),334.66)</f>
        <v>334.66</v>
      </c>
      <c r="V225" s="3">
        <f>IFERROR(__xludf.DUMMYFUNCTION("""COMPUTED_VALUE"""),42.47)</f>
        <v>42.47</v>
      </c>
      <c r="W225" s="3">
        <f>IFERROR(__xludf.DUMMYFUNCTION("""COMPUTED_VALUE"""),228.01)</f>
        <v>228.01</v>
      </c>
      <c r="X225" s="3">
        <f>IFERROR(__xludf.DUMMYFUNCTION("""COMPUTED_VALUE"""),166.47)</f>
        <v>166.47</v>
      </c>
      <c r="Y225" s="1">
        <f>IFERROR(__xludf.DUMMYFUNCTION("""COMPUTED_VALUE"""),331.92)</f>
        <v>331.92</v>
      </c>
      <c r="Z225" s="1">
        <f>IFERROR(__xludf.DUMMYFUNCTION("""COMPUTED_VALUE"""),41.66)</f>
        <v>41.66</v>
      </c>
      <c r="AA225" s="1">
        <f>IFERROR(__xludf.DUMMYFUNCTION("""COMPUTED_VALUE"""),71.33)</f>
        <v>71.33</v>
      </c>
      <c r="AB225" s="1">
        <f>IFERROR(__xludf.DUMMYFUNCTION("""COMPUTED_VALUE"""),109.58)</f>
        <v>109.58</v>
      </c>
      <c r="AC225" s="1">
        <f>IFERROR(__xludf.DUMMYFUNCTION("""COMPUTED_VALUE"""),148.68)</f>
        <v>148.68</v>
      </c>
      <c r="AD225" s="3">
        <f>IFERROR(__xludf.DUMMYFUNCTION("""COMPUTED_VALUE"""),77.57)</f>
        <v>77.57</v>
      </c>
      <c r="AE225" s="1">
        <f>IFERROR(__xludf.DUMMYFUNCTION("""COMPUTED_VALUE"""),468.35)</f>
        <v>468.35</v>
      </c>
      <c r="AF225" s="1">
        <f>IFERROR(__xludf.DUMMYFUNCTION("""COMPUTED_VALUE"""),67.42)</f>
        <v>67.42</v>
      </c>
      <c r="AG225" s="1">
        <f>IFERROR(__xludf.DUMMYFUNCTION("""COMPUTED_VALUE"""),118.67)</f>
        <v>118.67</v>
      </c>
      <c r="AH225" s="1">
        <f>IFERROR(__xludf.DUMMYFUNCTION("""COMPUTED_VALUE"""),245.17)</f>
        <v>245.17</v>
      </c>
      <c r="AI225" s="1">
        <f>IFERROR(__xludf.DUMMYFUNCTION("""COMPUTED_VALUE"""),438.54)</f>
        <v>438.54</v>
      </c>
      <c r="AJ225" s="1">
        <f>IFERROR(__xludf.DUMMYFUNCTION("""COMPUTED_VALUE"""),276.04)</f>
        <v>276.04</v>
      </c>
      <c r="AK225" s="1">
        <f>IFERROR(__xludf.DUMMYFUNCTION("""COMPUTED_VALUE"""),47.98)</f>
        <v>47.98</v>
      </c>
      <c r="AL225" s="1">
        <f>IFERROR(__xludf.DUMMYFUNCTION("""COMPUTED_VALUE"""),111.89)</f>
        <v>111.89</v>
      </c>
      <c r="AM225" s="1">
        <f>IFERROR(__xludf.DUMMYFUNCTION("""COMPUTED_VALUE"""),563.1)</f>
        <v>563.1</v>
      </c>
      <c r="AN225" s="1">
        <f>IFERROR(__xludf.DUMMYFUNCTION("""COMPUTED_VALUE"""),370.89)</f>
        <v>370.89</v>
      </c>
      <c r="AO225" s="1">
        <f>IFERROR(__xludf.DUMMYFUNCTION("""COMPUTED_VALUE"""),147.78)</f>
        <v>147.78</v>
      </c>
      <c r="AP225" s="1">
        <f>IFERROR(__xludf.DUMMYFUNCTION("""COMPUTED_VALUE"""),170.44)</f>
        <v>170.44</v>
      </c>
      <c r="AQ225" s="3">
        <f>IFERROR(__xludf.DUMMYFUNCTION("""COMPUTED_VALUE"""),507.05)</f>
        <v>507.05</v>
      </c>
      <c r="AR225" s="3">
        <f>IFERROR(__xludf.DUMMYFUNCTION("""COMPUTED_VALUE"""),245.82)</f>
        <v>245.82</v>
      </c>
      <c r="AS225" s="3">
        <f>IFERROR(__xludf.DUMMYFUNCTION("""COMPUTED_VALUE"""),452.87)</f>
        <v>452.87</v>
      </c>
      <c r="AT225" s="3">
        <f>IFERROR(__xludf.DUMMYFUNCTION("""COMPUTED_VALUE"""),282.75)</f>
        <v>282.75</v>
      </c>
      <c r="AU225" s="1">
        <f>IFERROR(__xludf.DUMMYFUNCTION("""COMPUTED_VALUE"""),32.35)</f>
        <v>32.35</v>
      </c>
      <c r="AV225" s="1">
        <f>IFERROR(__xludf.DUMMYFUNCTION("""COMPUTED_VALUE"""),88.86)</f>
        <v>88.86</v>
      </c>
      <c r="AW225" s="1">
        <f>IFERROR(__xludf.DUMMYFUNCTION("""COMPUTED_VALUE"""),82.49)</f>
        <v>82.49</v>
      </c>
      <c r="AX225" s="3">
        <f>IFERROR(__xludf.DUMMYFUNCTION("""COMPUTED_VALUE"""),25.16)</f>
        <v>25.16</v>
      </c>
      <c r="AY225" s="1">
        <f>IFERROR(__xludf.DUMMYFUNCTION("""COMPUTED_VALUE"""),382.14)</f>
        <v>382.14</v>
      </c>
      <c r="AZ225" s="3">
        <f>IFERROR(__xludf.DUMMYFUNCTION("""COMPUTED_VALUE"""),70.48)</f>
        <v>70.48</v>
      </c>
      <c r="BA225" s="3">
        <f>IFERROR(__xludf.DUMMYFUNCTION("""COMPUTED_VALUE"""),102.88)</f>
        <v>102.88</v>
      </c>
      <c r="BB225" s="3">
        <f>IFERROR(__xludf.DUMMYFUNCTION("""COMPUTED_VALUE"""),110.42)</f>
        <v>110.42</v>
      </c>
      <c r="BC225" s="1">
        <f>IFERROR(__xludf.DUMMYFUNCTION("""COMPUTED_VALUE"""),103.94)</f>
        <v>103.94</v>
      </c>
      <c r="BD225" s="3">
        <f>IFERROR(__xludf.DUMMYFUNCTION("""COMPUTED_VALUE"""),44.92)</f>
        <v>44.92</v>
      </c>
      <c r="BE225" s="3">
        <f>IFERROR(__xludf.DUMMYFUNCTION("""COMPUTED_VALUE"""),87.45)</f>
        <v>87.45</v>
      </c>
      <c r="BF225" s="1">
        <f>IFERROR(__xludf.DUMMYFUNCTION("""COMPUTED_VALUE"""),67.15)</f>
        <v>67.15</v>
      </c>
      <c r="BG225" s="1">
        <f>IFERROR(__xludf.DUMMYFUNCTION("""COMPUTED_VALUE"""),24.7)</f>
        <v>24.7</v>
      </c>
      <c r="BH225" s="1">
        <f>IFERROR(__xludf.DUMMYFUNCTION("""COMPUTED_VALUE"""),133.15)</f>
        <v>133.15</v>
      </c>
      <c r="BI225" s="3">
        <f>IFERROR(__xludf.DUMMYFUNCTION("""COMPUTED_VALUE"""),34.6)</f>
        <v>34.6</v>
      </c>
      <c r="BJ225" s="1">
        <f>IFERROR(__xludf.DUMMYFUNCTION("""COMPUTED_VALUE"""),264.56)</f>
        <v>264.56</v>
      </c>
      <c r="BK225" s="1">
        <f>IFERROR(__xludf.DUMMYFUNCTION("""COMPUTED_VALUE"""),489.06)</f>
        <v>489.06</v>
      </c>
      <c r="BL225" s="1">
        <f>IFERROR(__xludf.DUMMYFUNCTION("""COMPUTED_VALUE"""),177.31)</f>
        <v>177.31</v>
      </c>
      <c r="BM225" s="1">
        <f>IFERROR(__xludf.DUMMYFUNCTION("""COMPUTED_VALUE"""),73.11)</f>
        <v>73.11</v>
      </c>
      <c r="BN225" s="3">
        <f>IFERROR(__xludf.DUMMYFUNCTION("""COMPUTED_VALUE"""),6.6)</f>
        <v>6.6</v>
      </c>
      <c r="BO225" s="1">
        <f>IFERROR(__xludf.DUMMYFUNCTION("""COMPUTED_VALUE"""),238.46)</f>
        <v>238.46</v>
      </c>
      <c r="BP225" s="1">
        <f>IFERROR(__xludf.DUMMYFUNCTION("""COMPUTED_VALUE"""),523.2)</f>
        <v>523.2</v>
      </c>
      <c r="BQ225" s="36">
        <f>IFERROR(__xludf.DUMMYFUNCTION("""COMPUTED_VALUE"""),49.76)</f>
        <v>49.76</v>
      </c>
      <c r="BR225" s="1">
        <f>IFERROR(__xludf.DUMMYFUNCTION("""COMPUTED_VALUE"""),8.66)</f>
        <v>8.66</v>
      </c>
      <c r="BS225" s="3">
        <f>IFERROR(__xludf.DUMMYFUNCTION("""COMPUTED_VALUE"""),234.56)</f>
        <v>234.56</v>
      </c>
      <c r="BT225" s="1">
        <f>IFERROR(__xludf.DUMMYFUNCTION("""COMPUTED_VALUE"""),97.88)</f>
        <v>97.88</v>
      </c>
      <c r="BU225" s="3">
        <v>1.0</v>
      </c>
    </row>
    <row r="226">
      <c r="A226" s="25">
        <f>IFERROR(__xludf.DUMMYFUNCTION("""COMPUTED_VALUE"""),45750.66666666667)</f>
        <v>45750.66667</v>
      </c>
      <c r="B226" s="29">
        <f>'Master Scratch Work'!B225</f>
        <v>1286417.69</v>
      </c>
      <c r="C226" s="15">
        <f>IFERROR(__xludf.DUMMYFUNCTION("""COMPUTED_VALUE"""),5396.52)</f>
        <v>5396.52</v>
      </c>
      <c r="D226" s="15">
        <f>IFERROR(__xludf.DUMMYFUNCTION("""COMPUTED_VALUE"""),16550.61)</f>
        <v>16550.61</v>
      </c>
      <c r="E226" s="15">
        <f>IFERROR(__xludf.DUMMYFUNCTION("""COMPUTED_VALUE"""),40545.93)</f>
        <v>40545.93</v>
      </c>
      <c r="F226" s="15">
        <f>IFERROR(__xludf.DUMMYFUNCTION("""COMPUTED_VALUE"""),1910.55)</f>
        <v>1910.55</v>
      </c>
      <c r="G226" s="3">
        <f>IFERROR(__xludf.DUMMYFUNCTION("""COMPUTED_VALUE"""),536.7)</f>
        <v>536.7</v>
      </c>
      <c r="H226" s="3">
        <f>IFERROR(__xludf.DUMMYFUNCTION("""COMPUTED_VALUE"""),450.66)</f>
        <v>450.66</v>
      </c>
      <c r="I226" s="3">
        <f>IFERROR(__xludf.DUMMYFUNCTION("""COMPUTED_VALUE"""),367.25)</f>
        <v>367.25</v>
      </c>
      <c r="J226" s="3">
        <f>IFERROR(__xludf.DUMMYFUNCTION("""COMPUTED_VALUE"""),178.41)</f>
        <v>178.41</v>
      </c>
      <c r="K226" s="3">
        <f>IFERROR(__xludf.DUMMYFUNCTION("""COMPUTED_VALUE"""),151.96)</f>
        <v>151.96</v>
      </c>
      <c r="L226" s="3">
        <f>IFERROR(__xludf.DUMMYFUNCTION("""COMPUTED_VALUE"""),203.19)</f>
        <v>203.19</v>
      </c>
      <c r="M226" s="3">
        <f>IFERROR(__xludf.DUMMYFUNCTION("""COMPUTED_VALUE"""),135.51)</f>
        <v>135.51</v>
      </c>
      <c r="N226" s="3">
        <f>IFERROR(__xludf.DUMMYFUNCTION("""COMPUTED_VALUE"""),79.91)</f>
        <v>79.91</v>
      </c>
      <c r="O226" s="3">
        <f>IFERROR(__xludf.DUMMYFUNCTION("""COMPUTED_VALUE"""),14.31)</f>
        <v>14.31</v>
      </c>
      <c r="P226" s="3">
        <f>IFERROR(__xludf.DUMMYFUNCTION("""COMPUTED_VALUE"""),530.16)</f>
        <v>530.16</v>
      </c>
      <c r="Q226" s="3">
        <f>IFERROR(__xludf.DUMMYFUNCTION("""COMPUTED_VALUE"""),46.48)</f>
        <v>46.48</v>
      </c>
      <c r="R226" s="3">
        <f>IFERROR(__xludf.DUMMYFUNCTION("""COMPUTED_VALUE"""),130.71)</f>
        <v>130.71</v>
      </c>
      <c r="S226" s="3">
        <f>IFERROR(__xludf.DUMMYFUNCTION("""COMPUTED_VALUE"""),98.5)</f>
        <v>98.5</v>
      </c>
      <c r="T226" s="3">
        <f>IFERROR(__xludf.DUMMYFUNCTION("""COMPUTED_VALUE"""),60.72)</f>
        <v>60.72</v>
      </c>
      <c r="U226" s="3">
        <f>IFERROR(__xludf.DUMMYFUNCTION("""COMPUTED_VALUE"""),305.76)</f>
        <v>305.76</v>
      </c>
      <c r="V226" s="3">
        <f>IFERROR(__xludf.DUMMYFUNCTION("""COMPUTED_VALUE"""),40.91)</f>
        <v>40.91</v>
      </c>
      <c r="W226" s="3">
        <f>IFERROR(__xludf.DUMMYFUNCTION("""COMPUTED_VALUE"""),224.02)</f>
        <v>224.02</v>
      </c>
      <c r="X226" s="3">
        <f>IFERROR(__xludf.DUMMYFUNCTION("""COMPUTED_VALUE"""),156.12)</f>
        <v>156.12</v>
      </c>
      <c r="Y226" s="1">
        <f>IFERROR(__xludf.DUMMYFUNCTION("""COMPUTED_VALUE"""),338.45)</f>
        <v>338.45</v>
      </c>
      <c r="Z226" s="1">
        <f>IFERROR(__xludf.DUMMYFUNCTION("""COMPUTED_VALUE"""),36.22)</f>
        <v>36.22</v>
      </c>
      <c r="AA226" s="1">
        <f>IFERROR(__xludf.DUMMYFUNCTION("""COMPUTED_VALUE"""),73.18)</f>
        <v>73.18</v>
      </c>
      <c r="AB226" s="1">
        <f>IFERROR(__xludf.DUMMYFUNCTION("""COMPUTED_VALUE"""),112.72)</f>
        <v>112.72</v>
      </c>
      <c r="AC226" s="1">
        <f>IFERROR(__xludf.DUMMYFUNCTION("""COMPUTED_VALUE"""),141.09)</f>
        <v>141.09</v>
      </c>
      <c r="AD226" s="3">
        <f>IFERROR(__xludf.DUMMYFUNCTION("""COMPUTED_VALUE"""),67.22)</f>
        <v>67.22</v>
      </c>
      <c r="AE226" s="1">
        <f>IFERROR(__xludf.DUMMYFUNCTION("""COMPUTED_VALUE"""),463.78)</f>
        <v>463.78</v>
      </c>
      <c r="AF226" s="1">
        <f>IFERROR(__xludf.DUMMYFUNCTION("""COMPUTED_VALUE"""),66.36)</f>
        <v>66.36</v>
      </c>
      <c r="AG226" s="1">
        <f>IFERROR(__xludf.DUMMYFUNCTION("""COMPUTED_VALUE"""),112.43)</f>
        <v>112.43</v>
      </c>
      <c r="AH226" s="1">
        <f>IFERROR(__xludf.DUMMYFUNCTION("""COMPUTED_VALUE"""),215.86)</f>
        <v>215.86</v>
      </c>
      <c r="AI226" s="1">
        <f>IFERROR(__xludf.DUMMYFUNCTION("""COMPUTED_VALUE"""),431.23)</f>
        <v>431.23</v>
      </c>
      <c r="AJ226" s="1">
        <f>IFERROR(__xludf.DUMMYFUNCTION("""COMPUTED_VALUE"""),269.62)</f>
        <v>269.62</v>
      </c>
      <c r="AK226" s="1">
        <f>IFERROR(__xludf.DUMMYFUNCTION("""COMPUTED_VALUE"""),45.9)</f>
        <v>45.9</v>
      </c>
      <c r="AL226" s="1">
        <f>IFERROR(__xludf.DUMMYFUNCTION("""COMPUTED_VALUE"""),112.39)</f>
        <v>112.39</v>
      </c>
      <c r="AM226" s="1">
        <f>IFERROR(__xludf.DUMMYFUNCTION("""COMPUTED_VALUE"""),511.23)</f>
        <v>511.23</v>
      </c>
      <c r="AN226" s="1">
        <f>IFERROR(__xludf.DUMMYFUNCTION("""COMPUTED_VALUE"""),355.91)</f>
        <v>355.91</v>
      </c>
      <c r="AO226" s="1">
        <f>IFERROR(__xludf.DUMMYFUNCTION("""COMPUTED_VALUE"""),147.51)</f>
        <v>147.51</v>
      </c>
      <c r="AP226" s="1">
        <f>IFERROR(__xludf.DUMMYFUNCTION("""COMPUTED_VALUE"""),167.56)</f>
        <v>167.56</v>
      </c>
      <c r="AQ226" s="3">
        <f>IFERROR(__xludf.DUMMYFUNCTION("""COMPUTED_VALUE"""),494.61)</f>
        <v>494.61</v>
      </c>
      <c r="AR226" s="3">
        <f>IFERROR(__xludf.DUMMYFUNCTION("""COMPUTED_VALUE"""),228.69)</f>
        <v>228.69</v>
      </c>
      <c r="AS226" s="3">
        <f>IFERROR(__xludf.DUMMYFUNCTION("""COMPUTED_VALUE"""),454.78)</f>
        <v>454.78</v>
      </c>
      <c r="AT226" s="3">
        <f>IFERROR(__xludf.DUMMYFUNCTION("""COMPUTED_VALUE"""),255.65)</f>
        <v>255.65</v>
      </c>
      <c r="AU226" s="1">
        <f>IFERROR(__xludf.DUMMYFUNCTION("""COMPUTED_VALUE"""),30.63)</f>
        <v>30.63</v>
      </c>
      <c r="AV226" s="1">
        <f>IFERROR(__xludf.DUMMYFUNCTION("""COMPUTED_VALUE"""),87.89)</f>
        <v>87.89</v>
      </c>
      <c r="AW226" s="1">
        <f>IFERROR(__xludf.DUMMYFUNCTION("""COMPUTED_VALUE"""),75.91)</f>
        <v>75.91</v>
      </c>
      <c r="AX226" s="3">
        <f>IFERROR(__xludf.DUMMYFUNCTION("""COMPUTED_VALUE"""),24.82)</f>
        <v>24.82</v>
      </c>
      <c r="AY226" s="1">
        <f>IFERROR(__xludf.DUMMYFUNCTION("""COMPUTED_VALUE"""),373.11)</f>
        <v>373.11</v>
      </c>
      <c r="AZ226" s="3">
        <f>IFERROR(__xludf.DUMMYFUNCTION("""COMPUTED_VALUE"""),72.14)</f>
        <v>72.14</v>
      </c>
      <c r="BA226" s="3">
        <f>IFERROR(__xludf.DUMMYFUNCTION("""COMPUTED_VALUE"""),92.77)</f>
        <v>92.77</v>
      </c>
      <c r="BB226" s="3">
        <f>IFERROR(__xludf.DUMMYFUNCTION("""COMPUTED_VALUE"""),101.8)</f>
        <v>101.8</v>
      </c>
      <c r="BC226" s="1">
        <f>IFERROR(__xludf.DUMMYFUNCTION("""COMPUTED_VALUE"""),104.3)</f>
        <v>104.3</v>
      </c>
      <c r="BD226" s="1">
        <f>IFERROR(__xludf.DUMMYFUNCTION("""COMPUTED_VALUE"""),37.65)</f>
        <v>37.65</v>
      </c>
      <c r="BE226" s="3">
        <f>IFERROR(__xludf.DUMMYFUNCTION("""COMPUTED_VALUE"""),83.6)</f>
        <v>83.6</v>
      </c>
      <c r="BF226" s="1">
        <f>IFERROR(__xludf.DUMMYFUNCTION("""COMPUTED_VALUE"""),61.71)</f>
        <v>61.71</v>
      </c>
      <c r="BG226" s="1">
        <f>IFERROR(__xludf.DUMMYFUNCTION("""COMPUTED_VALUE"""),24.29)</f>
        <v>24.29</v>
      </c>
      <c r="BH226" s="1">
        <f>IFERROR(__xludf.DUMMYFUNCTION("""COMPUTED_VALUE"""),130.23)</f>
        <v>130.23</v>
      </c>
      <c r="BI226" s="3">
        <f>IFERROR(__xludf.DUMMYFUNCTION("""COMPUTED_VALUE"""),32.87)</f>
        <v>32.87</v>
      </c>
      <c r="BJ226" s="1">
        <f>IFERROR(__xludf.DUMMYFUNCTION("""COMPUTED_VALUE"""),267.89)</f>
        <v>267.89</v>
      </c>
      <c r="BK226" s="1">
        <f>IFERROR(__xludf.DUMMYFUNCTION("""COMPUTED_VALUE"""),470.03)</f>
        <v>470.03</v>
      </c>
      <c r="BL226" s="1">
        <f>IFERROR(__xludf.DUMMYFUNCTION("""COMPUTED_VALUE"""),168.07)</f>
        <v>168.07</v>
      </c>
      <c r="BM226" s="1">
        <f>IFERROR(__xludf.DUMMYFUNCTION("""COMPUTED_VALUE"""),70.96)</f>
        <v>70.96</v>
      </c>
      <c r="BN226" s="3">
        <f>IFERROR(__xludf.DUMMYFUNCTION("""COMPUTED_VALUE"""),5.36)</f>
        <v>5.36</v>
      </c>
      <c r="BO226" s="1">
        <f>IFERROR(__xludf.DUMMYFUNCTION("""COMPUTED_VALUE"""),223.97)</f>
        <v>223.97</v>
      </c>
      <c r="BP226" s="1">
        <f>IFERROR(__xludf.DUMMYFUNCTION("""COMPUTED_VALUE"""),540.44)</f>
        <v>540.44</v>
      </c>
      <c r="BQ226" s="36">
        <f>IFERROR(__xludf.DUMMYFUNCTION("""COMPUTED_VALUE"""),50.06)</f>
        <v>50.06</v>
      </c>
      <c r="BR226" s="1">
        <f>IFERROR(__xludf.DUMMYFUNCTION("""COMPUTED_VALUE"""),8.16)</f>
        <v>8.16</v>
      </c>
      <c r="BS226" s="3">
        <f>IFERROR(__xludf.DUMMYFUNCTION("""COMPUTED_VALUE"""),236.83)</f>
        <v>236.83</v>
      </c>
      <c r="BT226" s="1">
        <f>IFERROR(__xludf.DUMMYFUNCTION("""COMPUTED_VALUE"""),88.84)</f>
        <v>88.84</v>
      </c>
      <c r="BU226" s="3">
        <v>1.0</v>
      </c>
    </row>
    <row r="227">
      <c r="A227" s="25">
        <f>IFERROR(__xludf.DUMMYFUNCTION("""COMPUTED_VALUE"""),45751.66666666667)</f>
        <v>45751.66667</v>
      </c>
      <c r="B227" s="29">
        <f>'Master Scratch Work'!B226</f>
        <v>1204887.97</v>
      </c>
      <c r="C227" s="15">
        <f>IFERROR(__xludf.DUMMYFUNCTION("""COMPUTED_VALUE"""),5074.08)</f>
        <v>5074.08</v>
      </c>
      <c r="D227" s="15">
        <f>IFERROR(__xludf.DUMMYFUNCTION("""COMPUTED_VALUE"""),15587.79)</f>
        <v>15587.79</v>
      </c>
      <c r="E227" s="15">
        <f>IFERROR(__xludf.DUMMYFUNCTION("""COMPUTED_VALUE"""),38314.86)</f>
        <v>38314.86</v>
      </c>
      <c r="F227" s="15">
        <f>IFERROR(__xludf.DUMMYFUNCTION("""COMPUTED_VALUE"""),1827.03)</f>
        <v>1827.03</v>
      </c>
      <c r="G227" s="3">
        <f>IFERROR(__xludf.DUMMYFUNCTION("""COMPUTED_VALUE"""),505.28)</f>
        <v>505.28</v>
      </c>
      <c r="H227" s="3">
        <f>IFERROR(__xludf.DUMMYFUNCTION("""COMPUTED_VALUE"""),422.67)</f>
        <v>422.67</v>
      </c>
      <c r="I227" s="3">
        <f>IFERROR(__xludf.DUMMYFUNCTION("""COMPUTED_VALUE"""),349.07)</f>
        <v>349.07</v>
      </c>
      <c r="J227" s="3">
        <f>IFERROR(__xludf.DUMMYFUNCTION("""COMPUTED_VALUE"""),171.0)</f>
        <v>171</v>
      </c>
      <c r="K227" s="3">
        <f>IFERROR(__xludf.DUMMYFUNCTION("""COMPUTED_VALUE"""),147.23)</f>
        <v>147.23</v>
      </c>
      <c r="L227" s="3">
        <f>IFERROR(__xludf.DUMMYFUNCTION("""COMPUTED_VALUE"""),188.38)</f>
        <v>188.38</v>
      </c>
      <c r="M227" s="3">
        <f>IFERROR(__xludf.DUMMYFUNCTION("""COMPUTED_VALUE"""),126.95)</f>
        <v>126.95</v>
      </c>
      <c r="N227" s="3">
        <f>IFERROR(__xludf.DUMMYFUNCTION("""COMPUTED_VALUE"""),73.31)</f>
        <v>73.31</v>
      </c>
      <c r="O227" s="3">
        <f>IFERROR(__xludf.DUMMYFUNCTION("""COMPUTED_VALUE"""),13.17)</f>
        <v>13.17</v>
      </c>
      <c r="P227" s="3">
        <f>IFERROR(__xludf.DUMMYFUNCTION("""COMPUTED_VALUE"""),493.54)</f>
        <v>493.54</v>
      </c>
      <c r="Q227" s="3">
        <f>IFERROR(__xludf.DUMMYFUNCTION("""COMPUTED_VALUE"""),42.07)</f>
        <v>42.07</v>
      </c>
      <c r="R227" s="3">
        <f>IFERROR(__xludf.DUMMYFUNCTION("""COMPUTED_VALUE"""),122.98)</f>
        <v>122.98</v>
      </c>
      <c r="S227" s="3">
        <f>IFERROR(__xludf.DUMMYFUNCTION("""COMPUTED_VALUE"""),89.7)</f>
        <v>89.7</v>
      </c>
      <c r="T227" s="3">
        <f>IFERROR(__xludf.DUMMYFUNCTION("""COMPUTED_VALUE"""),57.18)</f>
        <v>57.18</v>
      </c>
      <c r="U227" s="3">
        <f>IFERROR(__xludf.DUMMYFUNCTION("""COMPUTED_VALUE"""),288.08)</f>
        <v>288.08</v>
      </c>
      <c r="V227" s="3">
        <f>IFERROR(__xludf.DUMMYFUNCTION("""COMPUTED_VALUE"""),37.83)</f>
        <v>37.83</v>
      </c>
      <c r="W227" s="3">
        <f>IFERROR(__xludf.DUMMYFUNCTION("""COMPUTED_VALUE"""),215.52)</f>
        <v>215.52</v>
      </c>
      <c r="X227" s="3">
        <f>IFERROR(__xludf.DUMMYFUNCTION("""COMPUTED_VALUE"""),143.28)</f>
        <v>143.28</v>
      </c>
      <c r="Y227" s="1">
        <f>IFERROR(__xludf.DUMMYFUNCTION("""COMPUTED_VALUE"""),322.4)</f>
        <v>322.4</v>
      </c>
      <c r="Z227" s="1">
        <f>IFERROR(__xludf.DUMMYFUNCTION("""COMPUTED_VALUE"""),34.27)</f>
        <v>34.27</v>
      </c>
      <c r="AA227" s="1">
        <f>IFERROR(__xludf.DUMMYFUNCTION("""COMPUTED_VALUE"""),69.93)</f>
        <v>69.93</v>
      </c>
      <c r="AB227" s="1">
        <f>IFERROR(__xludf.DUMMYFUNCTION("""COMPUTED_VALUE"""),109.32)</f>
        <v>109.32</v>
      </c>
      <c r="AC227" s="1">
        <f>IFERROR(__xludf.DUMMYFUNCTION("""COMPUTED_VALUE"""),137.5)</f>
        <v>137.5</v>
      </c>
      <c r="AD227" s="3">
        <f>IFERROR(__xludf.DUMMYFUNCTION("""COMPUTED_VALUE"""),67.55)</f>
        <v>67.55</v>
      </c>
      <c r="AE227" s="1">
        <f>IFERROR(__xludf.DUMMYFUNCTION("""COMPUTED_VALUE"""),444.21)</f>
        <v>444.21</v>
      </c>
      <c r="AF227" s="1">
        <f>IFERROR(__xludf.DUMMYFUNCTION("""COMPUTED_VALUE"""),62.4)</f>
        <v>62.4</v>
      </c>
      <c r="AG227" s="1">
        <f>IFERROR(__xludf.DUMMYFUNCTION("""COMPUTED_VALUE"""),104.34)</f>
        <v>104.34</v>
      </c>
      <c r="AH227" s="1">
        <f>IFERROR(__xludf.DUMMYFUNCTION("""COMPUTED_VALUE"""),210.12)</f>
        <v>210.12</v>
      </c>
      <c r="AI227" s="1">
        <f>IFERROR(__xludf.DUMMYFUNCTION("""COMPUTED_VALUE"""),414.85)</f>
        <v>414.85</v>
      </c>
      <c r="AJ227" s="1">
        <f>IFERROR(__xludf.DUMMYFUNCTION("""COMPUTED_VALUE"""),250.01)</f>
        <v>250.01</v>
      </c>
      <c r="AK227" s="1">
        <f>IFERROR(__xludf.DUMMYFUNCTION("""COMPUTED_VALUE"""),44.18)</f>
        <v>44.18</v>
      </c>
      <c r="AL227" s="1">
        <f>IFERROR(__xludf.DUMMYFUNCTION("""COMPUTED_VALUE"""),107.25)</f>
        <v>107.25</v>
      </c>
      <c r="AM227" s="1">
        <f>IFERROR(__xludf.DUMMYFUNCTION("""COMPUTED_VALUE"""),470.81)</f>
        <v>470.81</v>
      </c>
      <c r="AN227" s="1">
        <f>IFERROR(__xludf.DUMMYFUNCTION("""COMPUTED_VALUE"""),353.9)</f>
        <v>353.9</v>
      </c>
      <c r="AO227" s="1">
        <f>IFERROR(__xludf.DUMMYFUNCTION("""COMPUTED_VALUE"""),137.76)</f>
        <v>137.76</v>
      </c>
      <c r="AP227" s="1">
        <f>IFERROR(__xludf.DUMMYFUNCTION("""COMPUTED_VALUE"""),156.74)</f>
        <v>156.74</v>
      </c>
      <c r="AQ227" s="3">
        <f>IFERROR(__xludf.DUMMYFUNCTION("""COMPUTED_VALUE"""),451.58)</f>
        <v>451.58</v>
      </c>
      <c r="AR227" s="3">
        <f>IFERROR(__xludf.DUMMYFUNCTION("""COMPUTED_VALUE"""),210.28)</f>
        <v>210.28</v>
      </c>
      <c r="AS227" s="3">
        <f>IFERROR(__xludf.DUMMYFUNCTION("""COMPUTED_VALUE"""),432.15)</f>
        <v>432.15</v>
      </c>
      <c r="AT227" s="3">
        <f>IFERROR(__xludf.DUMMYFUNCTION("""COMPUTED_VALUE"""),263.7)</f>
        <v>263.7</v>
      </c>
      <c r="AU227" s="1">
        <f>IFERROR(__xludf.DUMMYFUNCTION("""COMPUTED_VALUE"""),27.7)</f>
        <v>27.7</v>
      </c>
      <c r="AV227" s="1">
        <f>IFERROR(__xludf.DUMMYFUNCTION("""COMPUTED_VALUE"""),82.88)</f>
        <v>82.88</v>
      </c>
      <c r="AW227" s="1">
        <f>IFERROR(__xludf.DUMMYFUNCTION("""COMPUTED_VALUE"""),69.07)</f>
        <v>69.07</v>
      </c>
      <c r="AX227" s="3">
        <f>IFERROR(__xludf.DUMMYFUNCTION("""COMPUTED_VALUE"""),23.06)</f>
        <v>23.06</v>
      </c>
      <c r="AY227" s="1">
        <f>IFERROR(__xludf.DUMMYFUNCTION("""COMPUTED_VALUE"""),359.84)</f>
        <v>359.84</v>
      </c>
      <c r="AZ227" s="3">
        <f>IFERROR(__xludf.DUMMYFUNCTION("""COMPUTED_VALUE"""),66.91)</f>
        <v>66.91</v>
      </c>
      <c r="BA227" s="3">
        <f>IFERROR(__xludf.DUMMYFUNCTION("""COMPUTED_VALUE"""),83.61)</f>
        <v>83.61</v>
      </c>
      <c r="BB227" s="3">
        <f>IFERROR(__xludf.DUMMYFUNCTION("""COMPUTED_VALUE"""),94.31)</f>
        <v>94.31</v>
      </c>
      <c r="BC227" s="1">
        <f>IFERROR(__xludf.DUMMYFUNCTION("""COMPUTED_VALUE"""),94.97)</f>
        <v>94.97</v>
      </c>
      <c r="BD227" s="1">
        <f>IFERROR(__xludf.DUMMYFUNCTION("""COMPUTED_VALUE"""),39.61)</f>
        <v>39.61</v>
      </c>
      <c r="BE227" s="3">
        <f>IFERROR(__xludf.DUMMYFUNCTION("""COMPUTED_VALUE"""),74.01)</f>
        <v>74.01</v>
      </c>
      <c r="BF227" s="1">
        <f>IFERROR(__xludf.DUMMYFUNCTION("""COMPUTED_VALUE"""),58.37)</f>
        <v>58.37</v>
      </c>
      <c r="BG227" s="1">
        <f>IFERROR(__xludf.DUMMYFUNCTION("""COMPUTED_VALUE"""),22.97)</f>
        <v>22.97</v>
      </c>
      <c r="BH227" s="1">
        <f>IFERROR(__xludf.DUMMYFUNCTION("""COMPUTED_VALUE"""),117.45)</f>
        <v>117.45</v>
      </c>
      <c r="BI227" s="3">
        <f>IFERROR(__xludf.DUMMYFUNCTION("""COMPUTED_VALUE"""),31.32)</f>
        <v>31.32</v>
      </c>
      <c r="BJ227" s="1">
        <f>IFERROR(__xludf.DUMMYFUNCTION("""COMPUTED_VALUE"""),248.11)</f>
        <v>248.11</v>
      </c>
      <c r="BK227" s="1">
        <f>IFERROR(__xludf.DUMMYFUNCTION("""COMPUTED_VALUE"""),437.91)</f>
        <v>437.91</v>
      </c>
      <c r="BL227" s="1">
        <f>IFERROR(__xludf.DUMMYFUNCTION("""COMPUTED_VALUE"""),158.63)</f>
        <v>158.63</v>
      </c>
      <c r="BM227" s="1">
        <f>IFERROR(__xludf.DUMMYFUNCTION("""COMPUTED_VALUE"""),67.67)</f>
        <v>67.67</v>
      </c>
      <c r="BN227" s="3">
        <f>IFERROR(__xludf.DUMMYFUNCTION("""COMPUTED_VALUE"""),5.26)</f>
        <v>5.26</v>
      </c>
      <c r="BO227" s="1">
        <f>IFERROR(__xludf.DUMMYFUNCTION("""COMPUTED_VALUE"""),213.26)</f>
        <v>213.26</v>
      </c>
      <c r="BP227" s="1">
        <f>IFERROR(__xludf.DUMMYFUNCTION("""COMPUTED_VALUE"""),525.05)</f>
        <v>525.05</v>
      </c>
      <c r="BQ227" s="36">
        <f>IFERROR(__xludf.DUMMYFUNCTION("""COMPUTED_VALUE"""),49.91)</f>
        <v>49.91</v>
      </c>
      <c r="BR227" s="1">
        <f>IFERROR(__xludf.DUMMYFUNCTION("""COMPUTED_VALUE"""),7.62)</f>
        <v>7.62</v>
      </c>
      <c r="BS227" s="3">
        <f>IFERROR(__xludf.DUMMYFUNCTION("""COMPUTED_VALUE"""),225.2)</f>
        <v>225.2</v>
      </c>
      <c r="BT227" s="1">
        <f>IFERROR(__xludf.DUMMYFUNCTION("""COMPUTED_VALUE"""),83.53)</f>
        <v>83.53</v>
      </c>
      <c r="BU227" s="3">
        <v>1.0</v>
      </c>
    </row>
    <row r="228">
      <c r="A228" s="25">
        <f>IFERROR(__xludf.DUMMYFUNCTION("""COMPUTED_VALUE"""),45754.66666666667)</f>
        <v>45754.66667</v>
      </c>
      <c r="B228" s="29">
        <f>'Master Scratch Work'!B227</f>
        <v>1197312.48</v>
      </c>
      <c r="C228" s="15">
        <f>IFERROR(__xludf.DUMMYFUNCTION("""COMPUTED_VALUE"""),5062.25)</f>
        <v>5062.25</v>
      </c>
      <c r="D228" s="15">
        <f>IFERROR(__xludf.DUMMYFUNCTION("""COMPUTED_VALUE"""),15603.26)</f>
        <v>15603.26</v>
      </c>
      <c r="E228" s="15">
        <f>IFERROR(__xludf.DUMMYFUNCTION("""COMPUTED_VALUE"""),37965.6)</f>
        <v>37965.6</v>
      </c>
      <c r="F228" s="15">
        <f>IFERROR(__xludf.DUMMYFUNCTION("""COMPUTED_VALUE"""),1810.14)</f>
        <v>1810.14</v>
      </c>
      <c r="G228" s="3">
        <f>IFERROR(__xludf.DUMMYFUNCTION("""COMPUTED_VALUE"""),504.38)</f>
        <v>504.38</v>
      </c>
      <c r="H228" s="3">
        <f>IFERROR(__xludf.DUMMYFUNCTION("""COMPUTED_VALUE"""),423.69)</f>
        <v>423.69</v>
      </c>
      <c r="I228" s="3">
        <f>IFERROR(__xludf.DUMMYFUNCTION("""COMPUTED_VALUE"""),340.7)</f>
        <v>340.7</v>
      </c>
      <c r="J228" s="3">
        <f>IFERROR(__xludf.DUMMYFUNCTION("""COMPUTED_VALUE"""),175.26)</f>
        <v>175.26</v>
      </c>
      <c r="K228" s="3">
        <f>IFERROR(__xludf.DUMMYFUNCTION("""COMPUTED_VALUE"""),142.36)</f>
        <v>142.36</v>
      </c>
      <c r="L228" s="3">
        <f>IFERROR(__xludf.DUMMYFUNCTION("""COMPUTED_VALUE"""),181.46)</f>
        <v>181.46</v>
      </c>
      <c r="M228" s="3">
        <f>IFERROR(__xludf.DUMMYFUNCTION("""COMPUTED_VALUE"""),132.85)</f>
        <v>132.85</v>
      </c>
      <c r="N228" s="3">
        <f>IFERROR(__xludf.DUMMYFUNCTION("""COMPUTED_VALUE"""),74.09)</f>
        <v>74.09</v>
      </c>
      <c r="O228" s="3">
        <f>IFERROR(__xludf.DUMMYFUNCTION("""COMPUTED_VALUE"""),12.78)</f>
        <v>12.78</v>
      </c>
      <c r="P228" s="3">
        <f>IFERROR(__xludf.DUMMYFUNCTION("""COMPUTED_VALUE"""),490.38)</f>
        <v>490.38</v>
      </c>
      <c r="Q228" s="3">
        <f>IFERROR(__xludf.DUMMYFUNCTION("""COMPUTED_VALUE"""),42.32)</f>
        <v>42.32</v>
      </c>
      <c r="R228" s="3">
        <f>IFERROR(__xludf.DUMMYFUNCTION("""COMPUTED_VALUE"""),119.19)</f>
        <v>119.19</v>
      </c>
      <c r="S228" s="3">
        <f>IFERROR(__xludf.DUMMYFUNCTION("""COMPUTED_VALUE"""),91.54)</f>
        <v>91.54</v>
      </c>
      <c r="T228" s="3">
        <f>IFERROR(__xludf.DUMMYFUNCTION("""COMPUTED_VALUE"""),56.83)</f>
        <v>56.83</v>
      </c>
      <c r="U228" s="3">
        <f>IFERROR(__xludf.DUMMYFUNCTION("""COMPUTED_VALUE"""),280.06)</f>
        <v>280.06</v>
      </c>
      <c r="V228" s="3">
        <f>IFERROR(__xludf.DUMMYFUNCTION("""COMPUTED_VALUE"""),37.16)</f>
        <v>37.16</v>
      </c>
      <c r="W228" s="3">
        <f>IFERROR(__xludf.DUMMYFUNCTION("""COMPUTED_VALUE"""),213.76)</f>
        <v>213.76</v>
      </c>
      <c r="X228" s="3">
        <f>IFERROR(__xludf.DUMMYFUNCTION("""COMPUTED_VALUE"""),140.15)</f>
        <v>140.15</v>
      </c>
      <c r="Y228" s="1">
        <f>IFERROR(__xludf.DUMMYFUNCTION("""COMPUTED_VALUE"""),315.39)</f>
        <v>315.39</v>
      </c>
      <c r="Z228" s="1">
        <f>IFERROR(__xludf.DUMMYFUNCTION("""COMPUTED_VALUE"""),34.84)</f>
        <v>34.84</v>
      </c>
      <c r="AA228" s="1">
        <f>IFERROR(__xludf.DUMMYFUNCTION("""COMPUTED_VALUE"""),68.37)</f>
        <v>68.37</v>
      </c>
      <c r="AB228" s="1">
        <f>IFERROR(__xludf.DUMMYFUNCTION("""COMPUTED_VALUE"""),105.4)</f>
        <v>105.4</v>
      </c>
      <c r="AC228" s="1">
        <f>IFERROR(__xludf.DUMMYFUNCTION("""COMPUTED_VALUE"""),136.67)</f>
        <v>136.67</v>
      </c>
      <c r="AD228" s="3">
        <f>IFERROR(__xludf.DUMMYFUNCTION("""COMPUTED_VALUE"""),72.84)</f>
        <v>72.84</v>
      </c>
      <c r="AE228" s="1">
        <f>IFERROR(__xludf.DUMMYFUNCTION("""COMPUTED_VALUE"""),436.57)</f>
        <v>436.57</v>
      </c>
      <c r="AF228" s="1">
        <f>IFERROR(__xludf.DUMMYFUNCTION("""COMPUTED_VALUE"""),61.19)</f>
        <v>61.19</v>
      </c>
      <c r="AG228" s="1">
        <f>IFERROR(__xludf.DUMMYFUNCTION("""COMPUTED_VALUE"""),102.94)</f>
        <v>102.94</v>
      </c>
      <c r="AH228" s="1">
        <f>IFERROR(__xludf.DUMMYFUNCTION("""COMPUTED_VALUE"""),205.23)</f>
        <v>205.23</v>
      </c>
      <c r="AI228" s="1">
        <f>IFERROR(__xludf.DUMMYFUNCTION("""COMPUTED_VALUE"""),398.7)</f>
        <v>398.7</v>
      </c>
      <c r="AJ228" s="1">
        <f>IFERROR(__xludf.DUMMYFUNCTION("""COMPUTED_VALUE"""),247.68)</f>
        <v>247.68</v>
      </c>
      <c r="AK228" s="1">
        <f>IFERROR(__xludf.DUMMYFUNCTION("""COMPUTED_VALUE"""),43.53)</f>
        <v>43.53</v>
      </c>
      <c r="AL228" s="1">
        <f>IFERROR(__xludf.DUMMYFUNCTION("""COMPUTED_VALUE"""),105.52)</f>
        <v>105.52</v>
      </c>
      <c r="AM228" s="1">
        <f>IFERROR(__xludf.DUMMYFUNCTION("""COMPUTED_VALUE"""),465.51)</f>
        <v>465.51</v>
      </c>
      <c r="AN228" s="1">
        <f>IFERROR(__xludf.DUMMYFUNCTION("""COMPUTED_VALUE"""),341.51)</f>
        <v>341.51</v>
      </c>
      <c r="AO228" s="1">
        <f>IFERROR(__xludf.DUMMYFUNCTION("""COMPUTED_VALUE"""),136.68)</f>
        <v>136.68</v>
      </c>
      <c r="AP228" s="1">
        <f>IFERROR(__xludf.DUMMYFUNCTION("""COMPUTED_VALUE"""),154.65)</f>
        <v>154.65</v>
      </c>
      <c r="AQ228" s="3">
        <f>IFERROR(__xludf.DUMMYFUNCTION("""COMPUTED_VALUE"""),463.62)</f>
        <v>463.62</v>
      </c>
      <c r="AR228" s="3">
        <f>IFERROR(__xludf.DUMMYFUNCTION("""COMPUTED_VALUE"""),214.44)</f>
        <v>214.44</v>
      </c>
      <c r="AS228" s="3">
        <f>IFERROR(__xludf.DUMMYFUNCTION("""COMPUTED_VALUE"""),430.82)</f>
        <v>430.82</v>
      </c>
      <c r="AT228" s="3">
        <f>IFERROR(__xludf.DUMMYFUNCTION("""COMPUTED_VALUE"""),265.0)</f>
        <v>265</v>
      </c>
      <c r="AU228" s="1">
        <f>IFERROR(__xludf.DUMMYFUNCTION("""COMPUTED_VALUE"""),27.41)</f>
        <v>27.41</v>
      </c>
      <c r="AV228" s="1">
        <f>IFERROR(__xludf.DUMMYFUNCTION("""COMPUTED_VALUE"""),83.15)</f>
        <v>83.15</v>
      </c>
      <c r="AW228" s="1">
        <f>IFERROR(__xludf.DUMMYFUNCTION("""COMPUTED_VALUE"""),69.34)</f>
        <v>69.34</v>
      </c>
      <c r="AX228" s="3">
        <f>IFERROR(__xludf.DUMMYFUNCTION("""COMPUTED_VALUE"""),23.99)</f>
        <v>23.99</v>
      </c>
      <c r="AY228" s="1">
        <f>IFERROR(__xludf.DUMMYFUNCTION("""COMPUTED_VALUE"""),357.86)</f>
        <v>357.86</v>
      </c>
      <c r="AZ228" s="3">
        <f>IFERROR(__xludf.DUMMYFUNCTION("""COMPUTED_VALUE"""),65.06)</f>
        <v>65.06</v>
      </c>
      <c r="BA228" s="3">
        <f>IFERROR(__xludf.DUMMYFUNCTION("""COMPUTED_VALUE"""),87.24)</f>
        <v>87.24</v>
      </c>
      <c r="BB228" s="3">
        <f>IFERROR(__xludf.DUMMYFUNCTION("""COMPUTED_VALUE"""),97.64)</f>
        <v>97.64</v>
      </c>
      <c r="BC228" s="1">
        <f>IFERROR(__xludf.DUMMYFUNCTION("""COMPUTED_VALUE"""),91.96)</f>
        <v>91.96</v>
      </c>
      <c r="BD228" s="1">
        <f>IFERROR(__xludf.DUMMYFUNCTION("""COMPUTED_VALUE"""),40.97)</f>
        <v>40.97</v>
      </c>
      <c r="BE228" s="3">
        <f>IFERROR(__xludf.DUMMYFUNCTION("""COMPUTED_VALUE"""),77.84)</f>
        <v>77.84</v>
      </c>
      <c r="BF228" s="1">
        <f>IFERROR(__xludf.DUMMYFUNCTION("""COMPUTED_VALUE"""),58.53)</f>
        <v>58.53</v>
      </c>
      <c r="BG228" s="1">
        <f>IFERROR(__xludf.DUMMYFUNCTION("""COMPUTED_VALUE"""),22.63)</f>
        <v>22.63</v>
      </c>
      <c r="BH228" s="1">
        <f>IFERROR(__xludf.DUMMYFUNCTION("""COMPUTED_VALUE"""),117.32)</f>
        <v>117.32</v>
      </c>
      <c r="BI228" s="3">
        <f>IFERROR(__xludf.DUMMYFUNCTION("""COMPUTED_VALUE"""),31.4)</f>
        <v>31.4</v>
      </c>
      <c r="BJ228" s="1">
        <f>IFERROR(__xludf.DUMMYFUNCTION("""COMPUTED_VALUE"""),246.67)</f>
        <v>246.67</v>
      </c>
      <c r="BK228" s="1">
        <f>IFERROR(__xludf.DUMMYFUNCTION("""COMPUTED_VALUE"""),437.87)</f>
        <v>437.87</v>
      </c>
      <c r="BL228" s="1">
        <f>IFERROR(__xludf.DUMMYFUNCTION("""COMPUTED_VALUE"""),160.34)</f>
        <v>160.34</v>
      </c>
      <c r="BM228" s="1">
        <f>IFERROR(__xludf.DUMMYFUNCTION("""COMPUTED_VALUE"""),69.15)</f>
        <v>69.15</v>
      </c>
      <c r="BN228" s="3">
        <f>IFERROR(__xludf.DUMMYFUNCTION("""COMPUTED_VALUE"""),5.24)</f>
        <v>5.24</v>
      </c>
      <c r="BO228" s="1">
        <f>IFERROR(__xludf.DUMMYFUNCTION("""COMPUTED_VALUE"""),209.97)</f>
        <v>209.97</v>
      </c>
      <c r="BP228" s="1">
        <f>IFERROR(__xludf.DUMMYFUNCTION("""COMPUTED_VALUE"""),524.7)</f>
        <v>524.7</v>
      </c>
      <c r="BQ228" s="36">
        <f>IFERROR(__xludf.DUMMYFUNCTION("""COMPUTED_VALUE"""),49.73)</f>
        <v>49.73</v>
      </c>
      <c r="BR228" s="1">
        <f>IFERROR(__xludf.DUMMYFUNCTION("""COMPUTED_VALUE"""),7.61)</f>
        <v>7.61</v>
      </c>
      <c r="BS228" s="3">
        <f>IFERROR(__xludf.DUMMYFUNCTION("""COMPUTED_VALUE"""),220.56)</f>
        <v>220.56</v>
      </c>
      <c r="BT228" s="1">
        <f>IFERROR(__xludf.DUMMYFUNCTION("""COMPUTED_VALUE"""),83.3)</f>
        <v>83.3</v>
      </c>
      <c r="BU228" s="3">
        <v>1.0</v>
      </c>
    </row>
    <row r="229">
      <c r="A229" s="25">
        <f>IFERROR(__xludf.DUMMYFUNCTION("""COMPUTED_VALUE"""),45755.66666666667)</f>
        <v>45755.66667</v>
      </c>
      <c r="B229" s="29">
        <f>'Master Scratch Work'!B228</f>
        <v>1189873.42</v>
      </c>
      <c r="C229" s="15">
        <f>IFERROR(__xludf.DUMMYFUNCTION("""COMPUTED_VALUE"""),4982.77)</f>
        <v>4982.77</v>
      </c>
      <c r="D229" s="15">
        <f>IFERROR(__xludf.DUMMYFUNCTION("""COMPUTED_VALUE"""),15267.91)</f>
        <v>15267.91</v>
      </c>
      <c r="E229" s="15">
        <f>IFERROR(__xludf.DUMMYFUNCTION("""COMPUTED_VALUE"""),37645.59)</f>
        <v>37645.59</v>
      </c>
      <c r="F229" s="15">
        <f>IFERROR(__xludf.DUMMYFUNCTION("""COMPUTED_VALUE"""),1760.71)</f>
        <v>1760.71</v>
      </c>
      <c r="G229" s="3">
        <f>IFERROR(__xludf.DUMMYFUNCTION("""COMPUTED_VALUE"""),496.48)</f>
        <v>496.48</v>
      </c>
      <c r="H229" s="3">
        <f>IFERROR(__xludf.DUMMYFUNCTION("""COMPUTED_VALUE"""),416.06)</f>
        <v>416.06</v>
      </c>
      <c r="I229" s="3">
        <f>IFERROR(__xludf.DUMMYFUNCTION("""COMPUTED_VALUE"""),340.0)</f>
        <v>340</v>
      </c>
      <c r="J229" s="3">
        <f>IFERROR(__xludf.DUMMYFUNCTION("""COMPUTED_VALUE"""),170.66)</f>
        <v>170.66</v>
      </c>
      <c r="K229" s="3">
        <f>IFERROR(__xludf.DUMMYFUNCTION("""COMPUTED_VALUE"""),140.87)</f>
        <v>140.87</v>
      </c>
      <c r="L229" s="3">
        <f>IFERROR(__xludf.DUMMYFUNCTION("""COMPUTED_VALUE"""),172.42)</f>
        <v>172.42</v>
      </c>
      <c r="M229" s="3">
        <f>IFERROR(__xludf.DUMMYFUNCTION("""COMPUTED_VALUE"""),128.96)</f>
        <v>128.96</v>
      </c>
      <c r="N229" s="3">
        <f>IFERROR(__xludf.DUMMYFUNCTION("""COMPUTED_VALUE"""),73.5)</f>
        <v>73.5</v>
      </c>
      <c r="O229" s="3">
        <f>IFERROR(__xludf.DUMMYFUNCTION("""COMPUTED_VALUE"""),12.69)</f>
        <v>12.69</v>
      </c>
      <c r="P229" s="3">
        <f>IFERROR(__xludf.DUMMYFUNCTION("""COMPUTED_VALUE"""),492.64)</f>
        <v>492.64</v>
      </c>
      <c r="Q229" s="3">
        <f>IFERROR(__xludf.DUMMYFUNCTION("""COMPUTED_VALUE"""),40.22)</f>
        <v>40.22</v>
      </c>
      <c r="R229" s="3">
        <f>IFERROR(__xludf.DUMMYFUNCTION("""COMPUTED_VALUE"""),114.05)</f>
        <v>114.05</v>
      </c>
      <c r="S229" s="3">
        <f>IFERROR(__xludf.DUMMYFUNCTION("""COMPUTED_VALUE"""),90.64)</f>
        <v>90.64</v>
      </c>
      <c r="T229" s="3">
        <f>IFERROR(__xludf.DUMMYFUNCTION("""COMPUTED_VALUE"""),55.55)</f>
        <v>55.55</v>
      </c>
      <c r="U229" s="3">
        <f>IFERROR(__xludf.DUMMYFUNCTION("""COMPUTED_VALUE"""),273.94)</f>
        <v>273.94</v>
      </c>
      <c r="V229" s="3">
        <f>IFERROR(__xludf.DUMMYFUNCTION("""COMPUTED_VALUE"""),36.68)</f>
        <v>36.68</v>
      </c>
      <c r="W229" s="3">
        <f>IFERROR(__xludf.DUMMYFUNCTION("""COMPUTED_VALUE"""),208.2)</f>
        <v>208.2</v>
      </c>
      <c r="X229" s="3">
        <f>IFERROR(__xludf.DUMMYFUNCTION("""COMPUTED_VALUE"""),136.93)</f>
        <v>136.93</v>
      </c>
      <c r="Y229" s="1">
        <f>IFERROR(__xludf.DUMMYFUNCTION("""COMPUTED_VALUE"""),313.84)</f>
        <v>313.84</v>
      </c>
      <c r="Z229" s="1">
        <f>IFERROR(__xludf.DUMMYFUNCTION("""COMPUTED_VALUE"""),34.4)</f>
        <v>34.4</v>
      </c>
      <c r="AA229" s="1">
        <f>IFERROR(__xludf.DUMMYFUNCTION("""COMPUTED_VALUE"""),68.42)</f>
        <v>68.42</v>
      </c>
      <c r="AB229" s="1">
        <f>IFERROR(__xludf.DUMMYFUNCTION("""COMPUTED_VALUE"""),106.05)</f>
        <v>106.05</v>
      </c>
      <c r="AC229" s="1">
        <f>IFERROR(__xludf.DUMMYFUNCTION("""COMPUTED_VALUE"""),136.11)</f>
        <v>136.11</v>
      </c>
      <c r="AD229" s="3">
        <f>IFERROR(__xludf.DUMMYFUNCTION("""COMPUTED_VALUE"""),69.7)</f>
        <v>69.7</v>
      </c>
      <c r="AE229" s="1">
        <f>IFERROR(__xludf.DUMMYFUNCTION("""COMPUTED_VALUE"""),430.72)</f>
        <v>430.72</v>
      </c>
      <c r="AF229" s="1">
        <f>IFERROR(__xludf.DUMMYFUNCTION("""COMPUTED_VALUE"""),59.52)</f>
        <v>59.52</v>
      </c>
      <c r="AG229" s="1">
        <f>IFERROR(__xludf.DUMMYFUNCTION("""COMPUTED_VALUE"""),100.77)</f>
        <v>100.77</v>
      </c>
      <c r="AH229" s="1">
        <f>IFERROR(__xludf.DUMMYFUNCTION("""COMPUTED_VALUE"""),198.07)</f>
        <v>198.07</v>
      </c>
      <c r="AI229" s="1">
        <f>IFERROR(__xludf.DUMMYFUNCTION("""COMPUTED_VALUE"""),397.86)</f>
        <v>397.86</v>
      </c>
      <c r="AJ229" s="1">
        <f>IFERROR(__xludf.DUMMYFUNCTION("""COMPUTED_VALUE"""),254.4)</f>
        <v>254.4</v>
      </c>
      <c r="AK229" s="1">
        <f>IFERROR(__xludf.DUMMYFUNCTION("""COMPUTED_VALUE"""),42.48)</f>
        <v>42.48</v>
      </c>
      <c r="AL229" s="1">
        <f>IFERROR(__xludf.DUMMYFUNCTION("""COMPUTED_VALUE"""),103.19)</f>
        <v>103.19</v>
      </c>
      <c r="AM229" s="1">
        <f>IFERROR(__xludf.DUMMYFUNCTION("""COMPUTED_VALUE"""),462.22)</f>
        <v>462.22</v>
      </c>
      <c r="AN229" s="1">
        <f>IFERROR(__xludf.DUMMYFUNCTION("""COMPUTED_VALUE"""),335.24)</f>
        <v>335.24</v>
      </c>
      <c r="AO229" s="1">
        <f>IFERROR(__xludf.DUMMYFUNCTION("""COMPUTED_VALUE"""),135.54)</f>
        <v>135.54</v>
      </c>
      <c r="AP229" s="1">
        <f>IFERROR(__xludf.DUMMYFUNCTION("""COMPUTED_VALUE"""),151.62)</f>
        <v>151.62</v>
      </c>
      <c r="AQ229" s="3">
        <f>IFERROR(__xludf.DUMMYFUNCTION("""COMPUTED_VALUE"""),457.63)</f>
        <v>457.63</v>
      </c>
      <c r="AR229" s="3">
        <f>IFERROR(__xludf.DUMMYFUNCTION("""COMPUTED_VALUE"""),216.87)</f>
        <v>216.87</v>
      </c>
      <c r="AS229" s="3">
        <f>IFERROR(__xludf.DUMMYFUNCTION("""COMPUTED_VALUE"""),443.36)</f>
        <v>443.36</v>
      </c>
      <c r="AT229" s="3">
        <f>IFERROR(__xludf.DUMMYFUNCTION("""COMPUTED_VALUE"""),247.61)</f>
        <v>247.61</v>
      </c>
      <c r="AU229" s="1">
        <f>IFERROR(__xludf.DUMMYFUNCTION("""COMPUTED_VALUE"""),26.93)</f>
        <v>26.93</v>
      </c>
      <c r="AV229" s="1">
        <f>IFERROR(__xludf.DUMMYFUNCTION("""COMPUTED_VALUE"""),81.88)</f>
        <v>81.88</v>
      </c>
      <c r="AW229" s="1">
        <f>IFERROR(__xludf.DUMMYFUNCTION("""COMPUTED_VALUE"""),68.42)</f>
        <v>68.42</v>
      </c>
      <c r="AX229" s="3">
        <f>IFERROR(__xludf.DUMMYFUNCTION("""COMPUTED_VALUE"""),21.94)</f>
        <v>21.94</v>
      </c>
      <c r="AY229" s="1">
        <f>IFERROR(__xludf.DUMMYFUNCTION("""COMPUTED_VALUE"""),354.56)</f>
        <v>354.56</v>
      </c>
      <c r="AZ229" s="3">
        <f>IFERROR(__xludf.DUMMYFUNCTION("""COMPUTED_VALUE"""),64.11)</f>
        <v>64.11</v>
      </c>
      <c r="BA229" s="3">
        <f>IFERROR(__xludf.DUMMYFUNCTION("""COMPUTED_VALUE"""),85.9)</f>
        <v>85.9</v>
      </c>
      <c r="BB229" s="3">
        <f>IFERROR(__xludf.DUMMYFUNCTION("""COMPUTED_VALUE"""),96.3)</f>
        <v>96.3</v>
      </c>
      <c r="BC229" s="1">
        <f>IFERROR(__xludf.DUMMYFUNCTION("""COMPUTED_VALUE"""),90.88)</f>
        <v>90.88</v>
      </c>
      <c r="BD229" s="1">
        <f>IFERROR(__xludf.DUMMYFUNCTION("""COMPUTED_VALUE"""),38.91)</f>
        <v>38.91</v>
      </c>
      <c r="BE229" s="3">
        <f>IFERROR(__xludf.DUMMYFUNCTION("""COMPUTED_VALUE"""),77.32)</f>
        <v>77.32</v>
      </c>
      <c r="BF229" s="1">
        <f>IFERROR(__xludf.DUMMYFUNCTION("""COMPUTED_VALUE"""),57.41)</f>
        <v>57.41</v>
      </c>
      <c r="BG229" s="1">
        <f>IFERROR(__xludf.DUMMYFUNCTION("""COMPUTED_VALUE"""),21.84)</f>
        <v>21.84</v>
      </c>
      <c r="BH229" s="1">
        <f>IFERROR(__xludf.DUMMYFUNCTION("""COMPUTED_VALUE"""),120.46)</f>
        <v>120.46</v>
      </c>
      <c r="BI229" s="3">
        <f>IFERROR(__xludf.DUMMYFUNCTION("""COMPUTED_VALUE"""),31.13)</f>
        <v>31.13</v>
      </c>
      <c r="BJ229" s="1">
        <f>IFERROR(__xludf.DUMMYFUNCTION("""COMPUTED_VALUE"""),246.3)</f>
        <v>246.3</v>
      </c>
      <c r="BK229" s="1">
        <f>IFERROR(__xludf.DUMMYFUNCTION("""COMPUTED_VALUE"""),419.31)</f>
        <v>419.31</v>
      </c>
      <c r="BL229" s="1">
        <f>IFERROR(__xludf.DUMMYFUNCTION("""COMPUTED_VALUE"""),159.32)</f>
        <v>159.32</v>
      </c>
      <c r="BM229" s="1">
        <f>IFERROR(__xludf.DUMMYFUNCTION("""COMPUTED_VALUE"""),67.95)</f>
        <v>67.95</v>
      </c>
      <c r="BN229" s="3">
        <f>IFERROR(__xludf.DUMMYFUNCTION("""COMPUTED_VALUE"""),4.94)</f>
        <v>4.94</v>
      </c>
      <c r="BO229" s="1">
        <f>IFERROR(__xludf.DUMMYFUNCTION("""COMPUTED_VALUE"""),208.27)</f>
        <v>208.27</v>
      </c>
      <c r="BP229" s="1">
        <f>IFERROR(__xludf.DUMMYFUNCTION("""COMPUTED_VALUE"""),553.08)</f>
        <v>553.08</v>
      </c>
      <c r="BQ229" s="36">
        <f>IFERROR(__xludf.DUMMYFUNCTION("""COMPUTED_VALUE"""),49.84)</f>
        <v>49.84</v>
      </c>
      <c r="BR229" s="1">
        <f>IFERROR(__xludf.DUMMYFUNCTION("""COMPUTED_VALUE"""),7.36)</f>
        <v>7.36</v>
      </c>
      <c r="BS229" s="3">
        <f>IFERROR(__xludf.DUMMYFUNCTION("""COMPUTED_VALUE"""),216.47)</f>
        <v>216.47</v>
      </c>
      <c r="BT229" s="1">
        <f>IFERROR(__xludf.DUMMYFUNCTION("""COMPUTED_VALUE"""),81.72)</f>
        <v>81.72</v>
      </c>
      <c r="BU229" s="3">
        <v>1.0</v>
      </c>
    </row>
    <row r="230">
      <c r="A230" s="25">
        <f>IFERROR(__xludf.DUMMYFUNCTION("""COMPUTED_VALUE"""),45756.66666666667)</f>
        <v>45756.66667</v>
      </c>
      <c r="B230" s="29">
        <f>'Master Scratch Work'!B229</f>
        <v>1274340.66</v>
      </c>
      <c r="C230" s="15">
        <f>IFERROR(__xludf.DUMMYFUNCTION("""COMPUTED_VALUE"""),5456.9)</f>
        <v>5456.9</v>
      </c>
      <c r="D230" s="15">
        <f>IFERROR(__xludf.DUMMYFUNCTION("""COMPUTED_VALUE"""),17124.97)</f>
        <v>17124.97</v>
      </c>
      <c r="E230" s="15">
        <f>IFERROR(__xludf.DUMMYFUNCTION("""COMPUTED_VALUE"""),40608.45)</f>
        <v>40608.45</v>
      </c>
      <c r="F230" s="15">
        <f>IFERROR(__xludf.DUMMYFUNCTION("""COMPUTED_VALUE"""),1913.16)</f>
        <v>1913.16</v>
      </c>
      <c r="G230" s="3">
        <f>IFERROR(__xludf.DUMMYFUNCTION("""COMPUTED_VALUE"""),548.62)</f>
        <v>548.62</v>
      </c>
      <c r="H230" s="3">
        <f>IFERROR(__xludf.DUMMYFUNCTION("""COMPUTED_VALUE"""),466.0)</f>
        <v>466</v>
      </c>
      <c r="I230" s="3">
        <f>IFERROR(__xludf.DUMMYFUNCTION("""COMPUTED_VALUE"""),364.64)</f>
        <v>364.64</v>
      </c>
      <c r="J230" s="3">
        <f>IFERROR(__xludf.DUMMYFUNCTION("""COMPUTED_VALUE"""),191.1)</f>
        <v>191.1</v>
      </c>
      <c r="K230" s="3">
        <f>IFERROR(__xludf.DUMMYFUNCTION("""COMPUTED_VALUE"""),139.0)</f>
        <v>139</v>
      </c>
      <c r="L230" s="3">
        <f>IFERROR(__xludf.DUMMYFUNCTION("""COMPUTED_VALUE"""),198.85)</f>
        <v>198.85</v>
      </c>
      <c r="M230" s="3">
        <f>IFERROR(__xludf.DUMMYFUNCTION("""COMPUTED_VALUE"""),149.73)</f>
        <v>149.73</v>
      </c>
      <c r="N230" s="3">
        <f>IFERROR(__xludf.DUMMYFUNCTION("""COMPUTED_VALUE"""),79.35)</f>
        <v>79.35</v>
      </c>
      <c r="O230" s="3">
        <f>IFERROR(__xludf.DUMMYFUNCTION("""COMPUTED_VALUE"""),13.96)</f>
        <v>13.96</v>
      </c>
      <c r="P230" s="3">
        <f>IFERROR(__xludf.DUMMYFUNCTION("""COMPUTED_VALUE"""),521.41)</f>
        <v>521.41</v>
      </c>
      <c r="Q230" s="3">
        <f>IFERROR(__xludf.DUMMYFUNCTION("""COMPUTED_VALUE"""),44.35)</f>
        <v>44.35</v>
      </c>
      <c r="R230" s="3">
        <f>IFERROR(__xludf.DUMMYFUNCTION("""COMPUTED_VALUE"""),120.49)</f>
        <v>120.49</v>
      </c>
      <c r="S230" s="3">
        <f>IFERROR(__xludf.DUMMYFUNCTION("""COMPUTED_VALUE"""),96.77)</f>
        <v>96.77</v>
      </c>
      <c r="T230" s="3">
        <f>IFERROR(__xludf.DUMMYFUNCTION("""COMPUTED_VALUE"""),60.77)</f>
        <v>60.77</v>
      </c>
      <c r="U230" s="3">
        <f>IFERROR(__xludf.DUMMYFUNCTION("""COMPUTED_VALUE"""),301.01)</f>
        <v>301.01</v>
      </c>
      <c r="V230" s="3">
        <f>IFERROR(__xludf.DUMMYFUNCTION("""COMPUTED_VALUE"""),40.05)</f>
        <v>40.05</v>
      </c>
      <c r="W230" s="3">
        <f>IFERROR(__xludf.DUMMYFUNCTION("""COMPUTED_VALUE"""),219.41)</f>
        <v>219.41</v>
      </c>
      <c r="X230" s="3">
        <f>IFERROR(__xludf.DUMMYFUNCTION("""COMPUTED_VALUE"""),146.03)</f>
        <v>146.03</v>
      </c>
      <c r="Y230" s="1">
        <f>IFERROR(__xludf.DUMMYFUNCTION("""COMPUTED_VALUE"""),319.99)</f>
        <v>319.99</v>
      </c>
      <c r="Z230" s="1">
        <f>IFERROR(__xludf.DUMMYFUNCTION("""COMPUTED_VALUE"""),37.47)</f>
        <v>37.47</v>
      </c>
      <c r="AA230" s="1">
        <f>IFERROR(__xludf.DUMMYFUNCTION("""COMPUTED_VALUE"""),69.95)</f>
        <v>69.95</v>
      </c>
      <c r="AB230" s="1">
        <f>IFERROR(__xludf.DUMMYFUNCTION("""COMPUTED_VALUE"""),105.77)</f>
        <v>105.77</v>
      </c>
      <c r="AC230" s="1">
        <f>IFERROR(__xludf.DUMMYFUNCTION("""COMPUTED_VALUE"""),145.77)</f>
        <v>145.77</v>
      </c>
      <c r="AD230" s="3">
        <f>IFERROR(__xludf.DUMMYFUNCTION("""COMPUTED_VALUE"""),72.57)</f>
        <v>72.57</v>
      </c>
      <c r="AE230" s="1">
        <f>IFERROR(__xludf.DUMMYFUNCTION("""COMPUTED_VALUE"""),456.35)</f>
        <v>456.35</v>
      </c>
      <c r="AF230" s="1">
        <f>IFERROR(__xludf.DUMMYFUNCTION("""COMPUTED_VALUE"""),61.96)</f>
        <v>61.96</v>
      </c>
      <c r="AG230" s="1">
        <f>IFERROR(__xludf.DUMMYFUNCTION("""COMPUTED_VALUE"""),105.8)</f>
        <v>105.8</v>
      </c>
      <c r="AH230" s="1">
        <f>IFERROR(__xludf.DUMMYFUNCTION("""COMPUTED_VALUE"""),217.94)</f>
        <v>217.94</v>
      </c>
      <c r="AI230" s="1">
        <f>IFERROR(__xludf.DUMMYFUNCTION("""COMPUTED_VALUE"""),432.0)</f>
        <v>432</v>
      </c>
      <c r="AJ230" s="1">
        <f>IFERROR(__xludf.DUMMYFUNCTION("""COMPUTED_VALUE"""),271.52)</f>
        <v>271.52</v>
      </c>
      <c r="AK230" s="1">
        <f>IFERROR(__xludf.DUMMYFUNCTION("""COMPUTED_VALUE"""),45.74)</f>
        <v>45.74</v>
      </c>
      <c r="AL230" s="1">
        <f>IFERROR(__xludf.DUMMYFUNCTION("""COMPUTED_VALUE"""),105.25)</f>
        <v>105.25</v>
      </c>
      <c r="AM230" s="1">
        <f>IFERROR(__xludf.DUMMYFUNCTION("""COMPUTED_VALUE"""),516.87)</f>
        <v>516.87</v>
      </c>
      <c r="AN230" s="1">
        <f>IFERROR(__xludf.DUMMYFUNCTION("""COMPUTED_VALUE"""),355.39)</f>
        <v>355.39</v>
      </c>
      <c r="AO230" s="1">
        <f>IFERROR(__xludf.DUMMYFUNCTION("""COMPUTED_VALUE"""),144.11)</f>
        <v>144.11</v>
      </c>
      <c r="AP230" s="1">
        <f>IFERROR(__xludf.DUMMYFUNCTION("""COMPUTED_VALUE"""),156.81)</f>
        <v>156.81</v>
      </c>
      <c r="AQ230" s="3">
        <f>IFERROR(__xludf.DUMMYFUNCTION("""COMPUTED_VALUE"""),522.95)</f>
        <v>522.95</v>
      </c>
      <c r="AR230" s="3">
        <f>IFERROR(__xludf.DUMMYFUNCTION("""COMPUTED_VALUE"""),234.34)</f>
        <v>234.34</v>
      </c>
      <c r="AS230" s="3">
        <f>IFERROR(__xludf.DUMMYFUNCTION("""COMPUTED_VALUE"""),462.24)</f>
        <v>462.24</v>
      </c>
      <c r="AT230" s="3">
        <f>IFERROR(__xludf.DUMMYFUNCTION("""COMPUTED_VALUE"""),273.84)</f>
        <v>273.84</v>
      </c>
      <c r="AU230" s="1">
        <f>IFERROR(__xludf.DUMMYFUNCTION("""COMPUTED_VALUE"""),29.14)</f>
        <v>29.14</v>
      </c>
      <c r="AV230" s="1">
        <f>IFERROR(__xludf.DUMMYFUNCTION("""COMPUTED_VALUE"""),85.28)</f>
        <v>85.28</v>
      </c>
      <c r="AW230" s="1">
        <f>IFERROR(__xludf.DUMMYFUNCTION("""COMPUTED_VALUE"""),75.24)</f>
        <v>75.24</v>
      </c>
      <c r="AX230" s="3">
        <f>IFERROR(__xludf.DUMMYFUNCTION("""COMPUTED_VALUE"""),23.81)</f>
        <v>23.81</v>
      </c>
      <c r="AY230" s="1">
        <f>IFERROR(__xludf.DUMMYFUNCTION("""COMPUTED_VALUE"""),390.49)</f>
        <v>390.49</v>
      </c>
      <c r="AZ230" s="3">
        <f>IFERROR(__xludf.DUMMYFUNCTION("""COMPUTED_VALUE"""),67.58)</f>
        <v>67.58</v>
      </c>
      <c r="BA230" s="3">
        <f>IFERROR(__xludf.DUMMYFUNCTION("""COMPUTED_VALUE"""),97.39)</f>
        <v>97.39</v>
      </c>
      <c r="BB230" s="3">
        <f>IFERROR(__xludf.DUMMYFUNCTION("""COMPUTED_VALUE"""),114.33)</f>
        <v>114.33</v>
      </c>
      <c r="BC230" s="1">
        <f>IFERROR(__xludf.DUMMYFUNCTION("""COMPUTED_VALUE"""),94.28)</f>
        <v>94.28</v>
      </c>
      <c r="BD230" s="1">
        <f>IFERROR(__xludf.DUMMYFUNCTION("""COMPUTED_VALUE"""),45.01)</f>
        <v>45.01</v>
      </c>
      <c r="BE230" s="3">
        <f>IFERROR(__xludf.DUMMYFUNCTION("""COMPUTED_VALUE"""),92.01)</f>
        <v>92.01</v>
      </c>
      <c r="BF230" s="1">
        <f>IFERROR(__xludf.DUMMYFUNCTION("""COMPUTED_VALUE"""),63.95)</f>
        <v>63.95</v>
      </c>
      <c r="BG230" s="1">
        <f>IFERROR(__xludf.DUMMYFUNCTION("""COMPUTED_VALUE"""),22.49)</f>
        <v>22.49</v>
      </c>
      <c r="BH230" s="1">
        <f>IFERROR(__xludf.DUMMYFUNCTION("""COMPUTED_VALUE"""),128.43)</f>
        <v>128.43</v>
      </c>
      <c r="BI230" s="3">
        <f>IFERROR(__xludf.DUMMYFUNCTION("""COMPUTED_VALUE"""),35.12)</f>
        <v>35.12</v>
      </c>
      <c r="BJ230" s="1">
        <f>IFERROR(__xludf.DUMMYFUNCTION("""COMPUTED_VALUE"""),254.9)</f>
        <v>254.9</v>
      </c>
      <c r="BK230" s="1">
        <f>IFERROR(__xludf.DUMMYFUNCTION("""COMPUTED_VALUE"""),453.55)</f>
        <v>453.55</v>
      </c>
      <c r="BL230" s="1">
        <f>IFERROR(__xludf.DUMMYFUNCTION("""COMPUTED_VALUE"""),174.14)</f>
        <v>174.14</v>
      </c>
      <c r="BM230" s="1">
        <f>IFERROR(__xludf.DUMMYFUNCTION("""COMPUTED_VALUE"""),75.41)</f>
        <v>75.41</v>
      </c>
      <c r="BN230" s="3">
        <f>IFERROR(__xludf.DUMMYFUNCTION("""COMPUTED_VALUE"""),5.63)</f>
        <v>5.63</v>
      </c>
      <c r="BO230" s="1">
        <f>IFERROR(__xludf.DUMMYFUNCTION("""COMPUTED_VALUE"""),223.53)</f>
        <v>223.53</v>
      </c>
      <c r="BP230" s="1">
        <f>IFERROR(__xludf.DUMMYFUNCTION("""COMPUTED_VALUE"""),578.5)</f>
        <v>578.5</v>
      </c>
      <c r="BQ230" s="36">
        <f>IFERROR(__xludf.DUMMYFUNCTION("""COMPUTED_VALUE"""),49.75)</f>
        <v>49.75</v>
      </c>
      <c r="BR230" s="1">
        <f>IFERROR(__xludf.DUMMYFUNCTION("""COMPUTED_VALUE"""),7.79)</f>
        <v>7.79</v>
      </c>
      <c r="BS230" s="3">
        <f>IFERROR(__xludf.DUMMYFUNCTION("""COMPUTED_VALUE"""),224.42)</f>
        <v>224.42</v>
      </c>
      <c r="BT230" s="1">
        <f>IFERROR(__xludf.DUMMYFUNCTION("""COMPUTED_VALUE"""),91.44)</f>
        <v>91.44</v>
      </c>
      <c r="BU230" s="3">
        <v>1.0</v>
      </c>
    </row>
    <row r="231">
      <c r="A231" s="25">
        <f>IFERROR(__xludf.DUMMYFUNCTION("""COMPUTED_VALUE"""),45757.66666666667)</f>
        <v>45757.66667</v>
      </c>
      <c r="B231" s="29">
        <f>'Master Scratch Work'!B230</f>
        <v>1245750.38</v>
      </c>
      <c r="C231" s="15">
        <f>IFERROR(__xludf.DUMMYFUNCTION("""COMPUTED_VALUE"""),5268.05)</f>
        <v>5268.05</v>
      </c>
      <c r="D231" s="15">
        <f>IFERROR(__xludf.DUMMYFUNCTION("""COMPUTED_VALUE"""),16387.31)</f>
        <v>16387.31</v>
      </c>
      <c r="E231" s="15">
        <f>IFERROR(__xludf.DUMMYFUNCTION("""COMPUTED_VALUE"""),39593.66)</f>
        <v>39593.66</v>
      </c>
      <c r="F231" s="15">
        <f>IFERROR(__xludf.DUMMYFUNCTION("""COMPUTED_VALUE"""),1831.39)</f>
        <v>1831.39</v>
      </c>
      <c r="G231" s="3">
        <f>IFERROR(__xludf.DUMMYFUNCTION("""COMPUTED_VALUE"""),524.58)</f>
        <v>524.58</v>
      </c>
      <c r="H231" s="3">
        <f>IFERROR(__xludf.DUMMYFUNCTION("""COMPUTED_VALUE"""),446.18)</f>
        <v>446.18</v>
      </c>
      <c r="I231" s="3">
        <f>IFERROR(__xludf.DUMMYFUNCTION("""COMPUTED_VALUE"""),350.05)</f>
        <v>350.05</v>
      </c>
      <c r="J231" s="3">
        <f>IFERROR(__xludf.DUMMYFUNCTION("""COMPUTED_VALUE"""),181.22)</f>
        <v>181.22</v>
      </c>
      <c r="K231" s="3">
        <f>IFERROR(__xludf.DUMMYFUNCTION("""COMPUTED_VALUE"""),143.15)</f>
        <v>143.15</v>
      </c>
      <c r="L231" s="3">
        <f>IFERROR(__xludf.DUMMYFUNCTION("""COMPUTED_VALUE"""),190.42)</f>
        <v>190.42</v>
      </c>
      <c r="M231" s="3">
        <f>IFERROR(__xludf.DUMMYFUNCTION("""COMPUTED_VALUE"""),138.24)</f>
        <v>138.24</v>
      </c>
      <c r="N231" s="3">
        <f>IFERROR(__xludf.DUMMYFUNCTION("""COMPUTED_VALUE"""),76.61)</f>
        <v>76.61</v>
      </c>
      <c r="O231" s="3">
        <f>IFERROR(__xludf.DUMMYFUNCTION("""COMPUTED_VALUE"""),13.56)</f>
        <v>13.56</v>
      </c>
      <c r="P231" s="3">
        <f>IFERROR(__xludf.DUMMYFUNCTION("""COMPUTED_VALUE"""),515.81)</f>
        <v>515.81</v>
      </c>
      <c r="Q231" s="3">
        <f>IFERROR(__xludf.DUMMYFUNCTION("""COMPUTED_VALUE"""),43.49)</f>
        <v>43.49</v>
      </c>
      <c r="R231" s="3">
        <f>IFERROR(__xludf.DUMMYFUNCTION("""COMPUTED_VALUE"""),113.38)</f>
        <v>113.38</v>
      </c>
      <c r="S231" s="3">
        <f>IFERROR(__xludf.DUMMYFUNCTION("""COMPUTED_VALUE"""),92.64)</f>
        <v>92.64</v>
      </c>
      <c r="T231" s="3">
        <f>IFERROR(__xludf.DUMMYFUNCTION("""COMPUTED_VALUE"""),59.05)</f>
        <v>59.05</v>
      </c>
      <c r="U231" s="3">
        <f>IFERROR(__xludf.DUMMYFUNCTION("""COMPUTED_VALUE"""),289.16)</f>
        <v>289.16</v>
      </c>
      <c r="V231" s="3">
        <f>IFERROR(__xludf.DUMMYFUNCTION("""COMPUTED_VALUE"""),38.68)</f>
        <v>38.68</v>
      </c>
      <c r="W231" s="3">
        <f>IFERROR(__xludf.DUMMYFUNCTION("""COMPUTED_VALUE"""),213.78)</f>
        <v>213.78</v>
      </c>
      <c r="X231" s="3">
        <f>IFERROR(__xludf.DUMMYFUNCTION("""COMPUTED_VALUE"""),134.98)</f>
        <v>134.98</v>
      </c>
      <c r="Y231" s="1">
        <f>IFERROR(__xludf.DUMMYFUNCTION("""COMPUTED_VALUE"""),327.27)</f>
        <v>327.27</v>
      </c>
      <c r="Z231" s="1">
        <f>IFERROR(__xludf.DUMMYFUNCTION("""COMPUTED_VALUE"""),34.79)</f>
        <v>34.79</v>
      </c>
      <c r="AA231" s="1">
        <f>IFERROR(__xludf.DUMMYFUNCTION("""COMPUTED_VALUE"""),70.76)</f>
        <v>70.76</v>
      </c>
      <c r="AB231" s="1">
        <f>IFERROR(__xludf.DUMMYFUNCTION("""COMPUTED_VALUE"""),108.3)</f>
        <v>108.3</v>
      </c>
      <c r="AC231" s="1">
        <f>IFERROR(__xludf.DUMMYFUNCTION("""COMPUTED_VALUE"""),142.29)</f>
        <v>142.29</v>
      </c>
      <c r="AD231" s="3">
        <f>IFERROR(__xludf.DUMMYFUNCTION("""COMPUTED_VALUE"""),71.74)</f>
        <v>71.74</v>
      </c>
      <c r="AE231" s="1">
        <f>IFERROR(__xludf.DUMMYFUNCTION("""COMPUTED_VALUE"""),453.05)</f>
        <v>453.05</v>
      </c>
      <c r="AF231" s="1">
        <f>IFERROR(__xludf.DUMMYFUNCTION("""COMPUTED_VALUE"""),62.47)</f>
        <v>62.47</v>
      </c>
      <c r="AG231" s="1">
        <f>IFERROR(__xludf.DUMMYFUNCTION("""COMPUTED_VALUE"""),99.93)</f>
        <v>99.93</v>
      </c>
      <c r="AH231" s="1">
        <f>IFERROR(__xludf.DUMMYFUNCTION("""COMPUTED_VALUE"""),206.4)</f>
        <v>206.4</v>
      </c>
      <c r="AI231" s="1">
        <f>IFERROR(__xludf.DUMMYFUNCTION("""COMPUTED_VALUE"""),423.81)</f>
        <v>423.81</v>
      </c>
      <c r="AJ231" s="1">
        <f>IFERROR(__xludf.DUMMYFUNCTION("""COMPUTED_VALUE"""),271.82)</f>
        <v>271.82</v>
      </c>
      <c r="AK231" s="1">
        <f>IFERROR(__xludf.DUMMYFUNCTION("""COMPUTED_VALUE"""),43.73)</f>
        <v>43.73</v>
      </c>
      <c r="AL231" s="1">
        <f>IFERROR(__xludf.DUMMYFUNCTION("""COMPUTED_VALUE"""),101.4)</f>
        <v>101.4</v>
      </c>
      <c r="AM231" s="1">
        <f>IFERROR(__xludf.DUMMYFUNCTION("""COMPUTED_VALUE"""),489.8)</f>
        <v>489.8</v>
      </c>
      <c r="AN231" s="1">
        <f>IFERROR(__xludf.DUMMYFUNCTION("""COMPUTED_VALUE"""),353.62)</f>
        <v>353.62</v>
      </c>
      <c r="AO231" s="1">
        <f>IFERROR(__xludf.DUMMYFUNCTION("""COMPUTED_VALUE"""),142.83)</f>
        <v>142.83</v>
      </c>
      <c r="AP231" s="1">
        <f>IFERROR(__xludf.DUMMYFUNCTION("""COMPUTED_VALUE"""),155.19)</f>
        <v>155.19</v>
      </c>
      <c r="AQ231" s="3">
        <f>IFERROR(__xludf.DUMMYFUNCTION("""COMPUTED_VALUE"""),489.52)</f>
        <v>489.52</v>
      </c>
      <c r="AR231" s="3">
        <f>IFERROR(__xludf.DUMMYFUNCTION("""COMPUTED_VALUE"""),227.11)</f>
        <v>227.11</v>
      </c>
      <c r="AS231" s="3">
        <f>IFERROR(__xludf.DUMMYFUNCTION("""COMPUTED_VALUE"""),463.7)</f>
        <v>463.7</v>
      </c>
      <c r="AT231" s="3">
        <f>IFERROR(__xludf.DUMMYFUNCTION("""COMPUTED_VALUE"""),256.62)</f>
        <v>256.62</v>
      </c>
      <c r="AU231" s="1">
        <f>IFERROR(__xludf.DUMMYFUNCTION("""COMPUTED_VALUE"""),27.3)</f>
        <v>27.3</v>
      </c>
      <c r="AV231" s="1">
        <f>IFERROR(__xludf.DUMMYFUNCTION("""COMPUTED_VALUE"""),82.54)</f>
        <v>82.54</v>
      </c>
      <c r="AW231" s="1">
        <f>IFERROR(__xludf.DUMMYFUNCTION("""COMPUTED_VALUE"""),71.11)</f>
        <v>71.11</v>
      </c>
      <c r="AX231" s="3">
        <f>IFERROR(__xludf.DUMMYFUNCTION("""COMPUTED_VALUE"""),23.54)</f>
        <v>23.54</v>
      </c>
      <c r="AY231" s="1">
        <f>IFERROR(__xludf.DUMMYFUNCTION("""COMPUTED_VALUE"""),381.35)</f>
        <v>381.35</v>
      </c>
      <c r="AZ231" s="3">
        <f>IFERROR(__xludf.DUMMYFUNCTION("""COMPUTED_VALUE"""),66.72)</f>
        <v>66.72</v>
      </c>
      <c r="BA231" s="3">
        <f>IFERROR(__xludf.DUMMYFUNCTION("""COMPUTED_VALUE"""),92.89)</f>
        <v>92.89</v>
      </c>
      <c r="BB231" s="3">
        <f>IFERROR(__xludf.DUMMYFUNCTION("""COMPUTED_VALUE"""),107.57)</f>
        <v>107.57</v>
      </c>
      <c r="BC231" s="1">
        <f>IFERROR(__xludf.DUMMYFUNCTION("""COMPUTED_VALUE"""),94.32)</f>
        <v>94.32</v>
      </c>
      <c r="BD231" s="1">
        <f>IFERROR(__xludf.DUMMYFUNCTION("""COMPUTED_VALUE"""),43.02)</f>
        <v>43.02</v>
      </c>
      <c r="BE231" s="3">
        <f>IFERROR(__xludf.DUMMYFUNCTION("""COMPUTED_VALUE"""),88.59)</f>
        <v>88.59</v>
      </c>
      <c r="BF231" s="1">
        <f>IFERROR(__xludf.DUMMYFUNCTION("""COMPUTED_VALUE"""),60.56)</f>
        <v>60.56</v>
      </c>
      <c r="BG231" s="1">
        <f>IFERROR(__xludf.DUMMYFUNCTION("""COMPUTED_VALUE"""),21.59)</f>
        <v>21.59</v>
      </c>
      <c r="BH231" s="1">
        <f>IFERROR(__xludf.DUMMYFUNCTION("""COMPUTED_VALUE"""),127.07)</f>
        <v>127.07</v>
      </c>
      <c r="BI231" s="3">
        <f>IFERROR(__xludf.DUMMYFUNCTION("""COMPUTED_VALUE"""),33.67)</f>
        <v>33.67</v>
      </c>
      <c r="BJ231" s="1">
        <f>IFERROR(__xludf.DUMMYFUNCTION("""COMPUTED_VALUE"""),256.12)</f>
        <v>256.12</v>
      </c>
      <c r="BK231" s="1">
        <f>IFERROR(__xludf.DUMMYFUNCTION("""COMPUTED_VALUE"""),427.44)</f>
        <v>427.44</v>
      </c>
      <c r="BL231" s="1">
        <f>IFERROR(__xludf.DUMMYFUNCTION("""COMPUTED_VALUE"""),167.22)</f>
        <v>167.22</v>
      </c>
      <c r="BM231" s="1">
        <f>IFERROR(__xludf.DUMMYFUNCTION("""COMPUTED_VALUE"""),76.37)</f>
        <v>76.37</v>
      </c>
      <c r="BN231" s="3">
        <f>IFERROR(__xludf.DUMMYFUNCTION("""COMPUTED_VALUE"""),5.2)</f>
        <v>5.2</v>
      </c>
      <c r="BO231" s="1">
        <f>IFERROR(__xludf.DUMMYFUNCTION("""COMPUTED_VALUE"""),219.32)</f>
        <v>219.32</v>
      </c>
      <c r="BP231" s="1">
        <f>IFERROR(__xludf.DUMMYFUNCTION("""COMPUTED_VALUE"""),594.4)</f>
        <v>594.4</v>
      </c>
      <c r="BQ231" s="36">
        <f>IFERROR(__xludf.DUMMYFUNCTION("""COMPUTED_VALUE"""),49.6)</f>
        <v>49.6</v>
      </c>
      <c r="BR231" s="1">
        <f>IFERROR(__xludf.DUMMYFUNCTION("""COMPUTED_VALUE"""),7.26)</f>
        <v>7.26</v>
      </c>
      <c r="BS231" s="3">
        <f>IFERROR(__xludf.DUMMYFUNCTION("""COMPUTED_VALUE"""),226.45)</f>
        <v>226.45</v>
      </c>
      <c r="BT231" s="1">
        <f>IFERROR(__xludf.DUMMYFUNCTION("""COMPUTED_VALUE"""),85.23)</f>
        <v>85.23</v>
      </c>
      <c r="BU231" s="3">
        <v>1.0</v>
      </c>
    </row>
    <row r="232">
      <c r="A232" s="25">
        <f>IFERROR(__xludf.DUMMYFUNCTION("""COMPUTED_VALUE"""),45758.66666666667)</f>
        <v>45758.66667</v>
      </c>
      <c r="B232" s="29">
        <f>'Master Scratch Work'!B231</f>
        <v>1264526.06</v>
      </c>
      <c r="C232" s="15">
        <f>IFERROR(__xludf.DUMMYFUNCTION("""COMPUTED_VALUE"""),5363.36)</f>
        <v>5363.36</v>
      </c>
      <c r="D232" s="15">
        <f>IFERROR(__xludf.DUMMYFUNCTION("""COMPUTED_VALUE"""),16724.46)</f>
        <v>16724.46</v>
      </c>
      <c r="E232" s="15">
        <f>IFERROR(__xludf.DUMMYFUNCTION("""COMPUTED_VALUE"""),40212.71)</f>
        <v>40212.71</v>
      </c>
      <c r="F232" s="15">
        <f>IFERROR(__xludf.DUMMYFUNCTION("""COMPUTED_VALUE"""),1860.2)</f>
        <v>1860.2</v>
      </c>
      <c r="G232" s="3">
        <f>IFERROR(__xludf.DUMMYFUNCTION("""COMPUTED_VALUE"""),533.94)</f>
        <v>533.94</v>
      </c>
      <c r="H232" s="3">
        <f>IFERROR(__xludf.DUMMYFUNCTION("""COMPUTED_VALUE"""),454.4)</f>
        <v>454.4</v>
      </c>
      <c r="I232" s="3">
        <f>IFERROR(__xludf.DUMMYFUNCTION("""COMPUTED_VALUE"""),352.47)</f>
        <v>352.47</v>
      </c>
      <c r="J232" s="3">
        <f>IFERROR(__xludf.DUMMYFUNCTION("""COMPUTED_VALUE"""),184.87)</f>
        <v>184.87</v>
      </c>
      <c r="K232" s="3">
        <f>IFERROR(__xludf.DUMMYFUNCTION("""COMPUTED_VALUE"""),146.09)</f>
        <v>146.09</v>
      </c>
      <c r="L232" s="3">
        <f>IFERROR(__xludf.DUMMYFUNCTION("""COMPUTED_VALUE"""),198.15)</f>
        <v>198.15</v>
      </c>
      <c r="M232" s="3">
        <f>IFERROR(__xludf.DUMMYFUNCTION("""COMPUTED_VALUE"""),144.94)</f>
        <v>144.94</v>
      </c>
      <c r="N232" s="3">
        <f>IFERROR(__xludf.DUMMYFUNCTION("""COMPUTED_VALUE"""),77.67)</f>
        <v>77.67</v>
      </c>
      <c r="O232" s="3">
        <f>IFERROR(__xludf.DUMMYFUNCTION("""COMPUTED_VALUE"""),13.94)</f>
        <v>13.94</v>
      </c>
      <c r="P232" s="3">
        <f>IFERROR(__xludf.DUMMYFUNCTION("""COMPUTED_VALUE"""),524.11)</f>
        <v>524.11</v>
      </c>
      <c r="Q232" s="3">
        <f>IFERROR(__xludf.DUMMYFUNCTION("""COMPUTED_VALUE"""),45.25)</f>
        <v>45.25</v>
      </c>
      <c r="R232" s="3">
        <f>IFERROR(__xludf.DUMMYFUNCTION("""COMPUTED_VALUE"""),115.17)</f>
        <v>115.17</v>
      </c>
      <c r="S232" s="3">
        <f>IFERROR(__xludf.DUMMYFUNCTION("""COMPUTED_VALUE"""),93.67)</f>
        <v>93.67</v>
      </c>
      <c r="T232" s="3">
        <f>IFERROR(__xludf.DUMMYFUNCTION("""COMPUTED_VALUE"""),59.26)</f>
        <v>59.26</v>
      </c>
      <c r="U232" s="3">
        <f>IFERROR(__xludf.DUMMYFUNCTION("""COMPUTED_VALUE"""),293.45)</f>
        <v>293.45</v>
      </c>
      <c r="V232" s="3">
        <f>IFERROR(__xludf.DUMMYFUNCTION("""COMPUTED_VALUE"""),40.84)</f>
        <v>40.84</v>
      </c>
      <c r="W232" s="3">
        <f>IFERROR(__xludf.DUMMYFUNCTION("""COMPUTED_VALUE"""),217.71)</f>
        <v>217.71</v>
      </c>
      <c r="X232" s="3">
        <f>IFERROR(__xludf.DUMMYFUNCTION("""COMPUTED_VALUE"""),135.63)</f>
        <v>135.63</v>
      </c>
      <c r="Y232" s="1">
        <f>IFERROR(__xludf.DUMMYFUNCTION("""COMPUTED_VALUE"""),330.19)</f>
        <v>330.19</v>
      </c>
      <c r="Z232" s="1">
        <f>IFERROR(__xludf.DUMMYFUNCTION("""COMPUTED_VALUE"""),34.82)</f>
        <v>34.82</v>
      </c>
      <c r="AA232" s="1">
        <f>IFERROR(__xludf.DUMMYFUNCTION("""COMPUTED_VALUE"""),71.43)</f>
        <v>71.43</v>
      </c>
      <c r="AB232" s="1">
        <f>IFERROR(__xludf.DUMMYFUNCTION("""COMPUTED_VALUE"""),109.84)</f>
        <v>109.84</v>
      </c>
      <c r="AC232" s="1">
        <f>IFERROR(__xludf.DUMMYFUNCTION("""COMPUTED_VALUE"""),145.09)</f>
        <v>145.09</v>
      </c>
      <c r="AD232" s="3">
        <f>IFERROR(__xludf.DUMMYFUNCTION("""COMPUTED_VALUE"""),72.11)</f>
        <v>72.11</v>
      </c>
      <c r="AE232" s="1">
        <f>IFERROR(__xludf.DUMMYFUNCTION("""COMPUTED_VALUE"""),462.17)</f>
        <v>462.17</v>
      </c>
      <c r="AF232" s="1">
        <f>IFERROR(__xludf.DUMMYFUNCTION("""COMPUTED_VALUE"""),64.58)</f>
        <v>64.58</v>
      </c>
      <c r="AG232" s="1">
        <f>IFERROR(__xludf.DUMMYFUNCTION("""COMPUTED_VALUE"""),103.14)</f>
        <v>103.14</v>
      </c>
      <c r="AH232" s="1">
        <f>IFERROR(__xludf.DUMMYFUNCTION("""COMPUTED_VALUE"""),207.77)</f>
        <v>207.77</v>
      </c>
      <c r="AI232" s="1">
        <f>IFERROR(__xludf.DUMMYFUNCTION("""COMPUTED_VALUE"""),428.58)</f>
        <v>428.58</v>
      </c>
      <c r="AJ232" s="1">
        <f>IFERROR(__xludf.DUMMYFUNCTION("""COMPUTED_VALUE"""),276.65)</f>
        <v>276.65</v>
      </c>
      <c r="AK232" s="1">
        <f>IFERROR(__xludf.DUMMYFUNCTION("""COMPUTED_VALUE"""),43.63)</f>
        <v>43.63</v>
      </c>
      <c r="AL232" s="1">
        <f>IFERROR(__xludf.DUMMYFUNCTION("""COMPUTED_VALUE"""),103.63)</f>
        <v>103.63</v>
      </c>
      <c r="AM232" s="1">
        <f>IFERROR(__xludf.DUMMYFUNCTION("""COMPUTED_VALUE"""),494.44)</f>
        <v>494.44</v>
      </c>
      <c r="AN232" s="1">
        <f>IFERROR(__xludf.DUMMYFUNCTION("""COMPUTED_VALUE"""),353.86)</f>
        <v>353.86</v>
      </c>
      <c r="AO232" s="1">
        <f>IFERROR(__xludf.DUMMYFUNCTION("""COMPUTED_VALUE"""),143.27)</f>
        <v>143.27</v>
      </c>
      <c r="AP232" s="1">
        <f>IFERROR(__xludf.DUMMYFUNCTION("""COMPUTED_VALUE"""),155.91)</f>
        <v>155.91</v>
      </c>
      <c r="AQ232" s="3">
        <f>IFERROR(__xludf.DUMMYFUNCTION("""COMPUTED_VALUE"""),493.6)</f>
        <v>493.6</v>
      </c>
      <c r="AR232" s="3">
        <f>IFERROR(__xludf.DUMMYFUNCTION("""COMPUTED_VALUE"""),236.2)</f>
        <v>236.2</v>
      </c>
      <c r="AS232" s="3">
        <f>IFERROR(__xludf.DUMMYFUNCTION("""COMPUTED_VALUE"""),474.9)</f>
        <v>474.9</v>
      </c>
      <c r="AT232" s="3">
        <f>IFERROR(__xludf.DUMMYFUNCTION("""COMPUTED_VALUE"""),261.03)</f>
        <v>261.03</v>
      </c>
      <c r="AU232" s="1">
        <f>IFERROR(__xludf.DUMMYFUNCTION("""COMPUTED_VALUE"""),28.04)</f>
        <v>28.04</v>
      </c>
      <c r="AV232" s="1">
        <f>IFERROR(__xludf.DUMMYFUNCTION("""COMPUTED_VALUE"""),82.9)</f>
        <v>82.9</v>
      </c>
      <c r="AW232" s="1">
        <f>IFERROR(__xludf.DUMMYFUNCTION("""COMPUTED_VALUE"""),71.4)</f>
        <v>71.4</v>
      </c>
      <c r="AX232" s="3">
        <f>IFERROR(__xludf.DUMMYFUNCTION("""COMPUTED_VALUE"""),22.68)</f>
        <v>22.68</v>
      </c>
      <c r="AY232" s="1">
        <f>IFERROR(__xludf.DUMMYFUNCTION("""COMPUTED_VALUE"""),388.45)</f>
        <v>388.45</v>
      </c>
      <c r="AZ232" s="3">
        <f>IFERROR(__xludf.DUMMYFUNCTION("""COMPUTED_VALUE"""),65.81)</f>
        <v>65.81</v>
      </c>
      <c r="BA232" s="3">
        <f>IFERROR(__xludf.DUMMYFUNCTION("""COMPUTED_VALUE"""),94.47)</f>
        <v>94.47</v>
      </c>
      <c r="BB232" s="3">
        <f>IFERROR(__xludf.DUMMYFUNCTION("""COMPUTED_VALUE"""),110.93)</f>
        <v>110.93</v>
      </c>
      <c r="BC232" s="1">
        <f>IFERROR(__xludf.DUMMYFUNCTION("""COMPUTED_VALUE"""),97.09)</f>
        <v>97.09</v>
      </c>
      <c r="BD232" s="1">
        <f>IFERROR(__xludf.DUMMYFUNCTION("""COMPUTED_VALUE"""),43.51)</f>
        <v>43.51</v>
      </c>
      <c r="BE232" s="3">
        <f>IFERROR(__xludf.DUMMYFUNCTION("""COMPUTED_VALUE"""),88.55)</f>
        <v>88.55</v>
      </c>
      <c r="BF232" s="1">
        <f>IFERROR(__xludf.DUMMYFUNCTION("""COMPUTED_VALUE"""),62.59)</f>
        <v>62.59</v>
      </c>
      <c r="BG232" s="1">
        <f>IFERROR(__xludf.DUMMYFUNCTION("""COMPUTED_VALUE"""),21.91)</f>
        <v>21.91</v>
      </c>
      <c r="BH232" s="1">
        <f>IFERROR(__xludf.DUMMYFUNCTION("""COMPUTED_VALUE"""),128.26)</f>
        <v>128.26</v>
      </c>
      <c r="BI232" s="3">
        <f>IFERROR(__xludf.DUMMYFUNCTION("""COMPUTED_VALUE"""),35.72)</f>
        <v>35.72</v>
      </c>
      <c r="BJ232" s="1">
        <f>IFERROR(__xludf.DUMMYFUNCTION("""COMPUTED_VALUE"""),258.67)</f>
        <v>258.67</v>
      </c>
      <c r="BK232" s="1">
        <f>IFERROR(__xludf.DUMMYFUNCTION("""COMPUTED_VALUE"""),438.15)</f>
        <v>438.15</v>
      </c>
      <c r="BL232" s="1">
        <f>IFERROR(__xludf.DUMMYFUNCTION("""COMPUTED_VALUE"""),169.42)</f>
        <v>169.42</v>
      </c>
      <c r="BM232" s="1">
        <f>IFERROR(__xludf.DUMMYFUNCTION("""COMPUTED_VALUE"""),80.58)</f>
        <v>80.58</v>
      </c>
      <c r="BN232" s="3">
        <f>IFERROR(__xludf.DUMMYFUNCTION("""COMPUTED_VALUE"""),5.19)</f>
        <v>5.19</v>
      </c>
      <c r="BO232" s="1">
        <f>IFERROR(__xludf.DUMMYFUNCTION("""COMPUTED_VALUE"""),218.59)</f>
        <v>218.59</v>
      </c>
      <c r="BP232" s="1">
        <f>IFERROR(__xludf.DUMMYFUNCTION("""COMPUTED_VALUE"""),599.47)</f>
        <v>599.47</v>
      </c>
      <c r="BQ232" s="36">
        <f>IFERROR(__xludf.DUMMYFUNCTION("""COMPUTED_VALUE"""),49.57)</f>
        <v>49.57</v>
      </c>
      <c r="BR232" s="1">
        <f>IFERROR(__xludf.DUMMYFUNCTION("""COMPUTED_VALUE"""),7.54)</f>
        <v>7.54</v>
      </c>
      <c r="BS232" s="3">
        <f>IFERROR(__xludf.DUMMYFUNCTION("""COMPUTED_VALUE"""),229.38)</f>
        <v>229.38</v>
      </c>
      <c r="BT232" s="1">
        <f>IFERROR(__xludf.DUMMYFUNCTION("""COMPUTED_VALUE"""),84.89)</f>
        <v>84.89</v>
      </c>
      <c r="BU232" s="3">
        <v>1.0</v>
      </c>
    </row>
    <row r="233">
      <c r="A233" s="25">
        <f>IFERROR(__xludf.DUMMYFUNCTION("""COMPUTED_VALUE"""),45761.66666666667)</f>
        <v>45761.66667</v>
      </c>
      <c r="B233" s="29">
        <f>'Master Scratch Work'!B232</f>
        <v>1279701.7</v>
      </c>
      <c r="C233" s="15">
        <f>IFERROR(__xludf.DUMMYFUNCTION("""COMPUTED_VALUE"""),5405.97)</f>
        <v>5405.97</v>
      </c>
      <c r="D233" s="15">
        <f>IFERROR(__xludf.DUMMYFUNCTION("""COMPUTED_VALUE"""),16831.48)</f>
        <v>16831.48</v>
      </c>
      <c r="E233" s="15">
        <f>IFERROR(__xludf.DUMMYFUNCTION("""COMPUTED_VALUE"""),40524.79)</f>
        <v>40524.79</v>
      </c>
      <c r="F233" s="15">
        <f>IFERROR(__xludf.DUMMYFUNCTION("""COMPUTED_VALUE"""),1880.88)</f>
        <v>1880.88</v>
      </c>
      <c r="G233" s="3">
        <f>IFERROR(__xludf.DUMMYFUNCTION("""COMPUTED_VALUE"""),539.12)</f>
        <v>539.12</v>
      </c>
      <c r="H233" s="3">
        <f>IFERROR(__xludf.DUMMYFUNCTION("""COMPUTED_VALUE"""),457.48)</f>
        <v>457.48</v>
      </c>
      <c r="I233" s="3">
        <f>IFERROR(__xludf.DUMMYFUNCTION("""COMPUTED_VALUE"""),350.91)</f>
        <v>350.91</v>
      </c>
      <c r="J233" s="3">
        <f>IFERROR(__xludf.DUMMYFUNCTION("""COMPUTED_VALUE"""),182.12)</f>
        <v>182.12</v>
      </c>
      <c r="K233" s="3">
        <f>IFERROR(__xludf.DUMMYFUNCTION("""COMPUTED_VALUE"""),148.83)</f>
        <v>148.83</v>
      </c>
      <c r="L233" s="3">
        <f>IFERROR(__xludf.DUMMYFUNCTION("""COMPUTED_VALUE"""),202.52)</f>
        <v>202.52</v>
      </c>
      <c r="M233" s="3">
        <f>IFERROR(__xludf.DUMMYFUNCTION("""COMPUTED_VALUE"""),144.53)</f>
        <v>144.53</v>
      </c>
      <c r="N233" s="3">
        <f>IFERROR(__xludf.DUMMYFUNCTION("""COMPUTED_VALUE"""),77.52)</f>
        <v>77.52</v>
      </c>
      <c r="O233" s="3">
        <f>IFERROR(__xludf.DUMMYFUNCTION("""COMPUTED_VALUE"""),14.27)</f>
        <v>14.27</v>
      </c>
      <c r="P233" s="3">
        <f>IFERROR(__xludf.DUMMYFUNCTION("""COMPUTED_VALUE"""),529.52)</f>
        <v>529.52</v>
      </c>
      <c r="Q233" s="3">
        <f>IFERROR(__xludf.DUMMYFUNCTION("""COMPUTED_VALUE"""),46.29)</f>
        <v>46.29</v>
      </c>
      <c r="R233" s="3">
        <f>IFERROR(__xludf.DUMMYFUNCTION("""COMPUTED_VALUE"""),119.26)</f>
        <v>119.26</v>
      </c>
      <c r="S233" s="3">
        <f>IFERROR(__xludf.DUMMYFUNCTION("""COMPUTED_VALUE"""),94.27)</f>
        <v>94.27</v>
      </c>
      <c r="T233" s="3">
        <f>IFERROR(__xludf.DUMMYFUNCTION("""COMPUTED_VALUE"""),60.59)</f>
        <v>60.59</v>
      </c>
      <c r="U233" s="3">
        <f>IFERROR(__xludf.DUMMYFUNCTION("""COMPUTED_VALUE"""),298.12)</f>
        <v>298.12</v>
      </c>
      <c r="V233" s="3">
        <f>IFERROR(__xludf.DUMMYFUNCTION("""COMPUTED_VALUE"""),41.31)</f>
        <v>41.31</v>
      </c>
      <c r="W233" s="3">
        <f>IFERROR(__xludf.DUMMYFUNCTION("""COMPUTED_VALUE"""),220.1)</f>
        <v>220.1</v>
      </c>
      <c r="X233" s="3">
        <f>IFERROR(__xludf.DUMMYFUNCTION("""COMPUTED_VALUE"""),135.32)</f>
        <v>135.32</v>
      </c>
      <c r="Y233" s="1">
        <f>IFERROR(__xludf.DUMMYFUNCTION("""COMPUTED_VALUE"""),329.2)</f>
        <v>329.2</v>
      </c>
      <c r="Z233" s="1">
        <f>IFERROR(__xludf.DUMMYFUNCTION("""COMPUTED_VALUE"""),35.59)</f>
        <v>35.59</v>
      </c>
      <c r="AA233" s="1">
        <f>IFERROR(__xludf.DUMMYFUNCTION("""COMPUTED_VALUE"""),72.45)</f>
        <v>72.45</v>
      </c>
      <c r="AB233" s="1">
        <f>IFERROR(__xludf.DUMMYFUNCTION("""COMPUTED_VALUE"""),112.25)</f>
        <v>112.25</v>
      </c>
      <c r="AC233" s="1">
        <f>IFERROR(__xludf.DUMMYFUNCTION("""COMPUTED_VALUE"""),146.31)</f>
        <v>146.31</v>
      </c>
      <c r="AD233" s="3">
        <f>IFERROR(__xludf.DUMMYFUNCTION("""COMPUTED_VALUE"""),73.71)</f>
        <v>73.71</v>
      </c>
      <c r="AE233" s="1">
        <f>IFERROR(__xludf.DUMMYFUNCTION("""COMPUTED_VALUE"""),475.87)</f>
        <v>475.87</v>
      </c>
      <c r="AF233" s="1">
        <f>IFERROR(__xludf.DUMMYFUNCTION("""COMPUTED_VALUE"""),66.07)</f>
        <v>66.07</v>
      </c>
      <c r="AG233" s="1">
        <f>IFERROR(__xludf.DUMMYFUNCTION("""COMPUTED_VALUE"""),103.39)</f>
        <v>103.39</v>
      </c>
      <c r="AH233" s="1">
        <f>IFERROR(__xludf.DUMMYFUNCTION("""COMPUTED_VALUE"""),210.45)</f>
        <v>210.45</v>
      </c>
      <c r="AI233" s="1">
        <f>IFERROR(__xludf.DUMMYFUNCTION("""COMPUTED_VALUE"""),429.53)</f>
        <v>429.53</v>
      </c>
      <c r="AJ233" s="1">
        <f>IFERROR(__xludf.DUMMYFUNCTION("""COMPUTED_VALUE"""),278.78)</f>
        <v>278.78</v>
      </c>
      <c r="AK233" s="1">
        <f>IFERROR(__xludf.DUMMYFUNCTION("""COMPUTED_VALUE"""),45.14)</f>
        <v>45.14</v>
      </c>
      <c r="AL233" s="1">
        <f>IFERROR(__xludf.DUMMYFUNCTION("""COMPUTED_VALUE"""),106.5)</f>
        <v>106.5</v>
      </c>
      <c r="AM233" s="1">
        <f>IFERROR(__xludf.DUMMYFUNCTION("""COMPUTED_VALUE"""),503.98)</f>
        <v>503.98</v>
      </c>
      <c r="AN233" s="1">
        <f>IFERROR(__xludf.DUMMYFUNCTION("""COMPUTED_VALUE"""),357.2)</f>
        <v>357.2</v>
      </c>
      <c r="AO233" s="1">
        <f>IFERROR(__xludf.DUMMYFUNCTION("""COMPUTED_VALUE"""),143.2)</f>
        <v>143.2</v>
      </c>
      <c r="AP233" s="1">
        <f>IFERROR(__xludf.DUMMYFUNCTION("""COMPUTED_VALUE"""),159.79)</f>
        <v>159.79</v>
      </c>
      <c r="AQ233" s="3">
        <f>IFERROR(__xludf.DUMMYFUNCTION("""COMPUTED_VALUE"""),490.13)</f>
        <v>490.13</v>
      </c>
      <c r="AR233" s="3">
        <f>IFERROR(__xludf.DUMMYFUNCTION("""COMPUTED_VALUE"""),234.72)</f>
        <v>234.72</v>
      </c>
      <c r="AS233" s="3">
        <f>IFERROR(__xludf.DUMMYFUNCTION("""COMPUTED_VALUE"""),475.34)</f>
        <v>475.34</v>
      </c>
      <c r="AT233" s="3">
        <f>IFERROR(__xludf.DUMMYFUNCTION("""COMPUTED_VALUE"""),259.76)</f>
        <v>259.76</v>
      </c>
      <c r="AU233" s="1">
        <f>IFERROR(__xludf.DUMMYFUNCTION("""COMPUTED_VALUE"""),28.76)</f>
        <v>28.76</v>
      </c>
      <c r="AV233" s="1">
        <f>IFERROR(__xludf.DUMMYFUNCTION("""COMPUTED_VALUE"""),84.22)</f>
        <v>84.22</v>
      </c>
      <c r="AW233" s="1">
        <f>IFERROR(__xludf.DUMMYFUNCTION("""COMPUTED_VALUE"""),72.95)</f>
        <v>72.95</v>
      </c>
      <c r="AX233" s="3">
        <f>IFERROR(__xludf.DUMMYFUNCTION("""COMPUTED_VALUE"""),27.59)</f>
        <v>27.59</v>
      </c>
      <c r="AY233" s="1">
        <f>IFERROR(__xludf.DUMMYFUNCTION("""COMPUTED_VALUE"""),387.81)</f>
        <v>387.81</v>
      </c>
      <c r="AZ233" s="3">
        <f>IFERROR(__xludf.DUMMYFUNCTION("""COMPUTED_VALUE"""),67.69)</f>
        <v>67.69</v>
      </c>
      <c r="BA233" s="3">
        <f>IFERROR(__xludf.DUMMYFUNCTION("""COMPUTED_VALUE"""),95.92)</f>
        <v>95.92</v>
      </c>
      <c r="BB233" s="3">
        <f>IFERROR(__xludf.DUMMYFUNCTION("""COMPUTED_VALUE"""),110.71)</f>
        <v>110.71</v>
      </c>
      <c r="BC233" s="1">
        <f>IFERROR(__xludf.DUMMYFUNCTION("""COMPUTED_VALUE"""),98.52)</f>
        <v>98.52</v>
      </c>
      <c r="BD233" s="1">
        <f>IFERROR(__xludf.DUMMYFUNCTION("""COMPUTED_VALUE"""),43.17)</f>
        <v>43.17</v>
      </c>
      <c r="BE233" s="3">
        <f>IFERROR(__xludf.DUMMYFUNCTION("""COMPUTED_VALUE"""),92.62)</f>
        <v>92.62</v>
      </c>
      <c r="BF233" s="1">
        <f>IFERROR(__xludf.DUMMYFUNCTION("""COMPUTED_VALUE"""),62.27)</f>
        <v>62.27</v>
      </c>
      <c r="BG233" s="1">
        <f>IFERROR(__xludf.DUMMYFUNCTION("""COMPUTED_VALUE"""),22.12)</f>
        <v>22.12</v>
      </c>
      <c r="BH233" s="1">
        <f>IFERROR(__xludf.DUMMYFUNCTION("""COMPUTED_VALUE"""),129.14)</f>
        <v>129.14</v>
      </c>
      <c r="BI233" s="3">
        <f>IFERROR(__xludf.DUMMYFUNCTION("""COMPUTED_VALUE"""),36.47)</f>
        <v>36.47</v>
      </c>
      <c r="BJ233" s="1">
        <f>IFERROR(__xludf.DUMMYFUNCTION("""COMPUTED_VALUE"""),262.64)</f>
        <v>262.64</v>
      </c>
      <c r="BK233" s="1">
        <f>IFERROR(__xludf.DUMMYFUNCTION("""COMPUTED_VALUE"""),449.33)</f>
        <v>449.33</v>
      </c>
      <c r="BL233" s="1">
        <f>IFERROR(__xludf.DUMMYFUNCTION("""COMPUTED_VALUE"""),172.0)</f>
        <v>172</v>
      </c>
      <c r="BM233" s="1">
        <f>IFERROR(__xludf.DUMMYFUNCTION("""COMPUTED_VALUE"""),86.84)</f>
        <v>86.84</v>
      </c>
      <c r="BN233" s="3">
        <f>IFERROR(__xludf.DUMMYFUNCTION("""COMPUTED_VALUE"""),5.44)</f>
        <v>5.44</v>
      </c>
      <c r="BO233" s="1">
        <f>IFERROR(__xludf.DUMMYFUNCTION("""COMPUTED_VALUE"""),222.27)</f>
        <v>222.27</v>
      </c>
      <c r="BP233" s="1">
        <f>IFERROR(__xludf.DUMMYFUNCTION("""COMPUTED_VALUE"""),587.06)</f>
        <v>587.06</v>
      </c>
      <c r="BQ233" s="36">
        <f>IFERROR(__xludf.DUMMYFUNCTION("""COMPUTED_VALUE"""),49.66)</f>
        <v>49.66</v>
      </c>
      <c r="BR233" s="1">
        <f>IFERROR(__xludf.DUMMYFUNCTION("""COMPUTED_VALUE"""),7.63)</f>
        <v>7.63</v>
      </c>
      <c r="BS233" s="3">
        <f>IFERROR(__xludf.DUMMYFUNCTION("""COMPUTED_VALUE"""),232.3)</f>
        <v>232.3</v>
      </c>
      <c r="BT233" s="1">
        <f>IFERROR(__xludf.DUMMYFUNCTION("""COMPUTED_VALUE"""),84.66)</f>
        <v>84.66</v>
      </c>
      <c r="BU233" s="3">
        <v>1.0</v>
      </c>
    </row>
    <row r="234">
      <c r="A234" s="25">
        <f>IFERROR(__xludf.DUMMYFUNCTION("""COMPUTED_VALUE"""),45762.66666666667)</f>
        <v>45762.66667</v>
      </c>
      <c r="B234" s="29">
        <f>'Master Scratch Work'!B233</f>
        <v>1277917.54</v>
      </c>
      <c r="C234" s="15">
        <f>IFERROR(__xludf.DUMMYFUNCTION("""COMPUTED_VALUE"""),5396.63)</f>
        <v>5396.63</v>
      </c>
      <c r="D234" s="15">
        <f>IFERROR(__xludf.DUMMYFUNCTION("""COMPUTED_VALUE"""),16823.17)</f>
        <v>16823.17</v>
      </c>
      <c r="E234" s="15">
        <f>IFERROR(__xludf.DUMMYFUNCTION("""COMPUTED_VALUE"""),40368.96)</f>
        <v>40368.96</v>
      </c>
      <c r="F234" s="15">
        <f>IFERROR(__xludf.DUMMYFUNCTION("""COMPUTED_VALUE"""),1882.92)</f>
        <v>1882.92</v>
      </c>
      <c r="G234" s="3">
        <f>IFERROR(__xludf.DUMMYFUNCTION("""COMPUTED_VALUE"""),537.61)</f>
        <v>537.61</v>
      </c>
      <c r="H234" s="3">
        <f>IFERROR(__xludf.DUMMYFUNCTION("""COMPUTED_VALUE"""),457.99)</f>
        <v>457.99</v>
      </c>
      <c r="I234" s="3">
        <f>IFERROR(__xludf.DUMMYFUNCTION("""COMPUTED_VALUE"""),350.38)</f>
        <v>350.38</v>
      </c>
      <c r="J234" s="3">
        <f>IFERROR(__xludf.DUMMYFUNCTION("""COMPUTED_VALUE"""),179.59)</f>
        <v>179.59</v>
      </c>
      <c r="K234" s="3">
        <f>IFERROR(__xludf.DUMMYFUNCTION("""COMPUTED_VALUE"""),146.88)</f>
        <v>146.88</v>
      </c>
      <c r="L234" s="3">
        <f>IFERROR(__xludf.DUMMYFUNCTION("""COMPUTED_VALUE"""),202.14)</f>
        <v>202.14</v>
      </c>
      <c r="M234" s="3">
        <f>IFERROR(__xludf.DUMMYFUNCTION("""COMPUTED_VALUE"""),145.45)</f>
        <v>145.45</v>
      </c>
      <c r="N234" s="3">
        <f>IFERROR(__xludf.DUMMYFUNCTION("""COMPUTED_VALUE"""),77.77)</f>
        <v>77.77</v>
      </c>
      <c r="O234" s="3">
        <f>IFERROR(__xludf.DUMMYFUNCTION("""COMPUTED_VALUE"""),14.71)</f>
        <v>14.71</v>
      </c>
      <c r="P234" s="3">
        <f>IFERROR(__xludf.DUMMYFUNCTION("""COMPUTED_VALUE"""),528.17)</f>
        <v>528.17</v>
      </c>
      <c r="Q234" s="3">
        <f>IFERROR(__xludf.DUMMYFUNCTION("""COMPUTED_VALUE"""),46.25)</f>
        <v>46.25</v>
      </c>
      <c r="R234" s="3">
        <f>IFERROR(__xludf.DUMMYFUNCTION("""COMPUTED_VALUE"""),116.98)</f>
        <v>116.98</v>
      </c>
      <c r="S234" s="3">
        <f>IFERROR(__xludf.DUMMYFUNCTION("""COMPUTED_VALUE"""),94.23)</f>
        <v>94.23</v>
      </c>
      <c r="T234" s="3">
        <f>IFERROR(__xludf.DUMMYFUNCTION("""COMPUTED_VALUE"""),60.47)</f>
        <v>60.47</v>
      </c>
      <c r="U234" s="3">
        <f>IFERROR(__xludf.DUMMYFUNCTION("""COMPUTED_VALUE"""),293.43)</f>
        <v>293.43</v>
      </c>
      <c r="V234" s="3">
        <f>IFERROR(__xludf.DUMMYFUNCTION("""COMPUTED_VALUE"""),40.81)</f>
        <v>40.81</v>
      </c>
      <c r="W234" s="3">
        <f>IFERROR(__xludf.DUMMYFUNCTION("""COMPUTED_VALUE"""),224.47)</f>
        <v>224.47</v>
      </c>
      <c r="X234" s="3">
        <f>IFERROR(__xludf.DUMMYFUNCTION("""COMPUTED_VALUE"""),134.54)</f>
        <v>134.54</v>
      </c>
      <c r="Y234" s="1">
        <f>IFERROR(__xludf.DUMMYFUNCTION("""COMPUTED_VALUE"""),328.63)</f>
        <v>328.63</v>
      </c>
      <c r="Z234" s="1">
        <f>IFERROR(__xludf.DUMMYFUNCTION("""COMPUTED_VALUE"""),36.1)</f>
        <v>36.1</v>
      </c>
      <c r="AA234" s="1">
        <f>IFERROR(__xludf.DUMMYFUNCTION("""COMPUTED_VALUE"""),71.86)</f>
        <v>71.86</v>
      </c>
      <c r="AB234" s="1">
        <f>IFERROR(__xludf.DUMMYFUNCTION("""COMPUTED_VALUE"""),111.81)</f>
        <v>111.81</v>
      </c>
      <c r="AC234" s="1">
        <f>IFERROR(__xludf.DUMMYFUNCTION("""COMPUTED_VALUE"""),146.23)</f>
        <v>146.23</v>
      </c>
      <c r="AD234" s="3">
        <f>IFERROR(__xludf.DUMMYFUNCTION("""COMPUTED_VALUE"""),71.8)</f>
        <v>71.8</v>
      </c>
      <c r="AE234" s="1">
        <f>IFERROR(__xludf.DUMMYFUNCTION("""COMPUTED_VALUE"""),468.56)</f>
        <v>468.56</v>
      </c>
      <c r="AF234" s="1">
        <f>IFERROR(__xludf.DUMMYFUNCTION("""COMPUTED_VALUE"""),65.5)</f>
        <v>65.5</v>
      </c>
      <c r="AG234" s="1">
        <f>IFERROR(__xludf.DUMMYFUNCTION("""COMPUTED_VALUE"""),103.1)</f>
        <v>103.1</v>
      </c>
      <c r="AH234" s="1">
        <f>IFERROR(__xludf.DUMMYFUNCTION("""COMPUTED_VALUE"""),207.35)</f>
        <v>207.35</v>
      </c>
      <c r="AI234" s="1">
        <f>IFERROR(__xludf.DUMMYFUNCTION("""COMPUTED_VALUE"""),433.98)</f>
        <v>433.98</v>
      </c>
      <c r="AJ234" s="1">
        <f>IFERROR(__xludf.DUMMYFUNCTION("""COMPUTED_VALUE"""),277.14)</f>
        <v>277.14</v>
      </c>
      <c r="AK234" s="1">
        <f>IFERROR(__xludf.DUMMYFUNCTION("""COMPUTED_VALUE"""),44.54)</f>
        <v>44.54</v>
      </c>
      <c r="AL234" s="1">
        <f>IFERROR(__xludf.DUMMYFUNCTION("""COMPUTED_VALUE"""),105.68)</f>
        <v>105.68</v>
      </c>
      <c r="AM234" s="1">
        <f>IFERROR(__xludf.DUMMYFUNCTION("""COMPUTED_VALUE"""),507.89)</f>
        <v>507.89</v>
      </c>
      <c r="AN234" s="1">
        <f>IFERROR(__xludf.DUMMYFUNCTION("""COMPUTED_VALUE"""),354.11)</f>
        <v>354.11</v>
      </c>
      <c r="AO234" s="1">
        <f>IFERROR(__xludf.DUMMYFUNCTION("""COMPUTED_VALUE"""),142.38)</f>
        <v>142.38</v>
      </c>
      <c r="AP234" s="1">
        <f>IFERROR(__xludf.DUMMYFUNCTION("""COMPUTED_VALUE"""),159.95)</f>
        <v>159.95</v>
      </c>
      <c r="AQ234" s="3">
        <f>IFERROR(__xludf.DUMMYFUNCTION("""COMPUTED_VALUE"""),488.27)</f>
        <v>488.27</v>
      </c>
      <c r="AR234" s="3">
        <f>IFERROR(__xludf.DUMMYFUNCTION("""COMPUTED_VALUE"""),233.13)</f>
        <v>233.13</v>
      </c>
      <c r="AS234" s="3">
        <f>IFERROR(__xludf.DUMMYFUNCTION("""COMPUTED_VALUE"""),469.58)</f>
        <v>469.58</v>
      </c>
      <c r="AT234" s="3">
        <f>IFERROR(__xludf.DUMMYFUNCTION("""COMPUTED_VALUE"""),255.64)</f>
        <v>255.64</v>
      </c>
      <c r="AU234" s="1">
        <f>IFERROR(__xludf.DUMMYFUNCTION("""COMPUTED_VALUE"""),28.99)</f>
        <v>28.99</v>
      </c>
      <c r="AV234" s="1">
        <f>IFERROR(__xludf.DUMMYFUNCTION("""COMPUTED_VALUE"""),82.37)</f>
        <v>82.37</v>
      </c>
      <c r="AW234" s="1">
        <f>IFERROR(__xludf.DUMMYFUNCTION("""COMPUTED_VALUE"""),72.71)</f>
        <v>72.71</v>
      </c>
      <c r="AX234" s="3">
        <f>IFERROR(__xludf.DUMMYFUNCTION("""COMPUTED_VALUE"""),25.07)</f>
        <v>25.07</v>
      </c>
      <c r="AY234" s="1">
        <f>IFERROR(__xludf.DUMMYFUNCTION("""COMPUTED_VALUE"""),385.73)</f>
        <v>385.73</v>
      </c>
      <c r="AZ234" s="3">
        <f>IFERROR(__xludf.DUMMYFUNCTION("""COMPUTED_VALUE"""),67.66)</f>
        <v>67.66</v>
      </c>
      <c r="BA234" s="3">
        <f>IFERROR(__xludf.DUMMYFUNCTION("""COMPUTED_VALUE"""),97.11)</f>
        <v>97.11</v>
      </c>
      <c r="BB234" s="3">
        <f>IFERROR(__xludf.DUMMYFUNCTION("""COMPUTED_VALUE"""),112.2)</f>
        <v>112.2</v>
      </c>
      <c r="BC234" s="1">
        <f>IFERROR(__xludf.DUMMYFUNCTION("""COMPUTED_VALUE"""),98.79)</f>
        <v>98.79</v>
      </c>
      <c r="BD234" s="1">
        <f>IFERROR(__xludf.DUMMYFUNCTION("""COMPUTED_VALUE"""),42.67)</f>
        <v>42.67</v>
      </c>
      <c r="BE234" s="3">
        <f>IFERROR(__xludf.DUMMYFUNCTION("""COMPUTED_VALUE"""),98.4)</f>
        <v>98.4</v>
      </c>
      <c r="BF234" s="1">
        <f>IFERROR(__xludf.DUMMYFUNCTION("""COMPUTED_VALUE"""),62.0)</f>
        <v>62</v>
      </c>
      <c r="BG234" s="1">
        <f>IFERROR(__xludf.DUMMYFUNCTION("""COMPUTED_VALUE"""),22.44)</f>
        <v>22.44</v>
      </c>
      <c r="BH234" s="1">
        <f>IFERROR(__xludf.DUMMYFUNCTION("""COMPUTED_VALUE"""),128.64)</f>
        <v>128.64</v>
      </c>
      <c r="BI234" s="3">
        <f>IFERROR(__xludf.DUMMYFUNCTION("""COMPUTED_VALUE"""),36.32)</f>
        <v>36.32</v>
      </c>
      <c r="BJ234" s="1">
        <f>IFERROR(__xludf.DUMMYFUNCTION("""COMPUTED_VALUE"""),266.71)</f>
        <v>266.71</v>
      </c>
      <c r="BK234" s="1">
        <f>IFERROR(__xludf.DUMMYFUNCTION("""COMPUTED_VALUE"""),441.0)</f>
        <v>441</v>
      </c>
      <c r="BL234" s="1">
        <f>IFERROR(__xludf.DUMMYFUNCTION("""COMPUTED_VALUE"""),174.24)</f>
        <v>174.24</v>
      </c>
      <c r="BM234" s="1">
        <f>IFERROR(__xludf.DUMMYFUNCTION("""COMPUTED_VALUE"""),87.18)</f>
        <v>87.18</v>
      </c>
      <c r="BN234" s="3">
        <f>IFERROR(__xludf.DUMMYFUNCTION("""COMPUTED_VALUE"""),5.74)</f>
        <v>5.74</v>
      </c>
      <c r="BO234" s="1">
        <f>IFERROR(__xludf.DUMMYFUNCTION("""COMPUTED_VALUE"""),220.08)</f>
        <v>220.08</v>
      </c>
      <c r="BP234" s="1">
        <f>IFERROR(__xludf.DUMMYFUNCTION("""COMPUTED_VALUE"""),583.59)</f>
        <v>583.59</v>
      </c>
      <c r="BQ234" s="36">
        <f>IFERROR(__xludf.DUMMYFUNCTION("""COMPUTED_VALUE"""),49.65)</f>
        <v>49.65</v>
      </c>
      <c r="BR234" s="1">
        <f>IFERROR(__xludf.DUMMYFUNCTION("""COMPUTED_VALUE"""),7.48)</f>
        <v>7.48</v>
      </c>
      <c r="BS234" s="3">
        <f>IFERROR(__xludf.DUMMYFUNCTION("""COMPUTED_VALUE"""),231.48)</f>
        <v>231.48</v>
      </c>
      <c r="BT234" s="1">
        <f>IFERROR(__xludf.DUMMYFUNCTION("""COMPUTED_VALUE"""),85.01)</f>
        <v>85.01</v>
      </c>
      <c r="BU234" s="3">
        <v>1.0</v>
      </c>
    </row>
    <row r="235">
      <c r="A235" s="25">
        <f>IFERROR(__xludf.DUMMYFUNCTION("""COMPUTED_VALUE"""),45763.66666666667)</f>
        <v>45763.66667</v>
      </c>
      <c r="B235" s="29">
        <f>'Master Scratch Work'!B234</f>
        <v>1259524.76</v>
      </c>
      <c r="C235" s="15">
        <f>IFERROR(__xludf.DUMMYFUNCTION("""COMPUTED_VALUE"""),5275.7)</f>
        <v>5275.7</v>
      </c>
      <c r="D235" s="15">
        <f>IFERROR(__xludf.DUMMYFUNCTION("""COMPUTED_VALUE"""),16307.16)</f>
        <v>16307.16</v>
      </c>
      <c r="E235" s="15">
        <f>IFERROR(__xludf.DUMMYFUNCTION("""COMPUTED_VALUE"""),39669.39)</f>
        <v>39669.39</v>
      </c>
      <c r="F235" s="15">
        <f>IFERROR(__xludf.DUMMYFUNCTION("""COMPUTED_VALUE"""),1863.48)</f>
        <v>1863.48</v>
      </c>
      <c r="G235" s="3">
        <f>IFERROR(__xludf.DUMMYFUNCTION("""COMPUTED_VALUE"""),525.66)</f>
        <v>525.66</v>
      </c>
      <c r="H235" s="3">
        <f>IFERROR(__xludf.DUMMYFUNCTION("""COMPUTED_VALUE"""),444.18)</f>
        <v>444.18</v>
      </c>
      <c r="I235" s="3">
        <f>IFERROR(__xludf.DUMMYFUNCTION("""COMPUTED_VALUE"""),344.19)</f>
        <v>344.19</v>
      </c>
      <c r="J235" s="3">
        <f>IFERROR(__xludf.DUMMYFUNCTION("""COMPUTED_VALUE"""),174.33)</f>
        <v>174.33</v>
      </c>
      <c r="K235" s="3">
        <f>IFERROR(__xludf.DUMMYFUNCTION("""COMPUTED_VALUE"""),146.4)</f>
        <v>146.4</v>
      </c>
      <c r="L235" s="3">
        <f>IFERROR(__xludf.DUMMYFUNCTION("""COMPUTED_VALUE"""),194.27)</f>
        <v>194.27</v>
      </c>
      <c r="M235" s="3">
        <f>IFERROR(__xludf.DUMMYFUNCTION("""COMPUTED_VALUE"""),138.19)</f>
        <v>138.19</v>
      </c>
      <c r="N235" s="3">
        <f>IFERROR(__xludf.DUMMYFUNCTION("""COMPUTED_VALUE"""),75.73)</f>
        <v>75.73</v>
      </c>
      <c r="O235" s="3">
        <f>IFERROR(__xludf.DUMMYFUNCTION("""COMPUTED_VALUE"""),14.56)</f>
        <v>14.56</v>
      </c>
      <c r="P235" s="3">
        <f>IFERROR(__xludf.DUMMYFUNCTION("""COMPUTED_VALUE"""),516.45)</f>
        <v>516.45</v>
      </c>
      <c r="Q235" s="3">
        <f>IFERROR(__xludf.DUMMYFUNCTION("""COMPUTED_VALUE"""),45.63)</f>
        <v>45.63</v>
      </c>
      <c r="R235" s="3">
        <f>IFERROR(__xludf.DUMMYFUNCTION("""COMPUTED_VALUE"""),115.29)</f>
        <v>115.29</v>
      </c>
      <c r="S235" s="3">
        <f>IFERROR(__xludf.DUMMYFUNCTION("""COMPUTED_VALUE"""),95.25)</f>
        <v>95.25</v>
      </c>
      <c r="T235" s="3">
        <f>IFERROR(__xludf.DUMMYFUNCTION("""COMPUTED_VALUE"""),59.19)</f>
        <v>59.19</v>
      </c>
      <c r="U235" s="3">
        <f>IFERROR(__xludf.DUMMYFUNCTION("""COMPUTED_VALUE"""),290.14)</f>
        <v>290.14</v>
      </c>
      <c r="V235" s="3">
        <f>IFERROR(__xludf.DUMMYFUNCTION("""COMPUTED_VALUE"""),41.28)</f>
        <v>41.28</v>
      </c>
      <c r="W235" s="3">
        <f>IFERROR(__xludf.DUMMYFUNCTION("""COMPUTED_VALUE"""),214.94)</f>
        <v>214.94</v>
      </c>
      <c r="X235" s="3">
        <f>IFERROR(__xludf.DUMMYFUNCTION("""COMPUTED_VALUE"""),135.36)</f>
        <v>135.36</v>
      </c>
      <c r="Y235" s="1">
        <f>IFERROR(__xludf.DUMMYFUNCTION("""COMPUTED_VALUE"""),329.44)</f>
        <v>329.44</v>
      </c>
      <c r="Z235" s="1">
        <f>IFERROR(__xludf.DUMMYFUNCTION("""COMPUTED_VALUE"""),35.46)</f>
        <v>35.46</v>
      </c>
      <c r="AA235" s="1">
        <f>IFERROR(__xludf.DUMMYFUNCTION("""COMPUTED_VALUE"""),71.68)</f>
        <v>71.68</v>
      </c>
      <c r="AB235" s="1">
        <f>IFERROR(__xludf.DUMMYFUNCTION("""COMPUTED_VALUE"""),111.44)</f>
        <v>111.44</v>
      </c>
      <c r="AC235" s="1">
        <f>IFERROR(__xludf.DUMMYFUNCTION("""COMPUTED_VALUE"""),148.18)</f>
        <v>148.18</v>
      </c>
      <c r="AD235" s="3">
        <f>IFERROR(__xludf.DUMMYFUNCTION("""COMPUTED_VALUE"""),73.21)</f>
        <v>73.21</v>
      </c>
      <c r="AE235" s="1">
        <f>IFERROR(__xludf.DUMMYFUNCTION("""COMPUTED_VALUE"""),462.25)</f>
        <v>462.25</v>
      </c>
      <c r="AF235" s="1">
        <f>IFERROR(__xludf.DUMMYFUNCTION("""COMPUTED_VALUE"""),65.47)</f>
        <v>65.47</v>
      </c>
      <c r="AG235" s="1">
        <f>IFERROR(__xludf.DUMMYFUNCTION("""COMPUTED_VALUE"""),104.19)</f>
        <v>104.19</v>
      </c>
      <c r="AH235" s="1">
        <f>IFERROR(__xludf.DUMMYFUNCTION("""COMPUTED_VALUE"""),203.56)</f>
        <v>203.56</v>
      </c>
      <c r="AI235" s="1">
        <f>IFERROR(__xludf.DUMMYFUNCTION("""COMPUTED_VALUE"""),432.75)</f>
        <v>432.75</v>
      </c>
      <c r="AJ235" s="1">
        <f>IFERROR(__xludf.DUMMYFUNCTION("""COMPUTED_VALUE"""),276.63)</f>
        <v>276.63</v>
      </c>
      <c r="AK235" s="1">
        <f>IFERROR(__xludf.DUMMYFUNCTION("""COMPUTED_VALUE"""),44.22)</f>
        <v>44.22</v>
      </c>
      <c r="AL235" s="1">
        <f>IFERROR(__xludf.DUMMYFUNCTION("""COMPUTED_VALUE"""),104.88)</f>
        <v>104.88</v>
      </c>
      <c r="AM235" s="1">
        <f>IFERROR(__xludf.DUMMYFUNCTION("""COMPUTED_VALUE"""),499.05)</f>
        <v>499.05</v>
      </c>
      <c r="AN235" s="1">
        <f>IFERROR(__xludf.DUMMYFUNCTION("""COMPUTED_VALUE"""),345.99)</f>
        <v>345.99</v>
      </c>
      <c r="AO235" s="1">
        <f>IFERROR(__xludf.DUMMYFUNCTION("""COMPUTED_VALUE"""),141.49)</f>
        <v>141.49</v>
      </c>
      <c r="AP235" s="1">
        <f>IFERROR(__xludf.DUMMYFUNCTION("""COMPUTED_VALUE"""),158.44)</f>
        <v>158.44</v>
      </c>
      <c r="AQ235" s="3">
        <f>IFERROR(__xludf.DUMMYFUNCTION("""COMPUTED_VALUE"""),481.34)</f>
        <v>481.34</v>
      </c>
      <c r="AR235" s="3">
        <f>IFERROR(__xludf.DUMMYFUNCTION("""COMPUTED_VALUE"""),229.61)</f>
        <v>229.61</v>
      </c>
      <c r="AS235" s="3">
        <f>IFERROR(__xludf.DUMMYFUNCTION("""COMPUTED_VALUE"""),477.08)</f>
        <v>477.08</v>
      </c>
      <c r="AT235" s="3">
        <f>IFERROR(__xludf.DUMMYFUNCTION("""COMPUTED_VALUE"""),249.37)</f>
        <v>249.37</v>
      </c>
      <c r="AU235" s="1">
        <f>IFERROR(__xludf.DUMMYFUNCTION("""COMPUTED_VALUE"""),28.59)</f>
        <v>28.59</v>
      </c>
      <c r="AV235" s="1">
        <f>IFERROR(__xludf.DUMMYFUNCTION("""COMPUTED_VALUE"""),82.7)</f>
        <v>82.7</v>
      </c>
      <c r="AW235" s="1">
        <f>IFERROR(__xludf.DUMMYFUNCTION("""COMPUTED_VALUE"""),71.7)</f>
        <v>71.7</v>
      </c>
      <c r="AX235" s="3">
        <f>IFERROR(__xludf.DUMMYFUNCTION("""COMPUTED_VALUE"""),27.58)</f>
        <v>27.58</v>
      </c>
      <c r="AY235" s="1">
        <f>IFERROR(__xludf.DUMMYFUNCTION("""COMPUTED_VALUE"""),371.61)</f>
        <v>371.61</v>
      </c>
      <c r="AZ235" s="3">
        <f>IFERROR(__xludf.DUMMYFUNCTION("""COMPUTED_VALUE"""),65.64)</f>
        <v>65.64</v>
      </c>
      <c r="BA235" s="3">
        <f>IFERROR(__xludf.DUMMYFUNCTION("""COMPUTED_VALUE"""),98.09)</f>
        <v>98.09</v>
      </c>
      <c r="BB235" s="3">
        <f>IFERROR(__xludf.DUMMYFUNCTION("""COMPUTED_VALUE"""),104.49)</f>
        <v>104.49</v>
      </c>
      <c r="BC235" s="1">
        <f>IFERROR(__xludf.DUMMYFUNCTION("""COMPUTED_VALUE"""),96.78)</f>
        <v>96.78</v>
      </c>
      <c r="BD235" s="1">
        <f>IFERROR(__xludf.DUMMYFUNCTION("""COMPUTED_VALUE"""),41.75)</f>
        <v>41.75</v>
      </c>
      <c r="BE235" s="3">
        <f>IFERROR(__xludf.DUMMYFUNCTION("""COMPUTED_VALUE"""),92.71)</f>
        <v>92.71</v>
      </c>
      <c r="BF235" s="1">
        <f>IFERROR(__xludf.DUMMYFUNCTION("""COMPUTED_VALUE"""),60.24)</f>
        <v>60.24</v>
      </c>
      <c r="BG235" s="1">
        <f>IFERROR(__xludf.DUMMYFUNCTION("""COMPUTED_VALUE"""),22.04)</f>
        <v>22.04</v>
      </c>
      <c r="BH235" s="1">
        <f>IFERROR(__xludf.DUMMYFUNCTION("""COMPUTED_VALUE"""),129.25)</f>
        <v>129.25</v>
      </c>
      <c r="BI235" s="3">
        <f>IFERROR(__xludf.DUMMYFUNCTION("""COMPUTED_VALUE"""),36.2)</f>
        <v>36.2</v>
      </c>
      <c r="BJ235" s="1">
        <f>IFERROR(__xludf.DUMMYFUNCTION("""COMPUTED_VALUE"""),259.64)</f>
        <v>259.64</v>
      </c>
      <c r="BK235" s="1">
        <f>IFERROR(__xludf.DUMMYFUNCTION("""COMPUTED_VALUE"""),436.79)</f>
        <v>436.79</v>
      </c>
      <c r="BL235" s="1">
        <f>IFERROR(__xludf.DUMMYFUNCTION("""COMPUTED_VALUE"""),175.1)</f>
        <v>175.1</v>
      </c>
      <c r="BM235" s="1">
        <f>IFERROR(__xludf.DUMMYFUNCTION("""COMPUTED_VALUE"""),85.38)</f>
        <v>85.38</v>
      </c>
      <c r="BN235" s="3">
        <f>IFERROR(__xludf.DUMMYFUNCTION("""COMPUTED_VALUE"""),5.56)</f>
        <v>5.56</v>
      </c>
      <c r="BO235" s="1">
        <f>IFERROR(__xludf.DUMMYFUNCTION("""COMPUTED_VALUE"""),216.6)</f>
        <v>216.6</v>
      </c>
      <c r="BP235" s="1">
        <f>IFERROR(__xludf.DUMMYFUNCTION("""COMPUTED_VALUE"""),585.04)</f>
        <v>585.04</v>
      </c>
      <c r="BQ235" s="36">
        <f>IFERROR(__xludf.DUMMYFUNCTION("""COMPUTED_VALUE"""),49.7)</f>
        <v>49.7</v>
      </c>
      <c r="BR235" s="1">
        <f>IFERROR(__xludf.DUMMYFUNCTION("""COMPUTED_VALUE"""),7.39)</f>
        <v>7.39</v>
      </c>
      <c r="BS235" s="3">
        <f>IFERROR(__xludf.DUMMYFUNCTION("""COMPUTED_VALUE"""),229.57)</f>
        <v>229.57</v>
      </c>
      <c r="BT235" s="1">
        <f>IFERROR(__xludf.DUMMYFUNCTION("""COMPUTED_VALUE"""),82.77)</f>
        <v>82.77</v>
      </c>
      <c r="BU235" s="3">
        <v>1.0</v>
      </c>
    </row>
    <row r="236">
      <c r="A236" s="25">
        <f>IFERROR(__xludf.DUMMYFUNCTION("""COMPUTED_VALUE"""),45764.66666666667)</f>
        <v>45764.66667</v>
      </c>
      <c r="B236" s="29">
        <f>'Master Scratch Work'!B235</f>
        <v>1257059.96</v>
      </c>
      <c r="C236" s="15">
        <f>IFERROR(__xludf.DUMMYFUNCTION("""COMPUTED_VALUE"""),5282.7)</f>
        <v>5282.7</v>
      </c>
      <c r="D236" s="15">
        <f>IFERROR(__xludf.DUMMYFUNCTION("""COMPUTED_VALUE"""),16286.45)</f>
        <v>16286.45</v>
      </c>
      <c r="E236" s="15">
        <f>IFERROR(__xludf.DUMMYFUNCTION("""COMPUTED_VALUE"""),39142.23)</f>
        <v>39142.23</v>
      </c>
      <c r="F236" s="15">
        <f>IFERROR(__xludf.DUMMYFUNCTION("""COMPUTED_VALUE"""),1880.62)</f>
        <v>1880.62</v>
      </c>
      <c r="G236" s="3">
        <f>IFERROR(__xludf.DUMMYFUNCTION("""COMPUTED_VALUE"""),526.41)</f>
        <v>526.41</v>
      </c>
      <c r="H236" s="3">
        <f>IFERROR(__xludf.DUMMYFUNCTION("""COMPUTED_VALUE"""),444.1)</f>
        <v>444.1</v>
      </c>
      <c r="I236" s="3">
        <f>IFERROR(__xludf.DUMMYFUNCTION("""COMPUTED_VALUE"""),348.8)</f>
        <v>348.8</v>
      </c>
      <c r="J236" s="3">
        <f>IFERROR(__xludf.DUMMYFUNCTION("""COMPUTED_VALUE"""),172.61)</f>
        <v>172.61</v>
      </c>
      <c r="K236" s="3">
        <f>IFERROR(__xludf.DUMMYFUNCTION("""COMPUTED_VALUE"""),148.4)</f>
        <v>148.4</v>
      </c>
      <c r="L236" s="3">
        <f>IFERROR(__xludf.DUMMYFUNCTION("""COMPUTED_VALUE"""),196.98)</f>
        <v>196.98</v>
      </c>
      <c r="M236" s="3">
        <f>IFERROR(__xludf.DUMMYFUNCTION("""COMPUTED_VALUE"""),137.46)</f>
        <v>137.46</v>
      </c>
      <c r="N236" s="3">
        <f>IFERROR(__xludf.DUMMYFUNCTION("""COMPUTED_VALUE"""),76.34)</f>
        <v>76.34</v>
      </c>
      <c r="O236" s="3">
        <f>IFERROR(__xludf.DUMMYFUNCTION("""COMPUTED_VALUE"""),14.72)</f>
        <v>14.72</v>
      </c>
      <c r="P236" s="3">
        <f>IFERROR(__xludf.DUMMYFUNCTION("""COMPUTED_VALUE"""),518.21)</f>
        <v>518.21</v>
      </c>
      <c r="Q236" s="3">
        <f>IFERROR(__xludf.DUMMYFUNCTION("""COMPUTED_VALUE"""),46.49)</f>
        <v>46.49</v>
      </c>
      <c r="R236" s="3">
        <f>IFERROR(__xludf.DUMMYFUNCTION("""COMPUTED_VALUE"""),118.61)</f>
        <v>118.61</v>
      </c>
      <c r="S236" s="3">
        <f>IFERROR(__xludf.DUMMYFUNCTION("""COMPUTED_VALUE"""),95.12)</f>
        <v>95.12</v>
      </c>
      <c r="T236" s="3">
        <f>IFERROR(__xludf.DUMMYFUNCTION("""COMPUTED_VALUE"""),59.9)</f>
        <v>59.9</v>
      </c>
      <c r="U236" s="3">
        <f>IFERROR(__xludf.DUMMYFUNCTION("""COMPUTED_VALUE"""),294.25)</f>
        <v>294.25</v>
      </c>
      <c r="V236" s="3">
        <f>IFERROR(__xludf.DUMMYFUNCTION("""COMPUTED_VALUE"""),41.18)</f>
        <v>41.18</v>
      </c>
      <c r="W236" s="3">
        <f>IFERROR(__xludf.DUMMYFUNCTION("""COMPUTED_VALUE"""),214.96)</f>
        <v>214.96</v>
      </c>
      <c r="X236" s="3">
        <f>IFERROR(__xludf.DUMMYFUNCTION("""COMPUTED_VALUE"""),137.87)</f>
        <v>137.87</v>
      </c>
      <c r="Y236" s="1">
        <f>IFERROR(__xludf.DUMMYFUNCTION("""COMPUTED_VALUE"""),330.13)</f>
        <v>330.13</v>
      </c>
      <c r="Z236" s="1">
        <f>IFERROR(__xludf.DUMMYFUNCTION("""COMPUTED_VALUE"""),35.45)</f>
        <v>35.45</v>
      </c>
      <c r="AA236" s="1">
        <f>IFERROR(__xludf.DUMMYFUNCTION("""COMPUTED_VALUE"""),73.0)</f>
        <v>73</v>
      </c>
      <c r="AB236" s="1">
        <f>IFERROR(__xludf.DUMMYFUNCTION("""COMPUTED_VALUE"""),112.1)</f>
        <v>112.1</v>
      </c>
      <c r="AC236" s="1">
        <f>IFERROR(__xludf.DUMMYFUNCTION("""COMPUTED_VALUE"""),150.75)</f>
        <v>150.75</v>
      </c>
      <c r="AD236" s="3">
        <f>IFERROR(__xludf.DUMMYFUNCTION("""COMPUTED_VALUE"""),79.14)</f>
        <v>79.14</v>
      </c>
      <c r="AE236" s="1">
        <f>IFERROR(__xludf.DUMMYFUNCTION("""COMPUTED_VALUE"""),466.74)</f>
        <v>466.74</v>
      </c>
      <c r="AF236" s="1">
        <f>IFERROR(__xludf.DUMMYFUNCTION("""COMPUTED_VALUE"""),66.26)</f>
        <v>66.26</v>
      </c>
      <c r="AG236" s="1">
        <f>IFERROR(__xludf.DUMMYFUNCTION("""COMPUTED_VALUE"""),106.92)</f>
        <v>106.92</v>
      </c>
      <c r="AH236" s="1">
        <f>IFERROR(__xludf.DUMMYFUNCTION("""COMPUTED_VALUE"""),207.55)</f>
        <v>207.55</v>
      </c>
      <c r="AI236" s="1">
        <f>IFERROR(__xludf.DUMMYFUNCTION("""COMPUTED_VALUE"""),439.97)</f>
        <v>439.97</v>
      </c>
      <c r="AJ236" s="1">
        <f>IFERROR(__xludf.DUMMYFUNCTION("""COMPUTED_VALUE"""),276.08)</f>
        <v>276.08</v>
      </c>
      <c r="AK236" s="1">
        <f>IFERROR(__xludf.DUMMYFUNCTION("""COMPUTED_VALUE"""),44.57)</f>
        <v>44.57</v>
      </c>
      <c r="AL236" s="1">
        <f>IFERROR(__xludf.DUMMYFUNCTION("""COMPUTED_VALUE"""),104.54)</f>
        <v>104.54</v>
      </c>
      <c r="AM236" s="1">
        <f>IFERROR(__xludf.DUMMYFUNCTION("""COMPUTED_VALUE"""),509.49)</f>
        <v>509.49</v>
      </c>
      <c r="AN236" s="1">
        <f>IFERROR(__xludf.DUMMYFUNCTION("""COMPUTED_VALUE"""),355.06)</f>
        <v>355.06</v>
      </c>
      <c r="AO236" s="1">
        <f>IFERROR(__xludf.DUMMYFUNCTION("""COMPUTED_VALUE"""),141.5)</f>
        <v>141.5</v>
      </c>
      <c r="AP236" s="1">
        <f>IFERROR(__xludf.DUMMYFUNCTION("""COMPUTED_VALUE"""),158.64)</f>
        <v>158.64</v>
      </c>
      <c r="AQ236" s="3">
        <f>IFERROR(__xludf.DUMMYFUNCTION("""COMPUTED_VALUE"""),482.74)</f>
        <v>482.74</v>
      </c>
      <c r="AR236" s="3">
        <f>IFERROR(__xludf.DUMMYFUNCTION("""COMPUTED_VALUE"""),231.96)</f>
        <v>231.96</v>
      </c>
      <c r="AS236" s="3">
        <f>IFERROR(__xludf.DUMMYFUNCTION("""COMPUTED_VALUE"""),464.08)</f>
        <v>464.08</v>
      </c>
      <c r="AT236" s="3">
        <f>IFERROR(__xludf.DUMMYFUNCTION("""COMPUTED_VALUE"""),251.08)</f>
        <v>251.08</v>
      </c>
      <c r="AU236" s="1">
        <f>IFERROR(__xludf.DUMMYFUNCTION("""COMPUTED_VALUE"""),28.61)</f>
        <v>28.61</v>
      </c>
      <c r="AV236" s="1">
        <f>IFERROR(__xludf.DUMMYFUNCTION("""COMPUTED_VALUE"""),82.6)</f>
        <v>82.6</v>
      </c>
      <c r="AW236" s="1">
        <f>IFERROR(__xludf.DUMMYFUNCTION("""COMPUTED_VALUE"""),72.55)</f>
        <v>72.55</v>
      </c>
      <c r="AX236" s="3">
        <f>IFERROR(__xludf.DUMMYFUNCTION("""COMPUTED_VALUE"""),26.35)</f>
        <v>26.35</v>
      </c>
      <c r="AY236" s="1">
        <f>IFERROR(__xludf.DUMMYFUNCTION("""COMPUTED_VALUE"""),367.78)</f>
        <v>367.78</v>
      </c>
      <c r="AZ236" s="3">
        <f>IFERROR(__xludf.DUMMYFUNCTION("""COMPUTED_VALUE"""),66.31)</f>
        <v>66.31</v>
      </c>
      <c r="BA236" s="3">
        <f>IFERROR(__xludf.DUMMYFUNCTION("""COMPUTED_VALUE"""),97.86)</f>
        <v>97.86</v>
      </c>
      <c r="BB236" s="3">
        <f>IFERROR(__xludf.DUMMYFUNCTION("""COMPUTED_VALUE"""),101.49)</f>
        <v>101.49</v>
      </c>
      <c r="BC236" s="1">
        <f>IFERROR(__xludf.DUMMYFUNCTION("""COMPUTED_VALUE"""),98.52)</f>
        <v>98.52</v>
      </c>
      <c r="BD236" s="1">
        <f>IFERROR(__xludf.DUMMYFUNCTION("""COMPUTED_VALUE"""),42.5)</f>
        <v>42.5</v>
      </c>
      <c r="BE236" s="3">
        <f>IFERROR(__xludf.DUMMYFUNCTION("""COMPUTED_VALUE"""),93.78)</f>
        <v>93.78</v>
      </c>
      <c r="BF236" s="1">
        <f>IFERROR(__xludf.DUMMYFUNCTION("""COMPUTED_VALUE"""),61.0)</f>
        <v>61</v>
      </c>
      <c r="BG236" s="1">
        <f>IFERROR(__xludf.DUMMYFUNCTION("""COMPUTED_VALUE"""),22.14)</f>
        <v>22.14</v>
      </c>
      <c r="BH236" s="1">
        <f>IFERROR(__xludf.DUMMYFUNCTION("""COMPUTED_VALUE"""),128.89)</f>
        <v>128.89</v>
      </c>
      <c r="BI236" s="3">
        <f>IFERROR(__xludf.DUMMYFUNCTION("""COMPUTED_VALUE"""),36.76)</f>
        <v>36.76</v>
      </c>
      <c r="BJ236" s="1">
        <f>IFERROR(__xludf.DUMMYFUNCTION("""COMPUTED_VALUE"""),262.04)</f>
        <v>262.04</v>
      </c>
      <c r="BK236" s="1">
        <f>IFERROR(__xludf.DUMMYFUNCTION("""COMPUTED_VALUE"""),427.5)</f>
        <v>427.5</v>
      </c>
      <c r="BL236" s="1">
        <f>IFERROR(__xludf.DUMMYFUNCTION("""COMPUTED_VALUE"""),176.38)</f>
        <v>176.38</v>
      </c>
      <c r="BM236" s="1">
        <f>IFERROR(__xludf.DUMMYFUNCTION("""COMPUTED_VALUE"""),88.24)</f>
        <v>88.24</v>
      </c>
      <c r="BN236" s="3">
        <f>IFERROR(__xludf.DUMMYFUNCTION("""COMPUTED_VALUE"""),5.83)</f>
        <v>5.83</v>
      </c>
      <c r="BO236" s="1">
        <f>IFERROR(__xludf.DUMMYFUNCTION("""COMPUTED_VALUE"""),220.26)</f>
        <v>220.26</v>
      </c>
      <c r="BP236" s="1">
        <f>IFERROR(__xludf.DUMMYFUNCTION("""COMPUTED_VALUE"""),454.11)</f>
        <v>454.11</v>
      </c>
      <c r="BQ236" s="36">
        <f>IFERROR(__xludf.DUMMYFUNCTION("""COMPUTED_VALUE"""),49.86)</f>
        <v>49.86</v>
      </c>
      <c r="BR236" s="1">
        <f>IFERROR(__xludf.DUMMYFUNCTION("""COMPUTED_VALUE"""),7.56)</f>
        <v>7.56</v>
      </c>
      <c r="BS236" s="3">
        <f>IFERROR(__xludf.DUMMYFUNCTION("""COMPUTED_VALUE"""),230.91)</f>
        <v>230.91</v>
      </c>
      <c r="BT236" s="1">
        <f>IFERROR(__xludf.DUMMYFUNCTION("""COMPUTED_VALUE"""),84.81)</f>
        <v>84.81</v>
      </c>
      <c r="BU236" s="3">
        <v>1.0</v>
      </c>
    </row>
    <row r="237">
      <c r="A237" s="25">
        <f>IFERROR(__xludf.DUMMYFUNCTION("""COMPUTED_VALUE"""),45768.66666666667)</f>
        <v>45768.66667</v>
      </c>
      <c r="B237" s="29">
        <f>'Master Scratch Work'!B236</f>
        <v>1231529.83</v>
      </c>
      <c r="C237" s="15">
        <f>IFERROR(__xludf.DUMMYFUNCTION("""COMPUTED_VALUE"""),5158.2)</f>
        <v>5158.2</v>
      </c>
      <c r="D237" s="15">
        <f>IFERROR(__xludf.DUMMYFUNCTION("""COMPUTED_VALUE"""),15870.9)</f>
        <v>15870.9</v>
      </c>
      <c r="E237" s="15">
        <f>IFERROR(__xludf.DUMMYFUNCTION("""COMPUTED_VALUE"""),38170.41)</f>
        <v>38170.41</v>
      </c>
      <c r="F237" s="15">
        <f>IFERROR(__xludf.DUMMYFUNCTION("""COMPUTED_VALUE"""),1840.32)</f>
        <v>1840.32</v>
      </c>
      <c r="G237" s="3">
        <f>IFERROR(__xludf.DUMMYFUNCTION("""COMPUTED_VALUE"""),513.88)</f>
        <v>513.88</v>
      </c>
      <c r="H237" s="3">
        <f>IFERROR(__xludf.DUMMYFUNCTION("""COMPUTED_VALUE"""),433.11)</f>
        <v>433.11</v>
      </c>
      <c r="I237" s="3">
        <f>IFERROR(__xludf.DUMMYFUNCTION("""COMPUTED_VALUE"""),343.22)</f>
        <v>343.22</v>
      </c>
      <c r="J237" s="3">
        <f>IFERROR(__xludf.DUMMYFUNCTION("""COMPUTED_VALUE"""),167.32)</f>
        <v>167.32</v>
      </c>
      <c r="K237" s="3">
        <f>IFERROR(__xludf.DUMMYFUNCTION("""COMPUTED_VALUE"""),147.13)</f>
        <v>147.13</v>
      </c>
      <c r="L237" s="3">
        <f>IFERROR(__xludf.DUMMYFUNCTION("""COMPUTED_VALUE"""),193.16)</f>
        <v>193.16</v>
      </c>
      <c r="M237" s="3">
        <f>IFERROR(__xludf.DUMMYFUNCTION("""COMPUTED_VALUE"""),135.56)</f>
        <v>135.56</v>
      </c>
      <c r="N237" s="3">
        <f>IFERROR(__xludf.DUMMYFUNCTION("""COMPUTED_VALUE"""),74.04)</f>
        <v>74.04</v>
      </c>
      <c r="O237" s="3">
        <f>IFERROR(__xludf.DUMMYFUNCTION("""COMPUTED_VALUE"""),14.5)</f>
        <v>14.5</v>
      </c>
      <c r="P237" s="3">
        <f>IFERROR(__xludf.DUMMYFUNCTION("""COMPUTED_VALUE"""),506.92)</f>
        <v>506.92</v>
      </c>
      <c r="Q237" s="3">
        <f>IFERROR(__xludf.DUMMYFUNCTION("""COMPUTED_VALUE"""),46.89)</f>
        <v>46.89</v>
      </c>
      <c r="R237" s="3">
        <f>IFERROR(__xludf.DUMMYFUNCTION("""COMPUTED_VALUE"""),116.49)</f>
        <v>116.49</v>
      </c>
      <c r="S237" s="3">
        <f>IFERROR(__xludf.DUMMYFUNCTION("""COMPUTED_VALUE"""),93.58)</f>
        <v>93.58</v>
      </c>
      <c r="T237" s="3">
        <f>IFERROR(__xludf.DUMMYFUNCTION("""COMPUTED_VALUE"""),58.18)</f>
        <v>58.18</v>
      </c>
      <c r="U237" s="3">
        <f>IFERROR(__xludf.DUMMYFUNCTION("""COMPUTED_VALUE"""),284.74)</f>
        <v>284.74</v>
      </c>
      <c r="V237" s="3">
        <f>IFERROR(__xludf.DUMMYFUNCTION("""COMPUTED_VALUE"""),39.61)</f>
        <v>39.61</v>
      </c>
      <c r="W237" s="3">
        <f>IFERROR(__xludf.DUMMYFUNCTION("""COMPUTED_VALUE"""),207.36)</f>
        <v>207.36</v>
      </c>
      <c r="X237" s="3">
        <f>IFERROR(__xludf.DUMMYFUNCTION("""COMPUTED_VALUE"""),133.73)</f>
        <v>133.73</v>
      </c>
      <c r="Y237" s="1">
        <f>IFERROR(__xludf.DUMMYFUNCTION("""COMPUTED_VALUE"""),324.77)</f>
        <v>324.77</v>
      </c>
      <c r="Z237" s="1">
        <f>IFERROR(__xludf.DUMMYFUNCTION("""COMPUTED_VALUE"""),34.49)</f>
        <v>34.49</v>
      </c>
      <c r="AA237" s="1">
        <f>IFERROR(__xludf.DUMMYFUNCTION("""COMPUTED_VALUE"""),72.77)</f>
        <v>72.77</v>
      </c>
      <c r="AB237" s="1">
        <f>IFERROR(__xludf.DUMMYFUNCTION("""COMPUTED_VALUE"""),110.96)</f>
        <v>110.96</v>
      </c>
      <c r="AC237" s="1">
        <f>IFERROR(__xludf.DUMMYFUNCTION("""COMPUTED_VALUE"""),146.34)</f>
        <v>146.34</v>
      </c>
      <c r="AD237" s="3">
        <f>IFERROR(__xludf.DUMMYFUNCTION("""COMPUTED_VALUE"""),79.65)</f>
        <v>79.65</v>
      </c>
      <c r="AE237" s="1">
        <f>IFERROR(__xludf.DUMMYFUNCTION("""COMPUTED_VALUE"""),468.27)</f>
        <v>468.27</v>
      </c>
      <c r="AF237" s="1">
        <f>IFERROR(__xludf.DUMMYFUNCTION("""COMPUTED_VALUE"""),65.63)</f>
        <v>65.63</v>
      </c>
      <c r="AG237" s="1">
        <f>IFERROR(__xludf.DUMMYFUNCTION("""COMPUTED_VALUE"""),105.35)</f>
        <v>105.35</v>
      </c>
      <c r="AH237" s="1">
        <f>IFERROR(__xludf.DUMMYFUNCTION("""COMPUTED_VALUE"""),205.12)</f>
        <v>205.12</v>
      </c>
      <c r="AI237" s="1">
        <f>IFERROR(__xludf.DUMMYFUNCTION("""COMPUTED_VALUE"""),434.76)</f>
        <v>434.76</v>
      </c>
      <c r="AJ237" s="1">
        <f>IFERROR(__xludf.DUMMYFUNCTION("""COMPUTED_VALUE"""),273.18)</f>
        <v>273.18</v>
      </c>
      <c r="AK237" s="1">
        <f>IFERROR(__xludf.DUMMYFUNCTION("""COMPUTED_VALUE"""),44.39)</f>
        <v>44.39</v>
      </c>
      <c r="AL237" s="1">
        <f>IFERROR(__xludf.DUMMYFUNCTION("""COMPUTED_VALUE"""),104.33)</f>
        <v>104.33</v>
      </c>
      <c r="AM237" s="1">
        <f>IFERROR(__xludf.DUMMYFUNCTION("""COMPUTED_VALUE"""),501.36)</f>
        <v>501.36</v>
      </c>
      <c r="AN237" s="1">
        <f>IFERROR(__xludf.DUMMYFUNCTION("""COMPUTED_VALUE"""),346.9)</f>
        <v>346.9</v>
      </c>
      <c r="AO237" s="1">
        <f>IFERROR(__xludf.DUMMYFUNCTION("""COMPUTED_VALUE"""),138.13)</f>
        <v>138.13</v>
      </c>
      <c r="AP237" s="1">
        <f>IFERROR(__xludf.DUMMYFUNCTION("""COMPUTED_VALUE"""),155.03)</f>
        <v>155.03</v>
      </c>
      <c r="AQ237" s="3">
        <f>IFERROR(__xludf.DUMMYFUNCTION("""COMPUTED_VALUE"""),468.32)</f>
        <v>468.32</v>
      </c>
      <c r="AR237" s="3">
        <f>IFERROR(__xludf.DUMMYFUNCTION("""COMPUTED_VALUE"""),228.99)</f>
        <v>228.99</v>
      </c>
      <c r="AS237" s="3">
        <f>IFERROR(__xludf.DUMMYFUNCTION("""COMPUTED_VALUE"""),458.33)</f>
        <v>458.33</v>
      </c>
      <c r="AT237" s="3">
        <f>IFERROR(__xludf.DUMMYFUNCTION("""COMPUTED_VALUE"""),253.91)</f>
        <v>253.91</v>
      </c>
      <c r="AU237" s="1">
        <f>IFERROR(__xludf.DUMMYFUNCTION("""COMPUTED_VALUE"""),28.4)</f>
        <v>28.4</v>
      </c>
      <c r="AV237" s="1">
        <f>IFERROR(__xludf.DUMMYFUNCTION("""COMPUTED_VALUE"""),81.8)</f>
        <v>81.8</v>
      </c>
      <c r="AW237" s="1">
        <f>IFERROR(__xludf.DUMMYFUNCTION("""COMPUTED_VALUE"""),70.4)</f>
        <v>70.4</v>
      </c>
      <c r="AX237" s="3">
        <f>IFERROR(__xludf.DUMMYFUNCTION("""COMPUTED_VALUE"""),23.19)</f>
        <v>23.19</v>
      </c>
      <c r="AY237" s="1">
        <f>IFERROR(__xludf.DUMMYFUNCTION("""COMPUTED_VALUE"""),359.12)</f>
        <v>359.12</v>
      </c>
      <c r="AZ237" s="3">
        <f>IFERROR(__xludf.DUMMYFUNCTION("""COMPUTED_VALUE"""),64.68)</f>
        <v>64.68</v>
      </c>
      <c r="BA237" s="3">
        <f>IFERROR(__xludf.DUMMYFUNCTION("""COMPUTED_VALUE"""),93.09)</f>
        <v>93.09</v>
      </c>
      <c r="BB237" s="3">
        <f>IFERROR(__xludf.DUMMYFUNCTION("""COMPUTED_VALUE"""),96.91)</f>
        <v>96.91</v>
      </c>
      <c r="BC237" s="1">
        <f>IFERROR(__xludf.DUMMYFUNCTION("""COMPUTED_VALUE"""),97.05)</f>
        <v>97.05</v>
      </c>
      <c r="BD237" s="1">
        <f>IFERROR(__xludf.DUMMYFUNCTION("""COMPUTED_VALUE"""),41.31)</f>
        <v>41.31</v>
      </c>
      <c r="BE237" s="3">
        <f>IFERROR(__xludf.DUMMYFUNCTION("""COMPUTED_VALUE"""),90.8)</f>
        <v>90.8</v>
      </c>
      <c r="BF237" s="1">
        <f>IFERROR(__xludf.DUMMYFUNCTION("""COMPUTED_VALUE"""),60.29)</f>
        <v>60.29</v>
      </c>
      <c r="BG237" s="1">
        <f>IFERROR(__xludf.DUMMYFUNCTION("""COMPUTED_VALUE"""),22.04)</f>
        <v>22.04</v>
      </c>
      <c r="BH237" s="1">
        <f>IFERROR(__xludf.DUMMYFUNCTION("""COMPUTED_VALUE"""),126.12)</f>
        <v>126.12</v>
      </c>
      <c r="BI237" s="3">
        <f>IFERROR(__xludf.DUMMYFUNCTION("""COMPUTED_VALUE"""),36.56)</f>
        <v>36.56</v>
      </c>
      <c r="BJ237" s="1">
        <f>IFERROR(__xludf.DUMMYFUNCTION("""COMPUTED_VALUE"""),253.48)</f>
        <v>253.48</v>
      </c>
      <c r="BK237" s="1">
        <f>IFERROR(__xludf.DUMMYFUNCTION("""COMPUTED_VALUE"""),421.85)</f>
        <v>421.85</v>
      </c>
      <c r="BL237" s="1">
        <f>IFERROR(__xludf.DUMMYFUNCTION("""COMPUTED_VALUE"""),174.52)</f>
        <v>174.52</v>
      </c>
      <c r="BM237" s="1">
        <f>IFERROR(__xludf.DUMMYFUNCTION("""COMPUTED_VALUE"""),87.72)</f>
        <v>87.72</v>
      </c>
      <c r="BN237" s="3">
        <f>IFERROR(__xludf.DUMMYFUNCTION("""COMPUTED_VALUE"""),5.74)</f>
        <v>5.74</v>
      </c>
      <c r="BO237" s="1">
        <f>IFERROR(__xludf.DUMMYFUNCTION("""COMPUTED_VALUE"""),216.05)</f>
        <v>216.05</v>
      </c>
      <c r="BP237" s="1">
        <f>IFERROR(__xludf.DUMMYFUNCTION("""COMPUTED_VALUE"""),425.33)</f>
        <v>425.33</v>
      </c>
      <c r="BQ237" s="36">
        <f>IFERROR(__xludf.DUMMYFUNCTION("""COMPUTED_VALUE"""),49.79)</f>
        <v>49.79</v>
      </c>
      <c r="BR237" s="1">
        <f>IFERROR(__xludf.DUMMYFUNCTION("""COMPUTED_VALUE"""),7.57)</f>
        <v>7.57</v>
      </c>
      <c r="BS237" s="3">
        <f>IFERROR(__xludf.DUMMYFUNCTION("""COMPUTED_VALUE"""),227.57)</f>
        <v>227.57</v>
      </c>
      <c r="BT237" s="1">
        <f>IFERROR(__xludf.DUMMYFUNCTION("""COMPUTED_VALUE"""),84.0)</f>
        <v>84</v>
      </c>
      <c r="BU237" s="3">
        <v>1.0</v>
      </c>
    </row>
    <row r="238">
      <c r="A238" s="25">
        <f>IFERROR(__xludf.DUMMYFUNCTION("""COMPUTED_VALUE"""),45769.66666666667)</f>
        <v>45769.66667</v>
      </c>
      <c r="B238" s="29">
        <f>'Master Scratch Work'!B237</f>
        <v>1255797.05</v>
      </c>
      <c r="C238" s="15">
        <f>IFERROR(__xludf.DUMMYFUNCTION("""COMPUTED_VALUE"""),5287.76)</f>
        <v>5287.76</v>
      </c>
      <c r="D238" s="15">
        <f>IFERROR(__xludf.DUMMYFUNCTION("""COMPUTED_VALUE"""),16300.42)</f>
        <v>16300.42</v>
      </c>
      <c r="E238" s="15">
        <f>IFERROR(__xludf.DUMMYFUNCTION("""COMPUTED_VALUE"""),39186.98)</f>
        <v>39186.98</v>
      </c>
      <c r="F238" s="15">
        <f>IFERROR(__xludf.DUMMYFUNCTION("""COMPUTED_VALUE"""),1890.28)</f>
        <v>1890.28</v>
      </c>
      <c r="G238" s="3">
        <f>IFERROR(__xludf.DUMMYFUNCTION("""COMPUTED_VALUE"""),527.25)</f>
        <v>527.25</v>
      </c>
      <c r="H238" s="3">
        <f>IFERROR(__xludf.DUMMYFUNCTION("""COMPUTED_VALUE"""),444.48)</f>
        <v>444.48</v>
      </c>
      <c r="I238" s="3">
        <f>IFERROR(__xludf.DUMMYFUNCTION("""COMPUTED_VALUE"""),349.91)</f>
        <v>349.91</v>
      </c>
      <c r="J238" s="3">
        <f>IFERROR(__xludf.DUMMYFUNCTION("""COMPUTED_VALUE"""),173.18)</f>
        <v>173.18</v>
      </c>
      <c r="K238" s="3">
        <f>IFERROR(__xludf.DUMMYFUNCTION("""COMPUTED_VALUE"""),149.26)</f>
        <v>149.26</v>
      </c>
      <c r="L238" s="3">
        <f>IFERROR(__xludf.DUMMYFUNCTION("""COMPUTED_VALUE"""),199.74)</f>
        <v>199.74</v>
      </c>
      <c r="M238" s="3">
        <f>IFERROR(__xludf.DUMMYFUNCTION("""COMPUTED_VALUE"""),138.3)</f>
        <v>138.3</v>
      </c>
      <c r="N238" s="3">
        <f>IFERROR(__xludf.DUMMYFUNCTION("""COMPUTED_VALUE"""),76.31)</f>
        <v>76.31</v>
      </c>
      <c r="O238" s="3">
        <f>IFERROR(__xludf.DUMMYFUNCTION("""COMPUTED_VALUE"""),15.23)</f>
        <v>15.23</v>
      </c>
      <c r="P238" s="3">
        <f>IFERROR(__xludf.DUMMYFUNCTION("""COMPUTED_VALUE"""),520.79)</f>
        <v>520.79</v>
      </c>
      <c r="Q238" s="3">
        <f>IFERROR(__xludf.DUMMYFUNCTION("""COMPUTED_VALUE"""),47.65)</f>
        <v>47.65</v>
      </c>
      <c r="R238" s="3">
        <f>IFERROR(__xludf.DUMMYFUNCTION("""COMPUTED_VALUE"""),118.89)</f>
        <v>118.89</v>
      </c>
      <c r="S238" s="3">
        <f>IFERROR(__xludf.DUMMYFUNCTION("""COMPUTED_VALUE"""),95.05)</f>
        <v>95.05</v>
      </c>
      <c r="T238" s="3">
        <f>IFERROR(__xludf.DUMMYFUNCTION("""COMPUTED_VALUE"""),59.47)</f>
        <v>59.47</v>
      </c>
      <c r="U238" s="3">
        <f>IFERROR(__xludf.DUMMYFUNCTION("""COMPUTED_VALUE"""),291.17)</f>
        <v>291.17</v>
      </c>
      <c r="V238" s="3">
        <f>IFERROR(__xludf.DUMMYFUNCTION("""COMPUTED_VALUE"""),40.18)</f>
        <v>40.18</v>
      </c>
      <c r="W238" s="3">
        <f>IFERROR(__xludf.DUMMYFUNCTION("""COMPUTED_VALUE"""),212.31)</f>
        <v>212.31</v>
      </c>
      <c r="X238" s="3">
        <f>IFERROR(__xludf.DUMMYFUNCTION("""COMPUTED_VALUE"""),137.3)</f>
        <v>137.3</v>
      </c>
      <c r="Y238" s="1">
        <f>IFERROR(__xludf.DUMMYFUNCTION("""COMPUTED_VALUE"""),337.07)</f>
        <v>337.07</v>
      </c>
      <c r="Z238" s="1">
        <f>IFERROR(__xludf.DUMMYFUNCTION("""COMPUTED_VALUE"""),35.82)</f>
        <v>35.82</v>
      </c>
      <c r="AA238" s="1">
        <f>IFERROR(__xludf.DUMMYFUNCTION("""COMPUTED_VALUE"""),73.9)</f>
        <v>73.9</v>
      </c>
      <c r="AB238" s="1">
        <f>IFERROR(__xludf.DUMMYFUNCTION("""COMPUTED_VALUE"""),113.3)</f>
        <v>113.3</v>
      </c>
      <c r="AC238" s="1">
        <f>IFERROR(__xludf.DUMMYFUNCTION("""COMPUTED_VALUE"""),148.89)</f>
        <v>148.89</v>
      </c>
      <c r="AD238" s="3">
        <f>IFERROR(__xludf.DUMMYFUNCTION("""COMPUTED_VALUE"""),82.16)</f>
        <v>82.16</v>
      </c>
      <c r="AE238" s="1">
        <f>IFERROR(__xludf.DUMMYFUNCTION("""COMPUTED_VALUE"""),486.14)</f>
        <v>486.14</v>
      </c>
      <c r="AF238" s="1">
        <f>IFERROR(__xludf.DUMMYFUNCTION("""COMPUTED_VALUE"""),67.05)</f>
        <v>67.05</v>
      </c>
      <c r="AG238" s="1">
        <f>IFERROR(__xludf.DUMMYFUNCTION("""COMPUTED_VALUE"""),108.3)</f>
        <v>108.3</v>
      </c>
      <c r="AH238" s="1">
        <f>IFERROR(__xludf.DUMMYFUNCTION("""COMPUTED_VALUE"""),206.57)</f>
        <v>206.57</v>
      </c>
      <c r="AI238" s="1">
        <f>IFERROR(__xludf.DUMMYFUNCTION("""COMPUTED_VALUE"""),447.16)</f>
        <v>447.16</v>
      </c>
      <c r="AJ238" s="1">
        <f>IFERROR(__xludf.DUMMYFUNCTION("""COMPUTED_VALUE"""),274.8)</f>
        <v>274.8</v>
      </c>
      <c r="AK238" s="1">
        <f>IFERROR(__xludf.DUMMYFUNCTION("""COMPUTED_VALUE"""),45.16)</f>
        <v>45.16</v>
      </c>
      <c r="AL238" s="1">
        <f>IFERROR(__xludf.DUMMYFUNCTION("""COMPUTED_VALUE"""),105.51)</f>
        <v>105.51</v>
      </c>
      <c r="AM238" s="1">
        <f>IFERROR(__xludf.DUMMYFUNCTION("""COMPUTED_VALUE"""),519.99)</f>
        <v>519.99</v>
      </c>
      <c r="AN238" s="1">
        <f>IFERROR(__xludf.DUMMYFUNCTION("""COMPUTED_VALUE"""),354.43)</f>
        <v>354.43</v>
      </c>
      <c r="AO238" s="1">
        <f>IFERROR(__xludf.DUMMYFUNCTION("""COMPUTED_VALUE"""),135.38)</f>
        <v>135.38</v>
      </c>
      <c r="AP238" s="1">
        <f>IFERROR(__xludf.DUMMYFUNCTION("""COMPUTED_VALUE"""),160.68)</f>
        <v>160.68</v>
      </c>
      <c r="AQ238" s="3">
        <f>IFERROR(__xludf.DUMMYFUNCTION("""COMPUTED_VALUE"""),478.74)</f>
        <v>478.74</v>
      </c>
      <c r="AR238" s="3">
        <f>IFERROR(__xludf.DUMMYFUNCTION("""COMPUTED_VALUE"""),235.59)</f>
        <v>235.59</v>
      </c>
      <c r="AS238" s="3">
        <f>IFERROR(__xludf.DUMMYFUNCTION("""COMPUTED_VALUE"""),462.08)</f>
        <v>462.08</v>
      </c>
      <c r="AT238" s="3">
        <f>IFERROR(__xludf.DUMMYFUNCTION("""COMPUTED_VALUE"""),261.71)</f>
        <v>261.71</v>
      </c>
      <c r="AU238" s="1">
        <f>IFERROR(__xludf.DUMMYFUNCTION("""COMPUTED_VALUE"""),29.23)</f>
        <v>29.23</v>
      </c>
      <c r="AV238" s="1">
        <f>IFERROR(__xludf.DUMMYFUNCTION("""COMPUTED_VALUE"""),83.37)</f>
        <v>83.37</v>
      </c>
      <c r="AW238" s="1">
        <f>IFERROR(__xludf.DUMMYFUNCTION("""COMPUTED_VALUE"""),73.09)</f>
        <v>73.09</v>
      </c>
      <c r="AX238" s="3">
        <f>IFERROR(__xludf.DUMMYFUNCTION("""COMPUTED_VALUE"""),22.85)</f>
        <v>22.85</v>
      </c>
      <c r="AY238" s="1">
        <f>IFERROR(__xludf.DUMMYFUNCTION("""COMPUTED_VALUE"""),366.82)</f>
        <v>366.82</v>
      </c>
      <c r="AZ238" s="3">
        <f>IFERROR(__xludf.DUMMYFUNCTION("""COMPUTED_VALUE"""),66.64)</f>
        <v>66.64</v>
      </c>
      <c r="BA238" s="3">
        <f>IFERROR(__xludf.DUMMYFUNCTION("""COMPUTED_VALUE"""),98.8)</f>
        <v>98.8</v>
      </c>
      <c r="BB238" s="3">
        <f>IFERROR(__xludf.DUMMYFUNCTION("""COMPUTED_VALUE"""),98.89)</f>
        <v>98.89</v>
      </c>
      <c r="BC238" s="1">
        <f>IFERROR(__xludf.DUMMYFUNCTION("""COMPUTED_VALUE"""),98.95)</f>
        <v>98.95</v>
      </c>
      <c r="BD238" s="1">
        <f>IFERROR(__xludf.DUMMYFUNCTION("""COMPUTED_VALUE"""),42.63)</f>
        <v>42.63</v>
      </c>
      <c r="BE238" s="3">
        <f>IFERROR(__xludf.DUMMYFUNCTION("""COMPUTED_VALUE"""),93.99)</f>
        <v>93.99</v>
      </c>
      <c r="BF238" s="1">
        <f>IFERROR(__xludf.DUMMYFUNCTION("""COMPUTED_VALUE"""),61.42)</f>
        <v>61.42</v>
      </c>
      <c r="BG238" s="1">
        <f>IFERROR(__xludf.DUMMYFUNCTION("""COMPUTED_VALUE"""),22.53)</f>
        <v>22.53</v>
      </c>
      <c r="BH238" s="1">
        <f>IFERROR(__xludf.DUMMYFUNCTION("""COMPUTED_VALUE"""),113.75)</f>
        <v>113.75</v>
      </c>
      <c r="BI238" s="3">
        <f>IFERROR(__xludf.DUMMYFUNCTION("""COMPUTED_VALUE"""),36.86)</f>
        <v>36.86</v>
      </c>
      <c r="BJ238" s="1">
        <f>IFERROR(__xludf.DUMMYFUNCTION("""COMPUTED_VALUE"""),258.3)</f>
        <v>258.3</v>
      </c>
      <c r="BK238" s="1">
        <f>IFERROR(__xludf.DUMMYFUNCTION("""COMPUTED_VALUE"""),434.73)</f>
        <v>434.73</v>
      </c>
      <c r="BL238" s="1">
        <f>IFERROR(__xludf.DUMMYFUNCTION("""COMPUTED_VALUE"""),178.7)</f>
        <v>178.7</v>
      </c>
      <c r="BM238" s="1">
        <f>IFERROR(__xludf.DUMMYFUNCTION("""COMPUTED_VALUE"""),91.21)</f>
        <v>91.21</v>
      </c>
      <c r="BN238" s="3">
        <f>IFERROR(__xludf.DUMMYFUNCTION("""COMPUTED_VALUE"""),5.86)</f>
        <v>5.86</v>
      </c>
      <c r="BO238" s="1">
        <f>IFERROR(__xludf.DUMMYFUNCTION("""COMPUTED_VALUE"""),216.9)</f>
        <v>216.9</v>
      </c>
      <c r="BP238" s="1">
        <f>IFERROR(__xludf.DUMMYFUNCTION("""COMPUTED_VALUE"""),427.18)</f>
        <v>427.18</v>
      </c>
      <c r="BQ238" s="36">
        <f>IFERROR(__xludf.DUMMYFUNCTION("""COMPUTED_VALUE"""),49.87)</f>
        <v>49.87</v>
      </c>
      <c r="BR238" s="1">
        <f>IFERROR(__xludf.DUMMYFUNCTION("""COMPUTED_VALUE"""),7.69)</f>
        <v>7.69</v>
      </c>
      <c r="BS238" s="3">
        <f>IFERROR(__xludf.DUMMYFUNCTION("""COMPUTED_VALUE"""),229.96)</f>
        <v>229.96</v>
      </c>
      <c r="BT238" s="1">
        <f>IFERROR(__xludf.DUMMYFUNCTION("""COMPUTED_VALUE"""),86.09)</f>
        <v>86.09</v>
      </c>
      <c r="BU238" s="3">
        <v>1.0</v>
      </c>
    </row>
    <row r="239">
      <c r="A239" s="25">
        <f>IFERROR(__xludf.DUMMYFUNCTION("""COMPUTED_VALUE"""),45770.66666666667)</f>
        <v>45770.66667</v>
      </c>
      <c r="B239" s="29">
        <f>'Master Scratch Work'!B238</f>
        <v>1269955.23</v>
      </c>
      <c r="C239" s="15">
        <f>IFERROR(__xludf.DUMMYFUNCTION("""COMPUTED_VALUE"""),5375.86)</f>
        <v>5375.86</v>
      </c>
      <c r="D239" s="15">
        <f>IFERROR(__xludf.DUMMYFUNCTION("""COMPUTED_VALUE"""),16708.05)</f>
        <v>16708.05</v>
      </c>
      <c r="E239" s="15">
        <f>IFERROR(__xludf.DUMMYFUNCTION("""COMPUTED_VALUE"""),39606.57)</f>
        <v>39606.57</v>
      </c>
      <c r="F239" s="15">
        <f>IFERROR(__xludf.DUMMYFUNCTION("""COMPUTED_VALUE"""),1919.14)</f>
        <v>1919.14</v>
      </c>
      <c r="G239" s="3">
        <f>IFERROR(__xludf.DUMMYFUNCTION("""COMPUTED_VALUE"""),535.42)</f>
        <v>535.42</v>
      </c>
      <c r="H239" s="3">
        <f>IFERROR(__xludf.DUMMYFUNCTION("""COMPUTED_VALUE"""),454.56)</f>
        <v>454.56</v>
      </c>
      <c r="I239" s="3">
        <f>IFERROR(__xludf.DUMMYFUNCTION("""COMPUTED_VALUE"""),351.96)</f>
        <v>351.96</v>
      </c>
      <c r="J239" s="3">
        <f>IFERROR(__xludf.DUMMYFUNCTION("""COMPUTED_VALUE"""),180.6)</f>
        <v>180.6</v>
      </c>
      <c r="K239" s="3">
        <f>IFERROR(__xludf.DUMMYFUNCTION("""COMPUTED_VALUE"""),147.17)</f>
        <v>147.17</v>
      </c>
      <c r="L239" s="3">
        <f>IFERROR(__xludf.DUMMYFUNCTION("""COMPUTED_VALUE"""),204.6)</f>
        <v>204.6</v>
      </c>
      <c r="M239" s="3">
        <f>IFERROR(__xludf.DUMMYFUNCTION("""COMPUTED_VALUE"""),143.58)</f>
        <v>143.58</v>
      </c>
      <c r="N239" s="3">
        <f>IFERROR(__xludf.DUMMYFUNCTION("""COMPUTED_VALUE"""),77.73)</f>
        <v>77.73</v>
      </c>
      <c r="O239" s="3">
        <f>IFERROR(__xludf.DUMMYFUNCTION("""COMPUTED_VALUE"""),15.64)</f>
        <v>15.64</v>
      </c>
      <c r="P239" s="3">
        <f>IFERROR(__xludf.DUMMYFUNCTION("""COMPUTED_VALUE"""),526.81)</f>
        <v>526.81</v>
      </c>
      <c r="Q239" s="3">
        <f>IFERROR(__xludf.DUMMYFUNCTION("""COMPUTED_VALUE"""),48.38)</f>
        <v>48.38</v>
      </c>
      <c r="R239" s="3">
        <f>IFERROR(__xludf.DUMMYFUNCTION("""COMPUTED_VALUE"""),118.17)</f>
        <v>118.17</v>
      </c>
      <c r="S239" s="3">
        <f>IFERROR(__xludf.DUMMYFUNCTION("""COMPUTED_VALUE"""),98.92)</f>
        <v>98.92</v>
      </c>
      <c r="T239" s="3">
        <f>IFERROR(__xludf.DUMMYFUNCTION("""COMPUTED_VALUE"""),58.6)</f>
        <v>58.6</v>
      </c>
      <c r="U239" s="3">
        <f>IFERROR(__xludf.DUMMYFUNCTION("""COMPUTED_VALUE"""),295.77)</f>
        <v>295.77</v>
      </c>
      <c r="V239" s="3">
        <f>IFERROR(__xludf.DUMMYFUNCTION("""COMPUTED_VALUE"""),41.97)</f>
        <v>41.97</v>
      </c>
      <c r="W239" s="3">
        <f>IFERROR(__xludf.DUMMYFUNCTION("""COMPUTED_VALUE"""),204.26)</f>
        <v>204.26</v>
      </c>
      <c r="X239" s="3">
        <f>IFERROR(__xludf.DUMMYFUNCTION("""COMPUTED_VALUE"""),136.68)</f>
        <v>136.68</v>
      </c>
      <c r="Y239" s="1">
        <f>IFERROR(__xludf.DUMMYFUNCTION("""COMPUTED_VALUE"""),336.69)</f>
        <v>336.69</v>
      </c>
      <c r="Z239" s="1">
        <f>IFERROR(__xludf.DUMMYFUNCTION("""COMPUTED_VALUE"""),36.49)</f>
        <v>36.49</v>
      </c>
      <c r="AA239" s="1">
        <f>IFERROR(__xludf.DUMMYFUNCTION("""COMPUTED_VALUE"""),73.3)</f>
        <v>73.3</v>
      </c>
      <c r="AB239" s="1">
        <f>IFERROR(__xludf.DUMMYFUNCTION("""COMPUTED_VALUE"""),112.52)</f>
        <v>112.52</v>
      </c>
      <c r="AC239" s="1">
        <f>IFERROR(__xludf.DUMMYFUNCTION("""COMPUTED_VALUE"""),151.59)</f>
        <v>151.59</v>
      </c>
      <c r="AD239" s="3">
        <f>IFERROR(__xludf.DUMMYFUNCTION("""COMPUTED_VALUE"""),83.43)</f>
        <v>83.43</v>
      </c>
      <c r="AE239" s="1">
        <f>IFERROR(__xludf.DUMMYFUNCTION("""COMPUTED_VALUE"""),485.88)</f>
        <v>485.88</v>
      </c>
      <c r="AF239" s="1">
        <f>IFERROR(__xludf.DUMMYFUNCTION("""COMPUTED_VALUE"""),66.63)</f>
        <v>66.63</v>
      </c>
      <c r="AG239" s="1">
        <f>IFERROR(__xludf.DUMMYFUNCTION("""COMPUTED_VALUE"""),107.37)</f>
        <v>107.37</v>
      </c>
      <c r="AH239" s="1">
        <f>IFERROR(__xludf.DUMMYFUNCTION("""COMPUTED_VALUE"""),211.04)</f>
        <v>211.04</v>
      </c>
      <c r="AI239" s="1">
        <f>IFERROR(__xludf.DUMMYFUNCTION("""COMPUTED_VALUE"""),441.68)</f>
        <v>441.68</v>
      </c>
      <c r="AJ239" s="1">
        <f>IFERROR(__xludf.DUMMYFUNCTION("""COMPUTED_VALUE"""),265.73)</f>
        <v>265.73</v>
      </c>
      <c r="AK239" s="1">
        <f>IFERROR(__xludf.DUMMYFUNCTION("""COMPUTED_VALUE"""),45.84)</f>
        <v>45.84</v>
      </c>
      <c r="AL239" s="1">
        <f>IFERROR(__xludf.DUMMYFUNCTION("""COMPUTED_VALUE"""),106.38)</f>
        <v>106.38</v>
      </c>
      <c r="AM239" s="1">
        <f>IFERROR(__xludf.DUMMYFUNCTION("""COMPUTED_VALUE"""),529.31)</f>
        <v>529.31</v>
      </c>
      <c r="AN239" s="1">
        <f>IFERROR(__xludf.DUMMYFUNCTION("""COMPUTED_VALUE"""),356.42)</f>
        <v>356.42</v>
      </c>
      <c r="AO239" s="1">
        <f>IFERROR(__xludf.DUMMYFUNCTION("""COMPUTED_VALUE"""),137.21)</f>
        <v>137.21</v>
      </c>
      <c r="AP239" s="1">
        <f>IFERROR(__xludf.DUMMYFUNCTION("""COMPUTED_VALUE"""),160.99)</f>
        <v>160.99</v>
      </c>
      <c r="AQ239" s="3">
        <f>IFERROR(__xludf.DUMMYFUNCTION("""COMPUTED_VALUE"""),487.93)</f>
        <v>487.93</v>
      </c>
      <c r="AR239" s="3">
        <f>IFERROR(__xludf.DUMMYFUNCTION("""COMPUTED_VALUE"""),240.88)</f>
        <v>240.88</v>
      </c>
      <c r="AS239" s="3">
        <f>IFERROR(__xludf.DUMMYFUNCTION("""COMPUTED_VALUE"""),463.55)</f>
        <v>463.55</v>
      </c>
      <c r="AT239" s="3">
        <f>IFERROR(__xludf.DUMMYFUNCTION("""COMPUTED_VALUE"""),265.85)</f>
        <v>265.85</v>
      </c>
      <c r="AU239" s="1">
        <f>IFERROR(__xludf.DUMMYFUNCTION("""COMPUTED_VALUE"""),29.76)</f>
        <v>29.76</v>
      </c>
      <c r="AV239" s="1">
        <f>IFERROR(__xludf.DUMMYFUNCTION("""COMPUTED_VALUE"""),83.75)</f>
        <v>83.75</v>
      </c>
      <c r="AW239" s="1">
        <f>IFERROR(__xludf.DUMMYFUNCTION("""COMPUTED_VALUE"""),74.24)</f>
        <v>74.24</v>
      </c>
      <c r="AX239" s="3">
        <f>IFERROR(__xludf.DUMMYFUNCTION("""COMPUTED_VALUE"""),22.89)</f>
        <v>22.89</v>
      </c>
      <c r="AY239" s="1">
        <f>IFERROR(__xludf.DUMMYFUNCTION("""COMPUTED_VALUE"""),374.39)</f>
        <v>374.39</v>
      </c>
      <c r="AZ239" s="3">
        <f>IFERROR(__xludf.DUMMYFUNCTION("""COMPUTED_VALUE"""),67.27)</f>
        <v>67.27</v>
      </c>
      <c r="BA239" s="3">
        <f>IFERROR(__xludf.DUMMYFUNCTION("""COMPUTED_VALUE"""),102.04)</f>
        <v>102.04</v>
      </c>
      <c r="BB239" s="3">
        <f>IFERROR(__xludf.DUMMYFUNCTION("""COMPUTED_VALUE"""),102.71)</f>
        <v>102.71</v>
      </c>
      <c r="BC239" s="1">
        <f>IFERROR(__xludf.DUMMYFUNCTION("""COMPUTED_VALUE"""),92.3)</f>
        <v>92.3</v>
      </c>
      <c r="BD239" s="1">
        <f>IFERROR(__xludf.DUMMYFUNCTION("""COMPUTED_VALUE"""),43.93)</f>
        <v>43.93</v>
      </c>
      <c r="BE239" s="3">
        <f>IFERROR(__xludf.DUMMYFUNCTION("""COMPUTED_VALUE"""),100.82)</f>
        <v>100.82</v>
      </c>
      <c r="BF239" s="1">
        <f>IFERROR(__xludf.DUMMYFUNCTION("""COMPUTED_VALUE"""),62.46)</f>
        <v>62.46</v>
      </c>
      <c r="BG239" s="1">
        <f>IFERROR(__xludf.DUMMYFUNCTION("""COMPUTED_VALUE"""),22.39)</f>
        <v>22.39</v>
      </c>
      <c r="BH239" s="1">
        <f>IFERROR(__xludf.DUMMYFUNCTION("""COMPUTED_VALUE"""),120.28)</f>
        <v>120.28</v>
      </c>
      <c r="BI239" s="3">
        <f>IFERROR(__xludf.DUMMYFUNCTION("""COMPUTED_VALUE"""),37.44)</f>
        <v>37.44</v>
      </c>
      <c r="BJ239" s="1">
        <f>IFERROR(__xludf.DUMMYFUNCTION("""COMPUTED_VALUE"""),259.35)</f>
        <v>259.35</v>
      </c>
      <c r="BK239" s="1">
        <f>IFERROR(__xludf.DUMMYFUNCTION("""COMPUTED_VALUE"""),431.64)</f>
        <v>431.64</v>
      </c>
      <c r="BL239" s="1">
        <f>IFERROR(__xludf.DUMMYFUNCTION("""COMPUTED_VALUE"""),181.43)</f>
        <v>181.43</v>
      </c>
      <c r="BM239" s="1">
        <f>IFERROR(__xludf.DUMMYFUNCTION("""COMPUTED_VALUE"""),92.25)</f>
        <v>92.25</v>
      </c>
      <c r="BN239" s="3">
        <f>IFERROR(__xludf.DUMMYFUNCTION("""COMPUTED_VALUE"""),5.78)</f>
        <v>5.78</v>
      </c>
      <c r="BO239" s="1">
        <f>IFERROR(__xludf.DUMMYFUNCTION("""COMPUTED_VALUE"""),219.78)</f>
        <v>219.78</v>
      </c>
      <c r="BP239" s="1">
        <f>IFERROR(__xludf.DUMMYFUNCTION("""COMPUTED_VALUE"""),427.96)</f>
        <v>427.96</v>
      </c>
      <c r="BQ239" s="36">
        <f>IFERROR(__xludf.DUMMYFUNCTION("""COMPUTED_VALUE"""),49.85)</f>
        <v>49.85</v>
      </c>
      <c r="BR239" s="1">
        <f>IFERROR(__xludf.DUMMYFUNCTION("""COMPUTED_VALUE"""),7.81)</f>
        <v>7.81</v>
      </c>
      <c r="BS239" s="3">
        <f>IFERROR(__xludf.DUMMYFUNCTION("""COMPUTED_VALUE"""),228.63)</f>
        <v>228.63</v>
      </c>
      <c r="BT239" s="1">
        <f>IFERROR(__xludf.DUMMYFUNCTION("""COMPUTED_VALUE"""),87.29)</f>
        <v>87.29</v>
      </c>
      <c r="BU239" s="3">
        <v>1.0</v>
      </c>
    </row>
    <row r="240">
      <c r="A240" s="25">
        <f>IFERROR(__xludf.DUMMYFUNCTION("""COMPUTED_VALUE"""),45771.66666666667)</f>
        <v>45771.66667</v>
      </c>
      <c r="B240" s="29">
        <f>'Master Scratch Work'!B239</f>
        <v>1290357.75</v>
      </c>
      <c r="C240" s="15">
        <f>IFERROR(__xludf.DUMMYFUNCTION("""COMPUTED_VALUE"""),5484.77)</f>
        <v>5484.77</v>
      </c>
      <c r="D240" s="15">
        <f>IFERROR(__xludf.DUMMYFUNCTION("""COMPUTED_VALUE"""),17166.04)</f>
        <v>17166.04</v>
      </c>
      <c r="E240" s="15">
        <f>IFERROR(__xludf.DUMMYFUNCTION("""COMPUTED_VALUE"""),40093.4)</f>
        <v>40093.4</v>
      </c>
      <c r="F240" s="15">
        <f>IFERROR(__xludf.DUMMYFUNCTION("""COMPUTED_VALUE"""),1957.59)</f>
        <v>1957.59</v>
      </c>
      <c r="G240" s="3">
        <f>IFERROR(__xludf.DUMMYFUNCTION("""COMPUTED_VALUE"""),546.69)</f>
        <v>546.69</v>
      </c>
      <c r="H240" s="3">
        <f>IFERROR(__xludf.DUMMYFUNCTION("""COMPUTED_VALUE"""),467.35)</f>
        <v>467.35</v>
      </c>
      <c r="I240" s="3">
        <f>IFERROR(__xludf.DUMMYFUNCTION("""COMPUTED_VALUE"""),360.91)</f>
        <v>360.91</v>
      </c>
      <c r="J240" s="3">
        <f>IFERROR(__xludf.DUMMYFUNCTION("""COMPUTED_VALUE"""),186.54)</f>
        <v>186.54</v>
      </c>
      <c r="K240" s="3">
        <f>IFERROR(__xludf.DUMMYFUNCTION("""COMPUTED_VALUE"""),146.04)</f>
        <v>146.04</v>
      </c>
      <c r="L240" s="3">
        <f>IFERROR(__xludf.DUMMYFUNCTION("""COMPUTED_VALUE"""),208.37)</f>
        <v>208.37</v>
      </c>
      <c r="M240" s="3">
        <f>IFERROR(__xludf.DUMMYFUNCTION("""COMPUTED_VALUE"""),150.17)</f>
        <v>150.17</v>
      </c>
      <c r="N240" s="3">
        <f>IFERROR(__xludf.DUMMYFUNCTION("""COMPUTED_VALUE"""),78.72)</f>
        <v>78.72</v>
      </c>
      <c r="O240" s="3">
        <f>IFERROR(__xludf.DUMMYFUNCTION("""COMPUTED_VALUE"""),15.63)</f>
        <v>15.63</v>
      </c>
      <c r="P240" s="3">
        <f>IFERROR(__xludf.DUMMYFUNCTION("""COMPUTED_VALUE"""),531.64)</f>
        <v>531.64</v>
      </c>
      <c r="Q240" s="3">
        <f>IFERROR(__xludf.DUMMYFUNCTION("""COMPUTED_VALUE"""),49.31)</f>
        <v>49.31</v>
      </c>
      <c r="R240" s="3">
        <f>IFERROR(__xludf.DUMMYFUNCTION("""COMPUTED_VALUE"""),119.51)</f>
        <v>119.51</v>
      </c>
      <c r="S240" s="3">
        <f>IFERROR(__xludf.DUMMYFUNCTION("""COMPUTED_VALUE"""),101.14)</f>
        <v>101.14</v>
      </c>
      <c r="T240" s="3">
        <f>IFERROR(__xludf.DUMMYFUNCTION("""COMPUTED_VALUE"""),60.31)</f>
        <v>60.31</v>
      </c>
      <c r="U240" s="3">
        <f>IFERROR(__xludf.DUMMYFUNCTION("""COMPUTED_VALUE"""),306.86)</f>
        <v>306.86</v>
      </c>
      <c r="V240" s="3">
        <f>IFERROR(__xludf.DUMMYFUNCTION("""COMPUTED_VALUE"""),43.89)</f>
        <v>43.89</v>
      </c>
      <c r="W240" s="3">
        <f>IFERROR(__xludf.DUMMYFUNCTION("""COMPUTED_VALUE"""),208.88)</f>
        <v>208.88</v>
      </c>
      <c r="X240" s="3">
        <f>IFERROR(__xludf.DUMMYFUNCTION("""COMPUTED_VALUE"""),139.07)</f>
        <v>139.07</v>
      </c>
      <c r="Y240" s="1">
        <f>IFERROR(__xludf.DUMMYFUNCTION("""COMPUTED_VALUE"""),335.7)</f>
        <v>335.7</v>
      </c>
      <c r="Z240" s="1">
        <f>IFERROR(__xludf.DUMMYFUNCTION("""COMPUTED_VALUE"""),37.44)</f>
        <v>37.44</v>
      </c>
      <c r="AA240" s="1">
        <f>IFERROR(__xludf.DUMMYFUNCTION("""COMPUTED_VALUE"""),72.52)</f>
        <v>72.52</v>
      </c>
      <c r="AB240" s="1">
        <f>IFERROR(__xludf.DUMMYFUNCTION("""COMPUTED_VALUE"""),111.29)</f>
        <v>111.29</v>
      </c>
      <c r="AC240" s="1">
        <f>IFERROR(__xludf.DUMMYFUNCTION("""COMPUTED_VALUE"""),153.75)</f>
        <v>153.75</v>
      </c>
      <c r="AD240" s="3">
        <f>IFERROR(__xludf.DUMMYFUNCTION("""COMPUTED_VALUE"""),81.23)</f>
        <v>81.23</v>
      </c>
      <c r="AE240" s="1">
        <f>IFERROR(__xludf.DUMMYFUNCTION("""COMPUTED_VALUE"""),487.97)</f>
        <v>487.97</v>
      </c>
      <c r="AF240" s="1">
        <f>IFERROR(__xludf.DUMMYFUNCTION("""COMPUTED_VALUE"""),67.2)</f>
        <v>67.2</v>
      </c>
      <c r="AG240" s="1">
        <f>IFERROR(__xludf.DUMMYFUNCTION("""COMPUTED_VALUE"""),108.63)</f>
        <v>108.63</v>
      </c>
      <c r="AH240" s="1">
        <f>IFERROR(__xludf.DUMMYFUNCTION("""COMPUTED_VALUE"""),215.69)</f>
        <v>215.69</v>
      </c>
      <c r="AI240" s="1">
        <f>IFERROR(__xludf.DUMMYFUNCTION("""COMPUTED_VALUE"""),456.82)</f>
        <v>456.82</v>
      </c>
      <c r="AJ240" s="1">
        <f>IFERROR(__xludf.DUMMYFUNCTION("""COMPUTED_VALUE"""),271.71)</f>
        <v>271.71</v>
      </c>
      <c r="AK240" s="1">
        <f>IFERROR(__xludf.DUMMYFUNCTION("""COMPUTED_VALUE"""),46.88)</f>
        <v>46.88</v>
      </c>
      <c r="AL240" s="1">
        <f>IFERROR(__xludf.DUMMYFUNCTION("""COMPUTED_VALUE"""),106.15)</f>
        <v>106.15</v>
      </c>
      <c r="AM240" s="1">
        <f>IFERROR(__xludf.DUMMYFUNCTION("""COMPUTED_VALUE"""),545.37)</f>
        <v>545.37</v>
      </c>
      <c r="AN240" s="1">
        <f>IFERROR(__xludf.DUMMYFUNCTION("""COMPUTED_VALUE"""),359.64)</f>
        <v>359.64</v>
      </c>
      <c r="AO240" s="1">
        <f>IFERROR(__xludf.DUMMYFUNCTION("""COMPUTED_VALUE"""),134.48)</f>
        <v>134.48</v>
      </c>
      <c r="AP240" s="1">
        <f>IFERROR(__xludf.DUMMYFUNCTION("""COMPUTED_VALUE"""),162.98)</f>
        <v>162.98</v>
      </c>
      <c r="AQ240" s="3">
        <f>IFERROR(__xludf.DUMMYFUNCTION("""COMPUTED_VALUE"""),508.13)</f>
        <v>508.13</v>
      </c>
      <c r="AR240" s="3">
        <f>IFERROR(__xludf.DUMMYFUNCTION("""COMPUTED_VALUE"""),244.64)</f>
        <v>244.64</v>
      </c>
      <c r="AS240" s="3">
        <f>IFERROR(__xludf.DUMMYFUNCTION("""COMPUTED_VALUE"""),466.81)</f>
        <v>466.81</v>
      </c>
      <c r="AT240" s="3">
        <f>IFERROR(__xludf.DUMMYFUNCTION("""COMPUTED_VALUE"""),270.64)</f>
        <v>270.64</v>
      </c>
      <c r="AU240" s="1">
        <f>IFERROR(__xludf.DUMMYFUNCTION("""COMPUTED_VALUE"""),30.21)</f>
        <v>30.21</v>
      </c>
      <c r="AV240" s="1">
        <f>IFERROR(__xludf.DUMMYFUNCTION("""COMPUTED_VALUE"""),84.3)</f>
        <v>84.3</v>
      </c>
      <c r="AW240" s="1">
        <f>IFERROR(__xludf.DUMMYFUNCTION("""COMPUTED_VALUE"""),75.86)</f>
        <v>75.86</v>
      </c>
      <c r="AX240" s="3">
        <f>IFERROR(__xludf.DUMMYFUNCTION("""COMPUTED_VALUE"""),26.01)</f>
        <v>26.01</v>
      </c>
      <c r="AY240" s="1">
        <f>IFERROR(__xludf.DUMMYFUNCTION("""COMPUTED_VALUE"""),387.3)</f>
        <v>387.3</v>
      </c>
      <c r="AZ240" s="3">
        <f>IFERROR(__xludf.DUMMYFUNCTION("""COMPUTED_VALUE"""),66.35)</f>
        <v>66.35</v>
      </c>
      <c r="BA240" s="3">
        <f>IFERROR(__xludf.DUMMYFUNCTION("""COMPUTED_VALUE"""),106.11)</f>
        <v>106.11</v>
      </c>
      <c r="BB240" s="3">
        <f>IFERROR(__xludf.DUMMYFUNCTION("""COMPUTED_VALUE"""),106.43)</f>
        <v>106.43</v>
      </c>
      <c r="BC240" s="1">
        <f>IFERROR(__xludf.DUMMYFUNCTION("""COMPUTED_VALUE"""),92.74)</f>
        <v>92.74</v>
      </c>
      <c r="BD240" s="1">
        <f>IFERROR(__xludf.DUMMYFUNCTION("""COMPUTED_VALUE"""),44.76)</f>
        <v>44.76</v>
      </c>
      <c r="BE240" s="3">
        <f>IFERROR(__xludf.DUMMYFUNCTION("""COMPUTED_VALUE"""),107.78)</f>
        <v>107.78</v>
      </c>
      <c r="BF240" s="1">
        <f>IFERROR(__xludf.DUMMYFUNCTION("""COMPUTED_VALUE"""),64.77)</f>
        <v>64.77</v>
      </c>
      <c r="BG240" s="1">
        <f>IFERROR(__xludf.DUMMYFUNCTION("""COMPUTED_VALUE"""),22.78)</f>
        <v>22.78</v>
      </c>
      <c r="BH240" s="1">
        <f>IFERROR(__xludf.DUMMYFUNCTION("""COMPUTED_VALUE"""),121.97)</f>
        <v>121.97</v>
      </c>
      <c r="BI240" s="3">
        <f>IFERROR(__xludf.DUMMYFUNCTION("""COMPUTED_VALUE"""),38.58)</f>
        <v>38.58</v>
      </c>
      <c r="BJ240" s="1">
        <f>IFERROR(__xludf.DUMMYFUNCTION("""COMPUTED_VALUE"""),262.18)</f>
        <v>262.18</v>
      </c>
      <c r="BK240" s="1">
        <f>IFERROR(__xludf.DUMMYFUNCTION("""COMPUTED_VALUE"""),426.66)</f>
        <v>426.66</v>
      </c>
      <c r="BL240" s="1">
        <f>IFERROR(__xludf.DUMMYFUNCTION("""COMPUTED_VALUE"""),186.61)</f>
        <v>186.61</v>
      </c>
      <c r="BM240" s="1">
        <f>IFERROR(__xludf.DUMMYFUNCTION("""COMPUTED_VALUE"""),94.18)</f>
        <v>94.18</v>
      </c>
      <c r="BN240" s="3">
        <f>IFERROR(__xludf.DUMMYFUNCTION("""COMPUTED_VALUE"""),5.8)</f>
        <v>5.8</v>
      </c>
      <c r="BO240" s="1">
        <f>IFERROR(__xludf.DUMMYFUNCTION("""COMPUTED_VALUE"""),215.45)</f>
        <v>215.45</v>
      </c>
      <c r="BP240" s="1">
        <f>IFERROR(__xludf.DUMMYFUNCTION("""COMPUTED_VALUE"""),424.25)</f>
        <v>424.25</v>
      </c>
      <c r="BQ240" s="36">
        <f>IFERROR(__xludf.DUMMYFUNCTION("""COMPUTED_VALUE"""),49.99)</f>
        <v>49.99</v>
      </c>
      <c r="BR240" s="1">
        <f>IFERROR(__xludf.DUMMYFUNCTION("""COMPUTED_VALUE"""),8.03)</f>
        <v>8.03</v>
      </c>
      <c r="BS240" s="3">
        <f>IFERROR(__xludf.DUMMYFUNCTION("""COMPUTED_VALUE"""),227.47)</f>
        <v>227.47</v>
      </c>
      <c r="BT240" s="1">
        <f>IFERROR(__xludf.DUMMYFUNCTION("""COMPUTED_VALUE"""),90.01)</f>
        <v>90.01</v>
      </c>
      <c r="BU240" s="3">
        <v>1.0</v>
      </c>
    </row>
    <row r="241">
      <c r="A241" s="25">
        <f>IFERROR(__xludf.DUMMYFUNCTION("""COMPUTED_VALUE"""),45772.66666666667)</f>
        <v>45772.66667</v>
      </c>
      <c r="B241" s="29">
        <f>'Master Scratch Work'!B240</f>
        <v>1286381.07</v>
      </c>
      <c r="C241" s="15">
        <f>IFERROR(__xludf.DUMMYFUNCTION("""COMPUTED_VALUE"""),5525.21)</f>
        <v>5525.21</v>
      </c>
      <c r="D241" s="15">
        <f>IFERROR(__xludf.DUMMYFUNCTION("""COMPUTED_VALUE"""),17382.94)</f>
        <v>17382.94</v>
      </c>
      <c r="E241" s="15">
        <f>IFERROR(__xludf.DUMMYFUNCTION("""COMPUTED_VALUE"""),40113.5)</f>
        <v>40113.5</v>
      </c>
      <c r="F241" s="15">
        <f>IFERROR(__xludf.DUMMYFUNCTION("""COMPUTED_VALUE"""),1957.62)</f>
        <v>1957.62</v>
      </c>
      <c r="G241" s="3">
        <f>IFERROR(__xludf.DUMMYFUNCTION("""COMPUTED_VALUE"""),550.64)</f>
        <v>550.64</v>
      </c>
      <c r="H241" s="3">
        <f>IFERROR(__xludf.DUMMYFUNCTION("""COMPUTED_VALUE"""),472.56)</f>
        <v>472.56</v>
      </c>
      <c r="I241" s="3">
        <f>IFERROR(__xludf.DUMMYFUNCTION("""COMPUTED_VALUE"""),367.72)</f>
        <v>367.72</v>
      </c>
      <c r="J241" s="3">
        <f>IFERROR(__xludf.DUMMYFUNCTION("""COMPUTED_VALUE"""),188.99)</f>
        <v>188.99</v>
      </c>
      <c r="K241" s="3">
        <f>IFERROR(__xludf.DUMMYFUNCTION("""COMPUTED_VALUE"""),143.97)</f>
        <v>143.97</v>
      </c>
      <c r="L241" s="3">
        <f>IFERROR(__xludf.DUMMYFUNCTION("""COMPUTED_VALUE"""),209.28)</f>
        <v>209.28</v>
      </c>
      <c r="M241" s="3">
        <f>IFERROR(__xludf.DUMMYFUNCTION("""COMPUTED_VALUE"""),151.55)</f>
        <v>151.55</v>
      </c>
      <c r="N241" s="3">
        <f>IFERROR(__xludf.DUMMYFUNCTION("""COMPUTED_VALUE"""),78.65)</f>
        <v>78.65</v>
      </c>
      <c r="O241" s="3">
        <f>IFERROR(__xludf.DUMMYFUNCTION("""COMPUTED_VALUE"""),15.82)</f>
        <v>15.82</v>
      </c>
      <c r="P241" s="3">
        <f>IFERROR(__xludf.DUMMYFUNCTION("""COMPUTED_VALUE"""),530.96)</f>
        <v>530.96</v>
      </c>
      <c r="Q241" s="3">
        <f>IFERROR(__xludf.DUMMYFUNCTION("""COMPUTED_VALUE"""),48.21)</f>
        <v>48.21</v>
      </c>
      <c r="R241" s="3">
        <f>IFERROR(__xludf.DUMMYFUNCTION("""COMPUTED_VALUE"""),118.84)</f>
        <v>118.84</v>
      </c>
      <c r="S241" s="3">
        <f>IFERROR(__xludf.DUMMYFUNCTION("""COMPUTED_VALUE"""),101.9)</f>
        <v>101.9</v>
      </c>
      <c r="T241" s="3">
        <f>IFERROR(__xludf.DUMMYFUNCTION("""COMPUTED_VALUE"""),60.06)</f>
        <v>60.06</v>
      </c>
      <c r="U241" s="3">
        <f>IFERROR(__xludf.DUMMYFUNCTION("""COMPUTED_VALUE"""),306.45)</f>
        <v>306.45</v>
      </c>
      <c r="V241" s="3">
        <f>IFERROR(__xludf.DUMMYFUNCTION("""COMPUTED_VALUE"""),43.99)</f>
        <v>43.99</v>
      </c>
      <c r="W241" s="3">
        <f>IFERROR(__xludf.DUMMYFUNCTION("""COMPUTED_VALUE"""),206.55)</f>
        <v>206.55</v>
      </c>
      <c r="X241" s="3">
        <f>IFERROR(__xludf.DUMMYFUNCTION("""COMPUTED_VALUE"""),138.73)</f>
        <v>138.73</v>
      </c>
      <c r="Y241" s="1">
        <f>IFERROR(__xludf.DUMMYFUNCTION("""COMPUTED_VALUE"""),335.36)</f>
        <v>335.36</v>
      </c>
      <c r="Z241" s="1">
        <f>IFERROR(__xludf.DUMMYFUNCTION("""COMPUTED_VALUE"""),37.06)</f>
        <v>37.06</v>
      </c>
      <c r="AA241" s="1">
        <f>IFERROR(__xludf.DUMMYFUNCTION("""COMPUTED_VALUE"""),71.91)</f>
        <v>71.91</v>
      </c>
      <c r="AB241" s="1">
        <f>IFERROR(__xludf.DUMMYFUNCTION("""COMPUTED_VALUE"""),110.45)</f>
        <v>110.45</v>
      </c>
      <c r="AC241" s="1">
        <f>IFERROR(__xludf.DUMMYFUNCTION("""COMPUTED_VALUE"""),159.88)</f>
        <v>159.88</v>
      </c>
      <c r="AD241" s="3">
        <f>IFERROR(__xludf.DUMMYFUNCTION("""COMPUTED_VALUE"""),80.57)</f>
        <v>80.57</v>
      </c>
      <c r="AE241" s="1">
        <f>IFERROR(__xludf.DUMMYFUNCTION("""COMPUTED_VALUE"""),487.58)</f>
        <v>487.58</v>
      </c>
      <c r="AF241" s="1">
        <f>IFERROR(__xludf.DUMMYFUNCTION("""COMPUTED_VALUE"""),67.83)</f>
        <v>67.83</v>
      </c>
      <c r="AG241" s="1">
        <f>IFERROR(__xludf.DUMMYFUNCTION("""COMPUTED_VALUE"""),108.57)</f>
        <v>108.57</v>
      </c>
      <c r="AH241" s="1">
        <f>IFERROR(__xludf.DUMMYFUNCTION("""COMPUTED_VALUE"""),211.56)</f>
        <v>211.56</v>
      </c>
      <c r="AI241" s="1">
        <f>IFERROR(__xludf.DUMMYFUNCTION("""COMPUTED_VALUE"""),460.8)</f>
        <v>460.8</v>
      </c>
      <c r="AJ241" s="1">
        <f>IFERROR(__xludf.DUMMYFUNCTION("""COMPUTED_VALUE"""),271.97)</f>
        <v>271.97</v>
      </c>
      <c r="AK241" s="1">
        <f>IFERROR(__xludf.DUMMYFUNCTION("""COMPUTED_VALUE"""),47.11)</f>
        <v>47.11</v>
      </c>
      <c r="AL241" s="1">
        <f>IFERROR(__xludf.DUMMYFUNCTION("""COMPUTED_VALUE"""),103.17)</f>
        <v>103.17</v>
      </c>
      <c r="AM241" s="1">
        <f>IFERROR(__xludf.DUMMYFUNCTION("""COMPUTED_VALUE"""),544.86)</f>
        <v>544.86</v>
      </c>
      <c r="AN241" s="1">
        <f>IFERROR(__xludf.DUMMYFUNCTION("""COMPUTED_VALUE"""),357.58)</f>
        <v>357.58</v>
      </c>
      <c r="AO241" s="1">
        <f>IFERROR(__xludf.DUMMYFUNCTION("""COMPUTED_VALUE"""),134.14)</f>
        <v>134.14</v>
      </c>
      <c r="AP241" s="1">
        <f>IFERROR(__xludf.DUMMYFUNCTION("""COMPUTED_VALUE"""),163.23)</f>
        <v>163.23</v>
      </c>
      <c r="AQ241" s="3">
        <f>IFERROR(__xludf.DUMMYFUNCTION("""COMPUTED_VALUE"""),514.59)</f>
        <v>514.59</v>
      </c>
      <c r="AR241" s="3">
        <f>IFERROR(__xludf.DUMMYFUNCTION("""COMPUTED_VALUE"""),243.55)</f>
        <v>243.55</v>
      </c>
      <c r="AS241" s="3">
        <f>IFERROR(__xludf.DUMMYFUNCTION("""COMPUTED_VALUE"""),477.64)</f>
        <v>477.64</v>
      </c>
      <c r="AT241" s="3">
        <f>IFERROR(__xludf.DUMMYFUNCTION("""COMPUTED_VALUE"""),267.9)</f>
        <v>267.9</v>
      </c>
      <c r="AU241" s="1">
        <f>IFERROR(__xludf.DUMMYFUNCTION("""COMPUTED_VALUE"""),30.24)</f>
        <v>30.24</v>
      </c>
      <c r="AV241" s="1">
        <f>IFERROR(__xludf.DUMMYFUNCTION("""COMPUTED_VALUE"""),84.16)</f>
        <v>84.16</v>
      </c>
      <c r="AW241" s="1">
        <f>IFERROR(__xludf.DUMMYFUNCTION("""COMPUTED_VALUE"""),75.19)</f>
        <v>75.19</v>
      </c>
      <c r="AX241" s="3">
        <f>IFERROR(__xludf.DUMMYFUNCTION("""COMPUTED_VALUE"""),24.41)</f>
        <v>24.41</v>
      </c>
      <c r="AY241" s="1">
        <f>IFERROR(__xludf.DUMMYFUNCTION("""COMPUTED_VALUE"""),391.85)</f>
        <v>391.85</v>
      </c>
      <c r="AZ241" s="3">
        <f>IFERROR(__xludf.DUMMYFUNCTION("""COMPUTED_VALUE"""),66.09)</f>
        <v>66.09</v>
      </c>
      <c r="BA241" s="3">
        <f>IFERROR(__xludf.DUMMYFUNCTION("""COMPUTED_VALUE"""),108.33)</f>
        <v>108.33</v>
      </c>
      <c r="BB241" s="3">
        <f>IFERROR(__xludf.DUMMYFUNCTION("""COMPUTED_VALUE"""),111.01)</f>
        <v>111.01</v>
      </c>
      <c r="BC241" s="1">
        <f>IFERROR(__xludf.DUMMYFUNCTION("""COMPUTED_VALUE"""),92.93)</f>
        <v>92.93</v>
      </c>
      <c r="BD241" s="1">
        <f>IFERROR(__xludf.DUMMYFUNCTION("""COMPUTED_VALUE"""),45.03)</f>
        <v>45.03</v>
      </c>
      <c r="BE241" s="3">
        <f>IFERROR(__xludf.DUMMYFUNCTION("""COMPUTED_VALUE"""),112.78)</f>
        <v>112.78</v>
      </c>
      <c r="BF241" s="1">
        <f>IFERROR(__xludf.DUMMYFUNCTION("""COMPUTED_VALUE"""),65.34)</f>
        <v>65.34</v>
      </c>
      <c r="BG241" s="1">
        <f>IFERROR(__xludf.DUMMYFUNCTION("""COMPUTED_VALUE"""),22.92)</f>
        <v>22.92</v>
      </c>
      <c r="BH241" s="1">
        <f>IFERROR(__xludf.DUMMYFUNCTION("""COMPUTED_VALUE"""),125.22)</f>
        <v>125.22</v>
      </c>
      <c r="BI241" s="3">
        <f>IFERROR(__xludf.DUMMYFUNCTION("""COMPUTED_VALUE"""),38.77)</f>
        <v>38.77</v>
      </c>
      <c r="BJ241" s="1">
        <f>IFERROR(__xludf.DUMMYFUNCTION("""COMPUTED_VALUE"""),232.77)</f>
        <v>232.77</v>
      </c>
      <c r="BK241" s="1">
        <f>IFERROR(__xludf.DUMMYFUNCTION("""COMPUTED_VALUE"""),424.24)</f>
        <v>424.24</v>
      </c>
      <c r="BL241" s="1">
        <f>IFERROR(__xludf.DUMMYFUNCTION("""COMPUTED_VALUE"""),188.21)</f>
        <v>188.21</v>
      </c>
      <c r="BM241" s="1">
        <f>IFERROR(__xludf.DUMMYFUNCTION("""COMPUTED_VALUE"""),93.5)</f>
        <v>93.5</v>
      </c>
      <c r="BN241" s="3">
        <f>IFERROR(__xludf.DUMMYFUNCTION("""COMPUTED_VALUE"""),5.71)</f>
        <v>5.71</v>
      </c>
      <c r="BO241" s="1">
        <f>IFERROR(__xludf.DUMMYFUNCTION("""COMPUTED_VALUE"""),213.29)</f>
        <v>213.29</v>
      </c>
      <c r="BP241" s="1">
        <f>IFERROR(__xludf.DUMMYFUNCTION("""COMPUTED_VALUE"""),418.64)</f>
        <v>418.64</v>
      </c>
      <c r="BQ241" s="36">
        <f>IFERROR(__xludf.DUMMYFUNCTION("""COMPUTED_VALUE"""),50.02)</f>
        <v>50.02</v>
      </c>
      <c r="BR241" s="1">
        <f>IFERROR(__xludf.DUMMYFUNCTION("""COMPUTED_VALUE"""),8.13)</f>
        <v>8.13</v>
      </c>
      <c r="BS241" s="3">
        <f>IFERROR(__xludf.DUMMYFUNCTION("""COMPUTED_VALUE"""),228.31)</f>
        <v>228.31</v>
      </c>
      <c r="BT241" s="1">
        <f>IFERROR(__xludf.DUMMYFUNCTION("""COMPUTED_VALUE"""),90.28)</f>
        <v>90.28</v>
      </c>
      <c r="BU241" s="3">
        <v>1.0</v>
      </c>
    </row>
    <row r="242">
      <c r="A242" s="25">
        <f>IFERROR(__xludf.DUMMYFUNCTION("""COMPUTED_VALUE"""),45775.66666666667)</f>
        <v>45775.66667</v>
      </c>
      <c r="B242" s="29">
        <f>'Master Scratch Work'!B241</f>
        <v>1290616.63</v>
      </c>
      <c r="C242" s="15">
        <f>IFERROR(__xludf.DUMMYFUNCTION("""COMPUTED_VALUE"""),5528.75)</f>
        <v>5528.75</v>
      </c>
      <c r="D242" s="15">
        <f>IFERROR(__xludf.DUMMYFUNCTION("""COMPUTED_VALUE"""),17366.13)</f>
        <v>17366.13</v>
      </c>
      <c r="E242" s="15">
        <f>IFERROR(__xludf.DUMMYFUNCTION("""COMPUTED_VALUE"""),40227.59)</f>
        <v>40227.59</v>
      </c>
      <c r="F242" s="15">
        <f>IFERROR(__xludf.DUMMYFUNCTION("""COMPUTED_VALUE"""),1965.55)</f>
        <v>1965.55</v>
      </c>
      <c r="G242" s="3">
        <f>IFERROR(__xludf.DUMMYFUNCTION("""COMPUTED_VALUE"""),550.85)</f>
        <v>550.85</v>
      </c>
      <c r="H242" s="3">
        <f>IFERROR(__xludf.DUMMYFUNCTION("""COMPUTED_VALUE"""),472.41)</f>
        <v>472.41</v>
      </c>
      <c r="I242" s="3">
        <f>IFERROR(__xludf.DUMMYFUNCTION("""COMPUTED_VALUE"""),368.62)</f>
        <v>368.62</v>
      </c>
      <c r="J242" s="3">
        <f>IFERROR(__xludf.DUMMYFUNCTION("""COMPUTED_VALUE"""),187.7)</f>
        <v>187.7</v>
      </c>
      <c r="K242" s="3">
        <f>IFERROR(__xludf.DUMMYFUNCTION("""COMPUTED_VALUE"""),144.27)</f>
        <v>144.27</v>
      </c>
      <c r="L242" s="3">
        <f>IFERROR(__xludf.DUMMYFUNCTION("""COMPUTED_VALUE"""),210.14)</f>
        <v>210.14</v>
      </c>
      <c r="M242" s="3">
        <f>IFERROR(__xludf.DUMMYFUNCTION("""COMPUTED_VALUE"""),150.79)</f>
        <v>150.79</v>
      </c>
      <c r="N242" s="3">
        <f>IFERROR(__xludf.DUMMYFUNCTION("""COMPUTED_VALUE"""),78.91)</f>
        <v>78.91</v>
      </c>
      <c r="O242" s="3">
        <f>IFERROR(__xludf.DUMMYFUNCTION("""COMPUTED_VALUE"""),15.97)</f>
        <v>15.97</v>
      </c>
      <c r="P242" s="3">
        <f>IFERROR(__xludf.DUMMYFUNCTION("""COMPUTED_VALUE"""),530.94)</f>
        <v>530.94</v>
      </c>
      <c r="Q242" s="3">
        <f>IFERROR(__xludf.DUMMYFUNCTION("""COMPUTED_VALUE"""),48.42)</f>
        <v>48.42</v>
      </c>
      <c r="R242" s="3">
        <f>IFERROR(__xludf.DUMMYFUNCTION("""COMPUTED_VALUE"""),119.12)</f>
        <v>119.12</v>
      </c>
      <c r="S242" s="3">
        <f>IFERROR(__xludf.DUMMYFUNCTION("""COMPUTED_VALUE"""),102.18)</f>
        <v>102.18</v>
      </c>
      <c r="T242" s="3">
        <f>IFERROR(__xludf.DUMMYFUNCTION("""COMPUTED_VALUE"""),60.49)</f>
        <v>60.49</v>
      </c>
      <c r="U242" s="3">
        <f>IFERROR(__xludf.DUMMYFUNCTION("""COMPUTED_VALUE"""),307.06)</f>
        <v>307.06</v>
      </c>
      <c r="V242" s="3">
        <f>IFERROR(__xludf.DUMMYFUNCTION("""COMPUTED_VALUE"""),45.32)</f>
        <v>45.32</v>
      </c>
      <c r="W242" s="3">
        <f>IFERROR(__xludf.DUMMYFUNCTION("""COMPUTED_VALUE"""),212.41)</f>
        <v>212.41</v>
      </c>
      <c r="X242" s="3">
        <f>IFERROR(__xludf.DUMMYFUNCTION("""COMPUTED_VALUE"""),140.1)</f>
        <v>140.1</v>
      </c>
      <c r="Y242" s="1">
        <f>IFERROR(__xludf.DUMMYFUNCTION("""COMPUTED_VALUE"""),334.82)</f>
        <v>334.82</v>
      </c>
      <c r="Z242" s="1">
        <f>IFERROR(__xludf.DUMMYFUNCTION("""COMPUTED_VALUE"""),37.34)</f>
        <v>37.34</v>
      </c>
      <c r="AA242" s="1">
        <f>IFERROR(__xludf.DUMMYFUNCTION("""COMPUTED_VALUE"""),71.79)</f>
        <v>71.79</v>
      </c>
      <c r="AB242" s="1">
        <f>IFERROR(__xludf.DUMMYFUNCTION("""COMPUTED_VALUE"""),111.13)</f>
        <v>111.13</v>
      </c>
      <c r="AC242" s="1">
        <f>IFERROR(__xludf.DUMMYFUNCTION("""COMPUTED_VALUE"""),160.35)</f>
        <v>160.35</v>
      </c>
      <c r="AD242" s="3">
        <f>IFERROR(__xludf.DUMMYFUNCTION("""COMPUTED_VALUE"""),80.17)</f>
        <v>80.17</v>
      </c>
      <c r="AE242" s="1">
        <f>IFERROR(__xludf.DUMMYFUNCTION("""COMPUTED_VALUE"""),490.64)</f>
        <v>490.64</v>
      </c>
      <c r="AF242" s="1">
        <f>IFERROR(__xludf.DUMMYFUNCTION("""COMPUTED_VALUE"""),66.32)</f>
        <v>66.32</v>
      </c>
      <c r="AG242" s="1">
        <f>IFERROR(__xludf.DUMMYFUNCTION("""COMPUTED_VALUE"""),108.63)</f>
        <v>108.63</v>
      </c>
      <c r="AH242" s="1">
        <f>IFERROR(__xludf.DUMMYFUNCTION("""COMPUTED_VALUE"""),211.5)</f>
        <v>211.5</v>
      </c>
      <c r="AI242" s="1">
        <f>IFERROR(__xludf.DUMMYFUNCTION("""COMPUTED_VALUE"""),458.2)</f>
        <v>458.2</v>
      </c>
      <c r="AJ242" s="1">
        <f>IFERROR(__xludf.DUMMYFUNCTION("""COMPUTED_VALUE"""),271.94)</f>
        <v>271.94</v>
      </c>
      <c r="AK242" s="1">
        <f>IFERROR(__xludf.DUMMYFUNCTION("""COMPUTED_VALUE"""),47.24)</f>
        <v>47.24</v>
      </c>
      <c r="AL242" s="1">
        <f>IFERROR(__xludf.DUMMYFUNCTION("""COMPUTED_VALUE"""),106.34)</f>
        <v>106.34</v>
      </c>
      <c r="AM242" s="1">
        <f>IFERROR(__xludf.DUMMYFUNCTION("""COMPUTED_VALUE"""),546.4)</f>
        <v>546.4</v>
      </c>
      <c r="AN242" s="1">
        <f>IFERROR(__xludf.DUMMYFUNCTION("""COMPUTED_VALUE"""),356.92)</f>
        <v>356.92</v>
      </c>
      <c r="AO242" s="1">
        <f>IFERROR(__xludf.DUMMYFUNCTION("""COMPUTED_VALUE"""),135.26)</f>
        <v>135.26</v>
      </c>
      <c r="AP242" s="1">
        <f>IFERROR(__xludf.DUMMYFUNCTION("""COMPUTED_VALUE"""),163.48)</f>
        <v>163.48</v>
      </c>
      <c r="AQ242" s="3">
        <f>IFERROR(__xludf.DUMMYFUNCTION("""COMPUTED_VALUE"""),514.01)</f>
        <v>514.01</v>
      </c>
      <c r="AR242" s="3">
        <f>IFERROR(__xludf.DUMMYFUNCTION("""COMPUTED_VALUE"""),243.22)</f>
        <v>243.22</v>
      </c>
      <c r="AS242" s="3">
        <f>IFERROR(__xludf.DUMMYFUNCTION("""COMPUTED_VALUE"""),476.29)</f>
        <v>476.29</v>
      </c>
      <c r="AT242" s="3">
        <f>IFERROR(__xludf.DUMMYFUNCTION("""COMPUTED_VALUE"""),268.52)</f>
        <v>268.52</v>
      </c>
      <c r="AU242" s="1">
        <f>IFERROR(__xludf.DUMMYFUNCTION("""COMPUTED_VALUE"""),30.5)</f>
        <v>30.5</v>
      </c>
      <c r="AV242" s="1">
        <f>IFERROR(__xludf.DUMMYFUNCTION("""COMPUTED_VALUE"""),84.04)</f>
        <v>84.04</v>
      </c>
      <c r="AW242" s="1">
        <f>IFERROR(__xludf.DUMMYFUNCTION("""COMPUTED_VALUE"""),75.94)</f>
        <v>75.94</v>
      </c>
      <c r="AX242" s="3">
        <f>IFERROR(__xludf.DUMMYFUNCTION("""COMPUTED_VALUE"""),24.85)</f>
        <v>24.85</v>
      </c>
      <c r="AY242" s="1">
        <f>IFERROR(__xludf.DUMMYFUNCTION("""COMPUTED_VALUE"""),391.16)</f>
        <v>391.16</v>
      </c>
      <c r="AZ242" s="3">
        <f>IFERROR(__xludf.DUMMYFUNCTION("""COMPUTED_VALUE"""),66.19)</f>
        <v>66.19</v>
      </c>
      <c r="BA242" s="3">
        <f>IFERROR(__xludf.DUMMYFUNCTION("""COMPUTED_VALUE"""),109.36)</f>
        <v>109.36</v>
      </c>
      <c r="BB242" s="3">
        <f>IFERROR(__xludf.DUMMYFUNCTION("""COMPUTED_VALUE"""),108.73)</f>
        <v>108.73</v>
      </c>
      <c r="BC242" s="1">
        <f>IFERROR(__xludf.DUMMYFUNCTION("""COMPUTED_VALUE"""),93.65)</f>
        <v>93.65</v>
      </c>
      <c r="BD242" s="1">
        <f>IFERROR(__xludf.DUMMYFUNCTION("""COMPUTED_VALUE"""),46.59)</f>
        <v>46.59</v>
      </c>
      <c r="BE242" s="3">
        <f>IFERROR(__xludf.DUMMYFUNCTION("""COMPUTED_VALUE"""),114.65)</f>
        <v>114.65</v>
      </c>
      <c r="BF242" s="1">
        <f>IFERROR(__xludf.DUMMYFUNCTION("""COMPUTED_VALUE"""),64.93)</f>
        <v>64.93</v>
      </c>
      <c r="BG242" s="1">
        <f>IFERROR(__xludf.DUMMYFUNCTION("""COMPUTED_VALUE"""),23.05)</f>
        <v>23.05</v>
      </c>
      <c r="BH242" s="1">
        <f>IFERROR(__xludf.DUMMYFUNCTION("""COMPUTED_VALUE"""),124.8)</f>
        <v>124.8</v>
      </c>
      <c r="BI242" s="3">
        <f>IFERROR(__xludf.DUMMYFUNCTION("""COMPUTED_VALUE"""),41.47)</f>
        <v>41.47</v>
      </c>
      <c r="BJ242" s="1">
        <f>IFERROR(__xludf.DUMMYFUNCTION("""COMPUTED_VALUE"""),236.77)</f>
        <v>236.77</v>
      </c>
      <c r="BK242" s="1">
        <f>IFERROR(__xludf.DUMMYFUNCTION("""COMPUTED_VALUE"""),421.34)</f>
        <v>421.34</v>
      </c>
      <c r="BL242" s="1">
        <f>IFERROR(__xludf.DUMMYFUNCTION("""COMPUTED_VALUE"""),193.13)</f>
        <v>193.13</v>
      </c>
      <c r="BM242" s="1">
        <f>IFERROR(__xludf.DUMMYFUNCTION("""COMPUTED_VALUE"""),90.19)</f>
        <v>90.19</v>
      </c>
      <c r="BN242" s="3">
        <f>IFERROR(__xludf.DUMMYFUNCTION("""COMPUTED_VALUE"""),5.79)</f>
        <v>5.79</v>
      </c>
      <c r="BO242" s="1">
        <f>IFERROR(__xludf.DUMMYFUNCTION("""COMPUTED_VALUE"""),212.61)</f>
        <v>212.61</v>
      </c>
      <c r="BP242" s="1">
        <f>IFERROR(__xludf.DUMMYFUNCTION("""COMPUTED_VALUE"""),420.0)</f>
        <v>420</v>
      </c>
      <c r="BQ242" s="36">
        <f>IFERROR(__xludf.DUMMYFUNCTION("""COMPUTED_VALUE"""),50.13)</f>
        <v>50.13</v>
      </c>
      <c r="BR242" s="1">
        <f>IFERROR(__xludf.DUMMYFUNCTION("""COMPUTED_VALUE"""),8.25)</f>
        <v>8.25</v>
      </c>
      <c r="BS242" s="3">
        <f>IFERROR(__xludf.DUMMYFUNCTION("""COMPUTED_VALUE"""),229.08)</f>
        <v>229.08</v>
      </c>
      <c r="BT242" s="1">
        <f>IFERROR(__xludf.DUMMYFUNCTION("""COMPUTED_VALUE"""),90.16)</f>
        <v>90.16</v>
      </c>
      <c r="BU242" s="3">
        <v>1.0</v>
      </c>
    </row>
    <row r="243">
      <c r="A243" s="25">
        <f>IFERROR(__xludf.DUMMYFUNCTION("""COMPUTED_VALUE"""),45776.66666666667)</f>
        <v>45776.66667</v>
      </c>
      <c r="B243" s="29">
        <f>'Master Scratch Work'!B242</f>
        <v>1296896.14</v>
      </c>
      <c r="C243" s="15">
        <f>IFERROR(__xludf.DUMMYFUNCTION("""COMPUTED_VALUE"""),5560.83)</f>
        <v>5560.83</v>
      </c>
      <c r="D243" s="15">
        <f>IFERROR(__xludf.DUMMYFUNCTION("""COMPUTED_VALUE"""),17461.32)</f>
        <v>17461.32</v>
      </c>
      <c r="E243" s="15">
        <f>IFERROR(__xludf.DUMMYFUNCTION("""COMPUTED_VALUE"""),40527.62)</f>
        <v>40527.62</v>
      </c>
      <c r="F243" s="15">
        <f>IFERROR(__xludf.DUMMYFUNCTION("""COMPUTED_VALUE"""),1976.52)</f>
        <v>1976.52</v>
      </c>
      <c r="G243" s="3">
        <f>IFERROR(__xludf.DUMMYFUNCTION("""COMPUTED_VALUE"""),554.32)</f>
        <v>554.32</v>
      </c>
      <c r="H243" s="3">
        <f>IFERROR(__xludf.DUMMYFUNCTION("""COMPUTED_VALUE"""),475.53)</f>
        <v>475.53</v>
      </c>
      <c r="I243" s="3">
        <f>IFERROR(__xludf.DUMMYFUNCTION("""COMPUTED_VALUE"""),370.98)</f>
        <v>370.98</v>
      </c>
      <c r="J243" s="3">
        <f>IFERROR(__xludf.DUMMYFUNCTION("""COMPUTED_VALUE"""),187.39)</f>
        <v>187.39</v>
      </c>
      <c r="K243" s="3">
        <f>IFERROR(__xludf.DUMMYFUNCTION("""COMPUTED_VALUE"""),145.86)</f>
        <v>145.86</v>
      </c>
      <c r="L243" s="3">
        <f>IFERROR(__xludf.DUMMYFUNCTION("""COMPUTED_VALUE"""),211.21)</f>
        <v>211.21</v>
      </c>
      <c r="M243" s="3">
        <f>IFERROR(__xludf.DUMMYFUNCTION("""COMPUTED_VALUE"""),149.55)</f>
        <v>149.55</v>
      </c>
      <c r="N243" s="3">
        <f>IFERROR(__xludf.DUMMYFUNCTION("""COMPUTED_VALUE"""),80.04)</f>
        <v>80.04</v>
      </c>
      <c r="O243" s="3">
        <f>IFERROR(__xludf.DUMMYFUNCTION("""COMPUTED_VALUE"""),16.13)</f>
        <v>16.13</v>
      </c>
      <c r="P243" s="3">
        <f>IFERROR(__xludf.DUMMYFUNCTION("""COMPUTED_VALUE"""),534.57)</f>
        <v>534.57</v>
      </c>
      <c r="Q243" s="3">
        <f>IFERROR(__xludf.DUMMYFUNCTION("""COMPUTED_VALUE"""),48.6)</f>
        <v>48.6</v>
      </c>
      <c r="R243" s="3">
        <f>IFERROR(__xludf.DUMMYFUNCTION("""COMPUTED_VALUE"""),120.17)</f>
        <v>120.17</v>
      </c>
      <c r="S243" s="3">
        <f>IFERROR(__xludf.DUMMYFUNCTION("""COMPUTED_VALUE"""),102.74)</f>
        <v>102.74</v>
      </c>
      <c r="T243" s="3">
        <f>IFERROR(__xludf.DUMMYFUNCTION("""COMPUTED_VALUE"""),60.82)</f>
        <v>60.82</v>
      </c>
      <c r="U243" s="3">
        <f>IFERROR(__xludf.DUMMYFUNCTION("""COMPUTED_VALUE"""),307.4)</f>
        <v>307.4</v>
      </c>
      <c r="V243" s="3">
        <f>IFERROR(__xludf.DUMMYFUNCTION("""COMPUTED_VALUE"""),45.42)</f>
        <v>45.42</v>
      </c>
      <c r="W243" s="3">
        <f>IFERROR(__xludf.DUMMYFUNCTION("""COMPUTED_VALUE"""),215.3)</f>
        <v>215.3</v>
      </c>
      <c r="X243" s="3">
        <f>IFERROR(__xludf.DUMMYFUNCTION("""COMPUTED_VALUE"""),139.3)</f>
        <v>139.3</v>
      </c>
      <c r="Y243" s="1">
        <f>IFERROR(__xludf.DUMMYFUNCTION("""COMPUTED_VALUE"""),337.21)</f>
        <v>337.21</v>
      </c>
      <c r="Z243" s="1">
        <f>IFERROR(__xludf.DUMMYFUNCTION("""COMPUTED_VALUE"""),37.55)</f>
        <v>37.55</v>
      </c>
      <c r="AA243" s="1">
        <f>IFERROR(__xludf.DUMMYFUNCTION("""COMPUTED_VALUE"""),72.35)</f>
        <v>72.35</v>
      </c>
      <c r="AB243" s="1">
        <f>IFERROR(__xludf.DUMMYFUNCTION("""COMPUTED_VALUE"""),112.13)</f>
        <v>112.13</v>
      </c>
      <c r="AC243" s="1">
        <f>IFERROR(__xludf.DUMMYFUNCTION("""COMPUTED_VALUE"""),159.87)</f>
        <v>159.87</v>
      </c>
      <c r="AD243" s="3">
        <f>IFERROR(__xludf.DUMMYFUNCTION("""COMPUTED_VALUE"""),80.89)</f>
        <v>80.89</v>
      </c>
      <c r="AE243" s="1">
        <f>IFERROR(__xludf.DUMMYFUNCTION("""COMPUTED_VALUE"""),493.43)</f>
        <v>493.43</v>
      </c>
      <c r="AF243" s="1">
        <f>IFERROR(__xludf.DUMMYFUNCTION("""COMPUTED_VALUE"""),67.2)</f>
        <v>67.2</v>
      </c>
      <c r="AG243" s="1">
        <f>IFERROR(__xludf.DUMMYFUNCTION("""COMPUTED_VALUE"""),108.36)</f>
        <v>108.36</v>
      </c>
      <c r="AH243" s="1">
        <f>IFERROR(__xludf.DUMMYFUNCTION("""COMPUTED_VALUE"""),209.85)</f>
        <v>209.85</v>
      </c>
      <c r="AI243" s="1">
        <f>IFERROR(__xludf.DUMMYFUNCTION("""COMPUTED_VALUE"""),462.74)</f>
        <v>462.74</v>
      </c>
      <c r="AJ243" s="1">
        <f>IFERROR(__xludf.DUMMYFUNCTION("""COMPUTED_VALUE"""),272.08)</f>
        <v>272.08</v>
      </c>
      <c r="AK243" s="1">
        <f>IFERROR(__xludf.DUMMYFUNCTION("""COMPUTED_VALUE"""),46.94)</f>
        <v>46.94</v>
      </c>
      <c r="AL243" s="1">
        <f>IFERROR(__xludf.DUMMYFUNCTION("""COMPUTED_VALUE"""),104.21)</f>
        <v>104.21</v>
      </c>
      <c r="AM243" s="1">
        <f>IFERROR(__xludf.DUMMYFUNCTION("""COMPUTED_VALUE"""),548.92)</f>
        <v>548.92</v>
      </c>
      <c r="AN243" s="1">
        <f>IFERROR(__xludf.DUMMYFUNCTION("""COMPUTED_VALUE"""),359.0)</f>
        <v>359</v>
      </c>
      <c r="AO243" s="1">
        <f>IFERROR(__xludf.DUMMYFUNCTION("""COMPUTED_VALUE"""),135.94)</f>
        <v>135.94</v>
      </c>
      <c r="AP243" s="1">
        <f>IFERROR(__xludf.DUMMYFUNCTION("""COMPUTED_VALUE"""),166.33)</f>
        <v>166.33</v>
      </c>
      <c r="AQ243" s="3">
        <f>IFERROR(__xludf.DUMMYFUNCTION("""COMPUTED_VALUE"""),514.89)</f>
        <v>514.89</v>
      </c>
      <c r="AR243" s="3">
        <f>IFERROR(__xludf.DUMMYFUNCTION("""COMPUTED_VALUE"""),244.62)</f>
        <v>244.62</v>
      </c>
      <c r="AS243" s="3">
        <f>IFERROR(__xludf.DUMMYFUNCTION("""COMPUTED_VALUE"""),475.88)</f>
        <v>475.88</v>
      </c>
      <c r="AT243" s="3">
        <f>IFERROR(__xludf.DUMMYFUNCTION("""COMPUTED_VALUE"""),271.27)</f>
        <v>271.27</v>
      </c>
      <c r="AU243" s="1">
        <f>IFERROR(__xludf.DUMMYFUNCTION("""COMPUTED_VALUE"""),30.71)</f>
        <v>30.71</v>
      </c>
      <c r="AV243" s="1">
        <f>IFERROR(__xludf.DUMMYFUNCTION("""COMPUTED_VALUE"""),84.6)</f>
        <v>84.6</v>
      </c>
      <c r="AW243" s="1">
        <f>IFERROR(__xludf.DUMMYFUNCTION("""COMPUTED_VALUE"""),76.42)</f>
        <v>76.42</v>
      </c>
      <c r="AX243" s="3">
        <f>IFERROR(__xludf.DUMMYFUNCTION("""COMPUTED_VALUE"""),24.58)</f>
        <v>24.58</v>
      </c>
      <c r="AY243" s="1">
        <f>IFERROR(__xludf.DUMMYFUNCTION("""COMPUTED_VALUE"""),394.04)</f>
        <v>394.04</v>
      </c>
      <c r="AZ243" s="3">
        <f>IFERROR(__xludf.DUMMYFUNCTION("""COMPUTED_VALUE"""),67.25)</f>
        <v>67.25</v>
      </c>
      <c r="BA243" s="3">
        <f>IFERROR(__xludf.DUMMYFUNCTION("""COMPUTED_VALUE"""),109.53)</f>
        <v>109.53</v>
      </c>
      <c r="BB243" s="3">
        <f>IFERROR(__xludf.DUMMYFUNCTION("""COMPUTED_VALUE"""),109.02)</f>
        <v>109.02</v>
      </c>
      <c r="BC243" s="1">
        <f>IFERROR(__xludf.DUMMYFUNCTION("""COMPUTED_VALUE"""),94.9)</f>
        <v>94.9</v>
      </c>
      <c r="BD243" s="1">
        <f>IFERROR(__xludf.DUMMYFUNCTION("""COMPUTED_VALUE"""),47.9)</f>
        <v>47.9</v>
      </c>
      <c r="BE243" s="3">
        <f>IFERROR(__xludf.DUMMYFUNCTION("""COMPUTED_VALUE"""),116.08)</f>
        <v>116.08</v>
      </c>
      <c r="BF243" s="1">
        <f>IFERROR(__xludf.DUMMYFUNCTION("""COMPUTED_VALUE"""),66.32)</f>
        <v>66.32</v>
      </c>
      <c r="BG243" s="1">
        <f>IFERROR(__xludf.DUMMYFUNCTION("""COMPUTED_VALUE"""),23.79)</f>
        <v>23.79</v>
      </c>
      <c r="BH243" s="1">
        <f>IFERROR(__xludf.DUMMYFUNCTION("""COMPUTED_VALUE"""),125.73)</f>
        <v>125.73</v>
      </c>
      <c r="BI243" s="3">
        <f>IFERROR(__xludf.DUMMYFUNCTION("""COMPUTED_VALUE"""),40.67)</f>
        <v>40.67</v>
      </c>
      <c r="BJ243" s="1">
        <f>IFERROR(__xludf.DUMMYFUNCTION("""COMPUTED_VALUE"""),241.59)</f>
        <v>241.59</v>
      </c>
      <c r="BK243" s="1">
        <f>IFERROR(__xludf.DUMMYFUNCTION("""COMPUTED_VALUE"""),427.53)</f>
        <v>427.53</v>
      </c>
      <c r="BL243" s="1">
        <f>IFERROR(__xludf.DUMMYFUNCTION("""COMPUTED_VALUE"""),195.39)</f>
        <v>195.39</v>
      </c>
      <c r="BM243" s="1">
        <f>IFERROR(__xludf.DUMMYFUNCTION("""COMPUTED_VALUE"""),92.43)</f>
        <v>92.43</v>
      </c>
      <c r="BN243" s="3">
        <f>IFERROR(__xludf.DUMMYFUNCTION("""COMPUTED_VALUE"""),5.81)</f>
        <v>5.81</v>
      </c>
      <c r="BO243" s="1">
        <f>IFERROR(__xludf.DUMMYFUNCTION("""COMPUTED_VALUE"""),214.54)</f>
        <v>214.54</v>
      </c>
      <c r="BP243" s="1">
        <f>IFERROR(__xludf.DUMMYFUNCTION("""COMPUTED_VALUE"""),409.23)</f>
        <v>409.23</v>
      </c>
      <c r="BQ243" s="36">
        <f>IFERROR(__xludf.DUMMYFUNCTION("""COMPUTED_VALUE"""),50.14)</f>
        <v>50.14</v>
      </c>
      <c r="BR243" s="1">
        <f>IFERROR(__xludf.DUMMYFUNCTION("""COMPUTED_VALUE"""),8.34)</f>
        <v>8.34</v>
      </c>
      <c r="BS243" s="3">
        <f>IFERROR(__xludf.DUMMYFUNCTION("""COMPUTED_VALUE"""),228.8)</f>
        <v>228.8</v>
      </c>
      <c r="BT243" s="1">
        <f>IFERROR(__xludf.DUMMYFUNCTION("""COMPUTED_VALUE"""),91.17)</f>
        <v>91.17</v>
      </c>
      <c r="BU243" s="3">
        <v>1.0</v>
      </c>
    </row>
    <row r="244">
      <c r="A244" s="25">
        <f>IFERROR(__xludf.DUMMYFUNCTION("""COMPUTED_VALUE"""),45777.66666666667)</f>
        <v>45777.66667</v>
      </c>
      <c r="B244" s="29">
        <f>'Master Scratch Work'!B243</f>
        <v>1299966.86</v>
      </c>
      <c r="C244" s="15">
        <f>IFERROR(__xludf.DUMMYFUNCTION("""COMPUTED_VALUE"""),5569.06)</f>
        <v>5569.06</v>
      </c>
      <c r="D244" s="15">
        <f>IFERROR(__xludf.DUMMYFUNCTION("""COMPUTED_VALUE"""),17446.34)</f>
        <v>17446.34</v>
      </c>
      <c r="E244" s="15">
        <f>IFERROR(__xludf.DUMMYFUNCTION("""COMPUTED_VALUE"""),40669.36)</f>
        <v>40669.36</v>
      </c>
      <c r="F244" s="15">
        <f>IFERROR(__xludf.DUMMYFUNCTION("""COMPUTED_VALUE"""),1964.12)</f>
        <v>1964.12</v>
      </c>
      <c r="G244" s="3">
        <f>IFERROR(__xludf.DUMMYFUNCTION("""COMPUTED_VALUE"""),554.54)</f>
        <v>554.54</v>
      </c>
      <c r="H244" s="3">
        <f>IFERROR(__xludf.DUMMYFUNCTION("""COMPUTED_VALUE"""),475.47)</f>
        <v>475.47</v>
      </c>
      <c r="I244" s="3">
        <f>IFERROR(__xludf.DUMMYFUNCTION("""COMPUTED_VALUE"""),374.98)</f>
        <v>374.98</v>
      </c>
      <c r="J244" s="3">
        <f>IFERROR(__xludf.DUMMYFUNCTION("""COMPUTED_VALUE"""),184.42)</f>
        <v>184.42</v>
      </c>
      <c r="K244" s="3">
        <f>IFERROR(__xludf.DUMMYFUNCTION("""COMPUTED_VALUE"""),147.01)</f>
        <v>147.01</v>
      </c>
      <c r="L244" s="3">
        <f>IFERROR(__xludf.DUMMYFUNCTION("""COMPUTED_VALUE"""),212.5)</f>
        <v>212.5</v>
      </c>
      <c r="M244" s="3">
        <f>IFERROR(__xludf.DUMMYFUNCTION("""COMPUTED_VALUE"""),150.71)</f>
        <v>150.71</v>
      </c>
      <c r="N244" s="3">
        <f>IFERROR(__xludf.DUMMYFUNCTION("""COMPUTED_VALUE"""),80.41)</f>
        <v>80.41</v>
      </c>
      <c r="O244" s="3">
        <f>IFERROR(__xludf.DUMMYFUNCTION("""COMPUTED_VALUE"""),16.06)</f>
        <v>16.06</v>
      </c>
      <c r="P244" s="3">
        <f>IFERROR(__xludf.DUMMYFUNCTION("""COMPUTED_VALUE"""),533.25)</f>
        <v>533.25</v>
      </c>
      <c r="Q244" s="3">
        <f>IFERROR(__xludf.DUMMYFUNCTION("""COMPUTED_VALUE"""),47.55)</f>
        <v>47.55</v>
      </c>
      <c r="R244" s="3">
        <f>IFERROR(__xludf.DUMMYFUNCTION("""COMPUTED_VALUE"""),121.08)</f>
        <v>121.08</v>
      </c>
      <c r="S244" s="3">
        <f>IFERROR(__xludf.DUMMYFUNCTION("""COMPUTED_VALUE"""),102.87)</f>
        <v>102.87</v>
      </c>
      <c r="T244" s="3">
        <f>IFERROR(__xludf.DUMMYFUNCTION("""COMPUTED_VALUE"""),62.54)</f>
        <v>62.54</v>
      </c>
      <c r="U244" s="3">
        <f>IFERROR(__xludf.DUMMYFUNCTION("""COMPUTED_VALUE"""),309.27)</f>
        <v>309.27</v>
      </c>
      <c r="V244" s="3">
        <f>IFERROR(__xludf.DUMMYFUNCTION("""COMPUTED_VALUE"""),45.15)</f>
        <v>45.15</v>
      </c>
      <c r="W244" s="3">
        <f>IFERROR(__xludf.DUMMYFUNCTION("""COMPUTED_VALUE"""),219.56)</f>
        <v>219.56</v>
      </c>
      <c r="X244" s="3">
        <f>IFERROR(__xludf.DUMMYFUNCTION("""COMPUTED_VALUE"""),136.06)</f>
        <v>136.06</v>
      </c>
      <c r="Y244" s="1">
        <f>IFERROR(__xludf.DUMMYFUNCTION("""COMPUTED_VALUE"""),340.04)</f>
        <v>340.04</v>
      </c>
      <c r="Z244" s="1">
        <f>IFERROR(__xludf.DUMMYFUNCTION("""COMPUTED_VALUE"""),36.89)</f>
        <v>36.89</v>
      </c>
      <c r="AA244" s="1">
        <f>IFERROR(__xludf.DUMMYFUNCTION("""COMPUTED_VALUE"""),72.55)</f>
        <v>72.55</v>
      </c>
      <c r="AB244" s="1">
        <f>IFERROR(__xludf.DUMMYFUNCTION("""COMPUTED_VALUE"""),112.75)</f>
        <v>112.75</v>
      </c>
      <c r="AC244" s="1">
        <f>IFERROR(__xludf.DUMMYFUNCTION("""COMPUTED_VALUE"""),160.54)</f>
        <v>160.54</v>
      </c>
      <c r="AD244" s="3">
        <f>IFERROR(__xludf.DUMMYFUNCTION("""COMPUTED_VALUE"""),81.77)</f>
        <v>81.77</v>
      </c>
      <c r="AE244" s="1">
        <f>IFERROR(__xludf.DUMMYFUNCTION("""COMPUTED_VALUE"""),490.37)</f>
        <v>490.37</v>
      </c>
      <c r="AF244" s="1">
        <f>IFERROR(__xludf.DUMMYFUNCTION("""COMPUTED_VALUE"""),68.16)</f>
        <v>68.16</v>
      </c>
      <c r="AG244" s="1">
        <f>IFERROR(__xludf.DUMMYFUNCTION("""COMPUTED_VALUE"""),105.63)</f>
        <v>105.63</v>
      </c>
      <c r="AH244" s="1">
        <f>IFERROR(__xludf.DUMMYFUNCTION("""COMPUTED_VALUE"""),210.33)</f>
        <v>210.33</v>
      </c>
      <c r="AI244" s="1">
        <f>IFERROR(__xludf.DUMMYFUNCTION("""COMPUTED_VALUE"""),461.78)</f>
        <v>461.78</v>
      </c>
      <c r="AJ244" s="1">
        <f>IFERROR(__xludf.DUMMYFUNCTION("""COMPUTED_VALUE"""),272.12)</f>
        <v>272.12</v>
      </c>
      <c r="AK244" s="1">
        <f>IFERROR(__xludf.DUMMYFUNCTION("""COMPUTED_VALUE"""),45.24)</f>
        <v>45.24</v>
      </c>
      <c r="AL244" s="1">
        <f>IFERROR(__xludf.DUMMYFUNCTION("""COMPUTED_VALUE"""),106.54)</f>
        <v>106.54</v>
      </c>
      <c r="AM244" s="1">
        <f>IFERROR(__xludf.DUMMYFUNCTION("""COMPUTED_VALUE"""),547.55)</f>
        <v>547.55</v>
      </c>
      <c r="AN244" s="1">
        <f>IFERROR(__xludf.DUMMYFUNCTION("""COMPUTED_VALUE"""),360.49)</f>
        <v>360.49</v>
      </c>
      <c r="AO244" s="1">
        <f>IFERROR(__xludf.DUMMYFUNCTION("""COMPUTED_VALUE"""),134.79)</f>
        <v>134.79</v>
      </c>
      <c r="AP244" s="1">
        <f>IFERROR(__xludf.DUMMYFUNCTION("""COMPUTED_VALUE"""),167.97)</f>
        <v>167.97</v>
      </c>
      <c r="AQ244" s="3">
        <f>IFERROR(__xludf.DUMMYFUNCTION("""COMPUTED_VALUE"""),515.8)</f>
        <v>515.8</v>
      </c>
      <c r="AR244" s="3">
        <f>IFERROR(__xludf.DUMMYFUNCTION("""COMPUTED_VALUE"""),244.62)</f>
        <v>244.62</v>
      </c>
      <c r="AS244" s="3">
        <f>IFERROR(__xludf.DUMMYFUNCTION("""COMPUTED_VALUE"""),477.75)</f>
        <v>477.75</v>
      </c>
      <c r="AT244" s="3">
        <f>IFERROR(__xludf.DUMMYFUNCTION("""COMPUTED_VALUE"""),270.77)</f>
        <v>270.77</v>
      </c>
      <c r="AU244" s="1">
        <f>IFERROR(__xludf.DUMMYFUNCTION("""COMPUTED_VALUE"""),30.62)</f>
        <v>30.62</v>
      </c>
      <c r="AV244" s="1">
        <f>IFERROR(__xludf.DUMMYFUNCTION("""COMPUTED_VALUE"""),84.76)</f>
        <v>84.76</v>
      </c>
      <c r="AW244" s="1">
        <f>IFERROR(__xludf.DUMMYFUNCTION("""COMPUTED_VALUE"""),75.37)</f>
        <v>75.37</v>
      </c>
      <c r="AX244" s="3">
        <f>IFERROR(__xludf.DUMMYFUNCTION("""COMPUTED_VALUE"""),24.46)</f>
        <v>24.46</v>
      </c>
      <c r="AY244" s="1">
        <f>IFERROR(__xludf.DUMMYFUNCTION("""COMPUTED_VALUE"""),395.26)</f>
        <v>395.26</v>
      </c>
      <c r="AZ244" s="3">
        <f>IFERROR(__xludf.DUMMYFUNCTION("""COMPUTED_VALUE"""),66.88)</f>
        <v>66.88</v>
      </c>
      <c r="BA244" s="3">
        <f>IFERROR(__xludf.DUMMYFUNCTION("""COMPUTED_VALUE"""),109.58)</f>
        <v>109.58</v>
      </c>
      <c r="BB244" s="3">
        <f>IFERROR(__xludf.DUMMYFUNCTION("""COMPUTED_VALUE"""),108.92)</f>
        <v>108.92</v>
      </c>
      <c r="BC244" s="1">
        <f>IFERROR(__xludf.DUMMYFUNCTION("""COMPUTED_VALUE"""),96.27)</f>
        <v>96.27</v>
      </c>
      <c r="BD244" s="1">
        <f>IFERROR(__xludf.DUMMYFUNCTION("""COMPUTED_VALUE"""),48.11)</f>
        <v>48.11</v>
      </c>
      <c r="BE244" s="3">
        <f>IFERROR(__xludf.DUMMYFUNCTION("""COMPUTED_VALUE"""),118.44)</f>
        <v>118.44</v>
      </c>
      <c r="BF244" s="1">
        <f>IFERROR(__xludf.DUMMYFUNCTION("""COMPUTED_VALUE"""),65.84)</f>
        <v>65.84</v>
      </c>
      <c r="BG244" s="1">
        <f>IFERROR(__xludf.DUMMYFUNCTION("""COMPUTED_VALUE"""),24.41)</f>
        <v>24.41</v>
      </c>
      <c r="BH244" s="1">
        <f>IFERROR(__xludf.DUMMYFUNCTION("""COMPUTED_VALUE"""),126.13)</f>
        <v>126.13</v>
      </c>
      <c r="BI244" s="3">
        <f>IFERROR(__xludf.DUMMYFUNCTION("""COMPUTED_VALUE"""),40.38)</f>
        <v>40.38</v>
      </c>
      <c r="BJ244" s="1">
        <f>IFERROR(__xludf.DUMMYFUNCTION("""COMPUTED_VALUE"""),246.95)</f>
        <v>246.95</v>
      </c>
      <c r="BK244" s="1">
        <f>IFERROR(__xludf.DUMMYFUNCTION("""COMPUTED_VALUE"""),429.0)</f>
        <v>429</v>
      </c>
      <c r="BL244" s="1">
        <f>IFERROR(__xludf.DUMMYFUNCTION("""COMPUTED_VALUE"""),191.22)</f>
        <v>191.22</v>
      </c>
      <c r="BM244" s="1">
        <f>IFERROR(__xludf.DUMMYFUNCTION("""COMPUTED_VALUE"""),92.01)</f>
        <v>92.01</v>
      </c>
      <c r="BN244" s="3">
        <f>IFERROR(__xludf.DUMMYFUNCTION("""COMPUTED_VALUE"""),5.72)</f>
        <v>5.72</v>
      </c>
      <c r="BO244" s="1">
        <f>IFERROR(__xludf.DUMMYFUNCTION("""COMPUTED_VALUE"""),215.66)</f>
        <v>215.66</v>
      </c>
      <c r="BP244" s="1">
        <f>IFERROR(__xludf.DUMMYFUNCTION("""COMPUTED_VALUE"""),411.44)</f>
        <v>411.44</v>
      </c>
      <c r="BQ244" s="36">
        <f>IFERROR(__xludf.DUMMYFUNCTION("""COMPUTED_VALUE"""),50.21)</f>
        <v>50.21</v>
      </c>
      <c r="BR244" s="1">
        <f>IFERROR(__xludf.DUMMYFUNCTION("""COMPUTED_VALUE"""),8.42)</f>
        <v>8.42</v>
      </c>
      <c r="BS244" s="3">
        <f>IFERROR(__xludf.DUMMYFUNCTION("""COMPUTED_VALUE"""),233.36)</f>
        <v>233.36</v>
      </c>
      <c r="BT244" s="1">
        <f>IFERROR(__xludf.DUMMYFUNCTION("""COMPUTED_VALUE"""),90.95)</f>
        <v>90.95</v>
      </c>
      <c r="BU244" s="3">
        <v>1.0</v>
      </c>
    </row>
    <row r="245">
      <c r="A245" s="25">
        <f>IFERROR(__xludf.DUMMYFUNCTION("""COMPUTED_VALUE"""),45778.66666666667)</f>
        <v>45778.66667</v>
      </c>
      <c r="B245" s="29">
        <f>'Master Scratch Work'!B244</f>
        <v>1303304.56</v>
      </c>
      <c r="C245" s="15">
        <f>IFERROR(__xludf.DUMMYFUNCTION("""COMPUTED_VALUE"""),5604.14)</f>
        <v>5604.14</v>
      </c>
      <c r="D245" s="15">
        <f>IFERROR(__xludf.DUMMYFUNCTION("""COMPUTED_VALUE"""),17710.74)</f>
        <v>17710.74</v>
      </c>
      <c r="E245" s="15">
        <f>IFERROR(__xludf.DUMMYFUNCTION("""COMPUTED_VALUE"""),40752.96)</f>
        <v>40752.96</v>
      </c>
      <c r="F245" s="15">
        <f>IFERROR(__xludf.DUMMYFUNCTION("""COMPUTED_VALUE"""),1975.86)</f>
        <v>1975.86</v>
      </c>
      <c r="G245" s="3">
        <f>IFERROR(__xludf.DUMMYFUNCTION("""COMPUTED_VALUE"""),558.47)</f>
        <v>558.47</v>
      </c>
      <c r="H245" s="3">
        <f>IFERROR(__xludf.DUMMYFUNCTION("""COMPUTED_VALUE"""),481.68)</f>
        <v>481.68</v>
      </c>
      <c r="I245" s="3">
        <f>IFERROR(__xludf.DUMMYFUNCTION("""COMPUTED_VALUE"""),374.63)</f>
        <v>374.63</v>
      </c>
      <c r="J245" s="3">
        <f>IFERROR(__xludf.DUMMYFUNCTION("""COMPUTED_VALUE"""),190.2)</f>
        <v>190.2</v>
      </c>
      <c r="K245" s="3">
        <f>IFERROR(__xludf.DUMMYFUNCTION("""COMPUTED_VALUE"""),146.43)</f>
        <v>146.43</v>
      </c>
      <c r="L245" s="3">
        <f>IFERROR(__xludf.DUMMYFUNCTION("""COMPUTED_VALUE"""),213.32)</f>
        <v>213.32</v>
      </c>
      <c r="M245" s="3">
        <f>IFERROR(__xludf.DUMMYFUNCTION("""COMPUTED_VALUE"""),148.96)</f>
        <v>148.96</v>
      </c>
      <c r="N245" s="3">
        <f>IFERROR(__xludf.DUMMYFUNCTION("""COMPUTED_VALUE"""),80.91)</f>
        <v>80.91</v>
      </c>
      <c r="O245" s="3">
        <f>IFERROR(__xludf.DUMMYFUNCTION("""COMPUTED_VALUE"""),15.82)</f>
        <v>15.82</v>
      </c>
      <c r="P245" s="3">
        <f>IFERROR(__xludf.DUMMYFUNCTION("""COMPUTED_VALUE"""),530.23)</f>
        <v>530.23</v>
      </c>
      <c r="Q245" s="3">
        <f>IFERROR(__xludf.DUMMYFUNCTION("""COMPUTED_VALUE"""),47.71)</f>
        <v>47.71</v>
      </c>
      <c r="R245" s="3">
        <f>IFERROR(__xludf.DUMMYFUNCTION("""COMPUTED_VALUE"""),120.93)</f>
        <v>120.93</v>
      </c>
      <c r="S245" s="3">
        <f>IFERROR(__xludf.DUMMYFUNCTION("""COMPUTED_VALUE"""),103.19)</f>
        <v>103.19</v>
      </c>
      <c r="T245" s="3">
        <f>IFERROR(__xludf.DUMMYFUNCTION("""COMPUTED_VALUE"""),69.8)</f>
        <v>69.8</v>
      </c>
      <c r="U245" s="3">
        <f>IFERROR(__xludf.DUMMYFUNCTION("""COMPUTED_VALUE"""),313.96)</f>
        <v>313.96</v>
      </c>
      <c r="V245" s="3">
        <f>IFERROR(__xludf.DUMMYFUNCTION("""COMPUTED_VALUE"""),45.51)</f>
        <v>45.51</v>
      </c>
      <c r="W245" s="3">
        <f>IFERROR(__xludf.DUMMYFUNCTION("""COMPUTED_VALUE"""),214.03)</f>
        <v>214.03</v>
      </c>
      <c r="X245" s="3">
        <f>IFERROR(__xludf.DUMMYFUNCTION("""COMPUTED_VALUE"""),136.26)</f>
        <v>136.26</v>
      </c>
      <c r="Y245" s="1">
        <f>IFERROR(__xludf.DUMMYFUNCTION("""COMPUTED_VALUE"""),335.18)</f>
        <v>335.18</v>
      </c>
      <c r="Z245" s="1">
        <f>IFERROR(__xludf.DUMMYFUNCTION("""COMPUTED_VALUE"""),37.29)</f>
        <v>37.29</v>
      </c>
      <c r="AA245" s="1">
        <f>IFERROR(__xludf.DUMMYFUNCTION("""COMPUTED_VALUE"""),71.29)</f>
        <v>71.29</v>
      </c>
      <c r="AB245" s="1">
        <f>IFERROR(__xludf.DUMMYFUNCTION("""COMPUTED_VALUE"""),112.56)</f>
        <v>112.56</v>
      </c>
      <c r="AC245" s="1">
        <f>IFERROR(__xludf.DUMMYFUNCTION("""COMPUTED_VALUE"""),161.88)</f>
        <v>161.88</v>
      </c>
      <c r="AD245" s="3">
        <f>IFERROR(__xludf.DUMMYFUNCTION("""COMPUTED_VALUE"""),81.27)</f>
        <v>81.27</v>
      </c>
      <c r="AE245" s="1">
        <f>IFERROR(__xludf.DUMMYFUNCTION("""COMPUTED_VALUE"""),481.39)</f>
        <v>481.39</v>
      </c>
      <c r="AF245" s="1">
        <f>IFERROR(__xludf.DUMMYFUNCTION("""COMPUTED_VALUE"""),67.67)</f>
        <v>67.67</v>
      </c>
      <c r="AG245" s="1">
        <f>IFERROR(__xludf.DUMMYFUNCTION("""COMPUTED_VALUE"""),105.78)</f>
        <v>105.78</v>
      </c>
      <c r="AH245" s="1">
        <f>IFERROR(__xludf.DUMMYFUNCTION("""COMPUTED_VALUE"""),210.06)</f>
        <v>210.06</v>
      </c>
      <c r="AI245" s="1">
        <f>IFERROR(__xludf.DUMMYFUNCTION("""COMPUTED_VALUE"""),460.12)</f>
        <v>460.12</v>
      </c>
      <c r="AJ245" s="1">
        <f>IFERROR(__xludf.DUMMYFUNCTION("""COMPUTED_VALUE"""),271.51)</f>
        <v>271.51</v>
      </c>
      <c r="AK245" s="1">
        <f>IFERROR(__xludf.DUMMYFUNCTION("""COMPUTED_VALUE"""),45.05)</f>
        <v>45.05</v>
      </c>
      <c r="AL245" s="1">
        <f>IFERROR(__xludf.DUMMYFUNCTION("""COMPUTED_VALUE"""),103.25)</f>
        <v>103.25</v>
      </c>
      <c r="AM245" s="1">
        <f>IFERROR(__xludf.DUMMYFUNCTION("""COMPUTED_VALUE"""),553.83)</f>
        <v>553.83</v>
      </c>
      <c r="AN245" s="1">
        <f>IFERROR(__xludf.DUMMYFUNCTION("""COMPUTED_VALUE"""),358.3)</f>
        <v>358.3</v>
      </c>
      <c r="AO245" s="1">
        <f>IFERROR(__xludf.DUMMYFUNCTION("""COMPUTED_VALUE"""),140.92)</f>
        <v>140.92</v>
      </c>
      <c r="AP245" s="1">
        <f>IFERROR(__xludf.DUMMYFUNCTION("""COMPUTED_VALUE"""),170.84)</f>
        <v>170.84</v>
      </c>
      <c r="AQ245" s="3">
        <f>IFERROR(__xludf.DUMMYFUNCTION("""COMPUTED_VALUE"""),517.18)</f>
        <v>517.18</v>
      </c>
      <c r="AR245" s="3">
        <f>IFERROR(__xludf.DUMMYFUNCTION("""COMPUTED_VALUE"""),246.89)</f>
        <v>246.89</v>
      </c>
      <c r="AS245" s="3">
        <f>IFERROR(__xludf.DUMMYFUNCTION("""COMPUTED_VALUE"""),477.72)</f>
        <v>477.72</v>
      </c>
      <c r="AT245" s="3">
        <f>IFERROR(__xludf.DUMMYFUNCTION("""COMPUTED_VALUE"""),268.6)</f>
        <v>268.6</v>
      </c>
      <c r="AU245" s="1">
        <f>IFERROR(__xludf.DUMMYFUNCTION("""COMPUTED_VALUE"""),30.84)</f>
        <v>30.84</v>
      </c>
      <c r="AV245" s="1">
        <f>IFERROR(__xludf.DUMMYFUNCTION("""COMPUTED_VALUE"""),83.56)</f>
        <v>83.56</v>
      </c>
      <c r="AW245" s="1">
        <f>IFERROR(__xludf.DUMMYFUNCTION("""COMPUTED_VALUE"""),75.77)</f>
        <v>75.77</v>
      </c>
      <c r="AX245" s="3">
        <f>IFERROR(__xludf.DUMMYFUNCTION("""COMPUTED_VALUE"""),24.34)</f>
        <v>24.34</v>
      </c>
      <c r="AY245" s="1">
        <f>IFERROR(__xludf.DUMMYFUNCTION("""COMPUTED_VALUE"""),425.4)</f>
        <v>425.4</v>
      </c>
      <c r="AZ245" s="3">
        <f>IFERROR(__xludf.DUMMYFUNCTION("""COMPUTED_VALUE"""),66.05)</f>
        <v>66.05</v>
      </c>
      <c r="BA245" s="3">
        <f>IFERROR(__xludf.DUMMYFUNCTION("""COMPUTED_VALUE"""),114.14)</f>
        <v>114.14</v>
      </c>
      <c r="BB245" s="3">
        <f>IFERROR(__xludf.DUMMYFUNCTION("""COMPUTED_VALUE"""),111.61)</f>
        <v>111.61</v>
      </c>
      <c r="BC245" s="1">
        <f>IFERROR(__xludf.DUMMYFUNCTION("""COMPUTED_VALUE"""),96.39)</f>
        <v>96.39</v>
      </c>
      <c r="BD245" s="1">
        <f>IFERROR(__xludf.DUMMYFUNCTION("""COMPUTED_VALUE"""),47.72)</f>
        <v>47.72</v>
      </c>
      <c r="BE245" s="3">
        <f>IFERROR(__xludf.DUMMYFUNCTION("""COMPUTED_VALUE"""),116.2)</f>
        <v>116.2</v>
      </c>
      <c r="BF245" s="1">
        <f>IFERROR(__xludf.DUMMYFUNCTION("""COMPUTED_VALUE"""),65.41)</f>
        <v>65.41</v>
      </c>
      <c r="BG245" s="1">
        <f>IFERROR(__xludf.DUMMYFUNCTION("""COMPUTED_VALUE"""),23.93)</f>
        <v>23.93</v>
      </c>
      <c r="BH245" s="1">
        <f>IFERROR(__xludf.DUMMYFUNCTION("""COMPUTED_VALUE"""),127.41)</f>
        <v>127.41</v>
      </c>
      <c r="BI245" s="3">
        <f>IFERROR(__xludf.DUMMYFUNCTION("""COMPUTED_VALUE"""),40.64)</f>
        <v>40.64</v>
      </c>
      <c r="BJ245" s="1">
        <f>IFERROR(__xludf.DUMMYFUNCTION("""COMPUTED_VALUE"""),247.0)</f>
        <v>247</v>
      </c>
      <c r="BK245" s="1">
        <f>IFERROR(__xludf.DUMMYFUNCTION("""COMPUTED_VALUE"""),419.89)</f>
        <v>419.89</v>
      </c>
      <c r="BL245" s="1">
        <f>IFERROR(__xludf.DUMMYFUNCTION("""COMPUTED_VALUE"""),190.58)</f>
        <v>190.58</v>
      </c>
      <c r="BM245" s="1">
        <f>IFERROR(__xludf.DUMMYFUNCTION("""COMPUTED_VALUE"""),90.45)</f>
        <v>90.45</v>
      </c>
      <c r="BN245" s="3">
        <f>IFERROR(__xludf.DUMMYFUNCTION("""COMPUTED_VALUE"""),5.8)</f>
        <v>5.8</v>
      </c>
      <c r="BO245" s="1">
        <f>IFERROR(__xludf.DUMMYFUNCTION("""COMPUTED_VALUE"""),214.08)</f>
        <v>214.08</v>
      </c>
      <c r="BP245" s="1">
        <f>IFERROR(__xludf.DUMMYFUNCTION("""COMPUTED_VALUE"""),400.68)</f>
        <v>400.68</v>
      </c>
      <c r="BQ245" s="36">
        <f>IFERROR(__xludf.DUMMYFUNCTION("""COMPUTED_VALUE"""),50.13)</f>
        <v>50.13</v>
      </c>
      <c r="BR245" s="1">
        <f>IFERROR(__xludf.DUMMYFUNCTION("""COMPUTED_VALUE"""),8.47)</f>
        <v>8.47</v>
      </c>
      <c r="BS245" s="3">
        <f>IFERROR(__xludf.DUMMYFUNCTION("""COMPUTED_VALUE"""),233.4)</f>
        <v>233.4</v>
      </c>
      <c r="BT245" s="1">
        <f>IFERROR(__xludf.DUMMYFUNCTION("""COMPUTED_VALUE"""),90.81)</f>
        <v>90.81</v>
      </c>
      <c r="BU245" s="3">
        <v>1.0</v>
      </c>
    </row>
    <row r="246">
      <c r="A246" s="25">
        <f>IFERROR(__xludf.DUMMYFUNCTION("""COMPUTED_VALUE"""),45779.66666666667)</f>
        <v>45779.66667</v>
      </c>
      <c r="B246" s="29">
        <f>'Master Scratch Work'!B245</f>
        <v>1320524.5</v>
      </c>
      <c r="C246" s="15">
        <f>IFERROR(__xludf.DUMMYFUNCTION("""COMPUTED_VALUE"""),5686.67)</f>
        <v>5686.67</v>
      </c>
      <c r="D246" s="15">
        <f>IFERROR(__xludf.DUMMYFUNCTION("""COMPUTED_VALUE"""),17977.73)</f>
        <v>17977.73</v>
      </c>
      <c r="E246" s="15">
        <f>IFERROR(__xludf.DUMMYFUNCTION("""COMPUTED_VALUE"""),41317.43)</f>
        <v>41317.43</v>
      </c>
      <c r="F246" s="15">
        <f>IFERROR(__xludf.DUMMYFUNCTION("""COMPUTED_VALUE"""),2020.74)</f>
        <v>2020.74</v>
      </c>
      <c r="G246" s="3">
        <f>IFERROR(__xludf.DUMMYFUNCTION("""COMPUTED_VALUE"""),566.76)</f>
        <v>566.76</v>
      </c>
      <c r="H246" s="3">
        <f>IFERROR(__xludf.DUMMYFUNCTION("""COMPUTED_VALUE"""),488.83)</f>
        <v>488.83</v>
      </c>
      <c r="I246" s="3">
        <f>IFERROR(__xludf.DUMMYFUNCTION("""COMPUTED_VALUE"""),380.87)</f>
        <v>380.87</v>
      </c>
      <c r="J246" s="3">
        <f>IFERROR(__xludf.DUMMYFUNCTION("""COMPUTED_VALUE"""),189.98)</f>
        <v>189.98</v>
      </c>
      <c r="K246" s="3">
        <f>IFERROR(__xludf.DUMMYFUNCTION("""COMPUTED_VALUE"""),147.11)</f>
        <v>147.11</v>
      </c>
      <c r="L246" s="3">
        <f>IFERROR(__xludf.DUMMYFUNCTION("""COMPUTED_VALUE"""),205.35)</f>
        <v>205.35</v>
      </c>
      <c r="M246" s="3">
        <f>IFERROR(__xludf.DUMMYFUNCTION("""COMPUTED_VALUE"""),155.1)</f>
        <v>155.1</v>
      </c>
      <c r="N246" s="3">
        <f>IFERROR(__xludf.DUMMYFUNCTION("""COMPUTED_VALUE"""),82.14)</f>
        <v>82.14</v>
      </c>
      <c r="O246" s="3">
        <f>IFERROR(__xludf.DUMMYFUNCTION("""COMPUTED_VALUE"""),16.25)</f>
        <v>16.25</v>
      </c>
      <c r="P246" s="3">
        <f>IFERROR(__xludf.DUMMYFUNCTION("""COMPUTED_VALUE"""),539.8)</f>
        <v>539.8</v>
      </c>
      <c r="Q246" s="3">
        <f>IFERROR(__xludf.DUMMYFUNCTION("""COMPUTED_VALUE"""),48.83)</f>
        <v>48.83</v>
      </c>
      <c r="R246" s="3">
        <f>IFERROR(__xludf.DUMMYFUNCTION("""COMPUTED_VALUE"""),123.53)</f>
        <v>123.53</v>
      </c>
      <c r="S246" s="3">
        <f>IFERROR(__xludf.DUMMYFUNCTION("""COMPUTED_VALUE"""),104.93)</f>
        <v>104.93</v>
      </c>
      <c r="T246" s="3">
        <f>IFERROR(__xludf.DUMMYFUNCTION("""COMPUTED_VALUE"""),71.53)</f>
        <v>71.53</v>
      </c>
      <c r="U246" s="3">
        <f>IFERROR(__xludf.DUMMYFUNCTION("""COMPUTED_VALUE"""),323.68)</f>
        <v>323.68</v>
      </c>
      <c r="V246" s="3">
        <f>IFERROR(__xludf.DUMMYFUNCTION("""COMPUTED_VALUE"""),47.01)</f>
        <v>47.01</v>
      </c>
      <c r="W246" s="3">
        <f>IFERROR(__xludf.DUMMYFUNCTION("""COMPUTED_VALUE"""),217.55)</f>
        <v>217.55</v>
      </c>
      <c r="X246" s="3">
        <f>IFERROR(__xludf.DUMMYFUNCTION("""COMPUTED_VALUE"""),138.5)</f>
        <v>138.5</v>
      </c>
      <c r="Y246" s="1">
        <f>IFERROR(__xludf.DUMMYFUNCTION("""COMPUTED_VALUE"""),334.75)</f>
        <v>334.75</v>
      </c>
      <c r="Z246" s="1">
        <f>IFERROR(__xludf.DUMMYFUNCTION("""COMPUTED_VALUE"""),38.65)</f>
        <v>38.65</v>
      </c>
      <c r="AA246" s="1">
        <f>IFERROR(__xludf.DUMMYFUNCTION("""COMPUTED_VALUE"""),71.65)</f>
        <v>71.65</v>
      </c>
      <c r="AB246" s="1">
        <f>IFERROR(__xludf.DUMMYFUNCTION("""COMPUTED_VALUE"""),110.03)</f>
        <v>110.03</v>
      </c>
      <c r="AC246" s="1">
        <f>IFERROR(__xludf.DUMMYFUNCTION("""COMPUTED_VALUE"""),164.55)</f>
        <v>164.55</v>
      </c>
      <c r="AD246" s="3">
        <f>IFERROR(__xludf.DUMMYFUNCTION("""COMPUTED_VALUE"""),84.29)</f>
        <v>84.29</v>
      </c>
      <c r="AE246" s="1">
        <f>IFERROR(__xludf.DUMMYFUNCTION("""COMPUTED_VALUE"""),484.61)</f>
        <v>484.61</v>
      </c>
      <c r="AF246" s="1">
        <f>IFERROR(__xludf.DUMMYFUNCTION("""COMPUTED_VALUE"""),68.6)</f>
        <v>68.6</v>
      </c>
      <c r="AG246" s="1">
        <f>IFERROR(__xludf.DUMMYFUNCTION("""COMPUTED_VALUE"""),106.21)</f>
        <v>106.21</v>
      </c>
      <c r="AH246" s="1">
        <f>IFERROR(__xludf.DUMMYFUNCTION("""COMPUTED_VALUE"""),219.72)</f>
        <v>219.72</v>
      </c>
      <c r="AI246" s="1">
        <f>IFERROR(__xludf.DUMMYFUNCTION("""COMPUTED_VALUE"""),462.84)</f>
        <v>462.84</v>
      </c>
      <c r="AJ246" s="1">
        <f>IFERROR(__xludf.DUMMYFUNCTION("""COMPUTED_VALUE"""),273.03)</f>
        <v>273.03</v>
      </c>
      <c r="AK246" s="1">
        <f>IFERROR(__xludf.DUMMYFUNCTION("""COMPUTED_VALUE"""),45.3)</f>
        <v>45.3</v>
      </c>
      <c r="AL246" s="1">
        <f>IFERROR(__xludf.DUMMYFUNCTION("""COMPUTED_VALUE"""),103.68)</f>
        <v>103.68</v>
      </c>
      <c r="AM246" s="1">
        <f>IFERROR(__xludf.DUMMYFUNCTION("""COMPUTED_VALUE"""),566.1)</f>
        <v>566.1</v>
      </c>
      <c r="AN246" s="1">
        <f>IFERROR(__xludf.DUMMYFUNCTION("""COMPUTED_VALUE"""),364.52)</f>
        <v>364.52</v>
      </c>
      <c r="AO246" s="1">
        <f>IFERROR(__xludf.DUMMYFUNCTION("""COMPUTED_VALUE"""),147.36)</f>
        <v>147.36</v>
      </c>
      <c r="AP246" s="1">
        <f>IFERROR(__xludf.DUMMYFUNCTION("""COMPUTED_VALUE"""),173.45)</f>
        <v>173.45</v>
      </c>
      <c r="AQ246" s="3">
        <f>IFERROR(__xludf.DUMMYFUNCTION("""COMPUTED_VALUE"""),529.42)</f>
        <v>529.42</v>
      </c>
      <c r="AR246" s="3">
        <f>IFERROR(__xludf.DUMMYFUNCTION("""COMPUTED_VALUE"""),252.51)</f>
        <v>252.51</v>
      </c>
      <c r="AS246" s="3">
        <f>IFERROR(__xludf.DUMMYFUNCTION("""COMPUTED_VALUE"""),472.8)</f>
        <v>472.8</v>
      </c>
      <c r="AT246" s="3">
        <f>IFERROR(__xludf.DUMMYFUNCTION("""COMPUTED_VALUE"""),277.36)</f>
        <v>277.36</v>
      </c>
      <c r="AU246" s="1">
        <f>IFERROR(__xludf.DUMMYFUNCTION("""COMPUTED_VALUE"""),31.57)</f>
        <v>31.57</v>
      </c>
      <c r="AV246" s="1">
        <f>IFERROR(__xludf.DUMMYFUNCTION("""COMPUTED_VALUE"""),84.85)</f>
        <v>84.85</v>
      </c>
      <c r="AW246" s="1">
        <f>IFERROR(__xludf.DUMMYFUNCTION("""COMPUTED_VALUE"""),77.81)</f>
        <v>77.81</v>
      </c>
      <c r="AX246" s="3">
        <f>IFERROR(__xludf.DUMMYFUNCTION("""COMPUTED_VALUE"""),25.01)</f>
        <v>25.01</v>
      </c>
      <c r="AY246" s="1">
        <f>IFERROR(__xludf.DUMMYFUNCTION("""COMPUTED_VALUE"""),435.28)</f>
        <v>435.28</v>
      </c>
      <c r="AZ246" s="3">
        <f>IFERROR(__xludf.DUMMYFUNCTION("""COMPUTED_VALUE"""),67.09)</f>
        <v>67.09</v>
      </c>
      <c r="BA246" s="3">
        <f>IFERROR(__xludf.DUMMYFUNCTION("""COMPUTED_VALUE"""),116.64)</f>
        <v>116.64</v>
      </c>
      <c r="BB246" s="3">
        <f>IFERROR(__xludf.DUMMYFUNCTION("""COMPUTED_VALUE"""),114.5)</f>
        <v>114.5</v>
      </c>
      <c r="BC246" s="1">
        <f>IFERROR(__xludf.DUMMYFUNCTION("""COMPUTED_VALUE"""),97.32)</f>
        <v>97.32</v>
      </c>
      <c r="BD246" s="1">
        <f>IFERROR(__xludf.DUMMYFUNCTION("""COMPUTED_VALUE"""),48.91)</f>
        <v>48.91</v>
      </c>
      <c r="BE246" s="3">
        <f>IFERROR(__xludf.DUMMYFUNCTION("""COMPUTED_VALUE"""),124.28)</f>
        <v>124.28</v>
      </c>
      <c r="BF246" s="1">
        <f>IFERROR(__xludf.DUMMYFUNCTION("""COMPUTED_VALUE"""),67.24)</f>
        <v>67.24</v>
      </c>
      <c r="BG246" s="1">
        <f>IFERROR(__xludf.DUMMYFUNCTION("""COMPUTED_VALUE"""),24.2)</f>
        <v>24.2</v>
      </c>
      <c r="BH246" s="1">
        <f>IFERROR(__xludf.DUMMYFUNCTION("""COMPUTED_VALUE"""),130.21)</f>
        <v>130.21</v>
      </c>
      <c r="BI246" s="3">
        <f>IFERROR(__xludf.DUMMYFUNCTION("""COMPUTED_VALUE"""),40.72)</f>
        <v>40.72</v>
      </c>
      <c r="BJ246" s="1">
        <f>IFERROR(__xludf.DUMMYFUNCTION("""COMPUTED_VALUE"""),248.88)</f>
        <v>248.88</v>
      </c>
      <c r="BK246" s="1">
        <f>IFERROR(__xludf.DUMMYFUNCTION("""COMPUTED_VALUE"""),423.55)</f>
        <v>423.55</v>
      </c>
      <c r="BL246" s="1">
        <f>IFERROR(__xludf.DUMMYFUNCTION("""COMPUTED_VALUE"""),192.24)</f>
        <v>192.24</v>
      </c>
      <c r="BM246" s="1">
        <f>IFERROR(__xludf.DUMMYFUNCTION("""COMPUTED_VALUE"""),89.98)</f>
        <v>89.98</v>
      </c>
      <c r="BN246" s="3">
        <f>IFERROR(__xludf.DUMMYFUNCTION("""COMPUTED_VALUE"""),5.99)</f>
        <v>5.99</v>
      </c>
      <c r="BO246" s="1">
        <f>IFERROR(__xludf.DUMMYFUNCTION("""COMPUTED_VALUE"""),218.29)</f>
        <v>218.29</v>
      </c>
      <c r="BP246" s="1">
        <f>IFERROR(__xludf.DUMMYFUNCTION("""COMPUTED_VALUE"""),399.92)</f>
        <v>399.92</v>
      </c>
      <c r="BQ246" s="36">
        <f>IFERROR(__xludf.DUMMYFUNCTION("""COMPUTED_VALUE"""),49.96)</f>
        <v>49.96</v>
      </c>
      <c r="BR246" s="1">
        <f>IFERROR(__xludf.DUMMYFUNCTION("""COMPUTED_VALUE"""),8.65)</f>
        <v>8.65</v>
      </c>
      <c r="BS246" s="3">
        <f>IFERROR(__xludf.DUMMYFUNCTION("""COMPUTED_VALUE"""),233.94)</f>
        <v>233.94</v>
      </c>
      <c r="BT246" s="1">
        <f>IFERROR(__xludf.DUMMYFUNCTION("""COMPUTED_VALUE"""),92.49)</f>
        <v>92.49</v>
      </c>
      <c r="BU246" s="3">
        <v>1.0</v>
      </c>
    </row>
    <row r="247">
      <c r="A247" s="25">
        <f>IFERROR(__xludf.DUMMYFUNCTION("""COMPUTED_VALUE"""),45782.66666666667)</f>
        <v>45782.66667</v>
      </c>
      <c r="B247" s="29">
        <f>'Master Scratch Work'!B246</f>
        <v>1312957.47</v>
      </c>
      <c r="C247" s="15">
        <f>IFERROR(__xludf.DUMMYFUNCTION("""COMPUTED_VALUE"""),5650.38)</f>
        <v>5650.38</v>
      </c>
      <c r="D247" s="15">
        <f>IFERROR(__xludf.DUMMYFUNCTION("""COMPUTED_VALUE"""),17844.24)</f>
        <v>17844.24</v>
      </c>
      <c r="E247" s="15">
        <f>IFERROR(__xludf.DUMMYFUNCTION("""COMPUTED_VALUE"""),41218.83)</f>
        <v>41218.83</v>
      </c>
      <c r="F247" s="15">
        <f>IFERROR(__xludf.DUMMYFUNCTION("""COMPUTED_VALUE"""),2004.26)</f>
        <v>2004.26</v>
      </c>
      <c r="G247" s="3">
        <f>IFERROR(__xludf.DUMMYFUNCTION("""COMPUTED_VALUE"""),563.51)</f>
        <v>563.51</v>
      </c>
      <c r="H247" s="3">
        <f>IFERROR(__xludf.DUMMYFUNCTION("""COMPUTED_VALUE"""),485.93)</f>
        <v>485.93</v>
      </c>
      <c r="I247" s="3">
        <f>IFERROR(__xludf.DUMMYFUNCTION("""COMPUTED_VALUE"""),381.06)</f>
        <v>381.06</v>
      </c>
      <c r="J247" s="3">
        <f>IFERROR(__xludf.DUMMYFUNCTION("""COMPUTED_VALUE"""),186.35)</f>
        <v>186.35</v>
      </c>
      <c r="K247" s="3">
        <f>IFERROR(__xludf.DUMMYFUNCTION("""COMPUTED_VALUE"""),148.15)</f>
        <v>148.15</v>
      </c>
      <c r="L247" s="3">
        <f>IFERROR(__xludf.DUMMYFUNCTION("""COMPUTED_VALUE"""),198.89)</f>
        <v>198.89</v>
      </c>
      <c r="M247" s="3">
        <f>IFERROR(__xludf.DUMMYFUNCTION("""COMPUTED_VALUE"""),154.61)</f>
        <v>154.61</v>
      </c>
      <c r="N247" s="3">
        <f>IFERROR(__xludf.DUMMYFUNCTION("""COMPUTED_VALUE"""),82.18)</f>
        <v>82.18</v>
      </c>
      <c r="O247" s="3">
        <f>IFERROR(__xludf.DUMMYFUNCTION("""COMPUTED_VALUE"""),16.38)</f>
        <v>16.38</v>
      </c>
      <c r="P247" s="3">
        <f>IFERROR(__xludf.DUMMYFUNCTION("""COMPUTED_VALUE"""),512.15)</f>
        <v>512.15</v>
      </c>
      <c r="Q247" s="3">
        <f>IFERROR(__xludf.DUMMYFUNCTION("""COMPUTED_VALUE"""),48.62)</f>
        <v>48.62</v>
      </c>
      <c r="R247" s="3">
        <f>IFERROR(__xludf.DUMMYFUNCTION("""COMPUTED_VALUE"""),121.8)</f>
        <v>121.8</v>
      </c>
      <c r="S247" s="3">
        <f>IFERROR(__xludf.DUMMYFUNCTION("""COMPUTED_VALUE"""),104.24)</f>
        <v>104.24</v>
      </c>
      <c r="T247" s="3">
        <f>IFERROR(__xludf.DUMMYFUNCTION("""COMPUTED_VALUE"""),70.81)</f>
        <v>70.81</v>
      </c>
      <c r="U247" s="3">
        <f>IFERROR(__xludf.DUMMYFUNCTION("""COMPUTED_VALUE"""),323.11)</f>
        <v>323.11</v>
      </c>
      <c r="V247" s="3">
        <f>IFERROR(__xludf.DUMMYFUNCTION("""COMPUTED_VALUE"""),46.41)</f>
        <v>46.41</v>
      </c>
      <c r="W247" s="3">
        <f>IFERROR(__xludf.DUMMYFUNCTION("""COMPUTED_VALUE"""),220.16)</f>
        <v>220.16</v>
      </c>
      <c r="X247" s="3">
        <f>IFERROR(__xludf.DUMMYFUNCTION("""COMPUTED_VALUE"""),135.5)</f>
        <v>135.5</v>
      </c>
      <c r="Y247" s="1">
        <f>IFERROR(__xludf.DUMMYFUNCTION("""COMPUTED_VALUE"""),333.01)</f>
        <v>333.01</v>
      </c>
      <c r="Z247" s="1">
        <f>IFERROR(__xludf.DUMMYFUNCTION("""COMPUTED_VALUE"""),38.71)</f>
        <v>38.71</v>
      </c>
      <c r="AA247" s="1">
        <f>IFERROR(__xludf.DUMMYFUNCTION("""COMPUTED_VALUE"""),71.7)</f>
        <v>71.7</v>
      </c>
      <c r="AB247" s="1">
        <f>IFERROR(__xludf.DUMMYFUNCTION("""COMPUTED_VALUE"""),109.52)</f>
        <v>109.52</v>
      </c>
      <c r="AC247" s="1">
        <f>IFERROR(__xludf.DUMMYFUNCTION("""COMPUTED_VALUE"""),166.64)</f>
        <v>166.64</v>
      </c>
      <c r="AD247" s="3">
        <f>IFERROR(__xludf.DUMMYFUNCTION("""COMPUTED_VALUE"""),83.95)</f>
        <v>83.95</v>
      </c>
      <c r="AE247" s="1">
        <f>IFERROR(__xludf.DUMMYFUNCTION("""COMPUTED_VALUE"""),477.84)</f>
        <v>477.84</v>
      </c>
      <c r="AF247" s="1">
        <f>IFERROR(__xludf.DUMMYFUNCTION("""COMPUTED_VALUE"""),70.31)</f>
        <v>70.31</v>
      </c>
      <c r="AG247" s="1">
        <f>IFERROR(__xludf.DUMMYFUNCTION("""COMPUTED_VALUE"""),103.27)</f>
        <v>103.27</v>
      </c>
      <c r="AH247" s="1">
        <f>IFERROR(__xludf.DUMMYFUNCTION("""COMPUTED_VALUE"""),216.99)</f>
        <v>216.99</v>
      </c>
      <c r="AI247" s="1">
        <f>IFERROR(__xludf.DUMMYFUNCTION("""COMPUTED_VALUE"""),466.46)</f>
        <v>466.46</v>
      </c>
      <c r="AJ247" s="1">
        <f>IFERROR(__xludf.DUMMYFUNCTION("""COMPUTED_VALUE"""),272.14)</f>
        <v>272.14</v>
      </c>
      <c r="AK247" s="1">
        <f>IFERROR(__xludf.DUMMYFUNCTION("""COMPUTED_VALUE"""),45.38)</f>
        <v>45.38</v>
      </c>
      <c r="AL247" s="1">
        <f>IFERROR(__xludf.DUMMYFUNCTION("""COMPUTED_VALUE"""),102.81)</f>
        <v>102.81</v>
      </c>
      <c r="AM247" s="1">
        <f>IFERROR(__xludf.DUMMYFUNCTION("""COMPUTED_VALUE"""),559.56)</f>
        <v>559.56</v>
      </c>
      <c r="AN247" s="1">
        <f>IFERROR(__xludf.DUMMYFUNCTION("""COMPUTED_VALUE"""),361.73)</f>
        <v>361.73</v>
      </c>
      <c r="AO247" s="1">
        <f>IFERROR(__xludf.DUMMYFUNCTION("""COMPUTED_VALUE"""),148.31)</f>
        <v>148.31</v>
      </c>
      <c r="AP247" s="1">
        <f>IFERROR(__xludf.DUMMYFUNCTION("""COMPUTED_VALUE"""),173.98)</f>
        <v>173.98</v>
      </c>
      <c r="AQ247" s="3">
        <f>IFERROR(__xludf.DUMMYFUNCTION("""COMPUTED_VALUE"""),531.82)</f>
        <v>531.82</v>
      </c>
      <c r="AR247" s="3">
        <f>IFERROR(__xludf.DUMMYFUNCTION("""COMPUTED_VALUE"""),252.56)</f>
        <v>252.56</v>
      </c>
      <c r="AS247" s="3">
        <f>IFERROR(__xludf.DUMMYFUNCTION("""COMPUTED_VALUE"""),471.56)</f>
        <v>471.56</v>
      </c>
      <c r="AT247" s="3">
        <f>IFERROR(__xludf.DUMMYFUNCTION("""COMPUTED_VALUE"""),278.55)</f>
        <v>278.55</v>
      </c>
      <c r="AU247" s="1">
        <f>IFERROR(__xludf.DUMMYFUNCTION("""COMPUTED_VALUE"""),31.31)</f>
        <v>31.31</v>
      </c>
      <c r="AV247" s="1">
        <f>IFERROR(__xludf.DUMMYFUNCTION("""COMPUTED_VALUE"""),83.45)</f>
        <v>83.45</v>
      </c>
      <c r="AW247" s="1">
        <f>IFERROR(__xludf.DUMMYFUNCTION("""COMPUTED_VALUE"""),77.41)</f>
        <v>77.41</v>
      </c>
      <c r="AX247" s="3">
        <f>IFERROR(__xludf.DUMMYFUNCTION("""COMPUTED_VALUE"""),25.2)</f>
        <v>25.2</v>
      </c>
      <c r="AY247" s="1">
        <f>IFERROR(__xludf.DUMMYFUNCTION("""COMPUTED_VALUE"""),436.17)</f>
        <v>436.17</v>
      </c>
      <c r="AZ247" s="3">
        <f>IFERROR(__xludf.DUMMYFUNCTION("""COMPUTED_VALUE"""),66.1)</f>
        <v>66.1</v>
      </c>
      <c r="BA247" s="3">
        <f>IFERROR(__xludf.DUMMYFUNCTION("""COMPUTED_VALUE"""),116.23)</f>
        <v>116.23</v>
      </c>
      <c r="BB247" s="3">
        <f>IFERROR(__xludf.DUMMYFUNCTION("""COMPUTED_VALUE"""),113.82)</f>
        <v>113.82</v>
      </c>
      <c r="BC247" s="1">
        <f>IFERROR(__xludf.DUMMYFUNCTION("""COMPUTED_VALUE"""),97.41)</f>
        <v>97.41</v>
      </c>
      <c r="BD247" s="1">
        <f>IFERROR(__xludf.DUMMYFUNCTION("""COMPUTED_VALUE"""),48.89)</f>
        <v>48.89</v>
      </c>
      <c r="BE247" s="3">
        <f>IFERROR(__xludf.DUMMYFUNCTION("""COMPUTED_VALUE"""),123.77)</f>
        <v>123.77</v>
      </c>
      <c r="BF247" s="1">
        <f>IFERROR(__xludf.DUMMYFUNCTION("""COMPUTED_VALUE"""),68.54)</f>
        <v>68.54</v>
      </c>
      <c r="BG247" s="1">
        <f>IFERROR(__xludf.DUMMYFUNCTION("""COMPUTED_VALUE"""),23.87)</f>
        <v>23.87</v>
      </c>
      <c r="BH247" s="1">
        <f>IFERROR(__xludf.DUMMYFUNCTION("""COMPUTED_VALUE"""),128.59)</f>
        <v>128.59</v>
      </c>
      <c r="BI247" s="3">
        <f>IFERROR(__xludf.DUMMYFUNCTION("""COMPUTED_VALUE"""),39.8)</f>
        <v>39.8</v>
      </c>
      <c r="BJ247" s="1">
        <f>IFERROR(__xludf.DUMMYFUNCTION("""COMPUTED_VALUE"""),248.3)</f>
        <v>248.3</v>
      </c>
      <c r="BK247" s="1">
        <f>IFERROR(__xludf.DUMMYFUNCTION("""COMPUTED_VALUE"""),422.27)</f>
        <v>422.27</v>
      </c>
      <c r="BL247" s="1">
        <f>IFERROR(__xludf.DUMMYFUNCTION("""COMPUTED_VALUE"""),192.48)</f>
        <v>192.48</v>
      </c>
      <c r="BM247" s="1">
        <f>IFERROR(__xludf.DUMMYFUNCTION("""COMPUTED_VALUE"""),92.21)</f>
        <v>92.21</v>
      </c>
      <c r="BN247" s="3">
        <f>IFERROR(__xludf.DUMMYFUNCTION("""COMPUTED_VALUE"""),5.9)</f>
        <v>5.9</v>
      </c>
      <c r="BO247" s="1">
        <f>IFERROR(__xludf.DUMMYFUNCTION("""COMPUTED_VALUE"""),216.53)</f>
        <v>216.53</v>
      </c>
      <c r="BP247" s="1">
        <f>IFERROR(__xludf.DUMMYFUNCTION("""COMPUTED_VALUE"""),404.81)</f>
        <v>404.81</v>
      </c>
      <c r="BQ247" s="36">
        <f>IFERROR(__xludf.DUMMYFUNCTION("""COMPUTED_VALUE"""),49.95)</f>
        <v>49.95</v>
      </c>
      <c r="BR247" s="1">
        <f>IFERROR(__xludf.DUMMYFUNCTION("""COMPUTED_VALUE"""),8.59)</f>
        <v>8.59</v>
      </c>
      <c r="BS247" s="3">
        <f>IFERROR(__xludf.DUMMYFUNCTION("""COMPUTED_VALUE"""),234.79)</f>
        <v>234.79</v>
      </c>
      <c r="BT247" s="1">
        <f>IFERROR(__xludf.DUMMYFUNCTION("""COMPUTED_VALUE"""),92.11)</f>
        <v>92.11</v>
      </c>
      <c r="BU247" s="3">
        <v>1.0</v>
      </c>
    </row>
    <row r="248">
      <c r="A248" s="25">
        <f>IFERROR(__xludf.DUMMYFUNCTION("""COMPUTED_VALUE"""),45783.66666666667)</f>
        <v>45783.66667</v>
      </c>
      <c r="B248" s="29">
        <f>'Master Scratch Work'!B247</f>
        <v>1302112.59</v>
      </c>
      <c r="C248" s="15">
        <f>IFERROR(__xludf.DUMMYFUNCTION("""COMPUTED_VALUE"""),5606.91)</f>
        <v>5606.91</v>
      </c>
      <c r="D248" s="15">
        <f>IFERROR(__xludf.DUMMYFUNCTION("""COMPUTED_VALUE"""),17689.66)</f>
        <v>17689.66</v>
      </c>
      <c r="E248" s="15">
        <f>IFERROR(__xludf.DUMMYFUNCTION("""COMPUTED_VALUE"""),40829.0)</f>
        <v>40829</v>
      </c>
      <c r="F248" s="15">
        <f>IFERROR(__xludf.DUMMYFUNCTION("""COMPUTED_VALUE"""),1983.19)</f>
        <v>1983.19</v>
      </c>
      <c r="G248" s="3">
        <f>IFERROR(__xludf.DUMMYFUNCTION("""COMPUTED_VALUE"""),558.8)</f>
        <v>558.8</v>
      </c>
      <c r="H248" s="3">
        <f>IFERROR(__xludf.DUMMYFUNCTION("""COMPUTED_VALUE"""),481.41)</f>
        <v>481.41</v>
      </c>
      <c r="I248" s="3">
        <f>IFERROR(__xludf.DUMMYFUNCTION("""COMPUTED_VALUE"""),382.98)</f>
        <v>382.98</v>
      </c>
      <c r="J248" s="3">
        <f>IFERROR(__xludf.DUMMYFUNCTION("""COMPUTED_VALUE"""),185.01)</f>
        <v>185.01</v>
      </c>
      <c r="K248" s="3">
        <f>IFERROR(__xludf.DUMMYFUNCTION("""COMPUTED_VALUE"""),149.2)</f>
        <v>149.2</v>
      </c>
      <c r="L248" s="3">
        <f>IFERROR(__xludf.DUMMYFUNCTION("""COMPUTED_VALUE"""),198.51)</f>
        <v>198.51</v>
      </c>
      <c r="M248" s="3">
        <f>IFERROR(__xludf.DUMMYFUNCTION("""COMPUTED_VALUE"""),153.03)</f>
        <v>153.03</v>
      </c>
      <c r="N248" s="3">
        <f>IFERROR(__xludf.DUMMYFUNCTION("""COMPUTED_VALUE"""),82.91)</f>
        <v>82.91</v>
      </c>
      <c r="O248" s="3">
        <f>IFERROR(__xludf.DUMMYFUNCTION("""COMPUTED_VALUE"""),16.11)</f>
        <v>16.11</v>
      </c>
      <c r="P248" s="3">
        <f>IFERROR(__xludf.DUMMYFUNCTION("""COMPUTED_VALUE"""),512.33)</f>
        <v>512.33</v>
      </c>
      <c r="Q248" s="3">
        <f>IFERROR(__xludf.DUMMYFUNCTION("""COMPUTED_VALUE"""),48.83)</f>
        <v>48.83</v>
      </c>
      <c r="R248" s="3">
        <f>IFERROR(__xludf.DUMMYFUNCTION("""COMPUTED_VALUE"""),116.82)</f>
        <v>116.82</v>
      </c>
      <c r="S248" s="3">
        <f>IFERROR(__xludf.DUMMYFUNCTION("""COMPUTED_VALUE"""),104.12)</f>
        <v>104.12</v>
      </c>
      <c r="T248" s="3">
        <f>IFERROR(__xludf.DUMMYFUNCTION("""COMPUTED_VALUE"""),70.19)</f>
        <v>70.19</v>
      </c>
      <c r="U248" s="3">
        <f>IFERROR(__xludf.DUMMYFUNCTION("""COMPUTED_VALUE"""),320.89)</f>
        <v>320.89</v>
      </c>
      <c r="V248" s="3">
        <f>IFERROR(__xludf.DUMMYFUNCTION("""COMPUTED_VALUE"""),48.15)</f>
        <v>48.15</v>
      </c>
      <c r="W248" s="3">
        <f>IFERROR(__xludf.DUMMYFUNCTION("""COMPUTED_VALUE"""),220.84)</f>
        <v>220.84</v>
      </c>
      <c r="X248" s="3">
        <f>IFERROR(__xludf.DUMMYFUNCTION("""COMPUTED_VALUE"""),135.6)</f>
        <v>135.6</v>
      </c>
      <c r="Y248" s="1">
        <f>IFERROR(__xludf.DUMMYFUNCTION("""COMPUTED_VALUE"""),333.82)</f>
        <v>333.82</v>
      </c>
      <c r="Z248" s="1">
        <f>IFERROR(__xludf.DUMMYFUNCTION("""COMPUTED_VALUE"""),38.2)</f>
        <v>38.2</v>
      </c>
      <c r="AA248" s="1">
        <f>IFERROR(__xludf.DUMMYFUNCTION("""COMPUTED_VALUE"""),71.72)</f>
        <v>71.72</v>
      </c>
      <c r="AB248" s="1">
        <f>IFERROR(__xludf.DUMMYFUNCTION("""COMPUTED_VALUE"""),110.47)</f>
        <v>110.47</v>
      </c>
      <c r="AC248" s="1">
        <f>IFERROR(__xludf.DUMMYFUNCTION("""COMPUTED_VALUE"""),166.63)</f>
        <v>166.63</v>
      </c>
      <c r="AD248" s="3">
        <f>IFERROR(__xludf.DUMMYFUNCTION("""COMPUTED_VALUE"""),83.79)</f>
        <v>83.79</v>
      </c>
      <c r="AE248" s="1">
        <f>IFERROR(__xludf.DUMMYFUNCTION("""COMPUTED_VALUE"""),479.49)</f>
        <v>479.49</v>
      </c>
      <c r="AF248" s="1">
        <f>IFERROR(__xludf.DUMMYFUNCTION("""COMPUTED_VALUE"""),70.36)</f>
        <v>70.36</v>
      </c>
      <c r="AG248" s="1">
        <f>IFERROR(__xludf.DUMMYFUNCTION("""COMPUTED_VALUE"""),104.71)</f>
        <v>104.71</v>
      </c>
      <c r="AH248" s="1">
        <f>IFERROR(__xludf.DUMMYFUNCTION("""COMPUTED_VALUE"""),213.41)</f>
        <v>213.41</v>
      </c>
      <c r="AI248" s="1">
        <f>IFERROR(__xludf.DUMMYFUNCTION("""COMPUTED_VALUE"""),474.14)</f>
        <v>474.14</v>
      </c>
      <c r="AJ248" s="1">
        <f>IFERROR(__xludf.DUMMYFUNCTION("""COMPUTED_VALUE"""),270.61)</f>
        <v>270.61</v>
      </c>
      <c r="AK248" s="1">
        <f>IFERROR(__xludf.DUMMYFUNCTION("""COMPUTED_VALUE"""),45.46)</f>
        <v>45.46</v>
      </c>
      <c r="AL248" s="1">
        <f>IFERROR(__xludf.DUMMYFUNCTION("""COMPUTED_VALUE"""),97.88)</f>
        <v>97.88</v>
      </c>
      <c r="AM248" s="1">
        <f>IFERROR(__xludf.DUMMYFUNCTION("""COMPUTED_VALUE"""),549.36)</f>
        <v>549.36</v>
      </c>
      <c r="AN248" s="1">
        <f>IFERROR(__xludf.DUMMYFUNCTION("""COMPUTED_VALUE"""),359.38)</f>
        <v>359.38</v>
      </c>
      <c r="AO248" s="1">
        <f>IFERROR(__xludf.DUMMYFUNCTION("""COMPUTED_VALUE"""),149.27)</f>
        <v>149.27</v>
      </c>
      <c r="AP248" s="1">
        <f>IFERROR(__xludf.DUMMYFUNCTION("""COMPUTED_VALUE"""),175.19)</f>
        <v>175.19</v>
      </c>
      <c r="AQ248" s="3">
        <f>IFERROR(__xludf.DUMMYFUNCTION("""COMPUTED_VALUE"""),530.46)</f>
        <v>530.46</v>
      </c>
      <c r="AR248" s="3">
        <f>IFERROR(__xludf.DUMMYFUNCTION("""COMPUTED_VALUE"""),249.25)</f>
        <v>249.25</v>
      </c>
      <c r="AS248" s="3">
        <f>IFERROR(__xludf.DUMMYFUNCTION("""COMPUTED_VALUE"""),468.21)</f>
        <v>468.21</v>
      </c>
      <c r="AT248" s="3">
        <f>IFERROR(__xludf.DUMMYFUNCTION("""COMPUTED_VALUE"""),270.8)</f>
        <v>270.8</v>
      </c>
      <c r="AU248" s="1">
        <f>IFERROR(__xludf.DUMMYFUNCTION("""COMPUTED_VALUE"""),31.29)</f>
        <v>31.29</v>
      </c>
      <c r="AV248" s="1">
        <f>IFERROR(__xludf.DUMMYFUNCTION("""COMPUTED_VALUE"""),82.32)</f>
        <v>82.32</v>
      </c>
      <c r="AW248" s="1">
        <f>IFERROR(__xludf.DUMMYFUNCTION("""COMPUTED_VALUE"""),76.42)</f>
        <v>76.42</v>
      </c>
      <c r="AX248" s="3">
        <f>IFERROR(__xludf.DUMMYFUNCTION("""COMPUTED_VALUE"""),24.69)</f>
        <v>24.69</v>
      </c>
      <c r="AY248" s="1">
        <f>IFERROR(__xludf.DUMMYFUNCTION("""COMPUTED_VALUE"""),433.31)</f>
        <v>433.31</v>
      </c>
      <c r="AZ248" s="3">
        <f>IFERROR(__xludf.DUMMYFUNCTION("""COMPUTED_VALUE"""),66.54)</f>
        <v>66.54</v>
      </c>
      <c r="BA248" s="3">
        <f>IFERROR(__xludf.DUMMYFUNCTION("""COMPUTED_VALUE"""),117.01)</f>
        <v>117.01</v>
      </c>
      <c r="BB248" s="3">
        <f>IFERROR(__xludf.DUMMYFUNCTION("""COMPUTED_VALUE"""),113.54)</f>
        <v>113.54</v>
      </c>
      <c r="BC248" s="1">
        <f>IFERROR(__xludf.DUMMYFUNCTION("""COMPUTED_VALUE"""),96.19)</f>
        <v>96.19</v>
      </c>
      <c r="BD248" s="1">
        <f>IFERROR(__xludf.DUMMYFUNCTION("""COMPUTED_VALUE"""),48.2)</f>
        <v>48.2</v>
      </c>
      <c r="BE248" s="3">
        <f>IFERROR(__xludf.DUMMYFUNCTION("""COMPUTED_VALUE"""),108.86)</f>
        <v>108.86</v>
      </c>
      <c r="BF248" s="1">
        <f>IFERROR(__xludf.DUMMYFUNCTION("""COMPUTED_VALUE"""),68.05)</f>
        <v>68.05</v>
      </c>
      <c r="BG248" s="1">
        <f>IFERROR(__xludf.DUMMYFUNCTION("""COMPUTED_VALUE"""),22.88)</f>
        <v>22.88</v>
      </c>
      <c r="BH248" s="1">
        <f>IFERROR(__xludf.DUMMYFUNCTION("""COMPUTED_VALUE"""),128.16)</f>
        <v>128.16</v>
      </c>
      <c r="BI248" s="3">
        <f>IFERROR(__xludf.DUMMYFUNCTION("""COMPUTED_VALUE"""),37.44)</f>
        <v>37.44</v>
      </c>
      <c r="BJ248" s="1">
        <f>IFERROR(__xludf.DUMMYFUNCTION("""COMPUTED_VALUE"""),253.8)</f>
        <v>253.8</v>
      </c>
      <c r="BK248" s="1">
        <f>IFERROR(__xludf.DUMMYFUNCTION("""COMPUTED_VALUE"""),407.02)</f>
        <v>407.02</v>
      </c>
      <c r="BL248" s="1">
        <f>IFERROR(__xludf.DUMMYFUNCTION("""COMPUTED_VALUE"""),192.43)</f>
        <v>192.43</v>
      </c>
      <c r="BM248" s="1">
        <f>IFERROR(__xludf.DUMMYFUNCTION("""COMPUTED_VALUE"""),93.38)</f>
        <v>93.38</v>
      </c>
      <c r="BN248" s="3">
        <f>IFERROR(__xludf.DUMMYFUNCTION("""COMPUTED_VALUE"""),5.7)</f>
        <v>5.7</v>
      </c>
      <c r="BO248" s="1">
        <f>IFERROR(__xludf.DUMMYFUNCTION("""COMPUTED_VALUE"""),213.2)</f>
        <v>213.2</v>
      </c>
      <c r="BP248" s="1">
        <f>IFERROR(__xludf.DUMMYFUNCTION("""COMPUTED_VALUE"""),394.51)</f>
        <v>394.51</v>
      </c>
      <c r="BQ248" s="36">
        <f>IFERROR(__xludf.DUMMYFUNCTION("""COMPUTED_VALUE"""),50.02)</f>
        <v>50.02</v>
      </c>
      <c r="BR248" s="1">
        <f>IFERROR(__xludf.DUMMYFUNCTION("""COMPUTED_VALUE"""),8.48)</f>
        <v>8.48</v>
      </c>
      <c r="BS248" s="3">
        <f>IFERROR(__xludf.DUMMYFUNCTION("""COMPUTED_VALUE"""),234.07)</f>
        <v>234.07</v>
      </c>
      <c r="BT248" s="1">
        <f>IFERROR(__xludf.DUMMYFUNCTION("""COMPUTED_VALUE"""),92.17)</f>
        <v>92.17</v>
      </c>
      <c r="BU248" s="3">
        <v>1.0</v>
      </c>
    </row>
    <row r="249">
      <c r="A249" s="25">
        <f>IFERROR(__xludf.DUMMYFUNCTION("""COMPUTED_VALUE"""),45784.66666666667)</f>
        <v>45784.66667</v>
      </c>
      <c r="B249" s="29">
        <f>'Master Scratch Work'!B248</f>
        <v>1309026.15</v>
      </c>
      <c r="C249" s="15">
        <f>IFERROR(__xludf.DUMMYFUNCTION("""COMPUTED_VALUE"""),5631.28)</f>
        <v>5631.28</v>
      </c>
      <c r="D249" s="15">
        <f>IFERROR(__xludf.DUMMYFUNCTION("""COMPUTED_VALUE"""),17738.16)</f>
        <v>17738.16</v>
      </c>
      <c r="E249" s="15">
        <f>IFERROR(__xludf.DUMMYFUNCTION("""COMPUTED_VALUE"""),41113.97)</f>
        <v>41113.97</v>
      </c>
      <c r="F249" s="15">
        <f>IFERROR(__xludf.DUMMYFUNCTION("""COMPUTED_VALUE"""),1989.66)</f>
        <v>1989.66</v>
      </c>
      <c r="G249" s="3">
        <f>IFERROR(__xludf.DUMMYFUNCTION("""COMPUTED_VALUE"""),561.15)</f>
        <v>561.15</v>
      </c>
      <c r="H249" s="3">
        <f>IFERROR(__xludf.DUMMYFUNCTION("""COMPUTED_VALUE"""),483.3)</f>
        <v>483.3</v>
      </c>
      <c r="I249" s="3">
        <f>IFERROR(__xludf.DUMMYFUNCTION("""COMPUTED_VALUE"""),384.97)</f>
        <v>384.97</v>
      </c>
      <c r="J249" s="3">
        <f>IFERROR(__xludf.DUMMYFUNCTION("""COMPUTED_VALUE"""),188.71)</f>
        <v>188.71</v>
      </c>
      <c r="K249" s="3">
        <f>IFERROR(__xludf.DUMMYFUNCTION("""COMPUTED_VALUE"""),148.08)</f>
        <v>148.08</v>
      </c>
      <c r="L249" s="3">
        <f>IFERROR(__xludf.DUMMYFUNCTION("""COMPUTED_VALUE"""),196.25)</f>
        <v>196.25</v>
      </c>
      <c r="M249" s="3">
        <f>IFERROR(__xludf.DUMMYFUNCTION("""COMPUTED_VALUE"""),155.81)</f>
        <v>155.81</v>
      </c>
      <c r="N249" s="3">
        <f>IFERROR(__xludf.DUMMYFUNCTION("""COMPUTED_VALUE"""),83.95)</f>
        <v>83.95</v>
      </c>
      <c r="O249" s="3">
        <f>IFERROR(__xludf.DUMMYFUNCTION("""COMPUTED_VALUE"""),15.95)</f>
        <v>15.95</v>
      </c>
      <c r="P249" s="3">
        <f>IFERROR(__xludf.DUMMYFUNCTION("""COMPUTED_VALUE"""),518.22)</f>
        <v>518.22</v>
      </c>
      <c r="Q249" s="3">
        <f>IFERROR(__xludf.DUMMYFUNCTION("""COMPUTED_VALUE"""),48.37)</f>
        <v>48.37</v>
      </c>
      <c r="R249" s="3">
        <f>IFERROR(__xludf.DUMMYFUNCTION("""COMPUTED_VALUE"""),117.21)</f>
        <v>117.21</v>
      </c>
      <c r="S249" s="3">
        <f>IFERROR(__xludf.DUMMYFUNCTION("""COMPUTED_VALUE"""),104.8)</f>
        <v>104.8</v>
      </c>
      <c r="T249" s="3">
        <f>IFERROR(__xludf.DUMMYFUNCTION("""COMPUTED_VALUE"""),69.99)</f>
        <v>69.99</v>
      </c>
      <c r="U249" s="3">
        <f>IFERROR(__xludf.DUMMYFUNCTION("""COMPUTED_VALUE"""),320.29)</f>
        <v>320.29</v>
      </c>
      <c r="V249" s="3">
        <f>IFERROR(__xludf.DUMMYFUNCTION("""COMPUTED_VALUE"""),49.74)</f>
        <v>49.74</v>
      </c>
      <c r="W249" s="3">
        <f>IFERROR(__xludf.DUMMYFUNCTION("""COMPUTED_VALUE"""),220.87)</f>
        <v>220.87</v>
      </c>
      <c r="X249" s="3">
        <f>IFERROR(__xludf.DUMMYFUNCTION("""COMPUTED_VALUE"""),135.79)</f>
        <v>135.79</v>
      </c>
      <c r="Y249" s="1">
        <f>IFERROR(__xludf.DUMMYFUNCTION("""COMPUTED_VALUE"""),334.44)</f>
        <v>334.44</v>
      </c>
      <c r="Z249" s="1">
        <f>IFERROR(__xludf.DUMMYFUNCTION("""COMPUTED_VALUE"""),38.08)</f>
        <v>38.08</v>
      </c>
      <c r="AA249" s="1">
        <f>IFERROR(__xludf.DUMMYFUNCTION("""COMPUTED_VALUE"""),72.4)</f>
        <v>72.4</v>
      </c>
      <c r="AB249" s="1">
        <f>IFERROR(__xludf.DUMMYFUNCTION("""COMPUTED_VALUE"""),111.04)</f>
        <v>111.04</v>
      </c>
      <c r="AC249" s="1">
        <f>IFERROR(__xludf.DUMMYFUNCTION("""COMPUTED_VALUE"""),167.18)</f>
        <v>167.18</v>
      </c>
      <c r="AD249" s="3">
        <f>IFERROR(__xludf.DUMMYFUNCTION("""COMPUTED_VALUE"""),84.44)</f>
        <v>84.44</v>
      </c>
      <c r="AE249" s="1">
        <f>IFERROR(__xludf.DUMMYFUNCTION("""COMPUTED_VALUE"""),476.68)</f>
        <v>476.68</v>
      </c>
      <c r="AF249" s="1">
        <f>IFERROR(__xludf.DUMMYFUNCTION("""COMPUTED_VALUE"""),69.76)</f>
        <v>69.76</v>
      </c>
      <c r="AG249" s="1">
        <f>IFERROR(__xludf.DUMMYFUNCTION("""COMPUTED_VALUE"""),104.61)</f>
        <v>104.61</v>
      </c>
      <c r="AH249" s="1">
        <f>IFERROR(__xludf.DUMMYFUNCTION("""COMPUTED_VALUE"""),215.56)</f>
        <v>215.56</v>
      </c>
      <c r="AI249" s="1">
        <f>IFERROR(__xludf.DUMMYFUNCTION("""COMPUTED_VALUE"""),476.74)</f>
        <v>476.74</v>
      </c>
      <c r="AJ249" s="1">
        <f>IFERROR(__xludf.DUMMYFUNCTION("""COMPUTED_VALUE"""),269.45)</f>
        <v>269.45</v>
      </c>
      <c r="AK249" s="1">
        <f>IFERROR(__xludf.DUMMYFUNCTION("""COMPUTED_VALUE"""),45.47)</f>
        <v>45.47</v>
      </c>
      <c r="AL249" s="1">
        <f>IFERROR(__xludf.DUMMYFUNCTION("""COMPUTED_VALUE"""),98.9)</f>
        <v>98.9</v>
      </c>
      <c r="AM249" s="1">
        <f>IFERROR(__xludf.DUMMYFUNCTION("""COMPUTED_VALUE"""),551.92)</f>
        <v>551.92</v>
      </c>
      <c r="AN249" s="1">
        <f>IFERROR(__xludf.DUMMYFUNCTION("""COMPUTED_VALUE"""),362.75)</f>
        <v>362.75</v>
      </c>
      <c r="AO249" s="1">
        <f>IFERROR(__xludf.DUMMYFUNCTION("""COMPUTED_VALUE"""),150.79)</f>
        <v>150.79</v>
      </c>
      <c r="AP249" s="1">
        <f>IFERROR(__xludf.DUMMYFUNCTION("""COMPUTED_VALUE"""),176.53)</f>
        <v>176.53</v>
      </c>
      <c r="AQ249" s="3">
        <f>IFERROR(__xludf.DUMMYFUNCTION("""COMPUTED_VALUE"""),536.15)</f>
        <v>536.15</v>
      </c>
      <c r="AR249" s="3">
        <f>IFERROR(__xludf.DUMMYFUNCTION("""COMPUTED_VALUE"""),249.39)</f>
        <v>249.39</v>
      </c>
      <c r="AS249" s="3">
        <f>IFERROR(__xludf.DUMMYFUNCTION("""COMPUTED_VALUE"""),471.32)</f>
        <v>471.32</v>
      </c>
      <c r="AT249" s="3">
        <f>IFERROR(__xludf.DUMMYFUNCTION("""COMPUTED_VALUE"""),275.69)</f>
        <v>275.69</v>
      </c>
      <c r="AU249" s="1">
        <f>IFERROR(__xludf.DUMMYFUNCTION("""COMPUTED_VALUE"""),31.37)</f>
        <v>31.37</v>
      </c>
      <c r="AV249" s="1">
        <f>IFERROR(__xludf.DUMMYFUNCTION("""COMPUTED_VALUE"""),83.16)</f>
        <v>83.16</v>
      </c>
      <c r="AW249" s="1">
        <f>IFERROR(__xludf.DUMMYFUNCTION("""COMPUTED_VALUE"""),76.74)</f>
        <v>76.74</v>
      </c>
      <c r="AX249" s="3">
        <f>IFERROR(__xludf.DUMMYFUNCTION("""COMPUTED_VALUE"""),23.62)</f>
        <v>23.62</v>
      </c>
      <c r="AY249" s="1">
        <f>IFERROR(__xludf.DUMMYFUNCTION("""COMPUTED_VALUE"""),433.35)</f>
        <v>433.35</v>
      </c>
      <c r="AZ249" s="3">
        <f>IFERROR(__xludf.DUMMYFUNCTION("""COMPUTED_VALUE"""),67.36)</f>
        <v>67.36</v>
      </c>
      <c r="BA249" s="3">
        <f>IFERROR(__xludf.DUMMYFUNCTION("""COMPUTED_VALUE"""),118.67)</f>
        <v>118.67</v>
      </c>
      <c r="BB249" s="3">
        <f>IFERROR(__xludf.DUMMYFUNCTION("""COMPUTED_VALUE"""),117.06)</f>
        <v>117.06</v>
      </c>
      <c r="BC249" s="1">
        <f>IFERROR(__xludf.DUMMYFUNCTION("""COMPUTED_VALUE"""),97.32)</f>
        <v>97.32</v>
      </c>
      <c r="BD249" s="1">
        <f>IFERROR(__xludf.DUMMYFUNCTION("""COMPUTED_VALUE"""),48.53)</f>
        <v>48.53</v>
      </c>
      <c r="BE249" s="3">
        <f>IFERROR(__xludf.DUMMYFUNCTION("""COMPUTED_VALUE"""),110.48)</f>
        <v>110.48</v>
      </c>
      <c r="BF249" s="1">
        <f>IFERROR(__xludf.DUMMYFUNCTION("""COMPUTED_VALUE"""),68.69)</f>
        <v>68.69</v>
      </c>
      <c r="BG249" s="1">
        <f>IFERROR(__xludf.DUMMYFUNCTION("""COMPUTED_VALUE"""),22.79)</f>
        <v>22.79</v>
      </c>
      <c r="BH249" s="1">
        <f>IFERROR(__xludf.DUMMYFUNCTION("""COMPUTED_VALUE"""),127.5)</f>
        <v>127.5</v>
      </c>
      <c r="BI249" s="3">
        <f>IFERROR(__xludf.DUMMYFUNCTION("""COMPUTED_VALUE"""),37.66)</f>
        <v>37.66</v>
      </c>
      <c r="BJ249" s="1">
        <f>IFERROR(__xludf.DUMMYFUNCTION("""COMPUTED_VALUE"""),251.26)</f>
        <v>251.26</v>
      </c>
      <c r="BK249" s="1">
        <f>IFERROR(__xludf.DUMMYFUNCTION("""COMPUTED_VALUE"""),407.85)</f>
        <v>407.85</v>
      </c>
      <c r="BL249" s="1">
        <f>IFERROR(__xludf.DUMMYFUNCTION("""COMPUTED_VALUE"""),188.9)</f>
        <v>188.9</v>
      </c>
      <c r="BM249" s="1">
        <f>IFERROR(__xludf.DUMMYFUNCTION("""COMPUTED_VALUE"""),95.81)</f>
        <v>95.81</v>
      </c>
      <c r="BN249" s="3">
        <f>IFERROR(__xludf.DUMMYFUNCTION("""COMPUTED_VALUE"""),5.72)</f>
        <v>5.72</v>
      </c>
      <c r="BO249" s="1">
        <f>IFERROR(__xludf.DUMMYFUNCTION("""COMPUTED_VALUE"""),213.85)</f>
        <v>213.85</v>
      </c>
      <c r="BP249" s="1">
        <f>IFERROR(__xludf.DUMMYFUNCTION("""COMPUTED_VALUE"""),391.06)</f>
        <v>391.06</v>
      </c>
      <c r="BQ249" s="36">
        <f>IFERROR(__xludf.DUMMYFUNCTION("""COMPUTED_VALUE"""),50.05)</f>
        <v>50.05</v>
      </c>
      <c r="BR249" s="1">
        <f>IFERROR(__xludf.DUMMYFUNCTION("""COMPUTED_VALUE"""),8.6)</f>
        <v>8.6</v>
      </c>
      <c r="BS249" s="3">
        <f>IFERROR(__xludf.DUMMYFUNCTION("""COMPUTED_VALUE"""),235.51)</f>
        <v>235.51</v>
      </c>
      <c r="BT249" s="1">
        <f>IFERROR(__xludf.DUMMYFUNCTION("""COMPUTED_VALUE"""),102.09)</f>
        <v>102.09</v>
      </c>
      <c r="BU249" s="3">
        <v>1.0</v>
      </c>
    </row>
    <row r="250">
      <c r="A250" s="25">
        <f>IFERROR(__xludf.DUMMYFUNCTION("""COMPUTED_VALUE"""),45785.66666666667)</f>
        <v>45785.66667</v>
      </c>
      <c r="B250" s="29">
        <f>'Master Scratch Work'!B249</f>
        <v>1318148.71</v>
      </c>
      <c r="C250" s="15">
        <f>IFERROR(__xludf.DUMMYFUNCTION("""COMPUTED_VALUE"""),5663.94)</f>
        <v>5663.94</v>
      </c>
      <c r="D250" s="15">
        <f>IFERROR(__xludf.DUMMYFUNCTION("""COMPUTED_VALUE"""),17928.14)</f>
        <v>17928.14</v>
      </c>
      <c r="E250" s="15">
        <f>IFERROR(__xludf.DUMMYFUNCTION("""COMPUTED_VALUE"""),41368.45)</f>
        <v>41368.45</v>
      </c>
      <c r="F250" s="15">
        <f>IFERROR(__xludf.DUMMYFUNCTION("""COMPUTED_VALUE"""),2026.41)</f>
        <v>2026.41</v>
      </c>
      <c r="G250" s="3">
        <f>IFERROR(__xludf.DUMMYFUNCTION("""COMPUTED_VALUE"""),565.06)</f>
        <v>565.06</v>
      </c>
      <c r="H250" s="3">
        <f>IFERROR(__xludf.DUMMYFUNCTION("""COMPUTED_VALUE"""),488.29)</f>
        <v>488.29</v>
      </c>
      <c r="I250" s="3">
        <f>IFERROR(__xludf.DUMMYFUNCTION("""COMPUTED_VALUE"""),383.99)</f>
        <v>383.99</v>
      </c>
      <c r="J250" s="3">
        <f>IFERROR(__xludf.DUMMYFUNCTION("""COMPUTED_VALUE"""),192.08)</f>
        <v>192.08</v>
      </c>
      <c r="K250" s="3">
        <f>IFERROR(__xludf.DUMMYFUNCTION("""COMPUTED_VALUE"""),145.4)</f>
        <v>145.4</v>
      </c>
      <c r="L250" s="3">
        <f>IFERROR(__xludf.DUMMYFUNCTION("""COMPUTED_VALUE"""),197.49)</f>
        <v>197.49</v>
      </c>
      <c r="M250" s="3">
        <f>IFERROR(__xludf.DUMMYFUNCTION("""COMPUTED_VALUE"""),156.0)</f>
        <v>156</v>
      </c>
      <c r="N250" s="3">
        <f>IFERROR(__xludf.DUMMYFUNCTION("""COMPUTED_VALUE"""),85.5)</f>
        <v>85.5</v>
      </c>
      <c r="O250" s="3">
        <f>IFERROR(__xludf.DUMMYFUNCTION("""COMPUTED_VALUE"""),16.35)</f>
        <v>16.35</v>
      </c>
      <c r="P250" s="3">
        <f>IFERROR(__xludf.DUMMYFUNCTION("""COMPUTED_VALUE"""),513.25)</f>
        <v>513.25</v>
      </c>
      <c r="Q250" s="3">
        <f>IFERROR(__xludf.DUMMYFUNCTION("""COMPUTED_VALUE"""),48.17)</f>
        <v>48.17</v>
      </c>
      <c r="R250" s="3">
        <f>IFERROR(__xludf.DUMMYFUNCTION("""COMPUTED_VALUE"""),118.39)</f>
        <v>118.39</v>
      </c>
      <c r="S250" s="3">
        <f>IFERROR(__xludf.DUMMYFUNCTION("""COMPUTED_VALUE"""),103.29)</f>
        <v>103.29</v>
      </c>
      <c r="T250" s="3">
        <f>IFERROR(__xludf.DUMMYFUNCTION("""COMPUTED_VALUE"""),70.5)</f>
        <v>70.5</v>
      </c>
      <c r="U250" s="3">
        <f>IFERROR(__xludf.DUMMYFUNCTION("""COMPUTED_VALUE"""),324.25)</f>
        <v>324.25</v>
      </c>
      <c r="V250" s="3">
        <f>IFERROR(__xludf.DUMMYFUNCTION("""COMPUTED_VALUE"""),49.24)</f>
        <v>49.24</v>
      </c>
      <c r="W250" s="3">
        <f>IFERROR(__xludf.DUMMYFUNCTION("""COMPUTED_VALUE"""),220.67)</f>
        <v>220.67</v>
      </c>
      <c r="X250" s="3">
        <f>IFERROR(__xludf.DUMMYFUNCTION("""COMPUTED_VALUE"""),137.04)</f>
        <v>137.04</v>
      </c>
      <c r="Y250" s="1">
        <f>IFERROR(__xludf.DUMMYFUNCTION("""COMPUTED_VALUE"""),333.11)</f>
        <v>333.11</v>
      </c>
      <c r="Z250" s="1">
        <f>IFERROR(__xludf.DUMMYFUNCTION("""COMPUTED_VALUE"""),39.0)</f>
        <v>39</v>
      </c>
      <c r="AA250" s="1">
        <f>IFERROR(__xludf.DUMMYFUNCTION("""COMPUTED_VALUE"""),71.17)</f>
        <v>71.17</v>
      </c>
      <c r="AB250" s="1">
        <f>IFERROR(__xludf.DUMMYFUNCTION("""COMPUTED_VALUE"""),107.75)</f>
        <v>107.75</v>
      </c>
      <c r="AC250" s="1">
        <f>IFERROR(__xludf.DUMMYFUNCTION("""COMPUTED_VALUE"""),166.7)</f>
        <v>166.7</v>
      </c>
      <c r="AD250" s="3">
        <f>IFERROR(__xludf.DUMMYFUNCTION("""COMPUTED_VALUE"""),85.38)</f>
        <v>85.38</v>
      </c>
      <c r="AE250" s="1">
        <f>IFERROR(__xludf.DUMMYFUNCTION("""COMPUTED_VALUE"""),476.82)</f>
        <v>476.82</v>
      </c>
      <c r="AF250" s="1">
        <f>IFERROR(__xludf.DUMMYFUNCTION("""COMPUTED_VALUE"""),70.56)</f>
        <v>70.56</v>
      </c>
      <c r="AG250" s="1">
        <f>IFERROR(__xludf.DUMMYFUNCTION("""COMPUTED_VALUE"""),106.07)</f>
        <v>106.07</v>
      </c>
      <c r="AH250" s="1">
        <f>IFERROR(__xludf.DUMMYFUNCTION("""COMPUTED_VALUE"""),219.21)</f>
        <v>219.21</v>
      </c>
      <c r="AI250" s="1">
        <f>IFERROR(__xludf.DUMMYFUNCTION("""COMPUTED_VALUE"""),480.71)</f>
        <v>480.71</v>
      </c>
      <c r="AJ250" s="1">
        <f>IFERROR(__xludf.DUMMYFUNCTION("""COMPUTED_VALUE"""),271.98)</f>
        <v>271.98</v>
      </c>
      <c r="AK250" s="1">
        <f>IFERROR(__xludf.DUMMYFUNCTION("""COMPUTED_VALUE"""),47.35)</f>
        <v>47.35</v>
      </c>
      <c r="AL250" s="1">
        <f>IFERROR(__xludf.DUMMYFUNCTION("""COMPUTED_VALUE"""),98.16)</f>
        <v>98.16</v>
      </c>
      <c r="AM250" s="1">
        <f>IFERROR(__xludf.DUMMYFUNCTION("""COMPUTED_VALUE"""),565.7)</f>
        <v>565.7</v>
      </c>
      <c r="AN250" s="1">
        <f>IFERROR(__xludf.DUMMYFUNCTION("""COMPUTED_VALUE"""),364.86)</f>
        <v>364.86</v>
      </c>
      <c r="AO250" s="1">
        <f>IFERROR(__xludf.DUMMYFUNCTION("""COMPUTED_VALUE"""),152.26)</f>
        <v>152.26</v>
      </c>
      <c r="AP250" s="1">
        <f>IFERROR(__xludf.DUMMYFUNCTION("""COMPUTED_VALUE"""),176.47)</f>
        <v>176.47</v>
      </c>
      <c r="AQ250" s="3">
        <f>IFERROR(__xludf.DUMMYFUNCTION("""COMPUTED_VALUE"""),538.16)</f>
        <v>538.16</v>
      </c>
      <c r="AR250" s="3">
        <f>IFERROR(__xludf.DUMMYFUNCTION("""COMPUTED_VALUE"""),253.47)</f>
        <v>253.47</v>
      </c>
      <c r="AS250" s="3">
        <f>IFERROR(__xludf.DUMMYFUNCTION("""COMPUTED_VALUE"""),474.53)</f>
        <v>474.53</v>
      </c>
      <c r="AT250" s="3">
        <f>IFERROR(__xludf.DUMMYFUNCTION("""COMPUTED_VALUE"""),282.43)</f>
        <v>282.43</v>
      </c>
      <c r="AU250" s="1">
        <f>IFERROR(__xludf.DUMMYFUNCTION("""COMPUTED_VALUE"""),31.15)</f>
        <v>31.15</v>
      </c>
      <c r="AV250" s="1">
        <f>IFERROR(__xludf.DUMMYFUNCTION("""COMPUTED_VALUE"""),83.62)</f>
        <v>83.62</v>
      </c>
      <c r="AW250" s="1">
        <f>IFERROR(__xludf.DUMMYFUNCTION("""COMPUTED_VALUE"""),77.59)</f>
        <v>77.59</v>
      </c>
      <c r="AX250" s="3">
        <f>IFERROR(__xludf.DUMMYFUNCTION("""COMPUTED_VALUE"""),23.85)</f>
        <v>23.85</v>
      </c>
      <c r="AY250" s="1">
        <f>IFERROR(__xludf.DUMMYFUNCTION("""COMPUTED_VALUE"""),438.17)</f>
        <v>438.17</v>
      </c>
      <c r="AZ250" s="3">
        <f>IFERROR(__xludf.DUMMYFUNCTION("""COMPUTED_VALUE"""),68.32)</f>
        <v>68.32</v>
      </c>
      <c r="BA250" s="3">
        <f>IFERROR(__xludf.DUMMYFUNCTION("""COMPUTED_VALUE"""),120.34)</f>
        <v>120.34</v>
      </c>
      <c r="BB250" s="3">
        <f>IFERROR(__xludf.DUMMYFUNCTION("""COMPUTED_VALUE"""),117.37)</f>
        <v>117.37</v>
      </c>
      <c r="BC250" s="1">
        <f>IFERROR(__xludf.DUMMYFUNCTION("""COMPUTED_VALUE"""),97.32)</f>
        <v>97.32</v>
      </c>
      <c r="BD250" s="1">
        <f>IFERROR(__xludf.DUMMYFUNCTION("""COMPUTED_VALUE"""),49.72)</f>
        <v>49.72</v>
      </c>
      <c r="BE250" s="3">
        <f>IFERROR(__xludf.DUMMYFUNCTION("""COMPUTED_VALUE"""),119.15)</f>
        <v>119.15</v>
      </c>
      <c r="BF250" s="1">
        <f>IFERROR(__xludf.DUMMYFUNCTION("""COMPUTED_VALUE"""),70.48)</f>
        <v>70.48</v>
      </c>
      <c r="BG250" s="1">
        <f>IFERROR(__xludf.DUMMYFUNCTION("""COMPUTED_VALUE"""),22.97)</f>
        <v>22.97</v>
      </c>
      <c r="BH250" s="1">
        <f>IFERROR(__xludf.DUMMYFUNCTION("""COMPUTED_VALUE"""),128.67)</f>
        <v>128.67</v>
      </c>
      <c r="BI250" s="3">
        <f>IFERROR(__xludf.DUMMYFUNCTION("""COMPUTED_VALUE"""),41.91)</f>
        <v>41.91</v>
      </c>
      <c r="BJ250" s="1">
        <f>IFERROR(__xludf.DUMMYFUNCTION("""COMPUTED_VALUE"""),247.49)</f>
        <v>247.49</v>
      </c>
      <c r="BK250" s="1">
        <f>IFERROR(__xludf.DUMMYFUNCTION("""COMPUTED_VALUE"""),410.78)</f>
        <v>410.78</v>
      </c>
      <c r="BL250" s="1">
        <f>IFERROR(__xludf.DUMMYFUNCTION("""COMPUTED_VALUE"""),187.92)</f>
        <v>187.92</v>
      </c>
      <c r="BM250" s="1">
        <f>IFERROR(__xludf.DUMMYFUNCTION("""COMPUTED_VALUE"""),93.2)</f>
        <v>93.2</v>
      </c>
      <c r="BN250" s="3">
        <f>IFERROR(__xludf.DUMMYFUNCTION("""COMPUTED_VALUE"""),5.94)</f>
        <v>5.94</v>
      </c>
      <c r="BO250" s="1">
        <f>IFERROR(__xludf.DUMMYFUNCTION("""COMPUTED_VALUE"""),216.84)</f>
        <v>216.84</v>
      </c>
      <c r="BP250" s="1">
        <f>IFERROR(__xludf.DUMMYFUNCTION("""COMPUTED_VALUE"""),385.55)</f>
        <v>385.55</v>
      </c>
      <c r="BQ250" s="36">
        <f>IFERROR(__xludf.DUMMYFUNCTION("""COMPUTED_VALUE"""),49.99)</f>
        <v>49.99</v>
      </c>
      <c r="BR250" s="1">
        <f>IFERROR(__xludf.DUMMYFUNCTION("""COMPUTED_VALUE"""),9.09)</f>
        <v>9.09</v>
      </c>
      <c r="BS250" s="3">
        <f>IFERROR(__xludf.DUMMYFUNCTION("""COMPUTED_VALUE"""),233.13)</f>
        <v>233.13</v>
      </c>
      <c r="BT250" s="1">
        <f>IFERROR(__xludf.DUMMYFUNCTION("""COMPUTED_VALUE"""),105.12)</f>
        <v>105.12</v>
      </c>
      <c r="BU250" s="3">
        <v>1.0</v>
      </c>
    </row>
    <row r="251">
      <c r="A251" s="25">
        <f>IFERROR(__xludf.DUMMYFUNCTION("""COMPUTED_VALUE"""),45786.66666666667)</f>
        <v>45786.66667</v>
      </c>
      <c r="B251" s="29">
        <f>'Master Scratch Work'!B250</f>
        <v>1321060.56</v>
      </c>
      <c r="C251" s="15">
        <f>IFERROR(__xludf.DUMMYFUNCTION("""COMPUTED_VALUE"""),5659.91)</f>
        <v>5659.91</v>
      </c>
      <c r="D251" s="15">
        <f>IFERROR(__xludf.DUMMYFUNCTION("""COMPUTED_VALUE"""),17928.92)</f>
        <v>17928.92</v>
      </c>
      <c r="E251" s="15">
        <f>IFERROR(__xludf.DUMMYFUNCTION("""COMPUTED_VALUE"""),41249.38)</f>
        <v>41249.38</v>
      </c>
      <c r="F251" s="15">
        <f>IFERROR(__xludf.DUMMYFUNCTION("""COMPUTED_VALUE"""),2023.07)</f>
        <v>2023.07</v>
      </c>
      <c r="G251" s="3">
        <f>IFERROR(__xludf.DUMMYFUNCTION("""COMPUTED_VALUE"""),564.34)</f>
        <v>564.34</v>
      </c>
      <c r="H251" s="3">
        <f>IFERROR(__xludf.DUMMYFUNCTION("""COMPUTED_VALUE"""),487.97)</f>
        <v>487.97</v>
      </c>
      <c r="I251" s="3">
        <f>IFERROR(__xludf.DUMMYFUNCTION("""COMPUTED_VALUE"""),383.28)</f>
        <v>383.28</v>
      </c>
      <c r="J251" s="3">
        <f>IFERROR(__xludf.DUMMYFUNCTION("""COMPUTED_VALUE"""),193.06)</f>
        <v>193.06</v>
      </c>
      <c r="K251" s="3">
        <f>IFERROR(__xludf.DUMMYFUNCTION("""COMPUTED_VALUE"""),146.94)</f>
        <v>146.94</v>
      </c>
      <c r="L251" s="3">
        <f>IFERROR(__xludf.DUMMYFUNCTION("""COMPUTED_VALUE"""),198.53)</f>
        <v>198.53</v>
      </c>
      <c r="M251" s="3">
        <f>IFERROR(__xludf.DUMMYFUNCTION("""COMPUTED_VALUE"""),155.61)</f>
        <v>155.61</v>
      </c>
      <c r="N251" s="3">
        <f>IFERROR(__xludf.DUMMYFUNCTION("""COMPUTED_VALUE"""),85.91)</f>
        <v>85.91</v>
      </c>
      <c r="O251" s="3">
        <f>IFERROR(__xludf.DUMMYFUNCTION("""COMPUTED_VALUE"""),16.53)</f>
        <v>16.53</v>
      </c>
      <c r="P251" s="3">
        <f>IFERROR(__xludf.DUMMYFUNCTION("""COMPUTED_VALUE"""),513.74)</f>
        <v>513.74</v>
      </c>
      <c r="Q251" s="3">
        <f>IFERROR(__xludf.DUMMYFUNCTION("""COMPUTED_VALUE"""),48.67)</f>
        <v>48.67</v>
      </c>
      <c r="R251" s="3">
        <f>IFERROR(__xludf.DUMMYFUNCTION("""COMPUTED_VALUE"""),118.17)</f>
        <v>118.17</v>
      </c>
      <c r="S251" s="3">
        <f>IFERROR(__xludf.DUMMYFUNCTION("""COMPUTED_VALUE"""),102.86)</f>
        <v>102.86</v>
      </c>
      <c r="T251" s="3">
        <f>IFERROR(__xludf.DUMMYFUNCTION("""COMPUTED_VALUE"""),71.44)</f>
        <v>71.44</v>
      </c>
      <c r="U251" s="3">
        <f>IFERROR(__xludf.DUMMYFUNCTION("""COMPUTED_VALUE"""),325.62)</f>
        <v>325.62</v>
      </c>
      <c r="V251" s="3">
        <f>IFERROR(__xludf.DUMMYFUNCTION("""COMPUTED_VALUE"""),50.73)</f>
        <v>50.73</v>
      </c>
      <c r="W251" s="3">
        <f>IFERROR(__xludf.DUMMYFUNCTION("""COMPUTED_VALUE"""),218.33)</f>
        <v>218.33</v>
      </c>
      <c r="X251" s="3">
        <f>IFERROR(__xludf.DUMMYFUNCTION("""COMPUTED_VALUE"""),138.49)</f>
        <v>138.49</v>
      </c>
      <c r="Y251" s="1">
        <f>IFERROR(__xludf.DUMMYFUNCTION("""COMPUTED_VALUE"""),333.46)</f>
        <v>333.46</v>
      </c>
      <c r="Z251" s="1">
        <f>IFERROR(__xludf.DUMMYFUNCTION("""COMPUTED_VALUE"""),39.12)</f>
        <v>39.12</v>
      </c>
      <c r="AA251" s="1">
        <f>IFERROR(__xludf.DUMMYFUNCTION("""COMPUTED_VALUE"""),70.52)</f>
        <v>70.52</v>
      </c>
      <c r="AB251" s="1">
        <f>IFERROR(__xludf.DUMMYFUNCTION("""COMPUTED_VALUE"""),107.68)</f>
        <v>107.68</v>
      </c>
      <c r="AC251" s="1">
        <f>IFERROR(__xludf.DUMMYFUNCTION("""COMPUTED_VALUE"""),166.57)</f>
        <v>166.57</v>
      </c>
      <c r="AD251" s="3">
        <f>IFERROR(__xludf.DUMMYFUNCTION("""COMPUTED_VALUE"""),85.47)</f>
        <v>85.47</v>
      </c>
      <c r="AE251" s="1">
        <f>IFERROR(__xludf.DUMMYFUNCTION("""COMPUTED_VALUE"""),478.9)</f>
        <v>478.9</v>
      </c>
      <c r="AF251" s="1">
        <f>IFERROR(__xludf.DUMMYFUNCTION("""COMPUTED_VALUE"""),69.51)</f>
        <v>69.51</v>
      </c>
      <c r="AG251" s="1">
        <f>IFERROR(__xludf.DUMMYFUNCTION("""COMPUTED_VALUE"""),107.31)</f>
        <v>107.31</v>
      </c>
      <c r="AH251" s="1">
        <f>IFERROR(__xludf.DUMMYFUNCTION("""COMPUTED_VALUE"""),217.83)</f>
        <v>217.83</v>
      </c>
      <c r="AI251" s="1">
        <f>IFERROR(__xludf.DUMMYFUNCTION("""COMPUTED_VALUE"""),488.28)</f>
        <v>488.28</v>
      </c>
      <c r="AJ251" s="1">
        <f>IFERROR(__xludf.DUMMYFUNCTION("""COMPUTED_VALUE"""),271.56)</f>
        <v>271.56</v>
      </c>
      <c r="AK251" s="1">
        <f>IFERROR(__xludf.DUMMYFUNCTION("""COMPUTED_VALUE"""),47.5)</f>
        <v>47.5</v>
      </c>
      <c r="AL251" s="1">
        <f>IFERROR(__xludf.DUMMYFUNCTION("""COMPUTED_VALUE"""),96.91)</f>
        <v>96.91</v>
      </c>
      <c r="AM251" s="1">
        <f>IFERROR(__xludf.DUMMYFUNCTION("""COMPUTED_VALUE"""),567.1)</f>
        <v>567.1</v>
      </c>
      <c r="AN251" s="1">
        <f>IFERROR(__xludf.DUMMYFUNCTION("""COMPUTED_VALUE"""),362.71)</f>
        <v>362.71</v>
      </c>
      <c r="AO251" s="1">
        <f>IFERROR(__xludf.DUMMYFUNCTION("""COMPUTED_VALUE"""),150.46)</f>
        <v>150.46</v>
      </c>
      <c r="AP251" s="1">
        <f>IFERROR(__xludf.DUMMYFUNCTION("""COMPUTED_VALUE"""),178.33)</f>
        <v>178.33</v>
      </c>
      <c r="AQ251" s="3">
        <f>IFERROR(__xludf.DUMMYFUNCTION("""COMPUTED_VALUE"""),536.51)</f>
        <v>536.51</v>
      </c>
      <c r="AR251" s="3">
        <f>IFERROR(__xludf.DUMMYFUNCTION("""COMPUTED_VALUE"""),253.08)</f>
        <v>253.08</v>
      </c>
      <c r="AS251" s="3">
        <f>IFERROR(__xludf.DUMMYFUNCTION("""COMPUTED_VALUE"""),473.52)</f>
        <v>473.52</v>
      </c>
      <c r="AT251" s="3">
        <f>IFERROR(__xludf.DUMMYFUNCTION("""COMPUTED_VALUE"""),279.77)</f>
        <v>279.77</v>
      </c>
      <c r="AU251" s="1">
        <f>IFERROR(__xludf.DUMMYFUNCTION("""COMPUTED_VALUE"""),30.75)</f>
        <v>30.75</v>
      </c>
      <c r="AV251" s="1">
        <f>IFERROR(__xludf.DUMMYFUNCTION("""COMPUTED_VALUE"""),83.48)</f>
        <v>83.48</v>
      </c>
      <c r="AW251" s="1">
        <f>IFERROR(__xludf.DUMMYFUNCTION("""COMPUTED_VALUE"""),77.85)</f>
        <v>77.85</v>
      </c>
      <c r="AX251" s="3">
        <f>IFERROR(__xludf.DUMMYFUNCTION("""COMPUTED_VALUE"""),21.95)</f>
        <v>21.95</v>
      </c>
      <c r="AY251" s="1">
        <f>IFERROR(__xludf.DUMMYFUNCTION("""COMPUTED_VALUE"""),438.73)</f>
        <v>438.73</v>
      </c>
      <c r="AZ251" s="3">
        <f>IFERROR(__xludf.DUMMYFUNCTION("""COMPUTED_VALUE"""),70.31)</f>
        <v>70.31</v>
      </c>
      <c r="BA251" s="3">
        <f>IFERROR(__xludf.DUMMYFUNCTION("""COMPUTED_VALUE"""),119.33)</f>
        <v>119.33</v>
      </c>
      <c r="BB251" s="3">
        <f>IFERROR(__xludf.DUMMYFUNCTION("""COMPUTED_VALUE"""),116.65)</f>
        <v>116.65</v>
      </c>
      <c r="BC251" s="1">
        <f>IFERROR(__xludf.DUMMYFUNCTION("""COMPUTED_VALUE"""),97.0)</f>
        <v>97</v>
      </c>
      <c r="BD251" s="1">
        <f>IFERROR(__xludf.DUMMYFUNCTION("""COMPUTED_VALUE"""),49.42)</f>
        <v>49.42</v>
      </c>
      <c r="BE251" s="3">
        <f>IFERROR(__xludf.DUMMYFUNCTION("""COMPUTED_VALUE"""),117.3)</f>
        <v>117.3</v>
      </c>
      <c r="BF251" s="1">
        <f>IFERROR(__xludf.DUMMYFUNCTION("""COMPUTED_VALUE"""),70.26)</f>
        <v>70.26</v>
      </c>
      <c r="BG251" s="1">
        <f>IFERROR(__xludf.DUMMYFUNCTION("""COMPUTED_VALUE"""),22.28)</f>
        <v>22.28</v>
      </c>
      <c r="BH251" s="1">
        <f>IFERROR(__xludf.DUMMYFUNCTION("""COMPUTED_VALUE"""),128.67)</f>
        <v>128.67</v>
      </c>
      <c r="BI251" s="3">
        <f>IFERROR(__xludf.DUMMYFUNCTION("""COMPUTED_VALUE"""),40.42)</f>
        <v>40.42</v>
      </c>
      <c r="BJ251" s="1">
        <f>IFERROR(__xludf.DUMMYFUNCTION("""COMPUTED_VALUE"""),243.81)</f>
        <v>243.81</v>
      </c>
      <c r="BK251" s="1">
        <f>IFERROR(__xludf.DUMMYFUNCTION("""COMPUTED_VALUE"""),403.13)</f>
        <v>403.13</v>
      </c>
      <c r="BL251" s="1">
        <f>IFERROR(__xludf.DUMMYFUNCTION("""COMPUTED_VALUE"""),187.53)</f>
        <v>187.53</v>
      </c>
      <c r="BM251" s="1">
        <f>IFERROR(__xludf.DUMMYFUNCTION("""COMPUTED_VALUE"""),111.5)</f>
        <v>111.5</v>
      </c>
      <c r="BN251" s="3">
        <f>IFERROR(__xludf.DUMMYFUNCTION("""COMPUTED_VALUE"""),5.84)</f>
        <v>5.84</v>
      </c>
      <c r="BO251" s="1">
        <f>IFERROR(__xludf.DUMMYFUNCTION("""COMPUTED_VALUE"""),216.32)</f>
        <v>216.32</v>
      </c>
      <c r="BP251" s="1">
        <f>IFERROR(__xludf.DUMMYFUNCTION("""COMPUTED_VALUE"""),380.64)</f>
        <v>380.64</v>
      </c>
      <c r="BQ251" s="36">
        <f>IFERROR(__xludf.DUMMYFUNCTION("""COMPUTED_VALUE"""),50.02)</f>
        <v>50.02</v>
      </c>
      <c r="BR251" s="1">
        <f>IFERROR(__xludf.DUMMYFUNCTION("""COMPUTED_VALUE"""),8.77)</f>
        <v>8.77</v>
      </c>
      <c r="BS251" s="3">
        <f>IFERROR(__xludf.DUMMYFUNCTION("""COMPUTED_VALUE"""),232.75)</f>
        <v>232.75</v>
      </c>
      <c r="BT251" s="1">
        <f>IFERROR(__xludf.DUMMYFUNCTION("""COMPUTED_VALUE"""),105.94)</f>
        <v>105.94</v>
      </c>
      <c r="BU251" s="3">
        <v>1.0</v>
      </c>
    </row>
    <row r="252">
      <c r="A252" s="25">
        <f>IFERROR(__xludf.DUMMYFUNCTION("""COMPUTED_VALUE"""),45789.66666666667)</f>
        <v>45789.66667</v>
      </c>
      <c r="B252" s="29">
        <f>'Master Scratch Work'!B251</f>
        <v>1348330.33</v>
      </c>
      <c r="C252" s="15">
        <f>IFERROR(__xludf.DUMMYFUNCTION("""COMPUTED_VALUE"""),5844.19)</f>
        <v>5844.19</v>
      </c>
      <c r="D252" s="15">
        <f>IFERROR(__xludf.DUMMYFUNCTION("""COMPUTED_VALUE"""),18708.34)</f>
        <v>18708.34</v>
      </c>
      <c r="E252" s="15">
        <f>IFERROR(__xludf.DUMMYFUNCTION("""COMPUTED_VALUE"""),42410.1)</f>
        <v>42410.1</v>
      </c>
      <c r="F252" s="15">
        <f>IFERROR(__xludf.DUMMYFUNCTION("""COMPUTED_VALUE"""),2092.2)</f>
        <v>2092.2</v>
      </c>
      <c r="G252" s="3">
        <f>IFERROR(__xludf.DUMMYFUNCTION("""COMPUTED_VALUE"""),582.99)</f>
        <v>582.99</v>
      </c>
      <c r="H252" s="3">
        <f>IFERROR(__xludf.DUMMYFUNCTION("""COMPUTED_VALUE"""),507.85)</f>
        <v>507.85</v>
      </c>
      <c r="I252" s="3">
        <f>IFERROR(__xludf.DUMMYFUNCTION("""COMPUTED_VALUE"""),395.94)</f>
        <v>395.94</v>
      </c>
      <c r="J252" s="3">
        <f>IFERROR(__xludf.DUMMYFUNCTION("""COMPUTED_VALUE"""),208.64)</f>
        <v>208.64</v>
      </c>
      <c r="K252" s="3">
        <f>IFERROR(__xludf.DUMMYFUNCTION("""COMPUTED_VALUE"""),138.64)</f>
        <v>138.64</v>
      </c>
      <c r="L252" s="3">
        <f>IFERROR(__xludf.DUMMYFUNCTION("""COMPUTED_VALUE"""),210.79)</f>
        <v>210.79</v>
      </c>
      <c r="M252" s="3">
        <f>IFERROR(__xludf.DUMMYFUNCTION("""COMPUTED_VALUE"""),167.99)</f>
        <v>167.99</v>
      </c>
      <c r="N252" s="3">
        <f>IFERROR(__xludf.DUMMYFUNCTION("""COMPUTED_VALUE"""),87.1)</f>
        <v>87.1</v>
      </c>
      <c r="O252" s="3">
        <f>IFERROR(__xludf.DUMMYFUNCTION("""COMPUTED_VALUE"""),16.7)</f>
        <v>16.7</v>
      </c>
      <c r="P252" s="3">
        <f>IFERROR(__xludf.DUMMYFUNCTION("""COMPUTED_VALUE"""),514.3)</f>
        <v>514.3</v>
      </c>
      <c r="Q252" s="3">
        <f>IFERROR(__xludf.DUMMYFUNCTION("""COMPUTED_VALUE"""),49.9)</f>
        <v>49.9</v>
      </c>
      <c r="R252" s="3">
        <f>IFERROR(__xludf.DUMMYFUNCTION("""COMPUTED_VALUE"""),124.4)</f>
        <v>124.4</v>
      </c>
      <c r="S252" s="3">
        <f>IFERROR(__xludf.DUMMYFUNCTION("""COMPUTED_VALUE"""),102.87)</f>
        <v>102.87</v>
      </c>
      <c r="T252" s="3">
        <f>IFERROR(__xludf.DUMMYFUNCTION("""COMPUTED_VALUE"""),73.44)</f>
        <v>73.44</v>
      </c>
      <c r="U252" s="3">
        <f>IFERROR(__xludf.DUMMYFUNCTION("""COMPUTED_VALUE"""),342.55)</f>
        <v>342.55</v>
      </c>
      <c r="V252" s="3">
        <f>IFERROR(__xludf.DUMMYFUNCTION("""COMPUTED_VALUE"""),51.16)</f>
        <v>51.16</v>
      </c>
      <c r="W252" s="3">
        <f>IFERROR(__xludf.DUMMYFUNCTION("""COMPUTED_VALUE"""),217.23)</f>
        <v>217.23</v>
      </c>
      <c r="X252" s="3">
        <f>IFERROR(__xludf.DUMMYFUNCTION("""COMPUTED_VALUE"""),141.62)</f>
        <v>141.62</v>
      </c>
      <c r="Y252" s="1">
        <f>IFERROR(__xludf.DUMMYFUNCTION("""COMPUTED_VALUE"""),315.74)</f>
        <v>315.74</v>
      </c>
      <c r="Z252" s="1">
        <f>IFERROR(__xludf.DUMMYFUNCTION("""COMPUTED_VALUE"""),41.59)</f>
        <v>41.59</v>
      </c>
      <c r="AA252" s="1">
        <f>IFERROR(__xludf.DUMMYFUNCTION("""COMPUTED_VALUE"""),69.53)</f>
        <v>69.53</v>
      </c>
      <c r="AB252" s="1">
        <f>IFERROR(__xludf.DUMMYFUNCTION("""COMPUTED_VALUE"""),103.54)</f>
        <v>103.54</v>
      </c>
      <c r="AC252" s="1">
        <f>IFERROR(__xludf.DUMMYFUNCTION("""COMPUTED_VALUE"""),166.0)</f>
        <v>166</v>
      </c>
      <c r="AD252" s="3">
        <f>IFERROR(__xludf.DUMMYFUNCTION("""COMPUTED_VALUE"""),89.0)</f>
        <v>89</v>
      </c>
      <c r="AE252" s="1">
        <f>IFERROR(__xludf.DUMMYFUNCTION("""COMPUTED_VALUE"""),482.11)</f>
        <v>482.11</v>
      </c>
      <c r="AF252" s="1">
        <f>IFERROR(__xludf.DUMMYFUNCTION("""COMPUTED_VALUE"""),69.16)</f>
        <v>69.16</v>
      </c>
      <c r="AG252" s="1">
        <f>IFERROR(__xludf.DUMMYFUNCTION("""COMPUTED_VALUE"""),109.16)</f>
        <v>109.16</v>
      </c>
      <c r="AH252" s="1">
        <f>IFERROR(__xludf.DUMMYFUNCTION("""COMPUTED_VALUE"""),232.95)</f>
        <v>232.95</v>
      </c>
      <c r="AI252" s="1">
        <f>IFERROR(__xludf.DUMMYFUNCTION("""COMPUTED_VALUE"""),486.76)</f>
        <v>486.76</v>
      </c>
      <c r="AJ252" s="1">
        <f>IFERROR(__xludf.DUMMYFUNCTION("""COMPUTED_VALUE"""),276.24)</f>
        <v>276.24</v>
      </c>
      <c r="AK252" s="1">
        <f>IFERROR(__xludf.DUMMYFUNCTION("""COMPUTED_VALUE"""),49.61)</f>
        <v>49.61</v>
      </c>
      <c r="AL252" s="1">
        <f>IFERROR(__xludf.DUMMYFUNCTION("""COMPUTED_VALUE"""),103.82)</f>
        <v>103.82</v>
      </c>
      <c r="AM252" s="1">
        <f>IFERROR(__xludf.DUMMYFUNCTION("""COMPUTED_VALUE"""),591.34)</f>
        <v>591.34</v>
      </c>
      <c r="AN252" s="1">
        <f>IFERROR(__xludf.DUMMYFUNCTION("""COMPUTED_VALUE"""),376.59)</f>
        <v>376.59</v>
      </c>
      <c r="AO252" s="1">
        <f>IFERROR(__xludf.DUMMYFUNCTION("""COMPUTED_VALUE"""),153.2)</f>
        <v>153.2</v>
      </c>
      <c r="AP252" s="1">
        <f>IFERROR(__xludf.DUMMYFUNCTION("""COMPUTED_VALUE"""),173.44)</f>
        <v>173.44</v>
      </c>
      <c r="AQ252" s="3">
        <f>IFERROR(__xludf.DUMMYFUNCTION("""COMPUTED_VALUE"""),561.43)</f>
        <v>561.43</v>
      </c>
      <c r="AR252" s="3">
        <f>IFERROR(__xludf.DUMMYFUNCTION("""COMPUTED_VALUE"""),260.05)</f>
        <v>260.05</v>
      </c>
      <c r="AS252" s="3">
        <f>IFERROR(__xludf.DUMMYFUNCTION("""COMPUTED_VALUE"""),473.16)</f>
        <v>473.16</v>
      </c>
      <c r="AT252" s="3">
        <f>IFERROR(__xludf.DUMMYFUNCTION("""COMPUTED_VALUE"""),304.2)</f>
        <v>304.2</v>
      </c>
      <c r="AU252" s="1">
        <f>IFERROR(__xludf.DUMMYFUNCTION("""COMPUTED_VALUE"""),31.6)</f>
        <v>31.6</v>
      </c>
      <c r="AV252" s="1">
        <f>IFERROR(__xludf.DUMMYFUNCTION("""COMPUTED_VALUE"""),85.81)</f>
        <v>85.81</v>
      </c>
      <c r="AW252" s="1">
        <f>IFERROR(__xludf.DUMMYFUNCTION("""COMPUTED_VALUE"""),80.64)</f>
        <v>80.64</v>
      </c>
      <c r="AX252" s="3">
        <f>IFERROR(__xludf.DUMMYFUNCTION("""COMPUTED_VALUE"""),21.14)</f>
        <v>21.14</v>
      </c>
      <c r="AY252" s="1">
        <f>IFERROR(__xludf.DUMMYFUNCTION("""COMPUTED_VALUE"""),449.26)</f>
        <v>449.26</v>
      </c>
      <c r="AZ252" s="3">
        <f>IFERROR(__xludf.DUMMYFUNCTION("""COMPUTED_VALUE"""),69.69)</f>
        <v>69.69</v>
      </c>
      <c r="BA252" s="3">
        <f>IFERROR(__xludf.DUMMYFUNCTION("""COMPUTED_VALUE"""),150.61)</f>
        <v>150.61</v>
      </c>
      <c r="BB252" s="3">
        <f>IFERROR(__xludf.DUMMYFUNCTION("""COMPUTED_VALUE"""),123.0)</f>
        <v>123</v>
      </c>
      <c r="BC252" s="1">
        <f>IFERROR(__xludf.DUMMYFUNCTION("""COMPUTED_VALUE"""),98.0)</f>
        <v>98</v>
      </c>
      <c r="BD252" s="1">
        <f>IFERROR(__xludf.DUMMYFUNCTION("""COMPUTED_VALUE"""),51.31)</f>
        <v>51.31</v>
      </c>
      <c r="BE252" s="3">
        <f>IFERROR(__xludf.DUMMYFUNCTION("""COMPUTED_VALUE"""),118.46)</f>
        <v>118.46</v>
      </c>
      <c r="BF252" s="1">
        <f>IFERROR(__xludf.DUMMYFUNCTION("""COMPUTED_VALUE"""),72.31)</f>
        <v>72.31</v>
      </c>
      <c r="BG252" s="1">
        <f>IFERROR(__xludf.DUMMYFUNCTION("""COMPUTED_VALUE"""),23.09)</f>
        <v>23.09</v>
      </c>
      <c r="BH252" s="1">
        <f>IFERROR(__xludf.DUMMYFUNCTION("""COMPUTED_VALUE"""),130.56)</f>
        <v>130.56</v>
      </c>
      <c r="BI252" s="3">
        <f>IFERROR(__xludf.DUMMYFUNCTION("""COMPUTED_VALUE"""),41.88)</f>
        <v>41.88</v>
      </c>
      <c r="BJ252" s="1">
        <f>IFERROR(__xludf.DUMMYFUNCTION("""COMPUTED_VALUE"""),240.32)</f>
        <v>240.32</v>
      </c>
      <c r="BK252" s="1">
        <f>IFERROR(__xludf.DUMMYFUNCTION("""COMPUTED_VALUE"""),432.59)</f>
        <v>432.59</v>
      </c>
      <c r="BL252" s="1">
        <f>IFERROR(__xludf.DUMMYFUNCTION("""COMPUTED_VALUE"""),192.32)</f>
        <v>192.32</v>
      </c>
      <c r="BM252" s="1">
        <f>IFERROR(__xludf.DUMMYFUNCTION("""COMPUTED_VALUE"""),118.73)</f>
        <v>118.73</v>
      </c>
      <c r="BN252" s="3">
        <f>IFERROR(__xludf.DUMMYFUNCTION("""COMPUTED_VALUE"""),6.21)</f>
        <v>6.21</v>
      </c>
      <c r="BO252" s="1">
        <f>IFERROR(__xludf.DUMMYFUNCTION("""COMPUTED_VALUE"""),230.87)</f>
        <v>230.87</v>
      </c>
      <c r="BP252" s="1">
        <f>IFERROR(__xludf.DUMMYFUNCTION("""COMPUTED_VALUE"""),378.75)</f>
        <v>378.75</v>
      </c>
      <c r="BQ252" s="36">
        <f>IFERROR(__xludf.DUMMYFUNCTION("""COMPUTED_VALUE"""),49.73)</f>
        <v>49.73</v>
      </c>
      <c r="BR252" s="1">
        <f>IFERROR(__xludf.DUMMYFUNCTION("""COMPUTED_VALUE"""),8.96)</f>
        <v>8.96</v>
      </c>
      <c r="BS252" s="3">
        <f>IFERROR(__xludf.DUMMYFUNCTION("""COMPUTED_VALUE"""),225.57)</f>
        <v>225.57</v>
      </c>
      <c r="BT252" s="1">
        <f>IFERROR(__xludf.DUMMYFUNCTION("""COMPUTED_VALUE"""),110.49)</f>
        <v>110.49</v>
      </c>
      <c r="BU252" s="3">
        <v>1.0</v>
      </c>
    </row>
    <row r="253">
      <c r="A253" s="25">
        <f>IFERROR(__xludf.DUMMYFUNCTION("""COMPUTED_VALUE"""),45790.66666666667)</f>
        <v>45790.66667</v>
      </c>
      <c r="B253" s="29">
        <f>'Master Scratch Work'!B252</f>
        <v>1348380.26</v>
      </c>
      <c r="C253" s="15">
        <f>IFERROR(__xludf.DUMMYFUNCTION("""COMPUTED_VALUE"""),5886.55)</f>
        <v>5886.55</v>
      </c>
      <c r="D253" s="15">
        <f>IFERROR(__xludf.DUMMYFUNCTION("""COMPUTED_VALUE"""),19010.09)</f>
        <v>19010.09</v>
      </c>
      <c r="E253" s="15">
        <f>IFERROR(__xludf.DUMMYFUNCTION("""COMPUTED_VALUE"""),42140.43)</f>
        <v>42140.43</v>
      </c>
      <c r="F253" s="15">
        <f>IFERROR(__xludf.DUMMYFUNCTION("""COMPUTED_VALUE"""),2102.35)</f>
        <v>2102.35</v>
      </c>
      <c r="G253" s="3">
        <f>IFERROR(__xludf.DUMMYFUNCTION("""COMPUTED_VALUE"""),586.84)</f>
        <v>586.84</v>
      </c>
      <c r="H253" s="3">
        <f>IFERROR(__xludf.DUMMYFUNCTION("""COMPUTED_VALUE"""),515.59)</f>
        <v>515.59</v>
      </c>
      <c r="I253" s="3">
        <f>IFERROR(__xludf.DUMMYFUNCTION("""COMPUTED_VALUE"""),397.4)</f>
        <v>397.4</v>
      </c>
      <c r="J253" s="3">
        <f>IFERROR(__xludf.DUMMYFUNCTION("""COMPUTED_VALUE"""),211.37)</f>
        <v>211.37</v>
      </c>
      <c r="K253" s="3">
        <f>IFERROR(__xludf.DUMMYFUNCTION("""COMPUTED_VALUE"""),133.84)</f>
        <v>133.84</v>
      </c>
      <c r="L253" s="3">
        <f>IFERROR(__xludf.DUMMYFUNCTION("""COMPUTED_VALUE"""),212.93)</f>
        <v>212.93</v>
      </c>
      <c r="M253" s="3">
        <f>IFERROR(__xludf.DUMMYFUNCTION("""COMPUTED_VALUE"""),173.03)</f>
        <v>173.03</v>
      </c>
      <c r="N253" s="3">
        <f>IFERROR(__xludf.DUMMYFUNCTION("""COMPUTED_VALUE"""),87.93)</f>
        <v>87.93</v>
      </c>
      <c r="O253" s="3">
        <f>IFERROR(__xludf.DUMMYFUNCTION("""COMPUTED_VALUE"""),17.0)</f>
        <v>17</v>
      </c>
      <c r="P253" s="3">
        <f>IFERROR(__xludf.DUMMYFUNCTION("""COMPUTED_VALUE"""),511.88)</f>
        <v>511.88</v>
      </c>
      <c r="Q253" s="3">
        <f>IFERROR(__xludf.DUMMYFUNCTION("""COMPUTED_VALUE"""),50.81)</f>
        <v>50.81</v>
      </c>
      <c r="R253" s="3">
        <f>IFERROR(__xludf.DUMMYFUNCTION("""COMPUTED_VALUE"""),123.16)</f>
        <v>123.16</v>
      </c>
      <c r="S253" s="3">
        <f>IFERROR(__xludf.DUMMYFUNCTION("""COMPUTED_VALUE"""),102.95)</f>
        <v>102.95</v>
      </c>
      <c r="T253" s="3">
        <f>IFERROR(__xludf.DUMMYFUNCTION("""COMPUTED_VALUE"""),74.65)</f>
        <v>74.65</v>
      </c>
      <c r="U253" s="3">
        <f>IFERROR(__xludf.DUMMYFUNCTION("""COMPUTED_VALUE"""),352.54)</f>
        <v>352.54</v>
      </c>
      <c r="V253" s="3">
        <f>IFERROR(__xludf.DUMMYFUNCTION("""COMPUTED_VALUE"""),51.96)</f>
        <v>51.96</v>
      </c>
      <c r="W253" s="3">
        <f>IFERROR(__xludf.DUMMYFUNCTION("""COMPUTED_VALUE"""),217.87)</f>
        <v>217.87</v>
      </c>
      <c r="X253" s="3">
        <f>IFERROR(__xludf.DUMMYFUNCTION("""COMPUTED_VALUE"""),142.35)</f>
        <v>142.35</v>
      </c>
      <c r="Y253" s="1">
        <f>IFERROR(__xludf.DUMMYFUNCTION("""COMPUTED_VALUE"""),301.89)</f>
        <v>301.89</v>
      </c>
      <c r="Z253" s="1">
        <f>IFERROR(__xludf.DUMMYFUNCTION("""COMPUTED_VALUE"""),41.87)</f>
        <v>41.87</v>
      </c>
      <c r="AA253" s="1">
        <f>IFERROR(__xludf.DUMMYFUNCTION("""COMPUTED_VALUE"""),68.96)</f>
        <v>68.96</v>
      </c>
      <c r="AB253" s="1">
        <f>IFERROR(__xludf.DUMMYFUNCTION("""COMPUTED_VALUE"""),100.58)</f>
        <v>100.58</v>
      </c>
      <c r="AC253" s="1">
        <f>IFERROR(__xludf.DUMMYFUNCTION("""COMPUTED_VALUE"""),165.8)</f>
        <v>165.8</v>
      </c>
      <c r="AD253" s="3">
        <f>IFERROR(__xludf.DUMMYFUNCTION("""COMPUTED_VALUE"""),85.71)</f>
        <v>85.71</v>
      </c>
      <c r="AE253" s="1">
        <f>IFERROR(__xludf.DUMMYFUNCTION("""COMPUTED_VALUE"""),484.4)</f>
        <v>484.4</v>
      </c>
      <c r="AF253" s="1">
        <f>IFERROR(__xludf.DUMMYFUNCTION("""COMPUTED_VALUE"""),69.17)</f>
        <v>69.17</v>
      </c>
      <c r="AG253" s="1">
        <f>IFERROR(__xludf.DUMMYFUNCTION("""COMPUTED_VALUE"""),109.46)</f>
        <v>109.46</v>
      </c>
      <c r="AH253" s="1">
        <f>IFERROR(__xludf.DUMMYFUNCTION("""COMPUTED_VALUE"""),231.15)</f>
        <v>231.15</v>
      </c>
      <c r="AI253" s="1">
        <f>IFERROR(__xludf.DUMMYFUNCTION("""COMPUTED_VALUE"""),490.88)</f>
        <v>490.88</v>
      </c>
      <c r="AJ253" s="1">
        <f>IFERROR(__xludf.DUMMYFUNCTION("""COMPUTED_VALUE"""),273.02)</f>
        <v>273.02</v>
      </c>
      <c r="AK253" s="1">
        <f>IFERROR(__xludf.DUMMYFUNCTION("""COMPUTED_VALUE"""),50.46)</f>
        <v>50.46</v>
      </c>
      <c r="AL253" s="1">
        <f>IFERROR(__xludf.DUMMYFUNCTION("""COMPUTED_VALUE"""),101.43)</f>
        <v>101.43</v>
      </c>
      <c r="AM253" s="1">
        <f>IFERROR(__xludf.DUMMYFUNCTION("""COMPUTED_VALUE"""),603.81)</f>
        <v>603.81</v>
      </c>
      <c r="AN253" s="1">
        <f>IFERROR(__xludf.DUMMYFUNCTION("""COMPUTED_VALUE"""),373.6)</f>
        <v>373.6</v>
      </c>
      <c r="AO253" s="1">
        <f>IFERROR(__xludf.DUMMYFUNCTION("""COMPUTED_VALUE"""),149.8)</f>
        <v>149.8</v>
      </c>
      <c r="AP253" s="1">
        <f>IFERROR(__xludf.DUMMYFUNCTION("""COMPUTED_VALUE"""),172.84)</f>
        <v>172.84</v>
      </c>
      <c r="AQ253" s="3">
        <f>IFERROR(__xludf.DUMMYFUNCTION("""COMPUTED_VALUE"""),563.95)</f>
        <v>563.95</v>
      </c>
      <c r="AR253" s="3">
        <f>IFERROR(__xludf.DUMMYFUNCTION("""COMPUTED_VALUE"""),263.01)</f>
        <v>263.01</v>
      </c>
      <c r="AS253" s="3">
        <f>IFERROR(__xludf.DUMMYFUNCTION("""COMPUTED_VALUE"""),459.83)</f>
        <v>459.83</v>
      </c>
      <c r="AT253" s="3">
        <f>IFERROR(__xludf.DUMMYFUNCTION("""COMPUTED_VALUE"""),310.61)</f>
        <v>310.61</v>
      </c>
      <c r="AU253" s="1">
        <f>IFERROR(__xludf.DUMMYFUNCTION("""COMPUTED_VALUE"""),31.75)</f>
        <v>31.75</v>
      </c>
      <c r="AV253" s="1">
        <f>IFERROR(__xludf.DUMMYFUNCTION("""COMPUTED_VALUE"""),85.11)</f>
        <v>85.11</v>
      </c>
      <c r="AW253" s="1">
        <f>IFERROR(__xludf.DUMMYFUNCTION("""COMPUTED_VALUE"""),81.16)</f>
        <v>81.16</v>
      </c>
      <c r="AX253" s="3">
        <f>IFERROR(__xludf.DUMMYFUNCTION("""COMPUTED_VALUE"""),20.77)</f>
        <v>20.77</v>
      </c>
      <c r="AY253" s="1">
        <f>IFERROR(__xludf.DUMMYFUNCTION("""COMPUTED_VALUE"""),449.14)</f>
        <v>449.14</v>
      </c>
      <c r="AZ253" s="3">
        <f>IFERROR(__xludf.DUMMYFUNCTION("""COMPUTED_VALUE"""),72.11)</f>
        <v>72.11</v>
      </c>
      <c r="BA253" s="3">
        <f>IFERROR(__xludf.DUMMYFUNCTION("""COMPUTED_VALUE"""),156.71)</f>
        <v>156.71</v>
      </c>
      <c r="BB253" s="3">
        <f>IFERROR(__xludf.DUMMYFUNCTION("""COMPUTED_VALUE"""),129.93)</f>
        <v>129.93</v>
      </c>
      <c r="BC253" s="1">
        <f>IFERROR(__xludf.DUMMYFUNCTION("""COMPUTED_VALUE"""),96.99)</f>
        <v>96.99</v>
      </c>
      <c r="BD253" s="1">
        <f>IFERROR(__xludf.DUMMYFUNCTION("""COMPUTED_VALUE"""),57.38)</f>
        <v>57.38</v>
      </c>
      <c r="BE253" s="3">
        <f>IFERROR(__xludf.DUMMYFUNCTION("""COMPUTED_VALUE"""),128.1)</f>
        <v>128.1</v>
      </c>
      <c r="BF253" s="1">
        <f>IFERROR(__xludf.DUMMYFUNCTION("""COMPUTED_VALUE"""),72.29)</f>
        <v>72.29</v>
      </c>
      <c r="BG253" s="1">
        <f>IFERROR(__xludf.DUMMYFUNCTION("""COMPUTED_VALUE"""),22.87)</f>
        <v>22.87</v>
      </c>
      <c r="BH253" s="1">
        <f>IFERROR(__xludf.DUMMYFUNCTION("""COMPUTED_VALUE"""),130.72)</f>
        <v>130.72</v>
      </c>
      <c r="BI253" s="3">
        <f>IFERROR(__xludf.DUMMYFUNCTION("""COMPUTED_VALUE"""),39.95)</f>
        <v>39.95</v>
      </c>
      <c r="BJ253" s="1">
        <f>IFERROR(__xludf.DUMMYFUNCTION("""COMPUTED_VALUE"""),237.34)</f>
        <v>237.34</v>
      </c>
      <c r="BK253" s="1">
        <f>IFERROR(__xludf.DUMMYFUNCTION("""COMPUTED_VALUE"""),428.95)</f>
        <v>428.95</v>
      </c>
      <c r="BL253" s="1">
        <f>IFERROR(__xludf.DUMMYFUNCTION("""COMPUTED_VALUE"""),193.97)</f>
        <v>193.97</v>
      </c>
      <c r="BM253" s="1">
        <f>IFERROR(__xludf.DUMMYFUNCTION("""COMPUTED_VALUE"""),122.11)</f>
        <v>122.11</v>
      </c>
      <c r="BN253" s="3">
        <f>IFERROR(__xludf.DUMMYFUNCTION("""COMPUTED_VALUE"""),6.27)</f>
        <v>6.27</v>
      </c>
      <c r="BO253" s="1">
        <f>IFERROR(__xludf.DUMMYFUNCTION("""COMPUTED_VALUE"""),228.25)</f>
        <v>228.25</v>
      </c>
      <c r="BP253" s="1">
        <f>IFERROR(__xludf.DUMMYFUNCTION("""COMPUTED_VALUE"""),311.38)</f>
        <v>311.38</v>
      </c>
      <c r="BQ253" s="36">
        <f>IFERROR(__xludf.DUMMYFUNCTION("""COMPUTED_VALUE"""),49.77)</f>
        <v>49.77</v>
      </c>
      <c r="BR253" s="1">
        <f>IFERROR(__xludf.DUMMYFUNCTION("""COMPUTED_VALUE"""),8.79)</f>
        <v>8.79</v>
      </c>
      <c r="BS253" s="3">
        <f>IFERROR(__xludf.DUMMYFUNCTION("""COMPUTED_VALUE"""),222.38)</f>
        <v>222.38</v>
      </c>
      <c r="BT253" s="1">
        <f>IFERROR(__xludf.DUMMYFUNCTION("""COMPUTED_VALUE"""),111.38)</f>
        <v>111.38</v>
      </c>
      <c r="BU253" s="3">
        <v>1.0</v>
      </c>
    </row>
    <row r="254">
      <c r="A254" s="25">
        <f>IFERROR(__xludf.DUMMYFUNCTION("""COMPUTED_VALUE"""),45791.66666666667)</f>
        <v>45791.66667</v>
      </c>
      <c r="B254" s="29">
        <f>'Master Scratch Work'!B253</f>
        <v>1345516.65</v>
      </c>
      <c r="C254" s="15">
        <f>IFERROR(__xludf.DUMMYFUNCTION("""COMPUTED_VALUE"""),5892.58)</f>
        <v>5892.58</v>
      </c>
      <c r="D254" s="15">
        <f>IFERROR(__xludf.DUMMYFUNCTION("""COMPUTED_VALUE"""),19146.81)</f>
        <v>19146.81</v>
      </c>
      <c r="E254" s="15">
        <f>IFERROR(__xludf.DUMMYFUNCTION("""COMPUTED_VALUE"""),42051.06)</f>
        <v>42051.06</v>
      </c>
      <c r="F254" s="15">
        <f>IFERROR(__xludf.DUMMYFUNCTION("""COMPUTED_VALUE"""),2083.8)</f>
        <v>2083.8</v>
      </c>
      <c r="G254" s="3">
        <f>IFERROR(__xludf.DUMMYFUNCTION("""COMPUTED_VALUE"""),587.59)</f>
        <v>587.59</v>
      </c>
      <c r="H254" s="3">
        <f>IFERROR(__xludf.DUMMYFUNCTION("""COMPUTED_VALUE"""),518.68)</f>
        <v>518.68</v>
      </c>
      <c r="I254" s="3">
        <f>IFERROR(__xludf.DUMMYFUNCTION("""COMPUTED_VALUE"""),399.47)</f>
        <v>399.47</v>
      </c>
      <c r="J254" s="3">
        <f>IFERROR(__xludf.DUMMYFUNCTION("""COMPUTED_VALUE"""),210.25)</f>
        <v>210.25</v>
      </c>
      <c r="K254" s="3">
        <f>IFERROR(__xludf.DUMMYFUNCTION("""COMPUTED_VALUE"""),133.82)</f>
        <v>133.82</v>
      </c>
      <c r="L254" s="3">
        <f>IFERROR(__xludf.DUMMYFUNCTION("""COMPUTED_VALUE"""),212.33)</f>
        <v>212.33</v>
      </c>
      <c r="M254" s="3">
        <f>IFERROR(__xludf.DUMMYFUNCTION("""COMPUTED_VALUE"""),174.14)</f>
        <v>174.14</v>
      </c>
      <c r="N254" s="3">
        <f>IFERROR(__xludf.DUMMYFUNCTION("""COMPUTED_VALUE"""),87.94)</f>
        <v>87.94</v>
      </c>
      <c r="O254" s="3">
        <f>IFERROR(__xludf.DUMMYFUNCTION("""COMPUTED_VALUE"""),17.23)</f>
        <v>17.23</v>
      </c>
      <c r="P254" s="3">
        <f>IFERROR(__xludf.DUMMYFUNCTION("""COMPUTED_VALUE"""),503.4)</f>
        <v>503.4</v>
      </c>
      <c r="Q254" s="3">
        <f>IFERROR(__xludf.DUMMYFUNCTION("""COMPUTED_VALUE"""),50.3)</f>
        <v>50.3</v>
      </c>
      <c r="R254" s="3">
        <f>IFERROR(__xludf.DUMMYFUNCTION("""COMPUTED_VALUE"""),120.37)</f>
        <v>120.37</v>
      </c>
      <c r="S254" s="3">
        <f>IFERROR(__xludf.DUMMYFUNCTION("""COMPUTED_VALUE"""),102.95)</f>
        <v>102.95</v>
      </c>
      <c r="T254" s="3">
        <f>IFERROR(__xludf.DUMMYFUNCTION("""COMPUTED_VALUE"""),73.36)</f>
        <v>73.36</v>
      </c>
      <c r="U254" s="3">
        <f>IFERROR(__xludf.DUMMYFUNCTION("""COMPUTED_VALUE"""),349.66)</f>
        <v>349.66</v>
      </c>
      <c r="V254" s="3">
        <f>IFERROR(__xludf.DUMMYFUNCTION("""COMPUTED_VALUE"""),53.3)</f>
        <v>53.3</v>
      </c>
      <c r="W254" s="3">
        <f>IFERROR(__xludf.DUMMYFUNCTION("""COMPUTED_VALUE"""),214.49)</f>
        <v>214.49</v>
      </c>
      <c r="X254" s="3">
        <f>IFERROR(__xludf.DUMMYFUNCTION("""COMPUTED_VALUE"""),141.67)</f>
        <v>141.67</v>
      </c>
      <c r="Y254" s="1">
        <f>IFERROR(__xludf.DUMMYFUNCTION("""COMPUTED_VALUE"""),303.35)</f>
        <v>303.35</v>
      </c>
      <c r="Z254" s="1">
        <f>IFERROR(__xludf.DUMMYFUNCTION("""COMPUTED_VALUE"""),41.59)</f>
        <v>41.59</v>
      </c>
      <c r="AA254" s="1">
        <f>IFERROR(__xludf.DUMMYFUNCTION("""COMPUTED_VALUE"""),69.16)</f>
        <v>69.16</v>
      </c>
      <c r="AB254" s="1">
        <f>IFERROR(__xludf.DUMMYFUNCTION("""COMPUTED_VALUE"""),99.27)</f>
        <v>99.27</v>
      </c>
      <c r="AC254" s="1">
        <f>IFERROR(__xludf.DUMMYFUNCTION("""COMPUTED_VALUE"""),165.67)</f>
        <v>165.67</v>
      </c>
      <c r="AD254" s="3">
        <f>IFERROR(__xludf.DUMMYFUNCTION("""COMPUTED_VALUE"""),86.06)</f>
        <v>86.06</v>
      </c>
      <c r="AE254" s="1">
        <f>IFERROR(__xludf.DUMMYFUNCTION("""COMPUTED_VALUE"""),483.23)</f>
        <v>483.23</v>
      </c>
      <c r="AF254" s="1">
        <f>IFERROR(__xludf.DUMMYFUNCTION("""COMPUTED_VALUE"""),69.15)</f>
        <v>69.15</v>
      </c>
      <c r="AG254" s="1">
        <f>IFERROR(__xludf.DUMMYFUNCTION("""COMPUTED_VALUE"""),108.48)</f>
        <v>108.48</v>
      </c>
      <c r="AH254" s="1">
        <f>IFERROR(__xludf.DUMMYFUNCTION("""COMPUTED_VALUE"""),231.8)</f>
        <v>231.8</v>
      </c>
      <c r="AI254" s="1">
        <f>IFERROR(__xludf.DUMMYFUNCTION("""COMPUTED_VALUE"""),495.65)</f>
        <v>495.65</v>
      </c>
      <c r="AJ254" s="1">
        <f>IFERROR(__xludf.DUMMYFUNCTION("""COMPUTED_VALUE"""),270.69)</f>
        <v>270.69</v>
      </c>
      <c r="AK254" s="1">
        <f>IFERROR(__xludf.DUMMYFUNCTION("""COMPUTED_VALUE"""),50.31)</f>
        <v>50.31</v>
      </c>
      <c r="AL254" s="1">
        <f>IFERROR(__xludf.DUMMYFUNCTION("""COMPUTED_VALUE"""),98.38)</f>
        <v>98.38</v>
      </c>
      <c r="AM254" s="1">
        <f>IFERROR(__xludf.DUMMYFUNCTION("""COMPUTED_VALUE"""),611.6)</f>
        <v>611.6</v>
      </c>
      <c r="AN254" s="1">
        <f>IFERROR(__xludf.DUMMYFUNCTION("""COMPUTED_VALUE"""),372.81)</f>
        <v>372.81</v>
      </c>
      <c r="AO254" s="1">
        <f>IFERROR(__xludf.DUMMYFUNCTION("""COMPUTED_VALUE"""),146.54)</f>
        <v>146.54</v>
      </c>
      <c r="AP254" s="1">
        <f>IFERROR(__xludf.DUMMYFUNCTION("""COMPUTED_VALUE"""),171.94)</f>
        <v>171.94</v>
      </c>
      <c r="AQ254" s="3">
        <f>IFERROR(__xludf.DUMMYFUNCTION("""COMPUTED_VALUE"""),565.94)</f>
        <v>565.94</v>
      </c>
      <c r="AR254" s="3">
        <f>IFERROR(__xludf.DUMMYFUNCTION("""COMPUTED_VALUE"""),265.64)</f>
        <v>265.64</v>
      </c>
      <c r="AS254" s="3">
        <f>IFERROR(__xludf.DUMMYFUNCTION("""COMPUTED_VALUE"""),449.18)</f>
        <v>449.18</v>
      </c>
      <c r="AT254" s="3">
        <f>IFERROR(__xludf.DUMMYFUNCTION("""COMPUTED_VALUE"""),315.84)</f>
        <v>315.84</v>
      </c>
      <c r="AU254" s="1">
        <f>IFERROR(__xludf.DUMMYFUNCTION("""COMPUTED_VALUE"""),31.74)</f>
        <v>31.74</v>
      </c>
      <c r="AV254" s="1">
        <f>IFERROR(__xludf.DUMMYFUNCTION("""COMPUTED_VALUE"""),84.25)</f>
        <v>84.25</v>
      </c>
      <c r="AW254" s="1">
        <f>IFERROR(__xludf.DUMMYFUNCTION("""COMPUTED_VALUE"""),79.95)</f>
        <v>79.95</v>
      </c>
      <c r="AX254" s="3">
        <f>IFERROR(__xludf.DUMMYFUNCTION("""COMPUTED_VALUE"""),21.08)</f>
        <v>21.08</v>
      </c>
      <c r="AY254" s="1">
        <f>IFERROR(__xludf.DUMMYFUNCTION("""COMPUTED_VALUE"""),452.94)</f>
        <v>452.94</v>
      </c>
      <c r="AZ254" s="3">
        <f>IFERROR(__xludf.DUMMYFUNCTION("""COMPUTED_VALUE"""),72.19)</f>
        <v>72.19</v>
      </c>
      <c r="BA254" s="3">
        <f>IFERROR(__xludf.DUMMYFUNCTION("""COMPUTED_VALUE"""),153.81)</f>
        <v>153.81</v>
      </c>
      <c r="BB254" s="3">
        <f>IFERROR(__xludf.DUMMYFUNCTION("""COMPUTED_VALUE"""),135.34)</f>
        <v>135.34</v>
      </c>
      <c r="BC254" s="1">
        <f>IFERROR(__xludf.DUMMYFUNCTION("""COMPUTED_VALUE"""),96.04)</f>
        <v>96.04</v>
      </c>
      <c r="BD254" s="1">
        <f>IFERROR(__xludf.DUMMYFUNCTION("""COMPUTED_VALUE"""),57.59)</f>
        <v>57.59</v>
      </c>
      <c r="BE254" s="3">
        <f>IFERROR(__xludf.DUMMYFUNCTION("""COMPUTED_VALUE"""),130.18)</f>
        <v>130.18</v>
      </c>
      <c r="BF254" s="1">
        <f>IFERROR(__xludf.DUMMYFUNCTION("""COMPUTED_VALUE"""),72.68)</f>
        <v>72.68</v>
      </c>
      <c r="BG254" s="1">
        <f>IFERROR(__xludf.DUMMYFUNCTION("""COMPUTED_VALUE"""),22.02)</f>
        <v>22.02</v>
      </c>
      <c r="BH254" s="1">
        <f>IFERROR(__xludf.DUMMYFUNCTION("""COMPUTED_VALUE"""),130.79)</f>
        <v>130.79</v>
      </c>
      <c r="BI254" s="3">
        <f>IFERROR(__xludf.DUMMYFUNCTION("""COMPUTED_VALUE"""),39.48)</f>
        <v>39.48</v>
      </c>
      <c r="BJ254" s="1">
        <f>IFERROR(__xludf.DUMMYFUNCTION("""COMPUTED_VALUE"""),235.29)</f>
        <v>235.29</v>
      </c>
      <c r="BK254" s="1">
        <f>IFERROR(__xludf.DUMMYFUNCTION("""COMPUTED_VALUE"""),406.05)</f>
        <v>406.05</v>
      </c>
      <c r="BL254" s="1">
        <f>IFERROR(__xludf.DUMMYFUNCTION("""COMPUTED_VALUE"""),187.0)</f>
        <v>187</v>
      </c>
      <c r="BM254" s="1">
        <f>IFERROR(__xludf.DUMMYFUNCTION("""COMPUTED_VALUE"""),122.36)</f>
        <v>122.36</v>
      </c>
      <c r="BN254" s="3">
        <f>IFERROR(__xludf.DUMMYFUNCTION("""COMPUTED_VALUE"""),6.27)</f>
        <v>6.27</v>
      </c>
      <c r="BO254" s="1">
        <f>IFERROR(__xludf.DUMMYFUNCTION("""COMPUTED_VALUE"""),228.34)</f>
        <v>228.34</v>
      </c>
      <c r="BP254" s="1">
        <f>IFERROR(__xludf.DUMMYFUNCTION("""COMPUTED_VALUE"""),308.01)</f>
        <v>308.01</v>
      </c>
      <c r="BQ254" s="36">
        <f>IFERROR(__xludf.DUMMYFUNCTION("""COMPUTED_VALUE"""),49.77)</f>
        <v>49.77</v>
      </c>
      <c r="BR254" s="1">
        <f>IFERROR(__xludf.DUMMYFUNCTION("""COMPUTED_VALUE"""),8.42)</f>
        <v>8.42</v>
      </c>
      <c r="BS254" s="3">
        <f>IFERROR(__xludf.DUMMYFUNCTION("""COMPUTED_VALUE"""),222.47)</f>
        <v>222.47</v>
      </c>
      <c r="BT254" s="1">
        <f>IFERROR(__xludf.DUMMYFUNCTION("""COMPUTED_VALUE"""),112.94)</f>
        <v>112.94</v>
      </c>
      <c r="BU254" s="3">
        <v>1.0</v>
      </c>
    </row>
    <row r="255">
      <c r="A255" s="25">
        <f>IFERROR(__xludf.DUMMYFUNCTION("""COMPUTED_VALUE"""),45792.66666666667)</f>
        <v>45792.66667</v>
      </c>
      <c r="B255" s="29">
        <f>'Master Scratch Work'!B254</f>
        <v>1350582.07</v>
      </c>
      <c r="C255" s="15">
        <f>IFERROR(__xludf.DUMMYFUNCTION("""COMPUTED_VALUE"""),5916.93)</f>
        <v>5916.93</v>
      </c>
      <c r="D255" s="15">
        <f>IFERROR(__xludf.DUMMYFUNCTION("""COMPUTED_VALUE"""),19112.32)</f>
        <v>19112.32</v>
      </c>
      <c r="E255" s="15">
        <f>IFERROR(__xludf.DUMMYFUNCTION("""COMPUTED_VALUE"""),42322.75)</f>
        <v>42322.75</v>
      </c>
      <c r="F255" s="15">
        <f>IFERROR(__xludf.DUMMYFUNCTION("""COMPUTED_VALUE"""),2094.69)</f>
        <v>2094.69</v>
      </c>
      <c r="G255" s="3">
        <f>IFERROR(__xludf.DUMMYFUNCTION("""COMPUTED_VALUE"""),590.46)</f>
        <v>590.46</v>
      </c>
      <c r="H255" s="3">
        <f>IFERROR(__xludf.DUMMYFUNCTION("""COMPUTED_VALUE"""),519.25)</f>
        <v>519.25</v>
      </c>
      <c r="I255" s="3">
        <f>IFERROR(__xludf.DUMMYFUNCTION("""COMPUTED_VALUE"""),404.69)</f>
        <v>404.69</v>
      </c>
      <c r="J255" s="3">
        <f>IFERROR(__xludf.DUMMYFUNCTION("""COMPUTED_VALUE"""),205.17)</f>
        <v>205.17</v>
      </c>
      <c r="K255" s="3">
        <f>IFERROR(__xludf.DUMMYFUNCTION("""COMPUTED_VALUE"""),140.37)</f>
        <v>140.37</v>
      </c>
      <c r="L255" s="3">
        <f>IFERROR(__xludf.DUMMYFUNCTION("""COMPUTED_VALUE"""),211.45)</f>
        <v>211.45</v>
      </c>
      <c r="M255" s="3">
        <f>IFERROR(__xludf.DUMMYFUNCTION("""COMPUTED_VALUE"""),174.75)</f>
        <v>174.75</v>
      </c>
      <c r="N255" s="3">
        <f>IFERROR(__xludf.DUMMYFUNCTION("""COMPUTED_VALUE"""),89.39)</f>
        <v>89.39</v>
      </c>
      <c r="O255" s="3">
        <f>IFERROR(__xludf.DUMMYFUNCTION("""COMPUTED_VALUE"""),17.34)</f>
        <v>17.34</v>
      </c>
      <c r="P255" s="3">
        <f>IFERROR(__xludf.DUMMYFUNCTION("""COMPUTED_VALUE"""),507.33)</f>
        <v>507.33</v>
      </c>
      <c r="Q255" s="3">
        <f>IFERROR(__xludf.DUMMYFUNCTION("""COMPUTED_VALUE"""),50.53)</f>
        <v>50.53</v>
      </c>
      <c r="R255" s="3">
        <f>IFERROR(__xludf.DUMMYFUNCTION("""COMPUTED_VALUE"""),123.7)</f>
        <v>123.7</v>
      </c>
      <c r="S255" s="3">
        <f>IFERROR(__xludf.DUMMYFUNCTION("""COMPUTED_VALUE"""),104.86)</f>
        <v>104.86</v>
      </c>
      <c r="T255" s="3">
        <f>IFERROR(__xludf.DUMMYFUNCTION("""COMPUTED_VALUE"""),73.48)</f>
        <v>73.48</v>
      </c>
      <c r="U255" s="3">
        <f>IFERROR(__xludf.DUMMYFUNCTION("""COMPUTED_VALUE"""),349.81)</f>
        <v>349.81</v>
      </c>
      <c r="V255" s="3">
        <f>IFERROR(__xludf.DUMMYFUNCTION("""COMPUTED_VALUE"""),51.59)</f>
        <v>51.59</v>
      </c>
      <c r="W255" s="3">
        <f>IFERROR(__xludf.DUMMYFUNCTION("""COMPUTED_VALUE"""),216.1)</f>
        <v>216.1</v>
      </c>
      <c r="X255" s="3">
        <f>IFERROR(__xludf.DUMMYFUNCTION("""COMPUTED_VALUE"""),142.26)</f>
        <v>142.26</v>
      </c>
      <c r="Y255" s="1">
        <f>IFERROR(__xludf.DUMMYFUNCTION("""COMPUTED_VALUE"""),308.86)</f>
        <v>308.86</v>
      </c>
      <c r="Z255" s="1">
        <f>IFERROR(__xludf.DUMMYFUNCTION("""COMPUTED_VALUE"""),41.72)</f>
        <v>41.72</v>
      </c>
      <c r="AA255" s="1">
        <f>IFERROR(__xludf.DUMMYFUNCTION("""COMPUTED_VALUE"""),71.61)</f>
        <v>71.61</v>
      </c>
      <c r="AB255" s="1">
        <f>IFERROR(__xludf.DUMMYFUNCTION("""COMPUTED_VALUE"""),102.01)</f>
        <v>102.01</v>
      </c>
      <c r="AC255" s="1">
        <f>IFERROR(__xludf.DUMMYFUNCTION("""COMPUTED_VALUE"""),167.79)</f>
        <v>167.79</v>
      </c>
      <c r="AD255" s="3">
        <f>IFERROR(__xludf.DUMMYFUNCTION("""COMPUTED_VALUE"""),86.58)</f>
        <v>86.58</v>
      </c>
      <c r="AE255" s="1">
        <f>IFERROR(__xludf.DUMMYFUNCTION("""COMPUTED_VALUE"""),485.91)</f>
        <v>485.91</v>
      </c>
      <c r="AF255" s="1">
        <f>IFERROR(__xludf.DUMMYFUNCTION("""COMPUTED_VALUE"""),70.6)</f>
        <v>70.6</v>
      </c>
      <c r="AG255" s="1">
        <f>IFERROR(__xludf.DUMMYFUNCTION("""COMPUTED_VALUE"""),108.58)</f>
        <v>108.58</v>
      </c>
      <c r="AH255" s="1">
        <f>IFERROR(__xludf.DUMMYFUNCTION("""COMPUTED_VALUE"""),231.11)</f>
        <v>231.11</v>
      </c>
      <c r="AI255" s="1">
        <f>IFERROR(__xludf.DUMMYFUNCTION("""COMPUTED_VALUE"""),494.79)</f>
        <v>494.79</v>
      </c>
      <c r="AJ255" s="1">
        <f>IFERROR(__xludf.DUMMYFUNCTION("""COMPUTED_VALUE"""),278.51)</f>
        <v>278.51</v>
      </c>
      <c r="AK255" s="1">
        <f>IFERROR(__xludf.DUMMYFUNCTION("""COMPUTED_VALUE"""),50.12)</f>
        <v>50.12</v>
      </c>
      <c r="AL255" s="1">
        <f>IFERROR(__xludf.DUMMYFUNCTION("""COMPUTED_VALUE"""),100.34)</f>
        <v>100.34</v>
      </c>
      <c r="AM255" s="1">
        <f>IFERROR(__xludf.DUMMYFUNCTION("""COMPUTED_VALUE"""),615.9)</f>
        <v>615.9</v>
      </c>
      <c r="AN255" s="1">
        <f>IFERROR(__xludf.DUMMYFUNCTION("""COMPUTED_VALUE"""),378.63)</f>
        <v>378.63</v>
      </c>
      <c r="AO255" s="1">
        <f>IFERROR(__xludf.DUMMYFUNCTION("""COMPUTED_VALUE"""),148.05)</f>
        <v>148.05</v>
      </c>
      <c r="AP255" s="1">
        <f>IFERROR(__xludf.DUMMYFUNCTION("""COMPUTED_VALUE"""),174.85)</f>
        <v>174.85</v>
      </c>
      <c r="AQ255" s="3">
        <f>IFERROR(__xludf.DUMMYFUNCTION("""COMPUTED_VALUE"""),560.28)</f>
        <v>560.28</v>
      </c>
      <c r="AR255" s="3">
        <f>IFERROR(__xludf.DUMMYFUNCTION("""COMPUTED_VALUE"""),267.49)</f>
        <v>267.49</v>
      </c>
      <c r="AS255" s="3">
        <f>IFERROR(__xludf.DUMMYFUNCTION("""COMPUTED_VALUE"""),465.14)</f>
        <v>465.14</v>
      </c>
      <c r="AT255" s="3">
        <f>IFERROR(__xludf.DUMMYFUNCTION("""COMPUTED_VALUE"""),318.96)</f>
        <v>318.96</v>
      </c>
      <c r="AU255" s="1">
        <f>IFERROR(__xludf.DUMMYFUNCTION("""COMPUTED_VALUE"""),31.87)</f>
        <v>31.87</v>
      </c>
      <c r="AV255" s="1">
        <f>IFERROR(__xludf.DUMMYFUNCTION("""COMPUTED_VALUE"""),86.11)</f>
        <v>86.11</v>
      </c>
      <c r="AW255" s="1">
        <f>IFERROR(__xludf.DUMMYFUNCTION("""COMPUTED_VALUE"""),80.46)</f>
        <v>80.46</v>
      </c>
      <c r="AX255" s="3">
        <f>IFERROR(__xludf.DUMMYFUNCTION("""COMPUTED_VALUE"""),21.32)</f>
        <v>21.32</v>
      </c>
      <c r="AY255" s="1">
        <f>IFERROR(__xludf.DUMMYFUNCTION("""COMPUTED_VALUE"""),453.13)</f>
        <v>453.13</v>
      </c>
      <c r="AZ255" s="3">
        <f>IFERROR(__xludf.DUMMYFUNCTION("""COMPUTED_VALUE"""),74.55)</f>
        <v>74.55</v>
      </c>
      <c r="BA255" s="3">
        <f>IFERROR(__xludf.DUMMYFUNCTION("""COMPUTED_VALUE"""),155.02)</f>
        <v>155.02</v>
      </c>
      <c r="BB255" s="3">
        <f>IFERROR(__xludf.DUMMYFUNCTION("""COMPUTED_VALUE"""),134.83)</f>
        <v>134.83</v>
      </c>
      <c r="BC255" s="1">
        <f>IFERROR(__xludf.DUMMYFUNCTION("""COMPUTED_VALUE"""),97.86)</f>
        <v>97.86</v>
      </c>
      <c r="BD255" s="1">
        <f>IFERROR(__xludf.DUMMYFUNCTION("""COMPUTED_VALUE"""),60.25)</f>
        <v>60.25</v>
      </c>
      <c r="BE255" s="3">
        <f>IFERROR(__xludf.DUMMYFUNCTION("""COMPUTED_VALUE"""),128.12)</f>
        <v>128.12</v>
      </c>
      <c r="BF255" s="1">
        <f>IFERROR(__xludf.DUMMYFUNCTION("""COMPUTED_VALUE"""),71.57)</f>
        <v>71.57</v>
      </c>
      <c r="BG255" s="1">
        <f>IFERROR(__xludf.DUMMYFUNCTION("""COMPUTED_VALUE"""),22.6)</f>
        <v>22.6</v>
      </c>
      <c r="BH255" s="1">
        <f>IFERROR(__xludf.DUMMYFUNCTION("""COMPUTED_VALUE"""),135.52)</f>
        <v>135.52</v>
      </c>
      <c r="BI255" s="3">
        <f>IFERROR(__xludf.DUMMYFUNCTION("""COMPUTED_VALUE"""),39.44)</f>
        <v>39.44</v>
      </c>
      <c r="BJ255" s="1">
        <f>IFERROR(__xludf.DUMMYFUNCTION("""COMPUTED_VALUE"""),240.16)</f>
        <v>240.16</v>
      </c>
      <c r="BK255" s="1">
        <f>IFERROR(__xludf.DUMMYFUNCTION("""COMPUTED_VALUE"""),404.93)</f>
        <v>404.93</v>
      </c>
      <c r="BL255" s="1">
        <f>IFERROR(__xludf.DUMMYFUNCTION("""COMPUTED_VALUE"""),183.45)</f>
        <v>183.45</v>
      </c>
      <c r="BM255" s="1">
        <f>IFERROR(__xludf.DUMMYFUNCTION("""COMPUTED_VALUE"""),121.81)</f>
        <v>121.81</v>
      </c>
      <c r="BN255" s="3">
        <f>IFERROR(__xludf.DUMMYFUNCTION("""COMPUTED_VALUE"""),6.54)</f>
        <v>6.54</v>
      </c>
      <c r="BO255" s="1">
        <f>IFERROR(__xludf.DUMMYFUNCTION("""COMPUTED_VALUE"""),230.85)</f>
        <v>230.85</v>
      </c>
      <c r="BP255" s="1">
        <f>IFERROR(__xludf.DUMMYFUNCTION("""COMPUTED_VALUE"""),274.35)</f>
        <v>274.35</v>
      </c>
      <c r="BQ255" s="36">
        <f>IFERROR(__xludf.DUMMYFUNCTION("""COMPUTED_VALUE"""),49.85)</f>
        <v>49.85</v>
      </c>
      <c r="BR255" s="1">
        <f>IFERROR(__xludf.DUMMYFUNCTION("""COMPUTED_VALUE"""),8.79)</f>
        <v>8.79</v>
      </c>
      <c r="BS255" s="3">
        <f>IFERROR(__xludf.DUMMYFUNCTION("""COMPUTED_VALUE"""),228.02)</f>
        <v>228.02</v>
      </c>
      <c r="BT255" s="1">
        <f>IFERROR(__xludf.DUMMYFUNCTION("""COMPUTED_VALUE"""),112.22)</f>
        <v>112.22</v>
      </c>
      <c r="BU255" s="3">
        <v>1.0</v>
      </c>
    </row>
    <row r="256">
      <c r="A256" s="25">
        <f>IFERROR(__xludf.DUMMYFUNCTION("""COMPUTED_VALUE"""),45793.66666666667)</f>
        <v>45793.66667</v>
      </c>
      <c r="B256" s="29">
        <f>'Master Scratch Work'!B255</f>
        <v>1360461.23</v>
      </c>
      <c r="C256" s="15">
        <f>IFERROR(__xludf.DUMMYFUNCTION("""COMPUTED_VALUE"""),5958.38)</f>
        <v>5958.38</v>
      </c>
      <c r="D256" s="15">
        <f>IFERROR(__xludf.DUMMYFUNCTION("""COMPUTED_VALUE"""),19211.1)</f>
        <v>19211.1</v>
      </c>
      <c r="E256" s="15">
        <f>IFERROR(__xludf.DUMMYFUNCTION("""COMPUTED_VALUE"""),42654.74)</f>
        <v>42654.74</v>
      </c>
      <c r="F256" s="15">
        <f>IFERROR(__xludf.DUMMYFUNCTION("""COMPUTED_VALUE"""),2113.25)</f>
        <v>2113.25</v>
      </c>
      <c r="G256" s="3">
        <f>IFERROR(__xludf.DUMMYFUNCTION("""COMPUTED_VALUE"""),594.2)</f>
        <v>594.2</v>
      </c>
      <c r="H256" s="3">
        <f>IFERROR(__xludf.DUMMYFUNCTION("""COMPUTED_VALUE"""),521.51)</f>
        <v>521.51</v>
      </c>
      <c r="I256" s="3">
        <f>IFERROR(__xludf.DUMMYFUNCTION("""COMPUTED_VALUE"""),417.13)</f>
        <v>417.13</v>
      </c>
      <c r="J256" s="3">
        <f>IFERROR(__xludf.DUMMYFUNCTION("""COMPUTED_VALUE"""),205.59)</f>
        <v>205.59</v>
      </c>
      <c r="K256" s="3">
        <f>IFERROR(__xludf.DUMMYFUNCTION("""COMPUTED_VALUE"""),142.56)</f>
        <v>142.56</v>
      </c>
      <c r="L256" s="3">
        <f>IFERROR(__xludf.DUMMYFUNCTION("""COMPUTED_VALUE"""),211.26)</f>
        <v>211.26</v>
      </c>
      <c r="M256" s="3">
        <f>IFERROR(__xludf.DUMMYFUNCTION("""COMPUTED_VALUE"""),165.57)</f>
        <v>165.57</v>
      </c>
      <c r="N256" s="3">
        <f>IFERROR(__xludf.DUMMYFUNCTION("""COMPUTED_VALUE"""),90.07)</f>
        <v>90.07</v>
      </c>
      <c r="O256" s="3">
        <f>IFERROR(__xludf.DUMMYFUNCTION("""COMPUTED_VALUE"""),17.42)</f>
        <v>17.42</v>
      </c>
      <c r="P256" s="3">
        <f>IFERROR(__xludf.DUMMYFUNCTION("""COMPUTED_VALUE"""),514.31)</f>
        <v>514.31</v>
      </c>
      <c r="Q256" s="3">
        <f>IFERROR(__xludf.DUMMYFUNCTION("""COMPUTED_VALUE"""),50.51)</f>
        <v>50.51</v>
      </c>
      <c r="R256" s="3">
        <f>IFERROR(__xludf.DUMMYFUNCTION("""COMPUTED_VALUE"""),125.59)</f>
        <v>125.59</v>
      </c>
      <c r="S256" s="3">
        <f>IFERROR(__xludf.DUMMYFUNCTION("""COMPUTED_VALUE"""),106.04)</f>
        <v>106.04</v>
      </c>
      <c r="T256" s="3">
        <f>IFERROR(__xludf.DUMMYFUNCTION("""COMPUTED_VALUE"""),75.62)</f>
        <v>75.62</v>
      </c>
      <c r="U256" s="3">
        <f>IFERROR(__xludf.DUMMYFUNCTION("""COMPUTED_VALUE"""),353.58)</f>
        <v>353.58</v>
      </c>
      <c r="V256" s="3">
        <f>IFERROR(__xludf.DUMMYFUNCTION("""COMPUTED_VALUE"""),51.27)</f>
        <v>51.27</v>
      </c>
      <c r="W256" s="3">
        <f>IFERROR(__xludf.DUMMYFUNCTION("""COMPUTED_VALUE"""),218.68)</f>
        <v>218.68</v>
      </c>
      <c r="X256" s="3">
        <f>IFERROR(__xludf.DUMMYFUNCTION("""COMPUTED_VALUE"""),142.1)</f>
        <v>142.1</v>
      </c>
      <c r="Y256" s="1">
        <f>IFERROR(__xludf.DUMMYFUNCTION("""COMPUTED_VALUE"""),320.94)</f>
        <v>320.94</v>
      </c>
      <c r="Z256" s="1">
        <f>IFERROR(__xludf.DUMMYFUNCTION("""COMPUTED_VALUE"""),41.82)</f>
        <v>41.82</v>
      </c>
      <c r="AA256" s="1">
        <f>IFERROR(__xludf.DUMMYFUNCTION("""COMPUTED_VALUE"""),72.0)</f>
        <v>72</v>
      </c>
      <c r="AB256" s="1">
        <f>IFERROR(__xludf.DUMMYFUNCTION("""COMPUTED_VALUE"""),104.29)</f>
        <v>104.29</v>
      </c>
      <c r="AC256" s="1">
        <f>IFERROR(__xludf.DUMMYFUNCTION("""COMPUTED_VALUE"""),170.05)</f>
        <v>170.05</v>
      </c>
      <c r="AD256" s="3">
        <f>IFERROR(__xludf.DUMMYFUNCTION("""COMPUTED_VALUE"""),86.51)</f>
        <v>86.51</v>
      </c>
      <c r="AE256" s="1">
        <f>IFERROR(__xludf.DUMMYFUNCTION("""COMPUTED_VALUE"""),495.05)</f>
        <v>495.05</v>
      </c>
      <c r="AF256" s="1">
        <f>IFERROR(__xludf.DUMMYFUNCTION("""COMPUTED_VALUE"""),71.84)</f>
        <v>71.84</v>
      </c>
      <c r="AG256" s="1">
        <f>IFERROR(__xludf.DUMMYFUNCTION("""COMPUTED_VALUE"""),108.19)</f>
        <v>108.19</v>
      </c>
      <c r="AH256" s="1">
        <f>IFERROR(__xludf.DUMMYFUNCTION("""COMPUTED_VALUE"""),229.51)</f>
        <v>229.51</v>
      </c>
      <c r="AI256" s="1">
        <f>IFERROR(__xludf.DUMMYFUNCTION("""COMPUTED_VALUE"""),498.74)</f>
        <v>498.74</v>
      </c>
      <c r="AJ256" s="1">
        <f>IFERROR(__xludf.DUMMYFUNCTION("""COMPUTED_VALUE"""),280.71)</f>
        <v>280.71</v>
      </c>
      <c r="AK256" s="1">
        <f>IFERROR(__xludf.DUMMYFUNCTION("""COMPUTED_VALUE"""),50.37)</f>
        <v>50.37</v>
      </c>
      <c r="AL256" s="1">
        <f>IFERROR(__xludf.DUMMYFUNCTION("""COMPUTED_VALUE"""),102.5)</f>
        <v>102.5</v>
      </c>
      <c r="AM256" s="1">
        <f>IFERROR(__xludf.DUMMYFUNCTION("""COMPUTED_VALUE"""),619.03)</f>
        <v>619.03</v>
      </c>
      <c r="AN256" s="1">
        <f>IFERROR(__xludf.DUMMYFUNCTION("""COMPUTED_VALUE"""),380.78)</f>
        <v>380.78</v>
      </c>
      <c r="AO256" s="1">
        <f>IFERROR(__xludf.DUMMYFUNCTION("""COMPUTED_VALUE"""),152.93)</f>
        <v>152.93</v>
      </c>
      <c r="AP256" s="1">
        <f>IFERROR(__xludf.DUMMYFUNCTION("""COMPUTED_VALUE"""),176.25)</f>
        <v>176.25</v>
      </c>
      <c r="AQ256" s="3">
        <f>IFERROR(__xludf.DUMMYFUNCTION("""COMPUTED_VALUE"""),563.6)</f>
        <v>563.6</v>
      </c>
      <c r="AR256" s="3">
        <f>IFERROR(__xludf.DUMMYFUNCTION("""COMPUTED_VALUE"""),267.56)</f>
        <v>267.56</v>
      </c>
      <c r="AS256" s="3">
        <f>IFERROR(__xludf.DUMMYFUNCTION("""COMPUTED_VALUE"""),468.32)</f>
        <v>468.32</v>
      </c>
      <c r="AT256" s="3">
        <f>IFERROR(__xludf.DUMMYFUNCTION("""COMPUTED_VALUE"""),321.44)</f>
        <v>321.44</v>
      </c>
      <c r="AU256" s="1">
        <f>IFERROR(__xludf.DUMMYFUNCTION("""COMPUTED_VALUE"""),32.0)</f>
        <v>32</v>
      </c>
      <c r="AV256" s="1">
        <f>IFERROR(__xludf.DUMMYFUNCTION("""COMPUTED_VALUE"""),86.44)</f>
        <v>86.44</v>
      </c>
      <c r="AW256" s="1">
        <f>IFERROR(__xludf.DUMMYFUNCTION("""COMPUTED_VALUE"""),80.83)</f>
        <v>80.83</v>
      </c>
      <c r="AX256" s="3">
        <f>IFERROR(__xludf.DUMMYFUNCTION("""COMPUTED_VALUE"""),21.31)</f>
        <v>21.31</v>
      </c>
      <c r="AY256" s="1">
        <f>IFERROR(__xludf.DUMMYFUNCTION("""COMPUTED_VALUE"""),454.27)</f>
        <v>454.27</v>
      </c>
      <c r="AZ256" s="3">
        <f>IFERROR(__xludf.DUMMYFUNCTION("""COMPUTED_VALUE"""),75.0)</f>
        <v>75</v>
      </c>
      <c r="BA256" s="3">
        <f>IFERROR(__xludf.DUMMYFUNCTION("""COMPUTED_VALUE"""),159.2)</f>
        <v>159.2</v>
      </c>
      <c r="BB256" s="3">
        <f>IFERROR(__xludf.DUMMYFUNCTION("""COMPUTED_VALUE"""),135.4)</f>
        <v>135.4</v>
      </c>
      <c r="BC256" s="1">
        <f>IFERROR(__xludf.DUMMYFUNCTION("""COMPUTED_VALUE"""),98.89)</f>
        <v>98.89</v>
      </c>
      <c r="BD256" s="1">
        <f>IFERROR(__xludf.DUMMYFUNCTION("""COMPUTED_VALUE"""),59.9)</f>
        <v>59.9</v>
      </c>
      <c r="BE256" s="3">
        <f>IFERROR(__xludf.DUMMYFUNCTION("""COMPUTED_VALUE"""),129.52)</f>
        <v>129.52</v>
      </c>
      <c r="BF256" s="1">
        <f>IFERROR(__xludf.DUMMYFUNCTION("""COMPUTED_VALUE"""),72.18)</f>
        <v>72.18</v>
      </c>
      <c r="BG256" s="1">
        <f>IFERROR(__xludf.DUMMYFUNCTION("""COMPUTED_VALUE"""),22.83)</f>
        <v>22.83</v>
      </c>
      <c r="BH256" s="1">
        <f>IFERROR(__xludf.DUMMYFUNCTION("""COMPUTED_VALUE"""),135.48)</f>
        <v>135.48</v>
      </c>
      <c r="BI256" s="3">
        <f>IFERROR(__xludf.DUMMYFUNCTION("""COMPUTED_VALUE"""),39.54)</f>
        <v>39.54</v>
      </c>
      <c r="BJ256" s="1">
        <f>IFERROR(__xludf.DUMMYFUNCTION("""COMPUTED_VALUE"""),242.66)</f>
        <v>242.66</v>
      </c>
      <c r="BK256" s="1">
        <f>IFERROR(__xludf.DUMMYFUNCTION("""COMPUTED_VALUE"""),412.06)</f>
        <v>412.06</v>
      </c>
      <c r="BL256" s="1">
        <f>IFERROR(__xludf.DUMMYFUNCTION("""COMPUTED_VALUE"""),183.19)</f>
        <v>183.19</v>
      </c>
      <c r="BM256" s="1">
        <f>IFERROR(__xludf.DUMMYFUNCTION("""COMPUTED_VALUE"""),121.58)</f>
        <v>121.58</v>
      </c>
      <c r="BN256" s="3">
        <f>IFERROR(__xludf.DUMMYFUNCTION("""COMPUTED_VALUE"""),6.71)</f>
        <v>6.71</v>
      </c>
      <c r="BO256" s="1">
        <f>IFERROR(__xludf.DUMMYFUNCTION("""COMPUTED_VALUE"""),231.42)</f>
        <v>231.42</v>
      </c>
      <c r="BP256" s="1">
        <f>IFERROR(__xludf.DUMMYFUNCTION("""COMPUTED_VALUE"""),291.91)</f>
        <v>291.91</v>
      </c>
      <c r="BQ256" s="36">
        <f>IFERROR(__xludf.DUMMYFUNCTION("""COMPUTED_VALUE"""),49.88)</f>
        <v>49.88</v>
      </c>
      <c r="BR256" s="1">
        <f>IFERROR(__xludf.DUMMYFUNCTION("""COMPUTED_VALUE"""),8.84)</f>
        <v>8.84</v>
      </c>
      <c r="BS256" s="3">
        <f>IFERROR(__xludf.DUMMYFUNCTION("""COMPUTED_VALUE"""),229.87)</f>
        <v>229.87</v>
      </c>
      <c r="BT256" s="1">
        <f>IFERROR(__xludf.DUMMYFUNCTION("""COMPUTED_VALUE"""),113.42)</f>
        <v>113.42</v>
      </c>
      <c r="BU256" s="3">
        <v>1.0</v>
      </c>
    </row>
    <row r="257">
      <c r="A257" s="25">
        <f>IFERROR(__xludf.DUMMYFUNCTION("""COMPUTED_VALUE"""),45796.66666666667)</f>
        <v>45796.66667</v>
      </c>
      <c r="B257" s="29">
        <f>'Master Scratch Work'!B256</f>
        <v>1361948.79</v>
      </c>
      <c r="C257" s="15">
        <f>IFERROR(__xludf.DUMMYFUNCTION("""COMPUTED_VALUE"""),5963.6)</f>
        <v>5963.6</v>
      </c>
      <c r="D257" s="15">
        <f>IFERROR(__xludf.DUMMYFUNCTION("""COMPUTED_VALUE"""),19215.46)</f>
        <v>19215.46</v>
      </c>
      <c r="E257" s="15">
        <f>IFERROR(__xludf.DUMMYFUNCTION("""COMPUTED_VALUE"""),42792.07)</f>
        <v>42792.07</v>
      </c>
      <c r="F257" s="15">
        <f>IFERROR(__xludf.DUMMYFUNCTION("""COMPUTED_VALUE"""),2104.43)</f>
        <v>2104.43</v>
      </c>
      <c r="G257" s="3">
        <f>IFERROR(__xludf.DUMMYFUNCTION("""COMPUTED_VALUE"""),594.85)</f>
        <v>594.85</v>
      </c>
      <c r="H257" s="3">
        <f>IFERROR(__xludf.DUMMYFUNCTION("""COMPUTED_VALUE"""),522.01)</f>
        <v>522.01</v>
      </c>
      <c r="I257" s="3">
        <f>IFERROR(__xludf.DUMMYFUNCTION("""COMPUTED_VALUE"""),420.68)</f>
        <v>420.68</v>
      </c>
      <c r="J257" s="3">
        <f>IFERROR(__xludf.DUMMYFUNCTION("""COMPUTED_VALUE"""),206.16)</f>
        <v>206.16</v>
      </c>
      <c r="K257" s="3">
        <f>IFERROR(__xludf.DUMMYFUNCTION("""COMPUTED_VALUE"""),143.71)</f>
        <v>143.71</v>
      </c>
      <c r="L257" s="3">
        <f>IFERROR(__xludf.DUMMYFUNCTION("""COMPUTED_VALUE"""),208.78)</f>
        <v>208.78</v>
      </c>
      <c r="M257" s="3">
        <f>IFERROR(__xludf.DUMMYFUNCTION("""COMPUTED_VALUE"""),165.94)</f>
        <v>165.94</v>
      </c>
      <c r="N257" s="3">
        <f>IFERROR(__xludf.DUMMYFUNCTION("""COMPUTED_VALUE"""),90.33)</f>
        <v>90.33</v>
      </c>
      <c r="O257" s="3">
        <f>IFERROR(__xludf.DUMMYFUNCTION("""COMPUTED_VALUE"""),17.73)</f>
        <v>17.73</v>
      </c>
      <c r="P257" s="3">
        <f>IFERROR(__xludf.DUMMYFUNCTION("""COMPUTED_VALUE"""),512.39)</f>
        <v>512.39</v>
      </c>
      <c r="Q257" s="3">
        <f>IFERROR(__xludf.DUMMYFUNCTION("""COMPUTED_VALUE"""),50.35)</f>
        <v>50.35</v>
      </c>
      <c r="R257" s="3">
        <f>IFERROR(__xludf.DUMMYFUNCTION("""COMPUTED_VALUE"""),129.44)</f>
        <v>129.44</v>
      </c>
      <c r="S257" s="3">
        <f>IFERROR(__xludf.DUMMYFUNCTION("""COMPUTED_VALUE"""),106.66)</f>
        <v>106.66</v>
      </c>
      <c r="T257" s="3">
        <f>IFERROR(__xludf.DUMMYFUNCTION("""COMPUTED_VALUE"""),75.83)</f>
        <v>75.83</v>
      </c>
      <c r="U257" s="3">
        <f>IFERROR(__xludf.DUMMYFUNCTION("""COMPUTED_VALUE"""),352.57)</f>
        <v>352.57</v>
      </c>
      <c r="V257" s="3">
        <f>IFERROR(__xludf.DUMMYFUNCTION("""COMPUTED_VALUE"""),51.18)</f>
        <v>51.18</v>
      </c>
      <c r="W257" s="3">
        <f>IFERROR(__xludf.DUMMYFUNCTION("""COMPUTED_VALUE"""),218.91)</f>
        <v>218.91</v>
      </c>
      <c r="X257" s="3">
        <f>IFERROR(__xludf.DUMMYFUNCTION("""COMPUTED_VALUE"""),138.49)</f>
        <v>138.49</v>
      </c>
      <c r="Y257" s="1">
        <f>IFERROR(__xludf.DUMMYFUNCTION("""COMPUTED_VALUE"""),321.96)</f>
        <v>321.96</v>
      </c>
      <c r="Z257" s="1">
        <f>IFERROR(__xludf.DUMMYFUNCTION("""COMPUTED_VALUE"""),41.58)</f>
        <v>41.58</v>
      </c>
      <c r="AA257" s="1">
        <f>IFERROR(__xludf.DUMMYFUNCTION("""COMPUTED_VALUE"""),71.93)</f>
        <v>71.93</v>
      </c>
      <c r="AB257" s="1">
        <f>IFERROR(__xludf.DUMMYFUNCTION("""COMPUTED_VALUE"""),105.38)</f>
        <v>105.38</v>
      </c>
      <c r="AC257" s="1">
        <f>IFERROR(__xludf.DUMMYFUNCTION("""COMPUTED_VALUE"""),170.79)</f>
        <v>170.79</v>
      </c>
      <c r="AD257" s="3">
        <f>IFERROR(__xludf.DUMMYFUNCTION("""COMPUTED_VALUE"""),86.61)</f>
        <v>86.61</v>
      </c>
      <c r="AE257" s="1">
        <f>IFERROR(__xludf.DUMMYFUNCTION("""COMPUTED_VALUE"""),497.52)</f>
        <v>497.52</v>
      </c>
      <c r="AF257" s="1">
        <f>IFERROR(__xludf.DUMMYFUNCTION("""COMPUTED_VALUE"""),72.43)</f>
        <v>72.43</v>
      </c>
      <c r="AG257" s="1">
        <f>IFERROR(__xludf.DUMMYFUNCTION("""COMPUTED_VALUE"""),106.47)</f>
        <v>106.47</v>
      </c>
      <c r="AH257" s="1">
        <f>IFERROR(__xludf.DUMMYFUNCTION("""COMPUTED_VALUE"""),226.12)</f>
        <v>226.12</v>
      </c>
      <c r="AI257" s="1">
        <f>IFERROR(__xludf.DUMMYFUNCTION("""COMPUTED_VALUE"""),497.63)</f>
        <v>497.63</v>
      </c>
      <c r="AJ257" s="1">
        <f>IFERROR(__xludf.DUMMYFUNCTION("""COMPUTED_VALUE"""),281.37)</f>
        <v>281.37</v>
      </c>
      <c r="AK257" s="1">
        <f>IFERROR(__xludf.DUMMYFUNCTION("""COMPUTED_VALUE"""),50.03)</f>
        <v>50.03</v>
      </c>
      <c r="AL257" s="1">
        <f>IFERROR(__xludf.DUMMYFUNCTION("""COMPUTED_VALUE"""),106.16)</f>
        <v>106.16</v>
      </c>
      <c r="AM257" s="1">
        <f>IFERROR(__xludf.DUMMYFUNCTION("""COMPUTED_VALUE"""),612.3)</f>
        <v>612.3</v>
      </c>
      <c r="AN257" s="1">
        <f>IFERROR(__xludf.DUMMYFUNCTION("""COMPUTED_VALUE"""),379.38)</f>
        <v>379.38</v>
      </c>
      <c r="AO257" s="1">
        <f>IFERROR(__xludf.DUMMYFUNCTION("""COMPUTED_VALUE"""),152.95)</f>
        <v>152.95</v>
      </c>
      <c r="AP257" s="1">
        <f>IFERROR(__xludf.DUMMYFUNCTION("""COMPUTED_VALUE"""),176.75)</f>
        <v>176.75</v>
      </c>
      <c r="AQ257" s="3">
        <f>IFERROR(__xludf.DUMMYFUNCTION("""COMPUTED_VALUE"""),561.63)</f>
        <v>561.63</v>
      </c>
      <c r="AR257" s="3">
        <f>IFERROR(__xludf.DUMMYFUNCTION("""COMPUTED_VALUE"""),264.88)</f>
        <v>264.88</v>
      </c>
      <c r="AS257" s="3">
        <f>IFERROR(__xludf.DUMMYFUNCTION("""COMPUTED_VALUE"""),473.06)</f>
        <v>473.06</v>
      </c>
      <c r="AT257" s="3">
        <f>IFERROR(__xludf.DUMMYFUNCTION("""COMPUTED_VALUE"""),323.7)</f>
        <v>323.7</v>
      </c>
      <c r="AU257" s="1">
        <f>IFERROR(__xludf.DUMMYFUNCTION("""COMPUTED_VALUE"""),32.07)</f>
        <v>32.07</v>
      </c>
      <c r="AV257" s="1">
        <f>IFERROR(__xludf.DUMMYFUNCTION("""COMPUTED_VALUE"""),86.97)</f>
        <v>86.97</v>
      </c>
      <c r="AW257" s="1">
        <f>IFERROR(__xludf.DUMMYFUNCTION("""COMPUTED_VALUE"""),80.87)</f>
        <v>80.87</v>
      </c>
      <c r="AX257" s="3">
        <f>IFERROR(__xludf.DUMMYFUNCTION("""COMPUTED_VALUE"""),21.25)</f>
        <v>21.25</v>
      </c>
      <c r="AY257" s="1">
        <f>IFERROR(__xludf.DUMMYFUNCTION("""COMPUTED_VALUE"""),458.87)</f>
        <v>458.87</v>
      </c>
      <c r="AZ257" s="3">
        <f>IFERROR(__xludf.DUMMYFUNCTION("""COMPUTED_VALUE"""),73.86)</f>
        <v>73.86</v>
      </c>
      <c r="BA257" s="3">
        <f>IFERROR(__xludf.DUMMYFUNCTION("""COMPUTED_VALUE"""),161.24)</f>
        <v>161.24</v>
      </c>
      <c r="BB257" s="3">
        <f>IFERROR(__xludf.DUMMYFUNCTION("""COMPUTED_VALUE"""),135.57)</f>
        <v>135.57</v>
      </c>
      <c r="BC257" s="1">
        <f>IFERROR(__xludf.DUMMYFUNCTION("""COMPUTED_VALUE"""),98.54)</f>
        <v>98.54</v>
      </c>
      <c r="BD257" s="1">
        <f>IFERROR(__xludf.DUMMYFUNCTION("""COMPUTED_VALUE"""),59.99)</f>
        <v>59.99</v>
      </c>
      <c r="BE257" s="3">
        <f>IFERROR(__xludf.DUMMYFUNCTION("""COMPUTED_VALUE"""),126.33)</f>
        <v>126.33</v>
      </c>
      <c r="BF257" s="1">
        <f>IFERROR(__xludf.DUMMYFUNCTION("""COMPUTED_VALUE"""),72.32)</f>
        <v>72.32</v>
      </c>
      <c r="BG257" s="1">
        <f>IFERROR(__xludf.DUMMYFUNCTION("""COMPUTED_VALUE"""),23.0)</f>
        <v>23</v>
      </c>
      <c r="BH257" s="1">
        <f>IFERROR(__xludf.DUMMYFUNCTION("""COMPUTED_VALUE"""),137.2)</f>
        <v>137.2</v>
      </c>
      <c r="BI257" s="3">
        <f>IFERROR(__xludf.DUMMYFUNCTION("""COMPUTED_VALUE"""),39.93)</f>
        <v>39.93</v>
      </c>
      <c r="BJ257" s="1">
        <f>IFERROR(__xludf.DUMMYFUNCTION("""COMPUTED_VALUE"""),244.25)</f>
        <v>244.25</v>
      </c>
      <c r="BK257" s="1">
        <f>IFERROR(__xludf.DUMMYFUNCTION("""COMPUTED_VALUE"""),413.92)</f>
        <v>413.92</v>
      </c>
      <c r="BL257" s="1">
        <f>IFERROR(__xludf.DUMMYFUNCTION("""COMPUTED_VALUE"""),185.32)</f>
        <v>185.32</v>
      </c>
      <c r="BM257" s="1">
        <f>IFERROR(__xludf.DUMMYFUNCTION("""COMPUTED_VALUE"""),122.1)</f>
        <v>122.1</v>
      </c>
      <c r="BN257" s="3">
        <f>IFERROR(__xludf.DUMMYFUNCTION("""COMPUTED_VALUE"""),6.55)</f>
        <v>6.55</v>
      </c>
      <c r="BO257" s="1">
        <f>IFERROR(__xludf.DUMMYFUNCTION("""COMPUTED_VALUE"""),229.5)</f>
        <v>229.5</v>
      </c>
      <c r="BP257" s="1">
        <f>IFERROR(__xludf.DUMMYFUNCTION("""COMPUTED_VALUE"""),315.89)</f>
        <v>315.89</v>
      </c>
      <c r="BQ257" s="36">
        <f>IFERROR(__xludf.DUMMYFUNCTION("""COMPUTED_VALUE"""),49.92)</f>
        <v>49.92</v>
      </c>
      <c r="BR257" s="1">
        <f>IFERROR(__xludf.DUMMYFUNCTION("""COMPUTED_VALUE"""),8.76)</f>
        <v>8.76</v>
      </c>
      <c r="BS257" s="3">
        <f>IFERROR(__xludf.DUMMYFUNCTION("""COMPUTED_VALUE"""),231.95)</f>
        <v>231.95</v>
      </c>
      <c r="BT257" s="1">
        <f>IFERROR(__xludf.DUMMYFUNCTION("""COMPUTED_VALUE"""),112.66)</f>
        <v>112.66</v>
      </c>
      <c r="BU257" s="3">
        <v>1.0</v>
      </c>
    </row>
    <row r="258">
      <c r="A258" s="25">
        <f>IFERROR(__xludf.DUMMYFUNCTION("""COMPUTED_VALUE"""),45797.66666666667)</f>
        <v>45797.66667</v>
      </c>
      <c r="B258" s="29">
        <f>'Master Scratch Work'!B257</f>
        <v>1359774.1</v>
      </c>
      <c r="C258" s="15">
        <f>IFERROR(__xludf.DUMMYFUNCTION("""COMPUTED_VALUE"""),5940.46)</f>
        <v>5940.46</v>
      </c>
      <c r="D258" s="15">
        <f>IFERROR(__xludf.DUMMYFUNCTION("""COMPUTED_VALUE"""),19142.71)</f>
        <v>19142.71</v>
      </c>
      <c r="E258" s="15">
        <f>IFERROR(__xludf.DUMMYFUNCTION("""COMPUTED_VALUE"""),42677.24)</f>
        <v>42677.24</v>
      </c>
      <c r="F258" s="15">
        <f>IFERROR(__xludf.DUMMYFUNCTION("""COMPUTED_VALUE"""),2105.58)</f>
        <v>2105.58</v>
      </c>
      <c r="G258" s="3">
        <f>IFERROR(__xludf.DUMMYFUNCTION("""COMPUTED_VALUE"""),592.85)</f>
        <v>592.85</v>
      </c>
      <c r="H258" s="3">
        <f>IFERROR(__xludf.DUMMYFUNCTION("""COMPUTED_VALUE"""),520.27)</f>
        <v>520.27</v>
      </c>
      <c r="I258" s="3">
        <f>IFERROR(__xludf.DUMMYFUNCTION("""COMPUTED_VALUE"""),417.61)</f>
        <v>417.61</v>
      </c>
      <c r="J258" s="3">
        <f>IFERROR(__xludf.DUMMYFUNCTION("""COMPUTED_VALUE"""),204.07)</f>
        <v>204.07</v>
      </c>
      <c r="K258" s="3">
        <f>IFERROR(__xludf.DUMMYFUNCTION("""COMPUTED_VALUE"""),143.82)</f>
        <v>143.82</v>
      </c>
      <c r="L258" s="3">
        <f>IFERROR(__xludf.DUMMYFUNCTION("""COMPUTED_VALUE"""),206.86)</f>
        <v>206.86</v>
      </c>
      <c r="M258" s="3">
        <f>IFERROR(__xludf.DUMMYFUNCTION("""COMPUTED_VALUE"""),165.73)</f>
        <v>165.73</v>
      </c>
      <c r="N258" s="3">
        <f>IFERROR(__xludf.DUMMYFUNCTION("""COMPUTED_VALUE"""),90.1)</f>
        <v>90.1</v>
      </c>
      <c r="O258" s="3">
        <f>IFERROR(__xludf.DUMMYFUNCTION("""COMPUTED_VALUE"""),17.85)</f>
        <v>17.85</v>
      </c>
      <c r="P258" s="3">
        <f>IFERROR(__xludf.DUMMYFUNCTION("""COMPUTED_VALUE"""),508.74)</f>
        <v>508.74</v>
      </c>
      <c r="Q258" s="3">
        <f>IFERROR(__xludf.DUMMYFUNCTION("""COMPUTED_VALUE"""),49.72)</f>
        <v>49.72</v>
      </c>
      <c r="R258" s="3">
        <f>IFERROR(__xludf.DUMMYFUNCTION("""COMPUTED_VALUE"""),130.55)</f>
        <v>130.55</v>
      </c>
      <c r="S258" s="3">
        <f>IFERROR(__xludf.DUMMYFUNCTION("""COMPUTED_VALUE"""),106.54)</f>
        <v>106.54</v>
      </c>
      <c r="T258" s="3">
        <f>IFERROR(__xludf.DUMMYFUNCTION("""COMPUTED_VALUE"""),74.95)</f>
        <v>74.95</v>
      </c>
      <c r="U258" s="3">
        <f>IFERROR(__xludf.DUMMYFUNCTION("""COMPUTED_VALUE"""),349.49)</f>
        <v>349.49</v>
      </c>
      <c r="V258" s="3">
        <f>IFERROR(__xludf.DUMMYFUNCTION("""COMPUTED_VALUE"""),52.4)</f>
        <v>52.4</v>
      </c>
      <c r="W258" s="3">
        <f>IFERROR(__xludf.DUMMYFUNCTION("""COMPUTED_VALUE"""),220.92)</f>
        <v>220.92</v>
      </c>
      <c r="X258" s="3">
        <f>IFERROR(__xludf.DUMMYFUNCTION("""COMPUTED_VALUE"""),137.27)</f>
        <v>137.27</v>
      </c>
      <c r="Y258" s="1">
        <f>IFERROR(__xludf.DUMMYFUNCTION("""COMPUTED_VALUE"""),325.0)</f>
        <v>325</v>
      </c>
      <c r="Z258" s="1">
        <f>IFERROR(__xludf.DUMMYFUNCTION("""COMPUTED_VALUE"""),41.3)</f>
        <v>41.3</v>
      </c>
      <c r="AA258" s="1">
        <f>IFERROR(__xludf.DUMMYFUNCTION("""COMPUTED_VALUE"""),71.69)</f>
        <v>71.69</v>
      </c>
      <c r="AB258" s="1">
        <f>IFERROR(__xludf.DUMMYFUNCTION("""COMPUTED_VALUE"""),105.71)</f>
        <v>105.71</v>
      </c>
      <c r="AC258" s="1">
        <f>IFERROR(__xludf.DUMMYFUNCTION("""COMPUTED_VALUE"""),170.13)</f>
        <v>170.13</v>
      </c>
      <c r="AD258" s="3">
        <f>IFERROR(__xludf.DUMMYFUNCTION("""COMPUTED_VALUE"""),90.62)</f>
        <v>90.62</v>
      </c>
      <c r="AE258" s="1">
        <f>IFERROR(__xludf.DUMMYFUNCTION("""COMPUTED_VALUE"""),493.07)</f>
        <v>493.07</v>
      </c>
      <c r="AF258" s="1">
        <f>IFERROR(__xludf.DUMMYFUNCTION("""COMPUTED_VALUE"""),72.59)</f>
        <v>72.59</v>
      </c>
      <c r="AG258" s="1">
        <f>IFERROR(__xludf.DUMMYFUNCTION("""COMPUTED_VALUE"""),104.95)</f>
        <v>104.95</v>
      </c>
      <c r="AH258" s="1">
        <f>IFERROR(__xludf.DUMMYFUNCTION("""COMPUTED_VALUE"""),221.14)</f>
        <v>221.14</v>
      </c>
      <c r="AI258" s="1">
        <f>IFERROR(__xludf.DUMMYFUNCTION("""COMPUTED_VALUE"""),499.02)</f>
        <v>499.02</v>
      </c>
      <c r="AJ258" s="1">
        <f>IFERROR(__xludf.DUMMYFUNCTION("""COMPUTED_VALUE"""),281.57)</f>
        <v>281.57</v>
      </c>
      <c r="AK258" s="1">
        <f>IFERROR(__xludf.DUMMYFUNCTION("""COMPUTED_VALUE"""),50.21)</f>
        <v>50.21</v>
      </c>
      <c r="AL258" s="1">
        <f>IFERROR(__xludf.DUMMYFUNCTION("""COMPUTED_VALUE"""),109.11)</f>
        <v>109.11</v>
      </c>
      <c r="AM258" s="1">
        <f>IFERROR(__xludf.DUMMYFUNCTION("""COMPUTED_VALUE"""),606.52)</f>
        <v>606.52</v>
      </c>
      <c r="AN258" s="1">
        <f>IFERROR(__xludf.DUMMYFUNCTION("""COMPUTED_VALUE"""),377.05)</f>
        <v>377.05</v>
      </c>
      <c r="AO258" s="1">
        <f>IFERROR(__xludf.DUMMYFUNCTION("""COMPUTED_VALUE"""),152.04)</f>
        <v>152.04</v>
      </c>
      <c r="AP258" s="1">
        <f>IFERROR(__xludf.DUMMYFUNCTION("""COMPUTED_VALUE"""),176.29)</f>
        <v>176.29</v>
      </c>
      <c r="AQ258" s="3">
        <f>IFERROR(__xludf.DUMMYFUNCTION("""COMPUTED_VALUE"""),557.16)</f>
        <v>557.16</v>
      </c>
      <c r="AR258" s="3">
        <f>IFERROR(__xludf.DUMMYFUNCTION("""COMPUTED_VALUE"""),265.68)</f>
        <v>265.68</v>
      </c>
      <c r="AS258" s="3">
        <f>IFERROR(__xludf.DUMMYFUNCTION("""COMPUTED_VALUE"""),475.82)</f>
        <v>475.82</v>
      </c>
      <c r="AT258" s="3">
        <f>IFERROR(__xludf.DUMMYFUNCTION("""COMPUTED_VALUE"""),327.17)</f>
        <v>327.17</v>
      </c>
      <c r="AU258" s="1">
        <f>IFERROR(__xludf.DUMMYFUNCTION("""COMPUTED_VALUE"""),31.8)</f>
        <v>31.8</v>
      </c>
      <c r="AV258" s="1">
        <f>IFERROR(__xludf.DUMMYFUNCTION("""COMPUTED_VALUE"""),86.37)</f>
        <v>86.37</v>
      </c>
      <c r="AW258" s="1">
        <f>IFERROR(__xludf.DUMMYFUNCTION("""COMPUTED_VALUE"""),80.33)</f>
        <v>80.33</v>
      </c>
      <c r="AX258" s="3">
        <f>IFERROR(__xludf.DUMMYFUNCTION("""COMPUTED_VALUE"""),20.64)</f>
        <v>20.64</v>
      </c>
      <c r="AY258" s="1">
        <f>IFERROR(__xludf.DUMMYFUNCTION("""COMPUTED_VALUE"""),458.17)</f>
        <v>458.17</v>
      </c>
      <c r="AZ258" s="3">
        <f>IFERROR(__xludf.DUMMYFUNCTION("""COMPUTED_VALUE"""),74.41)</f>
        <v>74.41</v>
      </c>
      <c r="BA258" s="3">
        <f>IFERROR(__xludf.DUMMYFUNCTION("""COMPUTED_VALUE"""),159.68)</f>
        <v>159.68</v>
      </c>
      <c r="BB258" s="3">
        <f>IFERROR(__xludf.DUMMYFUNCTION("""COMPUTED_VALUE"""),134.38)</f>
        <v>134.38</v>
      </c>
      <c r="BC258" s="1">
        <f>IFERROR(__xludf.DUMMYFUNCTION("""COMPUTED_VALUE"""),98.21)</f>
        <v>98.21</v>
      </c>
      <c r="BD258" s="1">
        <f>IFERROR(__xludf.DUMMYFUNCTION("""COMPUTED_VALUE"""),59.67)</f>
        <v>59.67</v>
      </c>
      <c r="BE258" s="3">
        <f>IFERROR(__xludf.DUMMYFUNCTION("""COMPUTED_VALUE"""),125.59)</f>
        <v>125.59</v>
      </c>
      <c r="BF258" s="1">
        <f>IFERROR(__xludf.DUMMYFUNCTION("""COMPUTED_VALUE"""),72.61)</f>
        <v>72.61</v>
      </c>
      <c r="BG258" s="1">
        <f>IFERROR(__xludf.DUMMYFUNCTION("""COMPUTED_VALUE"""),23.52)</f>
        <v>23.52</v>
      </c>
      <c r="BH258" s="1">
        <f>IFERROR(__xludf.DUMMYFUNCTION("""COMPUTED_VALUE"""),137.18)</f>
        <v>137.18</v>
      </c>
      <c r="BI258" s="3">
        <f>IFERROR(__xludf.DUMMYFUNCTION("""COMPUTED_VALUE"""),40.47)</f>
        <v>40.47</v>
      </c>
      <c r="BJ258" s="1">
        <f>IFERROR(__xludf.DUMMYFUNCTION("""COMPUTED_VALUE"""),241.21)</f>
        <v>241.21</v>
      </c>
      <c r="BK258" s="1">
        <f>IFERROR(__xludf.DUMMYFUNCTION("""COMPUTED_VALUE"""),413.75)</f>
        <v>413.75</v>
      </c>
      <c r="BL258" s="1">
        <f>IFERROR(__xludf.DUMMYFUNCTION("""COMPUTED_VALUE"""),186.36)</f>
        <v>186.36</v>
      </c>
      <c r="BM258" s="1">
        <f>IFERROR(__xludf.DUMMYFUNCTION("""COMPUTED_VALUE"""),124.71)</f>
        <v>124.71</v>
      </c>
      <c r="BN258" s="3">
        <f>IFERROR(__xludf.DUMMYFUNCTION("""COMPUTED_VALUE"""),6.67)</f>
        <v>6.67</v>
      </c>
      <c r="BO258" s="1">
        <f>IFERROR(__xludf.DUMMYFUNCTION("""COMPUTED_VALUE"""),228.33)</f>
        <v>228.33</v>
      </c>
      <c r="BP258" s="1">
        <f>IFERROR(__xludf.DUMMYFUNCTION("""COMPUTED_VALUE"""),321.58)</f>
        <v>321.58</v>
      </c>
      <c r="BQ258" s="36">
        <f>IFERROR(__xludf.DUMMYFUNCTION("""COMPUTED_VALUE"""),49.94)</f>
        <v>49.94</v>
      </c>
      <c r="BR258" s="1">
        <f>IFERROR(__xludf.DUMMYFUNCTION("""COMPUTED_VALUE"""),8.88)</f>
        <v>8.88</v>
      </c>
      <c r="BS258" s="3">
        <f>IFERROR(__xludf.DUMMYFUNCTION("""COMPUTED_VALUE"""),233.89)</f>
        <v>233.89</v>
      </c>
      <c r="BT258" s="1">
        <f>IFERROR(__xludf.DUMMYFUNCTION("""COMPUTED_VALUE"""),112.36)</f>
        <v>112.36</v>
      </c>
      <c r="BU258" s="3">
        <v>1.0</v>
      </c>
    </row>
    <row r="259">
      <c r="A259" s="25">
        <f>IFERROR(__xludf.DUMMYFUNCTION("""COMPUTED_VALUE"""),45798.66666666667)</f>
        <v>45798.66667</v>
      </c>
      <c r="B259" s="29">
        <f>'Master Scratch Work'!B258</f>
        <v>1337368.77</v>
      </c>
      <c r="C259" s="15">
        <f>IFERROR(__xludf.DUMMYFUNCTION("""COMPUTED_VALUE"""),5844.61)</f>
        <v>5844.61</v>
      </c>
      <c r="D259" s="15">
        <f>IFERROR(__xludf.DUMMYFUNCTION("""COMPUTED_VALUE"""),18872.64)</f>
        <v>18872.64</v>
      </c>
      <c r="E259" s="15">
        <f>IFERROR(__xludf.DUMMYFUNCTION("""COMPUTED_VALUE"""),41860.44)</f>
        <v>41860.44</v>
      </c>
      <c r="F259" s="15">
        <f>IFERROR(__xludf.DUMMYFUNCTION("""COMPUTED_VALUE"""),2046.56)</f>
        <v>2046.56</v>
      </c>
      <c r="G259" s="3">
        <f>IFERROR(__xludf.DUMMYFUNCTION("""COMPUTED_VALUE"""),582.86)</f>
        <v>582.86</v>
      </c>
      <c r="H259" s="3">
        <f>IFERROR(__xludf.DUMMYFUNCTION("""COMPUTED_VALUE"""),513.04)</f>
        <v>513.04</v>
      </c>
      <c r="I259" s="3">
        <f>IFERROR(__xludf.DUMMYFUNCTION("""COMPUTED_VALUE"""),414.03)</f>
        <v>414.03</v>
      </c>
      <c r="J259" s="3">
        <f>IFERROR(__xludf.DUMMYFUNCTION("""COMPUTED_VALUE"""),201.12)</f>
        <v>201.12</v>
      </c>
      <c r="K259" s="3">
        <f>IFERROR(__xludf.DUMMYFUNCTION("""COMPUTED_VALUE"""),143.48)</f>
        <v>143.48</v>
      </c>
      <c r="L259" s="3">
        <f>IFERROR(__xludf.DUMMYFUNCTION("""COMPUTED_VALUE"""),202.09)</f>
        <v>202.09</v>
      </c>
      <c r="M259" s="3">
        <f>IFERROR(__xludf.DUMMYFUNCTION("""COMPUTED_VALUE"""),162.23)</f>
        <v>162.23</v>
      </c>
      <c r="N259" s="3">
        <f>IFERROR(__xludf.DUMMYFUNCTION("""COMPUTED_VALUE"""),88.9)</f>
        <v>88.9</v>
      </c>
      <c r="O259" s="3">
        <f>IFERROR(__xludf.DUMMYFUNCTION("""COMPUTED_VALUE"""),17.57)</f>
        <v>17.57</v>
      </c>
      <c r="P259" s="3">
        <f>IFERROR(__xludf.DUMMYFUNCTION("""COMPUTED_VALUE"""),507.03)</f>
        <v>507.03</v>
      </c>
      <c r="Q259" s="3">
        <f>IFERROR(__xludf.DUMMYFUNCTION("""COMPUTED_VALUE"""),49.34)</f>
        <v>49.34</v>
      </c>
      <c r="R259" s="3">
        <f>IFERROR(__xludf.DUMMYFUNCTION("""COMPUTED_VALUE"""),126.82)</f>
        <v>126.82</v>
      </c>
      <c r="S259" s="3">
        <f>IFERROR(__xludf.DUMMYFUNCTION("""COMPUTED_VALUE"""),104.64)</f>
        <v>104.64</v>
      </c>
      <c r="T259" s="3">
        <f>IFERROR(__xludf.DUMMYFUNCTION("""COMPUTED_VALUE"""),72.09)</f>
        <v>72.09</v>
      </c>
      <c r="U259" s="3">
        <f>IFERROR(__xludf.DUMMYFUNCTION("""COMPUTED_VALUE"""),342.51)</f>
        <v>342.51</v>
      </c>
      <c r="V259" s="3">
        <f>IFERROR(__xludf.DUMMYFUNCTION("""COMPUTED_VALUE"""),52.17)</f>
        <v>52.17</v>
      </c>
      <c r="W259" s="3">
        <f>IFERROR(__xludf.DUMMYFUNCTION("""COMPUTED_VALUE"""),220.95)</f>
        <v>220.95</v>
      </c>
      <c r="X259" s="3">
        <f>IFERROR(__xludf.DUMMYFUNCTION("""COMPUTED_VALUE"""),135.56)</f>
        <v>135.56</v>
      </c>
      <c r="Y259" s="1">
        <f>IFERROR(__xludf.DUMMYFUNCTION("""COMPUTED_VALUE"""),317.09)</f>
        <v>317.09</v>
      </c>
      <c r="Z259" s="1">
        <f>IFERROR(__xludf.DUMMYFUNCTION("""COMPUTED_VALUE"""),39.64)</f>
        <v>39.64</v>
      </c>
      <c r="AA259" s="1">
        <f>IFERROR(__xludf.DUMMYFUNCTION("""COMPUTED_VALUE"""),71.85)</f>
        <v>71.85</v>
      </c>
      <c r="AB259" s="1">
        <f>IFERROR(__xludf.DUMMYFUNCTION("""COMPUTED_VALUE"""),105.22)</f>
        <v>105.22</v>
      </c>
      <c r="AC259" s="1">
        <f>IFERROR(__xludf.DUMMYFUNCTION("""COMPUTED_VALUE"""),167.29)</f>
        <v>167.29</v>
      </c>
      <c r="AD259" s="3">
        <f>IFERROR(__xludf.DUMMYFUNCTION("""COMPUTED_VALUE"""),88.92)</f>
        <v>88.92</v>
      </c>
      <c r="AE259" s="1">
        <f>IFERROR(__xludf.DUMMYFUNCTION("""COMPUTED_VALUE"""),480.49)</f>
        <v>480.49</v>
      </c>
      <c r="AF259" s="1">
        <f>IFERROR(__xludf.DUMMYFUNCTION("""COMPUTED_VALUE"""),71.58)</f>
        <v>71.58</v>
      </c>
      <c r="AG259" s="1">
        <f>IFERROR(__xludf.DUMMYFUNCTION("""COMPUTED_VALUE"""),103.66)</f>
        <v>103.66</v>
      </c>
      <c r="AH259" s="1">
        <f>IFERROR(__xludf.DUMMYFUNCTION("""COMPUTED_VALUE"""),216.81)</f>
        <v>216.81</v>
      </c>
      <c r="AI259" s="1">
        <f>IFERROR(__xludf.DUMMYFUNCTION("""COMPUTED_VALUE"""),496.12)</f>
        <v>496.12</v>
      </c>
      <c r="AJ259" s="1">
        <f>IFERROR(__xludf.DUMMYFUNCTION("""COMPUTED_VALUE"""),277.7)</f>
        <v>277.7</v>
      </c>
      <c r="AK259" s="1">
        <f>IFERROR(__xludf.DUMMYFUNCTION("""COMPUTED_VALUE"""),49.37)</f>
        <v>49.37</v>
      </c>
      <c r="AL259" s="1">
        <f>IFERROR(__xludf.DUMMYFUNCTION("""COMPUTED_VALUE"""),107.72)</f>
        <v>107.72</v>
      </c>
      <c r="AM259" s="1">
        <f>IFERROR(__xludf.DUMMYFUNCTION("""COMPUTED_VALUE"""),593.46)</f>
        <v>593.46</v>
      </c>
      <c r="AN259" s="1">
        <f>IFERROR(__xludf.DUMMYFUNCTION("""COMPUTED_VALUE"""),370.84)</f>
        <v>370.84</v>
      </c>
      <c r="AO259" s="1">
        <f>IFERROR(__xludf.DUMMYFUNCTION("""COMPUTED_VALUE"""),150.47)</f>
        <v>150.47</v>
      </c>
      <c r="AP259" s="1">
        <f>IFERROR(__xludf.DUMMYFUNCTION("""COMPUTED_VALUE"""),174.72)</f>
        <v>174.72</v>
      </c>
      <c r="AQ259" s="3">
        <f>IFERROR(__xludf.DUMMYFUNCTION("""COMPUTED_VALUE"""),547.07)</f>
        <v>547.07</v>
      </c>
      <c r="AR259" s="3">
        <f>IFERROR(__xludf.DUMMYFUNCTION("""COMPUTED_VALUE"""),261.04)</f>
        <v>261.04</v>
      </c>
      <c r="AS259" s="3">
        <f>IFERROR(__xludf.DUMMYFUNCTION("""COMPUTED_VALUE"""),470.28)</f>
        <v>470.28</v>
      </c>
      <c r="AT259" s="3">
        <f>IFERROR(__xludf.DUMMYFUNCTION("""COMPUTED_VALUE"""),317.56)</f>
        <v>317.56</v>
      </c>
      <c r="AU259" s="1">
        <f>IFERROR(__xludf.DUMMYFUNCTION("""COMPUTED_VALUE"""),30.77)</f>
        <v>30.77</v>
      </c>
      <c r="AV259" s="1">
        <f>IFERROR(__xludf.DUMMYFUNCTION("""COMPUTED_VALUE"""),84.41)</f>
        <v>84.41</v>
      </c>
      <c r="AW259" s="1">
        <f>IFERROR(__xludf.DUMMYFUNCTION("""COMPUTED_VALUE"""),77.9)</f>
        <v>77.9</v>
      </c>
      <c r="AX259" s="3">
        <f>IFERROR(__xludf.DUMMYFUNCTION("""COMPUTED_VALUE"""),19.5)</f>
        <v>19.5</v>
      </c>
      <c r="AY259" s="1">
        <f>IFERROR(__xludf.DUMMYFUNCTION("""COMPUTED_VALUE"""),452.57)</f>
        <v>452.57</v>
      </c>
      <c r="AZ259" s="3">
        <f>IFERROR(__xludf.DUMMYFUNCTION("""COMPUTED_VALUE"""),71.54)</f>
        <v>71.54</v>
      </c>
      <c r="BA259" s="3">
        <f>IFERROR(__xludf.DUMMYFUNCTION("""COMPUTED_VALUE"""),155.47)</f>
        <v>155.47</v>
      </c>
      <c r="BB259" s="3">
        <f>IFERROR(__xludf.DUMMYFUNCTION("""COMPUTED_VALUE"""),131.8)</f>
        <v>131.8</v>
      </c>
      <c r="BC259" s="1">
        <f>IFERROR(__xludf.DUMMYFUNCTION("""COMPUTED_VALUE"""),97.63)</f>
        <v>97.63</v>
      </c>
      <c r="BD259" s="1">
        <f>IFERROR(__xludf.DUMMYFUNCTION("""COMPUTED_VALUE"""),59.14)</f>
        <v>59.14</v>
      </c>
      <c r="BE259" s="3">
        <f>IFERROR(__xludf.DUMMYFUNCTION("""COMPUTED_VALUE"""),120.58)</f>
        <v>120.58</v>
      </c>
      <c r="BF259" s="1">
        <f>IFERROR(__xludf.DUMMYFUNCTION("""COMPUTED_VALUE"""),71.65)</f>
        <v>71.65</v>
      </c>
      <c r="BG259" s="1">
        <f>IFERROR(__xludf.DUMMYFUNCTION("""COMPUTED_VALUE"""),23.04)</f>
        <v>23.04</v>
      </c>
      <c r="BH259" s="1">
        <f>IFERROR(__xludf.DUMMYFUNCTION("""COMPUTED_VALUE"""),134.95)</f>
        <v>134.95</v>
      </c>
      <c r="BI259" s="3">
        <f>IFERROR(__xludf.DUMMYFUNCTION("""COMPUTED_VALUE"""),38.74)</f>
        <v>38.74</v>
      </c>
      <c r="BJ259" s="1">
        <f>IFERROR(__xludf.DUMMYFUNCTION("""COMPUTED_VALUE"""),240.76)</f>
        <v>240.76</v>
      </c>
      <c r="BK259" s="1">
        <f>IFERROR(__xludf.DUMMYFUNCTION("""COMPUTED_VALUE"""),398.28)</f>
        <v>398.28</v>
      </c>
      <c r="BL259" s="1">
        <f>IFERROR(__xludf.DUMMYFUNCTION("""COMPUTED_VALUE"""),184.47)</f>
        <v>184.47</v>
      </c>
      <c r="BM259" s="1">
        <f>IFERROR(__xludf.DUMMYFUNCTION("""COMPUTED_VALUE"""),121.31)</f>
        <v>121.31</v>
      </c>
      <c r="BN259" s="3">
        <f>IFERROR(__xludf.DUMMYFUNCTION("""COMPUTED_VALUE"""),6.52)</f>
        <v>6.52</v>
      </c>
      <c r="BO259" s="1">
        <f>IFERROR(__xludf.DUMMYFUNCTION("""COMPUTED_VALUE"""),223.62)</f>
        <v>223.62</v>
      </c>
      <c r="BP259" s="1">
        <f>IFERROR(__xludf.DUMMYFUNCTION("""COMPUTED_VALUE"""),302.98)</f>
        <v>302.98</v>
      </c>
      <c r="BQ259" s="36">
        <f>IFERROR(__xludf.DUMMYFUNCTION("""COMPUTED_VALUE"""),49.87)</f>
        <v>49.87</v>
      </c>
      <c r="BR259" s="1">
        <f>IFERROR(__xludf.DUMMYFUNCTION("""COMPUTED_VALUE"""),8.48)</f>
        <v>8.48</v>
      </c>
      <c r="BS259" s="3">
        <f>IFERROR(__xludf.DUMMYFUNCTION("""COMPUTED_VALUE"""),234.11)</f>
        <v>234.11</v>
      </c>
      <c r="BT259" s="1">
        <f>IFERROR(__xludf.DUMMYFUNCTION("""COMPUTED_VALUE"""),110.46)</f>
        <v>110.46</v>
      </c>
      <c r="BU259" s="3">
        <v>1.0</v>
      </c>
    </row>
    <row r="260">
      <c r="A260" s="25">
        <f>IFERROR(__xludf.DUMMYFUNCTION("""COMPUTED_VALUE"""),45799.66666666667)</f>
        <v>45799.66667</v>
      </c>
      <c r="B260" s="29">
        <f>'Master Scratch Work'!B259</f>
        <v>1338080.81</v>
      </c>
      <c r="C260" s="15">
        <f>IFERROR(__xludf.DUMMYFUNCTION("""COMPUTED_VALUE"""),5842.01)</f>
        <v>5842.01</v>
      </c>
      <c r="D260" s="15">
        <f>IFERROR(__xludf.DUMMYFUNCTION("""COMPUTED_VALUE"""),18925.74)</f>
        <v>18925.74</v>
      </c>
      <c r="E260" s="15">
        <f>IFERROR(__xludf.DUMMYFUNCTION("""COMPUTED_VALUE"""),41859.09)</f>
        <v>41859.09</v>
      </c>
      <c r="F260" s="15">
        <f>IFERROR(__xludf.DUMMYFUNCTION("""COMPUTED_VALUE"""),2045.56)</f>
        <v>2045.56</v>
      </c>
      <c r="G260" s="3">
        <f>IFERROR(__xludf.DUMMYFUNCTION("""COMPUTED_VALUE"""),582.86)</f>
        <v>582.86</v>
      </c>
      <c r="H260" s="3">
        <f>IFERROR(__xludf.DUMMYFUNCTION("""COMPUTED_VALUE"""),514.0)</f>
        <v>514</v>
      </c>
      <c r="I260" s="3">
        <f>IFERROR(__xludf.DUMMYFUNCTION("""COMPUTED_VALUE"""),414.03)</f>
        <v>414.03</v>
      </c>
      <c r="J260" s="3">
        <f>IFERROR(__xludf.DUMMYFUNCTION("""COMPUTED_VALUE"""),201.12)</f>
        <v>201.12</v>
      </c>
      <c r="K260" s="3">
        <f>IFERROR(__xludf.DUMMYFUNCTION("""COMPUTED_VALUE"""),141.85)</f>
        <v>141.85</v>
      </c>
      <c r="L260" s="3">
        <f>IFERROR(__xludf.DUMMYFUNCTION("""COMPUTED_VALUE"""),202.09)</f>
        <v>202.09</v>
      </c>
      <c r="M260" s="3">
        <f>IFERROR(__xludf.DUMMYFUNCTION("""COMPUTED_VALUE"""),162.23)</f>
        <v>162.23</v>
      </c>
      <c r="N260" s="3">
        <f>IFERROR(__xludf.DUMMYFUNCTION("""COMPUTED_VALUE"""),89.18)</f>
        <v>89.18</v>
      </c>
      <c r="O260" s="3">
        <f>IFERROR(__xludf.DUMMYFUNCTION("""COMPUTED_VALUE"""),17.57)</f>
        <v>17.57</v>
      </c>
      <c r="P260" s="3">
        <f>IFERROR(__xludf.DUMMYFUNCTION("""COMPUTED_VALUE"""),507.03)</f>
        <v>507.03</v>
      </c>
      <c r="Q260" s="3">
        <f>IFERROR(__xludf.DUMMYFUNCTION("""COMPUTED_VALUE"""),49.15)</f>
        <v>49.15</v>
      </c>
      <c r="R260" s="3">
        <f>IFERROR(__xludf.DUMMYFUNCTION("""COMPUTED_VALUE"""),126.3)</f>
        <v>126.3</v>
      </c>
      <c r="S260" s="3">
        <f>IFERROR(__xludf.DUMMYFUNCTION("""COMPUTED_VALUE"""),104.5)</f>
        <v>104.5</v>
      </c>
      <c r="T260" s="3">
        <f>IFERROR(__xludf.DUMMYFUNCTION("""COMPUTED_VALUE"""),72.09)</f>
        <v>72.09</v>
      </c>
      <c r="U260" s="3">
        <f>IFERROR(__xludf.DUMMYFUNCTION("""COMPUTED_VALUE"""),342.51)</f>
        <v>342.51</v>
      </c>
      <c r="V260" s="3">
        <f>IFERROR(__xludf.DUMMYFUNCTION("""COMPUTED_VALUE"""),52.81)</f>
        <v>52.81</v>
      </c>
      <c r="W260" s="3">
        <f>IFERROR(__xludf.DUMMYFUNCTION("""COMPUTED_VALUE"""),224.86)</f>
        <v>224.86</v>
      </c>
      <c r="X260" s="3">
        <f>IFERROR(__xludf.DUMMYFUNCTION("""COMPUTED_VALUE"""),135.56)</f>
        <v>135.56</v>
      </c>
      <c r="Y260" s="1">
        <f>IFERROR(__xludf.DUMMYFUNCTION("""COMPUTED_VALUE"""),317.09)</f>
        <v>317.09</v>
      </c>
      <c r="Z260" s="1">
        <f>IFERROR(__xludf.DUMMYFUNCTION("""COMPUTED_VALUE"""),39.64)</f>
        <v>39.64</v>
      </c>
      <c r="AA260" s="1">
        <f>IFERROR(__xludf.DUMMYFUNCTION("""COMPUTED_VALUE"""),71.85)</f>
        <v>71.85</v>
      </c>
      <c r="AB260" s="1">
        <f>IFERROR(__xludf.DUMMYFUNCTION("""COMPUTED_VALUE"""),103.42)</f>
        <v>103.42</v>
      </c>
      <c r="AC260" s="1">
        <f>IFERROR(__xludf.DUMMYFUNCTION("""COMPUTED_VALUE"""),167.29)</f>
        <v>167.29</v>
      </c>
      <c r="AD260" s="3">
        <f>IFERROR(__xludf.DUMMYFUNCTION("""COMPUTED_VALUE"""),88.92)</f>
        <v>88.92</v>
      </c>
      <c r="AE260" s="1">
        <f>IFERROR(__xludf.DUMMYFUNCTION("""COMPUTED_VALUE"""),482.26)</f>
        <v>482.26</v>
      </c>
      <c r="AF260" s="1">
        <f>IFERROR(__xludf.DUMMYFUNCTION("""COMPUTED_VALUE"""),72.15)</f>
        <v>72.15</v>
      </c>
      <c r="AG260" s="1">
        <f>IFERROR(__xludf.DUMMYFUNCTION("""COMPUTED_VALUE"""),103.66)</f>
        <v>103.66</v>
      </c>
      <c r="AH260" s="1">
        <f>IFERROR(__xludf.DUMMYFUNCTION("""COMPUTED_VALUE"""),218.81)</f>
        <v>218.81</v>
      </c>
      <c r="AI260" s="1">
        <f>IFERROR(__xludf.DUMMYFUNCTION("""COMPUTED_VALUE"""),496.12)</f>
        <v>496.12</v>
      </c>
      <c r="AJ260" s="1">
        <f>IFERROR(__xludf.DUMMYFUNCTION("""COMPUTED_VALUE"""),277.7)</f>
        <v>277.7</v>
      </c>
      <c r="AK260" s="1">
        <f>IFERROR(__xludf.DUMMYFUNCTION("""COMPUTED_VALUE"""),49.37)</f>
        <v>49.37</v>
      </c>
      <c r="AL260" s="1">
        <f>IFERROR(__xludf.DUMMYFUNCTION("""COMPUTED_VALUE"""),107.72)</f>
        <v>107.72</v>
      </c>
      <c r="AM260" s="1">
        <f>IFERROR(__xludf.DUMMYFUNCTION("""COMPUTED_VALUE"""),593.46)</f>
        <v>593.46</v>
      </c>
      <c r="AN260" s="1">
        <f>IFERROR(__xludf.DUMMYFUNCTION("""COMPUTED_VALUE"""),370.84)</f>
        <v>370.84</v>
      </c>
      <c r="AO260" s="1">
        <f>IFERROR(__xludf.DUMMYFUNCTION("""COMPUTED_VALUE"""),150.47)</f>
        <v>150.47</v>
      </c>
      <c r="AP260" s="1">
        <f>IFERROR(__xludf.DUMMYFUNCTION("""COMPUTED_VALUE"""),174.0)</f>
        <v>174</v>
      </c>
      <c r="AQ260" s="3">
        <f>IFERROR(__xludf.DUMMYFUNCTION("""COMPUTED_VALUE"""),547.07)</f>
        <v>547.07</v>
      </c>
      <c r="AR260" s="3">
        <f>IFERROR(__xludf.DUMMYFUNCTION("""COMPUTED_VALUE"""),261.04)</f>
        <v>261.04</v>
      </c>
      <c r="AS260" s="3">
        <f>IFERROR(__xludf.DUMMYFUNCTION("""COMPUTED_VALUE"""),470.28)</f>
        <v>470.28</v>
      </c>
      <c r="AT260" s="3">
        <f>IFERROR(__xludf.DUMMYFUNCTION("""COMPUTED_VALUE"""),320.46)</f>
        <v>320.46</v>
      </c>
      <c r="AU260" s="1">
        <f>IFERROR(__xludf.DUMMYFUNCTION("""COMPUTED_VALUE"""),30.77)</f>
        <v>30.77</v>
      </c>
      <c r="AV260" s="1">
        <f>IFERROR(__xludf.DUMMYFUNCTION("""COMPUTED_VALUE"""),80.91)</f>
        <v>80.91</v>
      </c>
      <c r="AW260" s="1">
        <f>IFERROR(__xludf.DUMMYFUNCTION("""COMPUTED_VALUE"""),77.9)</f>
        <v>77.9</v>
      </c>
      <c r="AX260" s="3">
        <f>IFERROR(__xludf.DUMMYFUNCTION("""COMPUTED_VALUE"""),20.08)</f>
        <v>20.08</v>
      </c>
      <c r="AY260" s="1">
        <f>IFERROR(__xludf.DUMMYFUNCTION("""COMPUTED_VALUE"""),454.86)</f>
        <v>454.86</v>
      </c>
      <c r="AZ260" s="3">
        <f>IFERROR(__xludf.DUMMYFUNCTION("""COMPUTED_VALUE"""),71.54)</f>
        <v>71.54</v>
      </c>
      <c r="BA260" s="3">
        <f>IFERROR(__xludf.DUMMYFUNCTION("""COMPUTED_VALUE"""),155.29)</f>
        <v>155.29</v>
      </c>
      <c r="BB260" s="3">
        <f>IFERROR(__xludf.DUMMYFUNCTION("""COMPUTED_VALUE"""),131.8)</f>
        <v>131.8</v>
      </c>
      <c r="BC260" s="1">
        <f>IFERROR(__xludf.DUMMYFUNCTION("""COMPUTED_VALUE"""),97.63)</f>
        <v>97.63</v>
      </c>
      <c r="BD260" s="1">
        <f>IFERROR(__xludf.DUMMYFUNCTION("""COMPUTED_VALUE"""),58.82)</f>
        <v>58.82</v>
      </c>
      <c r="BE260" s="3">
        <f>IFERROR(__xludf.DUMMYFUNCTION("""COMPUTED_VALUE"""),122.29)</f>
        <v>122.29</v>
      </c>
      <c r="BF260" s="1">
        <f>IFERROR(__xludf.DUMMYFUNCTION("""COMPUTED_VALUE"""),71.65)</f>
        <v>71.65</v>
      </c>
      <c r="BG260" s="1">
        <f>IFERROR(__xludf.DUMMYFUNCTION("""COMPUTED_VALUE"""),23.04)</f>
        <v>23.04</v>
      </c>
      <c r="BH260" s="1">
        <f>IFERROR(__xludf.DUMMYFUNCTION("""COMPUTED_VALUE"""),134.95)</f>
        <v>134.95</v>
      </c>
      <c r="BI260" s="3">
        <f>IFERROR(__xludf.DUMMYFUNCTION("""COMPUTED_VALUE"""),38.8)</f>
        <v>38.8</v>
      </c>
      <c r="BJ260" s="1">
        <f>IFERROR(__xludf.DUMMYFUNCTION("""COMPUTED_VALUE"""),240.76)</f>
        <v>240.76</v>
      </c>
      <c r="BK260" s="1">
        <f>IFERROR(__xludf.DUMMYFUNCTION("""COMPUTED_VALUE"""),398.28)</f>
        <v>398.28</v>
      </c>
      <c r="BL260" s="1">
        <f>IFERROR(__xludf.DUMMYFUNCTION("""COMPUTED_VALUE"""),184.47)</f>
        <v>184.47</v>
      </c>
      <c r="BM260" s="1">
        <f>IFERROR(__xludf.DUMMYFUNCTION("""COMPUTED_VALUE"""),123.34)</f>
        <v>123.34</v>
      </c>
      <c r="BN260" s="3">
        <f>IFERROR(__xludf.DUMMYFUNCTION("""COMPUTED_VALUE"""),6.52)</f>
        <v>6.52</v>
      </c>
      <c r="BO260" s="1">
        <f>IFERROR(__xludf.DUMMYFUNCTION("""COMPUTED_VALUE"""),222.87)</f>
        <v>222.87</v>
      </c>
      <c r="BP260" s="1">
        <f>IFERROR(__xludf.DUMMYFUNCTION("""COMPUTED_VALUE"""),296.67)</f>
        <v>296.67</v>
      </c>
      <c r="BQ260" s="36">
        <f>IFERROR(__xludf.DUMMYFUNCTION("""COMPUTED_VALUE"""),49.91)</f>
        <v>49.91</v>
      </c>
      <c r="BR260" s="1">
        <f>IFERROR(__xludf.DUMMYFUNCTION("""COMPUTED_VALUE"""),8.5)</f>
        <v>8.5</v>
      </c>
      <c r="BS260" s="3">
        <f>IFERROR(__xludf.DUMMYFUNCTION("""COMPUTED_VALUE"""),233.32)</f>
        <v>233.32</v>
      </c>
      <c r="BT260" s="1">
        <f>IFERROR(__xludf.DUMMYFUNCTION("""COMPUTED_VALUE"""),110.46)</f>
        <v>110.46</v>
      </c>
      <c r="BU260" s="3">
        <v>1.0</v>
      </c>
    </row>
    <row r="261">
      <c r="A261" s="25">
        <f>IFERROR(__xludf.DUMMYFUNCTION("""COMPUTED_VALUE"""),45800.66666666667)</f>
        <v>45800.66667</v>
      </c>
      <c r="B261" s="29">
        <f>'Master Scratch Work'!B260</f>
        <v>1335752.46</v>
      </c>
      <c r="C261" s="15">
        <f>IFERROR(__xludf.DUMMYFUNCTION("""COMPUTED_VALUE"""),5802.82)</f>
        <v>5802.82</v>
      </c>
      <c r="D261" s="15">
        <f>IFERROR(__xludf.DUMMYFUNCTION("""COMPUTED_VALUE"""),18737.21)</f>
        <v>18737.21</v>
      </c>
      <c r="E261" s="15">
        <f>IFERROR(__xludf.DUMMYFUNCTION("""COMPUTED_VALUE"""),41603.07)</f>
        <v>41603.07</v>
      </c>
      <c r="F261" s="15">
        <f>IFERROR(__xludf.DUMMYFUNCTION("""COMPUTED_VALUE"""),2039.85)</f>
        <v>2039.85</v>
      </c>
      <c r="G261" s="3">
        <f>IFERROR(__xludf.DUMMYFUNCTION("""COMPUTED_VALUE"""),579.11)</f>
        <v>579.11</v>
      </c>
      <c r="H261" s="3">
        <f>IFERROR(__xludf.DUMMYFUNCTION("""COMPUTED_VALUE"""),509.24)</f>
        <v>509.24</v>
      </c>
      <c r="I261" s="3">
        <f>IFERROR(__xludf.DUMMYFUNCTION("""COMPUTED_VALUE"""),407.69)</f>
        <v>407.69</v>
      </c>
      <c r="J261" s="3">
        <f>IFERROR(__xludf.DUMMYFUNCTION("""COMPUTED_VALUE"""),200.99)</f>
        <v>200.99</v>
      </c>
      <c r="K261" s="3">
        <f>IFERROR(__xludf.DUMMYFUNCTION("""COMPUTED_VALUE"""),143.61)</f>
        <v>143.61</v>
      </c>
      <c r="L261" s="3">
        <f>IFERROR(__xludf.DUMMYFUNCTION("""COMPUTED_VALUE"""),195.27)</f>
        <v>195.27</v>
      </c>
      <c r="M261" s="3">
        <f>IFERROR(__xludf.DUMMYFUNCTION("""COMPUTED_VALUE"""),157.51)</f>
        <v>157.51</v>
      </c>
      <c r="N261" s="3">
        <f>IFERROR(__xludf.DUMMYFUNCTION("""COMPUTED_VALUE"""),89.09)</f>
        <v>89.09</v>
      </c>
      <c r="O261" s="3">
        <f>IFERROR(__xludf.DUMMYFUNCTION("""COMPUTED_VALUE"""),17.65)</f>
        <v>17.65</v>
      </c>
      <c r="P261" s="3">
        <f>IFERROR(__xludf.DUMMYFUNCTION("""COMPUTED_VALUE"""),503.46)</f>
        <v>503.46</v>
      </c>
      <c r="Q261" s="3">
        <f>IFERROR(__xludf.DUMMYFUNCTION("""COMPUTED_VALUE"""),49.89)</f>
        <v>49.89</v>
      </c>
      <c r="R261" s="3">
        <f>IFERROR(__xludf.DUMMYFUNCTION("""COMPUTED_VALUE"""),125.81)</f>
        <v>125.81</v>
      </c>
      <c r="S261" s="3">
        <f>IFERROR(__xludf.DUMMYFUNCTION("""COMPUTED_VALUE"""),104.5)</f>
        <v>104.5</v>
      </c>
      <c r="T261" s="3">
        <f>IFERROR(__xludf.DUMMYFUNCTION("""COMPUTED_VALUE"""),70.98)</f>
        <v>70.98</v>
      </c>
      <c r="U261" s="3">
        <f>IFERROR(__xludf.DUMMYFUNCTION("""COMPUTED_VALUE"""),343.39)</f>
        <v>343.39</v>
      </c>
      <c r="V261" s="3">
        <f>IFERROR(__xludf.DUMMYFUNCTION("""COMPUTED_VALUE"""),58.69)</f>
        <v>58.69</v>
      </c>
      <c r="W261" s="3">
        <f>IFERROR(__xludf.DUMMYFUNCTION("""COMPUTED_VALUE"""),227.86)</f>
        <v>227.86</v>
      </c>
      <c r="X261" s="3">
        <f>IFERROR(__xludf.DUMMYFUNCTION("""COMPUTED_VALUE"""),136.54)</f>
        <v>136.54</v>
      </c>
      <c r="Y261" s="1">
        <f>IFERROR(__xludf.DUMMYFUNCTION("""COMPUTED_VALUE"""),315.99)</f>
        <v>315.99</v>
      </c>
      <c r="Z261" s="1">
        <f>IFERROR(__xludf.DUMMYFUNCTION("""COMPUTED_VALUE"""),39.57)</f>
        <v>39.57</v>
      </c>
      <c r="AA261" s="1">
        <f>IFERROR(__xludf.DUMMYFUNCTION("""COMPUTED_VALUE"""),71.77)</f>
        <v>71.77</v>
      </c>
      <c r="AB261" s="1">
        <f>IFERROR(__xludf.DUMMYFUNCTION("""COMPUTED_VALUE"""),104.1)</f>
        <v>104.1</v>
      </c>
      <c r="AC261" s="1">
        <f>IFERROR(__xludf.DUMMYFUNCTION("""COMPUTED_VALUE"""),168.12)</f>
        <v>168.12</v>
      </c>
      <c r="AD261" s="3">
        <f>IFERROR(__xludf.DUMMYFUNCTION("""COMPUTED_VALUE"""),88.17)</f>
        <v>88.17</v>
      </c>
      <c r="AE261" s="1">
        <f>IFERROR(__xludf.DUMMYFUNCTION("""COMPUTED_VALUE"""),480.43)</f>
        <v>480.43</v>
      </c>
      <c r="AF261" s="1">
        <f>IFERROR(__xludf.DUMMYFUNCTION("""COMPUTED_VALUE"""),71.92)</f>
        <v>71.92</v>
      </c>
      <c r="AG261" s="1">
        <f>IFERROR(__xludf.DUMMYFUNCTION("""COMPUTED_VALUE"""),103.03)</f>
        <v>103.03</v>
      </c>
      <c r="AH261" s="1">
        <f>IFERROR(__xludf.DUMMYFUNCTION("""COMPUTED_VALUE"""),216.61)</f>
        <v>216.61</v>
      </c>
      <c r="AI261" s="1">
        <f>IFERROR(__xludf.DUMMYFUNCTION("""COMPUTED_VALUE"""),476.22)</f>
        <v>476.22</v>
      </c>
      <c r="AJ261" s="1">
        <f>IFERROR(__xludf.DUMMYFUNCTION("""COMPUTED_VALUE"""),274.75)</f>
        <v>274.75</v>
      </c>
      <c r="AK261" s="1">
        <f>IFERROR(__xludf.DUMMYFUNCTION("""COMPUTED_VALUE"""),48.69)</f>
        <v>48.69</v>
      </c>
      <c r="AL261" s="1">
        <f>IFERROR(__xludf.DUMMYFUNCTION("""COMPUTED_VALUE"""),107.37)</f>
        <v>107.37</v>
      </c>
      <c r="AM261" s="1">
        <f>IFERROR(__xludf.DUMMYFUNCTION("""COMPUTED_VALUE"""),598.54)</f>
        <v>598.54</v>
      </c>
      <c r="AN261" s="1">
        <f>IFERROR(__xludf.DUMMYFUNCTION("""COMPUTED_VALUE"""),362.71)</f>
        <v>362.71</v>
      </c>
      <c r="AO261" s="1">
        <f>IFERROR(__xludf.DUMMYFUNCTION("""COMPUTED_VALUE"""),148.96)</f>
        <v>148.96</v>
      </c>
      <c r="AP261" s="1">
        <f>IFERROR(__xludf.DUMMYFUNCTION("""COMPUTED_VALUE"""),176.12)</f>
        <v>176.12</v>
      </c>
      <c r="AQ261" s="3">
        <f>IFERROR(__xludf.DUMMYFUNCTION("""COMPUTED_VALUE"""),539.54)</f>
        <v>539.54</v>
      </c>
      <c r="AR261" s="3">
        <f>IFERROR(__xludf.DUMMYFUNCTION("""COMPUTED_VALUE"""),260.71)</f>
        <v>260.71</v>
      </c>
      <c r="AS261" s="3">
        <f>IFERROR(__xludf.DUMMYFUNCTION("""COMPUTED_VALUE"""),468.88)</f>
        <v>468.88</v>
      </c>
      <c r="AT261" s="3">
        <f>IFERROR(__xludf.DUMMYFUNCTION("""COMPUTED_VALUE"""),310.76)</f>
        <v>310.76</v>
      </c>
      <c r="AU261" s="1">
        <f>IFERROR(__xludf.DUMMYFUNCTION("""COMPUTED_VALUE"""),31.21)</f>
        <v>31.21</v>
      </c>
      <c r="AV261" s="1">
        <f>IFERROR(__xludf.DUMMYFUNCTION("""COMPUTED_VALUE"""),80.68)</f>
        <v>80.68</v>
      </c>
      <c r="AW261" s="1">
        <f>IFERROR(__xludf.DUMMYFUNCTION("""COMPUTED_VALUE"""),77.21)</f>
        <v>77.21</v>
      </c>
      <c r="AX261" s="3">
        <f>IFERROR(__xludf.DUMMYFUNCTION("""COMPUTED_VALUE"""),19.69)</f>
        <v>19.69</v>
      </c>
      <c r="AY261" s="1">
        <f>IFERROR(__xludf.DUMMYFUNCTION("""COMPUTED_VALUE"""),450.18)</f>
        <v>450.18</v>
      </c>
      <c r="AZ261" s="3">
        <f>IFERROR(__xludf.DUMMYFUNCTION("""COMPUTED_VALUE"""),67.76)</f>
        <v>67.76</v>
      </c>
      <c r="BA261" s="3">
        <f>IFERROR(__xludf.DUMMYFUNCTION("""COMPUTED_VALUE"""),157.82)</f>
        <v>157.82</v>
      </c>
      <c r="BB261" s="3">
        <f>IFERROR(__xludf.DUMMYFUNCTION("""COMPUTED_VALUE"""),131.29)</f>
        <v>131.29</v>
      </c>
      <c r="BC261" s="1">
        <f>IFERROR(__xludf.DUMMYFUNCTION("""COMPUTED_VALUE"""),96.78)</f>
        <v>96.78</v>
      </c>
      <c r="BD261" s="1">
        <f>IFERROR(__xludf.DUMMYFUNCTION("""COMPUTED_VALUE"""),58.44)</f>
        <v>58.44</v>
      </c>
      <c r="BE261" s="3">
        <f>IFERROR(__xludf.DUMMYFUNCTION("""COMPUTED_VALUE"""),123.31)</f>
        <v>123.31</v>
      </c>
      <c r="BF261" s="1">
        <f>IFERROR(__xludf.DUMMYFUNCTION("""COMPUTED_VALUE"""),69.85)</f>
        <v>69.85</v>
      </c>
      <c r="BG261" s="1">
        <f>IFERROR(__xludf.DUMMYFUNCTION("""COMPUTED_VALUE"""),23.32)</f>
        <v>23.32</v>
      </c>
      <c r="BH261" s="1">
        <f>IFERROR(__xludf.DUMMYFUNCTION("""COMPUTED_VALUE"""),132.35)</f>
        <v>132.35</v>
      </c>
      <c r="BI261" s="3">
        <f>IFERROR(__xludf.DUMMYFUNCTION("""COMPUTED_VALUE"""),39.77)</f>
        <v>39.77</v>
      </c>
      <c r="BJ261" s="1">
        <f>IFERROR(__xludf.DUMMYFUNCTION("""COMPUTED_VALUE"""),242.88)</f>
        <v>242.88</v>
      </c>
      <c r="BK261" s="1">
        <f>IFERROR(__xludf.DUMMYFUNCTION("""COMPUTED_VALUE"""),393.66)</f>
        <v>393.66</v>
      </c>
      <c r="BL261" s="1">
        <f>IFERROR(__xludf.DUMMYFUNCTION("""COMPUTED_VALUE"""),182.3)</f>
        <v>182.3</v>
      </c>
      <c r="BM261" s="1">
        <f>IFERROR(__xludf.DUMMYFUNCTION("""COMPUTED_VALUE"""),124.25)</f>
        <v>124.25</v>
      </c>
      <c r="BN261" s="3">
        <f>IFERROR(__xludf.DUMMYFUNCTION("""COMPUTED_VALUE"""),6.69)</f>
        <v>6.69</v>
      </c>
      <c r="BO261" s="1">
        <f>IFERROR(__xludf.DUMMYFUNCTION("""COMPUTED_VALUE"""),222.11)</f>
        <v>222.11</v>
      </c>
      <c r="BP261" s="1">
        <f>IFERROR(__xludf.DUMMYFUNCTION("""COMPUTED_VALUE"""),295.57)</f>
        <v>295.57</v>
      </c>
      <c r="BQ261" s="36">
        <f>IFERROR(__xludf.DUMMYFUNCTION("""COMPUTED_VALUE"""),49.95)</f>
        <v>49.95</v>
      </c>
      <c r="BR261" s="1">
        <f>IFERROR(__xludf.DUMMYFUNCTION("""COMPUTED_VALUE"""),8.29)</f>
        <v>8.29</v>
      </c>
      <c r="BS261" s="3">
        <f>IFERROR(__xludf.DUMMYFUNCTION("""COMPUTED_VALUE"""),236.81)</f>
        <v>236.81</v>
      </c>
      <c r="BT261" s="1">
        <f>IFERROR(__xludf.DUMMYFUNCTION("""COMPUTED_VALUE"""),109.72)</f>
        <v>109.72</v>
      </c>
      <c r="BU261" s="3">
        <v>1.0</v>
      </c>
    </row>
    <row r="262">
      <c r="A262" s="25">
        <f>IFERROR(__xludf.DUMMYFUNCTION("""COMPUTED_VALUE"""),45804.66666666667)</f>
        <v>45804.66667</v>
      </c>
      <c r="B262" s="29">
        <f>'Master Scratch Work'!B261</f>
        <v>1353304.3</v>
      </c>
      <c r="C262" s="15">
        <f>IFERROR(__xludf.DUMMYFUNCTION("""COMPUTED_VALUE"""),5921.54)</f>
        <v>5921.54</v>
      </c>
      <c r="D262" s="15">
        <f>IFERROR(__xludf.DUMMYFUNCTION("""COMPUTED_VALUE"""),19199.16)</f>
        <v>19199.16</v>
      </c>
      <c r="E262" s="15">
        <f>IFERROR(__xludf.DUMMYFUNCTION("""COMPUTED_VALUE"""),42343.65)</f>
        <v>42343.65</v>
      </c>
      <c r="F262" s="15">
        <f>IFERROR(__xludf.DUMMYFUNCTION("""COMPUTED_VALUE"""),2090.4)</f>
        <v>2090.4</v>
      </c>
      <c r="G262" s="3">
        <f>IFERROR(__xludf.DUMMYFUNCTION("""COMPUTED_VALUE"""),591.15)</f>
        <v>591.15</v>
      </c>
      <c r="H262" s="3">
        <f>IFERROR(__xludf.DUMMYFUNCTION("""COMPUTED_VALUE"""),521.22)</f>
        <v>521.22</v>
      </c>
      <c r="I262" s="3">
        <f>IFERROR(__xludf.DUMMYFUNCTION("""COMPUTED_VALUE"""),413.1)</f>
        <v>413.1</v>
      </c>
      <c r="J262" s="3">
        <f>IFERROR(__xludf.DUMMYFUNCTION("""COMPUTED_VALUE"""),206.02)</f>
        <v>206.02</v>
      </c>
      <c r="K262" s="3">
        <f>IFERROR(__xludf.DUMMYFUNCTION("""COMPUTED_VALUE"""),143.14)</f>
        <v>143.14</v>
      </c>
      <c r="L262" s="3">
        <f>IFERROR(__xludf.DUMMYFUNCTION("""COMPUTED_VALUE"""),200.21)</f>
        <v>200.21</v>
      </c>
      <c r="M262" s="3">
        <f>IFERROR(__xludf.DUMMYFUNCTION("""COMPUTED_VALUE"""),161.83)</f>
        <v>161.83</v>
      </c>
      <c r="N262" s="3">
        <f>IFERROR(__xludf.DUMMYFUNCTION("""COMPUTED_VALUE"""),90.23)</f>
        <v>90.23</v>
      </c>
      <c r="O262" s="3">
        <f>IFERROR(__xludf.DUMMYFUNCTION("""COMPUTED_VALUE"""),17.91)</f>
        <v>17.91</v>
      </c>
      <c r="P262" s="3">
        <f>IFERROR(__xludf.DUMMYFUNCTION("""COMPUTED_VALUE"""),509.16)</f>
        <v>509.16</v>
      </c>
      <c r="Q262" s="3">
        <f>IFERROR(__xludf.DUMMYFUNCTION("""COMPUTED_VALUE"""),49.8)</f>
        <v>49.8</v>
      </c>
      <c r="R262" s="3">
        <f>IFERROR(__xludf.DUMMYFUNCTION("""COMPUTED_VALUE"""),128.39)</f>
        <v>128.39</v>
      </c>
      <c r="S262" s="3">
        <f>IFERROR(__xludf.DUMMYFUNCTION("""COMPUTED_VALUE"""),106.17)</f>
        <v>106.17</v>
      </c>
      <c r="T262" s="3">
        <f>IFERROR(__xludf.DUMMYFUNCTION("""COMPUTED_VALUE"""),72.33)</f>
        <v>72.33</v>
      </c>
      <c r="U262" s="3">
        <f>IFERROR(__xludf.DUMMYFUNCTION("""COMPUTED_VALUE"""),351.51)</f>
        <v>351.51</v>
      </c>
      <c r="V262" s="3">
        <f>IFERROR(__xludf.DUMMYFUNCTION("""COMPUTED_VALUE"""),60.47)</f>
        <v>60.47</v>
      </c>
      <c r="W262" s="3">
        <f>IFERROR(__xludf.DUMMYFUNCTION("""COMPUTED_VALUE"""),228.62)</f>
        <v>228.62</v>
      </c>
      <c r="X262" s="3">
        <f>IFERROR(__xludf.DUMMYFUNCTION("""COMPUTED_VALUE"""),137.83)</f>
        <v>137.83</v>
      </c>
      <c r="Y262" s="1">
        <f>IFERROR(__xludf.DUMMYFUNCTION("""COMPUTED_VALUE"""),315.28)</f>
        <v>315.28</v>
      </c>
      <c r="Z262" s="1">
        <f>IFERROR(__xludf.DUMMYFUNCTION("""COMPUTED_VALUE"""),40.42)</f>
        <v>40.42</v>
      </c>
      <c r="AA262" s="1">
        <f>IFERROR(__xludf.DUMMYFUNCTION("""COMPUTED_VALUE"""),71.78)</f>
        <v>71.78</v>
      </c>
      <c r="AB262" s="1">
        <f>IFERROR(__xludf.DUMMYFUNCTION("""COMPUTED_VALUE"""),103.97)</f>
        <v>103.97</v>
      </c>
      <c r="AC262" s="1">
        <f>IFERROR(__xludf.DUMMYFUNCTION("""COMPUTED_VALUE"""),170.68)</f>
        <v>170.68</v>
      </c>
      <c r="AD262" s="3">
        <f>IFERROR(__xludf.DUMMYFUNCTION("""COMPUTED_VALUE"""),90.36)</f>
        <v>90.36</v>
      </c>
      <c r="AE262" s="1">
        <f>IFERROR(__xludf.DUMMYFUNCTION("""COMPUTED_VALUE"""),484.56)</f>
        <v>484.56</v>
      </c>
      <c r="AF262" s="1">
        <f>IFERROR(__xludf.DUMMYFUNCTION("""COMPUTED_VALUE"""),72.44)</f>
        <v>72.44</v>
      </c>
      <c r="AG262" s="1">
        <f>IFERROR(__xludf.DUMMYFUNCTION("""COMPUTED_VALUE"""),103.52)</f>
        <v>103.52</v>
      </c>
      <c r="AH262" s="1">
        <f>IFERROR(__xludf.DUMMYFUNCTION("""COMPUTED_VALUE"""),219.76)</f>
        <v>219.76</v>
      </c>
      <c r="AI262" s="1">
        <f>IFERROR(__xludf.DUMMYFUNCTION("""COMPUTED_VALUE"""),483.47)</f>
        <v>483.47</v>
      </c>
      <c r="AJ262" s="1">
        <f>IFERROR(__xludf.DUMMYFUNCTION("""COMPUTED_VALUE"""),279.23)</f>
        <v>279.23</v>
      </c>
      <c r="AK262" s="1">
        <f>IFERROR(__xludf.DUMMYFUNCTION("""COMPUTED_VALUE"""),49.09)</f>
        <v>49.09</v>
      </c>
      <c r="AL262" s="1">
        <f>IFERROR(__xludf.DUMMYFUNCTION("""COMPUTED_VALUE"""),109.09)</f>
        <v>109.09</v>
      </c>
      <c r="AM262" s="1">
        <f>IFERROR(__xludf.DUMMYFUNCTION("""COMPUTED_VALUE"""),615.73)</f>
        <v>615.73</v>
      </c>
      <c r="AN262" s="1">
        <f>IFERROR(__xludf.DUMMYFUNCTION("""COMPUTED_VALUE"""),370.4)</f>
        <v>370.4</v>
      </c>
      <c r="AO262" s="1">
        <f>IFERROR(__xludf.DUMMYFUNCTION("""COMPUTED_VALUE"""),153.61)</f>
        <v>153.61</v>
      </c>
      <c r="AP262" s="1">
        <f>IFERROR(__xludf.DUMMYFUNCTION("""COMPUTED_VALUE"""),178.54)</f>
        <v>178.54</v>
      </c>
      <c r="AQ262" s="3">
        <f>IFERROR(__xludf.DUMMYFUNCTION("""COMPUTED_VALUE"""),550.19)</f>
        <v>550.19</v>
      </c>
      <c r="AR262" s="3">
        <f>IFERROR(__xludf.DUMMYFUNCTION("""COMPUTED_VALUE"""),265.29)</f>
        <v>265.29</v>
      </c>
      <c r="AS262" s="3">
        <f>IFERROR(__xludf.DUMMYFUNCTION("""COMPUTED_VALUE"""),476.85)</f>
        <v>476.85</v>
      </c>
      <c r="AT262" s="3">
        <f>IFERROR(__xludf.DUMMYFUNCTION("""COMPUTED_VALUE"""),321.2)</f>
        <v>321.2</v>
      </c>
      <c r="AU262" s="1">
        <f>IFERROR(__xludf.DUMMYFUNCTION("""COMPUTED_VALUE"""),31.76)</f>
        <v>31.76</v>
      </c>
      <c r="AV262" s="1">
        <f>IFERROR(__xludf.DUMMYFUNCTION("""COMPUTED_VALUE"""),81.18)</f>
        <v>81.18</v>
      </c>
      <c r="AW262" s="1">
        <f>IFERROR(__xludf.DUMMYFUNCTION("""COMPUTED_VALUE"""),79.03)</f>
        <v>79.03</v>
      </c>
      <c r="AX262" s="3">
        <f>IFERROR(__xludf.DUMMYFUNCTION("""COMPUTED_VALUE"""),18.77)</f>
        <v>18.77</v>
      </c>
      <c r="AY262" s="1">
        <f>IFERROR(__xludf.DUMMYFUNCTION("""COMPUTED_VALUE"""),460.69)</f>
        <v>460.69</v>
      </c>
      <c r="AZ262" s="3">
        <f>IFERROR(__xludf.DUMMYFUNCTION("""COMPUTED_VALUE"""),68.04)</f>
        <v>68.04</v>
      </c>
      <c r="BA262" s="3">
        <f>IFERROR(__xludf.DUMMYFUNCTION("""COMPUTED_VALUE"""),156.91)</f>
        <v>156.91</v>
      </c>
      <c r="BB262" s="3">
        <f>IFERROR(__xludf.DUMMYFUNCTION("""COMPUTED_VALUE"""),135.5)</f>
        <v>135.5</v>
      </c>
      <c r="BC262" s="1">
        <f>IFERROR(__xludf.DUMMYFUNCTION("""COMPUTED_VALUE"""),97.09)</f>
        <v>97.09</v>
      </c>
      <c r="BD262" s="1">
        <f>IFERROR(__xludf.DUMMYFUNCTION("""COMPUTED_VALUE"""),60.68)</f>
        <v>60.68</v>
      </c>
      <c r="BE262" s="3">
        <f>IFERROR(__xludf.DUMMYFUNCTION("""COMPUTED_VALUE"""),123.39)</f>
        <v>123.39</v>
      </c>
      <c r="BF262" s="1">
        <f>IFERROR(__xludf.DUMMYFUNCTION("""COMPUTED_VALUE"""),71.48)</f>
        <v>71.48</v>
      </c>
      <c r="BG262" s="1">
        <f>IFERROR(__xludf.DUMMYFUNCTION("""COMPUTED_VALUE"""),23.61)</f>
        <v>23.61</v>
      </c>
      <c r="BH262" s="1">
        <f>IFERROR(__xludf.DUMMYFUNCTION("""COMPUTED_VALUE"""),134.19)</f>
        <v>134.19</v>
      </c>
      <c r="BI262" s="3">
        <f>IFERROR(__xludf.DUMMYFUNCTION("""COMPUTED_VALUE"""),36.98)</f>
        <v>36.98</v>
      </c>
      <c r="BJ262" s="1">
        <f>IFERROR(__xludf.DUMMYFUNCTION("""COMPUTED_VALUE"""),243.36)</f>
        <v>243.36</v>
      </c>
      <c r="BK262" s="1">
        <f>IFERROR(__xludf.DUMMYFUNCTION("""COMPUTED_VALUE"""),403.55)</f>
        <v>403.55</v>
      </c>
      <c r="BL262" s="1">
        <f>IFERROR(__xludf.DUMMYFUNCTION("""COMPUTED_VALUE"""),186.68)</f>
        <v>186.68</v>
      </c>
      <c r="BM262" s="1">
        <f>IFERROR(__xludf.DUMMYFUNCTION("""COMPUTED_VALUE"""),128.53)</f>
        <v>128.53</v>
      </c>
      <c r="BN262" s="3">
        <f>IFERROR(__xludf.DUMMYFUNCTION("""COMPUTED_VALUE"""),6.96)</f>
        <v>6.96</v>
      </c>
      <c r="BO262" s="1">
        <f>IFERROR(__xludf.DUMMYFUNCTION("""COMPUTED_VALUE"""),224.35)</f>
        <v>224.35</v>
      </c>
      <c r="BP262" s="1">
        <f>IFERROR(__xludf.DUMMYFUNCTION("""COMPUTED_VALUE"""),295.0)</f>
        <v>295</v>
      </c>
      <c r="BQ262" s="36">
        <f>IFERROR(__xludf.DUMMYFUNCTION("""COMPUTED_VALUE"""),49.97)</f>
        <v>49.97</v>
      </c>
      <c r="BR262" s="1">
        <f>IFERROR(__xludf.DUMMYFUNCTION("""COMPUTED_VALUE"""),8.6)</f>
        <v>8.6</v>
      </c>
      <c r="BS262" s="3">
        <f>IFERROR(__xludf.DUMMYFUNCTION("""COMPUTED_VALUE"""),238.03)</f>
        <v>238.03</v>
      </c>
      <c r="BT262" s="1">
        <f>IFERROR(__xludf.DUMMYFUNCTION("""COMPUTED_VALUE"""),112.36)</f>
        <v>112.36</v>
      </c>
      <c r="BU262" s="3">
        <v>1.0</v>
      </c>
    </row>
    <row r="263">
      <c r="A263" s="25">
        <f>IFERROR(__xludf.DUMMYFUNCTION("""COMPUTED_VALUE"""),45805.66666666667)</f>
        <v>45805.66667</v>
      </c>
      <c r="B263" s="29">
        <f>'Master Scratch Work'!B262</f>
        <v>1342494.66</v>
      </c>
      <c r="C263" s="15">
        <f>IFERROR(__xludf.DUMMYFUNCTION("""COMPUTED_VALUE"""),5888.55)</f>
        <v>5888.55</v>
      </c>
      <c r="D263" s="15">
        <f>IFERROR(__xludf.DUMMYFUNCTION("""COMPUTED_VALUE"""),19100.94)</f>
        <v>19100.94</v>
      </c>
      <c r="E263" s="15">
        <f>IFERROR(__xludf.DUMMYFUNCTION("""COMPUTED_VALUE"""),42098.7)</f>
        <v>42098.7</v>
      </c>
      <c r="F263" s="15">
        <f>IFERROR(__xludf.DUMMYFUNCTION("""COMPUTED_VALUE"""),2067.8)</f>
        <v>2067.8</v>
      </c>
      <c r="G263" s="3">
        <f>IFERROR(__xludf.DUMMYFUNCTION("""COMPUTED_VALUE"""),587.73)</f>
        <v>587.73</v>
      </c>
      <c r="H263" s="3">
        <f>IFERROR(__xludf.DUMMYFUNCTION("""COMPUTED_VALUE"""),518.91)</f>
        <v>518.91</v>
      </c>
      <c r="I263" s="3">
        <f>IFERROR(__xludf.DUMMYFUNCTION("""COMPUTED_VALUE"""),412.23)</f>
        <v>412.23</v>
      </c>
      <c r="J263" s="3">
        <f>IFERROR(__xludf.DUMMYFUNCTION("""COMPUTED_VALUE"""),204.72)</f>
        <v>204.72</v>
      </c>
      <c r="K263" s="3">
        <f>IFERROR(__xludf.DUMMYFUNCTION("""COMPUTED_VALUE"""),140.87)</f>
        <v>140.87</v>
      </c>
      <c r="L263" s="3">
        <f>IFERROR(__xludf.DUMMYFUNCTION("""COMPUTED_VALUE"""),200.42)</f>
        <v>200.42</v>
      </c>
      <c r="M263" s="3">
        <f>IFERROR(__xludf.DUMMYFUNCTION("""COMPUTED_VALUE"""),161.59)</f>
        <v>161.59</v>
      </c>
      <c r="N263" s="3">
        <f>IFERROR(__xludf.DUMMYFUNCTION("""COMPUTED_VALUE"""),88.8)</f>
        <v>88.8</v>
      </c>
      <c r="O263" s="3">
        <f>IFERROR(__xludf.DUMMYFUNCTION("""COMPUTED_VALUE"""),17.65)</f>
        <v>17.65</v>
      </c>
      <c r="P263" s="3">
        <f>IFERROR(__xludf.DUMMYFUNCTION("""COMPUTED_VALUE"""),503.11)</f>
        <v>503.11</v>
      </c>
      <c r="Q263" s="3">
        <f>IFERROR(__xludf.DUMMYFUNCTION("""COMPUTED_VALUE"""),49.2)</f>
        <v>49.2</v>
      </c>
      <c r="R263" s="3">
        <f>IFERROR(__xludf.DUMMYFUNCTION("""COMPUTED_VALUE"""),127.53)</f>
        <v>127.53</v>
      </c>
      <c r="S263" s="3">
        <f>IFERROR(__xludf.DUMMYFUNCTION("""COMPUTED_VALUE"""),104.51)</f>
        <v>104.51</v>
      </c>
      <c r="T263" s="3">
        <f>IFERROR(__xludf.DUMMYFUNCTION("""COMPUTED_VALUE"""),71.04)</f>
        <v>71.04</v>
      </c>
      <c r="U263" s="3">
        <f>IFERROR(__xludf.DUMMYFUNCTION("""COMPUTED_VALUE"""),349.49)</f>
        <v>349.49</v>
      </c>
      <c r="V263" s="3">
        <f>IFERROR(__xludf.DUMMYFUNCTION("""COMPUTED_VALUE"""),60.41)</f>
        <v>60.41</v>
      </c>
      <c r="W263" s="3">
        <f>IFERROR(__xludf.DUMMYFUNCTION("""COMPUTED_VALUE"""),223.95)</f>
        <v>223.95</v>
      </c>
      <c r="X263" s="3">
        <f>IFERROR(__xludf.DUMMYFUNCTION("""COMPUTED_VALUE"""),136.02)</f>
        <v>136.02</v>
      </c>
      <c r="Y263" s="1">
        <f>IFERROR(__xludf.DUMMYFUNCTION("""COMPUTED_VALUE"""),310.86)</f>
        <v>310.86</v>
      </c>
      <c r="Z263" s="1">
        <f>IFERROR(__xludf.DUMMYFUNCTION("""COMPUTED_VALUE"""),39.73)</f>
        <v>39.73</v>
      </c>
      <c r="AA263" s="1">
        <f>IFERROR(__xludf.DUMMYFUNCTION("""COMPUTED_VALUE"""),71.15)</f>
        <v>71.15</v>
      </c>
      <c r="AB263" s="1">
        <f>IFERROR(__xludf.DUMMYFUNCTION("""COMPUTED_VALUE"""),102.11)</f>
        <v>102.11</v>
      </c>
      <c r="AC263" s="1">
        <f>IFERROR(__xludf.DUMMYFUNCTION("""COMPUTED_VALUE"""),169.58)</f>
        <v>169.58</v>
      </c>
      <c r="AD263" s="3">
        <f>IFERROR(__xludf.DUMMYFUNCTION("""COMPUTED_VALUE"""),89.34)</f>
        <v>89.34</v>
      </c>
      <c r="AE263" s="1">
        <f>IFERROR(__xludf.DUMMYFUNCTION("""COMPUTED_VALUE"""),483.11)</f>
        <v>483.11</v>
      </c>
      <c r="AF263" s="1">
        <f>IFERROR(__xludf.DUMMYFUNCTION("""COMPUTED_VALUE"""),72.4)</f>
        <v>72.4</v>
      </c>
      <c r="AG263" s="1">
        <f>IFERROR(__xludf.DUMMYFUNCTION("""COMPUTED_VALUE"""),102.11)</f>
        <v>102.11</v>
      </c>
      <c r="AH263" s="1">
        <f>IFERROR(__xludf.DUMMYFUNCTION("""COMPUTED_VALUE"""),217.15)</f>
        <v>217.15</v>
      </c>
      <c r="AI263" s="1">
        <f>IFERROR(__xludf.DUMMYFUNCTION("""COMPUTED_VALUE"""),475.4)</f>
        <v>475.4</v>
      </c>
      <c r="AJ263" s="1">
        <f>IFERROR(__xludf.DUMMYFUNCTION("""COMPUTED_VALUE"""),273.64)</f>
        <v>273.64</v>
      </c>
      <c r="AK263" s="1">
        <f>IFERROR(__xludf.DUMMYFUNCTION("""COMPUTED_VALUE"""),48.13)</f>
        <v>48.13</v>
      </c>
      <c r="AL263" s="1">
        <f>IFERROR(__xludf.DUMMYFUNCTION("""COMPUTED_VALUE"""),108.44)</f>
        <v>108.44</v>
      </c>
      <c r="AM263" s="1">
        <f>IFERROR(__xludf.DUMMYFUNCTION("""COMPUTED_VALUE"""),608.44)</f>
        <v>608.44</v>
      </c>
      <c r="AN263" s="1">
        <f>IFERROR(__xludf.DUMMYFUNCTION("""COMPUTED_VALUE"""),368.06)</f>
        <v>368.06</v>
      </c>
      <c r="AO263" s="1">
        <f>IFERROR(__xludf.DUMMYFUNCTION("""COMPUTED_VALUE"""),139.23)</f>
        <v>139.23</v>
      </c>
      <c r="AP263" s="1">
        <f>IFERROR(__xludf.DUMMYFUNCTION("""COMPUTED_VALUE"""),177.8)</f>
        <v>177.8</v>
      </c>
      <c r="AQ263" s="3">
        <f>IFERROR(__xludf.DUMMYFUNCTION("""COMPUTED_VALUE"""),552.41)</f>
        <v>552.41</v>
      </c>
      <c r="AR263" s="3">
        <f>IFERROR(__xludf.DUMMYFUNCTION("""COMPUTED_VALUE"""),263.49)</f>
        <v>263.49</v>
      </c>
      <c r="AS263" s="3">
        <f>IFERROR(__xludf.DUMMYFUNCTION("""COMPUTED_VALUE"""),469.98)</f>
        <v>469.98</v>
      </c>
      <c r="AT263" s="3">
        <f>IFERROR(__xludf.DUMMYFUNCTION("""COMPUTED_VALUE"""),315.75)</f>
        <v>315.75</v>
      </c>
      <c r="AU263" s="1">
        <f>IFERROR(__xludf.DUMMYFUNCTION("""COMPUTED_VALUE"""),31.51)</f>
        <v>31.51</v>
      </c>
      <c r="AV263" s="1">
        <f>IFERROR(__xludf.DUMMYFUNCTION("""COMPUTED_VALUE"""),81.24)</f>
        <v>81.24</v>
      </c>
      <c r="AW263" s="1">
        <f>IFERROR(__xludf.DUMMYFUNCTION("""COMPUTED_VALUE"""),77.99)</f>
        <v>77.99</v>
      </c>
      <c r="AX263" s="3">
        <f>IFERROR(__xludf.DUMMYFUNCTION("""COMPUTED_VALUE"""),19.6)</f>
        <v>19.6</v>
      </c>
      <c r="AY263" s="1">
        <f>IFERROR(__xludf.DUMMYFUNCTION("""COMPUTED_VALUE"""),457.36)</f>
        <v>457.36</v>
      </c>
      <c r="AZ263" s="3">
        <f>IFERROR(__xludf.DUMMYFUNCTION("""COMPUTED_VALUE"""),67.21)</f>
        <v>67.21</v>
      </c>
      <c r="BA263" s="3">
        <f>IFERROR(__xludf.DUMMYFUNCTION("""COMPUTED_VALUE"""),156.06)</f>
        <v>156.06</v>
      </c>
      <c r="BB263" s="3">
        <f>IFERROR(__xludf.DUMMYFUNCTION("""COMPUTED_VALUE"""),134.81)</f>
        <v>134.81</v>
      </c>
      <c r="BC263" s="1">
        <f>IFERROR(__xludf.DUMMYFUNCTION("""COMPUTED_VALUE"""),95.16)</f>
        <v>95.16</v>
      </c>
      <c r="BD263" s="1">
        <f>IFERROR(__xludf.DUMMYFUNCTION("""COMPUTED_VALUE"""),59.78)</f>
        <v>59.78</v>
      </c>
      <c r="BE263" s="3">
        <f>IFERROR(__xludf.DUMMYFUNCTION("""COMPUTED_VALUE"""),123.76)</f>
        <v>123.76</v>
      </c>
      <c r="BF263" s="1">
        <f>IFERROR(__xludf.DUMMYFUNCTION("""COMPUTED_VALUE"""),71.44)</f>
        <v>71.44</v>
      </c>
      <c r="BG263" s="1">
        <f>IFERROR(__xludf.DUMMYFUNCTION("""COMPUTED_VALUE"""),23.18)</f>
        <v>23.18</v>
      </c>
      <c r="BH263" s="1">
        <f>IFERROR(__xludf.DUMMYFUNCTION("""COMPUTED_VALUE"""),132.85)</f>
        <v>132.85</v>
      </c>
      <c r="BI263" s="3">
        <f>IFERROR(__xludf.DUMMYFUNCTION("""COMPUTED_VALUE"""),37.73)</f>
        <v>37.73</v>
      </c>
      <c r="BJ263" s="1">
        <f>IFERROR(__xludf.DUMMYFUNCTION("""COMPUTED_VALUE"""),241.51)</f>
        <v>241.51</v>
      </c>
      <c r="BK263" s="1">
        <f>IFERROR(__xludf.DUMMYFUNCTION("""COMPUTED_VALUE"""),402.13)</f>
        <v>402.13</v>
      </c>
      <c r="BL263" s="1">
        <f>IFERROR(__xludf.DUMMYFUNCTION("""COMPUTED_VALUE"""),182.88)</f>
        <v>182.88</v>
      </c>
      <c r="BM263" s="1">
        <f>IFERROR(__xludf.DUMMYFUNCTION("""COMPUTED_VALUE"""),128.62)</f>
        <v>128.62</v>
      </c>
      <c r="BN263" s="3">
        <f>IFERROR(__xludf.DUMMYFUNCTION("""COMPUTED_VALUE"""),6.97)</f>
        <v>6.97</v>
      </c>
      <c r="BO263" s="1">
        <f>IFERROR(__xludf.DUMMYFUNCTION("""COMPUTED_VALUE"""),222.18)</f>
        <v>222.18</v>
      </c>
      <c r="BP263" s="1">
        <f>IFERROR(__xludf.DUMMYFUNCTION("""COMPUTED_VALUE"""),298.11)</f>
        <v>298.11</v>
      </c>
      <c r="BQ263" s="36">
        <f>IFERROR(__xludf.DUMMYFUNCTION("""COMPUTED_VALUE"""),49.93)</f>
        <v>49.93</v>
      </c>
      <c r="BR263" s="1">
        <f>IFERROR(__xludf.DUMMYFUNCTION("""COMPUTED_VALUE"""),8.59)</f>
        <v>8.59</v>
      </c>
      <c r="BS263" s="3">
        <f>IFERROR(__xludf.DUMMYFUNCTION("""COMPUTED_VALUE"""),237.15)</f>
        <v>237.15</v>
      </c>
      <c r="BT263" s="1">
        <f>IFERROR(__xludf.DUMMYFUNCTION("""COMPUTED_VALUE"""),111.52)</f>
        <v>111.52</v>
      </c>
      <c r="BU263" s="3">
        <v>1.0</v>
      </c>
    </row>
    <row r="264">
      <c r="A264" s="25">
        <f>IFERROR(__xludf.DUMMYFUNCTION("""COMPUTED_VALUE"""),45806.66666666667)</f>
        <v>45806.66667</v>
      </c>
      <c r="B264" s="29">
        <f>'Master Scratch Work'!B263</f>
        <v>1347917.38</v>
      </c>
      <c r="C264" s="15">
        <f>IFERROR(__xludf.DUMMYFUNCTION("""COMPUTED_VALUE"""),5912.17)</f>
        <v>5912.17</v>
      </c>
      <c r="D264" s="15">
        <f>IFERROR(__xludf.DUMMYFUNCTION("""COMPUTED_VALUE"""),19175.87)</f>
        <v>19175.87</v>
      </c>
      <c r="E264" s="15">
        <f>IFERROR(__xludf.DUMMYFUNCTION("""COMPUTED_VALUE"""),42215.73)</f>
        <v>42215.73</v>
      </c>
      <c r="F264" s="15">
        <f>IFERROR(__xludf.DUMMYFUNCTION("""COMPUTED_VALUE"""),2074.78)</f>
        <v>2074.78</v>
      </c>
      <c r="G264" s="3">
        <f>IFERROR(__xludf.DUMMYFUNCTION("""COMPUTED_VALUE"""),590.05)</f>
        <v>590.05</v>
      </c>
      <c r="H264" s="3">
        <f>IFERROR(__xludf.DUMMYFUNCTION("""COMPUTED_VALUE"""),519.93)</f>
        <v>519.93</v>
      </c>
      <c r="I264" s="3">
        <f>IFERROR(__xludf.DUMMYFUNCTION("""COMPUTED_VALUE"""),413.36)</f>
        <v>413.36</v>
      </c>
      <c r="J264" s="3">
        <f>IFERROR(__xludf.DUMMYFUNCTION("""COMPUTED_VALUE"""),205.7)</f>
        <v>205.7</v>
      </c>
      <c r="K264" s="3">
        <f>IFERROR(__xludf.DUMMYFUNCTION("""COMPUTED_VALUE"""),141.54)</f>
        <v>141.54</v>
      </c>
      <c r="L264" s="3">
        <f>IFERROR(__xludf.DUMMYFUNCTION("""COMPUTED_VALUE"""),199.95)</f>
        <v>199.95</v>
      </c>
      <c r="M264" s="3">
        <f>IFERROR(__xludf.DUMMYFUNCTION("""COMPUTED_VALUE"""),159.48)</f>
        <v>159.48</v>
      </c>
      <c r="N264" s="3">
        <f>IFERROR(__xludf.DUMMYFUNCTION("""COMPUTED_VALUE"""),89.07)</f>
        <v>89.07</v>
      </c>
      <c r="O264" s="3">
        <f>IFERROR(__xludf.DUMMYFUNCTION("""COMPUTED_VALUE"""),17.8)</f>
        <v>17.8</v>
      </c>
      <c r="P264" s="3">
        <f>IFERROR(__xludf.DUMMYFUNCTION("""COMPUTED_VALUE"""),506.18)</f>
        <v>506.18</v>
      </c>
      <c r="Q264" s="3">
        <f>IFERROR(__xludf.DUMMYFUNCTION("""COMPUTED_VALUE"""),49.27)</f>
        <v>49.27</v>
      </c>
      <c r="R264" s="3">
        <f>IFERROR(__xludf.DUMMYFUNCTION("""COMPUTED_VALUE"""),132.75)</f>
        <v>132.75</v>
      </c>
      <c r="S264" s="3">
        <f>IFERROR(__xludf.DUMMYFUNCTION("""COMPUTED_VALUE"""),104.5)</f>
        <v>104.5</v>
      </c>
      <c r="T264" s="3">
        <f>IFERROR(__xludf.DUMMYFUNCTION("""COMPUTED_VALUE"""),71.41)</f>
        <v>71.41</v>
      </c>
      <c r="U264" s="3">
        <f>IFERROR(__xludf.DUMMYFUNCTION("""COMPUTED_VALUE"""),351.79)</f>
        <v>351.79</v>
      </c>
      <c r="V264" s="3">
        <f>IFERROR(__xludf.DUMMYFUNCTION("""COMPUTED_VALUE"""),59.15)</f>
        <v>59.15</v>
      </c>
      <c r="W264" s="3">
        <f>IFERROR(__xludf.DUMMYFUNCTION("""COMPUTED_VALUE"""),224.39)</f>
        <v>224.39</v>
      </c>
      <c r="X264" s="3">
        <f>IFERROR(__xludf.DUMMYFUNCTION("""COMPUTED_VALUE"""),137.91)</f>
        <v>137.91</v>
      </c>
      <c r="Y264" s="1">
        <f>IFERROR(__xludf.DUMMYFUNCTION("""COMPUTED_VALUE"""),312.05)</f>
        <v>312.05</v>
      </c>
      <c r="Z264" s="1">
        <f>IFERROR(__xludf.DUMMYFUNCTION("""COMPUTED_VALUE"""),40.26)</f>
        <v>40.26</v>
      </c>
      <c r="AA264" s="1">
        <f>IFERROR(__xludf.DUMMYFUNCTION("""COMPUTED_VALUE"""),71.49)</f>
        <v>71.49</v>
      </c>
      <c r="AB264" s="1">
        <f>IFERROR(__xludf.DUMMYFUNCTION("""COMPUTED_VALUE"""),103.38)</f>
        <v>103.38</v>
      </c>
      <c r="AC264" s="1">
        <f>IFERROR(__xludf.DUMMYFUNCTION("""COMPUTED_VALUE"""),172.26)</f>
        <v>172.26</v>
      </c>
      <c r="AD264" s="3">
        <f>IFERROR(__xludf.DUMMYFUNCTION("""COMPUTED_VALUE"""),90.58)</f>
        <v>90.58</v>
      </c>
      <c r="AE264" s="1">
        <f>IFERROR(__xludf.DUMMYFUNCTION("""COMPUTED_VALUE"""),474.52)</f>
        <v>474.52</v>
      </c>
      <c r="AF264" s="1">
        <f>IFERROR(__xludf.DUMMYFUNCTION("""COMPUTED_VALUE"""),72.74)</f>
        <v>72.74</v>
      </c>
      <c r="AG264" s="1">
        <f>IFERROR(__xludf.DUMMYFUNCTION("""COMPUTED_VALUE"""),102.69)</f>
        <v>102.69</v>
      </c>
      <c r="AH264" s="1">
        <f>IFERROR(__xludf.DUMMYFUNCTION("""COMPUTED_VALUE"""),220.26)</f>
        <v>220.26</v>
      </c>
      <c r="AI264" s="1">
        <f>IFERROR(__xludf.DUMMYFUNCTION("""COMPUTED_VALUE"""),479.02)</f>
        <v>479.02</v>
      </c>
      <c r="AJ264" s="1">
        <f>IFERROR(__xludf.DUMMYFUNCTION("""COMPUTED_VALUE"""),275.2)</f>
        <v>275.2</v>
      </c>
      <c r="AK264" s="1">
        <f>IFERROR(__xludf.DUMMYFUNCTION("""COMPUTED_VALUE"""),48.59)</f>
        <v>48.59</v>
      </c>
      <c r="AL264" s="1">
        <f>IFERROR(__xludf.DUMMYFUNCTION("""COMPUTED_VALUE"""),111.11)</f>
        <v>111.11</v>
      </c>
      <c r="AM264" s="1">
        <f>IFERROR(__xludf.DUMMYFUNCTION("""COMPUTED_VALUE"""),604.86)</f>
        <v>604.86</v>
      </c>
      <c r="AN264" s="1">
        <f>IFERROR(__xludf.DUMMYFUNCTION("""COMPUTED_VALUE"""),368.29)</f>
        <v>368.29</v>
      </c>
      <c r="AO264" s="1">
        <f>IFERROR(__xludf.DUMMYFUNCTION("""COMPUTED_VALUE"""),141.68)</f>
        <v>141.68</v>
      </c>
      <c r="AP264" s="1">
        <f>IFERROR(__xludf.DUMMYFUNCTION("""COMPUTED_VALUE"""),178.53)</f>
        <v>178.53</v>
      </c>
      <c r="AQ264" s="3">
        <f>IFERROR(__xludf.DUMMYFUNCTION("""COMPUTED_VALUE"""),555.75)</f>
        <v>555.75</v>
      </c>
      <c r="AR264" s="3">
        <f>IFERROR(__xludf.DUMMYFUNCTION("""COMPUTED_VALUE"""),264.37)</f>
        <v>264.37</v>
      </c>
      <c r="AS264" s="3">
        <f>IFERROR(__xludf.DUMMYFUNCTION("""COMPUTED_VALUE"""),473.69)</f>
        <v>473.69</v>
      </c>
      <c r="AT264" s="3">
        <f>IFERROR(__xludf.DUMMYFUNCTION("""COMPUTED_VALUE"""),317.09)</f>
        <v>317.09</v>
      </c>
      <c r="AU264" s="1">
        <f>IFERROR(__xludf.DUMMYFUNCTION("""COMPUTED_VALUE"""),31.74)</f>
        <v>31.74</v>
      </c>
      <c r="AV264" s="1">
        <f>IFERROR(__xludf.DUMMYFUNCTION("""COMPUTED_VALUE"""),82.41)</f>
        <v>82.41</v>
      </c>
      <c r="AW264" s="1">
        <f>IFERROR(__xludf.DUMMYFUNCTION("""COMPUTED_VALUE"""),78.86)</f>
        <v>78.86</v>
      </c>
      <c r="AX264" s="3">
        <f>IFERROR(__xludf.DUMMYFUNCTION("""COMPUTED_VALUE"""),19.77)</f>
        <v>19.77</v>
      </c>
      <c r="AY264" s="1">
        <f>IFERROR(__xludf.DUMMYFUNCTION("""COMPUTED_VALUE"""),458.68)</f>
        <v>458.68</v>
      </c>
      <c r="AZ264" s="3">
        <f>IFERROR(__xludf.DUMMYFUNCTION("""COMPUTED_VALUE"""),68.99)</f>
        <v>68.99</v>
      </c>
      <c r="BA264" s="3">
        <f>IFERROR(__xludf.DUMMYFUNCTION("""COMPUTED_VALUE"""),154.47)</f>
        <v>154.47</v>
      </c>
      <c r="BB264" s="3">
        <f>IFERROR(__xludf.DUMMYFUNCTION("""COMPUTED_VALUE"""),139.19)</f>
        <v>139.19</v>
      </c>
      <c r="BC264" s="1">
        <f>IFERROR(__xludf.DUMMYFUNCTION("""COMPUTED_VALUE"""),95.16)</f>
        <v>95.16</v>
      </c>
      <c r="BD264" s="1">
        <f>IFERROR(__xludf.DUMMYFUNCTION("""COMPUTED_VALUE"""),58.84)</f>
        <v>58.84</v>
      </c>
      <c r="BE264" s="3">
        <f>IFERROR(__xludf.DUMMYFUNCTION("""COMPUTED_VALUE"""),122.32)</f>
        <v>122.32</v>
      </c>
      <c r="BF264" s="1">
        <f>IFERROR(__xludf.DUMMYFUNCTION("""COMPUTED_VALUE"""),70.93)</f>
        <v>70.93</v>
      </c>
      <c r="BG264" s="1">
        <f>IFERROR(__xludf.DUMMYFUNCTION("""COMPUTED_VALUE"""),23.45)</f>
        <v>23.45</v>
      </c>
      <c r="BH264" s="1">
        <f>IFERROR(__xludf.DUMMYFUNCTION("""COMPUTED_VALUE"""),134.8)</f>
        <v>134.8</v>
      </c>
      <c r="BI264" s="3">
        <f>IFERROR(__xludf.DUMMYFUNCTION("""COMPUTED_VALUE"""),39.09)</f>
        <v>39.09</v>
      </c>
      <c r="BJ264" s="1">
        <f>IFERROR(__xludf.DUMMYFUNCTION("""COMPUTED_VALUE"""),239.3)</f>
        <v>239.3</v>
      </c>
      <c r="BK264" s="1">
        <f>IFERROR(__xludf.DUMMYFUNCTION("""COMPUTED_VALUE"""),403.75)</f>
        <v>403.75</v>
      </c>
      <c r="BL264" s="1">
        <f>IFERROR(__xludf.DUMMYFUNCTION("""COMPUTED_VALUE"""),186.11)</f>
        <v>186.11</v>
      </c>
      <c r="BM264" s="1">
        <f>IFERROR(__xludf.DUMMYFUNCTION("""COMPUTED_VALUE"""),127.69)</f>
        <v>127.69</v>
      </c>
      <c r="BN264" s="3">
        <f>IFERROR(__xludf.DUMMYFUNCTION("""COMPUTED_VALUE"""),6.72)</f>
        <v>6.72</v>
      </c>
      <c r="BO264" s="1">
        <f>IFERROR(__xludf.DUMMYFUNCTION("""COMPUTED_VALUE"""),222.51)</f>
        <v>222.51</v>
      </c>
      <c r="BP264" s="1">
        <f>IFERROR(__xludf.DUMMYFUNCTION("""COMPUTED_VALUE"""),298.17)</f>
        <v>298.17</v>
      </c>
      <c r="BQ264" s="36">
        <f>IFERROR(__xludf.DUMMYFUNCTION("""COMPUTED_VALUE"""),49.96)</f>
        <v>49.96</v>
      </c>
      <c r="BR264" s="1">
        <f>IFERROR(__xludf.DUMMYFUNCTION("""COMPUTED_VALUE"""),8.83)</f>
        <v>8.83</v>
      </c>
      <c r="BS264" s="3">
        <f>IFERROR(__xludf.DUMMYFUNCTION("""COMPUTED_VALUE"""),237.76)</f>
        <v>237.76</v>
      </c>
      <c r="BT264" s="1">
        <f>IFERROR(__xludf.DUMMYFUNCTION("""COMPUTED_VALUE"""),112.02)</f>
        <v>112.02</v>
      </c>
      <c r="BU264" s="3">
        <v>1.0</v>
      </c>
    </row>
    <row r="265">
      <c r="A265" s="25">
        <f>IFERROR(__xludf.DUMMYFUNCTION("""COMPUTED_VALUE"""),45807.66666666667)</f>
        <v>45807.66667</v>
      </c>
      <c r="B265" s="29">
        <f>'Master Scratch Work'!B264</f>
        <v>1353964.22</v>
      </c>
      <c r="C265" s="15">
        <f>IFERROR(__xludf.DUMMYFUNCTION("""COMPUTED_VALUE"""),5911.69)</f>
        <v>5911.69</v>
      </c>
      <c r="D265" s="15">
        <f>IFERROR(__xludf.DUMMYFUNCTION("""COMPUTED_VALUE"""),19113.77)</f>
        <v>19113.77</v>
      </c>
      <c r="E265" s="15">
        <f>IFERROR(__xludf.DUMMYFUNCTION("""COMPUTED_VALUE"""),42270.07)</f>
        <v>42270.07</v>
      </c>
      <c r="F265" s="15">
        <f>IFERROR(__xludf.DUMMYFUNCTION("""COMPUTED_VALUE"""),2066.29)</f>
        <v>2066.29</v>
      </c>
      <c r="G265" s="3">
        <f>IFERROR(__xludf.DUMMYFUNCTION("""COMPUTED_VALUE"""),589.39)</f>
        <v>589.39</v>
      </c>
      <c r="H265" s="3">
        <f>IFERROR(__xludf.DUMMYFUNCTION("""COMPUTED_VALUE"""),519.11)</f>
        <v>519.11</v>
      </c>
      <c r="I265" s="3">
        <f>IFERROR(__xludf.DUMMYFUNCTION("""COMPUTED_VALUE"""),415.09)</f>
        <v>415.09</v>
      </c>
      <c r="J265" s="3">
        <f>IFERROR(__xludf.DUMMYFUNCTION("""COMPUTED_VALUE"""),205.01)</f>
        <v>205.01</v>
      </c>
      <c r="K265" s="3">
        <f>IFERROR(__xludf.DUMMYFUNCTION("""COMPUTED_VALUE"""),142.97)</f>
        <v>142.97</v>
      </c>
      <c r="L265" s="3">
        <f>IFERROR(__xludf.DUMMYFUNCTION("""COMPUTED_VALUE"""),200.85)</f>
        <v>200.85</v>
      </c>
      <c r="M265" s="3">
        <f>IFERROR(__xludf.DUMMYFUNCTION("""COMPUTED_VALUE"""),156.75)</f>
        <v>156.75</v>
      </c>
      <c r="N265" s="3">
        <f>IFERROR(__xludf.DUMMYFUNCTION("""COMPUTED_VALUE"""),88.61)</f>
        <v>88.61</v>
      </c>
      <c r="O265" s="3">
        <f>IFERROR(__xludf.DUMMYFUNCTION("""COMPUTED_VALUE"""),17.83)</f>
        <v>17.83</v>
      </c>
      <c r="P265" s="3">
        <f>IFERROR(__xludf.DUMMYFUNCTION("""COMPUTED_VALUE"""),503.96)</f>
        <v>503.96</v>
      </c>
      <c r="Q265" s="3">
        <f>IFERROR(__xludf.DUMMYFUNCTION("""COMPUTED_VALUE"""),48.99)</f>
        <v>48.99</v>
      </c>
      <c r="R265" s="3">
        <f>IFERROR(__xludf.DUMMYFUNCTION("""COMPUTED_VALUE"""),129.79)</f>
        <v>129.79</v>
      </c>
      <c r="S265" s="3">
        <f>IFERROR(__xludf.DUMMYFUNCTION("""COMPUTED_VALUE"""),105.26)</f>
        <v>105.26</v>
      </c>
      <c r="T265" s="3">
        <f>IFERROR(__xludf.DUMMYFUNCTION("""COMPUTED_VALUE"""),71.2)</f>
        <v>71.2</v>
      </c>
      <c r="U265" s="3">
        <f>IFERROR(__xludf.DUMMYFUNCTION("""COMPUTED_VALUE"""),348.03)</f>
        <v>348.03</v>
      </c>
      <c r="V265" s="3">
        <f>IFERROR(__xludf.DUMMYFUNCTION("""COMPUTED_VALUE"""),58.53)</f>
        <v>58.53</v>
      </c>
      <c r="W265" s="3">
        <f>IFERROR(__xludf.DUMMYFUNCTION("""COMPUTED_VALUE"""),228.88)</f>
        <v>228.88</v>
      </c>
      <c r="X265" s="3">
        <f>IFERROR(__xludf.DUMMYFUNCTION("""COMPUTED_VALUE"""),136.7)</f>
        <v>136.7</v>
      </c>
      <c r="Y265" s="1">
        <f>IFERROR(__xludf.DUMMYFUNCTION("""COMPUTED_VALUE"""),316.64)</f>
        <v>316.64</v>
      </c>
      <c r="Z265" s="1">
        <f>IFERROR(__xludf.DUMMYFUNCTION("""COMPUTED_VALUE"""),40.35)</f>
        <v>40.35</v>
      </c>
      <c r="AA265" s="1">
        <f>IFERROR(__xludf.DUMMYFUNCTION("""COMPUTED_VALUE"""),72.1)</f>
        <v>72.1</v>
      </c>
      <c r="AB265" s="1">
        <f>IFERROR(__xludf.DUMMYFUNCTION("""COMPUTED_VALUE"""),104.49)</f>
        <v>104.49</v>
      </c>
      <c r="AC265" s="1">
        <f>IFERROR(__xludf.DUMMYFUNCTION("""COMPUTED_VALUE"""),171.52)</f>
        <v>171.52</v>
      </c>
      <c r="AD265" s="3">
        <f>IFERROR(__xludf.DUMMYFUNCTION("""COMPUTED_VALUE"""),90.26)</f>
        <v>90.26</v>
      </c>
      <c r="AE265" s="1">
        <f>IFERROR(__xludf.DUMMYFUNCTION("""COMPUTED_VALUE"""),473.82)</f>
        <v>473.82</v>
      </c>
      <c r="AF265" s="1">
        <f>IFERROR(__xludf.DUMMYFUNCTION("""COMPUTED_VALUE"""),73.17)</f>
        <v>73.17</v>
      </c>
      <c r="AG265" s="1">
        <f>IFERROR(__xludf.DUMMYFUNCTION("""COMPUTED_VALUE"""),102.3)</f>
        <v>102.3</v>
      </c>
      <c r="AH265" s="1">
        <f>IFERROR(__xludf.DUMMYFUNCTION("""COMPUTED_VALUE"""),218.1)</f>
        <v>218.1</v>
      </c>
      <c r="AI265" s="1">
        <f>IFERROR(__xludf.DUMMYFUNCTION("""COMPUTED_VALUE"""),478.76)</f>
        <v>478.76</v>
      </c>
      <c r="AJ265" s="1">
        <f>IFERROR(__xludf.DUMMYFUNCTION("""COMPUTED_VALUE"""),278.49)</f>
        <v>278.49</v>
      </c>
      <c r="AK265" s="1">
        <f>IFERROR(__xludf.DUMMYFUNCTION("""COMPUTED_VALUE"""),49.61)</f>
        <v>49.61</v>
      </c>
      <c r="AL265" s="1">
        <f>IFERROR(__xludf.DUMMYFUNCTION("""COMPUTED_VALUE"""),110.08)</f>
        <v>110.08</v>
      </c>
      <c r="AM265" s="1">
        <f>IFERROR(__xludf.DUMMYFUNCTION("""COMPUTED_VALUE"""),600.45)</f>
        <v>600.45</v>
      </c>
      <c r="AN265" s="1">
        <f>IFERROR(__xludf.DUMMYFUNCTION("""COMPUTED_VALUE"""),368.29)</f>
        <v>368.29</v>
      </c>
      <c r="AO265" s="1">
        <f>IFERROR(__xludf.DUMMYFUNCTION("""COMPUTED_VALUE"""),142.83)</f>
        <v>142.83</v>
      </c>
      <c r="AP265" s="1">
        <f>IFERROR(__xludf.DUMMYFUNCTION("""COMPUTED_VALUE"""),179.8)</f>
        <v>179.8</v>
      </c>
      <c r="AQ265" s="3">
        <f>IFERROR(__xludf.DUMMYFUNCTION("""COMPUTED_VALUE"""),552.34)</f>
        <v>552.34</v>
      </c>
      <c r="AR265" s="3">
        <f>IFERROR(__xludf.DUMMYFUNCTION("""COMPUTED_VALUE"""),264.0)</f>
        <v>264</v>
      </c>
      <c r="AS265" s="3">
        <f>IFERROR(__xludf.DUMMYFUNCTION("""COMPUTED_VALUE"""),482.38)</f>
        <v>482.38</v>
      </c>
      <c r="AT265" s="3">
        <f>IFERROR(__xludf.DUMMYFUNCTION("""COMPUTED_VALUE"""),316.67)</f>
        <v>316.67</v>
      </c>
      <c r="AU265" s="1">
        <f>IFERROR(__xludf.DUMMYFUNCTION("""COMPUTED_VALUE"""),31.84)</f>
        <v>31.84</v>
      </c>
      <c r="AV265" s="1">
        <f>IFERROR(__xludf.DUMMYFUNCTION("""COMPUTED_VALUE"""),82.98)</f>
        <v>82.98</v>
      </c>
      <c r="AW265" s="1">
        <f>IFERROR(__xludf.DUMMYFUNCTION("""COMPUTED_VALUE"""),78.58)</f>
        <v>78.58</v>
      </c>
      <c r="AX265" s="3">
        <f>IFERROR(__xludf.DUMMYFUNCTION("""COMPUTED_VALUE"""),21.79)</f>
        <v>21.79</v>
      </c>
      <c r="AY265" s="1">
        <f>IFERROR(__xludf.DUMMYFUNCTION("""COMPUTED_VALUE"""),460.36)</f>
        <v>460.36</v>
      </c>
      <c r="AZ265" s="3">
        <f>IFERROR(__xludf.DUMMYFUNCTION("""COMPUTED_VALUE"""),70.64)</f>
        <v>70.64</v>
      </c>
      <c r="BA265" s="3">
        <f>IFERROR(__xludf.DUMMYFUNCTION("""COMPUTED_VALUE"""),155.9)</f>
        <v>155.9</v>
      </c>
      <c r="BB265" s="3">
        <f>IFERROR(__xludf.DUMMYFUNCTION("""COMPUTED_VALUE"""),135.13)</f>
        <v>135.13</v>
      </c>
      <c r="BC265" s="1">
        <f>IFERROR(__xludf.DUMMYFUNCTION("""COMPUTED_VALUE"""),95.35)</f>
        <v>95.35</v>
      </c>
      <c r="BD265" s="1">
        <f>IFERROR(__xludf.DUMMYFUNCTION("""COMPUTED_VALUE"""),59.39)</f>
        <v>59.39</v>
      </c>
      <c r="BE265" s="3">
        <f>IFERROR(__xludf.DUMMYFUNCTION("""COMPUTED_VALUE"""),131.78)</f>
        <v>131.78</v>
      </c>
      <c r="BF265" s="1">
        <f>IFERROR(__xludf.DUMMYFUNCTION("""COMPUTED_VALUE"""),70.28)</f>
        <v>70.28</v>
      </c>
      <c r="BG265" s="1">
        <f>IFERROR(__xludf.DUMMYFUNCTION("""COMPUTED_VALUE"""),23.49)</f>
        <v>23.49</v>
      </c>
      <c r="BH265" s="1">
        <f>IFERROR(__xludf.DUMMYFUNCTION("""COMPUTED_VALUE"""),136.48)</f>
        <v>136.48</v>
      </c>
      <c r="BI265" s="3">
        <f>IFERROR(__xludf.DUMMYFUNCTION("""COMPUTED_VALUE"""),39.4)</f>
        <v>39.4</v>
      </c>
      <c r="BJ265" s="1">
        <f>IFERROR(__xludf.DUMMYFUNCTION("""COMPUTED_VALUE"""),242.2)</f>
        <v>242.2</v>
      </c>
      <c r="BK265" s="1">
        <f>IFERROR(__xludf.DUMMYFUNCTION("""COMPUTED_VALUE"""),402.82)</f>
        <v>402.82</v>
      </c>
      <c r="BL265" s="1">
        <f>IFERROR(__xludf.DUMMYFUNCTION("""COMPUTED_VALUE"""),190.57)</f>
        <v>190.57</v>
      </c>
      <c r="BM265" s="1">
        <f>IFERROR(__xludf.DUMMYFUNCTION("""COMPUTED_VALUE"""),127.12)</f>
        <v>127.12</v>
      </c>
      <c r="BN265" s="3">
        <f>IFERROR(__xludf.DUMMYFUNCTION("""COMPUTED_VALUE"""),6.71)</f>
        <v>6.71</v>
      </c>
      <c r="BO265" s="1">
        <f>IFERROR(__xludf.DUMMYFUNCTION("""COMPUTED_VALUE"""),221.66)</f>
        <v>221.66</v>
      </c>
      <c r="BP265" s="1">
        <f>IFERROR(__xludf.DUMMYFUNCTION("""COMPUTED_VALUE"""),301.91)</f>
        <v>301.91</v>
      </c>
      <c r="BQ265" s="36">
        <f>IFERROR(__xludf.DUMMYFUNCTION("""COMPUTED_VALUE"""),50.02)</f>
        <v>50.02</v>
      </c>
      <c r="BR265" s="1">
        <f>IFERROR(__xludf.DUMMYFUNCTION("""COMPUTED_VALUE"""),8.79)</f>
        <v>8.79</v>
      </c>
      <c r="BS265" s="3">
        <f>IFERROR(__xludf.DUMMYFUNCTION("""COMPUTED_VALUE"""),240.97)</f>
        <v>240.97</v>
      </c>
      <c r="BT265" s="1">
        <f>IFERROR(__xludf.DUMMYFUNCTION("""COMPUTED_VALUE"""),113.04)</f>
        <v>113.04</v>
      </c>
      <c r="BU265" s="3">
        <v>1.0</v>
      </c>
    </row>
    <row r="266">
      <c r="A266" s="25">
        <f>IFERROR(__xludf.DUMMYFUNCTION("""COMPUTED_VALUE"""),45810.66666666667)</f>
        <v>45810.66667</v>
      </c>
      <c r="B266" s="29">
        <f>'Master Scratch Work'!B265</f>
        <v>1353679.3</v>
      </c>
      <c r="C266" s="15">
        <f>IFERROR(__xludf.DUMMYFUNCTION("""COMPUTED_VALUE"""),5935.94)</f>
        <v>5935.94</v>
      </c>
      <c r="D266" s="15">
        <f>IFERROR(__xludf.DUMMYFUNCTION("""COMPUTED_VALUE"""),19242.61)</f>
        <v>19242.61</v>
      </c>
      <c r="E266" s="15">
        <f>IFERROR(__xludf.DUMMYFUNCTION("""COMPUTED_VALUE"""),42305.48)</f>
        <v>42305.48</v>
      </c>
      <c r="F266" s="15">
        <f>IFERROR(__xludf.DUMMYFUNCTION("""COMPUTED_VALUE"""),2070.16)</f>
        <v>2070.16</v>
      </c>
      <c r="G266" s="3">
        <f>IFERROR(__xludf.DUMMYFUNCTION("""COMPUTED_VALUE"""),592.71)</f>
        <v>592.71</v>
      </c>
      <c r="H266" s="3">
        <f>IFERROR(__xludf.DUMMYFUNCTION("""COMPUTED_VALUE"""),523.21)</f>
        <v>523.21</v>
      </c>
      <c r="I266" s="3">
        <f>IFERROR(__xludf.DUMMYFUNCTION("""COMPUTED_VALUE"""),403.4)</f>
        <v>403.4</v>
      </c>
      <c r="J266" s="3">
        <f>IFERROR(__xludf.DUMMYFUNCTION("""COMPUTED_VALUE"""),206.65)</f>
        <v>206.65</v>
      </c>
      <c r="K266" s="3">
        <f>IFERROR(__xludf.DUMMYFUNCTION("""COMPUTED_VALUE"""),142.42)</f>
        <v>142.42</v>
      </c>
      <c r="L266" s="3">
        <f>IFERROR(__xludf.DUMMYFUNCTION("""COMPUTED_VALUE"""),201.7)</f>
        <v>201.7</v>
      </c>
      <c r="M266" s="3">
        <f>IFERROR(__xludf.DUMMYFUNCTION("""COMPUTED_VALUE"""),157.27)</f>
        <v>157.27</v>
      </c>
      <c r="N266" s="3">
        <f>IFERROR(__xludf.DUMMYFUNCTION("""COMPUTED_VALUE"""),88.98)</f>
        <v>88.98</v>
      </c>
      <c r="O266" s="3">
        <f>IFERROR(__xludf.DUMMYFUNCTION("""COMPUTED_VALUE"""),17.93)</f>
        <v>17.93</v>
      </c>
      <c r="P266" s="3">
        <f>IFERROR(__xludf.DUMMYFUNCTION("""COMPUTED_VALUE"""),502.81)</f>
        <v>502.81</v>
      </c>
      <c r="Q266" s="3">
        <f>IFERROR(__xludf.DUMMYFUNCTION("""COMPUTED_VALUE"""),49.43)</f>
        <v>49.43</v>
      </c>
      <c r="R266" s="3">
        <f>IFERROR(__xludf.DUMMYFUNCTION("""COMPUTED_VALUE"""),131.14)</f>
        <v>131.14</v>
      </c>
      <c r="S266" s="3">
        <f>IFERROR(__xludf.DUMMYFUNCTION("""COMPUTED_VALUE"""),104.17)</f>
        <v>104.17</v>
      </c>
      <c r="T266" s="3">
        <f>IFERROR(__xludf.DUMMYFUNCTION("""COMPUTED_VALUE"""),70.34)</f>
        <v>70.34</v>
      </c>
      <c r="U266" s="3">
        <f>IFERROR(__xludf.DUMMYFUNCTION("""COMPUTED_VALUE"""),344.67)</f>
        <v>344.67</v>
      </c>
      <c r="V266" s="3">
        <f>IFERROR(__xludf.DUMMYFUNCTION("""COMPUTED_VALUE"""),58.18)</f>
        <v>58.18</v>
      </c>
      <c r="W266" s="3">
        <f>IFERROR(__xludf.DUMMYFUNCTION("""COMPUTED_VALUE"""),229.89)</f>
        <v>229.89</v>
      </c>
      <c r="X266" s="3">
        <f>IFERROR(__xludf.DUMMYFUNCTION("""COMPUTED_VALUE"""),137.84)</f>
        <v>137.84</v>
      </c>
      <c r="Y266" s="1">
        <f>IFERROR(__xludf.DUMMYFUNCTION("""COMPUTED_VALUE"""),314.99)</f>
        <v>314.99</v>
      </c>
      <c r="Z266" s="1">
        <f>IFERROR(__xludf.DUMMYFUNCTION("""COMPUTED_VALUE"""),40.06)</f>
        <v>40.06</v>
      </c>
      <c r="AA266" s="1">
        <f>IFERROR(__xludf.DUMMYFUNCTION("""COMPUTED_VALUE"""),72.0)</f>
        <v>72</v>
      </c>
      <c r="AB266" s="1">
        <f>IFERROR(__xludf.DUMMYFUNCTION("""COMPUTED_VALUE"""),103.86)</f>
        <v>103.86</v>
      </c>
      <c r="AC266" s="1">
        <f>IFERROR(__xludf.DUMMYFUNCTION("""COMPUTED_VALUE"""),172.72)</f>
        <v>172.72</v>
      </c>
      <c r="AD266" s="3">
        <f>IFERROR(__xludf.DUMMYFUNCTION("""COMPUTED_VALUE"""),91.24)</f>
        <v>91.24</v>
      </c>
      <c r="AE266" s="1">
        <f>IFERROR(__xludf.DUMMYFUNCTION("""COMPUTED_VALUE"""),466.0)</f>
        <v>466</v>
      </c>
      <c r="AF266" s="1">
        <f>IFERROR(__xludf.DUMMYFUNCTION("""COMPUTED_VALUE"""),74.53)</f>
        <v>74.53</v>
      </c>
      <c r="AG266" s="1">
        <f>IFERROR(__xludf.DUMMYFUNCTION("""COMPUTED_VALUE"""),103.05)</f>
        <v>103.05</v>
      </c>
      <c r="AH266" s="1">
        <f>IFERROR(__xludf.DUMMYFUNCTION("""COMPUTED_VALUE"""),217.89)</f>
        <v>217.89</v>
      </c>
      <c r="AI266" s="1">
        <f>IFERROR(__xludf.DUMMYFUNCTION("""COMPUTED_VALUE"""),480.08)</f>
        <v>480.08</v>
      </c>
      <c r="AJ266" s="1">
        <f>IFERROR(__xludf.DUMMYFUNCTION("""COMPUTED_VALUE"""),275.71)</f>
        <v>275.71</v>
      </c>
      <c r="AK266" s="1">
        <f>IFERROR(__xludf.DUMMYFUNCTION("""COMPUTED_VALUE"""),47.69)</f>
        <v>47.69</v>
      </c>
      <c r="AL266" s="1">
        <f>IFERROR(__xludf.DUMMYFUNCTION("""COMPUTED_VALUE"""),108.91)</f>
        <v>108.91</v>
      </c>
      <c r="AM266" s="1">
        <f>IFERROR(__xludf.DUMMYFUNCTION("""COMPUTED_VALUE"""),598.72)</f>
        <v>598.72</v>
      </c>
      <c r="AN266" s="1">
        <f>IFERROR(__xludf.DUMMYFUNCTION("""COMPUTED_VALUE"""),367.96)</f>
        <v>367.96</v>
      </c>
      <c r="AO266" s="1">
        <f>IFERROR(__xludf.DUMMYFUNCTION("""COMPUTED_VALUE"""),144.52)</f>
        <v>144.52</v>
      </c>
      <c r="AP266" s="1">
        <f>IFERROR(__xludf.DUMMYFUNCTION("""COMPUTED_VALUE"""),180.32)</f>
        <v>180.32</v>
      </c>
      <c r="AQ266" s="3">
        <f>IFERROR(__xludf.DUMMYFUNCTION("""COMPUTED_VALUE"""),553.29)</f>
        <v>553.29</v>
      </c>
      <c r="AR266" s="3">
        <f>IFERROR(__xludf.DUMMYFUNCTION("""COMPUTED_VALUE"""),264.66)</f>
        <v>264.66</v>
      </c>
      <c r="AS266" s="3">
        <f>IFERROR(__xludf.DUMMYFUNCTION("""COMPUTED_VALUE"""),478.82)</f>
        <v>478.82</v>
      </c>
      <c r="AT266" s="3">
        <f>IFERROR(__xludf.DUMMYFUNCTION("""COMPUTED_VALUE"""),322.95)</f>
        <v>322.95</v>
      </c>
      <c r="AU266" s="1">
        <f>IFERROR(__xludf.DUMMYFUNCTION("""COMPUTED_VALUE"""),31.97)</f>
        <v>31.97</v>
      </c>
      <c r="AV266" s="1">
        <f>IFERROR(__xludf.DUMMYFUNCTION("""COMPUTED_VALUE"""),83.74)</f>
        <v>83.74</v>
      </c>
      <c r="AW266" s="1">
        <f>IFERROR(__xludf.DUMMYFUNCTION("""COMPUTED_VALUE"""),78.68)</f>
        <v>78.68</v>
      </c>
      <c r="AX266" s="3">
        <f>IFERROR(__xludf.DUMMYFUNCTION("""COMPUTED_VALUE"""),20.5)</f>
        <v>20.5</v>
      </c>
      <c r="AY266" s="1">
        <f>IFERROR(__xludf.DUMMYFUNCTION("""COMPUTED_VALUE"""),461.97)</f>
        <v>461.97</v>
      </c>
      <c r="AZ266" s="3">
        <f>IFERROR(__xludf.DUMMYFUNCTION("""COMPUTED_VALUE"""),70.15)</f>
        <v>70.15</v>
      </c>
      <c r="BA266" s="3">
        <f>IFERROR(__xludf.DUMMYFUNCTION("""COMPUTED_VALUE"""),158.49)</f>
        <v>158.49</v>
      </c>
      <c r="BB266" s="3">
        <f>IFERROR(__xludf.DUMMYFUNCTION("""COMPUTED_VALUE"""),137.38)</f>
        <v>137.38</v>
      </c>
      <c r="BC266" s="1">
        <f>IFERROR(__xludf.DUMMYFUNCTION("""COMPUTED_VALUE"""),94.21)</f>
        <v>94.21</v>
      </c>
      <c r="BD266" s="1">
        <f>IFERROR(__xludf.DUMMYFUNCTION("""COMPUTED_VALUE"""),59.14)</f>
        <v>59.14</v>
      </c>
      <c r="BE266" s="3">
        <f>IFERROR(__xludf.DUMMYFUNCTION("""COMPUTED_VALUE"""),132.04)</f>
        <v>132.04</v>
      </c>
      <c r="BF266" s="1">
        <f>IFERROR(__xludf.DUMMYFUNCTION("""COMPUTED_VALUE"""),70.93)</f>
        <v>70.93</v>
      </c>
      <c r="BG266" s="1">
        <f>IFERROR(__xludf.DUMMYFUNCTION("""COMPUTED_VALUE"""),23.46)</f>
        <v>23.46</v>
      </c>
      <c r="BH266" s="1">
        <f>IFERROR(__xludf.DUMMYFUNCTION("""COMPUTED_VALUE"""),137.46)</f>
        <v>137.46</v>
      </c>
      <c r="BI266" s="3">
        <f>IFERROR(__xludf.DUMMYFUNCTION("""COMPUTED_VALUE"""),40.65)</f>
        <v>40.65</v>
      </c>
      <c r="BJ266" s="1">
        <f>IFERROR(__xludf.DUMMYFUNCTION("""COMPUTED_VALUE"""),243.06)</f>
        <v>243.06</v>
      </c>
      <c r="BK266" s="1">
        <f>IFERROR(__xludf.DUMMYFUNCTION("""COMPUTED_VALUE"""),396.47)</f>
        <v>396.47</v>
      </c>
      <c r="BL266" s="1">
        <f>IFERROR(__xludf.DUMMYFUNCTION("""COMPUTED_VALUE"""),189.14)</f>
        <v>189.14</v>
      </c>
      <c r="BM266" s="1">
        <f>IFERROR(__xludf.DUMMYFUNCTION("""COMPUTED_VALUE"""),123.94)</f>
        <v>123.94</v>
      </c>
      <c r="BN266" s="3">
        <f>IFERROR(__xludf.DUMMYFUNCTION("""COMPUTED_VALUE"""),6.51)</f>
        <v>6.51</v>
      </c>
      <c r="BO266" s="1">
        <f>IFERROR(__xludf.DUMMYFUNCTION("""COMPUTED_VALUE"""),218.89)</f>
        <v>218.89</v>
      </c>
      <c r="BP266" s="1">
        <f>IFERROR(__xludf.DUMMYFUNCTION("""COMPUTED_VALUE"""),304.72)</f>
        <v>304.72</v>
      </c>
      <c r="BQ266" s="36">
        <f>IFERROR(__xludf.DUMMYFUNCTION("""COMPUTED_VALUE"""),49.99)</f>
        <v>49.99</v>
      </c>
      <c r="BR266" s="1">
        <f>IFERROR(__xludf.DUMMYFUNCTION("""COMPUTED_VALUE"""),8.69)</f>
        <v>8.69</v>
      </c>
      <c r="BS266" s="3">
        <f>IFERROR(__xludf.DUMMYFUNCTION("""COMPUTED_VALUE"""),242.1)</f>
        <v>242.1</v>
      </c>
      <c r="BT266" s="1">
        <f>IFERROR(__xludf.DUMMYFUNCTION("""COMPUTED_VALUE"""),112.95)</f>
        <v>112.95</v>
      </c>
      <c r="BU266" s="3">
        <v>1.0</v>
      </c>
    </row>
    <row r="267">
      <c r="A267" s="25">
        <f>IFERROR(__xludf.DUMMYFUNCTION("""COMPUTED_VALUE"""),45811.66666666667)</f>
        <v>45811.66667</v>
      </c>
      <c r="B267" s="29">
        <f>'Master Scratch Work'!B266</f>
        <v>1360803.21</v>
      </c>
      <c r="C267" s="15">
        <f>IFERROR(__xludf.DUMMYFUNCTION("""COMPUTED_VALUE"""),5970.37)</f>
        <v>5970.37</v>
      </c>
      <c r="D267" s="15">
        <f>IFERROR(__xludf.DUMMYFUNCTION("""COMPUTED_VALUE"""),19398.96)</f>
        <v>19398.96</v>
      </c>
      <c r="E267" s="15">
        <f>IFERROR(__xludf.DUMMYFUNCTION("""COMPUTED_VALUE"""),42519.64)</f>
        <v>42519.64</v>
      </c>
      <c r="F267" s="15">
        <f>IFERROR(__xludf.DUMMYFUNCTION("""COMPUTED_VALUE"""),2102.98)</f>
        <v>2102.98</v>
      </c>
      <c r="G267" s="3">
        <f>IFERROR(__xludf.DUMMYFUNCTION("""COMPUTED_VALUE"""),596.09)</f>
        <v>596.09</v>
      </c>
      <c r="H267" s="3">
        <f>IFERROR(__xludf.DUMMYFUNCTION("""COMPUTED_VALUE"""),527.3)</f>
        <v>527.3</v>
      </c>
      <c r="I267" s="3">
        <f>IFERROR(__xludf.DUMMYFUNCTION("""COMPUTED_VALUE"""),412.49)</f>
        <v>412.49</v>
      </c>
      <c r="J267" s="3">
        <f>IFERROR(__xludf.DUMMYFUNCTION("""COMPUTED_VALUE"""),205.71)</f>
        <v>205.71</v>
      </c>
      <c r="K267" s="3">
        <f>IFERROR(__xludf.DUMMYFUNCTION("""COMPUTED_VALUE"""),141.86)</f>
        <v>141.86</v>
      </c>
      <c r="L267" s="3">
        <f>IFERROR(__xludf.DUMMYFUNCTION("""COMPUTED_VALUE"""),203.27)</f>
        <v>203.27</v>
      </c>
      <c r="M267" s="3">
        <f>IFERROR(__xludf.DUMMYFUNCTION("""COMPUTED_VALUE"""),161.74)</f>
        <v>161.74</v>
      </c>
      <c r="N267" s="3">
        <f>IFERROR(__xludf.DUMMYFUNCTION("""COMPUTED_VALUE"""),89.32)</f>
        <v>89.32</v>
      </c>
      <c r="O267" s="3">
        <f>IFERROR(__xludf.DUMMYFUNCTION("""COMPUTED_VALUE"""),17.99)</f>
        <v>17.99</v>
      </c>
      <c r="P267" s="3">
        <f>IFERROR(__xludf.DUMMYFUNCTION("""COMPUTED_VALUE"""),497.83)</f>
        <v>497.83</v>
      </c>
      <c r="Q267" s="3">
        <f>IFERROR(__xludf.DUMMYFUNCTION("""COMPUTED_VALUE"""),48.6)</f>
        <v>48.6</v>
      </c>
      <c r="R267" s="3">
        <f>IFERROR(__xludf.DUMMYFUNCTION("""COMPUTED_VALUE"""),131.84)</f>
        <v>131.84</v>
      </c>
      <c r="S267" s="3">
        <f>IFERROR(__xludf.DUMMYFUNCTION("""COMPUTED_VALUE"""),103.1)</f>
        <v>103.1</v>
      </c>
      <c r="T267" s="3">
        <f>IFERROR(__xludf.DUMMYFUNCTION("""COMPUTED_VALUE"""),70.8)</f>
        <v>70.8</v>
      </c>
      <c r="U267" s="3">
        <f>IFERROR(__xludf.DUMMYFUNCTION("""COMPUTED_VALUE"""),349.4)</f>
        <v>349.4</v>
      </c>
      <c r="V267" s="3">
        <f>IFERROR(__xludf.DUMMYFUNCTION("""COMPUTED_VALUE"""),59.68)</f>
        <v>59.68</v>
      </c>
      <c r="W267" s="3">
        <f>IFERROR(__xludf.DUMMYFUNCTION("""COMPUTED_VALUE"""),229.88)</f>
        <v>229.88</v>
      </c>
      <c r="X267" s="3">
        <f>IFERROR(__xludf.DUMMYFUNCTION("""COMPUTED_VALUE"""),139.55)</f>
        <v>139.55</v>
      </c>
      <c r="Y267" s="1">
        <f>IFERROR(__xludf.DUMMYFUNCTION("""COMPUTED_VALUE"""),311.67)</f>
        <v>311.67</v>
      </c>
      <c r="Z267" s="1">
        <f>IFERROR(__xludf.DUMMYFUNCTION("""COMPUTED_VALUE"""),40.83)</f>
        <v>40.83</v>
      </c>
      <c r="AA267" s="1">
        <f>IFERROR(__xludf.DUMMYFUNCTION("""COMPUTED_VALUE"""),71.16)</f>
        <v>71.16</v>
      </c>
      <c r="AB267" s="1">
        <f>IFERROR(__xludf.DUMMYFUNCTION("""COMPUTED_VALUE"""),103.24)</f>
        <v>103.24</v>
      </c>
      <c r="AC267" s="1">
        <f>IFERROR(__xludf.DUMMYFUNCTION("""COMPUTED_VALUE"""),173.74)</f>
        <v>173.74</v>
      </c>
      <c r="AD267" s="3">
        <f>IFERROR(__xludf.DUMMYFUNCTION("""COMPUTED_VALUE"""),96.72)</f>
        <v>96.72</v>
      </c>
      <c r="AE267" s="1">
        <f>IFERROR(__xludf.DUMMYFUNCTION("""COMPUTED_VALUE"""),464.53)</f>
        <v>464.53</v>
      </c>
      <c r="AF267" s="1">
        <f>IFERROR(__xludf.DUMMYFUNCTION("""COMPUTED_VALUE"""),75.95)</f>
        <v>75.95</v>
      </c>
      <c r="AG267" s="1">
        <f>IFERROR(__xludf.DUMMYFUNCTION("""COMPUTED_VALUE"""),103.8)</f>
        <v>103.8</v>
      </c>
      <c r="AH267" s="1">
        <f>IFERROR(__xludf.DUMMYFUNCTION("""COMPUTED_VALUE"""),219.78)</f>
        <v>219.78</v>
      </c>
      <c r="AI267" s="1">
        <f>IFERROR(__xludf.DUMMYFUNCTION("""COMPUTED_VALUE"""),475.74)</f>
        <v>475.74</v>
      </c>
      <c r="AJ267" s="1">
        <f>IFERROR(__xludf.DUMMYFUNCTION("""COMPUTED_VALUE"""),276.04)</f>
        <v>276.04</v>
      </c>
      <c r="AK267" s="1">
        <f>IFERROR(__xludf.DUMMYFUNCTION("""COMPUTED_VALUE"""),49.06)</f>
        <v>49.06</v>
      </c>
      <c r="AL267" s="1">
        <f>IFERROR(__xludf.DUMMYFUNCTION("""COMPUTED_VALUE"""),109.33)</f>
        <v>109.33</v>
      </c>
      <c r="AM267" s="1">
        <f>IFERROR(__xludf.DUMMYFUNCTION("""COMPUTED_VALUE"""),603.83)</f>
        <v>603.83</v>
      </c>
      <c r="AN267" s="1">
        <f>IFERROR(__xludf.DUMMYFUNCTION("""COMPUTED_VALUE"""),373.08)</f>
        <v>373.08</v>
      </c>
      <c r="AO267" s="1">
        <f>IFERROR(__xludf.DUMMYFUNCTION("""COMPUTED_VALUE"""),145.25)</f>
        <v>145.25</v>
      </c>
      <c r="AP267" s="1">
        <f>IFERROR(__xludf.DUMMYFUNCTION("""COMPUTED_VALUE"""),179.34)</f>
        <v>179.34</v>
      </c>
      <c r="AQ267" s="3">
        <f>IFERROR(__xludf.DUMMYFUNCTION("""COMPUTED_VALUE"""),551.85)</f>
        <v>551.85</v>
      </c>
      <c r="AR267" s="3">
        <f>IFERROR(__xludf.DUMMYFUNCTION("""COMPUTED_VALUE"""),266.27)</f>
        <v>266.27</v>
      </c>
      <c r="AS267" s="3">
        <f>IFERROR(__xludf.DUMMYFUNCTION("""COMPUTED_VALUE"""),480.17)</f>
        <v>480.17</v>
      </c>
      <c r="AT267" s="3">
        <f>IFERROR(__xludf.DUMMYFUNCTION("""COMPUTED_VALUE"""),334.91)</f>
        <v>334.91</v>
      </c>
      <c r="AU267" s="1">
        <f>IFERROR(__xludf.DUMMYFUNCTION("""COMPUTED_VALUE"""),31.94)</f>
        <v>31.94</v>
      </c>
      <c r="AV267" s="1">
        <f>IFERROR(__xludf.DUMMYFUNCTION("""COMPUTED_VALUE"""),85.54)</f>
        <v>85.54</v>
      </c>
      <c r="AW267" s="1">
        <f>IFERROR(__xludf.DUMMYFUNCTION("""COMPUTED_VALUE"""),79.32)</f>
        <v>79.32</v>
      </c>
      <c r="AX267" s="3">
        <f>IFERROR(__xludf.DUMMYFUNCTION("""COMPUTED_VALUE"""),22.0)</f>
        <v>22</v>
      </c>
      <c r="AY267" s="1">
        <f>IFERROR(__xludf.DUMMYFUNCTION("""COMPUTED_VALUE"""),462.97)</f>
        <v>462.97</v>
      </c>
      <c r="AZ267" s="3">
        <f>IFERROR(__xludf.DUMMYFUNCTION("""COMPUTED_VALUE"""),70.95)</f>
        <v>70.95</v>
      </c>
      <c r="BA267" s="3">
        <f>IFERROR(__xludf.DUMMYFUNCTION("""COMPUTED_VALUE"""),161.04)</f>
        <v>161.04</v>
      </c>
      <c r="BB267" s="3">
        <f>IFERROR(__xludf.DUMMYFUNCTION("""COMPUTED_VALUE"""),141.22)</f>
        <v>141.22</v>
      </c>
      <c r="BC267" s="1">
        <f>IFERROR(__xludf.DUMMYFUNCTION("""COMPUTED_VALUE"""),94.89)</f>
        <v>94.89</v>
      </c>
      <c r="BD267" s="1">
        <f>IFERROR(__xludf.DUMMYFUNCTION("""COMPUTED_VALUE"""),58.53)</f>
        <v>58.53</v>
      </c>
      <c r="BE267" s="3">
        <f>IFERROR(__xludf.DUMMYFUNCTION("""COMPUTED_VALUE"""),133.17)</f>
        <v>133.17</v>
      </c>
      <c r="BF267" s="1">
        <f>IFERROR(__xludf.DUMMYFUNCTION("""COMPUTED_VALUE"""),71.33)</f>
        <v>71.33</v>
      </c>
      <c r="BG267" s="1">
        <f>IFERROR(__xludf.DUMMYFUNCTION("""COMPUTED_VALUE"""),23.35)</f>
        <v>23.35</v>
      </c>
      <c r="BH267" s="1">
        <f>IFERROR(__xludf.DUMMYFUNCTION("""COMPUTED_VALUE"""),137.5)</f>
        <v>137.5</v>
      </c>
      <c r="BI267" s="3">
        <f>IFERROR(__xludf.DUMMYFUNCTION("""COMPUTED_VALUE"""),40.58)</f>
        <v>40.58</v>
      </c>
      <c r="BJ267" s="1">
        <f>IFERROR(__xludf.DUMMYFUNCTION("""COMPUTED_VALUE"""),243.88)</f>
        <v>243.88</v>
      </c>
      <c r="BK267" s="1">
        <f>IFERROR(__xludf.DUMMYFUNCTION("""COMPUTED_VALUE"""),399.93)</f>
        <v>399.93</v>
      </c>
      <c r="BL267" s="1">
        <f>IFERROR(__xludf.DUMMYFUNCTION("""COMPUTED_VALUE"""),191.4)</f>
        <v>191.4</v>
      </c>
      <c r="BM267" s="1">
        <f>IFERROR(__xludf.DUMMYFUNCTION("""COMPUTED_VALUE"""),128.74)</f>
        <v>128.74</v>
      </c>
      <c r="BN267" s="3">
        <f>IFERROR(__xludf.DUMMYFUNCTION("""COMPUTED_VALUE"""),6.54)</f>
        <v>6.54</v>
      </c>
      <c r="BO267" s="1">
        <f>IFERROR(__xludf.DUMMYFUNCTION("""COMPUTED_VALUE"""),221.78)</f>
        <v>221.78</v>
      </c>
      <c r="BP267" s="1">
        <f>IFERROR(__xludf.DUMMYFUNCTION("""COMPUTED_VALUE"""),301.22)</f>
        <v>301.22</v>
      </c>
      <c r="BQ267" s="36">
        <f>IFERROR(__xludf.DUMMYFUNCTION("""COMPUTED_VALUE"""),49.96)</f>
        <v>49.96</v>
      </c>
      <c r="BR267" s="1">
        <f>IFERROR(__xludf.DUMMYFUNCTION("""COMPUTED_VALUE"""),8.71)</f>
        <v>8.71</v>
      </c>
      <c r="BS267" s="3">
        <f>IFERROR(__xludf.DUMMYFUNCTION("""COMPUTED_VALUE"""),240.19)</f>
        <v>240.19</v>
      </c>
      <c r="BT267" s="1">
        <f>IFERROR(__xludf.DUMMYFUNCTION("""COMPUTED_VALUE"""),113.6)</f>
        <v>113.6</v>
      </c>
      <c r="BU267" s="3">
        <v>1.0</v>
      </c>
    </row>
    <row r="268">
      <c r="A268" s="25">
        <f>IFERROR(__xludf.DUMMYFUNCTION("""COMPUTED_VALUE"""),45812.66666666667)</f>
        <v>45812.66667</v>
      </c>
      <c r="B268" s="29">
        <f>'Master Scratch Work'!B267</f>
        <v>1358802</v>
      </c>
      <c r="C268" s="15">
        <f>IFERROR(__xludf.DUMMYFUNCTION("""COMPUTED_VALUE"""),5970.81)</f>
        <v>5970.81</v>
      </c>
      <c r="D268" s="15">
        <f>IFERROR(__xludf.DUMMYFUNCTION("""COMPUTED_VALUE"""),19460.49)</f>
        <v>19460.49</v>
      </c>
      <c r="E268" s="15">
        <f>IFERROR(__xludf.DUMMYFUNCTION("""COMPUTED_VALUE"""),42427.74)</f>
        <v>42427.74</v>
      </c>
      <c r="F268" s="15">
        <f>IFERROR(__xludf.DUMMYFUNCTION("""COMPUTED_VALUE"""),2098.48)</f>
        <v>2098.48</v>
      </c>
      <c r="G268" s="3">
        <f>IFERROR(__xludf.DUMMYFUNCTION("""COMPUTED_VALUE"""),595.93)</f>
        <v>595.93</v>
      </c>
      <c r="H268" s="3">
        <f>IFERROR(__xludf.DUMMYFUNCTION("""COMPUTED_VALUE"""),528.77)</f>
        <v>528.77</v>
      </c>
      <c r="I268" s="3">
        <f>IFERROR(__xludf.DUMMYFUNCTION("""COMPUTED_VALUE"""),413.91)</f>
        <v>413.91</v>
      </c>
      <c r="J268" s="3">
        <f>IFERROR(__xludf.DUMMYFUNCTION("""COMPUTED_VALUE"""),207.23)</f>
        <v>207.23</v>
      </c>
      <c r="K268" s="3">
        <f>IFERROR(__xludf.DUMMYFUNCTION("""COMPUTED_VALUE"""),138.84)</f>
        <v>138.84</v>
      </c>
      <c r="L268" s="3">
        <f>IFERROR(__xludf.DUMMYFUNCTION("""COMPUTED_VALUE"""),202.82)</f>
        <v>202.82</v>
      </c>
      <c r="M268" s="3">
        <f>IFERROR(__xludf.DUMMYFUNCTION("""COMPUTED_VALUE"""),161.93)</f>
        <v>161.93</v>
      </c>
      <c r="N268" s="3">
        <f>IFERROR(__xludf.DUMMYFUNCTION("""COMPUTED_VALUE"""),88.33)</f>
        <v>88.33</v>
      </c>
      <c r="O268" s="3">
        <f>IFERROR(__xludf.DUMMYFUNCTION("""COMPUTED_VALUE"""),17.69)</f>
        <v>17.69</v>
      </c>
      <c r="P268" s="3">
        <f>IFERROR(__xludf.DUMMYFUNCTION("""COMPUTED_VALUE"""),491.0)</f>
        <v>491</v>
      </c>
      <c r="Q268" s="3">
        <f>IFERROR(__xludf.DUMMYFUNCTION("""COMPUTED_VALUE"""),49.1)</f>
        <v>49.1</v>
      </c>
      <c r="R268" s="3">
        <f>IFERROR(__xludf.DUMMYFUNCTION("""COMPUTED_VALUE"""),131.86)</f>
        <v>131.86</v>
      </c>
      <c r="S268" s="3">
        <f>IFERROR(__xludf.DUMMYFUNCTION("""COMPUTED_VALUE"""),102.43)</f>
        <v>102.43</v>
      </c>
      <c r="T268" s="3">
        <f>IFERROR(__xludf.DUMMYFUNCTION("""COMPUTED_VALUE"""),71.39)</f>
        <v>71.39</v>
      </c>
      <c r="U268" s="3">
        <f>IFERROR(__xludf.DUMMYFUNCTION("""COMPUTED_VALUE"""),349.33)</f>
        <v>349.33</v>
      </c>
      <c r="V268" s="3">
        <f>IFERROR(__xludf.DUMMYFUNCTION("""COMPUTED_VALUE"""),59.95)</f>
        <v>59.95</v>
      </c>
      <c r="W268" s="3">
        <f>IFERROR(__xludf.DUMMYFUNCTION("""COMPUTED_VALUE"""),230.91)</f>
        <v>230.91</v>
      </c>
      <c r="X268" s="3">
        <f>IFERROR(__xludf.DUMMYFUNCTION("""COMPUTED_VALUE"""),137.37)</f>
        <v>137.37</v>
      </c>
      <c r="Y268" s="1">
        <f>IFERROR(__xludf.DUMMYFUNCTION("""COMPUTED_VALUE"""),310.12)</f>
        <v>310.12</v>
      </c>
      <c r="Z268" s="1">
        <f>IFERROR(__xludf.DUMMYFUNCTION("""COMPUTED_VALUE"""),40.17)</f>
        <v>40.17</v>
      </c>
      <c r="AA268" s="1">
        <f>IFERROR(__xludf.DUMMYFUNCTION("""COMPUTED_VALUE"""),71.37)</f>
        <v>71.37</v>
      </c>
      <c r="AB268" s="1">
        <f>IFERROR(__xludf.DUMMYFUNCTION("""COMPUTED_VALUE"""),102.21)</f>
        <v>102.21</v>
      </c>
      <c r="AC268" s="1">
        <f>IFERROR(__xludf.DUMMYFUNCTION("""COMPUTED_VALUE"""),176.0)</f>
        <v>176</v>
      </c>
      <c r="AD268" s="3">
        <f>IFERROR(__xludf.DUMMYFUNCTION("""COMPUTED_VALUE"""),88.62)</f>
        <v>88.62</v>
      </c>
      <c r="AE268" s="1">
        <f>IFERROR(__xludf.DUMMYFUNCTION("""COMPUTED_VALUE"""),465.91)</f>
        <v>465.91</v>
      </c>
      <c r="AF268" s="1">
        <f>IFERROR(__xludf.DUMMYFUNCTION("""COMPUTED_VALUE"""),77.1)</f>
        <v>77.1</v>
      </c>
      <c r="AG268" s="1">
        <f>IFERROR(__xludf.DUMMYFUNCTION("""COMPUTED_VALUE"""),102.3)</f>
        <v>102.3</v>
      </c>
      <c r="AH268" s="1">
        <f>IFERROR(__xludf.DUMMYFUNCTION("""COMPUTED_VALUE"""),218.89)</f>
        <v>218.89</v>
      </c>
      <c r="AI268" s="1">
        <f>IFERROR(__xludf.DUMMYFUNCTION("""COMPUTED_VALUE"""),480.96)</f>
        <v>480.96</v>
      </c>
      <c r="AJ268" s="1">
        <f>IFERROR(__xludf.DUMMYFUNCTION("""COMPUTED_VALUE"""),275.03)</f>
        <v>275.03</v>
      </c>
      <c r="AK268" s="1">
        <f>IFERROR(__xludf.DUMMYFUNCTION("""COMPUTED_VALUE"""),47.67)</f>
        <v>47.67</v>
      </c>
      <c r="AL268" s="1">
        <f>IFERROR(__xludf.DUMMYFUNCTION("""COMPUTED_VALUE"""),109.02)</f>
        <v>109.02</v>
      </c>
      <c r="AM268" s="1">
        <f>IFERROR(__xludf.DUMMYFUNCTION("""COMPUTED_VALUE"""),599.21)</f>
        <v>599.21</v>
      </c>
      <c r="AN268" s="1">
        <f>IFERROR(__xludf.DUMMYFUNCTION("""COMPUTED_VALUE"""),372.4)</f>
        <v>372.4</v>
      </c>
      <c r="AO268" s="1">
        <f>IFERROR(__xludf.DUMMYFUNCTION("""COMPUTED_VALUE"""),144.88)</f>
        <v>144.88</v>
      </c>
      <c r="AP268" s="1">
        <f>IFERROR(__xludf.DUMMYFUNCTION("""COMPUTED_VALUE"""),179.13)</f>
        <v>179.13</v>
      </c>
      <c r="AQ268" s="3">
        <f>IFERROR(__xludf.DUMMYFUNCTION("""COMPUTED_VALUE"""),557.95)</f>
        <v>557.95</v>
      </c>
      <c r="AR268" s="3">
        <f>IFERROR(__xludf.DUMMYFUNCTION("""COMPUTED_VALUE"""),264.22)</f>
        <v>264.22</v>
      </c>
      <c r="AS268" s="3">
        <f>IFERROR(__xludf.DUMMYFUNCTION("""COMPUTED_VALUE"""),482.21)</f>
        <v>482.21</v>
      </c>
      <c r="AT268" s="3">
        <f>IFERROR(__xludf.DUMMYFUNCTION("""COMPUTED_VALUE"""),335.19)</f>
        <v>335.19</v>
      </c>
      <c r="AU268" s="1">
        <f>IFERROR(__xludf.DUMMYFUNCTION("""COMPUTED_VALUE"""),31.94)</f>
        <v>31.94</v>
      </c>
      <c r="AV268" s="1">
        <f>IFERROR(__xludf.DUMMYFUNCTION("""COMPUTED_VALUE"""),85.6)</f>
        <v>85.6</v>
      </c>
      <c r="AW268" s="1">
        <f>IFERROR(__xludf.DUMMYFUNCTION("""COMPUTED_VALUE"""),78.81)</f>
        <v>78.81</v>
      </c>
      <c r="AX268" s="3">
        <f>IFERROR(__xludf.DUMMYFUNCTION("""COMPUTED_VALUE"""),24.58)</f>
        <v>24.58</v>
      </c>
      <c r="AY268" s="1">
        <f>IFERROR(__xludf.DUMMYFUNCTION("""COMPUTED_VALUE"""),463.87)</f>
        <v>463.87</v>
      </c>
      <c r="AZ268" s="3">
        <f>IFERROR(__xludf.DUMMYFUNCTION("""COMPUTED_VALUE"""),69.88)</f>
        <v>69.88</v>
      </c>
      <c r="BA268" s="3">
        <f>IFERROR(__xludf.DUMMYFUNCTION("""COMPUTED_VALUE"""),156.97)</f>
        <v>156.97</v>
      </c>
      <c r="BB268" s="3">
        <f>IFERROR(__xludf.DUMMYFUNCTION("""COMPUTED_VALUE"""),141.92)</f>
        <v>141.92</v>
      </c>
      <c r="BC268" s="1">
        <f>IFERROR(__xludf.DUMMYFUNCTION("""COMPUTED_VALUE"""),95.27)</f>
        <v>95.27</v>
      </c>
      <c r="BD268" s="1">
        <f>IFERROR(__xludf.DUMMYFUNCTION("""COMPUTED_VALUE"""),58.03)</f>
        <v>58.03</v>
      </c>
      <c r="BE268" s="3">
        <f>IFERROR(__xludf.DUMMYFUNCTION("""COMPUTED_VALUE"""),130.01)</f>
        <v>130.01</v>
      </c>
      <c r="BF268" s="1">
        <f>IFERROR(__xludf.DUMMYFUNCTION("""COMPUTED_VALUE"""),72.8)</f>
        <v>72.8</v>
      </c>
      <c r="BG268" s="1">
        <f>IFERROR(__xludf.DUMMYFUNCTION("""COMPUTED_VALUE"""),23.39)</f>
        <v>23.39</v>
      </c>
      <c r="BH268" s="1">
        <f>IFERROR(__xludf.DUMMYFUNCTION("""COMPUTED_VALUE"""),138.55)</f>
        <v>138.55</v>
      </c>
      <c r="BI268" s="3">
        <f>IFERROR(__xludf.DUMMYFUNCTION("""COMPUTED_VALUE"""),40.38)</f>
        <v>40.38</v>
      </c>
      <c r="BJ268" s="1">
        <f>IFERROR(__xludf.DUMMYFUNCTION("""COMPUTED_VALUE"""),241.96)</f>
        <v>241.96</v>
      </c>
      <c r="BK268" s="1">
        <f>IFERROR(__xludf.DUMMYFUNCTION("""COMPUTED_VALUE"""),403.66)</f>
        <v>403.66</v>
      </c>
      <c r="BL268" s="1">
        <f>IFERROR(__xludf.DUMMYFUNCTION("""COMPUTED_VALUE"""),187.96)</f>
        <v>187.96</v>
      </c>
      <c r="BM268" s="1">
        <f>IFERROR(__xludf.DUMMYFUNCTION("""COMPUTED_VALUE"""),129.81)</f>
        <v>129.81</v>
      </c>
      <c r="BN268" s="3">
        <f>IFERROR(__xludf.DUMMYFUNCTION("""COMPUTED_VALUE"""),6.6)</f>
        <v>6.6</v>
      </c>
      <c r="BO268" s="1">
        <f>IFERROR(__xludf.DUMMYFUNCTION("""COMPUTED_VALUE"""),220.87)</f>
        <v>220.87</v>
      </c>
      <c r="BP268" s="1">
        <f>IFERROR(__xludf.DUMMYFUNCTION("""COMPUTED_VALUE"""),300.38)</f>
        <v>300.38</v>
      </c>
      <c r="BQ268" s="36">
        <f>IFERROR(__xludf.DUMMYFUNCTION("""COMPUTED_VALUE"""),50.01)</f>
        <v>50.01</v>
      </c>
      <c r="BR268" s="1">
        <f>IFERROR(__xludf.DUMMYFUNCTION("""COMPUTED_VALUE"""),8.59)</f>
        <v>8.59</v>
      </c>
      <c r="BS268" s="3">
        <f>IFERROR(__xludf.DUMMYFUNCTION("""COMPUTED_VALUE"""),238.89)</f>
        <v>238.89</v>
      </c>
      <c r="BT268" s="1">
        <f>IFERROR(__xludf.DUMMYFUNCTION("""COMPUTED_VALUE"""),113.49)</f>
        <v>113.49</v>
      </c>
      <c r="BU268" s="3">
        <v>1.0</v>
      </c>
    </row>
    <row r="269">
      <c r="A269" s="25">
        <f>IFERROR(__xludf.DUMMYFUNCTION("""COMPUTED_VALUE"""),45813.66666666667)</f>
        <v>45813.66667</v>
      </c>
      <c r="B269" s="29">
        <f>'Master Scratch Work'!B268</f>
        <v>1356151.01</v>
      </c>
      <c r="C269" s="15">
        <f>IFERROR(__xludf.DUMMYFUNCTION("""COMPUTED_VALUE"""),5939.3)</f>
        <v>5939.3</v>
      </c>
      <c r="D269" s="15">
        <f>IFERROR(__xludf.DUMMYFUNCTION("""COMPUTED_VALUE"""),19298.45)</f>
        <v>19298.45</v>
      </c>
      <c r="E269" s="15">
        <f>IFERROR(__xludf.DUMMYFUNCTION("""COMPUTED_VALUE"""),42319.74)</f>
        <v>42319.74</v>
      </c>
      <c r="F269" s="15">
        <f>IFERROR(__xludf.DUMMYFUNCTION("""COMPUTED_VALUE"""),2097.35)</f>
        <v>2097.35</v>
      </c>
      <c r="G269" s="3">
        <f>IFERROR(__xludf.DUMMYFUNCTION("""COMPUTED_VALUE"""),593.05)</f>
        <v>593.05</v>
      </c>
      <c r="H269" s="3">
        <f>IFERROR(__xludf.DUMMYFUNCTION("""COMPUTED_VALUE"""),524.79)</f>
        <v>524.79</v>
      </c>
      <c r="I269" s="3">
        <f>IFERROR(__xludf.DUMMYFUNCTION("""COMPUTED_VALUE"""),415.2)</f>
        <v>415.2</v>
      </c>
      <c r="J269" s="3">
        <f>IFERROR(__xludf.DUMMYFUNCTION("""COMPUTED_VALUE"""),207.91)</f>
        <v>207.91</v>
      </c>
      <c r="K269" s="3">
        <f>IFERROR(__xludf.DUMMYFUNCTION("""COMPUTED_VALUE"""),140.02)</f>
        <v>140.02</v>
      </c>
      <c r="L269" s="3">
        <f>IFERROR(__xludf.DUMMYFUNCTION("""COMPUTED_VALUE"""),200.63)</f>
        <v>200.63</v>
      </c>
      <c r="M269" s="3">
        <f>IFERROR(__xludf.DUMMYFUNCTION("""COMPUTED_VALUE"""),164.19)</f>
        <v>164.19</v>
      </c>
      <c r="N269" s="3">
        <f>IFERROR(__xludf.DUMMYFUNCTION("""COMPUTED_VALUE"""),88.58)</f>
        <v>88.58</v>
      </c>
      <c r="O269" s="3">
        <f>IFERROR(__xludf.DUMMYFUNCTION("""COMPUTED_VALUE"""),17.87)</f>
        <v>17.87</v>
      </c>
      <c r="P269" s="3">
        <f>IFERROR(__xludf.DUMMYFUNCTION("""COMPUTED_VALUE"""),488.74)</f>
        <v>488.74</v>
      </c>
      <c r="Q269" s="3">
        <f>IFERROR(__xludf.DUMMYFUNCTION("""COMPUTED_VALUE"""),49.83)</f>
        <v>49.83</v>
      </c>
      <c r="R269" s="3">
        <f>IFERROR(__xludf.DUMMYFUNCTION("""COMPUTED_VALUE"""),130.36)</f>
        <v>130.36</v>
      </c>
      <c r="S269" s="3">
        <f>IFERROR(__xludf.DUMMYFUNCTION("""COMPUTED_VALUE"""),102.83)</f>
        <v>102.83</v>
      </c>
      <c r="T269" s="3">
        <f>IFERROR(__xludf.DUMMYFUNCTION("""COMPUTED_VALUE"""),71.4)</f>
        <v>71.4</v>
      </c>
      <c r="U269" s="3">
        <f>IFERROR(__xludf.DUMMYFUNCTION("""COMPUTED_VALUE"""),348.96)</f>
        <v>348.96</v>
      </c>
      <c r="V269" s="3">
        <f>IFERROR(__xludf.DUMMYFUNCTION("""COMPUTED_VALUE"""),60.03)</f>
        <v>60.03</v>
      </c>
      <c r="W269" s="3">
        <f>IFERROR(__xludf.DUMMYFUNCTION("""COMPUTED_VALUE"""),231.11)</f>
        <v>231.11</v>
      </c>
      <c r="X269" s="3">
        <f>IFERROR(__xludf.DUMMYFUNCTION("""COMPUTED_VALUE"""),136.9)</f>
        <v>136.9</v>
      </c>
      <c r="Y269" s="1">
        <f>IFERROR(__xludf.DUMMYFUNCTION("""COMPUTED_VALUE"""),311.02)</f>
        <v>311.02</v>
      </c>
      <c r="Z269" s="1">
        <f>IFERROR(__xludf.DUMMYFUNCTION("""COMPUTED_VALUE"""),40.27)</f>
        <v>40.27</v>
      </c>
      <c r="AA269" s="1">
        <f>IFERROR(__xludf.DUMMYFUNCTION("""COMPUTED_VALUE"""),70.91)</f>
        <v>70.91</v>
      </c>
      <c r="AB269" s="1">
        <f>IFERROR(__xludf.DUMMYFUNCTION("""COMPUTED_VALUE"""),102.27)</f>
        <v>102.27</v>
      </c>
      <c r="AC269" s="1">
        <f>IFERROR(__xludf.DUMMYFUNCTION("""COMPUTED_VALUE"""),175.91)</f>
        <v>175.91</v>
      </c>
      <c r="AD269" s="3">
        <f>IFERROR(__xludf.DUMMYFUNCTION("""COMPUTED_VALUE"""),96.67)</f>
        <v>96.67</v>
      </c>
      <c r="AE269" s="1">
        <f>IFERROR(__xludf.DUMMYFUNCTION("""COMPUTED_VALUE"""),460.03)</f>
        <v>460.03</v>
      </c>
      <c r="AF269" s="1">
        <f>IFERROR(__xludf.DUMMYFUNCTION("""COMPUTED_VALUE"""),77.74)</f>
        <v>77.74</v>
      </c>
      <c r="AG269" s="1">
        <f>IFERROR(__xludf.DUMMYFUNCTION("""COMPUTED_VALUE"""),101.83)</f>
        <v>101.83</v>
      </c>
      <c r="AH269" s="1">
        <f>IFERROR(__xludf.DUMMYFUNCTION("""COMPUTED_VALUE"""),216.73)</f>
        <v>216.73</v>
      </c>
      <c r="AI269" s="1">
        <f>IFERROR(__xludf.DUMMYFUNCTION("""COMPUTED_VALUE"""),480.36)</f>
        <v>480.36</v>
      </c>
      <c r="AJ269" s="1">
        <f>IFERROR(__xludf.DUMMYFUNCTION("""COMPUTED_VALUE"""),274.42)</f>
        <v>274.42</v>
      </c>
      <c r="AK269" s="1">
        <f>IFERROR(__xludf.DUMMYFUNCTION("""COMPUTED_VALUE"""),47.25)</f>
        <v>47.25</v>
      </c>
      <c r="AL269" s="1">
        <f>IFERROR(__xludf.DUMMYFUNCTION("""COMPUTED_VALUE"""),110.46)</f>
        <v>110.46</v>
      </c>
      <c r="AM269" s="1">
        <f>IFERROR(__xludf.DUMMYFUNCTION("""COMPUTED_VALUE"""),605.88)</f>
        <v>605.88</v>
      </c>
      <c r="AN269" s="1">
        <f>IFERROR(__xludf.DUMMYFUNCTION("""COMPUTED_VALUE"""),369.28)</f>
        <v>369.28</v>
      </c>
      <c r="AO269" s="1">
        <f>IFERROR(__xludf.DUMMYFUNCTION("""COMPUTED_VALUE"""),142.09)</f>
        <v>142.09</v>
      </c>
      <c r="AP269" s="1">
        <f>IFERROR(__xludf.DUMMYFUNCTION("""COMPUTED_VALUE"""),178.56)</f>
        <v>178.56</v>
      </c>
      <c r="AQ269" s="3">
        <f>IFERROR(__xludf.DUMMYFUNCTION("""COMPUTED_VALUE"""),558.06)</f>
        <v>558.06</v>
      </c>
      <c r="AR269" s="3">
        <f>IFERROR(__xludf.DUMMYFUNCTION("""COMPUTED_VALUE"""),261.95)</f>
        <v>261.95</v>
      </c>
      <c r="AS269" s="3">
        <f>IFERROR(__xludf.DUMMYFUNCTION("""COMPUTED_VALUE"""),478.03)</f>
        <v>478.03</v>
      </c>
      <c r="AT269" s="3">
        <f>IFERROR(__xludf.DUMMYFUNCTION("""COMPUTED_VALUE"""),330.78)</f>
        <v>330.78</v>
      </c>
      <c r="AU269" s="1">
        <f>IFERROR(__xludf.DUMMYFUNCTION("""COMPUTED_VALUE"""),32.05)</f>
        <v>32.05</v>
      </c>
      <c r="AV269" s="1">
        <f>IFERROR(__xludf.DUMMYFUNCTION("""COMPUTED_VALUE"""),87.0)</f>
        <v>87</v>
      </c>
      <c r="AW269" s="1">
        <f>IFERROR(__xludf.DUMMYFUNCTION("""COMPUTED_VALUE"""),78.56)</f>
        <v>78.56</v>
      </c>
      <c r="AX269" s="3">
        <f>IFERROR(__xludf.DUMMYFUNCTION("""COMPUTED_VALUE"""),25.93)</f>
        <v>25.93</v>
      </c>
      <c r="AY269" s="1">
        <f>IFERROR(__xludf.DUMMYFUNCTION("""COMPUTED_VALUE"""),467.68)</f>
        <v>467.68</v>
      </c>
      <c r="AZ269" s="3">
        <f>IFERROR(__xludf.DUMMYFUNCTION("""COMPUTED_VALUE"""),71.5)</f>
        <v>71.5</v>
      </c>
      <c r="BA269" s="3">
        <f>IFERROR(__xludf.DUMMYFUNCTION("""COMPUTED_VALUE"""),156.03)</f>
        <v>156.03</v>
      </c>
      <c r="BB269" s="3">
        <f>IFERROR(__xludf.DUMMYFUNCTION("""COMPUTED_VALUE"""),139.99)</f>
        <v>139.99</v>
      </c>
      <c r="BC269" s="1">
        <f>IFERROR(__xludf.DUMMYFUNCTION("""COMPUTED_VALUE"""),95.28)</f>
        <v>95.28</v>
      </c>
      <c r="BD269" s="1">
        <f>IFERROR(__xludf.DUMMYFUNCTION("""COMPUTED_VALUE"""),56.95)</f>
        <v>56.95</v>
      </c>
      <c r="BE269" s="3">
        <f>IFERROR(__xludf.DUMMYFUNCTION("""COMPUTED_VALUE"""),119.91)</f>
        <v>119.91</v>
      </c>
      <c r="BF269" s="1">
        <f>IFERROR(__xludf.DUMMYFUNCTION("""COMPUTED_VALUE"""),72.47)</f>
        <v>72.47</v>
      </c>
      <c r="BG269" s="1">
        <f>IFERROR(__xludf.DUMMYFUNCTION("""COMPUTED_VALUE"""),23.12)</f>
        <v>23.12</v>
      </c>
      <c r="BH269" s="1">
        <f>IFERROR(__xludf.DUMMYFUNCTION("""COMPUTED_VALUE"""),139.07)</f>
        <v>139.07</v>
      </c>
      <c r="BI269" s="3">
        <f>IFERROR(__xludf.DUMMYFUNCTION("""COMPUTED_VALUE"""),40.2)</f>
        <v>40.2</v>
      </c>
      <c r="BJ269" s="1">
        <f>IFERROR(__xludf.DUMMYFUNCTION("""COMPUTED_VALUE"""),244.9)</f>
        <v>244.9</v>
      </c>
      <c r="BK269" s="1">
        <f>IFERROR(__xludf.DUMMYFUNCTION("""COMPUTED_VALUE"""),398.36)</f>
        <v>398.36</v>
      </c>
      <c r="BL269" s="1">
        <f>IFERROR(__xludf.DUMMYFUNCTION("""COMPUTED_VALUE"""),184.4)</f>
        <v>184.4</v>
      </c>
      <c r="BM269" s="1">
        <f>IFERROR(__xludf.DUMMYFUNCTION("""COMPUTED_VALUE"""),135.59)</f>
        <v>135.59</v>
      </c>
      <c r="BN269" s="3">
        <f>IFERROR(__xludf.DUMMYFUNCTION("""COMPUTED_VALUE"""),6.57)</f>
        <v>6.57</v>
      </c>
      <c r="BO269" s="1">
        <f>IFERROR(__xludf.DUMMYFUNCTION("""COMPUTED_VALUE"""),220.65)</f>
        <v>220.65</v>
      </c>
      <c r="BP269" s="1">
        <f>IFERROR(__xludf.DUMMYFUNCTION("""COMPUTED_VALUE"""),295.84)</f>
        <v>295.84</v>
      </c>
      <c r="BQ269" s="36">
        <f>IFERROR(__xludf.DUMMYFUNCTION("""COMPUTED_VALUE"""),49.94)</f>
        <v>49.94</v>
      </c>
      <c r="BR269" s="1">
        <f>IFERROR(__xludf.DUMMYFUNCTION("""COMPUTED_VALUE"""),8.46)</f>
        <v>8.46</v>
      </c>
      <c r="BS269" s="3">
        <f>IFERROR(__xludf.DUMMYFUNCTION("""COMPUTED_VALUE"""),238.64)</f>
        <v>238.64</v>
      </c>
      <c r="BT269" s="1">
        <f>IFERROR(__xludf.DUMMYFUNCTION("""COMPUTED_VALUE"""),112.53)</f>
        <v>112.53</v>
      </c>
      <c r="BU269" s="3">
        <v>1.0</v>
      </c>
    </row>
    <row r="270">
      <c r="A270" s="25">
        <f>IFERROR(__xludf.DUMMYFUNCTION("""COMPUTED_VALUE"""),45814.66666666667)</f>
        <v>45814.66667</v>
      </c>
      <c r="B270" s="29">
        <f>'Master Scratch Work'!B269</f>
        <v>1371903.74</v>
      </c>
      <c r="C270" s="15">
        <f>IFERROR(__xludf.DUMMYFUNCTION("""COMPUTED_VALUE"""),6000.36)</f>
        <v>6000.36</v>
      </c>
      <c r="D270" s="15">
        <f>IFERROR(__xludf.DUMMYFUNCTION("""COMPUTED_VALUE"""),19529.95)</f>
        <v>19529.95</v>
      </c>
      <c r="E270" s="15">
        <f>IFERROR(__xludf.DUMMYFUNCTION("""COMPUTED_VALUE"""),42762.87)</f>
        <v>42762.87</v>
      </c>
      <c r="F270" s="15">
        <f>IFERROR(__xludf.DUMMYFUNCTION("""COMPUTED_VALUE"""),2132.25)</f>
        <v>2132.25</v>
      </c>
      <c r="G270" s="3">
        <f>IFERROR(__xludf.DUMMYFUNCTION("""COMPUTED_VALUE"""),599.14)</f>
        <v>599.14</v>
      </c>
      <c r="H270" s="3">
        <f>IFERROR(__xludf.DUMMYFUNCTION("""COMPUTED_VALUE"""),529.92)</f>
        <v>529.92</v>
      </c>
      <c r="I270" s="3">
        <f>IFERROR(__xludf.DUMMYFUNCTION("""COMPUTED_VALUE"""),416.92)</f>
        <v>416.92</v>
      </c>
      <c r="J270" s="3">
        <f>IFERROR(__xludf.DUMMYFUNCTION("""COMPUTED_VALUE"""),213.57)</f>
        <v>213.57</v>
      </c>
      <c r="K270" s="3">
        <f>IFERROR(__xludf.DUMMYFUNCTION("""COMPUTED_VALUE"""),140.05)</f>
        <v>140.05</v>
      </c>
      <c r="L270" s="3">
        <f>IFERROR(__xludf.DUMMYFUNCTION("""COMPUTED_VALUE"""),203.92)</f>
        <v>203.92</v>
      </c>
      <c r="M270" s="3">
        <f>IFERROR(__xludf.DUMMYFUNCTION("""COMPUTED_VALUE"""),166.74)</f>
        <v>166.74</v>
      </c>
      <c r="N270" s="3">
        <f>IFERROR(__xludf.DUMMYFUNCTION("""COMPUTED_VALUE"""),90.32)</f>
        <v>90.32</v>
      </c>
      <c r="O270" s="3">
        <f>IFERROR(__xludf.DUMMYFUNCTION("""COMPUTED_VALUE"""),18.21)</f>
        <v>18.21</v>
      </c>
      <c r="P270" s="3">
        <f>IFERROR(__xludf.DUMMYFUNCTION("""COMPUTED_VALUE"""),493.53)</f>
        <v>493.53</v>
      </c>
      <c r="Q270" s="3">
        <f>IFERROR(__xludf.DUMMYFUNCTION("""COMPUTED_VALUE"""),49.58)</f>
        <v>49.58</v>
      </c>
      <c r="R270" s="3">
        <f>IFERROR(__xludf.DUMMYFUNCTION("""COMPUTED_VALUE"""),133.13)</f>
        <v>133.13</v>
      </c>
      <c r="S270" s="3">
        <f>IFERROR(__xludf.DUMMYFUNCTION("""COMPUTED_VALUE"""),102.09)</f>
        <v>102.09</v>
      </c>
      <c r="T270" s="3">
        <f>IFERROR(__xludf.DUMMYFUNCTION("""COMPUTED_VALUE"""),71.04)</f>
        <v>71.04</v>
      </c>
      <c r="U270" s="3">
        <f>IFERROR(__xludf.DUMMYFUNCTION("""COMPUTED_VALUE"""),353.35)</f>
        <v>353.35</v>
      </c>
      <c r="V270" s="3">
        <f>IFERROR(__xludf.DUMMYFUNCTION("""COMPUTED_VALUE"""),60.42)</f>
        <v>60.42</v>
      </c>
      <c r="W270" s="3">
        <f>IFERROR(__xludf.DUMMYFUNCTION("""COMPUTED_VALUE"""),233.47)</f>
        <v>233.47</v>
      </c>
      <c r="X270" s="3">
        <f>IFERROR(__xludf.DUMMYFUNCTION("""COMPUTED_VALUE"""),140.21)</f>
        <v>140.21</v>
      </c>
      <c r="Y270" s="1">
        <f>IFERROR(__xludf.DUMMYFUNCTION("""COMPUTED_VALUE"""),312.18)</f>
        <v>312.18</v>
      </c>
      <c r="Z270" s="1">
        <f>IFERROR(__xludf.DUMMYFUNCTION("""COMPUTED_VALUE"""),41.37)</f>
        <v>41.37</v>
      </c>
      <c r="AA270" s="1">
        <f>IFERROR(__xludf.DUMMYFUNCTION("""COMPUTED_VALUE"""),71.35)</f>
        <v>71.35</v>
      </c>
      <c r="AB270" s="1">
        <f>IFERROR(__xludf.DUMMYFUNCTION("""COMPUTED_VALUE"""),101.61)</f>
        <v>101.61</v>
      </c>
      <c r="AC270" s="1">
        <f>IFERROR(__xludf.DUMMYFUNCTION("""COMPUTED_VALUE"""),176.84)</f>
        <v>176.84</v>
      </c>
      <c r="AD270" s="3">
        <f>IFERROR(__xludf.DUMMYFUNCTION("""COMPUTED_VALUE"""),94.5)</f>
        <v>94.5</v>
      </c>
      <c r="AE270" s="1">
        <f>IFERROR(__xludf.DUMMYFUNCTION("""COMPUTED_VALUE"""),468.21)</f>
        <v>468.21</v>
      </c>
      <c r="AF270" s="1">
        <f>IFERROR(__xludf.DUMMYFUNCTION("""COMPUTED_VALUE"""),78.61)</f>
        <v>78.61</v>
      </c>
      <c r="AG270" s="1">
        <f>IFERROR(__xludf.DUMMYFUNCTION("""COMPUTED_VALUE"""),104.27)</f>
        <v>104.27</v>
      </c>
      <c r="AH270" s="1">
        <f>IFERROR(__xludf.DUMMYFUNCTION("""COMPUTED_VALUE"""),219.61)</f>
        <v>219.61</v>
      </c>
      <c r="AI270" s="1">
        <f>IFERROR(__xludf.DUMMYFUNCTION("""COMPUTED_VALUE"""),482.61)</f>
        <v>482.61</v>
      </c>
      <c r="AJ270" s="1">
        <f>IFERROR(__xludf.DUMMYFUNCTION("""COMPUTED_VALUE"""),276.48)</f>
        <v>276.48</v>
      </c>
      <c r="AK270" s="1">
        <f>IFERROR(__xludf.DUMMYFUNCTION("""COMPUTED_VALUE"""),47.47)</f>
        <v>47.47</v>
      </c>
      <c r="AL270" s="1">
        <f>IFERROR(__xludf.DUMMYFUNCTION("""COMPUTED_VALUE"""),112.46)</f>
        <v>112.46</v>
      </c>
      <c r="AM270" s="1">
        <f>IFERROR(__xludf.DUMMYFUNCTION("""COMPUTED_VALUE"""),614.0)</f>
        <v>614</v>
      </c>
      <c r="AN270" s="1">
        <f>IFERROR(__xludf.DUMMYFUNCTION("""COMPUTED_VALUE"""),367.33)</f>
        <v>367.33</v>
      </c>
      <c r="AO270" s="1">
        <f>IFERROR(__xludf.DUMMYFUNCTION("""COMPUTED_VALUE"""),142.98)</f>
        <v>142.98</v>
      </c>
      <c r="AP270" s="1">
        <f>IFERROR(__xludf.DUMMYFUNCTION("""COMPUTED_VALUE"""),178.68)</f>
        <v>178.68</v>
      </c>
      <c r="AQ270" s="3">
        <f>IFERROR(__xludf.DUMMYFUNCTION("""COMPUTED_VALUE"""),557.08)</f>
        <v>557.08</v>
      </c>
      <c r="AR270" s="3">
        <f>IFERROR(__xludf.DUMMYFUNCTION("""COMPUTED_VALUE"""),265.73)</f>
        <v>265.73</v>
      </c>
      <c r="AS270" s="3">
        <f>IFERROR(__xludf.DUMMYFUNCTION("""COMPUTED_VALUE"""),481.69)</f>
        <v>481.69</v>
      </c>
      <c r="AT270" s="3">
        <f>IFERROR(__xludf.DUMMYFUNCTION("""COMPUTED_VALUE"""),265.27)</f>
        <v>265.27</v>
      </c>
      <c r="AU270" s="1">
        <f>IFERROR(__xludf.DUMMYFUNCTION("""COMPUTED_VALUE"""),32.44)</f>
        <v>32.44</v>
      </c>
      <c r="AV270" s="1">
        <f>IFERROR(__xludf.DUMMYFUNCTION("""COMPUTED_VALUE"""),87.44)</f>
        <v>87.44</v>
      </c>
      <c r="AW270" s="1">
        <f>IFERROR(__xludf.DUMMYFUNCTION("""COMPUTED_VALUE"""),79.93)</f>
        <v>79.93</v>
      </c>
      <c r="AX270" s="3">
        <f>IFERROR(__xludf.DUMMYFUNCTION("""COMPUTED_VALUE"""),25.7)</f>
        <v>25.7</v>
      </c>
      <c r="AY270" s="1">
        <f>IFERROR(__xludf.DUMMYFUNCTION("""COMPUTED_VALUE"""),470.38)</f>
        <v>470.38</v>
      </c>
      <c r="AZ270" s="3">
        <f>IFERROR(__xludf.DUMMYFUNCTION("""COMPUTED_VALUE"""),72.16)</f>
        <v>72.16</v>
      </c>
      <c r="BA270" s="3">
        <f>IFERROR(__xludf.DUMMYFUNCTION("""COMPUTED_VALUE"""),155.94)</f>
        <v>155.94</v>
      </c>
      <c r="BB270" s="3">
        <f>IFERROR(__xludf.DUMMYFUNCTION("""COMPUTED_VALUE"""),141.72)</f>
        <v>141.72</v>
      </c>
      <c r="BC270" s="1">
        <f>IFERROR(__xludf.DUMMYFUNCTION("""COMPUTED_VALUE"""),96.06)</f>
        <v>96.06</v>
      </c>
      <c r="BD270" s="1">
        <f>IFERROR(__xludf.DUMMYFUNCTION("""COMPUTED_VALUE"""),56.56)</f>
        <v>56.56</v>
      </c>
      <c r="BE270" s="3">
        <f>IFERROR(__xludf.DUMMYFUNCTION("""COMPUTED_VALUE"""),127.72)</f>
        <v>127.72</v>
      </c>
      <c r="BF270" s="1">
        <f>IFERROR(__xludf.DUMMYFUNCTION("""COMPUTED_VALUE"""),73.43)</f>
        <v>73.43</v>
      </c>
      <c r="BG270" s="1">
        <f>IFERROR(__xludf.DUMMYFUNCTION("""COMPUTED_VALUE"""),23.35)</f>
        <v>23.35</v>
      </c>
      <c r="BH270" s="1">
        <f>IFERROR(__xludf.DUMMYFUNCTION("""COMPUTED_VALUE"""),139.1)</f>
        <v>139.1</v>
      </c>
      <c r="BI270" s="3">
        <f>IFERROR(__xludf.DUMMYFUNCTION("""COMPUTED_VALUE"""),41.09)</f>
        <v>41.09</v>
      </c>
      <c r="BJ270" s="1">
        <f>IFERROR(__xludf.DUMMYFUNCTION("""COMPUTED_VALUE"""),245.86)</f>
        <v>245.86</v>
      </c>
      <c r="BK270" s="1">
        <f>IFERROR(__xludf.DUMMYFUNCTION("""COMPUTED_VALUE"""),401.9)</f>
        <v>401.9</v>
      </c>
      <c r="BL270" s="1">
        <f>IFERROR(__xludf.DUMMYFUNCTION("""COMPUTED_VALUE"""),185.14)</f>
        <v>185.14</v>
      </c>
      <c r="BM270" s="1">
        <f>IFERROR(__xludf.DUMMYFUNCTION("""COMPUTED_VALUE"""),139.05)</f>
        <v>139.05</v>
      </c>
      <c r="BN270" s="3">
        <f>IFERROR(__xludf.DUMMYFUNCTION("""COMPUTED_VALUE"""),6.74)</f>
        <v>6.74</v>
      </c>
      <c r="BO270" s="1">
        <f>IFERROR(__xludf.DUMMYFUNCTION("""COMPUTED_VALUE"""),223.43)</f>
        <v>223.43</v>
      </c>
      <c r="BP270" s="1">
        <f>IFERROR(__xludf.DUMMYFUNCTION("""COMPUTED_VALUE"""),303.22)</f>
        <v>303.22</v>
      </c>
      <c r="BQ270" s="36">
        <f>IFERROR(__xludf.DUMMYFUNCTION("""COMPUTED_VALUE"""),49.85)</f>
        <v>49.85</v>
      </c>
      <c r="BR270" s="1">
        <f>IFERROR(__xludf.DUMMYFUNCTION("""COMPUTED_VALUE"""),8.71)</f>
        <v>8.71</v>
      </c>
      <c r="BS270" s="3">
        <f>IFERROR(__xludf.DUMMYFUNCTION("""COMPUTED_VALUE"""),236.33)</f>
        <v>236.33</v>
      </c>
      <c r="BT270" s="1">
        <f>IFERROR(__xludf.DUMMYFUNCTION("""COMPUTED_VALUE"""),113.9)</f>
        <v>113.9</v>
      </c>
      <c r="BU270" s="3">
        <v>1.0</v>
      </c>
    </row>
    <row r="271">
      <c r="A271" s="25">
        <f>IFERROR(__xludf.DUMMYFUNCTION("""COMPUTED_VALUE"""),45817.66666666667)</f>
        <v>45817.66667</v>
      </c>
      <c r="B271" s="29">
        <f>'Master Scratch Work'!B270</f>
        <v>1374925.08</v>
      </c>
      <c r="C271" s="15">
        <f>IFERROR(__xludf.DUMMYFUNCTION("""COMPUTED_VALUE"""),6005.88)</f>
        <v>6005.88</v>
      </c>
      <c r="D271" s="15">
        <f>IFERROR(__xludf.DUMMYFUNCTION("""COMPUTED_VALUE"""),19591.24)</f>
        <v>19591.24</v>
      </c>
      <c r="E271" s="15">
        <f>IFERROR(__xludf.DUMMYFUNCTION("""COMPUTED_VALUE"""),42761.76)</f>
        <v>42761.76</v>
      </c>
      <c r="F271" s="15">
        <f>IFERROR(__xludf.DUMMYFUNCTION("""COMPUTED_VALUE"""),2144.45)</f>
        <v>2144.45</v>
      </c>
      <c r="G271" s="3">
        <f>IFERROR(__xludf.DUMMYFUNCTION("""COMPUTED_VALUE"""),599.68)</f>
        <v>599.68</v>
      </c>
      <c r="H271" s="3">
        <f>IFERROR(__xludf.DUMMYFUNCTION("""COMPUTED_VALUE"""),530.7)</f>
        <v>530.7</v>
      </c>
      <c r="I271" s="3">
        <f>IFERROR(__xludf.DUMMYFUNCTION("""COMPUTED_VALUE"""),416.26)</f>
        <v>416.26</v>
      </c>
      <c r="J271" s="3">
        <f>IFERROR(__xludf.DUMMYFUNCTION("""COMPUTED_VALUE"""),216.98)</f>
        <v>216.98</v>
      </c>
      <c r="K271" s="3">
        <f>IFERROR(__xludf.DUMMYFUNCTION("""COMPUTED_VALUE"""),139.81)</f>
        <v>139.81</v>
      </c>
      <c r="L271" s="3">
        <f>IFERROR(__xludf.DUMMYFUNCTION("""COMPUTED_VALUE"""),201.45)</f>
        <v>201.45</v>
      </c>
      <c r="M271" s="3">
        <f>IFERROR(__xludf.DUMMYFUNCTION("""COMPUTED_VALUE"""),169.79)</f>
        <v>169.79</v>
      </c>
      <c r="N271" s="3">
        <f>IFERROR(__xludf.DUMMYFUNCTION("""COMPUTED_VALUE"""),90.01)</f>
        <v>90.01</v>
      </c>
      <c r="O271" s="3">
        <f>IFERROR(__xludf.DUMMYFUNCTION("""COMPUTED_VALUE"""),18.13)</f>
        <v>18.13</v>
      </c>
      <c r="P271" s="3">
        <f>IFERROR(__xludf.DUMMYFUNCTION("""COMPUTED_VALUE"""),493.33)</f>
        <v>493.33</v>
      </c>
      <c r="Q271" s="3">
        <f>IFERROR(__xludf.DUMMYFUNCTION("""COMPUTED_VALUE"""),50.18)</f>
        <v>50.18</v>
      </c>
      <c r="R271" s="3">
        <f>IFERROR(__xludf.DUMMYFUNCTION("""COMPUTED_VALUE"""),134.15)</f>
        <v>134.15</v>
      </c>
      <c r="S271" s="3">
        <f>IFERROR(__xludf.DUMMYFUNCTION("""COMPUTED_VALUE"""),100.04)</f>
        <v>100.04</v>
      </c>
      <c r="T271" s="3">
        <f>IFERROR(__xludf.DUMMYFUNCTION("""COMPUTED_VALUE"""),71.65)</f>
        <v>71.65</v>
      </c>
      <c r="U271" s="3">
        <f>IFERROR(__xludf.DUMMYFUNCTION("""COMPUTED_VALUE"""),358.07)</f>
        <v>358.07</v>
      </c>
      <c r="V271" s="3">
        <f>IFERROR(__xludf.DUMMYFUNCTION("""COMPUTED_VALUE"""),66.91)</f>
        <v>66.91</v>
      </c>
      <c r="W271" s="3">
        <f>IFERROR(__xludf.DUMMYFUNCTION("""COMPUTED_VALUE"""),227.8)</f>
        <v>227.8</v>
      </c>
      <c r="X271" s="3">
        <f>IFERROR(__xludf.DUMMYFUNCTION("""COMPUTED_VALUE"""),140.76)</f>
        <v>140.76</v>
      </c>
      <c r="Y271" s="1">
        <f>IFERROR(__xludf.DUMMYFUNCTION("""COMPUTED_VALUE"""),311.4)</f>
        <v>311.4</v>
      </c>
      <c r="Z271" s="1">
        <f>IFERROR(__xludf.DUMMYFUNCTION("""COMPUTED_VALUE"""),41.35)</f>
        <v>41.35</v>
      </c>
      <c r="AA271" s="1">
        <f>IFERROR(__xludf.DUMMYFUNCTION("""COMPUTED_VALUE"""),71.77)</f>
        <v>71.77</v>
      </c>
      <c r="AB271" s="1">
        <f>IFERROR(__xludf.DUMMYFUNCTION("""COMPUTED_VALUE"""),101.11)</f>
        <v>101.11</v>
      </c>
      <c r="AC271" s="1">
        <f>IFERROR(__xludf.DUMMYFUNCTION("""COMPUTED_VALUE"""),176.68)</f>
        <v>176.68</v>
      </c>
      <c r="AD271" s="3">
        <f>IFERROR(__xludf.DUMMYFUNCTION("""COMPUTED_VALUE"""),93.85)</f>
        <v>93.85</v>
      </c>
      <c r="AE271" s="1">
        <f>IFERROR(__xludf.DUMMYFUNCTION("""COMPUTED_VALUE"""),467.95)</f>
        <v>467.95</v>
      </c>
      <c r="AF271" s="1">
        <f>IFERROR(__xludf.DUMMYFUNCTION("""COMPUTED_VALUE"""),79.36)</f>
        <v>79.36</v>
      </c>
      <c r="AG271" s="1">
        <f>IFERROR(__xludf.DUMMYFUNCTION("""COMPUTED_VALUE"""),104.97)</f>
        <v>104.97</v>
      </c>
      <c r="AH271" s="1">
        <f>IFERROR(__xludf.DUMMYFUNCTION("""COMPUTED_VALUE"""),222.18)</f>
        <v>222.18</v>
      </c>
      <c r="AI271" s="1">
        <f>IFERROR(__xludf.DUMMYFUNCTION("""COMPUTED_VALUE"""),479.12)</f>
        <v>479.12</v>
      </c>
      <c r="AJ271" s="1">
        <f>IFERROR(__xludf.DUMMYFUNCTION("""COMPUTED_VALUE"""),277.31)</f>
        <v>277.31</v>
      </c>
      <c r="AK271" s="1">
        <f>IFERROR(__xludf.DUMMYFUNCTION("""COMPUTED_VALUE"""),47.93)</f>
        <v>47.93</v>
      </c>
      <c r="AL271" s="1">
        <f>IFERROR(__xludf.DUMMYFUNCTION("""COMPUTED_VALUE"""),113.0)</f>
        <v>113</v>
      </c>
      <c r="AM271" s="1">
        <f>IFERROR(__xludf.DUMMYFUNCTION("""COMPUTED_VALUE"""),613.52)</f>
        <v>613.52</v>
      </c>
      <c r="AN271" s="1">
        <f>IFERROR(__xludf.DUMMYFUNCTION("""COMPUTED_VALUE"""),365.2)</f>
        <v>365.2</v>
      </c>
      <c r="AO271" s="1">
        <f>IFERROR(__xludf.DUMMYFUNCTION("""COMPUTED_VALUE"""),140.02)</f>
        <v>140.02</v>
      </c>
      <c r="AP271" s="1">
        <f>IFERROR(__xludf.DUMMYFUNCTION("""COMPUTED_VALUE"""),175.97)</f>
        <v>175.97</v>
      </c>
      <c r="AQ271" s="3">
        <f>IFERROR(__xludf.DUMMYFUNCTION("""COMPUTED_VALUE"""),526.15)</f>
        <v>526.15</v>
      </c>
      <c r="AR271" s="3">
        <f>IFERROR(__xludf.DUMMYFUNCTION("""COMPUTED_VALUE"""),266.74)</f>
        <v>266.74</v>
      </c>
      <c r="AS271" s="3">
        <f>IFERROR(__xludf.DUMMYFUNCTION("""COMPUTED_VALUE"""),480.83)</f>
        <v>480.83</v>
      </c>
      <c r="AT271" s="3">
        <f>IFERROR(__xludf.DUMMYFUNCTION("""COMPUTED_VALUE"""),259.04)</f>
        <v>259.04</v>
      </c>
      <c r="AU271" s="1">
        <f>IFERROR(__xludf.DUMMYFUNCTION("""COMPUTED_VALUE"""),32.33)</f>
        <v>32.33</v>
      </c>
      <c r="AV271" s="1">
        <f>IFERROR(__xludf.DUMMYFUNCTION("""COMPUTED_VALUE"""),87.45)</f>
        <v>87.45</v>
      </c>
      <c r="AW271" s="1">
        <f>IFERROR(__xludf.DUMMYFUNCTION("""COMPUTED_VALUE"""),79.62)</f>
        <v>79.62</v>
      </c>
      <c r="AX271" s="3">
        <f>IFERROR(__xludf.DUMMYFUNCTION("""COMPUTED_VALUE"""),27.69)</f>
        <v>27.69</v>
      </c>
      <c r="AY271" s="1">
        <f>IFERROR(__xludf.DUMMYFUNCTION("""COMPUTED_VALUE"""),472.75)</f>
        <v>472.75</v>
      </c>
      <c r="AZ271" s="3">
        <f>IFERROR(__xludf.DUMMYFUNCTION("""COMPUTED_VALUE"""),71.9)</f>
        <v>71.9</v>
      </c>
      <c r="BA271" s="3">
        <f>IFERROR(__xludf.DUMMYFUNCTION("""COMPUTED_VALUE"""),155.05)</f>
        <v>155.05</v>
      </c>
      <c r="BB271" s="3">
        <f>IFERROR(__xludf.DUMMYFUNCTION("""COMPUTED_VALUE"""),142.63)</f>
        <v>142.63</v>
      </c>
      <c r="BC271" s="1">
        <f>IFERROR(__xludf.DUMMYFUNCTION("""COMPUTED_VALUE"""),95.32)</f>
        <v>95.32</v>
      </c>
      <c r="BD271" s="1">
        <f>IFERROR(__xludf.DUMMYFUNCTION("""COMPUTED_VALUE"""),56.46)</f>
        <v>56.46</v>
      </c>
      <c r="BE271" s="3">
        <f>IFERROR(__xludf.DUMMYFUNCTION("""COMPUTED_VALUE"""),132.06)</f>
        <v>132.06</v>
      </c>
      <c r="BF271" s="1">
        <f>IFERROR(__xludf.DUMMYFUNCTION("""COMPUTED_VALUE"""),73.55)</f>
        <v>73.55</v>
      </c>
      <c r="BG271" s="1">
        <f>IFERROR(__xludf.DUMMYFUNCTION("""COMPUTED_VALUE"""),23.97)</f>
        <v>23.97</v>
      </c>
      <c r="BH271" s="1">
        <f>IFERROR(__xludf.DUMMYFUNCTION("""COMPUTED_VALUE"""),140.98)</f>
        <v>140.98</v>
      </c>
      <c r="BI271" s="3">
        <f>IFERROR(__xludf.DUMMYFUNCTION("""COMPUTED_VALUE"""),40.58)</f>
        <v>40.58</v>
      </c>
      <c r="BJ271" s="1">
        <f>IFERROR(__xludf.DUMMYFUNCTION("""COMPUTED_VALUE"""),237.95)</f>
        <v>237.95</v>
      </c>
      <c r="BK271" s="1">
        <f>IFERROR(__xludf.DUMMYFUNCTION("""COMPUTED_VALUE"""),408.53)</f>
        <v>408.53</v>
      </c>
      <c r="BL271" s="1">
        <f>IFERROR(__xludf.DUMMYFUNCTION("""COMPUTED_VALUE"""),183.94)</f>
        <v>183.94</v>
      </c>
      <c r="BM271" s="1">
        <f>IFERROR(__xludf.DUMMYFUNCTION("""COMPUTED_VALUE"""),139.4)</f>
        <v>139.4</v>
      </c>
      <c r="BN271" s="3">
        <f>IFERROR(__xludf.DUMMYFUNCTION("""COMPUTED_VALUE"""),6.75)</f>
        <v>6.75</v>
      </c>
      <c r="BO271" s="1">
        <f>IFERROR(__xludf.DUMMYFUNCTION("""COMPUTED_VALUE"""),224.14)</f>
        <v>224.14</v>
      </c>
      <c r="BP271" s="1">
        <f>IFERROR(__xludf.DUMMYFUNCTION("""COMPUTED_VALUE"""),303.19)</f>
        <v>303.19</v>
      </c>
      <c r="BQ271" s="36">
        <f>IFERROR(__xludf.DUMMYFUNCTION("""COMPUTED_VALUE"""),49.87)</f>
        <v>49.87</v>
      </c>
      <c r="BR271" s="1">
        <f>IFERROR(__xludf.DUMMYFUNCTION("""COMPUTED_VALUE"""),8.81)</f>
        <v>8.81</v>
      </c>
      <c r="BS271" s="3">
        <f>IFERROR(__xludf.DUMMYFUNCTION("""COMPUTED_VALUE"""),233.99)</f>
        <v>233.99</v>
      </c>
      <c r="BT271" s="1">
        <f>IFERROR(__xludf.DUMMYFUNCTION("""COMPUTED_VALUE"""),115.66)</f>
        <v>115.66</v>
      </c>
      <c r="BU271" s="3">
        <v>1.0</v>
      </c>
    </row>
    <row r="272">
      <c r="A272" s="25">
        <f>IFERROR(__xludf.DUMMYFUNCTION("""COMPUTED_VALUE"""),45818.66666666667)</f>
        <v>45818.66667</v>
      </c>
      <c r="B272" s="29">
        <f>'Master Scratch Work'!B271</f>
        <v>1378101.38</v>
      </c>
      <c r="C272" s="15">
        <f>IFERROR(__xludf.DUMMYFUNCTION("""COMPUTED_VALUE"""),6038.81)</f>
        <v>6038.81</v>
      </c>
      <c r="D272" s="15">
        <f>IFERROR(__xludf.DUMMYFUNCTION("""COMPUTED_VALUE"""),19714.99)</f>
        <v>19714.99</v>
      </c>
      <c r="E272" s="15">
        <f>IFERROR(__xludf.DUMMYFUNCTION("""COMPUTED_VALUE"""),42866.87)</f>
        <v>42866.87</v>
      </c>
      <c r="F272" s="15">
        <f>IFERROR(__xludf.DUMMYFUNCTION("""COMPUTED_VALUE"""),2156.41)</f>
        <v>2156.41</v>
      </c>
      <c r="G272" s="3">
        <f>IFERROR(__xludf.DUMMYFUNCTION("""COMPUTED_VALUE"""),603.08)</f>
        <v>603.08</v>
      </c>
      <c r="H272" s="3">
        <f>IFERROR(__xludf.DUMMYFUNCTION("""COMPUTED_VALUE"""),534.21)</f>
        <v>534.21</v>
      </c>
      <c r="I272" s="3">
        <f>IFERROR(__xludf.DUMMYFUNCTION("""COMPUTED_VALUE"""),416.06)</f>
        <v>416.06</v>
      </c>
      <c r="J272" s="3">
        <f>IFERROR(__xludf.DUMMYFUNCTION("""COMPUTED_VALUE"""),217.61)</f>
        <v>217.61</v>
      </c>
      <c r="K272" s="3">
        <f>IFERROR(__xludf.DUMMYFUNCTION("""COMPUTED_VALUE"""),141.27)</f>
        <v>141.27</v>
      </c>
      <c r="L272" s="3">
        <f>IFERROR(__xludf.DUMMYFUNCTION("""COMPUTED_VALUE"""),202.67)</f>
        <v>202.67</v>
      </c>
      <c r="M272" s="3">
        <f>IFERROR(__xludf.DUMMYFUNCTION("""COMPUTED_VALUE"""),173.77)</f>
        <v>173.77</v>
      </c>
      <c r="N272" s="3">
        <f>IFERROR(__xludf.DUMMYFUNCTION("""COMPUTED_VALUE"""),90.0)</f>
        <v>90</v>
      </c>
      <c r="O272" s="3">
        <f>IFERROR(__xludf.DUMMYFUNCTION("""COMPUTED_VALUE"""),17.58)</f>
        <v>17.58</v>
      </c>
      <c r="P272" s="3">
        <f>IFERROR(__xludf.DUMMYFUNCTION("""COMPUTED_VALUE"""),491.13)</f>
        <v>491.13</v>
      </c>
      <c r="Q272" s="3">
        <f>IFERROR(__xludf.DUMMYFUNCTION("""COMPUTED_VALUE"""),50.88)</f>
        <v>50.88</v>
      </c>
      <c r="R272" s="3">
        <f>IFERROR(__xludf.DUMMYFUNCTION("""COMPUTED_VALUE"""),135.49)</f>
        <v>135.49</v>
      </c>
      <c r="S272" s="3">
        <f>IFERROR(__xludf.DUMMYFUNCTION("""COMPUTED_VALUE"""),99.34)</f>
        <v>99.34</v>
      </c>
      <c r="T272" s="3">
        <f>IFERROR(__xludf.DUMMYFUNCTION("""COMPUTED_VALUE"""),71.75)</f>
        <v>71.75</v>
      </c>
      <c r="U272" s="3">
        <f>IFERROR(__xludf.DUMMYFUNCTION("""COMPUTED_VALUE"""),358.57)</f>
        <v>358.57</v>
      </c>
      <c r="V272" s="3">
        <f>IFERROR(__xludf.DUMMYFUNCTION("""COMPUTED_VALUE"""),63.83)</f>
        <v>63.83</v>
      </c>
      <c r="W272" s="3">
        <f>IFERROR(__xludf.DUMMYFUNCTION("""COMPUTED_VALUE"""),229.65)</f>
        <v>229.65</v>
      </c>
      <c r="X272" s="3">
        <f>IFERROR(__xludf.DUMMYFUNCTION("""COMPUTED_VALUE"""),143.35)</f>
        <v>143.35</v>
      </c>
      <c r="Y272" s="1">
        <f>IFERROR(__xludf.DUMMYFUNCTION("""COMPUTED_VALUE"""),313.62)</f>
        <v>313.62</v>
      </c>
      <c r="Z272" s="1">
        <f>IFERROR(__xludf.DUMMYFUNCTION("""COMPUTED_VALUE"""),41.97)</f>
        <v>41.97</v>
      </c>
      <c r="AA272" s="1">
        <f>IFERROR(__xludf.DUMMYFUNCTION("""COMPUTED_VALUE"""),72.35)</f>
        <v>72.35</v>
      </c>
      <c r="AB272" s="1">
        <f>IFERROR(__xludf.DUMMYFUNCTION("""COMPUTED_VALUE"""),102.4)</f>
        <v>102.4</v>
      </c>
      <c r="AC272" s="1">
        <f>IFERROR(__xludf.DUMMYFUNCTION("""COMPUTED_VALUE"""),177.69)</f>
        <v>177.69</v>
      </c>
      <c r="AD272" s="3">
        <f>IFERROR(__xludf.DUMMYFUNCTION("""COMPUTED_VALUE"""),93.12)</f>
        <v>93.12</v>
      </c>
      <c r="AE272" s="1">
        <f>IFERROR(__xludf.DUMMYFUNCTION("""COMPUTED_VALUE"""),455.49)</f>
        <v>455.49</v>
      </c>
      <c r="AF272" s="1">
        <f>IFERROR(__xludf.DUMMYFUNCTION("""COMPUTED_VALUE"""),78.77)</f>
        <v>78.77</v>
      </c>
      <c r="AG272" s="1">
        <f>IFERROR(__xludf.DUMMYFUNCTION("""COMPUTED_VALUE"""),107.22)</f>
        <v>107.22</v>
      </c>
      <c r="AH272" s="1">
        <f>IFERROR(__xludf.DUMMYFUNCTION("""COMPUTED_VALUE"""),227.96)</f>
        <v>227.96</v>
      </c>
      <c r="AI272" s="1">
        <f>IFERROR(__xludf.DUMMYFUNCTION("""COMPUTED_VALUE"""),486.39)</f>
        <v>486.39</v>
      </c>
      <c r="AJ272" s="1">
        <f>IFERROR(__xludf.DUMMYFUNCTION("""COMPUTED_VALUE"""),277.37)</f>
        <v>277.37</v>
      </c>
      <c r="AK272" s="1">
        <f>IFERROR(__xludf.DUMMYFUNCTION("""COMPUTED_VALUE"""),48.93)</f>
        <v>48.93</v>
      </c>
      <c r="AL272" s="1">
        <f>IFERROR(__xludf.DUMMYFUNCTION("""COMPUTED_VALUE"""),110.09)</f>
        <v>110.09</v>
      </c>
      <c r="AM272" s="1">
        <f>IFERROR(__xludf.DUMMYFUNCTION("""COMPUTED_VALUE"""),614.87)</f>
        <v>614.87</v>
      </c>
      <c r="AN272" s="1">
        <f>IFERROR(__xludf.DUMMYFUNCTION("""COMPUTED_VALUE"""),367.91)</f>
        <v>367.91</v>
      </c>
      <c r="AO272" s="1">
        <f>IFERROR(__xludf.DUMMYFUNCTION("""COMPUTED_VALUE"""),140.09)</f>
        <v>140.09</v>
      </c>
      <c r="AP272" s="1">
        <f>IFERROR(__xludf.DUMMYFUNCTION("""COMPUTED_VALUE"""),175.53)</f>
        <v>175.53</v>
      </c>
      <c r="AQ272" s="3">
        <f>IFERROR(__xludf.DUMMYFUNCTION("""COMPUTED_VALUE"""),529.6)</f>
        <v>529.6</v>
      </c>
      <c r="AR272" s="3">
        <f>IFERROR(__xludf.DUMMYFUNCTION("""COMPUTED_VALUE"""),268.6)</f>
        <v>268.6</v>
      </c>
      <c r="AS272" s="3">
        <f>IFERROR(__xludf.DUMMYFUNCTION("""COMPUTED_VALUE"""),476.9)</f>
        <v>476.9</v>
      </c>
      <c r="AT272" s="3">
        <f>IFERROR(__xludf.DUMMYFUNCTION("""COMPUTED_VALUE"""),258.5)</f>
        <v>258.5</v>
      </c>
      <c r="AU272" s="1">
        <f>IFERROR(__xludf.DUMMYFUNCTION("""COMPUTED_VALUE"""),32.05)</f>
        <v>32.05</v>
      </c>
      <c r="AV272" s="1">
        <f>IFERROR(__xludf.DUMMYFUNCTION("""COMPUTED_VALUE"""),87.96)</f>
        <v>87.96</v>
      </c>
      <c r="AW272" s="1">
        <f>IFERROR(__xludf.DUMMYFUNCTION("""COMPUTED_VALUE"""),79.43)</f>
        <v>79.43</v>
      </c>
      <c r="AX272" s="3">
        <f>IFERROR(__xludf.DUMMYFUNCTION("""COMPUTED_VALUE"""),27.23)</f>
        <v>27.23</v>
      </c>
      <c r="AY272" s="1">
        <f>IFERROR(__xludf.DUMMYFUNCTION("""COMPUTED_VALUE"""),470.92)</f>
        <v>470.92</v>
      </c>
      <c r="AZ272" s="3">
        <f>IFERROR(__xludf.DUMMYFUNCTION("""COMPUTED_VALUE"""),72.81)</f>
        <v>72.81</v>
      </c>
      <c r="BA272" s="3">
        <f>IFERROR(__xludf.DUMMYFUNCTION("""COMPUTED_VALUE"""),148.68)</f>
        <v>148.68</v>
      </c>
      <c r="BB272" s="3">
        <f>IFERROR(__xludf.DUMMYFUNCTION("""COMPUTED_VALUE"""),143.96)</f>
        <v>143.96</v>
      </c>
      <c r="BC272" s="1">
        <f>IFERROR(__xludf.DUMMYFUNCTION("""COMPUTED_VALUE"""),95.32)</f>
        <v>95.32</v>
      </c>
      <c r="BD272" s="1">
        <f>IFERROR(__xludf.DUMMYFUNCTION("""COMPUTED_VALUE"""),56.93)</f>
        <v>56.93</v>
      </c>
      <c r="BE272" s="3">
        <f>IFERROR(__xludf.DUMMYFUNCTION("""COMPUTED_VALUE"""),132.81)</f>
        <v>132.81</v>
      </c>
      <c r="BF272" s="1">
        <f>IFERROR(__xludf.DUMMYFUNCTION("""COMPUTED_VALUE"""),74.76)</f>
        <v>74.76</v>
      </c>
      <c r="BG272" s="1">
        <f>IFERROR(__xludf.DUMMYFUNCTION("""COMPUTED_VALUE"""),24.3)</f>
        <v>24.3</v>
      </c>
      <c r="BH272" s="1">
        <f>IFERROR(__xludf.DUMMYFUNCTION("""COMPUTED_VALUE"""),138.52)</f>
        <v>138.52</v>
      </c>
      <c r="BI272" s="3">
        <f>IFERROR(__xludf.DUMMYFUNCTION("""COMPUTED_VALUE"""),41.98)</f>
        <v>41.98</v>
      </c>
      <c r="BJ272" s="1">
        <f>IFERROR(__xludf.DUMMYFUNCTION("""COMPUTED_VALUE"""),236.98)</f>
        <v>236.98</v>
      </c>
      <c r="BK272" s="1">
        <f>IFERROR(__xludf.DUMMYFUNCTION("""COMPUTED_VALUE"""),414.54)</f>
        <v>414.54</v>
      </c>
      <c r="BL272" s="1">
        <f>IFERROR(__xludf.DUMMYFUNCTION("""COMPUTED_VALUE"""),185.25)</f>
        <v>185.25</v>
      </c>
      <c r="BM272" s="1">
        <f>IFERROR(__xludf.DUMMYFUNCTION("""COMPUTED_VALUE"""),140.86)</f>
        <v>140.86</v>
      </c>
      <c r="BN272" s="3">
        <f>IFERROR(__xludf.DUMMYFUNCTION("""COMPUTED_VALUE"""),6.92)</f>
        <v>6.92</v>
      </c>
      <c r="BO272" s="1">
        <f>IFERROR(__xludf.DUMMYFUNCTION("""COMPUTED_VALUE"""),226.6)</f>
        <v>226.6</v>
      </c>
      <c r="BP272" s="1">
        <f>IFERROR(__xludf.DUMMYFUNCTION("""COMPUTED_VALUE"""),303.79)</f>
        <v>303.79</v>
      </c>
      <c r="BQ272" s="36">
        <f>IFERROR(__xludf.DUMMYFUNCTION("""COMPUTED_VALUE"""),49.86)</f>
        <v>49.86</v>
      </c>
      <c r="BR272" s="1">
        <f>IFERROR(__xludf.DUMMYFUNCTION("""COMPUTED_VALUE"""),9.04)</f>
        <v>9.04</v>
      </c>
      <c r="BS272" s="3">
        <f>IFERROR(__xludf.DUMMYFUNCTION("""COMPUTED_VALUE"""),233.99)</f>
        <v>233.99</v>
      </c>
      <c r="BT272" s="1">
        <f>IFERROR(__xludf.DUMMYFUNCTION("""COMPUTED_VALUE"""),118.73)</f>
        <v>118.73</v>
      </c>
      <c r="BU272" s="3">
        <v>1.0</v>
      </c>
    </row>
    <row r="273">
      <c r="A273" s="25">
        <f>IFERROR(__xludf.DUMMYFUNCTION("""COMPUTED_VALUE"""),45819.66666666667)</f>
        <v>45819.66667</v>
      </c>
      <c r="B273" s="29">
        <f>'Master Scratch Work'!B272</f>
        <v>1372638.36</v>
      </c>
      <c r="C273" s="15">
        <f>IFERROR(__xludf.DUMMYFUNCTION("""COMPUTED_VALUE"""),6022.24)</f>
        <v>6022.24</v>
      </c>
      <c r="D273" s="15">
        <f>IFERROR(__xludf.DUMMYFUNCTION("""COMPUTED_VALUE"""),19615.88)</f>
        <v>19615.88</v>
      </c>
      <c r="E273" s="15">
        <f>IFERROR(__xludf.DUMMYFUNCTION("""COMPUTED_VALUE"""),42865.77)</f>
        <v>42865.77</v>
      </c>
      <c r="F273" s="15">
        <f>IFERROR(__xludf.DUMMYFUNCTION("""COMPUTED_VALUE"""),2148.23)</f>
        <v>2148.23</v>
      </c>
      <c r="G273" s="3">
        <f>IFERROR(__xludf.DUMMYFUNCTION("""COMPUTED_VALUE"""),601.36)</f>
        <v>601.36</v>
      </c>
      <c r="H273" s="3">
        <f>IFERROR(__xludf.DUMMYFUNCTION("""COMPUTED_VALUE"""),532.41)</f>
        <v>532.41</v>
      </c>
      <c r="I273" s="3">
        <f>IFERROR(__xludf.DUMMYFUNCTION("""COMPUTED_VALUE"""),412.84)</f>
        <v>412.84</v>
      </c>
      <c r="J273" s="3">
        <f>IFERROR(__xludf.DUMMYFUNCTION("""COMPUTED_VALUE"""),213.2)</f>
        <v>213.2</v>
      </c>
      <c r="K273" s="3">
        <f>IFERROR(__xludf.DUMMYFUNCTION("""COMPUTED_VALUE"""),140.61)</f>
        <v>140.61</v>
      </c>
      <c r="L273" s="3">
        <f>IFERROR(__xludf.DUMMYFUNCTION("""COMPUTED_VALUE"""),198.78)</f>
        <v>198.78</v>
      </c>
      <c r="M273" s="3">
        <f>IFERROR(__xludf.DUMMYFUNCTION("""COMPUTED_VALUE"""),172.79)</f>
        <v>172.79</v>
      </c>
      <c r="N273" s="3">
        <f>IFERROR(__xludf.DUMMYFUNCTION("""COMPUTED_VALUE"""),89.56)</f>
        <v>89.56</v>
      </c>
      <c r="O273" s="3">
        <f>IFERROR(__xludf.DUMMYFUNCTION("""COMPUTED_VALUE"""),17.55)</f>
        <v>17.55</v>
      </c>
      <c r="P273" s="3">
        <f>IFERROR(__xludf.DUMMYFUNCTION("""COMPUTED_VALUE"""),488.14)</f>
        <v>488.14</v>
      </c>
      <c r="Q273" s="3">
        <f>IFERROR(__xludf.DUMMYFUNCTION("""COMPUTED_VALUE"""),50.61)</f>
        <v>50.61</v>
      </c>
      <c r="R273" s="3">
        <f>IFERROR(__xludf.DUMMYFUNCTION("""COMPUTED_VALUE"""),133.06)</f>
        <v>133.06</v>
      </c>
      <c r="S273" s="3">
        <f>IFERROR(__xludf.DUMMYFUNCTION("""COMPUTED_VALUE"""),99.4)</f>
        <v>99.4</v>
      </c>
      <c r="T273" s="3">
        <f>IFERROR(__xludf.DUMMYFUNCTION("""COMPUTED_VALUE"""),72.48)</f>
        <v>72.48</v>
      </c>
      <c r="U273" s="3">
        <f>IFERROR(__xludf.DUMMYFUNCTION("""COMPUTED_VALUE"""),363.14)</f>
        <v>363.14</v>
      </c>
      <c r="V273" s="3">
        <f>IFERROR(__xludf.DUMMYFUNCTION("""COMPUTED_VALUE"""),66.33)</f>
        <v>66.33</v>
      </c>
      <c r="W273" s="3">
        <f>IFERROR(__xludf.DUMMYFUNCTION("""COMPUTED_VALUE"""),222.67)</f>
        <v>222.67</v>
      </c>
      <c r="X273" s="3">
        <f>IFERROR(__xludf.DUMMYFUNCTION("""COMPUTED_VALUE"""),144.78)</f>
        <v>144.78</v>
      </c>
      <c r="Y273" s="1">
        <f>IFERROR(__xludf.DUMMYFUNCTION("""COMPUTED_VALUE"""),310.2)</f>
        <v>310.2</v>
      </c>
      <c r="Z273" s="1">
        <f>IFERROR(__xludf.DUMMYFUNCTION("""COMPUTED_VALUE"""),41.4)</f>
        <v>41.4</v>
      </c>
      <c r="AA273" s="1">
        <f>IFERROR(__xludf.DUMMYFUNCTION("""COMPUTED_VALUE"""),72.07)</f>
        <v>72.07</v>
      </c>
      <c r="AB273" s="1">
        <f>IFERROR(__xludf.DUMMYFUNCTION("""COMPUTED_VALUE"""),102.55)</f>
        <v>102.55</v>
      </c>
      <c r="AC273" s="1">
        <f>IFERROR(__xludf.DUMMYFUNCTION("""COMPUTED_VALUE"""),175.84)</f>
        <v>175.84</v>
      </c>
      <c r="AD273" s="3">
        <f>IFERROR(__xludf.DUMMYFUNCTION("""COMPUTED_VALUE"""),94.21)</f>
        <v>94.21</v>
      </c>
      <c r="AE273" s="1">
        <f>IFERROR(__xludf.DUMMYFUNCTION("""COMPUTED_VALUE"""),446.9)</f>
        <v>446.9</v>
      </c>
      <c r="AF273" s="1">
        <f>IFERROR(__xludf.DUMMYFUNCTION("""COMPUTED_VALUE"""),77.88)</f>
        <v>77.88</v>
      </c>
      <c r="AG273" s="1">
        <f>IFERROR(__xludf.DUMMYFUNCTION("""COMPUTED_VALUE"""),109.31)</f>
        <v>109.31</v>
      </c>
      <c r="AH273" s="1">
        <f>IFERROR(__xludf.DUMMYFUNCTION("""COMPUTED_VALUE"""),224.0)</f>
        <v>224</v>
      </c>
      <c r="AI273" s="1">
        <f>IFERROR(__xludf.DUMMYFUNCTION("""COMPUTED_VALUE"""),482.39)</f>
        <v>482.39</v>
      </c>
      <c r="AJ273" s="1">
        <f>IFERROR(__xludf.DUMMYFUNCTION("""COMPUTED_VALUE"""),275.83)</f>
        <v>275.83</v>
      </c>
      <c r="AK273" s="1">
        <f>IFERROR(__xludf.DUMMYFUNCTION("""COMPUTED_VALUE"""),49.87)</f>
        <v>49.87</v>
      </c>
      <c r="AL273" s="1">
        <f>IFERROR(__xludf.DUMMYFUNCTION("""COMPUTED_VALUE"""),109.3)</f>
        <v>109.3</v>
      </c>
      <c r="AM273" s="1">
        <f>IFERROR(__xludf.DUMMYFUNCTION("""COMPUTED_VALUE"""),624.17)</f>
        <v>624.17</v>
      </c>
      <c r="AN273" s="1">
        <f>IFERROR(__xludf.DUMMYFUNCTION("""COMPUTED_VALUE"""),360.46)</f>
        <v>360.46</v>
      </c>
      <c r="AO273" s="1">
        <f>IFERROR(__xludf.DUMMYFUNCTION("""COMPUTED_VALUE"""),134.96)</f>
        <v>134.96</v>
      </c>
      <c r="AP273" s="1">
        <f>IFERROR(__xludf.DUMMYFUNCTION("""COMPUTED_VALUE"""),177.5)</f>
        <v>177.5</v>
      </c>
      <c r="AQ273" s="3">
        <f>IFERROR(__xludf.DUMMYFUNCTION("""COMPUTED_VALUE"""),522.41)</f>
        <v>522.41</v>
      </c>
      <c r="AR273" s="3">
        <f>IFERROR(__xludf.DUMMYFUNCTION("""COMPUTED_VALUE"""),268.15)</f>
        <v>268.15</v>
      </c>
      <c r="AS273" s="3">
        <f>IFERROR(__xludf.DUMMYFUNCTION("""COMPUTED_VALUE"""),456.6)</f>
        <v>456.6</v>
      </c>
      <c r="AT273" s="3">
        <f>IFERROR(__xludf.DUMMYFUNCTION("""COMPUTED_VALUE"""),252.28)</f>
        <v>252.28</v>
      </c>
      <c r="AU273" s="1">
        <f>IFERROR(__xludf.DUMMYFUNCTION("""COMPUTED_VALUE"""),32.01)</f>
        <v>32.01</v>
      </c>
      <c r="AV273" s="1">
        <f>IFERROR(__xludf.DUMMYFUNCTION("""COMPUTED_VALUE"""),88.06)</f>
        <v>88.06</v>
      </c>
      <c r="AW273" s="1">
        <f>IFERROR(__xludf.DUMMYFUNCTION("""COMPUTED_VALUE"""),78.91)</f>
        <v>78.91</v>
      </c>
      <c r="AX273" s="3">
        <f>IFERROR(__xludf.DUMMYFUNCTION("""COMPUTED_VALUE"""),25.64)</f>
        <v>25.64</v>
      </c>
      <c r="AY273" s="1">
        <f>IFERROR(__xludf.DUMMYFUNCTION("""COMPUTED_VALUE"""),472.62)</f>
        <v>472.62</v>
      </c>
      <c r="AZ273" s="3">
        <f>IFERROR(__xludf.DUMMYFUNCTION("""COMPUTED_VALUE"""),73.0)</f>
        <v>73</v>
      </c>
      <c r="BA273" s="3">
        <f>IFERROR(__xludf.DUMMYFUNCTION("""COMPUTED_VALUE"""),149.07)</f>
        <v>149.07</v>
      </c>
      <c r="BB273" s="3">
        <f>IFERROR(__xludf.DUMMYFUNCTION("""COMPUTED_VALUE"""),142.83)</f>
        <v>142.83</v>
      </c>
      <c r="BC273" s="1">
        <f>IFERROR(__xludf.DUMMYFUNCTION("""COMPUTED_VALUE"""),95.4)</f>
        <v>95.4</v>
      </c>
      <c r="BD273" s="1">
        <f>IFERROR(__xludf.DUMMYFUNCTION("""COMPUTED_VALUE"""),56.79)</f>
        <v>56.79</v>
      </c>
      <c r="BE273" s="3">
        <f>IFERROR(__xludf.DUMMYFUNCTION("""COMPUTED_VALUE"""),136.39)</f>
        <v>136.39</v>
      </c>
      <c r="BF273" s="1">
        <f>IFERROR(__xludf.DUMMYFUNCTION("""COMPUTED_VALUE"""),74.61)</f>
        <v>74.61</v>
      </c>
      <c r="BG273" s="1">
        <f>IFERROR(__xludf.DUMMYFUNCTION("""COMPUTED_VALUE"""),24.48)</f>
        <v>24.48</v>
      </c>
      <c r="BH273" s="1">
        <f>IFERROR(__xludf.DUMMYFUNCTION("""COMPUTED_VALUE"""),141.81)</f>
        <v>141.81</v>
      </c>
      <c r="BI273" s="3">
        <f>IFERROR(__xludf.DUMMYFUNCTION("""COMPUTED_VALUE"""),40.79)</f>
        <v>40.79</v>
      </c>
      <c r="BJ273" s="1">
        <f>IFERROR(__xludf.DUMMYFUNCTION("""COMPUTED_VALUE"""),230.94)</f>
        <v>230.94</v>
      </c>
      <c r="BK273" s="1">
        <f>IFERROR(__xludf.DUMMYFUNCTION("""COMPUTED_VALUE"""),415.15)</f>
        <v>415.15</v>
      </c>
      <c r="BL273" s="1">
        <f>IFERROR(__xludf.DUMMYFUNCTION("""COMPUTED_VALUE"""),182.61)</f>
        <v>182.61</v>
      </c>
      <c r="BM273" s="1">
        <f>IFERROR(__xludf.DUMMYFUNCTION("""COMPUTED_VALUE"""),142.88)</f>
        <v>142.88</v>
      </c>
      <c r="BN273" s="3">
        <f>IFERROR(__xludf.DUMMYFUNCTION("""COMPUTED_VALUE"""),7.01)</f>
        <v>7.01</v>
      </c>
      <c r="BO273" s="1">
        <f>IFERROR(__xludf.DUMMYFUNCTION("""COMPUTED_VALUE"""),225.72)</f>
        <v>225.72</v>
      </c>
      <c r="BP273" s="1">
        <f>IFERROR(__xludf.DUMMYFUNCTION("""COMPUTED_VALUE"""),310.56)</f>
        <v>310.56</v>
      </c>
      <c r="BQ273" s="36">
        <f>IFERROR(__xludf.DUMMYFUNCTION("""COMPUTED_VALUE"""),49.89)</f>
        <v>49.89</v>
      </c>
      <c r="BR273" s="1">
        <f>IFERROR(__xludf.DUMMYFUNCTION("""COMPUTED_VALUE"""),8.98)</f>
        <v>8.98</v>
      </c>
      <c r="BS273" s="3">
        <f>IFERROR(__xludf.DUMMYFUNCTION("""COMPUTED_VALUE"""),234.29)</f>
        <v>234.29</v>
      </c>
      <c r="BT273" s="1">
        <f>IFERROR(__xludf.DUMMYFUNCTION("""COMPUTED_VALUE"""),119.52)</f>
        <v>119.52</v>
      </c>
      <c r="BU273" s="3">
        <v>1.0</v>
      </c>
    </row>
    <row r="274">
      <c r="A274" s="25">
        <f>IFERROR(__xludf.DUMMYFUNCTION("""COMPUTED_VALUE"""),45820.66666666667)</f>
        <v>45820.66667</v>
      </c>
      <c r="B274" s="29">
        <f>'Master Scratch Work'!B273</f>
        <v>1378132.02</v>
      </c>
      <c r="C274" s="15">
        <f>IFERROR(__xludf.DUMMYFUNCTION("""COMPUTED_VALUE"""),6045.26)</f>
        <v>6045.26</v>
      </c>
      <c r="D274" s="15">
        <f>IFERROR(__xludf.DUMMYFUNCTION("""COMPUTED_VALUE"""),19662.49)</f>
        <v>19662.49</v>
      </c>
      <c r="E274" s="15">
        <f>IFERROR(__xludf.DUMMYFUNCTION("""COMPUTED_VALUE"""),42967.62)</f>
        <v>42967.62</v>
      </c>
      <c r="F274" s="15">
        <f>IFERROR(__xludf.DUMMYFUNCTION("""COMPUTED_VALUE"""),2140.09)</f>
        <v>2140.09</v>
      </c>
      <c r="G274" s="3">
        <f>IFERROR(__xludf.DUMMYFUNCTION("""COMPUTED_VALUE"""),603.75)</f>
        <v>603.75</v>
      </c>
      <c r="H274" s="3">
        <f>IFERROR(__xludf.DUMMYFUNCTION("""COMPUTED_VALUE"""),533.66)</f>
        <v>533.66</v>
      </c>
      <c r="I274" s="3">
        <f>IFERROR(__xludf.DUMMYFUNCTION("""COMPUTED_VALUE"""),413.68)</f>
        <v>413.68</v>
      </c>
      <c r="J274" s="3">
        <f>IFERROR(__xludf.DUMMYFUNCTION("""COMPUTED_VALUE"""),213.24)</f>
        <v>213.24</v>
      </c>
      <c r="K274" s="3">
        <f>IFERROR(__xludf.DUMMYFUNCTION("""COMPUTED_VALUE"""),141.32)</f>
        <v>141.32</v>
      </c>
      <c r="L274" s="3">
        <f>IFERROR(__xludf.DUMMYFUNCTION("""COMPUTED_VALUE"""),199.2)</f>
        <v>199.2</v>
      </c>
      <c r="M274" s="3">
        <f>IFERROR(__xludf.DUMMYFUNCTION("""COMPUTED_VALUE"""),175.0)</f>
        <v>175</v>
      </c>
      <c r="N274" s="3">
        <f>IFERROR(__xludf.DUMMYFUNCTION("""COMPUTED_VALUE"""),89.71)</f>
        <v>89.71</v>
      </c>
      <c r="O274" s="3">
        <f>IFERROR(__xludf.DUMMYFUNCTION("""COMPUTED_VALUE"""),17.76)</f>
        <v>17.76</v>
      </c>
      <c r="P274" s="3">
        <f>IFERROR(__xludf.DUMMYFUNCTION("""COMPUTED_VALUE"""),490.34)</f>
        <v>490.34</v>
      </c>
      <c r="Q274" s="3">
        <f>IFERROR(__xludf.DUMMYFUNCTION("""COMPUTED_VALUE"""),49.81)</f>
        <v>49.81</v>
      </c>
      <c r="R274" s="3">
        <f>IFERROR(__xludf.DUMMYFUNCTION("""COMPUTED_VALUE"""),132.31)</f>
        <v>132.31</v>
      </c>
      <c r="S274" s="3">
        <f>IFERROR(__xludf.DUMMYFUNCTION("""COMPUTED_VALUE"""),98.56)</f>
        <v>98.56</v>
      </c>
      <c r="T274" s="3">
        <f>IFERROR(__xludf.DUMMYFUNCTION("""COMPUTED_VALUE"""),72.48)</f>
        <v>72.48</v>
      </c>
      <c r="U274" s="3">
        <f>IFERROR(__xludf.DUMMYFUNCTION("""COMPUTED_VALUE"""),360.96)</f>
        <v>360.96</v>
      </c>
      <c r="V274" s="3">
        <f>IFERROR(__xludf.DUMMYFUNCTION("""COMPUTED_VALUE"""),66.14)</f>
        <v>66.14</v>
      </c>
      <c r="W274" s="3">
        <f>IFERROR(__xludf.DUMMYFUNCTION("""COMPUTED_VALUE"""),222.95)</f>
        <v>222.95</v>
      </c>
      <c r="X274" s="3">
        <f>IFERROR(__xludf.DUMMYFUNCTION("""COMPUTED_VALUE"""),144.97)</f>
        <v>144.97</v>
      </c>
      <c r="Y274" s="1">
        <f>IFERROR(__xludf.DUMMYFUNCTION("""COMPUTED_VALUE"""),315.37)</f>
        <v>315.37</v>
      </c>
      <c r="Z274" s="1">
        <f>IFERROR(__xludf.DUMMYFUNCTION("""COMPUTED_VALUE"""),41.17)</f>
        <v>41.17</v>
      </c>
      <c r="AA274" s="1">
        <f>IFERROR(__xludf.DUMMYFUNCTION("""COMPUTED_VALUE"""),72.24)</f>
        <v>72.24</v>
      </c>
      <c r="AB274" s="1">
        <f>IFERROR(__xludf.DUMMYFUNCTION("""COMPUTED_VALUE"""),103.76)</f>
        <v>103.76</v>
      </c>
      <c r="AC274" s="1">
        <f>IFERROR(__xludf.DUMMYFUNCTION("""COMPUTED_VALUE"""),176.53)</f>
        <v>176.53</v>
      </c>
      <c r="AD274" s="3">
        <f>IFERROR(__xludf.DUMMYFUNCTION("""COMPUTED_VALUE"""),96.09)</f>
        <v>96.09</v>
      </c>
      <c r="AE274" s="1">
        <f>IFERROR(__xludf.DUMMYFUNCTION("""COMPUTED_VALUE"""),451.0)</f>
        <v>451</v>
      </c>
      <c r="AF274" s="1">
        <f>IFERROR(__xludf.DUMMYFUNCTION("""COMPUTED_VALUE"""),77.44)</f>
        <v>77.44</v>
      </c>
      <c r="AG274" s="1">
        <f>IFERROR(__xludf.DUMMYFUNCTION("""COMPUTED_VALUE"""),109.73)</f>
        <v>109.73</v>
      </c>
      <c r="AH274" s="1">
        <f>IFERROR(__xludf.DUMMYFUNCTION("""COMPUTED_VALUE"""),225.0)</f>
        <v>225</v>
      </c>
      <c r="AI274" s="1">
        <f>IFERROR(__xludf.DUMMYFUNCTION("""COMPUTED_VALUE"""),472.66)</f>
        <v>472.66</v>
      </c>
      <c r="AJ274" s="1">
        <f>IFERROR(__xludf.DUMMYFUNCTION("""COMPUTED_VALUE"""),279.93)</f>
        <v>279.93</v>
      </c>
      <c r="AK274" s="1">
        <f>IFERROR(__xludf.DUMMYFUNCTION("""COMPUTED_VALUE"""),49.26)</f>
        <v>49.26</v>
      </c>
      <c r="AL274" s="1">
        <f>IFERROR(__xludf.DUMMYFUNCTION("""COMPUTED_VALUE"""),112.05)</f>
        <v>112.05</v>
      </c>
      <c r="AM274" s="1">
        <f>IFERROR(__xludf.DUMMYFUNCTION("""COMPUTED_VALUE"""),625.11)</f>
        <v>625.11</v>
      </c>
      <c r="AN274" s="1">
        <f>IFERROR(__xludf.DUMMYFUNCTION("""COMPUTED_VALUE"""),363.16)</f>
        <v>363.16</v>
      </c>
      <c r="AO274" s="1">
        <f>IFERROR(__xludf.DUMMYFUNCTION("""COMPUTED_VALUE"""),136.56)</f>
        <v>136.56</v>
      </c>
      <c r="AP274" s="1">
        <f>IFERROR(__xludf.DUMMYFUNCTION("""COMPUTED_VALUE"""),179.08)</f>
        <v>179.08</v>
      </c>
      <c r="AQ274" s="3">
        <f>IFERROR(__xludf.DUMMYFUNCTION("""COMPUTED_VALUE"""),513.0)</f>
        <v>513</v>
      </c>
      <c r="AR274" s="3">
        <f>IFERROR(__xludf.DUMMYFUNCTION("""COMPUTED_VALUE"""),268.24)</f>
        <v>268.24</v>
      </c>
      <c r="AS274" s="3">
        <f>IFERROR(__xludf.DUMMYFUNCTION("""COMPUTED_VALUE"""),469.27)</f>
        <v>469.27</v>
      </c>
      <c r="AT274" s="3">
        <f>IFERROR(__xludf.DUMMYFUNCTION("""COMPUTED_VALUE"""),247.03)</f>
        <v>247.03</v>
      </c>
      <c r="AU274" s="1">
        <f>IFERROR(__xludf.DUMMYFUNCTION("""COMPUTED_VALUE"""),32.14)</f>
        <v>32.14</v>
      </c>
      <c r="AV274" s="1">
        <f>IFERROR(__xludf.DUMMYFUNCTION("""COMPUTED_VALUE"""),88.49)</f>
        <v>88.49</v>
      </c>
      <c r="AW274" s="1">
        <f>IFERROR(__xludf.DUMMYFUNCTION("""COMPUTED_VALUE"""),78.99)</f>
        <v>78.99</v>
      </c>
      <c r="AX274" s="3">
        <f>IFERROR(__xludf.DUMMYFUNCTION("""COMPUTED_VALUE"""),29.2)</f>
        <v>29.2</v>
      </c>
      <c r="AY274" s="1">
        <f>IFERROR(__xludf.DUMMYFUNCTION("""COMPUTED_VALUE"""),478.87)</f>
        <v>478.87</v>
      </c>
      <c r="AZ274" s="3">
        <f>IFERROR(__xludf.DUMMYFUNCTION("""COMPUTED_VALUE"""),73.84)</f>
        <v>73.84</v>
      </c>
      <c r="BA274" s="3">
        <f>IFERROR(__xludf.DUMMYFUNCTION("""COMPUTED_VALUE"""),151.0)</f>
        <v>151</v>
      </c>
      <c r="BB274" s="3">
        <f>IFERROR(__xludf.DUMMYFUNCTION("""COMPUTED_VALUE"""),145.0)</f>
        <v>145</v>
      </c>
      <c r="BC274" s="1">
        <f>IFERROR(__xludf.DUMMYFUNCTION("""COMPUTED_VALUE"""),96.95)</f>
        <v>96.95</v>
      </c>
      <c r="BD274" s="1">
        <f>IFERROR(__xludf.DUMMYFUNCTION("""COMPUTED_VALUE"""),55.73)</f>
        <v>55.73</v>
      </c>
      <c r="BE274" s="3">
        <f>IFERROR(__xludf.DUMMYFUNCTION("""COMPUTED_VALUE"""),135.19)</f>
        <v>135.19</v>
      </c>
      <c r="BF274" s="1">
        <f>IFERROR(__xludf.DUMMYFUNCTION("""COMPUTED_VALUE"""),74.81)</f>
        <v>74.81</v>
      </c>
      <c r="BG274" s="1">
        <f>IFERROR(__xludf.DUMMYFUNCTION("""COMPUTED_VALUE"""),24.84)</f>
        <v>24.84</v>
      </c>
      <c r="BH274" s="1">
        <f>IFERROR(__xludf.DUMMYFUNCTION("""COMPUTED_VALUE"""),140.98)</f>
        <v>140.98</v>
      </c>
      <c r="BI274" s="3">
        <f>IFERROR(__xludf.DUMMYFUNCTION("""COMPUTED_VALUE"""),41.11)</f>
        <v>41.11</v>
      </c>
      <c r="BJ274" s="1">
        <f>IFERROR(__xludf.DUMMYFUNCTION("""COMPUTED_VALUE"""),228.7)</f>
        <v>228.7</v>
      </c>
      <c r="BK274" s="1">
        <f>IFERROR(__xludf.DUMMYFUNCTION("""COMPUTED_VALUE"""),415.33)</f>
        <v>415.33</v>
      </c>
      <c r="BL274" s="1">
        <f>IFERROR(__xludf.DUMMYFUNCTION("""COMPUTED_VALUE"""),181.99)</f>
        <v>181.99</v>
      </c>
      <c r="BM274" s="1">
        <f>IFERROR(__xludf.DUMMYFUNCTION("""COMPUTED_VALUE"""),143.04)</f>
        <v>143.04</v>
      </c>
      <c r="BN274" s="3">
        <f>IFERROR(__xludf.DUMMYFUNCTION("""COMPUTED_VALUE"""),6.84)</f>
        <v>6.84</v>
      </c>
      <c r="BO274" s="1">
        <f>IFERROR(__xludf.DUMMYFUNCTION("""COMPUTED_VALUE"""),225.49)</f>
        <v>225.49</v>
      </c>
      <c r="BP274" s="1">
        <f>IFERROR(__xludf.DUMMYFUNCTION("""COMPUTED_VALUE"""),318.5)</f>
        <v>318.5</v>
      </c>
      <c r="BQ274" s="36">
        <f>IFERROR(__xludf.DUMMYFUNCTION("""COMPUTED_VALUE"""),49.92)</f>
        <v>49.92</v>
      </c>
      <c r="BR274" s="1">
        <f>IFERROR(__xludf.DUMMYFUNCTION("""COMPUTED_VALUE"""),9.09)</f>
        <v>9.09</v>
      </c>
      <c r="BS274" s="3">
        <f>IFERROR(__xludf.DUMMYFUNCTION("""COMPUTED_VALUE"""),237.15)</f>
        <v>237.15</v>
      </c>
      <c r="BT274" s="1">
        <f>IFERROR(__xludf.DUMMYFUNCTION("""COMPUTED_VALUE"""),118.61)</f>
        <v>118.61</v>
      </c>
      <c r="BU274" s="3">
        <v>1.0</v>
      </c>
    </row>
    <row r="275">
      <c r="A275" s="25">
        <f>IFERROR(__xludf.DUMMYFUNCTION("""COMPUTED_VALUE"""),45821.66666666667)</f>
        <v>45821.66667</v>
      </c>
      <c r="B275" s="29">
        <f>'Master Scratch Work'!B274</f>
        <v>1369562.1</v>
      </c>
      <c r="C275" s="15">
        <f>IFERROR(__xludf.DUMMYFUNCTION("""COMPUTED_VALUE"""),5976.97)</f>
        <v>5976.97</v>
      </c>
      <c r="D275" s="15">
        <f>IFERROR(__xludf.DUMMYFUNCTION("""COMPUTED_VALUE"""),19406.83)</f>
        <v>19406.83</v>
      </c>
      <c r="E275" s="15">
        <f>IFERROR(__xludf.DUMMYFUNCTION("""COMPUTED_VALUE"""),42197.79)</f>
        <v>42197.79</v>
      </c>
      <c r="F275" s="15">
        <f>IFERROR(__xludf.DUMMYFUNCTION("""COMPUTED_VALUE"""),2100.51)</f>
        <v>2100.51</v>
      </c>
      <c r="G275" s="3">
        <f>IFERROR(__xludf.DUMMYFUNCTION("""COMPUTED_VALUE"""),597.0)</f>
        <v>597</v>
      </c>
      <c r="H275" s="3">
        <f>IFERROR(__xludf.DUMMYFUNCTION("""COMPUTED_VALUE"""),526.96)</f>
        <v>526.96</v>
      </c>
      <c r="I275" s="3">
        <f>IFERROR(__xludf.DUMMYFUNCTION("""COMPUTED_VALUE"""),391.68)</f>
        <v>391.68</v>
      </c>
      <c r="J275" s="3">
        <f>IFERROR(__xludf.DUMMYFUNCTION("""COMPUTED_VALUE"""),212.1)</f>
        <v>212.1</v>
      </c>
      <c r="K275" s="3">
        <f>IFERROR(__xludf.DUMMYFUNCTION("""COMPUTED_VALUE"""),141.44)</f>
        <v>141.44</v>
      </c>
      <c r="L275" s="3">
        <f>IFERROR(__xludf.DUMMYFUNCTION("""COMPUTED_VALUE"""),196.45)</f>
        <v>196.45</v>
      </c>
      <c r="M275" s="3">
        <f>IFERROR(__xludf.DUMMYFUNCTION("""COMPUTED_VALUE"""),170.59)</f>
        <v>170.59</v>
      </c>
      <c r="N275" s="3">
        <f>IFERROR(__xludf.DUMMYFUNCTION("""COMPUTED_VALUE"""),88.6)</f>
        <v>88.6</v>
      </c>
      <c r="O275" s="3">
        <f>IFERROR(__xludf.DUMMYFUNCTION("""COMPUTED_VALUE"""),17.38)</f>
        <v>17.38</v>
      </c>
      <c r="P275" s="3">
        <f>IFERROR(__xludf.DUMMYFUNCTION("""COMPUTED_VALUE"""),487.54)</f>
        <v>487.54</v>
      </c>
      <c r="Q275" s="3">
        <f>IFERROR(__xludf.DUMMYFUNCTION("""COMPUTED_VALUE"""),48.55)</f>
        <v>48.55</v>
      </c>
      <c r="R275" s="3">
        <f>IFERROR(__xludf.DUMMYFUNCTION("""COMPUTED_VALUE"""),130.65)</f>
        <v>130.65</v>
      </c>
      <c r="S275" s="3">
        <f>IFERROR(__xludf.DUMMYFUNCTION("""COMPUTED_VALUE"""),99.74)</f>
        <v>99.74</v>
      </c>
      <c r="T275" s="3">
        <f>IFERROR(__xludf.DUMMYFUNCTION("""COMPUTED_VALUE"""),71.24)</f>
        <v>71.24</v>
      </c>
      <c r="U275" s="3">
        <f>IFERROR(__xludf.DUMMYFUNCTION("""COMPUTED_VALUE"""),357.05)</f>
        <v>357.05</v>
      </c>
      <c r="V275" s="3">
        <f>IFERROR(__xludf.DUMMYFUNCTION("""COMPUTED_VALUE"""),66.66)</f>
        <v>66.66</v>
      </c>
      <c r="W275" s="3">
        <f>IFERROR(__xludf.DUMMYFUNCTION("""COMPUTED_VALUE"""),218.93)</f>
        <v>218.93</v>
      </c>
      <c r="X275" s="3">
        <f>IFERROR(__xludf.DUMMYFUNCTION("""COMPUTED_VALUE"""),145.91)</f>
        <v>145.91</v>
      </c>
      <c r="Y275" s="1">
        <f>IFERROR(__xludf.DUMMYFUNCTION("""COMPUTED_VALUE"""),317.4)</f>
        <v>317.4</v>
      </c>
      <c r="Z275" s="1">
        <f>IFERROR(__xludf.DUMMYFUNCTION("""COMPUTED_VALUE"""),40.33)</f>
        <v>40.33</v>
      </c>
      <c r="AA275" s="1">
        <f>IFERROR(__xludf.DUMMYFUNCTION("""COMPUTED_VALUE"""),71.02)</f>
        <v>71.02</v>
      </c>
      <c r="AB275" s="1">
        <f>IFERROR(__xludf.DUMMYFUNCTION("""COMPUTED_VALUE"""),103.96)</f>
        <v>103.96</v>
      </c>
      <c r="AC275" s="1">
        <f>IFERROR(__xludf.DUMMYFUNCTION("""COMPUTED_VALUE"""),174.47)</f>
        <v>174.47</v>
      </c>
      <c r="AD275" s="3">
        <f>IFERROR(__xludf.DUMMYFUNCTION("""COMPUTED_VALUE"""),95.19)</f>
        <v>95.19</v>
      </c>
      <c r="AE275" s="1">
        <f>IFERROR(__xludf.DUMMYFUNCTION("""COMPUTED_VALUE"""),452.15)</f>
        <v>452.15</v>
      </c>
      <c r="AF275" s="1">
        <f>IFERROR(__xludf.DUMMYFUNCTION("""COMPUTED_VALUE"""),77.36)</f>
        <v>77.36</v>
      </c>
      <c r="AG275" s="1">
        <f>IFERROR(__xludf.DUMMYFUNCTION("""COMPUTED_VALUE"""),112.12)</f>
        <v>112.12</v>
      </c>
      <c r="AH275" s="1">
        <f>IFERROR(__xludf.DUMMYFUNCTION("""COMPUTED_VALUE"""),224.38)</f>
        <v>224.38</v>
      </c>
      <c r="AI275" s="1">
        <f>IFERROR(__xludf.DUMMYFUNCTION("""COMPUTED_VALUE"""),463.44)</f>
        <v>463.44</v>
      </c>
      <c r="AJ275" s="1">
        <f>IFERROR(__xludf.DUMMYFUNCTION("""COMPUTED_VALUE"""),283.0)</f>
        <v>283</v>
      </c>
      <c r="AK275" s="1">
        <f>IFERROR(__xludf.DUMMYFUNCTION("""COMPUTED_VALUE"""),48.65)</f>
        <v>48.65</v>
      </c>
      <c r="AL275" s="1">
        <f>IFERROR(__xludf.DUMMYFUNCTION("""COMPUTED_VALUE"""),109.98)</f>
        <v>109.98</v>
      </c>
      <c r="AM275" s="1">
        <f>IFERROR(__xludf.DUMMYFUNCTION("""COMPUTED_VALUE"""),613.54)</f>
        <v>613.54</v>
      </c>
      <c r="AN275" s="1">
        <f>IFERROR(__xludf.DUMMYFUNCTION("""COMPUTED_VALUE"""),354.66)</f>
        <v>354.66</v>
      </c>
      <c r="AO275" s="1">
        <f>IFERROR(__xludf.DUMMYFUNCTION("""COMPUTED_VALUE"""),134.7)</f>
        <v>134.7</v>
      </c>
      <c r="AP275" s="1">
        <f>IFERROR(__xludf.DUMMYFUNCTION("""COMPUTED_VALUE"""),178.44)</f>
        <v>178.44</v>
      </c>
      <c r="AQ275" s="3">
        <f>IFERROR(__xludf.DUMMYFUNCTION("""COMPUTED_VALUE"""),512.18)</f>
        <v>512.18</v>
      </c>
      <c r="AR275" s="3">
        <f>IFERROR(__xludf.DUMMYFUNCTION("""COMPUTED_VALUE"""),264.95)</f>
        <v>264.95</v>
      </c>
      <c r="AS275" s="3">
        <f>IFERROR(__xludf.DUMMYFUNCTION("""COMPUTED_VALUE"""),486.45)</f>
        <v>486.45</v>
      </c>
      <c r="AT275" s="3">
        <f>IFERROR(__xludf.DUMMYFUNCTION("""COMPUTED_VALUE"""),239.11)</f>
        <v>239.11</v>
      </c>
      <c r="AU275" s="1">
        <f>IFERROR(__xludf.DUMMYFUNCTION("""COMPUTED_VALUE"""),31.18)</f>
        <v>31.18</v>
      </c>
      <c r="AV275" s="1">
        <f>IFERROR(__xludf.DUMMYFUNCTION("""COMPUTED_VALUE"""),87.27)</f>
        <v>87.27</v>
      </c>
      <c r="AW275" s="1">
        <f>IFERROR(__xludf.DUMMYFUNCTION("""COMPUTED_VALUE"""),77.35)</f>
        <v>77.35</v>
      </c>
      <c r="AX275" s="3">
        <f>IFERROR(__xludf.DUMMYFUNCTION("""COMPUTED_VALUE"""),30.55)</f>
        <v>30.55</v>
      </c>
      <c r="AY275" s="1">
        <f>IFERROR(__xludf.DUMMYFUNCTION("""COMPUTED_VALUE"""),474.96)</f>
        <v>474.96</v>
      </c>
      <c r="AZ275" s="3">
        <f>IFERROR(__xludf.DUMMYFUNCTION("""COMPUTED_VALUE"""),74.78)</f>
        <v>74.78</v>
      </c>
      <c r="BA275" s="3">
        <f>IFERROR(__xludf.DUMMYFUNCTION("""COMPUTED_VALUE"""),152.04)</f>
        <v>152.04</v>
      </c>
      <c r="BB275" s="3">
        <f>IFERROR(__xludf.DUMMYFUNCTION("""COMPUTED_VALUE"""),141.97)</f>
        <v>141.97</v>
      </c>
      <c r="BC275" s="1">
        <f>IFERROR(__xludf.DUMMYFUNCTION("""COMPUTED_VALUE"""),95.82)</f>
        <v>95.82</v>
      </c>
      <c r="BD275" s="1">
        <f>IFERROR(__xludf.DUMMYFUNCTION("""COMPUTED_VALUE"""),52.26)</f>
        <v>52.26</v>
      </c>
      <c r="BE275" s="3">
        <f>IFERROR(__xludf.DUMMYFUNCTION("""COMPUTED_VALUE"""),137.4)</f>
        <v>137.4</v>
      </c>
      <c r="BF275" s="1">
        <f>IFERROR(__xludf.DUMMYFUNCTION("""COMPUTED_VALUE"""),70.83)</f>
        <v>70.83</v>
      </c>
      <c r="BG275" s="1">
        <f>IFERROR(__xludf.DUMMYFUNCTION("""COMPUTED_VALUE"""),24.54)</f>
        <v>24.54</v>
      </c>
      <c r="BH275" s="1">
        <f>IFERROR(__xludf.DUMMYFUNCTION("""COMPUTED_VALUE"""),145.69)</f>
        <v>145.69</v>
      </c>
      <c r="BI275" s="3">
        <f>IFERROR(__xludf.DUMMYFUNCTION("""COMPUTED_VALUE"""),40.59)</f>
        <v>40.59</v>
      </c>
      <c r="BJ275" s="1">
        <f>IFERROR(__xludf.DUMMYFUNCTION("""COMPUTED_VALUE"""),228.0)</f>
        <v>228</v>
      </c>
      <c r="BK275" s="1">
        <f>IFERROR(__xludf.DUMMYFUNCTION("""COMPUTED_VALUE"""),402.76)</f>
        <v>402.76</v>
      </c>
      <c r="BL275" s="1">
        <f>IFERROR(__xludf.DUMMYFUNCTION("""COMPUTED_VALUE"""),178.75)</f>
        <v>178.75</v>
      </c>
      <c r="BM275" s="1">
        <f>IFERROR(__xludf.DUMMYFUNCTION("""COMPUTED_VALUE"""),142.88)</f>
        <v>142.88</v>
      </c>
      <c r="BN275" s="3">
        <f>IFERROR(__xludf.DUMMYFUNCTION("""COMPUTED_VALUE"""),6.6)</f>
        <v>6.6</v>
      </c>
      <c r="BO275" s="1">
        <f>IFERROR(__xludf.DUMMYFUNCTION("""COMPUTED_VALUE"""),223.37)</f>
        <v>223.37</v>
      </c>
      <c r="BP275" s="1">
        <f>IFERROR(__xludf.DUMMYFUNCTION("""COMPUTED_VALUE"""),313.53)</f>
        <v>313.53</v>
      </c>
      <c r="BQ275" s="36">
        <f>IFERROR(__xludf.DUMMYFUNCTION("""COMPUTED_VALUE"""),49.95)</f>
        <v>49.95</v>
      </c>
      <c r="BR275" s="1">
        <f>IFERROR(__xludf.DUMMYFUNCTION("""COMPUTED_VALUE"""),8.92)</f>
        <v>8.92</v>
      </c>
      <c r="BS275" s="3">
        <f>IFERROR(__xludf.DUMMYFUNCTION("""COMPUTED_VALUE"""),236.5)</f>
        <v>236.5</v>
      </c>
      <c r="BT275" s="1">
        <f>IFERROR(__xludf.DUMMYFUNCTION("""COMPUTED_VALUE"""),117.94)</f>
        <v>117.94</v>
      </c>
      <c r="BU275" s="3">
        <v>1.0</v>
      </c>
    </row>
    <row r="276">
      <c r="A276" s="25">
        <f>IFERROR(__xludf.DUMMYFUNCTION("""COMPUTED_VALUE"""),45824.66666666667)</f>
        <v>45824.66667</v>
      </c>
      <c r="B276" s="29">
        <f>'Master Scratch Work'!B275</f>
        <v>1380448.66</v>
      </c>
      <c r="C276" s="15">
        <f>IFERROR(__xludf.DUMMYFUNCTION("""COMPUTED_VALUE"""),6033.11)</f>
        <v>6033.11</v>
      </c>
      <c r="D276" s="15">
        <f>IFERROR(__xludf.DUMMYFUNCTION("""COMPUTED_VALUE"""),19701.21)</f>
        <v>19701.21</v>
      </c>
      <c r="E276" s="15">
        <f>IFERROR(__xludf.DUMMYFUNCTION("""COMPUTED_VALUE"""),42515.09)</f>
        <v>42515.09</v>
      </c>
      <c r="F276" s="15">
        <f>IFERROR(__xludf.DUMMYFUNCTION("""COMPUTED_VALUE"""),2124.13)</f>
        <v>2124.13</v>
      </c>
      <c r="G276" s="3">
        <f>IFERROR(__xludf.DUMMYFUNCTION("""COMPUTED_VALUE"""),602.68)</f>
        <v>602.68</v>
      </c>
      <c r="H276" s="3">
        <f>IFERROR(__xludf.DUMMYFUNCTION("""COMPUTED_VALUE"""),534.29)</f>
        <v>534.29</v>
      </c>
      <c r="I276" s="3">
        <f>IFERROR(__xludf.DUMMYFUNCTION("""COMPUTED_VALUE"""),401.73)</f>
        <v>401.73</v>
      </c>
      <c r="J276" s="3">
        <f>IFERROR(__xludf.DUMMYFUNCTION("""COMPUTED_VALUE"""),216.1)</f>
        <v>216.1</v>
      </c>
      <c r="K276" s="3">
        <f>IFERROR(__xludf.DUMMYFUNCTION("""COMPUTED_VALUE"""),140.47)</f>
        <v>140.47</v>
      </c>
      <c r="L276" s="3">
        <f>IFERROR(__xludf.DUMMYFUNCTION("""COMPUTED_VALUE"""),198.42)</f>
        <v>198.42</v>
      </c>
      <c r="M276" s="3">
        <f>IFERROR(__xludf.DUMMYFUNCTION("""COMPUTED_VALUE"""),176.55)</f>
        <v>176.55</v>
      </c>
      <c r="N276" s="3">
        <f>IFERROR(__xludf.DUMMYFUNCTION("""COMPUTED_VALUE"""),90.49)</f>
        <v>90.49</v>
      </c>
      <c r="O276" s="3">
        <f>IFERROR(__xludf.DUMMYFUNCTION("""COMPUTED_VALUE"""),17.73)</f>
        <v>17.73</v>
      </c>
      <c r="P276" s="3">
        <f>IFERROR(__xludf.DUMMYFUNCTION("""COMPUTED_VALUE"""),490.23)</f>
        <v>490.23</v>
      </c>
      <c r="Q276" s="3">
        <f>IFERROR(__xludf.DUMMYFUNCTION("""COMPUTED_VALUE"""),48.9)</f>
        <v>48.9</v>
      </c>
      <c r="R276" s="3">
        <f>IFERROR(__xludf.DUMMYFUNCTION("""COMPUTED_VALUE"""),131.04)</f>
        <v>131.04</v>
      </c>
      <c r="S276" s="3">
        <f>IFERROR(__xludf.DUMMYFUNCTION("""COMPUTED_VALUE"""),101.49)</f>
        <v>101.49</v>
      </c>
      <c r="T276" s="3">
        <f>IFERROR(__xludf.DUMMYFUNCTION("""COMPUTED_VALUE"""),71.04)</f>
        <v>71.04</v>
      </c>
      <c r="U276" s="3">
        <f>IFERROR(__xludf.DUMMYFUNCTION("""COMPUTED_VALUE"""),362.44)</f>
        <v>362.44</v>
      </c>
      <c r="V276" s="3">
        <f>IFERROR(__xludf.DUMMYFUNCTION("""COMPUTED_VALUE"""),69.36)</f>
        <v>69.36</v>
      </c>
      <c r="W276" s="3">
        <f>IFERROR(__xludf.DUMMYFUNCTION("""COMPUTED_VALUE"""),221.22)</f>
        <v>221.22</v>
      </c>
      <c r="X276" s="3">
        <f>IFERROR(__xludf.DUMMYFUNCTION("""COMPUTED_VALUE"""),146.03)</f>
        <v>146.03</v>
      </c>
      <c r="Y276" s="1">
        <f>IFERROR(__xludf.DUMMYFUNCTION("""COMPUTED_VALUE"""),314.44)</f>
        <v>314.44</v>
      </c>
      <c r="Z276" s="1">
        <f>IFERROR(__xludf.DUMMYFUNCTION("""COMPUTED_VALUE"""),41.01)</f>
        <v>41.01</v>
      </c>
      <c r="AA276" s="1">
        <f>IFERROR(__xludf.DUMMYFUNCTION("""COMPUTED_VALUE"""),70.52)</f>
        <v>70.52</v>
      </c>
      <c r="AB276" s="1">
        <f>IFERROR(__xludf.DUMMYFUNCTION("""COMPUTED_VALUE"""),101.63)</f>
        <v>101.63</v>
      </c>
      <c r="AC276" s="1">
        <f>IFERROR(__xludf.DUMMYFUNCTION("""COMPUTED_VALUE"""),176.06)</f>
        <v>176.06</v>
      </c>
      <c r="AD276" s="3">
        <f>IFERROR(__xludf.DUMMYFUNCTION("""COMPUTED_VALUE"""),99.0)</f>
        <v>99</v>
      </c>
      <c r="AE276" s="1">
        <f>IFERROR(__xludf.DUMMYFUNCTION("""COMPUTED_VALUE"""),454.45)</f>
        <v>454.45</v>
      </c>
      <c r="AF276" s="1">
        <f>IFERROR(__xludf.DUMMYFUNCTION("""COMPUTED_VALUE"""),77.71)</f>
        <v>77.71</v>
      </c>
      <c r="AG276" s="1">
        <f>IFERROR(__xludf.DUMMYFUNCTION("""COMPUTED_VALUE"""),112.48)</f>
        <v>112.48</v>
      </c>
      <c r="AH276" s="1">
        <f>IFERROR(__xludf.DUMMYFUNCTION("""COMPUTED_VALUE"""),226.77)</f>
        <v>226.77</v>
      </c>
      <c r="AI276" s="1">
        <f>IFERROR(__xludf.DUMMYFUNCTION("""COMPUTED_VALUE"""),464.81)</f>
        <v>464.81</v>
      </c>
      <c r="AJ276" s="1">
        <f>IFERROR(__xludf.DUMMYFUNCTION("""COMPUTED_VALUE"""),279.29)</f>
        <v>279.29</v>
      </c>
      <c r="AK276" s="1">
        <f>IFERROR(__xludf.DUMMYFUNCTION("""COMPUTED_VALUE"""),49.27)</f>
        <v>49.27</v>
      </c>
      <c r="AL276" s="1">
        <f>IFERROR(__xludf.DUMMYFUNCTION("""COMPUTED_VALUE"""),110.83)</f>
        <v>110.83</v>
      </c>
      <c r="AM276" s="1">
        <f>IFERROR(__xludf.DUMMYFUNCTION("""COMPUTED_VALUE"""),627.85)</f>
        <v>627.85</v>
      </c>
      <c r="AN276" s="1">
        <f>IFERROR(__xludf.DUMMYFUNCTION("""COMPUTED_VALUE"""),353.56)</f>
        <v>353.56</v>
      </c>
      <c r="AO276" s="1">
        <f>IFERROR(__xludf.DUMMYFUNCTION("""COMPUTED_VALUE"""),135.41)</f>
        <v>135.41</v>
      </c>
      <c r="AP276" s="1">
        <f>IFERROR(__xludf.DUMMYFUNCTION("""COMPUTED_VALUE"""),179.8)</f>
        <v>179.8</v>
      </c>
      <c r="AQ276" s="3">
        <f>IFERROR(__xludf.DUMMYFUNCTION("""COMPUTED_VALUE"""),519.04)</f>
        <v>519.04</v>
      </c>
      <c r="AR276" s="3">
        <f>IFERROR(__xludf.DUMMYFUNCTION("""COMPUTED_VALUE"""),270.36)</f>
        <v>270.36</v>
      </c>
      <c r="AS276" s="3">
        <f>IFERROR(__xludf.DUMMYFUNCTION("""COMPUTED_VALUE"""),467.06)</f>
        <v>467.06</v>
      </c>
      <c r="AT276" s="3">
        <f>IFERROR(__xludf.DUMMYFUNCTION("""COMPUTED_VALUE"""),241.29)</f>
        <v>241.29</v>
      </c>
      <c r="AU276" s="1">
        <f>IFERROR(__xludf.DUMMYFUNCTION("""COMPUTED_VALUE"""),31.23)</f>
        <v>31.23</v>
      </c>
      <c r="AV276" s="1">
        <f>IFERROR(__xludf.DUMMYFUNCTION("""COMPUTED_VALUE"""),87.92)</f>
        <v>87.92</v>
      </c>
      <c r="AW276" s="1">
        <f>IFERROR(__xludf.DUMMYFUNCTION("""COMPUTED_VALUE"""),78.4)</f>
        <v>78.4</v>
      </c>
      <c r="AX276" s="3">
        <f>IFERROR(__xludf.DUMMYFUNCTION("""COMPUTED_VALUE"""),34.65)</f>
        <v>34.65</v>
      </c>
      <c r="AY276" s="1">
        <f>IFERROR(__xludf.DUMMYFUNCTION("""COMPUTED_VALUE"""),479.14)</f>
        <v>479.14</v>
      </c>
      <c r="AZ276" s="3">
        <f>IFERROR(__xludf.DUMMYFUNCTION("""COMPUTED_VALUE"""),73.78)</f>
        <v>73.78</v>
      </c>
      <c r="BA276" s="3">
        <f>IFERROR(__xludf.DUMMYFUNCTION("""COMPUTED_VALUE"""),153.94)</f>
        <v>153.94</v>
      </c>
      <c r="BB276" s="3">
        <f>IFERROR(__xludf.DUMMYFUNCTION("""COMPUTED_VALUE"""),144.69)</f>
        <v>144.69</v>
      </c>
      <c r="BC276" s="1">
        <f>IFERROR(__xludf.DUMMYFUNCTION("""COMPUTED_VALUE"""),96.45)</f>
        <v>96.45</v>
      </c>
      <c r="BD276" s="1">
        <f>IFERROR(__xludf.DUMMYFUNCTION("""COMPUTED_VALUE"""),53.01)</f>
        <v>53.01</v>
      </c>
      <c r="BE276" s="3">
        <f>IFERROR(__xludf.DUMMYFUNCTION("""COMPUTED_VALUE"""),141.41)</f>
        <v>141.41</v>
      </c>
      <c r="BF276" s="1">
        <f>IFERROR(__xludf.DUMMYFUNCTION("""COMPUTED_VALUE"""),72.26)</f>
        <v>72.26</v>
      </c>
      <c r="BG276" s="1">
        <f>IFERROR(__xludf.DUMMYFUNCTION("""COMPUTED_VALUE"""),24.4)</f>
        <v>24.4</v>
      </c>
      <c r="BH276" s="1">
        <f>IFERROR(__xludf.DUMMYFUNCTION("""COMPUTED_VALUE"""),146.46)</f>
        <v>146.46</v>
      </c>
      <c r="BI276" s="3">
        <f>IFERROR(__xludf.DUMMYFUNCTION("""COMPUTED_VALUE"""),39.77)</f>
        <v>39.77</v>
      </c>
      <c r="BJ276" s="1">
        <f>IFERROR(__xludf.DUMMYFUNCTION("""COMPUTED_VALUE"""),230.99)</f>
        <v>230.99</v>
      </c>
      <c r="BK276" s="1">
        <f>IFERROR(__xludf.DUMMYFUNCTION("""COMPUTED_VALUE"""),405.08)</f>
        <v>405.08</v>
      </c>
      <c r="BL276" s="1">
        <f>IFERROR(__xludf.DUMMYFUNCTION("""COMPUTED_VALUE"""),177.67)</f>
        <v>177.67</v>
      </c>
      <c r="BM276" s="1">
        <f>IFERROR(__xludf.DUMMYFUNCTION("""COMPUTED_VALUE"""),141.96)</f>
        <v>141.96</v>
      </c>
      <c r="BN276" s="3">
        <f>IFERROR(__xludf.DUMMYFUNCTION("""COMPUTED_VALUE"""),6.64)</f>
        <v>6.64</v>
      </c>
      <c r="BO276" s="1">
        <f>IFERROR(__xludf.DUMMYFUNCTION("""COMPUTED_VALUE"""),224.65)</f>
        <v>224.65</v>
      </c>
      <c r="BP276" s="1">
        <f>IFERROR(__xludf.DUMMYFUNCTION("""COMPUTED_VALUE"""),307.66)</f>
        <v>307.66</v>
      </c>
      <c r="BQ276" s="36">
        <f>IFERROR(__xludf.DUMMYFUNCTION("""COMPUTED_VALUE"""),49.92)</f>
        <v>49.92</v>
      </c>
      <c r="BR276" s="1">
        <f>IFERROR(__xludf.DUMMYFUNCTION("""COMPUTED_VALUE"""),8.99)</f>
        <v>8.99</v>
      </c>
      <c r="BS276" s="3">
        <f>IFERROR(__xludf.DUMMYFUNCTION("""COMPUTED_VALUE"""),234.66)</f>
        <v>234.66</v>
      </c>
      <c r="BT276" s="1">
        <f>IFERROR(__xludf.DUMMYFUNCTION("""COMPUTED_VALUE"""),119.48)</f>
        <v>119.48</v>
      </c>
      <c r="BU276" s="3">
        <v>1.0</v>
      </c>
    </row>
    <row r="277">
      <c r="A277" s="25">
        <f>IFERROR(__xludf.DUMMYFUNCTION("""COMPUTED_VALUE"""),45825.66666666667)</f>
        <v>45825.66667</v>
      </c>
      <c r="B277" s="29">
        <f>'Master Scratch Work'!B276</f>
        <v>1367489.08</v>
      </c>
      <c r="C277" s="15">
        <f>IFERROR(__xludf.DUMMYFUNCTION("""COMPUTED_VALUE"""),5982.72)</f>
        <v>5982.72</v>
      </c>
      <c r="D277" s="15">
        <f>IFERROR(__xludf.DUMMYFUNCTION("""COMPUTED_VALUE"""),19521.09)</f>
        <v>19521.09</v>
      </c>
      <c r="E277" s="15">
        <f>IFERROR(__xludf.DUMMYFUNCTION("""COMPUTED_VALUE"""),42215.8)</f>
        <v>42215.8</v>
      </c>
      <c r="F277" s="15">
        <f>IFERROR(__xludf.DUMMYFUNCTION("""COMPUTED_VALUE"""),2101.96)</f>
        <v>2101.96</v>
      </c>
      <c r="G277" s="3">
        <f>IFERROR(__xludf.DUMMYFUNCTION("""COMPUTED_VALUE"""),597.53)</f>
        <v>597.53</v>
      </c>
      <c r="H277" s="3">
        <f>IFERROR(__xludf.DUMMYFUNCTION("""COMPUTED_VALUE"""),529.08)</f>
        <v>529.08</v>
      </c>
      <c r="I277" s="3">
        <f>IFERROR(__xludf.DUMMYFUNCTION("""COMPUTED_VALUE"""),382.68)</f>
        <v>382.68</v>
      </c>
      <c r="J277" s="3">
        <f>IFERROR(__xludf.DUMMYFUNCTION("""COMPUTED_VALUE"""),214.82)</f>
        <v>214.82</v>
      </c>
      <c r="K277" s="3">
        <f>IFERROR(__xludf.DUMMYFUNCTION("""COMPUTED_VALUE"""),140.92)</f>
        <v>140.92</v>
      </c>
      <c r="L277" s="3">
        <f>IFERROR(__xludf.DUMMYFUNCTION("""COMPUTED_VALUE"""),195.64)</f>
        <v>195.64</v>
      </c>
      <c r="M277" s="3">
        <f>IFERROR(__xludf.DUMMYFUNCTION("""COMPUTED_VALUE"""),174.09)</f>
        <v>174.09</v>
      </c>
      <c r="N277" s="3">
        <f>IFERROR(__xludf.DUMMYFUNCTION("""COMPUTED_VALUE"""),89.77)</f>
        <v>89.77</v>
      </c>
      <c r="O277" s="3">
        <f>IFERROR(__xludf.DUMMYFUNCTION("""COMPUTED_VALUE"""),17.5)</f>
        <v>17.5</v>
      </c>
      <c r="P277" s="3">
        <f>IFERROR(__xludf.DUMMYFUNCTION("""COMPUTED_VALUE"""),483.48)</f>
        <v>483.48</v>
      </c>
      <c r="Q277" s="3">
        <f>IFERROR(__xludf.DUMMYFUNCTION("""COMPUTED_VALUE"""),47.78)</f>
        <v>47.78</v>
      </c>
      <c r="R277" s="3">
        <f>IFERROR(__xludf.DUMMYFUNCTION("""COMPUTED_VALUE"""),126.56)</f>
        <v>126.56</v>
      </c>
      <c r="S277" s="3">
        <f>IFERROR(__xludf.DUMMYFUNCTION("""COMPUTED_VALUE"""),101.73)</f>
        <v>101.73</v>
      </c>
      <c r="T277" s="3">
        <f>IFERROR(__xludf.DUMMYFUNCTION("""COMPUTED_VALUE"""),69.78)</f>
        <v>69.78</v>
      </c>
      <c r="U277" s="3">
        <f>IFERROR(__xludf.DUMMYFUNCTION("""COMPUTED_VALUE"""),357.68)</f>
        <v>357.68</v>
      </c>
      <c r="V277" s="3">
        <f>IFERROR(__xludf.DUMMYFUNCTION("""COMPUTED_VALUE"""),69.25)</f>
        <v>69.25</v>
      </c>
      <c r="W277" s="3">
        <f>IFERROR(__xludf.DUMMYFUNCTION("""COMPUTED_VALUE"""),219.23)</f>
        <v>219.23</v>
      </c>
      <c r="X277" s="3">
        <f>IFERROR(__xludf.DUMMYFUNCTION("""COMPUTED_VALUE"""),148.85)</f>
        <v>148.85</v>
      </c>
      <c r="Y277" s="1">
        <f>IFERROR(__xludf.DUMMYFUNCTION("""COMPUTED_VALUE"""),312.51)</f>
        <v>312.51</v>
      </c>
      <c r="Z277" s="1">
        <f>IFERROR(__xludf.DUMMYFUNCTION("""COMPUTED_VALUE"""),40.45)</f>
        <v>40.45</v>
      </c>
      <c r="AA277" s="1">
        <f>IFERROR(__xludf.DUMMYFUNCTION("""COMPUTED_VALUE"""),69.62)</f>
        <v>69.62</v>
      </c>
      <c r="AB277" s="1">
        <f>IFERROR(__xludf.DUMMYFUNCTION("""COMPUTED_VALUE"""),101.35)</f>
        <v>101.35</v>
      </c>
      <c r="AC277" s="1">
        <f>IFERROR(__xludf.DUMMYFUNCTION("""COMPUTED_VALUE"""),176.06)</f>
        <v>176.06</v>
      </c>
      <c r="AD277" s="3">
        <f>IFERROR(__xludf.DUMMYFUNCTION("""COMPUTED_VALUE"""),98.35)</f>
        <v>98.35</v>
      </c>
      <c r="AE277" s="1">
        <f>IFERROR(__xludf.DUMMYFUNCTION("""COMPUTED_VALUE"""),458.78)</f>
        <v>458.78</v>
      </c>
      <c r="AF277" s="1">
        <f>IFERROR(__xludf.DUMMYFUNCTION("""COMPUTED_VALUE"""),77.4)</f>
        <v>77.4</v>
      </c>
      <c r="AG277" s="1">
        <f>IFERROR(__xludf.DUMMYFUNCTION("""COMPUTED_VALUE"""),114.0)</f>
        <v>114</v>
      </c>
      <c r="AH277" s="1">
        <f>IFERROR(__xludf.DUMMYFUNCTION("""COMPUTED_VALUE"""),222.53)</f>
        <v>222.53</v>
      </c>
      <c r="AI277" s="1">
        <f>IFERROR(__xludf.DUMMYFUNCTION("""COMPUTED_VALUE"""),460.65)</f>
        <v>460.65</v>
      </c>
      <c r="AJ277" s="1">
        <f>IFERROR(__xludf.DUMMYFUNCTION("""COMPUTED_VALUE"""),281.3)</f>
        <v>281.3</v>
      </c>
      <c r="AK277" s="1">
        <f>IFERROR(__xludf.DUMMYFUNCTION("""COMPUTED_VALUE"""),48.28)</f>
        <v>48.28</v>
      </c>
      <c r="AL277" s="1">
        <f>IFERROR(__xludf.DUMMYFUNCTION("""COMPUTED_VALUE"""),108.0)</f>
        <v>108</v>
      </c>
      <c r="AM277" s="1">
        <f>IFERROR(__xludf.DUMMYFUNCTION("""COMPUTED_VALUE"""),624.64)</f>
        <v>624.64</v>
      </c>
      <c r="AN277" s="1">
        <f>IFERROR(__xludf.DUMMYFUNCTION("""COMPUTED_VALUE"""),348.78)</f>
        <v>348.78</v>
      </c>
      <c r="AO277" s="1">
        <f>IFERROR(__xludf.DUMMYFUNCTION("""COMPUTED_VALUE"""),136.08)</f>
        <v>136.08</v>
      </c>
      <c r="AP277" s="1">
        <f>IFERROR(__xludf.DUMMYFUNCTION("""COMPUTED_VALUE"""),180.99)</f>
        <v>180.99</v>
      </c>
      <c r="AQ277" s="3">
        <f>IFERROR(__xludf.DUMMYFUNCTION("""COMPUTED_VALUE"""),512.11)</f>
        <v>512.11</v>
      </c>
      <c r="AR277" s="3">
        <f>IFERROR(__xludf.DUMMYFUNCTION("""COMPUTED_VALUE"""),269.52)</f>
        <v>269.52</v>
      </c>
      <c r="AS277" s="3">
        <f>IFERROR(__xludf.DUMMYFUNCTION("""COMPUTED_VALUE"""),479.34)</f>
        <v>479.34</v>
      </c>
      <c r="AT277" s="3">
        <f>IFERROR(__xludf.DUMMYFUNCTION("""COMPUTED_VALUE"""),235.2)</f>
        <v>235.2</v>
      </c>
      <c r="AU277" s="1">
        <f>IFERROR(__xludf.DUMMYFUNCTION("""COMPUTED_VALUE"""),30.88)</f>
        <v>30.88</v>
      </c>
      <c r="AV277" s="1">
        <f>IFERROR(__xludf.DUMMYFUNCTION("""COMPUTED_VALUE"""),86.17)</f>
        <v>86.17</v>
      </c>
      <c r="AW277" s="1">
        <f>IFERROR(__xludf.DUMMYFUNCTION("""COMPUTED_VALUE"""),77.85)</f>
        <v>77.85</v>
      </c>
      <c r="AX277" s="3">
        <f>IFERROR(__xludf.DUMMYFUNCTION("""COMPUTED_VALUE"""),35.48)</f>
        <v>35.48</v>
      </c>
      <c r="AY277" s="1">
        <f>IFERROR(__xludf.DUMMYFUNCTION("""COMPUTED_VALUE"""),478.04)</f>
        <v>478.04</v>
      </c>
      <c r="AZ277" s="3">
        <f>IFERROR(__xludf.DUMMYFUNCTION("""COMPUTED_VALUE"""),71.86)</f>
        <v>71.86</v>
      </c>
      <c r="BA277" s="3">
        <f>IFERROR(__xludf.DUMMYFUNCTION("""COMPUTED_VALUE"""),152.08)</f>
        <v>152.08</v>
      </c>
      <c r="BB277" s="3">
        <f>IFERROR(__xludf.DUMMYFUNCTION("""COMPUTED_VALUE"""),144.12)</f>
        <v>144.12</v>
      </c>
      <c r="BC277" s="1">
        <f>IFERROR(__xludf.DUMMYFUNCTION("""COMPUTED_VALUE"""),95.35)</f>
        <v>95.35</v>
      </c>
      <c r="BD277" s="1">
        <f>IFERROR(__xludf.DUMMYFUNCTION("""COMPUTED_VALUE"""),52.08)</f>
        <v>52.08</v>
      </c>
      <c r="BE277" s="3">
        <f>IFERROR(__xludf.DUMMYFUNCTION("""COMPUTED_VALUE"""),138.2)</f>
        <v>138.2</v>
      </c>
      <c r="BF277" s="1">
        <f>IFERROR(__xludf.DUMMYFUNCTION("""COMPUTED_VALUE"""),70.67)</f>
        <v>70.67</v>
      </c>
      <c r="BG277" s="1">
        <f>IFERROR(__xludf.DUMMYFUNCTION("""COMPUTED_VALUE"""),24.0)</f>
        <v>24</v>
      </c>
      <c r="BH277" s="1">
        <f>IFERROR(__xludf.DUMMYFUNCTION("""COMPUTED_VALUE"""),148.48)</f>
        <v>148.48</v>
      </c>
      <c r="BI277" s="3">
        <f>IFERROR(__xludf.DUMMYFUNCTION("""COMPUTED_VALUE"""),39.14)</f>
        <v>39.14</v>
      </c>
      <c r="BJ277" s="1">
        <f>IFERROR(__xludf.DUMMYFUNCTION("""COMPUTED_VALUE"""),221.43)</f>
        <v>221.43</v>
      </c>
      <c r="BK277" s="1">
        <f>IFERROR(__xludf.DUMMYFUNCTION("""COMPUTED_VALUE"""),390.26)</f>
        <v>390.26</v>
      </c>
      <c r="BL277" s="1">
        <f>IFERROR(__xludf.DUMMYFUNCTION("""COMPUTED_VALUE"""),173.95)</f>
        <v>173.95</v>
      </c>
      <c r="BM277" s="1">
        <f>IFERROR(__xludf.DUMMYFUNCTION("""COMPUTED_VALUE"""),136.2)</f>
        <v>136.2</v>
      </c>
      <c r="BN277" s="3">
        <f>IFERROR(__xludf.DUMMYFUNCTION("""COMPUTED_VALUE"""),6.33)</f>
        <v>6.33</v>
      </c>
      <c r="BO277" s="1">
        <f>IFERROR(__xludf.DUMMYFUNCTION("""COMPUTED_VALUE"""),220.59)</f>
        <v>220.59</v>
      </c>
      <c r="BP277" s="1">
        <f>IFERROR(__xludf.DUMMYFUNCTION("""COMPUTED_VALUE"""),308.87)</f>
        <v>308.87</v>
      </c>
      <c r="BQ277" s="36">
        <f>IFERROR(__xludf.DUMMYFUNCTION("""COMPUTED_VALUE"""),50.02)</f>
        <v>50.02</v>
      </c>
      <c r="BR277" s="1">
        <f>IFERROR(__xludf.DUMMYFUNCTION("""COMPUTED_VALUE"""),8.76)</f>
        <v>8.76</v>
      </c>
      <c r="BS277" s="3">
        <f>IFERROR(__xludf.DUMMYFUNCTION("""COMPUTED_VALUE"""),234.3)</f>
        <v>234.3</v>
      </c>
      <c r="BT277" s="1">
        <f>IFERROR(__xludf.DUMMYFUNCTION("""COMPUTED_VALUE"""),118.13)</f>
        <v>118.13</v>
      </c>
      <c r="BU277" s="3">
        <v>1.0</v>
      </c>
    </row>
    <row r="278">
      <c r="A278" s="25">
        <f>IFERROR(__xludf.DUMMYFUNCTION("""COMPUTED_VALUE"""),45826.66666666667)</f>
        <v>45826.66667</v>
      </c>
      <c r="B278" s="29">
        <f>'Master Scratch Work'!B277</f>
        <v>1365504.92</v>
      </c>
      <c r="C278" s="15">
        <f>IFERROR(__xludf.DUMMYFUNCTION("""COMPUTED_VALUE"""),5980.87)</f>
        <v>5980.87</v>
      </c>
      <c r="D278" s="15">
        <f>IFERROR(__xludf.DUMMYFUNCTION("""COMPUTED_VALUE"""),19546.27)</f>
        <v>19546.27</v>
      </c>
      <c r="E278" s="15">
        <f>IFERROR(__xludf.DUMMYFUNCTION("""COMPUTED_VALUE"""),42171.66)</f>
        <v>42171.66</v>
      </c>
      <c r="F278" s="15">
        <f>IFERROR(__xludf.DUMMYFUNCTION("""COMPUTED_VALUE"""),2112.96)</f>
        <v>2112.96</v>
      </c>
      <c r="G278" s="3">
        <f>IFERROR(__xludf.DUMMYFUNCTION("""COMPUTED_VALUE"""),597.44)</f>
        <v>597.44</v>
      </c>
      <c r="H278" s="3">
        <f>IFERROR(__xludf.DUMMYFUNCTION("""COMPUTED_VALUE"""),528.99)</f>
        <v>528.99</v>
      </c>
      <c r="I278" s="3">
        <f>IFERROR(__xludf.DUMMYFUNCTION("""COMPUTED_VALUE"""),378.04)</f>
        <v>378.04</v>
      </c>
      <c r="J278" s="3">
        <f>IFERROR(__xludf.DUMMYFUNCTION("""COMPUTED_VALUE"""),212.52)</f>
        <v>212.52</v>
      </c>
      <c r="K278" s="3">
        <f>IFERROR(__xludf.DUMMYFUNCTION("""COMPUTED_VALUE"""),141.1)</f>
        <v>141.1</v>
      </c>
      <c r="L278" s="3">
        <f>IFERROR(__xludf.DUMMYFUNCTION("""COMPUTED_VALUE"""),196.58)</f>
        <v>196.58</v>
      </c>
      <c r="M278" s="3">
        <f>IFERROR(__xludf.DUMMYFUNCTION("""COMPUTED_VALUE"""),172.84)</f>
        <v>172.84</v>
      </c>
      <c r="N278" s="3">
        <f>IFERROR(__xludf.DUMMYFUNCTION("""COMPUTED_VALUE"""),91.6)</f>
        <v>91.6</v>
      </c>
      <c r="O278" s="3">
        <f>IFERROR(__xludf.DUMMYFUNCTION("""COMPUTED_VALUE"""),17.66)</f>
        <v>17.66</v>
      </c>
      <c r="P278" s="3">
        <f>IFERROR(__xludf.DUMMYFUNCTION("""COMPUTED_VALUE"""),485.14)</f>
        <v>485.14</v>
      </c>
      <c r="Q278" s="3">
        <f>IFERROR(__xludf.DUMMYFUNCTION("""COMPUTED_VALUE"""),47.62)</f>
        <v>47.62</v>
      </c>
      <c r="R278" s="3">
        <f>IFERROR(__xludf.DUMMYFUNCTION("""COMPUTED_VALUE"""),126.54)</f>
        <v>126.54</v>
      </c>
      <c r="S278" s="3">
        <f>IFERROR(__xludf.DUMMYFUNCTION("""COMPUTED_VALUE"""),101.37)</f>
        <v>101.37</v>
      </c>
      <c r="T278" s="3">
        <f>IFERROR(__xludf.DUMMYFUNCTION("""COMPUTED_VALUE"""),69.86)</f>
        <v>69.86</v>
      </c>
      <c r="U278" s="3">
        <f>IFERROR(__xludf.DUMMYFUNCTION("""COMPUTED_VALUE"""),359.8)</f>
        <v>359.8</v>
      </c>
      <c r="V278" s="3">
        <f>IFERROR(__xludf.DUMMYFUNCTION("""COMPUTED_VALUE"""),69.67)</f>
        <v>69.67</v>
      </c>
      <c r="W278" s="3">
        <f>IFERROR(__xludf.DUMMYFUNCTION("""COMPUTED_VALUE"""),218.42)</f>
        <v>218.42</v>
      </c>
      <c r="X278" s="3">
        <f>IFERROR(__xludf.DUMMYFUNCTION("""COMPUTED_VALUE"""),148.19)</f>
        <v>148.19</v>
      </c>
      <c r="Y278" s="1">
        <f>IFERROR(__xludf.DUMMYFUNCTION("""COMPUTED_VALUE"""),314.4)</f>
        <v>314.4</v>
      </c>
      <c r="Z278" s="1">
        <f>IFERROR(__xludf.DUMMYFUNCTION("""COMPUTED_VALUE"""),41.32)</f>
        <v>41.32</v>
      </c>
      <c r="AA278" s="1">
        <f>IFERROR(__xludf.DUMMYFUNCTION("""COMPUTED_VALUE"""),69.21)</f>
        <v>69.21</v>
      </c>
      <c r="AB278" s="1">
        <f>IFERROR(__xludf.DUMMYFUNCTION("""COMPUTED_VALUE"""),100.73)</f>
        <v>100.73</v>
      </c>
      <c r="AC278" s="1">
        <f>IFERROR(__xludf.DUMMYFUNCTION("""COMPUTED_VALUE"""),176.6)</f>
        <v>176.6</v>
      </c>
      <c r="AD278" s="3">
        <f>IFERROR(__xludf.DUMMYFUNCTION("""COMPUTED_VALUE"""),97.53)</f>
        <v>97.53</v>
      </c>
      <c r="AE278" s="1">
        <f>IFERROR(__xludf.DUMMYFUNCTION("""COMPUTED_VALUE"""),446.77)</f>
        <v>446.77</v>
      </c>
      <c r="AF278" s="1">
        <f>IFERROR(__xludf.DUMMYFUNCTION("""COMPUTED_VALUE"""),77.53)</f>
        <v>77.53</v>
      </c>
      <c r="AG278" s="1">
        <f>IFERROR(__xludf.DUMMYFUNCTION("""COMPUTED_VALUE"""),113.19)</f>
        <v>113.19</v>
      </c>
      <c r="AH278" s="1">
        <f>IFERROR(__xludf.DUMMYFUNCTION("""COMPUTED_VALUE"""),223.3)</f>
        <v>223.3</v>
      </c>
      <c r="AI278" s="1">
        <f>IFERROR(__xludf.DUMMYFUNCTION("""COMPUTED_VALUE"""),460.51)</f>
        <v>460.51</v>
      </c>
      <c r="AJ278" s="1">
        <f>IFERROR(__xludf.DUMMYFUNCTION("""COMPUTED_VALUE"""),278.53)</f>
        <v>278.53</v>
      </c>
      <c r="AK278" s="1">
        <f>IFERROR(__xludf.DUMMYFUNCTION("""COMPUTED_VALUE"""),48.09)</f>
        <v>48.09</v>
      </c>
      <c r="AL278" s="1">
        <f>IFERROR(__xludf.DUMMYFUNCTION("""COMPUTED_VALUE"""),108.0)</f>
        <v>108</v>
      </c>
      <c r="AM278" s="1">
        <f>IFERROR(__xludf.DUMMYFUNCTION("""COMPUTED_VALUE"""),635.24)</f>
        <v>635.24</v>
      </c>
      <c r="AN278" s="1">
        <f>IFERROR(__xludf.DUMMYFUNCTION("""COMPUTED_VALUE"""),347.03)</f>
        <v>347.03</v>
      </c>
      <c r="AO278" s="1">
        <f>IFERROR(__xludf.DUMMYFUNCTION("""COMPUTED_VALUE"""),132.95)</f>
        <v>132.95</v>
      </c>
      <c r="AP278" s="1">
        <f>IFERROR(__xludf.DUMMYFUNCTION("""COMPUTED_VALUE"""),179.76)</f>
        <v>179.76</v>
      </c>
      <c r="AQ278" s="3">
        <f>IFERROR(__xludf.DUMMYFUNCTION("""COMPUTED_VALUE"""),509.49)</f>
        <v>509.49</v>
      </c>
      <c r="AR278" s="3">
        <f>IFERROR(__xludf.DUMMYFUNCTION("""COMPUTED_VALUE"""),273.96)</f>
        <v>273.96</v>
      </c>
      <c r="AS278" s="3">
        <f>IFERROR(__xludf.DUMMYFUNCTION("""COMPUTED_VALUE"""),468.6)</f>
        <v>468.6</v>
      </c>
      <c r="AT278" s="3">
        <f>IFERROR(__xludf.DUMMYFUNCTION("""COMPUTED_VALUE"""),228.65)</f>
        <v>228.65</v>
      </c>
      <c r="AU278" s="1">
        <f>IFERROR(__xludf.DUMMYFUNCTION("""COMPUTED_VALUE"""),30.63)</f>
        <v>30.63</v>
      </c>
      <c r="AV278" s="1">
        <f>IFERROR(__xludf.DUMMYFUNCTION("""COMPUTED_VALUE"""),85.73)</f>
        <v>85.73</v>
      </c>
      <c r="AW278" s="1">
        <f>IFERROR(__xludf.DUMMYFUNCTION("""COMPUTED_VALUE"""),78.55)</f>
        <v>78.55</v>
      </c>
      <c r="AX278" s="3">
        <f>IFERROR(__xludf.DUMMYFUNCTION("""COMPUTED_VALUE"""),37.22)</f>
        <v>37.22</v>
      </c>
      <c r="AY278" s="1">
        <f>IFERROR(__xludf.DUMMYFUNCTION("""COMPUTED_VALUE"""),480.24)</f>
        <v>480.24</v>
      </c>
      <c r="AZ278" s="3">
        <f>IFERROR(__xludf.DUMMYFUNCTION("""COMPUTED_VALUE"""),71.57)</f>
        <v>71.57</v>
      </c>
      <c r="BA278" s="3">
        <f>IFERROR(__xludf.DUMMYFUNCTION("""COMPUTED_VALUE"""),152.64)</f>
        <v>152.64</v>
      </c>
      <c r="BB278" s="3">
        <f>IFERROR(__xludf.DUMMYFUNCTION("""COMPUTED_VALUE"""),145.48)</f>
        <v>145.48</v>
      </c>
      <c r="BC278" s="1">
        <f>IFERROR(__xludf.DUMMYFUNCTION("""COMPUTED_VALUE"""),95.67)</f>
        <v>95.67</v>
      </c>
      <c r="BD278" s="1">
        <f>IFERROR(__xludf.DUMMYFUNCTION("""COMPUTED_VALUE"""),51.87)</f>
        <v>51.87</v>
      </c>
      <c r="BE278" s="3">
        <f>IFERROR(__xludf.DUMMYFUNCTION("""COMPUTED_VALUE"""),139.96)</f>
        <v>139.96</v>
      </c>
      <c r="BF278" s="1">
        <f>IFERROR(__xludf.DUMMYFUNCTION("""COMPUTED_VALUE"""),68.57)</f>
        <v>68.57</v>
      </c>
      <c r="BG278" s="1">
        <f>IFERROR(__xludf.DUMMYFUNCTION("""COMPUTED_VALUE"""),23.88)</f>
        <v>23.88</v>
      </c>
      <c r="BH278" s="1">
        <f>IFERROR(__xludf.DUMMYFUNCTION("""COMPUTED_VALUE"""),145.87)</f>
        <v>145.87</v>
      </c>
      <c r="BI278" s="3">
        <f>IFERROR(__xludf.DUMMYFUNCTION("""COMPUTED_VALUE"""),39.93)</f>
        <v>39.93</v>
      </c>
      <c r="BJ278" s="1">
        <f>IFERROR(__xludf.DUMMYFUNCTION("""COMPUTED_VALUE"""),220.99)</f>
        <v>220.99</v>
      </c>
      <c r="BK278" s="1">
        <f>IFERROR(__xludf.DUMMYFUNCTION("""COMPUTED_VALUE"""),392.56)</f>
        <v>392.56</v>
      </c>
      <c r="BL278" s="1">
        <f>IFERROR(__xludf.DUMMYFUNCTION("""COMPUTED_VALUE"""),175.59)</f>
        <v>175.59</v>
      </c>
      <c r="BM278" s="1">
        <f>IFERROR(__xludf.DUMMYFUNCTION("""COMPUTED_VALUE"""),124.0)</f>
        <v>124</v>
      </c>
      <c r="BN278" s="3">
        <f>IFERROR(__xludf.DUMMYFUNCTION("""COMPUTED_VALUE"""),6.17)</f>
        <v>6.17</v>
      </c>
      <c r="BO278" s="1">
        <f>IFERROR(__xludf.DUMMYFUNCTION("""COMPUTED_VALUE"""),222.01)</f>
        <v>222.01</v>
      </c>
      <c r="BP278" s="1">
        <f>IFERROR(__xludf.DUMMYFUNCTION("""COMPUTED_VALUE"""),307.2)</f>
        <v>307.2</v>
      </c>
      <c r="BQ278" s="36">
        <f>IFERROR(__xludf.DUMMYFUNCTION("""COMPUTED_VALUE"""),50.05)</f>
        <v>50.05</v>
      </c>
      <c r="BR278" s="1">
        <f>IFERROR(__xludf.DUMMYFUNCTION("""COMPUTED_VALUE"""),8.77)</f>
        <v>8.77</v>
      </c>
      <c r="BS278" s="3">
        <f>IFERROR(__xludf.DUMMYFUNCTION("""COMPUTED_VALUE"""),233.22)</f>
        <v>233.22</v>
      </c>
      <c r="BT278" s="1">
        <f>IFERROR(__xludf.DUMMYFUNCTION("""COMPUTED_VALUE"""),117.86)</f>
        <v>117.86</v>
      </c>
      <c r="BU278" s="3">
        <v>1.0</v>
      </c>
    </row>
    <row r="279">
      <c r="A279" s="25">
        <f>IFERROR(__xludf.DUMMYFUNCTION("""COMPUTED_VALUE"""),45828.66666666667)</f>
        <v>45828.66667</v>
      </c>
      <c r="B279" s="29">
        <f>'Master Scratch Work'!B278</f>
        <v>1364715.4</v>
      </c>
      <c r="C279" s="15">
        <f>IFERROR(__xludf.DUMMYFUNCTION("""COMPUTED_VALUE"""),5967.84)</f>
        <v>5967.84</v>
      </c>
      <c r="D279" s="15">
        <f>IFERROR(__xludf.DUMMYFUNCTION("""COMPUTED_VALUE"""),19447.41)</f>
        <v>19447.41</v>
      </c>
      <c r="E279" s="15">
        <f>IFERROR(__xludf.DUMMYFUNCTION("""COMPUTED_VALUE"""),42206.82)</f>
        <v>42206.82</v>
      </c>
      <c r="F279" s="15">
        <f>IFERROR(__xludf.DUMMYFUNCTION("""COMPUTED_VALUE"""),2109.27)</f>
        <v>2109.27</v>
      </c>
      <c r="G279" s="3">
        <f>IFERROR(__xludf.DUMMYFUNCTION("""COMPUTED_VALUE"""),594.28)</f>
        <v>594.28</v>
      </c>
      <c r="H279" s="3">
        <f>IFERROR(__xludf.DUMMYFUNCTION("""COMPUTED_VALUE"""),526.83)</f>
        <v>526.83</v>
      </c>
      <c r="I279" s="3">
        <f>IFERROR(__xludf.DUMMYFUNCTION("""COMPUTED_VALUE"""),376.92)</f>
        <v>376.92</v>
      </c>
      <c r="J279" s="3">
        <f>IFERROR(__xludf.DUMMYFUNCTION("""COMPUTED_VALUE"""),209.69)</f>
        <v>209.69</v>
      </c>
      <c r="K279" s="3">
        <f>IFERROR(__xludf.DUMMYFUNCTION("""COMPUTED_VALUE"""),141.25)</f>
        <v>141.25</v>
      </c>
      <c r="L279" s="3">
        <f>IFERROR(__xludf.DUMMYFUNCTION("""COMPUTED_VALUE"""),201.0)</f>
        <v>201</v>
      </c>
      <c r="M279" s="3">
        <f>IFERROR(__xludf.DUMMYFUNCTION("""COMPUTED_VALUE"""),169.46)</f>
        <v>169.46</v>
      </c>
      <c r="N279" s="3">
        <f>IFERROR(__xludf.DUMMYFUNCTION("""COMPUTED_VALUE"""),91.62)</f>
        <v>91.62</v>
      </c>
      <c r="O279" s="3">
        <f>IFERROR(__xludf.DUMMYFUNCTION("""COMPUTED_VALUE"""),17.58)</f>
        <v>17.58</v>
      </c>
      <c r="P279" s="3">
        <f>IFERROR(__xludf.DUMMYFUNCTION("""COMPUTED_VALUE"""),484.85)</f>
        <v>484.85</v>
      </c>
      <c r="Q279" s="3">
        <f>IFERROR(__xludf.DUMMYFUNCTION("""COMPUTED_VALUE"""),46.14)</f>
        <v>46.14</v>
      </c>
      <c r="R279" s="3">
        <f>IFERROR(__xludf.DUMMYFUNCTION("""COMPUTED_VALUE"""),127.04)</f>
        <v>127.04</v>
      </c>
      <c r="S279" s="3">
        <f>IFERROR(__xludf.DUMMYFUNCTION("""COMPUTED_VALUE"""),101.3)</f>
        <v>101.3</v>
      </c>
      <c r="T279" s="3">
        <f>IFERROR(__xludf.DUMMYFUNCTION("""COMPUTED_VALUE"""),70.47)</f>
        <v>70.47</v>
      </c>
      <c r="U279" s="3">
        <f>IFERROR(__xludf.DUMMYFUNCTION("""COMPUTED_VALUE"""),360.52)</f>
        <v>360.52</v>
      </c>
      <c r="V279" s="3">
        <f>IFERROR(__xludf.DUMMYFUNCTION("""COMPUTED_VALUE"""),68.27)</f>
        <v>68.27</v>
      </c>
      <c r="W279" s="3">
        <f>IFERROR(__xludf.DUMMYFUNCTION("""COMPUTED_VALUE"""),218.21)</f>
        <v>218.21</v>
      </c>
      <c r="X279" s="3">
        <f>IFERROR(__xludf.DUMMYFUNCTION("""COMPUTED_VALUE"""),149.55)</f>
        <v>149.55</v>
      </c>
      <c r="Y279" s="1">
        <f>IFERROR(__xludf.DUMMYFUNCTION("""COMPUTED_VALUE"""),314.35)</f>
        <v>314.35</v>
      </c>
      <c r="Z279" s="1">
        <f>IFERROR(__xludf.DUMMYFUNCTION("""COMPUTED_VALUE"""),41.71)</f>
        <v>41.71</v>
      </c>
      <c r="AA279" s="1">
        <f>IFERROR(__xludf.DUMMYFUNCTION("""COMPUTED_VALUE"""),68.84)</f>
        <v>68.84</v>
      </c>
      <c r="AB279" s="1">
        <f>IFERROR(__xludf.DUMMYFUNCTION("""COMPUTED_VALUE"""),100.97)</f>
        <v>100.97</v>
      </c>
      <c r="AC279" s="1">
        <f>IFERROR(__xludf.DUMMYFUNCTION("""COMPUTED_VALUE"""),175.42)</f>
        <v>175.42</v>
      </c>
      <c r="AD279" s="3">
        <f>IFERROR(__xludf.DUMMYFUNCTION("""COMPUTED_VALUE"""),98.71)</f>
        <v>98.71</v>
      </c>
      <c r="AE279" s="1">
        <f>IFERROR(__xludf.DUMMYFUNCTION("""COMPUTED_VALUE"""),447.28)</f>
        <v>447.28</v>
      </c>
      <c r="AF279" s="1">
        <f>IFERROR(__xludf.DUMMYFUNCTION("""COMPUTED_VALUE"""),77.62)</f>
        <v>77.62</v>
      </c>
      <c r="AG279" s="1">
        <f>IFERROR(__xludf.DUMMYFUNCTION("""COMPUTED_VALUE"""),114.7)</f>
        <v>114.7</v>
      </c>
      <c r="AH279" s="1">
        <f>IFERROR(__xludf.DUMMYFUNCTION("""COMPUTED_VALUE"""),226.04)</f>
        <v>226.04</v>
      </c>
      <c r="AI279" s="1">
        <f>IFERROR(__xludf.DUMMYFUNCTION("""COMPUTED_VALUE"""),459.05)</f>
        <v>459.05</v>
      </c>
      <c r="AJ279" s="1">
        <f>IFERROR(__xludf.DUMMYFUNCTION("""COMPUTED_VALUE"""),278.78)</f>
        <v>278.78</v>
      </c>
      <c r="AK279" s="1">
        <f>IFERROR(__xludf.DUMMYFUNCTION("""COMPUTED_VALUE"""),48.2)</f>
        <v>48.2</v>
      </c>
      <c r="AL279" s="1">
        <f>IFERROR(__xludf.DUMMYFUNCTION("""COMPUTED_VALUE"""),108.5)</f>
        <v>108.5</v>
      </c>
      <c r="AM279" s="1">
        <f>IFERROR(__xludf.DUMMYFUNCTION("""COMPUTED_VALUE"""),640.8)</f>
        <v>640.8</v>
      </c>
      <c r="AN279" s="1">
        <f>IFERROR(__xludf.DUMMYFUNCTION("""COMPUTED_VALUE"""),349.62)</f>
        <v>349.62</v>
      </c>
      <c r="AO279" s="1">
        <f>IFERROR(__xludf.DUMMYFUNCTION("""COMPUTED_VALUE"""),132.14)</f>
        <v>132.14</v>
      </c>
      <c r="AP279" s="1">
        <f>IFERROR(__xludf.DUMMYFUNCTION("""COMPUTED_VALUE"""),178.43)</f>
        <v>178.43</v>
      </c>
      <c r="AQ279" s="3">
        <f>IFERROR(__xludf.DUMMYFUNCTION("""COMPUTED_VALUE"""),509.36)</f>
        <v>509.36</v>
      </c>
      <c r="AR279" s="3">
        <f>IFERROR(__xludf.DUMMYFUNCTION("""COMPUTED_VALUE"""),275.0)</f>
        <v>275</v>
      </c>
      <c r="AS279" s="3">
        <f>IFERROR(__xludf.DUMMYFUNCTION("""COMPUTED_VALUE"""),470.56)</f>
        <v>470.56</v>
      </c>
      <c r="AT279" s="3">
        <f>IFERROR(__xludf.DUMMYFUNCTION("""COMPUTED_VALUE"""),227.47)</f>
        <v>227.47</v>
      </c>
      <c r="AU279" s="1">
        <f>IFERROR(__xludf.DUMMYFUNCTION("""COMPUTED_VALUE"""),30.67)</f>
        <v>30.67</v>
      </c>
      <c r="AV279" s="1">
        <f>IFERROR(__xludf.DUMMYFUNCTION("""COMPUTED_VALUE"""),86.34)</f>
        <v>86.34</v>
      </c>
      <c r="AW279" s="1">
        <f>IFERROR(__xludf.DUMMYFUNCTION("""COMPUTED_VALUE"""),79.21)</f>
        <v>79.21</v>
      </c>
      <c r="AX279" s="3">
        <f>IFERROR(__xludf.DUMMYFUNCTION("""COMPUTED_VALUE"""),37.74)</f>
        <v>37.74</v>
      </c>
      <c r="AY279" s="1">
        <f>IFERROR(__xludf.DUMMYFUNCTION("""COMPUTED_VALUE"""),477.4)</f>
        <v>477.4</v>
      </c>
      <c r="AZ279" s="3">
        <f>IFERROR(__xludf.DUMMYFUNCTION("""COMPUTED_VALUE"""),71.53)</f>
        <v>71.53</v>
      </c>
      <c r="BA279" s="3">
        <f>IFERROR(__xludf.DUMMYFUNCTION("""COMPUTED_VALUE"""),151.92)</f>
        <v>151.92</v>
      </c>
      <c r="BB279" s="3">
        <f>IFERROR(__xludf.DUMMYFUNCTION("""COMPUTED_VALUE"""),143.85)</f>
        <v>143.85</v>
      </c>
      <c r="BC279" s="1">
        <f>IFERROR(__xludf.DUMMYFUNCTION("""COMPUTED_VALUE"""),94.09)</f>
        <v>94.09</v>
      </c>
      <c r="BD279" s="1">
        <f>IFERROR(__xludf.DUMMYFUNCTION("""COMPUTED_VALUE"""),52.67)</f>
        <v>52.67</v>
      </c>
      <c r="BE279" s="3">
        <f>IFERROR(__xludf.DUMMYFUNCTION("""COMPUTED_VALUE"""),137.3)</f>
        <v>137.3</v>
      </c>
      <c r="BF279" s="1">
        <f>IFERROR(__xludf.DUMMYFUNCTION("""COMPUTED_VALUE"""),70.05)</f>
        <v>70.05</v>
      </c>
      <c r="BG279" s="1">
        <f>IFERROR(__xludf.DUMMYFUNCTION("""COMPUTED_VALUE"""),23.97)</f>
        <v>23.97</v>
      </c>
      <c r="BH279" s="1">
        <f>IFERROR(__xludf.DUMMYFUNCTION("""COMPUTED_VALUE"""),146.64)</f>
        <v>146.64</v>
      </c>
      <c r="BI279" s="3">
        <f>IFERROR(__xludf.DUMMYFUNCTION("""COMPUTED_VALUE"""),39.66)</f>
        <v>39.66</v>
      </c>
      <c r="BJ279" s="1">
        <f>IFERROR(__xludf.DUMMYFUNCTION("""COMPUTED_VALUE"""),221.52)</f>
        <v>221.52</v>
      </c>
      <c r="BK279" s="1">
        <f>IFERROR(__xludf.DUMMYFUNCTION("""COMPUTED_VALUE"""),397.88)</f>
        <v>397.88</v>
      </c>
      <c r="BL279" s="1">
        <f>IFERROR(__xludf.DUMMYFUNCTION("""COMPUTED_VALUE"""),172.4)</f>
        <v>172.4</v>
      </c>
      <c r="BM279" s="1">
        <f>IFERROR(__xludf.DUMMYFUNCTION("""COMPUTED_VALUE"""),123.56)</f>
        <v>123.56</v>
      </c>
      <c r="BN279" s="3">
        <f>IFERROR(__xludf.DUMMYFUNCTION("""COMPUTED_VALUE"""),7.03)</f>
        <v>7.03</v>
      </c>
      <c r="BO279" s="1">
        <f>IFERROR(__xludf.DUMMYFUNCTION("""COMPUTED_VALUE"""),222.51)</f>
        <v>222.51</v>
      </c>
      <c r="BP279" s="1">
        <f>IFERROR(__xludf.DUMMYFUNCTION("""COMPUTED_VALUE"""),302.01)</f>
        <v>302.01</v>
      </c>
      <c r="BQ279" s="36">
        <f>IFERROR(__xludf.DUMMYFUNCTION("""COMPUTED_VALUE"""),50.12)</f>
        <v>50.12</v>
      </c>
      <c r="BR279" s="1">
        <f>IFERROR(__xludf.DUMMYFUNCTION("""COMPUTED_VALUE"""),8.87)</f>
        <v>8.87</v>
      </c>
      <c r="BS279" s="3">
        <f>IFERROR(__xludf.DUMMYFUNCTION("""COMPUTED_VALUE"""),231.94)</f>
        <v>231.94</v>
      </c>
      <c r="BT279" s="1">
        <f>IFERROR(__xludf.DUMMYFUNCTION("""COMPUTED_VALUE"""),117.63)</f>
        <v>117.63</v>
      </c>
      <c r="BU279" s="3">
        <v>1.0</v>
      </c>
    </row>
    <row r="280">
      <c r="A280" s="25">
        <f>IFERROR(__xludf.DUMMYFUNCTION("""COMPUTED_VALUE"""),45831.66666666667)</f>
        <v>45831.66667</v>
      </c>
      <c r="B280" s="29">
        <f>'Master Scratch Work'!B279</f>
        <v>1375031.39</v>
      </c>
      <c r="C280" s="15">
        <f>IFERROR(__xludf.DUMMYFUNCTION("""COMPUTED_VALUE"""),6025.17)</f>
        <v>6025.17</v>
      </c>
      <c r="D280" s="15">
        <f>IFERROR(__xludf.DUMMYFUNCTION("""COMPUTED_VALUE"""),19630.97)</f>
        <v>19630.97</v>
      </c>
      <c r="E280" s="15">
        <f>IFERROR(__xludf.DUMMYFUNCTION("""COMPUTED_VALUE"""),42581.78)</f>
        <v>42581.78</v>
      </c>
      <c r="F280" s="15">
        <f>IFERROR(__xludf.DUMMYFUNCTION("""COMPUTED_VALUE"""),2132.68)</f>
        <v>2132.68</v>
      </c>
      <c r="G280" s="3">
        <f>IFERROR(__xludf.DUMMYFUNCTION("""COMPUTED_VALUE"""),600.15)</f>
        <v>600.15</v>
      </c>
      <c r="H280" s="3">
        <f>IFERROR(__xludf.DUMMYFUNCTION("""COMPUTED_VALUE"""),531.65)</f>
        <v>531.65</v>
      </c>
      <c r="I280" s="3">
        <f>IFERROR(__xludf.DUMMYFUNCTION("""COMPUTED_VALUE"""),380.12)</f>
        <v>380.12</v>
      </c>
      <c r="J280" s="3">
        <f>IFERROR(__xludf.DUMMYFUNCTION("""COMPUTED_VALUE"""),208.47)</f>
        <v>208.47</v>
      </c>
      <c r="K280" s="3">
        <f>IFERROR(__xludf.DUMMYFUNCTION("""COMPUTED_VALUE"""),143.99)</f>
        <v>143.99</v>
      </c>
      <c r="L280" s="3">
        <f>IFERROR(__xludf.DUMMYFUNCTION("""COMPUTED_VALUE"""),201.5)</f>
        <v>201.5</v>
      </c>
      <c r="M280" s="3">
        <f>IFERROR(__xludf.DUMMYFUNCTION("""COMPUTED_VALUE"""),171.96)</f>
        <v>171.96</v>
      </c>
      <c r="N280" s="3">
        <f>IFERROR(__xludf.DUMMYFUNCTION("""COMPUTED_VALUE"""),89.63)</f>
        <v>89.63</v>
      </c>
      <c r="O280" s="3">
        <f>IFERROR(__xludf.DUMMYFUNCTION("""COMPUTED_VALUE"""),17.6)</f>
        <v>17.6</v>
      </c>
      <c r="P280" s="3">
        <f>IFERROR(__xludf.DUMMYFUNCTION("""COMPUTED_VALUE"""),487.77)</f>
        <v>487.77</v>
      </c>
      <c r="Q280" s="3">
        <f>IFERROR(__xludf.DUMMYFUNCTION("""COMPUTED_VALUE"""),46.83)</f>
        <v>46.83</v>
      </c>
      <c r="R280" s="3">
        <f>IFERROR(__xludf.DUMMYFUNCTION("""COMPUTED_VALUE"""),124.76)</f>
        <v>124.76</v>
      </c>
      <c r="S280" s="3">
        <f>IFERROR(__xludf.DUMMYFUNCTION("""COMPUTED_VALUE"""),102.36)</f>
        <v>102.36</v>
      </c>
      <c r="T280" s="3">
        <f>IFERROR(__xludf.DUMMYFUNCTION("""COMPUTED_VALUE"""),71.78)</f>
        <v>71.78</v>
      </c>
      <c r="U280" s="3">
        <f>IFERROR(__xludf.DUMMYFUNCTION("""COMPUTED_VALUE"""),366.23)</f>
        <v>366.23</v>
      </c>
      <c r="V280" s="3">
        <f>IFERROR(__xludf.DUMMYFUNCTION("""COMPUTED_VALUE"""),69.72)</f>
        <v>69.72</v>
      </c>
      <c r="W280" s="3">
        <f>IFERROR(__xludf.DUMMYFUNCTION("""COMPUTED_VALUE"""),223.37)</f>
        <v>223.37</v>
      </c>
      <c r="X280" s="3">
        <f>IFERROR(__xludf.DUMMYFUNCTION("""COMPUTED_VALUE"""),146.86)</f>
        <v>146.86</v>
      </c>
      <c r="Y280" s="1">
        <f>IFERROR(__xludf.DUMMYFUNCTION("""COMPUTED_VALUE"""),316.97)</f>
        <v>316.97</v>
      </c>
      <c r="Z280" s="1">
        <f>IFERROR(__xludf.DUMMYFUNCTION("""COMPUTED_VALUE"""),42.5)</f>
        <v>42.5</v>
      </c>
      <c r="AA280" s="1">
        <f>IFERROR(__xludf.DUMMYFUNCTION("""COMPUTED_VALUE"""),69.74)</f>
        <v>69.74</v>
      </c>
      <c r="AB280" s="1">
        <f>IFERROR(__xludf.DUMMYFUNCTION("""COMPUTED_VALUE"""),101.15)</f>
        <v>101.15</v>
      </c>
      <c r="AC280" s="1">
        <f>IFERROR(__xludf.DUMMYFUNCTION("""COMPUTED_VALUE"""),177.34)</f>
        <v>177.34</v>
      </c>
      <c r="AD280" s="3">
        <f>IFERROR(__xludf.DUMMYFUNCTION("""COMPUTED_VALUE"""),100.51)</f>
        <v>100.51</v>
      </c>
      <c r="AE280" s="1">
        <f>IFERROR(__xludf.DUMMYFUNCTION("""COMPUTED_VALUE"""),457.61)</f>
        <v>457.61</v>
      </c>
      <c r="AF280" s="1">
        <f>IFERROR(__xludf.DUMMYFUNCTION("""COMPUTED_VALUE"""),76.86)</f>
        <v>76.86</v>
      </c>
      <c r="AG280" s="1">
        <f>IFERROR(__xludf.DUMMYFUNCTION("""COMPUTED_VALUE"""),111.74)</f>
        <v>111.74</v>
      </c>
      <c r="AH280" s="1">
        <f>IFERROR(__xludf.DUMMYFUNCTION("""COMPUTED_VALUE"""),229.23)</f>
        <v>229.23</v>
      </c>
      <c r="AI280" s="1">
        <f>IFERROR(__xludf.DUMMYFUNCTION("""COMPUTED_VALUE"""),461.08)</f>
        <v>461.08</v>
      </c>
      <c r="AJ280" s="1">
        <f>IFERROR(__xludf.DUMMYFUNCTION("""COMPUTED_VALUE"""),282.32)</f>
        <v>282.32</v>
      </c>
      <c r="AK280" s="1">
        <f>IFERROR(__xludf.DUMMYFUNCTION("""COMPUTED_VALUE"""),48.52)</f>
        <v>48.52</v>
      </c>
      <c r="AL280" s="1">
        <f>IFERROR(__xludf.DUMMYFUNCTION("""COMPUTED_VALUE"""),106.19)</f>
        <v>106.19</v>
      </c>
      <c r="AM280" s="1">
        <f>IFERROR(__xludf.DUMMYFUNCTION("""COMPUTED_VALUE"""),646.88)</f>
        <v>646.88</v>
      </c>
      <c r="AN280" s="1">
        <f>IFERROR(__xludf.DUMMYFUNCTION("""COMPUTED_VALUE"""),356.96)</f>
        <v>356.96</v>
      </c>
      <c r="AO280" s="1">
        <f>IFERROR(__xludf.DUMMYFUNCTION("""COMPUTED_VALUE"""),133.87)</f>
        <v>133.87</v>
      </c>
      <c r="AP280" s="1">
        <f>IFERROR(__xludf.DUMMYFUNCTION("""COMPUTED_VALUE"""),179.73)</f>
        <v>179.73</v>
      </c>
      <c r="AQ280" s="3">
        <f>IFERROR(__xludf.DUMMYFUNCTION("""COMPUTED_VALUE"""),515.09)</f>
        <v>515.09</v>
      </c>
      <c r="AR280" s="3">
        <f>IFERROR(__xludf.DUMMYFUNCTION("""COMPUTED_VALUE"""),278.27)</f>
        <v>278.27</v>
      </c>
      <c r="AS280" s="3">
        <f>IFERROR(__xludf.DUMMYFUNCTION("""COMPUTED_VALUE"""),472.46)</f>
        <v>472.46</v>
      </c>
      <c r="AT280" s="3">
        <f>IFERROR(__xludf.DUMMYFUNCTION("""COMPUTED_VALUE"""),225.56)</f>
        <v>225.56</v>
      </c>
      <c r="AU280" s="1">
        <f>IFERROR(__xludf.DUMMYFUNCTION("""COMPUTED_VALUE"""),31.31)</f>
        <v>31.31</v>
      </c>
      <c r="AV280" s="1">
        <f>IFERROR(__xludf.DUMMYFUNCTION("""COMPUTED_VALUE"""),85.96)</f>
        <v>85.96</v>
      </c>
      <c r="AW280" s="1">
        <f>IFERROR(__xludf.DUMMYFUNCTION("""COMPUTED_VALUE"""),79.63)</f>
        <v>79.63</v>
      </c>
      <c r="AX280" s="3">
        <f>IFERROR(__xludf.DUMMYFUNCTION("""COMPUTED_VALUE"""),36.56)</f>
        <v>36.56</v>
      </c>
      <c r="AY280" s="1">
        <f>IFERROR(__xludf.DUMMYFUNCTION("""COMPUTED_VALUE"""),486.0)</f>
        <v>486</v>
      </c>
      <c r="AZ280" s="3">
        <f>IFERROR(__xludf.DUMMYFUNCTION("""COMPUTED_VALUE"""),70.73)</f>
        <v>70.73</v>
      </c>
      <c r="BA280" s="3">
        <f>IFERROR(__xludf.DUMMYFUNCTION("""COMPUTED_VALUE"""),152.05)</f>
        <v>152.05</v>
      </c>
      <c r="BB280" s="3">
        <f>IFERROR(__xludf.DUMMYFUNCTION("""COMPUTED_VALUE"""),144.17)</f>
        <v>144.17</v>
      </c>
      <c r="BC280" s="1">
        <f>IFERROR(__xludf.DUMMYFUNCTION("""COMPUTED_VALUE"""),95.98)</f>
        <v>95.98</v>
      </c>
      <c r="BD280" s="1">
        <f>IFERROR(__xludf.DUMMYFUNCTION("""COMPUTED_VALUE"""),53.07)</f>
        <v>53.07</v>
      </c>
      <c r="BE280" s="3">
        <f>IFERROR(__xludf.DUMMYFUNCTION("""COMPUTED_VALUE"""),139.92)</f>
        <v>139.92</v>
      </c>
      <c r="BF280" s="1">
        <f>IFERROR(__xludf.DUMMYFUNCTION("""COMPUTED_VALUE"""),72.01)</f>
        <v>72.01</v>
      </c>
      <c r="BG280" s="1">
        <f>IFERROR(__xludf.DUMMYFUNCTION("""COMPUTED_VALUE"""),24.03)</f>
        <v>24.03</v>
      </c>
      <c r="BH280" s="1">
        <f>IFERROR(__xludf.DUMMYFUNCTION("""COMPUTED_VALUE"""),145.81)</f>
        <v>145.81</v>
      </c>
      <c r="BI280" s="3">
        <f>IFERROR(__xludf.DUMMYFUNCTION("""COMPUTED_VALUE"""),40.04)</f>
        <v>40.04</v>
      </c>
      <c r="BJ280" s="1">
        <f>IFERROR(__xludf.DUMMYFUNCTION("""COMPUTED_VALUE"""),226.98)</f>
        <v>226.98</v>
      </c>
      <c r="BK280" s="1">
        <f>IFERROR(__xludf.DUMMYFUNCTION("""COMPUTED_VALUE"""),400.21)</f>
        <v>400.21</v>
      </c>
      <c r="BL280" s="1">
        <f>IFERROR(__xludf.DUMMYFUNCTION("""COMPUTED_VALUE"""),170.88)</f>
        <v>170.88</v>
      </c>
      <c r="BM280" s="1">
        <f>IFERROR(__xludf.DUMMYFUNCTION("""COMPUTED_VALUE"""),127.53)</f>
        <v>127.53</v>
      </c>
      <c r="BN280" s="3">
        <f>IFERROR(__xludf.DUMMYFUNCTION("""COMPUTED_VALUE"""),6.87)</f>
        <v>6.87</v>
      </c>
      <c r="BO280" s="1">
        <f>IFERROR(__xludf.DUMMYFUNCTION("""COMPUTED_VALUE"""),225.88)</f>
        <v>225.88</v>
      </c>
      <c r="BP280" s="1">
        <f>IFERROR(__xludf.DUMMYFUNCTION("""COMPUTED_VALUE"""),300.68)</f>
        <v>300.68</v>
      </c>
      <c r="BQ280" s="36">
        <f>IFERROR(__xludf.DUMMYFUNCTION("""COMPUTED_VALUE"""),50.16)</f>
        <v>50.16</v>
      </c>
      <c r="BR280" s="1">
        <f>IFERROR(__xludf.DUMMYFUNCTION("""COMPUTED_VALUE"""),8.85)</f>
        <v>8.85</v>
      </c>
      <c r="BS280" s="3">
        <f>IFERROR(__xludf.DUMMYFUNCTION("""COMPUTED_VALUE"""),234.71)</f>
        <v>234.71</v>
      </c>
      <c r="BT280" s="1">
        <f>IFERROR(__xludf.DUMMYFUNCTION("""COMPUTED_VALUE"""),117.75)</f>
        <v>117.75</v>
      </c>
      <c r="BU280" s="3">
        <v>1.0</v>
      </c>
    </row>
    <row r="281">
      <c r="A281" s="25">
        <f>IFERROR(__xludf.DUMMYFUNCTION("""COMPUTED_VALUE"""),45832.66666666667)</f>
        <v>45832.66667</v>
      </c>
      <c r="B281" s="29">
        <f>'Master Scratch Work'!B280</f>
        <v>1385969.48</v>
      </c>
      <c r="C281" s="15">
        <f>IFERROR(__xludf.DUMMYFUNCTION("""COMPUTED_VALUE"""),6092.18)</f>
        <v>6092.18</v>
      </c>
      <c r="D281" s="15">
        <f>IFERROR(__xludf.DUMMYFUNCTION("""COMPUTED_VALUE"""),19912.53)</f>
        <v>19912.53</v>
      </c>
      <c r="E281" s="15">
        <f>IFERROR(__xludf.DUMMYFUNCTION("""COMPUTED_VALUE"""),43089.02)</f>
        <v>43089.02</v>
      </c>
      <c r="F281" s="15">
        <f>IFERROR(__xludf.DUMMYFUNCTION("""COMPUTED_VALUE"""),2161.21)</f>
        <v>2161.21</v>
      </c>
      <c r="G281" s="3">
        <f>IFERROR(__xludf.DUMMYFUNCTION("""COMPUTED_VALUE"""),606.78)</f>
        <v>606.78</v>
      </c>
      <c r="H281" s="3">
        <f>IFERROR(__xludf.DUMMYFUNCTION("""COMPUTED_VALUE"""),539.78)</f>
        <v>539.78</v>
      </c>
      <c r="I281" s="3">
        <f>IFERROR(__xludf.DUMMYFUNCTION("""COMPUTED_VALUE"""),382.34)</f>
        <v>382.34</v>
      </c>
      <c r="J281" s="3">
        <f>IFERROR(__xludf.DUMMYFUNCTION("""COMPUTED_VALUE"""),212.77)</f>
        <v>212.77</v>
      </c>
      <c r="K281" s="3">
        <f>IFERROR(__xludf.DUMMYFUNCTION("""COMPUTED_VALUE"""),142.18)</f>
        <v>142.18</v>
      </c>
      <c r="L281" s="3">
        <f>IFERROR(__xludf.DUMMYFUNCTION("""COMPUTED_VALUE"""),200.3)</f>
        <v>200.3</v>
      </c>
      <c r="M281" s="3">
        <f>IFERROR(__xludf.DUMMYFUNCTION("""COMPUTED_VALUE"""),180.18)</f>
        <v>180.18</v>
      </c>
      <c r="N281" s="3">
        <f>IFERROR(__xludf.DUMMYFUNCTION("""COMPUTED_VALUE"""),91.2)</f>
        <v>91.2</v>
      </c>
      <c r="O281" s="3">
        <f>IFERROR(__xludf.DUMMYFUNCTION("""COMPUTED_VALUE"""),18.26)</f>
        <v>18.26</v>
      </c>
      <c r="P281" s="3">
        <f>IFERROR(__xludf.DUMMYFUNCTION("""COMPUTED_VALUE"""),493.48)</f>
        <v>493.48</v>
      </c>
      <c r="Q281" s="3">
        <f>IFERROR(__xludf.DUMMYFUNCTION("""COMPUTED_VALUE"""),47.29)</f>
        <v>47.29</v>
      </c>
      <c r="R281" s="3">
        <f>IFERROR(__xludf.DUMMYFUNCTION("""COMPUTED_VALUE"""),126.31)</f>
        <v>126.31</v>
      </c>
      <c r="S281" s="3">
        <f>IFERROR(__xludf.DUMMYFUNCTION("""COMPUTED_VALUE"""),104.12)</f>
        <v>104.12</v>
      </c>
      <c r="T281" s="3">
        <f>IFERROR(__xludf.DUMMYFUNCTION("""COMPUTED_VALUE"""),72.46)</f>
        <v>72.46</v>
      </c>
      <c r="U281" s="3">
        <f>IFERROR(__xludf.DUMMYFUNCTION("""COMPUTED_VALUE"""),373.02)</f>
        <v>373.02</v>
      </c>
      <c r="V281" s="3">
        <f>IFERROR(__xludf.DUMMYFUNCTION("""COMPUTED_VALUE"""),72.34)</f>
        <v>72.34</v>
      </c>
      <c r="W281" s="3">
        <f>IFERROR(__xludf.DUMMYFUNCTION("""COMPUTED_VALUE"""),219.56)</f>
        <v>219.56</v>
      </c>
      <c r="X281" s="3">
        <f>IFERROR(__xludf.DUMMYFUNCTION("""COMPUTED_VALUE"""),143.55)</f>
        <v>143.55</v>
      </c>
      <c r="Y281" s="1">
        <f>IFERROR(__xludf.DUMMYFUNCTION("""COMPUTED_VALUE"""),316.83)</f>
        <v>316.83</v>
      </c>
      <c r="Z281" s="1">
        <f>IFERROR(__xludf.DUMMYFUNCTION("""COMPUTED_VALUE"""),42.92)</f>
        <v>42.92</v>
      </c>
      <c r="AA281" s="1">
        <f>IFERROR(__xludf.DUMMYFUNCTION("""COMPUTED_VALUE"""),70.21)</f>
        <v>70.21</v>
      </c>
      <c r="AB281" s="1">
        <f>IFERROR(__xludf.DUMMYFUNCTION("""COMPUTED_VALUE"""),100.19)</f>
        <v>100.19</v>
      </c>
      <c r="AC281" s="1">
        <f>IFERROR(__xludf.DUMMYFUNCTION("""COMPUTED_VALUE"""),177.66)</f>
        <v>177.66</v>
      </c>
      <c r="AD281" s="3">
        <f>IFERROR(__xludf.DUMMYFUNCTION("""COMPUTED_VALUE"""),98.68)</f>
        <v>98.68</v>
      </c>
      <c r="AE281" s="1">
        <f>IFERROR(__xludf.DUMMYFUNCTION("""COMPUTED_VALUE"""),459.97)</f>
        <v>459.97</v>
      </c>
      <c r="AF281" s="1">
        <f>IFERROR(__xludf.DUMMYFUNCTION("""COMPUTED_VALUE"""),74.35)</f>
        <v>74.35</v>
      </c>
      <c r="AG281" s="1">
        <f>IFERROR(__xludf.DUMMYFUNCTION("""COMPUTED_VALUE"""),108.34)</f>
        <v>108.34</v>
      </c>
      <c r="AH281" s="1">
        <f>IFERROR(__xludf.DUMMYFUNCTION("""COMPUTED_VALUE"""),229.51)</f>
        <v>229.51</v>
      </c>
      <c r="AI281" s="1">
        <f>IFERROR(__xludf.DUMMYFUNCTION("""COMPUTED_VALUE"""),472.42)</f>
        <v>472.42</v>
      </c>
      <c r="AJ281" s="1">
        <f>IFERROR(__xludf.DUMMYFUNCTION("""COMPUTED_VALUE"""),281.05)</f>
        <v>281.05</v>
      </c>
      <c r="AK281" s="1">
        <f>IFERROR(__xludf.DUMMYFUNCTION("""COMPUTED_VALUE"""),49.0)</f>
        <v>49</v>
      </c>
      <c r="AL281" s="1">
        <f>IFERROR(__xludf.DUMMYFUNCTION("""COMPUTED_VALUE"""),107.2)</f>
        <v>107.2</v>
      </c>
      <c r="AM281" s="1">
        <f>IFERROR(__xludf.DUMMYFUNCTION("""COMPUTED_VALUE"""),662.11)</f>
        <v>662.11</v>
      </c>
      <c r="AN281" s="1">
        <f>IFERROR(__xludf.DUMMYFUNCTION("""COMPUTED_VALUE"""),360.42)</f>
        <v>360.42</v>
      </c>
      <c r="AO281" s="1">
        <f>IFERROR(__xludf.DUMMYFUNCTION("""COMPUTED_VALUE"""),134.73)</f>
        <v>134.73</v>
      </c>
      <c r="AP281" s="1">
        <f>IFERROR(__xludf.DUMMYFUNCTION("""COMPUTED_VALUE"""),180.85)</f>
        <v>180.85</v>
      </c>
      <c r="AQ281" s="3">
        <f>IFERROR(__xludf.DUMMYFUNCTION("""COMPUTED_VALUE"""),523.08)</f>
        <v>523.08</v>
      </c>
      <c r="AR281" s="3">
        <f>IFERROR(__xludf.DUMMYFUNCTION("""COMPUTED_VALUE"""),281.26)</f>
        <v>281.26</v>
      </c>
      <c r="AS281" s="3">
        <f>IFERROR(__xludf.DUMMYFUNCTION("""COMPUTED_VALUE"""),460.2)</f>
        <v>460.2</v>
      </c>
      <c r="AT281" s="3">
        <f>IFERROR(__xludf.DUMMYFUNCTION("""COMPUTED_VALUE"""),232.93)</f>
        <v>232.93</v>
      </c>
      <c r="AU281" s="1">
        <f>IFERROR(__xludf.DUMMYFUNCTION("""COMPUTED_VALUE"""),31.52)</f>
        <v>31.52</v>
      </c>
      <c r="AV281" s="1">
        <f>IFERROR(__xludf.DUMMYFUNCTION("""COMPUTED_VALUE"""),86.08)</f>
        <v>86.08</v>
      </c>
      <c r="AW281" s="1">
        <f>IFERROR(__xludf.DUMMYFUNCTION("""COMPUTED_VALUE"""),79.66)</f>
        <v>79.66</v>
      </c>
      <c r="AX281" s="3">
        <f>IFERROR(__xludf.DUMMYFUNCTION("""COMPUTED_VALUE"""),34.91)</f>
        <v>34.91</v>
      </c>
      <c r="AY281" s="1">
        <f>IFERROR(__xludf.DUMMYFUNCTION("""COMPUTED_VALUE"""),490.11)</f>
        <v>490.11</v>
      </c>
      <c r="AZ281" s="3">
        <f>IFERROR(__xludf.DUMMYFUNCTION("""COMPUTED_VALUE"""),71.4)</f>
        <v>71.4</v>
      </c>
      <c r="BA281" s="3">
        <f>IFERROR(__xludf.DUMMYFUNCTION("""COMPUTED_VALUE"""),153.68)</f>
        <v>153.68</v>
      </c>
      <c r="BB281" s="3">
        <f>IFERROR(__xludf.DUMMYFUNCTION("""COMPUTED_VALUE"""),147.9)</f>
        <v>147.9</v>
      </c>
      <c r="BC281" s="1">
        <f>IFERROR(__xludf.DUMMYFUNCTION("""COMPUTED_VALUE"""),97.41)</f>
        <v>97.41</v>
      </c>
      <c r="BD281" s="1">
        <f>IFERROR(__xludf.DUMMYFUNCTION("""COMPUTED_VALUE"""),52.46)</f>
        <v>52.46</v>
      </c>
      <c r="BE281" s="3">
        <f>IFERROR(__xludf.DUMMYFUNCTION("""COMPUTED_VALUE"""),143.23)</f>
        <v>143.23</v>
      </c>
      <c r="BF281" s="1">
        <f>IFERROR(__xludf.DUMMYFUNCTION("""COMPUTED_VALUE"""),73.58)</f>
        <v>73.58</v>
      </c>
      <c r="BG281" s="1">
        <f>IFERROR(__xludf.DUMMYFUNCTION("""COMPUTED_VALUE"""),24.31)</f>
        <v>24.31</v>
      </c>
      <c r="BH281" s="1">
        <f>IFERROR(__xludf.DUMMYFUNCTION("""COMPUTED_VALUE"""),141.85)</f>
        <v>141.85</v>
      </c>
      <c r="BI281" s="3">
        <f>IFERROR(__xludf.DUMMYFUNCTION("""COMPUTED_VALUE"""),40.03)</f>
        <v>40.03</v>
      </c>
      <c r="BJ281" s="1">
        <f>IFERROR(__xludf.DUMMYFUNCTION("""COMPUTED_VALUE"""),229.82)</f>
        <v>229.82</v>
      </c>
      <c r="BK281" s="1">
        <f>IFERROR(__xludf.DUMMYFUNCTION("""COMPUTED_VALUE"""),404.37)</f>
        <v>404.37</v>
      </c>
      <c r="BL281" s="1">
        <f>IFERROR(__xludf.DUMMYFUNCTION("""COMPUTED_VALUE"""),171.58)</f>
        <v>171.58</v>
      </c>
      <c r="BM281" s="1">
        <f>IFERROR(__xludf.DUMMYFUNCTION("""COMPUTED_VALUE"""),132.64)</f>
        <v>132.64</v>
      </c>
      <c r="BN281" s="3">
        <f>IFERROR(__xludf.DUMMYFUNCTION("""COMPUTED_VALUE"""),6.91)</f>
        <v>6.91</v>
      </c>
      <c r="BO281" s="1">
        <f>IFERROR(__xludf.DUMMYFUNCTION("""COMPUTED_VALUE"""),227.91)</f>
        <v>227.91</v>
      </c>
      <c r="BP281" s="1">
        <f>IFERROR(__xludf.DUMMYFUNCTION("""COMPUTED_VALUE"""),305.62)</f>
        <v>305.62</v>
      </c>
      <c r="BQ281" s="36">
        <f>IFERROR(__xludf.DUMMYFUNCTION("""COMPUTED_VALUE"""),50.16)</f>
        <v>50.16</v>
      </c>
      <c r="BR281" s="1">
        <f>IFERROR(__xludf.DUMMYFUNCTION("""COMPUTED_VALUE"""),8.95)</f>
        <v>8.95</v>
      </c>
      <c r="BS281" s="3">
        <f>IFERROR(__xludf.DUMMYFUNCTION("""COMPUTED_VALUE"""),234.14)</f>
        <v>234.14</v>
      </c>
      <c r="BT281" s="1">
        <f>IFERROR(__xludf.DUMMYFUNCTION("""COMPUTED_VALUE"""),118.65)</f>
        <v>118.65</v>
      </c>
      <c r="BU281" s="3">
        <v>1.0</v>
      </c>
    </row>
    <row r="282">
      <c r="A282" s="25">
        <f>IFERROR(__xludf.DUMMYFUNCTION("""COMPUTED_VALUE"""),45833.66666666667)</f>
        <v>45833.66667</v>
      </c>
      <c r="B282" s="29">
        <f>'Master Scratch Work'!B281</f>
        <v>1382219.28</v>
      </c>
      <c r="C282" s="15">
        <f>IFERROR(__xludf.DUMMYFUNCTION("""COMPUTED_VALUE"""),6092.16)</f>
        <v>6092.16</v>
      </c>
      <c r="D282" s="15">
        <f>IFERROR(__xludf.DUMMYFUNCTION("""COMPUTED_VALUE"""),19973.55)</f>
        <v>19973.55</v>
      </c>
      <c r="E282" s="15">
        <f>IFERROR(__xludf.DUMMYFUNCTION("""COMPUTED_VALUE"""),42982.43)</f>
        <v>42982.43</v>
      </c>
      <c r="F282" s="15">
        <f>IFERROR(__xludf.DUMMYFUNCTION("""COMPUTED_VALUE"""),2136.18)</f>
        <v>2136.18</v>
      </c>
      <c r="G282" s="3">
        <f>IFERROR(__xludf.DUMMYFUNCTION("""COMPUTED_VALUE"""),607.12)</f>
        <v>607.12</v>
      </c>
      <c r="H282" s="3">
        <f>IFERROR(__xludf.DUMMYFUNCTION("""COMPUTED_VALUE"""),541.16)</f>
        <v>541.16</v>
      </c>
      <c r="I282" s="3">
        <f>IFERROR(__xludf.DUMMYFUNCTION("""COMPUTED_VALUE"""),387.55)</f>
        <v>387.55</v>
      </c>
      <c r="J282" s="3">
        <f>IFERROR(__xludf.DUMMYFUNCTION("""COMPUTED_VALUE"""),211.99)</f>
        <v>211.99</v>
      </c>
      <c r="K282" s="3">
        <f>IFERROR(__xludf.DUMMYFUNCTION("""COMPUTED_VALUE"""),140.05)</f>
        <v>140.05</v>
      </c>
      <c r="L282" s="3">
        <f>IFERROR(__xludf.DUMMYFUNCTION("""COMPUTED_VALUE"""),201.56)</f>
        <v>201.56</v>
      </c>
      <c r="M282" s="3">
        <f>IFERROR(__xludf.DUMMYFUNCTION("""COMPUTED_VALUE"""),183.07)</f>
        <v>183.07</v>
      </c>
      <c r="N282" s="3">
        <f>IFERROR(__xludf.DUMMYFUNCTION("""COMPUTED_VALUE"""),90.0)</f>
        <v>90</v>
      </c>
      <c r="O282" s="3">
        <f>IFERROR(__xludf.DUMMYFUNCTION("""COMPUTED_VALUE"""),18.17)</f>
        <v>18.17</v>
      </c>
      <c r="P282" s="3">
        <f>IFERROR(__xludf.DUMMYFUNCTION("""COMPUTED_VALUE"""),486.21)</f>
        <v>486.21</v>
      </c>
      <c r="Q282" s="3">
        <f>IFERROR(__xludf.DUMMYFUNCTION("""COMPUTED_VALUE"""),46.74)</f>
        <v>46.74</v>
      </c>
      <c r="R282" s="3">
        <f>IFERROR(__xludf.DUMMYFUNCTION("""COMPUTED_VALUE"""),127.31)</f>
        <v>127.31</v>
      </c>
      <c r="S282" s="3">
        <f>IFERROR(__xludf.DUMMYFUNCTION("""COMPUTED_VALUE"""),104.29)</f>
        <v>104.29</v>
      </c>
      <c r="T282" s="3">
        <f>IFERROR(__xludf.DUMMYFUNCTION("""COMPUTED_VALUE"""),72.43)</f>
        <v>72.43</v>
      </c>
      <c r="U282" s="3">
        <f>IFERROR(__xludf.DUMMYFUNCTION("""COMPUTED_VALUE"""),371.58)</f>
        <v>371.58</v>
      </c>
      <c r="V282" s="3">
        <f>IFERROR(__xludf.DUMMYFUNCTION("""COMPUTED_VALUE"""),71.43)</f>
        <v>71.43</v>
      </c>
      <c r="W282" s="3">
        <f>IFERROR(__xludf.DUMMYFUNCTION("""COMPUTED_VALUE"""),218.93)</f>
        <v>218.93</v>
      </c>
      <c r="X282" s="3">
        <f>IFERROR(__xludf.DUMMYFUNCTION("""COMPUTED_VALUE"""),143.23)</f>
        <v>143.23</v>
      </c>
      <c r="Y282" s="1">
        <f>IFERROR(__xludf.DUMMYFUNCTION("""COMPUTED_VALUE"""),316.0)</f>
        <v>316</v>
      </c>
      <c r="Z282" s="1">
        <f>IFERROR(__xludf.DUMMYFUNCTION("""COMPUTED_VALUE"""),43.12)</f>
        <v>43.12</v>
      </c>
      <c r="AA282" s="1">
        <f>IFERROR(__xludf.DUMMYFUNCTION("""COMPUTED_VALUE"""),69.63)</f>
        <v>69.63</v>
      </c>
      <c r="AB282" s="1">
        <f>IFERROR(__xludf.DUMMYFUNCTION("""COMPUTED_VALUE"""),98.05)</f>
        <v>98.05</v>
      </c>
      <c r="AC282" s="1">
        <f>IFERROR(__xludf.DUMMYFUNCTION("""COMPUTED_VALUE"""),172.25)</f>
        <v>172.25</v>
      </c>
      <c r="AD282" s="3">
        <f>IFERROR(__xludf.DUMMYFUNCTION("""COMPUTED_VALUE"""),99.45)</f>
        <v>99.45</v>
      </c>
      <c r="AE282" s="1">
        <f>IFERROR(__xludf.DUMMYFUNCTION("""COMPUTED_VALUE"""),453.13)</f>
        <v>453.13</v>
      </c>
      <c r="AF282" s="1">
        <f>IFERROR(__xludf.DUMMYFUNCTION("""COMPUTED_VALUE"""),74.52)</f>
        <v>74.52</v>
      </c>
      <c r="AG282" s="1">
        <f>IFERROR(__xludf.DUMMYFUNCTION("""COMPUTED_VALUE"""),108.37)</f>
        <v>108.37</v>
      </c>
      <c r="AH282" s="1">
        <f>IFERROR(__xludf.DUMMYFUNCTION("""COMPUTED_VALUE"""),222.0)</f>
        <v>222</v>
      </c>
      <c r="AI282" s="1">
        <f>IFERROR(__xludf.DUMMYFUNCTION("""COMPUTED_VALUE"""),475.12)</f>
        <v>475.12</v>
      </c>
      <c r="AJ282" s="1">
        <f>IFERROR(__xludf.DUMMYFUNCTION("""COMPUTED_VALUE"""),285.91)</f>
        <v>285.91</v>
      </c>
      <c r="AK282" s="1">
        <f>IFERROR(__xludf.DUMMYFUNCTION("""COMPUTED_VALUE"""),48.13)</f>
        <v>48.13</v>
      </c>
      <c r="AL282" s="1">
        <f>IFERROR(__xludf.DUMMYFUNCTION("""COMPUTED_VALUE"""),105.93)</f>
        <v>105.93</v>
      </c>
      <c r="AM282" s="1">
        <f>IFERROR(__xludf.DUMMYFUNCTION("""COMPUTED_VALUE"""),669.87)</f>
        <v>669.87</v>
      </c>
      <c r="AN282" s="1">
        <f>IFERROR(__xludf.DUMMYFUNCTION("""COMPUTED_VALUE"""),361.86)</f>
        <v>361.86</v>
      </c>
      <c r="AO282" s="1">
        <f>IFERROR(__xludf.DUMMYFUNCTION("""COMPUTED_VALUE"""),133.08)</f>
        <v>133.08</v>
      </c>
      <c r="AP282" s="1">
        <f>IFERROR(__xludf.DUMMYFUNCTION("""COMPUTED_VALUE"""),180.53)</f>
        <v>180.53</v>
      </c>
      <c r="AQ282" s="3">
        <f>IFERROR(__xludf.DUMMYFUNCTION("""COMPUTED_VALUE"""),521.63)</f>
        <v>521.63</v>
      </c>
      <c r="AR282" s="3">
        <f>IFERROR(__xludf.DUMMYFUNCTION("""COMPUTED_VALUE"""),284.06)</f>
        <v>284.06</v>
      </c>
      <c r="AS282" s="3">
        <f>IFERROR(__xludf.DUMMYFUNCTION("""COMPUTED_VALUE"""),458.39)</f>
        <v>458.39</v>
      </c>
      <c r="AT282" s="3">
        <f>IFERROR(__xludf.DUMMYFUNCTION("""COMPUTED_VALUE"""),231.52)</f>
        <v>231.52</v>
      </c>
      <c r="AU282" s="1">
        <f>IFERROR(__xludf.DUMMYFUNCTION("""COMPUTED_VALUE"""),31.28)</f>
        <v>31.28</v>
      </c>
      <c r="AV282" s="1">
        <f>IFERROR(__xludf.DUMMYFUNCTION("""COMPUTED_VALUE"""),85.97)</f>
        <v>85.97</v>
      </c>
      <c r="AW282" s="1">
        <f>IFERROR(__xludf.DUMMYFUNCTION("""COMPUTED_VALUE"""),79.11)</f>
        <v>79.11</v>
      </c>
      <c r="AX282" s="3">
        <f>IFERROR(__xludf.DUMMYFUNCTION("""COMPUTED_VALUE"""),35.4)</f>
        <v>35.4</v>
      </c>
      <c r="AY282" s="1">
        <f>IFERROR(__xludf.DUMMYFUNCTION("""COMPUTED_VALUE"""),492.27)</f>
        <v>492.27</v>
      </c>
      <c r="AZ282" s="3">
        <f>IFERROR(__xludf.DUMMYFUNCTION("""COMPUTED_VALUE"""),70.34)</f>
        <v>70.34</v>
      </c>
      <c r="BA282" s="3">
        <f>IFERROR(__xludf.DUMMYFUNCTION("""COMPUTED_VALUE"""),153.32)</f>
        <v>153.32</v>
      </c>
      <c r="BB282" s="3">
        <f>IFERROR(__xludf.DUMMYFUNCTION("""COMPUTED_VALUE"""),154.31)</f>
        <v>154.31</v>
      </c>
      <c r="BC282" s="1">
        <f>IFERROR(__xludf.DUMMYFUNCTION("""COMPUTED_VALUE"""),96.63)</f>
        <v>96.63</v>
      </c>
      <c r="BD282" s="1">
        <f>IFERROR(__xludf.DUMMYFUNCTION("""COMPUTED_VALUE"""),51.48)</f>
        <v>51.48</v>
      </c>
      <c r="BE282" s="3">
        <f>IFERROR(__xludf.DUMMYFUNCTION("""COMPUTED_VALUE"""),142.9)</f>
        <v>142.9</v>
      </c>
      <c r="BF282" s="1">
        <f>IFERROR(__xludf.DUMMYFUNCTION("""COMPUTED_VALUE"""),73.07)</f>
        <v>73.07</v>
      </c>
      <c r="BG282" s="1">
        <f>IFERROR(__xludf.DUMMYFUNCTION("""COMPUTED_VALUE"""),24.26)</f>
        <v>24.26</v>
      </c>
      <c r="BH282" s="1">
        <f>IFERROR(__xludf.DUMMYFUNCTION("""COMPUTED_VALUE"""),141.38)</f>
        <v>141.38</v>
      </c>
      <c r="BI282" s="3">
        <f>IFERROR(__xludf.DUMMYFUNCTION("""COMPUTED_VALUE"""),38.41)</f>
        <v>38.41</v>
      </c>
      <c r="BJ282" s="1">
        <f>IFERROR(__xludf.DUMMYFUNCTION("""COMPUTED_VALUE"""),230.9)</f>
        <v>230.9</v>
      </c>
      <c r="BK282" s="1">
        <f>IFERROR(__xludf.DUMMYFUNCTION("""COMPUTED_VALUE"""),410.65)</f>
        <v>410.65</v>
      </c>
      <c r="BL282" s="1">
        <f>IFERROR(__xludf.DUMMYFUNCTION("""COMPUTED_VALUE"""),169.15)</f>
        <v>169.15</v>
      </c>
      <c r="BM282" s="1">
        <f>IFERROR(__xludf.DUMMYFUNCTION("""COMPUTED_VALUE"""),128.58)</f>
        <v>128.58</v>
      </c>
      <c r="BN282" s="3">
        <f>IFERROR(__xludf.DUMMYFUNCTION("""COMPUTED_VALUE"""),6.7)</f>
        <v>6.7</v>
      </c>
      <c r="BO282" s="1">
        <f>IFERROR(__xludf.DUMMYFUNCTION("""COMPUTED_VALUE"""),226.81)</f>
        <v>226.81</v>
      </c>
      <c r="BP282" s="1">
        <f>IFERROR(__xludf.DUMMYFUNCTION("""COMPUTED_VALUE"""),302.02)</f>
        <v>302.02</v>
      </c>
      <c r="BQ282" s="36">
        <f>IFERROR(__xludf.DUMMYFUNCTION("""COMPUTED_VALUE"""),50.18)</f>
        <v>50.18</v>
      </c>
      <c r="BR282" s="1">
        <f>IFERROR(__xludf.DUMMYFUNCTION("""COMPUTED_VALUE"""),8.89)</f>
        <v>8.89</v>
      </c>
      <c r="BS282" s="3">
        <f>IFERROR(__xludf.DUMMYFUNCTION("""COMPUTED_VALUE"""),228.58)</f>
        <v>228.58</v>
      </c>
      <c r="BT282" s="1">
        <f>IFERROR(__xludf.DUMMYFUNCTION("""COMPUTED_VALUE"""),119.42)</f>
        <v>119.42</v>
      </c>
      <c r="BU282" s="3">
        <v>1.0</v>
      </c>
    </row>
    <row r="283">
      <c r="A283" s="25">
        <f>IFERROR(__xludf.DUMMYFUNCTION("""COMPUTED_VALUE"""),45834.66666666667)</f>
        <v>45834.66667</v>
      </c>
      <c r="B283" s="29">
        <f>'Master Scratch Work'!B282</f>
        <v>1395258.13</v>
      </c>
      <c r="C283" s="15">
        <f>IFERROR(__xludf.DUMMYFUNCTION("""COMPUTED_VALUE"""),6141.02)</f>
        <v>6141.02</v>
      </c>
      <c r="D283" s="15">
        <f>IFERROR(__xludf.DUMMYFUNCTION("""COMPUTED_VALUE"""),20167.91)</f>
        <v>20167.91</v>
      </c>
      <c r="E283" s="15">
        <f>IFERROR(__xludf.DUMMYFUNCTION("""COMPUTED_VALUE"""),43386.84)</f>
        <v>43386.84</v>
      </c>
      <c r="F283" s="15">
        <f>IFERROR(__xludf.DUMMYFUNCTION("""COMPUTED_VALUE"""),2172.11)</f>
        <v>2172.11</v>
      </c>
      <c r="G283" s="3">
        <f>IFERROR(__xludf.DUMMYFUNCTION("""COMPUTED_VALUE"""),611.87)</f>
        <v>611.87</v>
      </c>
      <c r="H283" s="3">
        <f>IFERROR(__xludf.DUMMYFUNCTION("""COMPUTED_VALUE"""),546.22)</f>
        <v>546.22</v>
      </c>
      <c r="I283" s="3">
        <f>IFERROR(__xludf.DUMMYFUNCTION("""COMPUTED_VALUE"""),384.95)</f>
        <v>384.95</v>
      </c>
      <c r="J283" s="3">
        <f>IFERROR(__xludf.DUMMYFUNCTION("""COMPUTED_VALUE"""),217.12)</f>
        <v>217.12</v>
      </c>
      <c r="K283" s="3">
        <f>IFERROR(__xludf.DUMMYFUNCTION("""COMPUTED_VALUE"""),138.42)</f>
        <v>138.42</v>
      </c>
      <c r="L283" s="3">
        <f>IFERROR(__xludf.DUMMYFUNCTION("""COMPUTED_VALUE"""),201.0)</f>
        <v>201</v>
      </c>
      <c r="M283" s="3">
        <f>IFERROR(__xludf.DUMMYFUNCTION("""COMPUTED_VALUE"""),183.52)</f>
        <v>183.52</v>
      </c>
      <c r="N283" s="3">
        <f>IFERROR(__xludf.DUMMYFUNCTION("""COMPUTED_VALUE"""),90.04)</f>
        <v>90.04</v>
      </c>
      <c r="O283" s="3">
        <f>IFERROR(__xludf.DUMMYFUNCTION("""COMPUTED_VALUE"""),18.33)</f>
        <v>18.33</v>
      </c>
      <c r="P283" s="3">
        <f>IFERROR(__xludf.DUMMYFUNCTION("""COMPUTED_VALUE"""),485.05)</f>
        <v>485.05</v>
      </c>
      <c r="Q283" s="3">
        <f>IFERROR(__xludf.DUMMYFUNCTION("""COMPUTED_VALUE"""),48.34)</f>
        <v>48.34</v>
      </c>
      <c r="R283" s="3">
        <f>IFERROR(__xludf.DUMMYFUNCTION("""COMPUTED_VALUE"""),126.92)</f>
        <v>126.92</v>
      </c>
      <c r="S283" s="3">
        <f>IFERROR(__xludf.DUMMYFUNCTION("""COMPUTED_VALUE"""),104.58)</f>
        <v>104.58</v>
      </c>
      <c r="T283" s="3">
        <f>IFERROR(__xludf.DUMMYFUNCTION("""COMPUTED_VALUE"""),72.59)</f>
        <v>72.59</v>
      </c>
      <c r="U283" s="3">
        <f>IFERROR(__xludf.DUMMYFUNCTION("""COMPUTED_VALUE"""),381.88)</f>
        <v>381.88</v>
      </c>
      <c r="V283" s="3">
        <f>IFERROR(__xludf.DUMMYFUNCTION("""COMPUTED_VALUE"""),74.46)</f>
        <v>74.46</v>
      </c>
      <c r="W283" s="3">
        <f>IFERROR(__xludf.DUMMYFUNCTION("""COMPUTED_VALUE"""),218.88)</f>
        <v>218.88</v>
      </c>
      <c r="X283" s="3">
        <f>IFERROR(__xludf.DUMMYFUNCTION("""COMPUTED_VALUE"""),144.44)</f>
        <v>144.44</v>
      </c>
      <c r="Y283" s="1">
        <f>IFERROR(__xludf.DUMMYFUNCTION("""COMPUTED_VALUE"""),330.0)</f>
        <v>330</v>
      </c>
      <c r="Z283" s="1">
        <f>IFERROR(__xludf.DUMMYFUNCTION("""COMPUTED_VALUE"""),44.12)</f>
        <v>44.12</v>
      </c>
      <c r="AA283" s="1">
        <f>IFERROR(__xludf.DUMMYFUNCTION("""COMPUTED_VALUE"""),69.47)</f>
        <v>69.47</v>
      </c>
      <c r="AB283" s="1">
        <f>IFERROR(__xludf.DUMMYFUNCTION("""COMPUTED_VALUE"""),98.41)</f>
        <v>98.41</v>
      </c>
      <c r="AC283" s="1">
        <f>IFERROR(__xludf.DUMMYFUNCTION("""COMPUTED_VALUE"""),169.59)</f>
        <v>169.59</v>
      </c>
      <c r="AD283" s="3">
        <f>IFERROR(__xludf.DUMMYFUNCTION("""COMPUTED_VALUE"""),99.44)</f>
        <v>99.44</v>
      </c>
      <c r="AE283" s="1">
        <f>IFERROR(__xludf.DUMMYFUNCTION("""COMPUTED_VALUE"""),454.72)</f>
        <v>454.72</v>
      </c>
      <c r="AF283" s="1">
        <f>IFERROR(__xludf.DUMMYFUNCTION("""COMPUTED_VALUE"""),73.68)</f>
        <v>73.68</v>
      </c>
      <c r="AG283" s="1">
        <f>IFERROR(__xludf.DUMMYFUNCTION("""COMPUTED_VALUE"""),109.99)</f>
        <v>109.99</v>
      </c>
      <c r="AH283" s="1">
        <f>IFERROR(__xludf.DUMMYFUNCTION("""COMPUTED_VALUE"""),221.07)</f>
        <v>221.07</v>
      </c>
      <c r="AI283" s="1">
        <f>IFERROR(__xludf.DUMMYFUNCTION("""COMPUTED_VALUE"""),477.54)</f>
        <v>477.54</v>
      </c>
      <c r="AJ283" s="1">
        <f>IFERROR(__xludf.DUMMYFUNCTION("""COMPUTED_VALUE"""),291.39)</f>
        <v>291.39</v>
      </c>
      <c r="AK283" s="1">
        <f>IFERROR(__xludf.DUMMYFUNCTION("""COMPUTED_VALUE"""),49.16)</f>
        <v>49.16</v>
      </c>
      <c r="AL283" s="1">
        <f>IFERROR(__xludf.DUMMYFUNCTION("""COMPUTED_VALUE"""),107.62)</f>
        <v>107.62</v>
      </c>
      <c r="AM283" s="1">
        <f>IFERROR(__xludf.DUMMYFUNCTION("""COMPUTED_VALUE"""),687.16)</f>
        <v>687.16</v>
      </c>
      <c r="AN283" s="1">
        <f>IFERROR(__xludf.DUMMYFUNCTION("""COMPUTED_VALUE"""),363.5)</f>
        <v>363.5</v>
      </c>
      <c r="AO283" s="1">
        <f>IFERROR(__xludf.DUMMYFUNCTION("""COMPUTED_VALUE"""),134.19)</f>
        <v>134.19</v>
      </c>
      <c r="AP283" s="1">
        <f>IFERROR(__xludf.DUMMYFUNCTION("""COMPUTED_VALUE"""),180.8)</f>
        <v>180.8</v>
      </c>
      <c r="AQ283" s="3">
        <f>IFERROR(__xludf.DUMMYFUNCTION("""COMPUTED_VALUE"""),534.19)</f>
        <v>534.19</v>
      </c>
      <c r="AR283" s="3">
        <f>IFERROR(__xludf.DUMMYFUNCTION("""COMPUTED_VALUE"""),288.75)</f>
        <v>288.75</v>
      </c>
      <c r="AS283" s="3">
        <f>IFERROR(__xludf.DUMMYFUNCTION("""COMPUTED_VALUE"""),457.9)</f>
        <v>457.9</v>
      </c>
      <c r="AT283" s="3">
        <f>IFERROR(__xludf.DUMMYFUNCTION("""COMPUTED_VALUE"""),231.58)</f>
        <v>231.58</v>
      </c>
      <c r="AU283" s="1">
        <f>IFERROR(__xludf.DUMMYFUNCTION("""COMPUTED_VALUE"""),32.08)</f>
        <v>32.08</v>
      </c>
      <c r="AV283" s="1">
        <f>IFERROR(__xludf.DUMMYFUNCTION("""COMPUTED_VALUE"""),86.18)</f>
        <v>86.18</v>
      </c>
      <c r="AW283" s="1">
        <f>IFERROR(__xludf.DUMMYFUNCTION("""COMPUTED_VALUE"""),79.96)</f>
        <v>79.96</v>
      </c>
      <c r="AX283" s="3">
        <f>IFERROR(__xludf.DUMMYFUNCTION("""COMPUTED_VALUE"""),35.99)</f>
        <v>35.99</v>
      </c>
      <c r="AY283" s="1">
        <f>IFERROR(__xludf.DUMMYFUNCTION("""COMPUTED_VALUE"""),497.45)</f>
        <v>497.45</v>
      </c>
      <c r="AZ283" s="3">
        <f>IFERROR(__xludf.DUMMYFUNCTION("""COMPUTED_VALUE"""),70.99)</f>
        <v>70.99</v>
      </c>
      <c r="BA283" s="3">
        <f>IFERROR(__xludf.DUMMYFUNCTION("""COMPUTED_VALUE"""),161.54)</f>
        <v>161.54</v>
      </c>
      <c r="BB283" s="3">
        <f>IFERROR(__xludf.DUMMYFUNCTION("""COMPUTED_VALUE"""),155.02)</f>
        <v>155.02</v>
      </c>
      <c r="BC283" s="1">
        <f>IFERROR(__xludf.DUMMYFUNCTION("""COMPUTED_VALUE"""),97.52)</f>
        <v>97.52</v>
      </c>
      <c r="BD283" s="1">
        <f>IFERROR(__xludf.DUMMYFUNCTION("""COMPUTED_VALUE"""),51.59)</f>
        <v>51.59</v>
      </c>
      <c r="BE283" s="3">
        <f>IFERROR(__xludf.DUMMYFUNCTION("""COMPUTED_VALUE"""),144.25)</f>
        <v>144.25</v>
      </c>
      <c r="BF283" s="1">
        <f>IFERROR(__xludf.DUMMYFUNCTION("""COMPUTED_VALUE"""),73.17)</f>
        <v>73.17</v>
      </c>
      <c r="BG283" s="1">
        <f>IFERROR(__xludf.DUMMYFUNCTION("""COMPUTED_VALUE"""),24.24)</f>
        <v>24.24</v>
      </c>
      <c r="BH283" s="1">
        <f>IFERROR(__xludf.DUMMYFUNCTION("""COMPUTED_VALUE"""),142.67)</f>
        <v>142.67</v>
      </c>
      <c r="BI283" s="3">
        <f>IFERROR(__xludf.DUMMYFUNCTION("""COMPUTED_VALUE"""),37.48)</f>
        <v>37.48</v>
      </c>
      <c r="BJ283" s="1">
        <f>IFERROR(__xludf.DUMMYFUNCTION("""COMPUTED_VALUE"""),231.42)</f>
        <v>231.42</v>
      </c>
      <c r="BK283" s="1">
        <f>IFERROR(__xludf.DUMMYFUNCTION("""COMPUTED_VALUE"""),412.12)</f>
        <v>412.12</v>
      </c>
      <c r="BL283" s="1">
        <f>IFERROR(__xludf.DUMMYFUNCTION("""COMPUTED_VALUE"""),170.63)</f>
        <v>170.63</v>
      </c>
      <c r="BM283" s="1">
        <f>IFERROR(__xludf.DUMMYFUNCTION("""COMPUTED_VALUE"""),130.06)</f>
        <v>130.06</v>
      </c>
      <c r="BN283" s="3">
        <f>IFERROR(__xludf.DUMMYFUNCTION("""COMPUTED_VALUE"""),6.83)</f>
        <v>6.83</v>
      </c>
      <c r="BO283" s="1">
        <f>IFERROR(__xludf.DUMMYFUNCTION("""COMPUTED_VALUE"""),229.39)</f>
        <v>229.39</v>
      </c>
      <c r="BP283" s="1">
        <f>IFERROR(__xludf.DUMMYFUNCTION("""COMPUTED_VALUE"""),302.62)</f>
        <v>302.62</v>
      </c>
      <c r="BQ283" s="36">
        <f>IFERROR(__xludf.DUMMYFUNCTION("""COMPUTED_VALUE"""),50.26)</f>
        <v>50.26</v>
      </c>
      <c r="BR283" s="1">
        <f>IFERROR(__xludf.DUMMYFUNCTION("""COMPUTED_VALUE"""),9.12)</f>
        <v>9.12</v>
      </c>
      <c r="BS283" s="3">
        <f>IFERROR(__xludf.DUMMYFUNCTION("""COMPUTED_VALUE"""),226.72)</f>
        <v>226.72</v>
      </c>
      <c r="BT283" s="1">
        <f>IFERROR(__xludf.DUMMYFUNCTION("""COMPUTED_VALUE"""),121.46)</f>
        <v>121.46</v>
      </c>
      <c r="BU283" s="3">
        <v>1.0</v>
      </c>
    </row>
    <row r="284">
      <c r="A284" s="25">
        <f>IFERROR(__xludf.DUMMYFUNCTION("""COMPUTED_VALUE"""),45835.66666666667)</f>
        <v>45835.66667</v>
      </c>
      <c r="B284" s="29">
        <f>'Master Scratch Work'!B283</f>
        <v>1395082.39</v>
      </c>
      <c r="C284" s="15">
        <f>IFERROR(__xludf.DUMMYFUNCTION("""COMPUTED_VALUE"""),6173.07)</f>
        <v>6173.07</v>
      </c>
      <c r="D284" s="15">
        <f>IFERROR(__xludf.DUMMYFUNCTION("""COMPUTED_VALUE"""),20273.46)</f>
        <v>20273.46</v>
      </c>
      <c r="E284" s="15">
        <f>IFERROR(__xludf.DUMMYFUNCTION("""COMPUTED_VALUE"""),43819.27)</f>
        <v>43819.27</v>
      </c>
      <c r="F284" s="15">
        <f>IFERROR(__xludf.DUMMYFUNCTION("""COMPUTED_VALUE"""),2172.53)</f>
        <v>2172.53</v>
      </c>
      <c r="G284" s="3">
        <f>IFERROR(__xludf.DUMMYFUNCTION("""COMPUTED_VALUE"""),614.91)</f>
        <v>614.91</v>
      </c>
      <c r="H284" s="3">
        <f>IFERROR(__xludf.DUMMYFUNCTION("""COMPUTED_VALUE"""),548.09)</f>
        <v>548.09</v>
      </c>
      <c r="I284" s="3">
        <f>IFERROR(__xludf.DUMMYFUNCTION("""COMPUTED_VALUE"""),385.83)</f>
        <v>385.83</v>
      </c>
      <c r="J284" s="3">
        <f>IFERROR(__xludf.DUMMYFUNCTION("""COMPUTED_VALUE"""),223.3)</f>
        <v>223.3</v>
      </c>
      <c r="K284" s="3">
        <f>IFERROR(__xludf.DUMMYFUNCTION("""COMPUTED_VALUE"""),137.92)</f>
        <v>137.92</v>
      </c>
      <c r="L284" s="3">
        <f>IFERROR(__xludf.DUMMYFUNCTION("""COMPUTED_VALUE"""),201.08)</f>
        <v>201.08</v>
      </c>
      <c r="M284" s="3">
        <f>IFERROR(__xludf.DUMMYFUNCTION("""COMPUTED_VALUE"""),183.21)</f>
        <v>183.21</v>
      </c>
      <c r="N284" s="3">
        <f>IFERROR(__xludf.DUMMYFUNCTION("""COMPUTED_VALUE"""),91.18)</f>
        <v>91.18</v>
      </c>
      <c r="O284" s="3">
        <f>IFERROR(__xludf.DUMMYFUNCTION("""COMPUTED_VALUE"""),18.61)</f>
        <v>18.61</v>
      </c>
      <c r="P284" s="3">
        <f>IFERROR(__xludf.DUMMYFUNCTION("""COMPUTED_VALUE"""),485.68)</f>
        <v>485.68</v>
      </c>
      <c r="Q284" s="3">
        <f>IFERROR(__xludf.DUMMYFUNCTION("""COMPUTED_VALUE"""),48.62)</f>
        <v>48.62</v>
      </c>
      <c r="R284" s="3">
        <f>IFERROR(__xludf.DUMMYFUNCTION("""COMPUTED_VALUE"""),126.08)</f>
        <v>126.08</v>
      </c>
      <c r="S284" s="3">
        <f>IFERROR(__xludf.DUMMYFUNCTION("""COMPUTED_VALUE"""),106.53)</f>
        <v>106.53</v>
      </c>
      <c r="T284" s="3">
        <f>IFERROR(__xludf.DUMMYFUNCTION("""COMPUTED_VALUE"""),73.67)</f>
        <v>73.67</v>
      </c>
      <c r="U284" s="3">
        <f>IFERROR(__xludf.DUMMYFUNCTION("""COMPUTED_VALUE"""),384.71)</f>
        <v>384.71</v>
      </c>
      <c r="V284" s="3">
        <f>IFERROR(__xludf.DUMMYFUNCTION("""COMPUTED_VALUE"""),73.27)</f>
        <v>73.27</v>
      </c>
      <c r="W284" s="3">
        <f>IFERROR(__xludf.DUMMYFUNCTION("""COMPUTED_VALUE"""),216.45)</f>
        <v>216.45</v>
      </c>
      <c r="X284" s="3">
        <f>IFERROR(__xludf.DUMMYFUNCTION("""COMPUTED_VALUE"""),143.79)</f>
        <v>143.79</v>
      </c>
      <c r="Y284" s="1">
        <f>IFERROR(__xludf.DUMMYFUNCTION("""COMPUTED_VALUE"""),326.31)</f>
        <v>326.31</v>
      </c>
      <c r="Z284" s="1">
        <f>IFERROR(__xludf.DUMMYFUNCTION("""COMPUTED_VALUE"""),44.43)</f>
        <v>44.43</v>
      </c>
      <c r="AA284" s="1">
        <f>IFERROR(__xludf.DUMMYFUNCTION("""COMPUTED_VALUE"""),70.33)</f>
        <v>70.33</v>
      </c>
      <c r="AB284" s="1">
        <f>IFERROR(__xludf.DUMMYFUNCTION("""COMPUTED_VALUE"""),98.15)</f>
        <v>98.15</v>
      </c>
      <c r="AC284" s="1">
        <f>IFERROR(__xludf.DUMMYFUNCTION("""COMPUTED_VALUE"""),171.36)</f>
        <v>171.36</v>
      </c>
      <c r="AD284" s="3">
        <f>IFERROR(__xludf.DUMMYFUNCTION("""COMPUTED_VALUE"""),98.7)</f>
        <v>98.7</v>
      </c>
      <c r="AE284" s="1">
        <f>IFERROR(__xludf.DUMMYFUNCTION("""COMPUTED_VALUE"""),446.39)</f>
        <v>446.39</v>
      </c>
      <c r="AF284" s="1">
        <f>IFERROR(__xludf.DUMMYFUNCTION("""COMPUTED_VALUE"""),73.76)</f>
        <v>73.76</v>
      </c>
      <c r="AG284" s="1">
        <f>IFERROR(__xludf.DUMMYFUNCTION("""COMPUTED_VALUE"""),109.38)</f>
        <v>109.38</v>
      </c>
      <c r="AH284" s="1">
        <f>IFERROR(__xludf.DUMMYFUNCTION("""COMPUTED_VALUE"""),228.91)</f>
        <v>228.91</v>
      </c>
      <c r="AI284" s="1">
        <f>IFERROR(__xludf.DUMMYFUNCTION("""COMPUTED_VALUE"""),491.1)</f>
        <v>491.1</v>
      </c>
      <c r="AJ284" s="1">
        <f>IFERROR(__xludf.DUMMYFUNCTION("""COMPUTED_VALUE"""),290.74)</f>
        <v>290.74</v>
      </c>
      <c r="AK284" s="1">
        <f>IFERROR(__xludf.DUMMYFUNCTION("""COMPUTED_VALUE"""),49.68)</f>
        <v>49.68</v>
      </c>
      <c r="AL284" s="1">
        <f>IFERROR(__xludf.DUMMYFUNCTION("""COMPUTED_VALUE"""),110.67)</f>
        <v>110.67</v>
      </c>
      <c r="AM284" s="1">
        <f>IFERROR(__xludf.DUMMYFUNCTION("""COMPUTED_VALUE"""),690.81)</f>
        <v>690.81</v>
      </c>
      <c r="AN284" s="1">
        <f>IFERROR(__xludf.DUMMYFUNCTION("""COMPUTED_VALUE"""),368.74)</f>
        <v>368.74</v>
      </c>
      <c r="AO284" s="1">
        <f>IFERROR(__xludf.DUMMYFUNCTION("""COMPUTED_VALUE"""),135.43)</f>
        <v>135.43</v>
      </c>
      <c r="AP284" s="1">
        <f>IFERROR(__xludf.DUMMYFUNCTION("""COMPUTED_VALUE"""),181.75)</f>
        <v>181.75</v>
      </c>
      <c r="AQ284" s="3">
        <f>IFERROR(__xludf.DUMMYFUNCTION("""COMPUTED_VALUE"""),533.71)</f>
        <v>533.71</v>
      </c>
      <c r="AR284" s="3">
        <f>IFERROR(__xludf.DUMMYFUNCTION("""COMPUTED_VALUE"""),287.11)</f>
        <v>287.11</v>
      </c>
      <c r="AS284" s="3">
        <f>IFERROR(__xludf.DUMMYFUNCTION("""COMPUTED_VALUE"""),458.59)</f>
        <v>458.59</v>
      </c>
      <c r="AT284" s="3">
        <f>IFERROR(__xludf.DUMMYFUNCTION("""COMPUTED_VALUE"""),235.02)</f>
        <v>235.02</v>
      </c>
      <c r="AU284" s="1">
        <f>IFERROR(__xludf.DUMMYFUNCTION("""COMPUTED_VALUE"""),31.99)</f>
        <v>31.99</v>
      </c>
      <c r="AV284" s="1">
        <f>IFERROR(__xludf.DUMMYFUNCTION("""COMPUTED_VALUE"""),86.02)</f>
        <v>86.02</v>
      </c>
      <c r="AW284" s="1">
        <f>IFERROR(__xludf.DUMMYFUNCTION("""COMPUTED_VALUE"""),80.37)</f>
        <v>80.37</v>
      </c>
      <c r="AX284" s="3">
        <f>IFERROR(__xludf.DUMMYFUNCTION("""COMPUTED_VALUE"""),32.9)</f>
        <v>32.9</v>
      </c>
      <c r="AY284" s="1">
        <f>IFERROR(__xludf.DUMMYFUNCTION("""COMPUTED_VALUE"""),495.94)</f>
        <v>495.94</v>
      </c>
      <c r="AZ284" s="3">
        <f>IFERROR(__xludf.DUMMYFUNCTION("""COMPUTED_VALUE"""),70.89)</f>
        <v>70.89</v>
      </c>
      <c r="BA284" s="3">
        <f>IFERROR(__xludf.DUMMYFUNCTION("""COMPUTED_VALUE"""),162.67)</f>
        <v>162.67</v>
      </c>
      <c r="BB284" s="3">
        <f>IFERROR(__xludf.DUMMYFUNCTION("""COMPUTED_VALUE"""),157.75)</f>
        <v>157.75</v>
      </c>
      <c r="BC284" s="1">
        <f>IFERROR(__xludf.DUMMYFUNCTION("""COMPUTED_VALUE"""),97.6)</f>
        <v>97.6</v>
      </c>
      <c r="BD284" s="1">
        <f>IFERROR(__xludf.DUMMYFUNCTION("""COMPUTED_VALUE"""),52.49)</f>
        <v>52.49</v>
      </c>
      <c r="BE284" s="3">
        <f>IFERROR(__xludf.DUMMYFUNCTION("""COMPUTED_VALUE"""),130.74)</f>
        <v>130.74</v>
      </c>
      <c r="BF284" s="1">
        <f>IFERROR(__xludf.DUMMYFUNCTION("""COMPUTED_VALUE"""),73.64)</f>
        <v>73.64</v>
      </c>
      <c r="BG284" s="1">
        <f>IFERROR(__xludf.DUMMYFUNCTION("""COMPUTED_VALUE"""),24.19)</f>
        <v>24.19</v>
      </c>
      <c r="BH284" s="1">
        <f>IFERROR(__xludf.DUMMYFUNCTION("""COMPUTED_VALUE"""),144.66)</f>
        <v>144.66</v>
      </c>
      <c r="BI284" s="3">
        <f>IFERROR(__xludf.DUMMYFUNCTION("""COMPUTED_VALUE"""),36.91)</f>
        <v>36.91</v>
      </c>
      <c r="BJ284" s="1">
        <f>IFERROR(__xludf.DUMMYFUNCTION("""COMPUTED_VALUE"""),235.25)</f>
        <v>235.25</v>
      </c>
      <c r="BK284" s="1">
        <f>IFERROR(__xludf.DUMMYFUNCTION("""COMPUTED_VALUE"""),408.28)</f>
        <v>408.28</v>
      </c>
      <c r="BL284" s="1">
        <f>IFERROR(__xludf.DUMMYFUNCTION("""COMPUTED_VALUE"""),175.74)</f>
        <v>175.74</v>
      </c>
      <c r="BM284" s="1">
        <f>IFERROR(__xludf.DUMMYFUNCTION("""COMPUTED_VALUE"""),131.45)</f>
        <v>131.45</v>
      </c>
      <c r="BN284" s="3">
        <f>IFERROR(__xludf.DUMMYFUNCTION("""COMPUTED_VALUE"""),6.89)</f>
        <v>6.89</v>
      </c>
      <c r="BO284" s="1">
        <f>IFERROR(__xludf.DUMMYFUNCTION("""COMPUTED_VALUE"""),231.41)</f>
        <v>231.41</v>
      </c>
      <c r="BP284" s="1">
        <f>IFERROR(__xludf.DUMMYFUNCTION("""COMPUTED_VALUE"""),309.11)</f>
        <v>309.11</v>
      </c>
      <c r="BQ284" s="36">
        <f>IFERROR(__xludf.DUMMYFUNCTION("""COMPUTED_VALUE"""),50.23)</f>
        <v>50.23</v>
      </c>
      <c r="BR284" s="1">
        <f>IFERROR(__xludf.DUMMYFUNCTION("""COMPUTED_VALUE"""),9.01)</f>
        <v>9.01</v>
      </c>
      <c r="BS284" s="3">
        <f>IFERROR(__xludf.DUMMYFUNCTION("""COMPUTED_VALUE"""),228.26)</f>
        <v>228.26</v>
      </c>
      <c r="BT284" s="1">
        <f>IFERROR(__xludf.DUMMYFUNCTION("""COMPUTED_VALUE"""),122.34)</f>
        <v>122.34</v>
      </c>
      <c r="BU284" s="3">
        <v>1.0</v>
      </c>
    </row>
    <row r="285">
      <c r="A285" s="25">
        <f>IFERROR(__xludf.DUMMYFUNCTION("""COMPUTED_VALUE"""),45838.66666666667)</f>
        <v>45838.66667</v>
      </c>
      <c r="B285" s="29">
        <f>'Master Scratch Work'!B284</f>
        <v>1404468.34</v>
      </c>
      <c r="C285" s="15">
        <f>IFERROR(__xludf.DUMMYFUNCTION("""COMPUTED_VALUE"""),6204.95)</f>
        <v>6204.95</v>
      </c>
      <c r="D285" s="15">
        <f>IFERROR(__xludf.DUMMYFUNCTION("""COMPUTED_VALUE"""),20369.73)</f>
        <v>20369.73</v>
      </c>
      <c r="E285" s="15">
        <f>IFERROR(__xludf.DUMMYFUNCTION("""COMPUTED_VALUE"""),44094.77)</f>
        <v>44094.77</v>
      </c>
      <c r="F285" s="15">
        <f>IFERROR(__xludf.DUMMYFUNCTION("""COMPUTED_VALUE"""),2175.04)</f>
        <v>2175.04</v>
      </c>
      <c r="G285" s="3">
        <f>IFERROR(__xludf.DUMMYFUNCTION("""COMPUTED_VALUE"""),617.85)</f>
        <v>617.85</v>
      </c>
      <c r="H285" s="3">
        <f>IFERROR(__xludf.DUMMYFUNCTION("""COMPUTED_VALUE"""),551.64)</f>
        <v>551.64</v>
      </c>
      <c r="I285" s="3">
        <f>IFERROR(__xludf.DUMMYFUNCTION("""COMPUTED_VALUE"""),386.88)</f>
        <v>386.88</v>
      </c>
      <c r="J285" s="3">
        <f>IFERROR(__xludf.DUMMYFUNCTION("""COMPUTED_VALUE"""),219.39)</f>
        <v>219.39</v>
      </c>
      <c r="K285" s="3">
        <f>IFERROR(__xludf.DUMMYFUNCTION("""COMPUTED_VALUE"""),139.11)</f>
        <v>139.11</v>
      </c>
      <c r="L285" s="3">
        <f>IFERROR(__xludf.DUMMYFUNCTION("""COMPUTED_VALUE"""),205.17)</f>
        <v>205.17</v>
      </c>
      <c r="M285" s="3">
        <f>IFERROR(__xludf.DUMMYFUNCTION("""COMPUTED_VALUE"""),183.07)</f>
        <v>183.07</v>
      </c>
      <c r="N285" s="3">
        <f>IFERROR(__xludf.DUMMYFUNCTION("""COMPUTED_VALUE"""),91.11)</f>
        <v>91.11</v>
      </c>
      <c r="O285" s="3">
        <f>IFERROR(__xludf.DUMMYFUNCTION("""COMPUTED_VALUE"""),18.59)</f>
        <v>18.59</v>
      </c>
      <c r="P285" s="3">
        <f>IFERROR(__xludf.DUMMYFUNCTION("""COMPUTED_VALUE"""),485.77)</f>
        <v>485.77</v>
      </c>
      <c r="Q285" s="3">
        <f>IFERROR(__xludf.DUMMYFUNCTION("""COMPUTED_VALUE"""),48.09)</f>
        <v>48.09</v>
      </c>
      <c r="R285" s="3">
        <f>IFERROR(__xludf.DUMMYFUNCTION("""COMPUTED_VALUE"""),125.59)</f>
        <v>125.59</v>
      </c>
      <c r="S285" s="3">
        <f>IFERROR(__xludf.DUMMYFUNCTION("""COMPUTED_VALUE"""),107.41)</f>
        <v>107.41</v>
      </c>
      <c r="T285" s="3">
        <f>IFERROR(__xludf.DUMMYFUNCTION("""COMPUTED_VALUE"""),73.19)</f>
        <v>73.19</v>
      </c>
      <c r="U285" s="3">
        <f>IFERROR(__xludf.DUMMYFUNCTION("""COMPUTED_VALUE"""),388.21)</f>
        <v>388.21</v>
      </c>
      <c r="V285" s="3">
        <f>IFERROR(__xludf.DUMMYFUNCTION("""COMPUTED_VALUE"""),74.23)</f>
        <v>74.23</v>
      </c>
      <c r="W285" s="3">
        <f>IFERROR(__xludf.DUMMYFUNCTION("""COMPUTED_VALUE"""),221.25)</f>
        <v>221.25</v>
      </c>
      <c r="X285" s="3">
        <f>IFERROR(__xludf.DUMMYFUNCTION("""COMPUTED_VALUE"""),143.19)</f>
        <v>143.19</v>
      </c>
      <c r="Y285" s="1">
        <f>IFERROR(__xludf.DUMMYFUNCTION("""COMPUTED_VALUE"""),330.58)</f>
        <v>330.58</v>
      </c>
      <c r="Z285" s="1">
        <f>IFERROR(__xludf.DUMMYFUNCTION("""COMPUTED_VALUE"""),44.75)</f>
        <v>44.75</v>
      </c>
      <c r="AA285" s="1">
        <f>IFERROR(__xludf.DUMMYFUNCTION("""COMPUTED_VALUE"""),70.75)</f>
        <v>70.75</v>
      </c>
      <c r="AB285" s="1">
        <f>IFERROR(__xludf.DUMMYFUNCTION("""COMPUTED_VALUE"""),100.35)</f>
        <v>100.35</v>
      </c>
      <c r="AC285" s="1">
        <f>IFERROR(__xludf.DUMMYFUNCTION("""COMPUTED_VALUE"""),174.33)</f>
        <v>174.33</v>
      </c>
      <c r="AD285" s="3">
        <f>IFERROR(__xludf.DUMMYFUNCTION("""COMPUTED_VALUE"""),99.04)</f>
        <v>99.04</v>
      </c>
      <c r="AE285" s="1">
        <f>IFERROR(__xludf.DUMMYFUNCTION("""COMPUTED_VALUE"""),450.6)</f>
        <v>450.6</v>
      </c>
      <c r="AF285" s="1">
        <f>IFERROR(__xludf.DUMMYFUNCTION("""COMPUTED_VALUE"""),74.46)</f>
        <v>74.46</v>
      </c>
      <c r="AG285" s="1">
        <f>IFERROR(__xludf.DUMMYFUNCTION("""COMPUTED_VALUE"""),107.8)</f>
        <v>107.8</v>
      </c>
      <c r="AH285" s="1">
        <f>IFERROR(__xludf.DUMMYFUNCTION("""COMPUTED_VALUE"""),227.31)</f>
        <v>227.31</v>
      </c>
      <c r="AI285" s="1">
        <f>IFERROR(__xludf.DUMMYFUNCTION("""COMPUTED_VALUE"""),490.74)</f>
        <v>490.74</v>
      </c>
      <c r="AJ285" s="1">
        <f>IFERROR(__xludf.DUMMYFUNCTION("""COMPUTED_VALUE"""),291.66)</f>
        <v>291.66</v>
      </c>
      <c r="AK285" s="1">
        <f>IFERROR(__xludf.DUMMYFUNCTION("""COMPUTED_VALUE"""),49.21)</f>
        <v>49.21</v>
      </c>
      <c r="AL285" s="1">
        <f>IFERROR(__xludf.DUMMYFUNCTION("""COMPUTED_VALUE"""),110.87)</f>
        <v>110.87</v>
      </c>
      <c r="AM285" s="1">
        <f>IFERROR(__xludf.DUMMYFUNCTION("""COMPUTED_VALUE"""),707.75)</f>
        <v>707.75</v>
      </c>
      <c r="AN285" s="1">
        <f>IFERROR(__xludf.DUMMYFUNCTION("""COMPUTED_VALUE"""),366.64)</f>
        <v>366.64</v>
      </c>
      <c r="AO285" s="1">
        <f>IFERROR(__xludf.DUMMYFUNCTION("""COMPUTED_VALUE"""),137.54)</f>
        <v>137.54</v>
      </c>
      <c r="AP285" s="1">
        <f>IFERROR(__xludf.DUMMYFUNCTION("""COMPUTED_VALUE"""),183.47)</f>
        <v>183.47</v>
      </c>
      <c r="AQ285" s="3">
        <f>IFERROR(__xludf.DUMMYFUNCTION("""COMPUTED_VALUE"""),543.41)</f>
        <v>543.41</v>
      </c>
      <c r="AR285" s="3">
        <f>IFERROR(__xludf.DUMMYFUNCTION("""COMPUTED_VALUE"""),289.91)</f>
        <v>289.91</v>
      </c>
      <c r="AS285" s="3">
        <f>IFERROR(__xludf.DUMMYFUNCTION("""COMPUTED_VALUE"""),463.14)</f>
        <v>463.14</v>
      </c>
      <c r="AT285" s="3">
        <f>IFERROR(__xludf.DUMMYFUNCTION("""COMPUTED_VALUE"""),237.58)</f>
        <v>237.58</v>
      </c>
      <c r="AU285" s="1">
        <f>IFERROR(__xludf.DUMMYFUNCTION("""COMPUTED_VALUE"""),31.96)</f>
        <v>31.96</v>
      </c>
      <c r="AV285" s="1">
        <f>IFERROR(__xludf.DUMMYFUNCTION("""COMPUTED_VALUE"""),87.17)</f>
        <v>87.17</v>
      </c>
      <c r="AW285" s="1">
        <f>IFERROR(__xludf.DUMMYFUNCTION("""COMPUTED_VALUE"""),80.42)</f>
        <v>80.42</v>
      </c>
      <c r="AX285" s="3">
        <f>IFERROR(__xludf.DUMMYFUNCTION("""COMPUTED_VALUE"""),33.27)</f>
        <v>33.27</v>
      </c>
      <c r="AY285" s="1">
        <f>IFERROR(__xludf.DUMMYFUNCTION("""COMPUTED_VALUE"""),497.41)</f>
        <v>497.41</v>
      </c>
      <c r="AZ285" s="3">
        <f>IFERROR(__xludf.DUMMYFUNCTION("""COMPUTED_VALUE"""),69.42)</f>
        <v>69.42</v>
      </c>
      <c r="BA285" s="3">
        <f>IFERROR(__xludf.DUMMYFUNCTION("""COMPUTED_VALUE"""),160.58)</f>
        <v>160.58</v>
      </c>
      <c r="BB285" s="3">
        <f>IFERROR(__xludf.DUMMYFUNCTION("""COMPUTED_VALUE"""),157.99)</f>
        <v>157.99</v>
      </c>
      <c r="BC285" s="1">
        <f>IFERROR(__xludf.DUMMYFUNCTION("""COMPUTED_VALUE"""),99.02)</f>
        <v>99.02</v>
      </c>
      <c r="BD285" s="1">
        <f>IFERROR(__xludf.DUMMYFUNCTION("""COMPUTED_VALUE"""),52.05)</f>
        <v>52.05</v>
      </c>
      <c r="BE285" s="3">
        <f>IFERROR(__xludf.DUMMYFUNCTION("""COMPUTED_VALUE"""),136.32)</f>
        <v>136.32</v>
      </c>
      <c r="BF285" s="1">
        <f>IFERROR(__xludf.DUMMYFUNCTION("""COMPUTED_VALUE"""),74.32)</f>
        <v>74.32</v>
      </c>
      <c r="BG285" s="1">
        <f>IFERROR(__xludf.DUMMYFUNCTION("""COMPUTED_VALUE"""),24.24)</f>
        <v>24.24</v>
      </c>
      <c r="BH285" s="1">
        <f>IFERROR(__xludf.DUMMYFUNCTION("""COMPUTED_VALUE"""),146.02)</f>
        <v>146.02</v>
      </c>
      <c r="BI285" s="3">
        <f>IFERROR(__xludf.DUMMYFUNCTION("""COMPUTED_VALUE"""),36.79)</f>
        <v>36.79</v>
      </c>
      <c r="BJ285" s="1">
        <f>IFERROR(__xludf.DUMMYFUNCTION("""COMPUTED_VALUE"""),238.26)</f>
        <v>238.26</v>
      </c>
      <c r="BK285" s="1">
        <f>IFERROR(__xludf.DUMMYFUNCTION("""COMPUTED_VALUE"""),405.46)</f>
        <v>405.46</v>
      </c>
      <c r="BL285" s="1">
        <f>IFERROR(__xludf.DUMMYFUNCTION("""COMPUTED_VALUE"""),172.26)</f>
        <v>172.26</v>
      </c>
      <c r="BM285" s="1">
        <f>IFERROR(__xludf.DUMMYFUNCTION("""COMPUTED_VALUE"""),134.01)</f>
        <v>134.01</v>
      </c>
      <c r="BN285" s="3">
        <f>IFERROR(__xludf.DUMMYFUNCTION("""COMPUTED_VALUE"""),6.83)</f>
        <v>6.83</v>
      </c>
      <c r="BO285" s="1">
        <f>IFERROR(__xludf.DUMMYFUNCTION("""COMPUTED_VALUE"""),230.08)</f>
        <v>230.08</v>
      </c>
      <c r="BP285" s="1">
        <f>IFERROR(__xludf.DUMMYFUNCTION("""COMPUTED_VALUE"""),311.97)</f>
        <v>311.97</v>
      </c>
      <c r="BQ285" s="36">
        <f>IFERROR(__xludf.DUMMYFUNCTION("""COMPUTED_VALUE"""),50.27)</f>
        <v>50.27</v>
      </c>
      <c r="BR285" s="1">
        <f>IFERROR(__xludf.DUMMYFUNCTION("""COMPUTED_VALUE"""),8.93)</f>
        <v>8.93</v>
      </c>
      <c r="BS285" s="3">
        <f>IFERROR(__xludf.DUMMYFUNCTION("""COMPUTED_VALUE"""),228.82)</f>
        <v>228.82</v>
      </c>
      <c r="BT285" s="1">
        <f>IFERROR(__xludf.DUMMYFUNCTION("""COMPUTED_VALUE"""),124.01)</f>
        <v>124.01</v>
      </c>
      <c r="BU285" s="3">
        <v>1.0</v>
      </c>
    </row>
    <row r="286">
      <c r="A286" s="25">
        <f>IFERROR(__xludf.DUMMYFUNCTION("""COMPUTED_VALUE"""),45839.66666666667)</f>
        <v>45839.66667</v>
      </c>
      <c r="B286" s="29">
        <f>'Master Scratch Work'!B285</f>
        <v>1406793.49</v>
      </c>
      <c r="C286" s="15">
        <f>IFERROR(__xludf.DUMMYFUNCTION("""COMPUTED_VALUE"""),6198.01)</f>
        <v>6198.01</v>
      </c>
      <c r="D286" s="15">
        <f>IFERROR(__xludf.DUMMYFUNCTION("""COMPUTED_VALUE"""),20202.89)</f>
        <v>20202.89</v>
      </c>
      <c r="E286" s="15">
        <f>IFERROR(__xludf.DUMMYFUNCTION("""COMPUTED_VALUE"""),44494.94)</f>
        <v>44494.94</v>
      </c>
      <c r="F286" s="15">
        <f>IFERROR(__xludf.DUMMYFUNCTION("""COMPUTED_VALUE"""),2197.54)</f>
        <v>2197.54</v>
      </c>
      <c r="G286" s="3">
        <f>IFERROR(__xludf.DUMMYFUNCTION("""COMPUTED_VALUE"""),617.65)</f>
        <v>617.65</v>
      </c>
      <c r="H286" s="3">
        <f>IFERROR(__xludf.DUMMYFUNCTION("""COMPUTED_VALUE"""),546.99)</f>
        <v>546.99</v>
      </c>
      <c r="I286" s="3">
        <f>IFERROR(__xludf.DUMMYFUNCTION("""COMPUTED_VALUE"""),392.1)</f>
        <v>392.1</v>
      </c>
      <c r="J286" s="3">
        <f>IFERROR(__xludf.DUMMYFUNCTION("""COMPUTED_VALUE"""),220.46)</f>
        <v>220.46</v>
      </c>
      <c r="K286" s="3">
        <f>IFERROR(__xludf.DUMMYFUNCTION("""COMPUTED_VALUE"""),142.56)</f>
        <v>142.56</v>
      </c>
      <c r="L286" s="3">
        <f>IFERROR(__xludf.DUMMYFUNCTION("""COMPUTED_VALUE"""),207.82)</f>
        <v>207.82</v>
      </c>
      <c r="M286" s="3">
        <f>IFERROR(__xludf.DUMMYFUNCTION("""COMPUTED_VALUE"""),183.76)</f>
        <v>183.76</v>
      </c>
      <c r="N286" s="3">
        <f>IFERROR(__xludf.DUMMYFUNCTION("""COMPUTED_VALUE"""),90.65)</f>
        <v>90.65</v>
      </c>
      <c r="O286" s="3">
        <f>IFERROR(__xludf.DUMMYFUNCTION("""COMPUTED_VALUE"""),18.33)</f>
        <v>18.33</v>
      </c>
      <c r="P286" s="3">
        <f>IFERROR(__xludf.DUMMYFUNCTION("""COMPUTED_VALUE"""),489.61)</f>
        <v>489.61</v>
      </c>
      <c r="Q286" s="3">
        <f>IFERROR(__xludf.DUMMYFUNCTION("""COMPUTED_VALUE"""),48.67)</f>
        <v>48.67</v>
      </c>
      <c r="R286" s="3">
        <f>IFERROR(__xludf.DUMMYFUNCTION("""COMPUTED_VALUE"""),130.07)</f>
        <v>130.07</v>
      </c>
      <c r="S286" s="3">
        <f>IFERROR(__xludf.DUMMYFUNCTION("""COMPUTED_VALUE"""),104.78)</f>
        <v>104.78</v>
      </c>
      <c r="T286" s="3">
        <f>IFERROR(__xludf.DUMMYFUNCTION("""COMPUTED_VALUE"""),74.3)</f>
        <v>74.3</v>
      </c>
      <c r="U286" s="3">
        <f>IFERROR(__xludf.DUMMYFUNCTION("""COMPUTED_VALUE"""),390.92)</f>
        <v>390.92</v>
      </c>
      <c r="V286" s="3">
        <f>IFERROR(__xludf.DUMMYFUNCTION("""COMPUTED_VALUE"""),71.67)</f>
        <v>71.67</v>
      </c>
      <c r="W286" s="3">
        <f>IFERROR(__xludf.DUMMYFUNCTION("""COMPUTED_VALUE"""),221.08)</f>
        <v>221.08</v>
      </c>
      <c r="X286" s="3">
        <f>IFERROR(__xludf.DUMMYFUNCTION("""COMPUTED_VALUE"""),145.57)</f>
        <v>145.57</v>
      </c>
      <c r="Y286" s="1">
        <f>IFERROR(__xludf.DUMMYFUNCTION("""COMPUTED_VALUE"""),334.39)</f>
        <v>334.39</v>
      </c>
      <c r="Z286" s="1">
        <f>IFERROR(__xludf.DUMMYFUNCTION("""COMPUTED_VALUE"""),46.1)</f>
        <v>46.1</v>
      </c>
      <c r="AA286" s="1">
        <f>IFERROR(__xludf.DUMMYFUNCTION("""COMPUTED_VALUE"""),71.67)</f>
        <v>71.67</v>
      </c>
      <c r="AB286" s="1">
        <f>IFERROR(__xludf.DUMMYFUNCTION("""COMPUTED_VALUE"""),100.78)</f>
        <v>100.78</v>
      </c>
      <c r="AC286" s="1">
        <f>IFERROR(__xludf.DUMMYFUNCTION("""COMPUTED_VALUE"""),171.25)</f>
        <v>171.25</v>
      </c>
      <c r="AD286" s="3">
        <f>IFERROR(__xludf.DUMMYFUNCTION("""COMPUTED_VALUE"""),101.5)</f>
        <v>101.5</v>
      </c>
      <c r="AE286" s="1">
        <f>IFERROR(__xludf.DUMMYFUNCTION("""COMPUTED_VALUE"""),457.53)</f>
        <v>457.53</v>
      </c>
      <c r="AF286" s="1">
        <f>IFERROR(__xludf.DUMMYFUNCTION("""COMPUTED_VALUE"""),76.1)</f>
        <v>76.1</v>
      </c>
      <c r="AG286" s="1">
        <f>IFERROR(__xludf.DUMMYFUNCTION("""COMPUTED_VALUE"""),109.24)</f>
        <v>109.24</v>
      </c>
      <c r="AH286" s="1">
        <f>IFERROR(__xludf.DUMMYFUNCTION("""COMPUTED_VALUE"""),234.33)</f>
        <v>234.33</v>
      </c>
      <c r="AI286" s="1">
        <f>IFERROR(__xludf.DUMMYFUNCTION("""COMPUTED_VALUE"""),489.37)</f>
        <v>489.37</v>
      </c>
      <c r="AJ286" s="1">
        <f>IFERROR(__xludf.DUMMYFUNCTION("""COMPUTED_VALUE"""),294.38)</f>
        <v>294.38</v>
      </c>
      <c r="AK286" s="1">
        <f>IFERROR(__xludf.DUMMYFUNCTION("""COMPUTED_VALUE"""),52.03)</f>
        <v>52.03</v>
      </c>
      <c r="AL286" s="1">
        <f>IFERROR(__xludf.DUMMYFUNCTION("""COMPUTED_VALUE"""),111.73)</f>
        <v>111.73</v>
      </c>
      <c r="AM286" s="1">
        <f>IFERROR(__xludf.DUMMYFUNCTION("""COMPUTED_VALUE"""),706.46)</f>
        <v>706.46</v>
      </c>
      <c r="AN286" s="1">
        <f>IFERROR(__xludf.DUMMYFUNCTION("""COMPUTED_VALUE"""),373.16)</f>
        <v>373.16</v>
      </c>
      <c r="AO286" s="1">
        <f>IFERROR(__xludf.DUMMYFUNCTION("""COMPUTED_VALUE"""),137.28)</f>
        <v>137.28</v>
      </c>
      <c r="AP286" s="1">
        <f>IFERROR(__xludf.DUMMYFUNCTION("""COMPUTED_VALUE"""),181.86)</f>
        <v>181.86</v>
      </c>
      <c r="AQ286" s="3">
        <f>IFERROR(__xludf.DUMMYFUNCTION("""COMPUTED_VALUE"""),537.99)</f>
        <v>537.99</v>
      </c>
      <c r="AR286" s="3">
        <f>IFERROR(__xludf.DUMMYFUNCTION("""COMPUTED_VALUE"""),290.41)</f>
        <v>290.41</v>
      </c>
      <c r="AS286" s="3">
        <f>IFERROR(__xludf.DUMMYFUNCTION("""COMPUTED_VALUE"""),465.94)</f>
        <v>465.94</v>
      </c>
      <c r="AT286" s="3">
        <f>IFERROR(__xludf.DUMMYFUNCTION("""COMPUTED_VALUE"""),245.12)</f>
        <v>245.12</v>
      </c>
      <c r="AU286" s="1">
        <f>IFERROR(__xludf.DUMMYFUNCTION("""COMPUTED_VALUE"""),32.0)</f>
        <v>32</v>
      </c>
      <c r="AV286" s="1">
        <f>IFERROR(__xludf.DUMMYFUNCTION("""COMPUTED_VALUE"""),88.75)</f>
        <v>88.75</v>
      </c>
      <c r="AW286" s="1">
        <f>IFERROR(__xludf.DUMMYFUNCTION("""COMPUTED_VALUE"""),81.09)</f>
        <v>81.09</v>
      </c>
      <c r="AX286" s="3">
        <f>IFERROR(__xludf.DUMMYFUNCTION("""COMPUTED_VALUE"""),31.49)</f>
        <v>31.49</v>
      </c>
      <c r="AY286" s="1">
        <f>IFERROR(__xludf.DUMMYFUNCTION("""COMPUTED_VALUE"""),492.05)</f>
        <v>492.05</v>
      </c>
      <c r="AZ286" s="3">
        <f>IFERROR(__xludf.DUMMYFUNCTION("""COMPUTED_VALUE"""),73.06)</f>
        <v>73.06</v>
      </c>
      <c r="BA286" s="3">
        <f>IFERROR(__xludf.DUMMYFUNCTION("""COMPUTED_VALUE"""),155.96)</f>
        <v>155.96</v>
      </c>
      <c r="BB286" s="3">
        <f>IFERROR(__xludf.DUMMYFUNCTION("""COMPUTED_VALUE"""),153.3)</f>
        <v>153.3</v>
      </c>
      <c r="BC286" s="1">
        <f>IFERROR(__xludf.DUMMYFUNCTION("""COMPUTED_VALUE"""),100.43)</f>
        <v>100.43</v>
      </c>
      <c r="BD286" s="1">
        <f>IFERROR(__xludf.DUMMYFUNCTION("""COMPUTED_VALUE"""),52.21)</f>
        <v>52.21</v>
      </c>
      <c r="BE286" s="3">
        <f>IFERROR(__xludf.DUMMYFUNCTION("""COMPUTED_VALUE"""),130.68)</f>
        <v>130.68</v>
      </c>
      <c r="BF286" s="1">
        <f>IFERROR(__xludf.DUMMYFUNCTION("""COMPUTED_VALUE"""),75.29)</f>
        <v>75.29</v>
      </c>
      <c r="BG286" s="1">
        <f>IFERROR(__xludf.DUMMYFUNCTION("""COMPUTED_VALUE"""),25.04)</f>
        <v>25.04</v>
      </c>
      <c r="BH286" s="1">
        <f>IFERROR(__xludf.DUMMYFUNCTION("""COMPUTED_VALUE"""),144.19)</f>
        <v>144.19</v>
      </c>
      <c r="BI286" s="3">
        <f>IFERROR(__xludf.DUMMYFUNCTION("""COMPUTED_VALUE"""),36.89)</f>
        <v>36.89</v>
      </c>
      <c r="BJ286" s="1">
        <f>IFERROR(__xludf.DUMMYFUNCTION("""COMPUTED_VALUE"""),241.51)</f>
        <v>241.51</v>
      </c>
      <c r="BK286" s="1">
        <f>IFERROR(__xludf.DUMMYFUNCTION("""COMPUTED_VALUE"""),421.47)</f>
        <v>421.47</v>
      </c>
      <c r="BL286" s="1">
        <f>IFERROR(__xludf.DUMMYFUNCTION("""COMPUTED_VALUE"""),171.54)</f>
        <v>171.54</v>
      </c>
      <c r="BM286" s="1">
        <f>IFERROR(__xludf.DUMMYFUNCTION("""COMPUTED_VALUE"""),130.1)</f>
        <v>130.1</v>
      </c>
      <c r="BN286" s="3">
        <f>IFERROR(__xludf.DUMMYFUNCTION("""COMPUTED_VALUE"""),7.09)</f>
        <v>7.09</v>
      </c>
      <c r="BO286" s="1">
        <f>IFERROR(__xludf.DUMMYFUNCTION("""COMPUTED_VALUE"""),235.57)</f>
        <v>235.57</v>
      </c>
      <c r="BP286" s="1">
        <f>IFERROR(__xludf.DUMMYFUNCTION("""COMPUTED_VALUE"""),326.14)</f>
        <v>326.14</v>
      </c>
      <c r="BQ286" s="36">
        <f>IFERROR(__xludf.DUMMYFUNCTION("""COMPUTED_VALUE"""),49.82)</f>
        <v>49.82</v>
      </c>
      <c r="BR286" s="1">
        <f>IFERROR(__xludf.DUMMYFUNCTION("""COMPUTED_VALUE"""),9.18)</f>
        <v>9.18</v>
      </c>
      <c r="BS286" s="3">
        <f>IFERROR(__xludf.DUMMYFUNCTION("""COMPUTED_VALUE"""),228.8)</f>
        <v>228.8</v>
      </c>
      <c r="BT286" s="1">
        <f>IFERROR(__xludf.DUMMYFUNCTION("""COMPUTED_VALUE"""),123.49)</f>
        <v>123.49</v>
      </c>
      <c r="BU286" s="3">
        <v>1.0</v>
      </c>
    </row>
    <row r="287">
      <c r="A287" s="25">
        <f>IFERROR(__xludf.DUMMYFUNCTION("""COMPUTED_VALUE"""),45840.66666666667)</f>
        <v>45840.66667</v>
      </c>
      <c r="B287" s="29">
        <f>'Master Scratch Work'!B286</f>
        <v>1406870.66</v>
      </c>
      <c r="C287" s="15">
        <f>IFERROR(__xludf.DUMMYFUNCTION("""COMPUTED_VALUE"""),6227.42)</f>
        <v>6227.42</v>
      </c>
      <c r="D287" s="15">
        <f>IFERROR(__xludf.DUMMYFUNCTION("""COMPUTED_VALUE"""),20393.13)</f>
        <v>20393.13</v>
      </c>
      <c r="E287" s="15">
        <f>IFERROR(__xludf.DUMMYFUNCTION("""COMPUTED_VALUE"""),44484.42)</f>
        <v>44484.42</v>
      </c>
      <c r="F287" s="15">
        <f>IFERROR(__xludf.DUMMYFUNCTION("""COMPUTED_VALUE"""),2226.38)</f>
        <v>2226.38</v>
      </c>
      <c r="G287" s="3">
        <f>IFERROR(__xludf.DUMMYFUNCTION("""COMPUTED_VALUE"""),620.45)</f>
        <v>620.45</v>
      </c>
      <c r="H287" s="3">
        <f>IFERROR(__xludf.DUMMYFUNCTION("""COMPUTED_VALUE"""),550.8)</f>
        <v>550.8</v>
      </c>
      <c r="I287" s="3">
        <f>IFERROR(__xludf.DUMMYFUNCTION("""COMPUTED_VALUE"""),378.47)</f>
        <v>378.47</v>
      </c>
      <c r="J287" s="3">
        <f>IFERROR(__xludf.DUMMYFUNCTION("""COMPUTED_VALUE"""),219.92)</f>
        <v>219.92</v>
      </c>
      <c r="K287" s="3">
        <f>IFERROR(__xludf.DUMMYFUNCTION("""COMPUTED_VALUE"""),140.31)</f>
        <v>140.31</v>
      </c>
      <c r="L287" s="3">
        <f>IFERROR(__xludf.DUMMYFUNCTION("""COMPUTED_VALUE"""),212.44)</f>
        <v>212.44</v>
      </c>
      <c r="M287" s="3">
        <f>IFERROR(__xludf.DUMMYFUNCTION("""COMPUTED_VALUE"""),190.01)</f>
        <v>190.01</v>
      </c>
      <c r="N287" s="3">
        <f>IFERROR(__xludf.DUMMYFUNCTION("""COMPUTED_VALUE"""),92.09)</f>
        <v>92.09</v>
      </c>
      <c r="O287" s="3">
        <f>IFERROR(__xludf.DUMMYFUNCTION("""COMPUTED_VALUE"""),17.88)</f>
        <v>17.88</v>
      </c>
      <c r="P287" s="3">
        <f>IFERROR(__xludf.DUMMYFUNCTION("""COMPUTED_VALUE"""),480.48)</f>
        <v>480.48</v>
      </c>
      <c r="Q287" s="3">
        <f>IFERROR(__xludf.DUMMYFUNCTION("""COMPUTED_VALUE"""),50.73)</f>
        <v>50.73</v>
      </c>
      <c r="R287" s="3">
        <f>IFERROR(__xludf.DUMMYFUNCTION("""COMPUTED_VALUE"""),133.19)</f>
        <v>133.19</v>
      </c>
      <c r="S287" s="3">
        <f>IFERROR(__xludf.DUMMYFUNCTION("""COMPUTED_VALUE"""),103.63)</f>
        <v>103.63</v>
      </c>
      <c r="T287" s="3">
        <f>IFERROR(__xludf.DUMMYFUNCTION("""COMPUTED_VALUE"""),75.26)</f>
        <v>75.26</v>
      </c>
      <c r="U287" s="3">
        <f>IFERROR(__xludf.DUMMYFUNCTION("""COMPUTED_VALUE"""),398.43)</f>
        <v>398.43</v>
      </c>
      <c r="V287" s="3">
        <f>IFERROR(__xludf.DUMMYFUNCTION("""COMPUTED_VALUE"""),71.66)</f>
        <v>71.66</v>
      </c>
      <c r="W287" s="3">
        <f>IFERROR(__xludf.DUMMYFUNCTION("""COMPUTED_VALUE"""),219.39)</f>
        <v>219.39</v>
      </c>
      <c r="X287" s="3">
        <f>IFERROR(__xludf.DUMMYFUNCTION("""COMPUTED_VALUE"""),147.98)</f>
        <v>147.98</v>
      </c>
      <c r="Y287" s="1">
        <f>IFERROR(__xludf.DUMMYFUNCTION("""COMPUTED_VALUE"""),320.39)</f>
        <v>320.39</v>
      </c>
      <c r="Z287" s="1">
        <f>IFERROR(__xludf.DUMMYFUNCTION("""COMPUTED_VALUE"""),47.03)</f>
        <v>47.03</v>
      </c>
      <c r="AA287" s="1">
        <f>IFERROR(__xludf.DUMMYFUNCTION("""COMPUTED_VALUE"""),70.91)</f>
        <v>70.91</v>
      </c>
      <c r="AB287" s="1">
        <f>IFERROR(__xludf.DUMMYFUNCTION("""COMPUTED_VALUE"""),99.92)</f>
        <v>99.92</v>
      </c>
      <c r="AC287" s="1">
        <f>IFERROR(__xludf.DUMMYFUNCTION("""COMPUTED_VALUE"""),172.16)</f>
        <v>172.16</v>
      </c>
      <c r="AD287" s="3">
        <f>IFERROR(__xludf.DUMMYFUNCTION("""COMPUTED_VALUE"""),103.01)</f>
        <v>103.01</v>
      </c>
      <c r="AE287" s="1">
        <f>IFERROR(__xludf.DUMMYFUNCTION("""COMPUTED_VALUE"""),453.94)</f>
        <v>453.94</v>
      </c>
      <c r="AF287" s="1">
        <f>IFERROR(__xludf.DUMMYFUNCTION("""COMPUTED_VALUE"""),75.78)</f>
        <v>75.78</v>
      </c>
      <c r="AG287" s="1">
        <f>IFERROR(__xludf.DUMMYFUNCTION("""COMPUTED_VALUE"""),111.05)</f>
        <v>111.05</v>
      </c>
      <c r="AH287" s="1">
        <f>IFERROR(__xludf.DUMMYFUNCTION("""COMPUTED_VALUE"""),239.14)</f>
        <v>239.14</v>
      </c>
      <c r="AI287" s="1">
        <f>IFERROR(__xludf.DUMMYFUNCTION("""COMPUTED_VALUE"""),491.56)</f>
        <v>491.56</v>
      </c>
      <c r="AJ287" s="1">
        <f>IFERROR(__xludf.DUMMYFUNCTION("""COMPUTED_VALUE"""),293.92)</f>
        <v>293.92</v>
      </c>
      <c r="AK287" s="1">
        <f>IFERROR(__xludf.DUMMYFUNCTION("""COMPUTED_VALUE"""),52.68)</f>
        <v>52.68</v>
      </c>
      <c r="AL287" s="1">
        <f>IFERROR(__xludf.DUMMYFUNCTION("""COMPUTED_VALUE"""),111.51)</f>
        <v>111.51</v>
      </c>
      <c r="AM287" s="1">
        <f>IFERROR(__xludf.DUMMYFUNCTION("""COMPUTED_VALUE"""),715.89)</f>
        <v>715.89</v>
      </c>
      <c r="AN287" s="1">
        <f>IFERROR(__xludf.DUMMYFUNCTION("""COMPUTED_VALUE"""),371.85)</f>
        <v>371.85</v>
      </c>
      <c r="AO287" s="1">
        <f>IFERROR(__xludf.DUMMYFUNCTION("""COMPUTED_VALUE"""),138.39)</f>
        <v>138.39</v>
      </c>
      <c r="AP287" s="1">
        <f>IFERROR(__xludf.DUMMYFUNCTION("""COMPUTED_VALUE"""),181.74)</f>
        <v>181.74</v>
      </c>
      <c r="AQ287" s="3">
        <f>IFERROR(__xludf.DUMMYFUNCTION("""COMPUTED_VALUE"""),540.6)</f>
        <v>540.6</v>
      </c>
      <c r="AR287" s="3">
        <f>IFERROR(__xludf.DUMMYFUNCTION("""COMPUTED_VALUE"""),292.0)</f>
        <v>292</v>
      </c>
      <c r="AS287" s="3">
        <f>IFERROR(__xludf.DUMMYFUNCTION("""COMPUTED_VALUE"""),462.55)</f>
        <v>462.55</v>
      </c>
      <c r="AT287" s="3">
        <f>IFERROR(__xludf.DUMMYFUNCTION("""COMPUTED_VALUE"""),246.3)</f>
        <v>246.3</v>
      </c>
      <c r="AU287" s="1">
        <f>IFERROR(__xludf.DUMMYFUNCTION("""COMPUTED_VALUE"""),31.45)</f>
        <v>31.45</v>
      </c>
      <c r="AV287" s="1">
        <f>IFERROR(__xludf.DUMMYFUNCTION("""COMPUTED_VALUE"""),88.28)</f>
        <v>88.28</v>
      </c>
      <c r="AW287" s="1">
        <f>IFERROR(__xludf.DUMMYFUNCTION("""COMPUTED_VALUE"""),80.15)</f>
        <v>80.15</v>
      </c>
      <c r="AX287" s="3">
        <f>IFERROR(__xludf.DUMMYFUNCTION("""COMPUTED_VALUE"""),32.37)</f>
        <v>32.37</v>
      </c>
      <c r="AY287" s="1">
        <f>IFERROR(__xludf.DUMMYFUNCTION("""COMPUTED_VALUE"""),491.09)</f>
        <v>491.09</v>
      </c>
      <c r="AZ287" s="3">
        <f>IFERROR(__xludf.DUMMYFUNCTION("""COMPUTED_VALUE"""),73.02)</f>
        <v>73.02</v>
      </c>
      <c r="BA287" s="3">
        <f>IFERROR(__xludf.DUMMYFUNCTION("""COMPUTED_VALUE"""),155.54)</f>
        <v>155.54</v>
      </c>
      <c r="BB287" s="3">
        <f>IFERROR(__xludf.DUMMYFUNCTION("""COMPUTED_VALUE"""),157.25)</f>
        <v>157.25</v>
      </c>
      <c r="BC287" s="1">
        <f>IFERROR(__xludf.DUMMYFUNCTION("""COMPUTED_VALUE"""),99.8)</f>
        <v>99.8</v>
      </c>
      <c r="BD287" s="1">
        <f>IFERROR(__xludf.DUMMYFUNCTION("""COMPUTED_VALUE"""),53.7)</f>
        <v>53.7</v>
      </c>
      <c r="BE287" s="3">
        <f>IFERROR(__xludf.DUMMYFUNCTION("""COMPUTED_VALUE"""),132.12)</f>
        <v>132.12</v>
      </c>
      <c r="BF287" s="1">
        <f>IFERROR(__xludf.DUMMYFUNCTION("""COMPUTED_VALUE"""),76.31)</f>
        <v>76.31</v>
      </c>
      <c r="BG287" s="1">
        <f>IFERROR(__xludf.DUMMYFUNCTION("""COMPUTED_VALUE"""),25.32)</f>
        <v>25.32</v>
      </c>
      <c r="BH287" s="1">
        <f>IFERROR(__xludf.DUMMYFUNCTION("""COMPUTED_VALUE"""),144.52)</f>
        <v>144.52</v>
      </c>
      <c r="BI287" s="3">
        <f>IFERROR(__xludf.DUMMYFUNCTION("""COMPUTED_VALUE"""),37.19)</f>
        <v>37.19</v>
      </c>
      <c r="BJ287" s="1">
        <f>IFERROR(__xludf.DUMMYFUNCTION("""COMPUTED_VALUE"""),237.42)</f>
        <v>237.42</v>
      </c>
      <c r="BK287" s="1">
        <f>IFERROR(__xludf.DUMMYFUNCTION("""COMPUTED_VALUE"""),427.76)</f>
        <v>427.76</v>
      </c>
      <c r="BL287" s="1">
        <f>IFERROR(__xludf.DUMMYFUNCTION("""COMPUTED_VALUE"""),172.01)</f>
        <v>172.01</v>
      </c>
      <c r="BM287" s="1">
        <f>IFERROR(__xludf.DUMMYFUNCTION("""COMPUTED_VALUE"""),127.69)</f>
        <v>127.69</v>
      </c>
      <c r="BN287" s="3">
        <f>IFERROR(__xludf.DUMMYFUNCTION("""COMPUTED_VALUE"""),7.22)</f>
        <v>7.22</v>
      </c>
      <c r="BO287" s="1">
        <f>IFERROR(__xludf.DUMMYFUNCTION("""COMPUTED_VALUE"""),237.16)</f>
        <v>237.16</v>
      </c>
      <c r="BP287" s="1">
        <f>IFERROR(__xludf.DUMMYFUNCTION("""COMPUTED_VALUE"""),307.56)</f>
        <v>307.56</v>
      </c>
      <c r="BQ287" s="36">
        <f>IFERROR(__xludf.DUMMYFUNCTION("""COMPUTED_VALUE"""),49.84)</f>
        <v>49.84</v>
      </c>
      <c r="BR287" s="1">
        <f>IFERROR(__xludf.DUMMYFUNCTION("""COMPUTED_VALUE"""),9.34)</f>
        <v>9.34</v>
      </c>
      <c r="BS287" s="3">
        <f>IFERROR(__xludf.DUMMYFUNCTION("""COMPUTED_VALUE"""),223.39)</f>
        <v>223.39</v>
      </c>
      <c r="BT287" s="1">
        <f>IFERROR(__xludf.DUMMYFUNCTION("""COMPUTED_VALUE"""),122.98)</f>
        <v>122.98</v>
      </c>
      <c r="BU287" s="3">
        <v>1.0</v>
      </c>
    </row>
    <row r="288">
      <c r="A288" s="25">
        <f>IFERROR(__xludf.DUMMYFUNCTION("""COMPUTED_VALUE"""),45841.54513888889)</f>
        <v>45841.54514</v>
      </c>
      <c r="B288" s="29">
        <f>'Master Scratch Work'!B287</f>
        <v>1417006.99</v>
      </c>
      <c r="C288" s="15">
        <f>IFERROR(__xludf.DUMMYFUNCTION("""COMPUTED_VALUE"""),6279.35)</f>
        <v>6279.35</v>
      </c>
      <c r="D288" s="15">
        <f>IFERROR(__xludf.DUMMYFUNCTION("""COMPUTED_VALUE"""),20601.1)</f>
        <v>20601.1</v>
      </c>
      <c r="E288" s="15">
        <f>IFERROR(__xludf.DUMMYFUNCTION("""COMPUTED_VALUE"""),44828.53)</f>
        <v>44828.53</v>
      </c>
      <c r="F288" s="15">
        <f>IFERROR(__xludf.DUMMYFUNCTION("""COMPUTED_VALUE"""),2249.04)</f>
        <v>2249.04</v>
      </c>
      <c r="G288" s="3">
        <f>IFERROR(__xludf.DUMMYFUNCTION("""COMPUTED_VALUE"""),625.34)</f>
        <v>625.34</v>
      </c>
      <c r="H288" s="3">
        <f>IFERROR(__xludf.DUMMYFUNCTION("""COMPUTED_VALUE"""),556.22)</f>
        <v>556.22</v>
      </c>
      <c r="I288" s="3">
        <f>IFERROR(__xludf.DUMMYFUNCTION("""COMPUTED_VALUE"""),379.31)</f>
        <v>379.31</v>
      </c>
      <c r="J288" s="3">
        <f>IFERROR(__xludf.DUMMYFUNCTION("""COMPUTED_VALUE"""),223.41)</f>
        <v>223.41</v>
      </c>
      <c r="K288" s="3">
        <f>IFERROR(__xludf.DUMMYFUNCTION("""COMPUTED_VALUE"""),140.05)</f>
        <v>140.05</v>
      </c>
      <c r="L288" s="3">
        <f>IFERROR(__xludf.DUMMYFUNCTION("""COMPUTED_VALUE"""),213.55)</f>
        <v>213.55</v>
      </c>
      <c r="M288" s="3">
        <f>IFERROR(__xludf.DUMMYFUNCTION("""COMPUTED_VALUE"""),191.05)</f>
        <v>191.05</v>
      </c>
      <c r="N288" s="3">
        <f>IFERROR(__xludf.DUMMYFUNCTION("""COMPUTED_VALUE"""),92.43)</f>
        <v>92.43</v>
      </c>
      <c r="O288" s="3">
        <f>IFERROR(__xludf.DUMMYFUNCTION("""COMPUTED_VALUE"""),18.26)</f>
        <v>18.26</v>
      </c>
      <c r="P288" s="3">
        <f>IFERROR(__xludf.DUMMYFUNCTION("""COMPUTED_VALUE"""),485.0)</f>
        <v>485</v>
      </c>
      <c r="Q288" s="3">
        <f>IFERROR(__xludf.DUMMYFUNCTION("""COMPUTED_VALUE"""),50.52)</f>
        <v>50.52</v>
      </c>
      <c r="R288" s="3">
        <f>IFERROR(__xludf.DUMMYFUNCTION("""COMPUTED_VALUE"""),132.87)</f>
        <v>132.87</v>
      </c>
      <c r="S288" s="3">
        <f>IFERROR(__xludf.DUMMYFUNCTION("""COMPUTED_VALUE"""),104.32)</f>
        <v>104.32</v>
      </c>
      <c r="T288" s="3">
        <f>IFERROR(__xludf.DUMMYFUNCTION("""COMPUTED_VALUE"""),75.65)</f>
        <v>75.65</v>
      </c>
      <c r="U288" s="3">
        <f>IFERROR(__xludf.DUMMYFUNCTION("""COMPUTED_VALUE"""),397.86)</f>
        <v>397.86</v>
      </c>
      <c r="V288" s="3">
        <f>IFERROR(__xludf.DUMMYFUNCTION("""COMPUTED_VALUE"""),73.45)</f>
        <v>73.45</v>
      </c>
      <c r="W288" s="3">
        <f>IFERROR(__xludf.DUMMYFUNCTION("""COMPUTED_VALUE"""),223.63)</f>
        <v>223.63</v>
      </c>
      <c r="X288" s="3">
        <f>IFERROR(__xludf.DUMMYFUNCTION("""COMPUTED_VALUE"""),148.37)</f>
        <v>148.37</v>
      </c>
      <c r="Y288" s="1">
        <f>IFERROR(__xludf.DUMMYFUNCTION("""COMPUTED_VALUE"""),319.75)</f>
        <v>319.75</v>
      </c>
      <c r="Z288" s="1">
        <f>IFERROR(__xludf.DUMMYFUNCTION("""COMPUTED_VALUE"""),47.72)</f>
        <v>47.72</v>
      </c>
      <c r="AA288" s="1">
        <f>IFERROR(__xludf.DUMMYFUNCTION("""COMPUTED_VALUE"""),71.35)</f>
        <v>71.35</v>
      </c>
      <c r="AB288" s="1">
        <f>IFERROR(__xludf.DUMMYFUNCTION("""COMPUTED_VALUE"""),100.31)</f>
        <v>100.31</v>
      </c>
      <c r="AC288" s="1">
        <f>IFERROR(__xludf.DUMMYFUNCTION("""COMPUTED_VALUE"""),172.6)</f>
        <v>172.6</v>
      </c>
      <c r="AD288" s="3">
        <f>IFERROR(__xludf.DUMMYFUNCTION("""COMPUTED_VALUE"""),101.91)</f>
        <v>101.91</v>
      </c>
      <c r="AE288" s="1">
        <f>IFERROR(__xludf.DUMMYFUNCTION("""COMPUTED_VALUE"""),452.18)</f>
        <v>452.18</v>
      </c>
      <c r="AF288" s="1">
        <f>IFERROR(__xludf.DUMMYFUNCTION("""COMPUTED_VALUE"""),76.36)</f>
        <v>76.36</v>
      </c>
      <c r="AG288" s="1">
        <f>IFERROR(__xludf.DUMMYFUNCTION("""COMPUTED_VALUE"""),112.2)</f>
        <v>112.2</v>
      </c>
      <c r="AH288" s="1">
        <f>IFERROR(__xludf.DUMMYFUNCTION("""COMPUTED_VALUE"""),241.23)</f>
        <v>241.23</v>
      </c>
      <c r="AI288" s="1">
        <f>IFERROR(__xludf.DUMMYFUNCTION("""COMPUTED_VALUE"""),490.2)</f>
        <v>490.2</v>
      </c>
      <c r="AJ288" s="1">
        <f>IFERROR(__xludf.DUMMYFUNCTION("""COMPUTED_VALUE"""),294.76)</f>
        <v>294.76</v>
      </c>
      <c r="AK288" s="1">
        <f>IFERROR(__xludf.DUMMYFUNCTION("""COMPUTED_VALUE"""),52.89)</f>
        <v>52.89</v>
      </c>
      <c r="AL288" s="1">
        <f>IFERROR(__xludf.DUMMYFUNCTION("""COMPUTED_VALUE"""),111.75)</f>
        <v>111.75</v>
      </c>
      <c r="AM288" s="1">
        <f>IFERROR(__xludf.DUMMYFUNCTION("""COMPUTED_VALUE"""),723.68)</f>
        <v>723.68</v>
      </c>
      <c r="AN288" s="1">
        <f>IFERROR(__xludf.DUMMYFUNCTION("""COMPUTED_VALUE"""),371.68)</f>
        <v>371.68</v>
      </c>
      <c r="AO288" s="1">
        <f>IFERROR(__xludf.DUMMYFUNCTION("""COMPUTED_VALUE"""),139.61)</f>
        <v>139.61</v>
      </c>
      <c r="AP288" s="1">
        <f>IFERROR(__xludf.DUMMYFUNCTION("""COMPUTED_VALUE"""),183.11)</f>
        <v>183.11</v>
      </c>
      <c r="AQ288" s="3">
        <f>IFERROR(__xludf.DUMMYFUNCTION("""COMPUTED_VALUE"""),544.47)</f>
        <v>544.47</v>
      </c>
      <c r="AR288" s="3">
        <f>IFERROR(__xludf.DUMMYFUNCTION("""COMPUTED_VALUE"""),296.0)</f>
        <v>296</v>
      </c>
      <c r="AS288" s="3">
        <f>IFERROR(__xludf.DUMMYFUNCTION("""COMPUTED_VALUE"""),462.52)</f>
        <v>462.52</v>
      </c>
      <c r="AT288" s="3">
        <f>IFERROR(__xludf.DUMMYFUNCTION("""COMPUTED_VALUE"""),247.68)</f>
        <v>247.68</v>
      </c>
      <c r="AU288" s="1">
        <f>IFERROR(__xludf.DUMMYFUNCTION("""COMPUTED_VALUE"""),31.88)</f>
        <v>31.88</v>
      </c>
      <c r="AV288" s="1">
        <f>IFERROR(__xludf.DUMMYFUNCTION("""COMPUTED_VALUE"""),88.39)</f>
        <v>88.39</v>
      </c>
      <c r="AW288" s="1">
        <f>IFERROR(__xludf.DUMMYFUNCTION("""COMPUTED_VALUE"""),80.65)</f>
        <v>80.65</v>
      </c>
      <c r="AX288" s="3">
        <f>IFERROR(__xludf.DUMMYFUNCTION("""COMPUTED_VALUE"""),31.84)</f>
        <v>31.84</v>
      </c>
      <c r="AY288" s="1">
        <f>IFERROR(__xludf.DUMMYFUNCTION("""COMPUTED_VALUE"""),498.84)</f>
        <v>498.84</v>
      </c>
      <c r="AZ288" s="3">
        <f>IFERROR(__xludf.DUMMYFUNCTION("""COMPUTED_VALUE"""),73.88)</f>
        <v>73.88</v>
      </c>
      <c r="BA288" s="3">
        <f>IFERROR(__xludf.DUMMYFUNCTION("""COMPUTED_VALUE"""),158.39)</f>
        <v>158.39</v>
      </c>
      <c r="BB288" s="3">
        <f>IFERROR(__xludf.DUMMYFUNCTION("""COMPUTED_VALUE"""),159.34)</f>
        <v>159.34</v>
      </c>
      <c r="BC288" s="1">
        <f>IFERROR(__xludf.DUMMYFUNCTION("""COMPUTED_VALUE"""),99.51)</f>
        <v>99.51</v>
      </c>
      <c r="BD288" s="1">
        <f>IFERROR(__xludf.DUMMYFUNCTION("""COMPUTED_VALUE"""),54.31)</f>
        <v>54.31</v>
      </c>
      <c r="BE288" s="3">
        <f>IFERROR(__xludf.DUMMYFUNCTION("""COMPUTED_VALUE"""),134.36)</f>
        <v>134.36</v>
      </c>
      <c r="BF288" s="1">
        <f>IFERROR(__xludf.DUMMYFUNCTION("""COMPUTED_VALUE"""),76.59)</f>
        <v>76.59</v>
      </c>
      <c r="BG288" s="1">
        <f>IFERROR(__xludf.DUMMYFUNCTION("""COMPUTED_VALUE"""),25.38)</f>
        <v>25.38</v>
      </c>
      <c r="BH288" s="1">
        <f>IFERROR(__xludf.DUMMYFUNCTION("""COMPUTED_VALUE"""),145.75)</f>
        <v>145.75</v>
      </c>
      <c r="BI288" s="3">
        <f>IFERROR(__xludf.DUMMYFUNCTION("""COMPUTED_VALUE"""),37.87)</f>
        <v>37.87</v>
      </c>
      <c r="BJ288" s="1">
        <f>IFERROR(__xludf.DUMMYFUNCTION("""COMPUTED_VALUE"""),240.75)</f>
        <v>240.75</v>
      </c>
      <c r="BK288" s="1">
        <f>IFERROR(__xludf.DUMMYFUNCTION("""COMPUTED_VALUE"""),429.33)</f>
        <v>429.33</v>
      </c>
      <c r="BL288" s="1">
        <f>IFERROR(__xludf.DUMMYFUNCTION("""COMPUTED_VALUE"""),174.89)</f>
        <v>174.89</v>
      </c>
      <c r="BM288" s="1">
        <f>IFERROR(__xludf.DUMMYFUNCTION("""COMPUTED_VALUE"""),129.19)</f>
        <v>129.19</v>
      </c>
      <c r="BN288" s="3">
        <f>IFERROR(__xludf.DUMMYFUNCTION("""COMPUTED_VALUE"""),7.11)</f>
        <v>7.11</v>
      </c>
      <c r="BO288" s="1">
        <f>IFERROR(__xludf.DUMMYFUNCTION("""COMPUTED_VALUE"""),236.28)</f>
        <v>236.28</v>
      </c>
      <c r="BP288" s="1">
        <f>IFERROR(__xludf.DUMMYFUNCTION("""COMPUTED_VALUE"""),308.55)</f>
        <v>308.55</v>
      </c>
      <c r="BQ288" s="36">
        <f>IFERROR(__xludf.DUMMYFUNCTION("""COMPUTED_VALUE"""),49.78)</f>
        <v>49.78</v>
      </c>
      <c r="BR288" s="1">
        <f>IFERROR(__xludf.DUMMYFUNCTION("""COMPUTED_VALUE"""),9.32)</f>
        <v>9.32</v>
      </c>
      <c r="BS288" s="3">
        <f>IFERROR(__xludf.DUMMYFUNCTION("""COMPUTED_VALUE"""),227.1)</f>
        <v>227.1</v>
      </c>
      <c r="BT288" s="1">
        <f>IFERROR(__xludf.DUMMYFUNCTION("""COMPUTED_VALUE"""),124.0)</f>
        <v>124</v>
      </c>
      <c r="BU288" s="3">
        <v>1.0</v>
      </c>
    </row>
    <row r="289">
      <c r="A289" s="25">
        <f>IFERROR(__xludf.DUMMYFUNCTION("""COMPUTED_VALUE"""),45845.66666666667)</f>
        <v>45845.66667</v>
      </c>
      <c r="B289" s="29">
        <f>'Master Scratch Work'!B288</f>
        <v>1407280.08</v>
      </c>
      <c r="C289" s="15">
        <f>IFERROR(__xludf.DUMMYFUNCTION("""COMPUTED_VALUE"""),6229.98)</f>
        <v>6229.98</v>
      </c>
      <c r="D289" s="15">
        <f>IFERROR(__xludf.DUMMYFUNCTION("""COMPUTED_VALUE"""),20412.52)</f>
        <v>20412.52</v>
      </c>
      <c r="E289" s="15">
        <f>IFERROR(__xludf.DUMMYFUNCTION("""COMPUTED_VALUE"""),44406.36)</f>
        <v>44406.36</v>
      </c>
      <c r="F289" s="15">
        <f>IFERROR(__xludf.DUMMYFUNCTION("""COMPUTED_VALUE"""),2214.23)</f>
        <v>2214.23</v>
      </c>
      <c r="G289" s="3">
        <f>IFERROR(__xludf.DUMMYFUNCTION("""COMPUTED_VALUE"""),620.68)</f>
        <v>620.68</v>
      </c>
      <c r="H289" s="3">
        <f>IFERROR(__xludf.DUMMYFUNCTION("""COMPUTED_VALUE"""),552.03)</f>
        <v>552.03</v>
      </c>
      <c r="I289" s="3">
        <f>IFERROR(__xludf.DUMMYFUNCTION("""COMPUTED_VALUE"""),376.93)</f>
        <v>376.93</v>
      </c>
      <c r="J289" s="3">
        <f>IFERROR(__xludf.DUMMYFUNCTION("""COMPUTED_VALUE"""),223.47)</f>
        <v>223.47</v>
      </c>
      <c r="K289" s="3">
        <f>IFERROR(__xludf.DUMMYFUNCTION("""COMPUTED_VALUE"""),139.96)</f>
        <v>139.96</v>
      </c>
      <c r="L289" s="3">
        <f>IFERROR(__xludf.DUMMYFUNCTION("""COMPUTED_VALUE"""),209.95)</f>
        <v>209.95</v>
      </c>
      <c r="M289" s="3">
        <f>IFERROR(__xludf.DUMMYFUNCTION("""COMPUTED_VALUE"""),190.78)</f>
        <v>190.78</v>
      </c>
      <c r="N289" s="3">
        <f>IFERROR(__xludf.DUMMYFUNCTION("""COMPUTED_VALUE"""),93.25)</f>
        <v>93.25</v>
      </c>
      <c r="O289" s="3">
        <f>IFERROR(__xludf.DUMMYFUNCTION("""COMPUTED_VALUE"""),18.19)</f>
        <v>18.19</v>
      </c>
      <c r="P289" s="3">
        <f>IFERROR(__xludf.DUMMYFUNCTION("""COMPUTED_VALUE"""),478.03)</f>
        <v>478.03</v>
      </c>
      <c r="Q289" s="3">
        <f>IFERROR(__xludf.DUMMYFUNCTION("""COMPUTED_VALUE"""),49.39)</f>
        <v>49.39</v>
      </c>
      <c r="R289" s="3">
        <f>IFERROR(__xludf.DUMMYFUNCTION("""COMPUTED_VALUE"""),130.13)</f>
        <v>130.13</v>
      </c>
      <c r="S289" s="3">
        <f>IFERROR(__xludf.DUMMYFUNCTION("""COMPUTED_VALUE"""),103.83)</f>
        <v>103.83</v>
      </c>
      <c r="T289" s="3">
        <f>IFERROR(__xludf.DUMMYFUNCTION("""COMPUTED_VALUE"""),74.64)</f>
        <v>74.64</v>
      </c>
      <c r="U289" s="3">
        <f>IFERROR(__xludf.DUMMYFUNCTION("""COMPUTED_VALUE"""),391.51)</f>
        <v>391.51</v>
      </c>
      <c r="V289" s="3">
        <f>IFERROR(__xludf.DUMMYFUNCTION("""COMPUTED_VALUE"""),75.19)</f>
        <v>75.19</v>
      </c>
      <c r="W289" s="3">
        <f>IFERROR(__xludf.DUMMYFUNCTION("""COMPUTED_VALUE"""),222.99)</f>
        <v>222.99</v>
      </c>
      <c r="X289" s="3">
        <f>IFERROR(__xludf.DUMMYFUNCTION("""COMPUTED_VALUE"""),147.4)</f>
        <v>147.4</v>
      </c>
      <c r="Y289" s="1">
        <f>IFERROR(__xludf.DUMMYFUNCTION("""COMPUTED_VALUE"""),313.63)</f>
        <v>313.63</v>
      </c>
      <c r="Z289" s="1">
        <f>IFERROR(__xludf.DUMMYFUNCTION("""COMPUTED_VALUE"""),47.06)</f>
        <v>47.06</v>
      </c>
      <c r="AA289" s="1">
        <f>IFERROR(__xludf.DUMMYFUNCTION("""COMPUTED_VALUE"""),71.01)</f>
        <v>71.01</v>
      </c>
      <c r="AB289" s="1">
        <f>IFERROR(__xludf.DUMMYFUNCTION("""COMPUTED_VALUE"""),99.71)</f>
        <v>99.71</v>
      </c>
      <c r="AC289" s="1">
        <f>IFERROR(__xludf.DUMMYFUNCTION("""COMPUTED_VALUE"""),171.64)</f>
        <v>171.64</v>
      </c>
      <c r="AD289" s="3">
        <f>IFERROR(__xludf.DUMMYFUNCTION("""COMPUTED_VALUE"""),104.23)</f>
        <v>104.23</v>
      </c>
      <c r="AE289" s="1">
        <f>IFERROR(__xludf.DUMMYFUNCTION("""COMPUTED_VALUE"""),453.22)</f>
        <v>453.22</v>
      </c>
      <c r="AF289" s="1">
        <f>IFERROR(__xludf.DUMMYFUNCTION("""COMPUTED_VALUE"""),75.91)</f>
        <v>75.91</v>
      </c>
      <c r="AG289" s="1">
        <f>IFERROR(__xludf.DUMMYFUNCTION("""COMPUTED_VALUE"""),111.11)</f>
        <v>111.11</v>
      </c>
      <c r="AH289" s="1">
        <f>IFERROR(__xludf.DUMMYFUNCTION("""COMPUTED_VALUE"""),235.09)</f>
        <v>235.09</v>
      </c>
      <c r="AI289" s="1">
        <f>IFERROR(__xludf.DUMMYFUNCTION("""COMPUTED_VALUE"""),486.32)</f>
        <v>486.32</v>
      </c>
      <c r="AJ289" s="1">
        <f>IFERROR(__xludf.DUMMYFUNCTION("""COMPUTED_VALUE"""),294.65)</f>
        <v>294.65</v>
      </c>
      <c r="AK289" s="1">
        <f>IFERROR(__xludf.DUMMYFUNCTION("""COMPUTED_VALUE"""),51.82)</f>
        <v>51.82</v>
      </c>
      <c r="AL289" s="1">
        <f>IFERROR(__xludf.DUMMYFUNCTION("""COMPUTED_VALUE"""),111.78)</f>
        <v>111.78</v>
      </c>
      <c r="AM289" s="1">
        <f>IFERROR(__xludf.DUMMYFUNCTION("""COMPUTED_VALUE"""),710.93)</f>
        <v>710.93</v>
      </c>
      <c r="AN289" s="1">
        <f>IFERROR(__xludf.DUMMYFUNCTION("""COMPUTED_VALUE"""),367.64)</f>
        <v>367.64</v>
      </c>
      <c r="AO289" s="1">
        <f>IFERROR(__xludf.DUMMYFUNCTION("""COMPUTED_VALUE"""),138.63)</f>
        <v>138.63</v>
      </c>
      <c r="AP289" s="1">
        <f>IFERROR(__xludf.DUMMYFUNCTION("""COMPUTED_VALUE"""),183.09)</f>
        <v>183.09</v>
      </c>
      <c r="AQ289" s="3">
        <f>IFERROR(__xludf.DUMMYFUNCTION("""COMPUTED_VALUE"""),534.71)</f>
        <v>534.71</v>
      </c>
      <c r="AR289" s="3">
        <f>IFERROR(__xludf.DUMMYFUNCTION("""COMPUTED_VALUE"""),291.97)</f>
        <v>291.97</v>
      </c>
      <c r="AS289" s="3">
        <f>IFERROR(__xludf.DUMMYFUNCTION("""COMPUTED_VALUE"""),469.06)</f>
        <v>469.06</v>
      </c>
      <c r="AT289" s="3">
        <f>IFERROR(__xludf.DUMMYFUNCTION("""COMPUTED_VALUE"""),237.57)</f>
        <v>237.57</v>
      </c>
      <c r="AU289" s="1">
        <f>IFERROR(__xludf.DUMMYFUNCTION("""COMPUTED_VALUE"""),30.64)</f>
        <v>30.64</v>
      </c>
      <c r="AV289" s="1">
        <f>IFERROR(__xludf.DUMMYFUNCTION("""COMPUTED_VALUE"""),87.67)</f>
        <v>87.67</v>
      </c>
      <c r="AW289" s="1">
        <f>IFERROR(__xludf.DUMMYFUNCTION("""COMPUTED_VALUE"""),79.18)</f>
        <v>79.18</v>
      </c>
      <c r="AX289" s="3">
        <f>IFERROR(__xludf.DUMMYFUNCTION("""COMPUTED_VALUE"""),31.05)</f>
        <v>31.05</v>
      </c>
      <c r="AY289" s="1">
        <f>IFERROR(__xludf.DUMMYFUNCTION("""COMPUTED_VALUE"""),497.72)</f>
        <v>497.72</v>
      </c>
      <c r="AZ289" s="3">
        <f>IFERROR(__xludf.DUMMYFUNCTION("""COMPUTED_VALUE"""),74.75)</f>
        <v>74.75</v>
      </c>
      <c r="BA289" s="3">
        <f>IFERROR(__xludf.DUMMYFUNCTION("""COMPUTED_VALUE"""),158.69)</f>
        <v>158.69</v>
      </c>
      <c r="BB289" s="3">
        <f>IFERROR(__xludf.DUMMYFUNCTION("""COMPUTED_VALUE"""),158.24)</f>
        <v>158.24</v>
      </c>
      <c r="BC289" s="1">
        <f>IFERROR(__xludf.DUMMYFUNCTION("""COMPUTED_VALUE"""),99.78)</f>
        <v>99.78</v>
      </c>
      <c r="BD289" s="1">
        <f>IFERROR(__xludf.DUMMYFUNCTION("""COMPUTED_VALUE"""),54.36)</f>
        <v>54.36</v>
      </c>
      <c r="BE289" s="3">
        <f>IFERROR(__xludf.DUMMYFUNCTION("""COMPUTED_VALUE"""),139.12)</f>
        <v>139.12</v>
      </c>
      <c r="BF289" s="1">
        <f>IFERROR(__xludf.DUMMYFUNCTION("""COMPUTED_VALUE"""),76.18)</f>
        <v>76.18</v>
      </c>
      <c r="BG289" s="1">
        <f>IFERROR(__xludf.DUMMYFUNCTION("""COMPUTED_VALUE"""),25.24)</f>
        <v>25.24</v>
      </c>
      <c r="BH289" s="1">
        <f>IFERROR(__xludf.DUMMYFUNCTION("""COMPUTED_VALUE"""),145.92)</f>
        <v>145.92</v>
      </c>
      <c r="BI289" s="3">
        <f>IFERROR(__xludf.DUMMYFUNCTION("""COMPUTED_VALUE"""),36.67)</f>
        <v>36.67</v>
      </c>
      <c r="BJ289" s="1">
        <f>IFERROR(__xludf.DUMMYFUNCTION("""COMPUTED_VALUE"""),237.63)</f>
        <v>237.63</v>
      </c>
      <c r="BK289" s="1">
        <f>IFERROR(__xludf.DUMMYFUNCTION("""COMPUTED_VALUE"""),418.7)</f>
        <v>418.7</v>
      </c>
      <c r="BL289" s="1">
        <f>IFERROR(__xludf.DUMMYFUNCTION("""COMPUTED_VALUE"""),167.86)</f>
        <v>167.86</v>
      </c>
      <c r="BM289" s="1">
        <f>IFERROR(__xludf.DUMMYFUNCTION("""COMPUTED_VALUE"""),125.17)</f>
        <v>125.17</v>
      </c>
      <c r="BN289" s="3">
        <f>IFERROR(__xludf.DUMMYFUNCTION("""COMPUTED_VALUE"""),6.98)</f>
        <v>6.98</v>
      </c>
      <c r="BO289" s="1">
        <f>IFERROR(__xludf.DUMMYFUNCTION("""COMPUTED_VALUE"""),235.35)</f>
        <v>235.35</v>
      </c>
      <c r="BP289" s="1">
        <f>IFERROR(__xludf.DUMMYFUNCTION("""COMPUTED_VALUE"""),303.71)</f>
        <v>303.71</v>
      </c>
      <c r="BQ289" s="36">
        <f>IFERROR(__xludf.DUMMYFUNCTION("""COMPUTED_VALUE"""),49.86)</f>
        <v>49.86</v>
      </c>
      <c r="BR289" s="1">
        <f>IFERROR(__xludf.DUMMYFUNCTION("""COMPUTED_VALUE"""),9.2)</f>
        <v>9.2</v>
      </c>
      <c r="BS289" s="3">
        <f>IFERROR(__xludf.DUMMYFUNCTION("""COMPUTED_VALUE"""),226.92)</f>
        <v>226.92</v>
      </c>
      <c r="BT289" s="1">
        <f>IFERROR(__xludf.DUMMYFUNCTION("""COMPUTED_VALUE"""),123.16)</f>
        <v>123.16</v>
      </c>
      <c r="BU289" s="3">
        <v>1.0</v>
      </c>
    </row>
    <row r="290">
      <c r="A290" s="25">
        <f>IFERROR(__xludf.DUMMYFUNCTION("""COMPUTED_VALUE"""),45846.66666666667)</f>
        <v>45846.66667</v>
      </c>
      <c r="B290" s="29">
        <f>'Master Scratch Work'!B289</f>
        <v>1403708.65</v>
      </c>
      <c r="C290" s="15">
        <f>IFERROR(__xludf.DUMMYFUNCTION("""COMPUTED_VALUE"""),6225.52)</f>
        <v>6225.52</v>
      </c>
      <c r="D290" s="15">
        <f>IFERROR(__xludf.DUMMYFUNCTION("""COMPUTED_VALUE"""),20418.46)</f>
        <v>20418.46</v>
      </c>
      <c r="E290" s="15">
        <f>IFERROR(__xludf.DUMMYFUNCTION("""COMPUTED_VALUE"""),44240.76)</f>
        <v>44240.76</v>
      </c>
      <c r="F290" s="15">
        <f>IFERROR(__xludf.DUMMYFUNCTION("""COMPUTED_VALUE"""),2228.74)</f>
        <v>2228.74</v>
      </c>
      <c r="G290" s="3">
        <f>IFERROR(__xludf.DUMMYFUNCTION("""COMPUTED_VALUE"""),620.34)</f>
        <v>620.34</v>
      </c>
      <c r="H290" s="3">
        <f>IFERROR(__xludf.DUMMYFUNCTION("""COMPUTED_VALUE"""),552.34)</f>
        <v>552.34</v>
      </c>
      <c r="I290" s="3">
        <f>IFERROR(__xludf.DUMMYFUNCTION("""COMPUTED_VALUE"""),382.24)</f>
        <v>382.24</v>
      </c>
      <c r="J290" s="3">
        <f>IFERROR(__xludf.DUMMYFUNCTION("""COMPUTED_VALUE"""),219.36)</f>
        <v>219.36</v>
      </c>
      <c r="K290" s="3">
        <f>IFERROR(__xludf.DUMMYFUNCTION("""COMPUTED_VALUE"""),141.02)</f>
        <v>141.02</v>
      </c>
      <c r="L290" s="3">
        <f>IFERROR(__xludf.DUMMYFUNCTION("""COMPUTED_VALUE"""),210.01)</f>
        <v>210.01</v>
      </c>
      <c r="M290" s="3">
        <f>IFERROR(__xludf.DUMMYFUNCTION("""COMPUTED_VALUE"""),194.99)</f>
        <v>194.99</v>
      </c>
      <c r="N290" s="3">
        <f>IFERROR(__xludf.DUMMYFUNCTION("""COMPUTED_VALUE"""),92.69)</f>
        <v>92.69</v>
      </c>
      <c r="O290" s="3">
        <f>IFERROR(__xludf.DUMMYFUNCTION("""COMPUTED_VALUE"""),18.31)</f>
        <v>18.31</v>
      </c>
      <c r="P290" s="3">
        <f>IFERROR(__xludf.DUMMYFUNCTION("""COMPUTED_VALUE"""),477.47)</f>
        <v>477.47</v>
      </c>
      <c r="Q290" s="3">
        <f>IFERROR(__xludf.DUMMYFUNCTION("""COMPUTED_VALUE"""),49.36)</f>
        <v>49.36</v>
      </c>
      <c r="R290" s="3">
        <f>IFERROR(__xludf.DUMMYFUNCTION("""COMPUTED_VALUE"""),134.46)</f>
        <v>134.46</v>
      </c>
      <c r="S290" s="3">
        <f>IFERROR(__xludf.DUMMYFUNCTION("""COMPUTED_VALUE"""),102.41)</f>
        <v>102.41</v>
      </c>
      <c r="T290" s="3">
        <f>IFERROR(__xludf.DUMMYFUNCTION("""COMPUTED_VALUE"""),74.9)</f>
        <v>74.9</v>
      </c>
      <c r="U290" s="3">
        <f>IFERROR(__xludf.DUMMYFUNCTION("""COMPUTED_VALUE"""),394.29)</f>
        <v>394.29</v>
      </c>
      <c r="V290" s="3">
        <f>IFERROR(__xludf.DUMMYFUNCTION("""COMPUTED_VALUE"""),71.94)</f>
        <v>71.94</v>
      </c>
      <c r="W290" s="3">
        <f>IFERROR(__xludf.DUMMYFUNCTION("""COMPUTED_VALUE"""),226.19)</f>
        <v>226.19</v>
      </c>
      <c r="X290" s="3">
        <f>IFERROR(__xludf.DUMMYFUNCTION("""COMPUTED_VALUE"""),153.24)</f>
        <v>153.24</v>
      </c>
      <c r="Y290" s="1">
        <f>IFERROR(__xludf.DUMMYFUNCTION("""COMPUTED_VALUE"""),312.0)</f>
        <v>312</v>
      </c>
      <c r="Z290" s="1">
        <f>IFERROR(__xludf.DUMMYFUNCTION("""COMPUTED_VALUE"""),47.53)</f>
        <v>47.53</v>
      </c>
      <c r="AA290" s="1">
        <f>IFERROR(__xludf.DUMMYFUNCTION("""COMPUTED_VALUE"""),70.24)</f>
        <v>70.24</v>
      </c>
      <c r="AB290" s="1">
        <f>IFERROR(__xludf.DUMMYFUNCTION("""COMPUTED_VALUE"""),99.31)</f>
        <v>99.31</v>
      </c>
      <c r="AC290" s="1">
        <f>IFERROR(__xludf.DUMMYFUNCTION("""COMPUTED_VALUE"""),170.8)</f>
        <v>170.8</v>
      </c>
      <c r="AD290" s="3">
        <f>IFERROR(__xludf.DUMMYFUNCTION("""COMPUTED_VALUE"""),104.39)</f>
        <v>104.39</v>
      </c>
      <c r="AE290" s="1">
        <f>IFERROR(__xludf.DUMMYFUNCTION("""COMPUTED_VALUE"""),459.43)</f>
        <v>459.43</v>
      </c>
      <c r="AF290" s="1">
        <f>IFERROR(__xludf.DUMMYFUNCTION("""COMPUTED_VALUE"""),75.33)</f>
        <v>75.33</v>
      </c>
      <c r="AG290" s="1">
        <f>IFERROR(__xludf.DUMMYFUNCTION("""COMPUTED_VALUE"""),114.19)</f>
        <v>114.19</v>
      </c>
      <c r="AH290" s="1">
        <f>IFERROR(__xludf.DUMMYFUNCTION("""COMPUTED_VALUE"""),238.71)</f>
        <v>238.71</v>
      </c>
      <c r="AI290" s="1">
        <f>IFERROR(__xludf.DUMMYFUNCTION("""COMPUTED_VALUE"""),489.03)</f>
        <v>489.03</v>
      </c>
      <c r="AJ290" s="1">
        <f>IFERROR(__xludf.DUMMYFUNCTION("""COMPUTED_VALUE"""),296.65)</f>
        <v>296.65</v>
      </c>
      <c r="AK290" s="1">
        <f>IFERROR(__xludf.DUMMYFUNCTION("""COMPUTED_VALUE"""),52.19)</f>
        <v>52.19</v>
      </c>
      <c r="AL290" s="1">
        <f>IFERROR(__xludf.DUMMYFUNCTION("""COMPUTED_VALUE"""),111.06)</f>
        <v>111.06</v>
      </c>
      <c r="AM290" s="1">
        <f>IFERROR(__xludf.DUMMYFUNCTION("""COMPUTED_VALUE"""),697.28)</f>
        <v>697.28</v>
      </c>
      <c r="AN290" s="1">
        <f>IFERROR(__xludf.DUMMYFUNCTION("""COMPUTED_VALUE"""),367.5)</f>
        <v>367.5</v>
      </c>
      <c r="AO290" s="1">
        <f>IFERROR(__xludf.DUMMYFUNCTION("""COMPUTED_VALUE"""),136.62)</f>
        <v>136.62</v>
      </c>
      <c r="AP290" s="1">
        <f>IFERROR(__xludf.DUMMYFUNCTION("""COMPUTED_VALUE"""),180.98)</f>
        <v>180.98</v>
      </c>
      <c r="AQ290" s="3">
        <f>IFERROR(__xludf.DUMMYFUNCTION("""COMPUTED_VALUE"""),527.3)</f>
        <v>527.3</v>
      </c>
      <c r="AR290" s="3">
        <f>IFERROR(__xludf.DUMMYFUNCTION("""COMPUTED_VALUE"""),282.78)</f>
        <v>282.78</v>
      </c>
      <c r="AS290" s="3">
        <f>IFERROR(__xludf.DUMMYFUNCTION("""COMPUTED_VALUE"""),463.01)</f>
        <v>463.01</v>
      </c>
      <c r="AT290" s="3">
        <f>IFERROR(__xludf.DUMMYFUNCTION("""COMPUTED_VALUE"""),238.54)</f>
        <v>238.54</v>
      </c>
      <c r="AU290" s="1">
        <f>IFERROR(__xludf.DUMMYFUNCTION("""COMPUTED_VALUE"""),30.5)</f>
        <v>30.5</v>
      </c>
      <c r="AV290" s="1">
        <f>IFERROR(__xludf.DUMMYFUNCTION("""COMPUTED_VALUE"""),88.58)</f>
        <v>88.58</v>
      </c>
      <c r="AW290" s="1">
        <f>IFERROR(__xludf.DUMMYFUNCTION("""COMPUTED_VALUE"""),79.66)</f>
        <v>79.66</v>
      </c>
      <c r="AX290" s="3">
        <f>IFERROR(__xludf.DUMMYFUNCTION("""COMPUTED_VALUE"""),31.19)</f>
        <v>31.19</v>
      </c>
      <c r="AY290" s="1">
        <f>IFERROR(__xludf.DUMMYFUNCTION("""COMPUTED_VALUE"""),496.62)</f>
        <v>496.62</v>
      </c>
      <c r="AZ290" s="3">
        <f>IFERROR(__xludf.DUMMYFUNCTION("""COMPUTED_VALUE"""),72.46)</f>
        <v>72.46</v>
      </c>
      <c r="BA290" s="3">
        <f>IFERROR(__xludf.DUMMYFUNCTION("""COMPUTED_VALUE"""),151.27)</f>
        <v>151.27</v>
      </c>
      <c r="BB290" s="3">
        <f>IFERROR(__xludf.DUMMYFUNCTION("""COMPUTED_VALUE"""),160.0)</f>
        <v>160</v>
      </c>
      <c r="BC290" s="1">
        <f>IFERROR(__xludf.DUMMYFUNCTION("""COMPUTED_VALUE"""),99.68)</f>
        <v>99.68</v>
      </c>
      <c r="BD290" s="1">
        <f>IFERROR(__xludf.DUMMYFUNCTION("""COMPUTED_VALUE"""),52.6)</f>
        <v>52.6</v>
      </c>
      <c r="BE290" s="3">
        <f>IFERROR(__xludf.DUMMYFUNCTION("""COMPUTED_VALUE"""),139.71)</f>
        <v>139.71</v>
      </c>
      <c r="BF290" s="1">
        <f>IFERROR(__xludf.DUMMYFUNCTION("""COMPUTED_VALUE"""),75.03)</f>
        <v>75.03</v>
      </c>
      <c r="BG290" s="1">
        <f>IFERROR(__xludf.DUMMYFUNCTION("""COMPUTED_VALUE"""),25.62)</f>
        <v>25.62</v>
      </c>
      <c r="BH290" s="1">
        <f>IFERROR(__xludf.DUMMYFUNCTION("""COMPUTED_VALUE"""),144.91)</f>
        <v>144.91</v>
      </c>
      <c r="BI290" s="3">
        <f>IFERROR(__xludf.DUMMYFUNCTION("""COMPUTED_VALUE"""),36.44)</f>
        <v>36.44</v>
      </c>
      <c r="BJ290" s="1">
        <f>IFERROR(__xludf.DUMMYFUNCTION("""COMPUTED_VALUE"""),235.97)</f>
        <v>235.97</v>
      </c>
      <c r="BK290" s="1">
        <f>IFERROR(__xludf.DUMMYFUNCTION("""COMPUTED_VALUE"""),426.17)</f>
        <v>426.17</v>
      </c>
      <c r="BL290" s="1">
        <f>IFERROR(__xludf.DUMMYFUNCTION("""COMPUTED_VALUE"""),170.2)</f>
        <v>170.2</v>
      </c>
      <c r="BM290" s="1">
        <f>IFERROR(__xludf.DUMMYFUNCTION("""COMPUTED_VALUE"""),124.73)</f>
        <v>124.73</v>
      </c>
      <c r="BN290" s="3">
        <f>IFERROR(__xludf.DUMMYFUNCTION("""COMPUTED_VALUE"""),7.0)</f>
        <v>7</v>
      </c>
      <c r="BO290" s="1">
        <f>IFERROR(__xludf.DUMMYFUNCTION("""COMPUTED_VALUE"""),236.54)</f>
        <v>236.54</v>
      </c>
      <c r="BP290" s="1">
        <f>IFERROR(__xludf.DUMMYFUNCTION("""COMPUTED_VALUE"""),307.7)</f>
        <v>307.7</v>
      </c>
      <c r="BQ290" s="36">
        <f>IFERROR(__xludf.DUMMYFUNCTION("""COMPUTED_VALUE"""),49.84)</f>
        <v>49.84</v>
      </c>
      <c r="BR290" s="1">
        <f>IFERROR(__xludf.DUMMYFUNCTION("""COMPUTED_VALUE"""),9.26)</f>
        <v>9.26</v>
      </c>
      <c r="BS290" s="3">
        <f>IFERROR(__xludf.DUMMYFUNCTION("""COMPUTED_VALUE"""),224.87)</f>
        <v>224.87</v>
      </c>
      <c r="BT290" s="1">
        <f>IFERROR(__xludf.DUMMYFUNCTION("""COMPUTED_VALUE"""),121.82)</f>
        <v>121.82</v>
      </c>
      <c r="BU290" s="3">
        <v>1.0</v>
      </c>
    </row>
    <row r="291">
      <c r="A291" s="25">
        <f>IFERROR(__xludf.DUMMYFUNCTION("""COMPUTED_VALUE"""),45847.66666666667)</f>
        <v>45847.66667</v>
      </c>
      <c r="B291" s="29">
        <f>'Master Scratch Work'!B290</f>
        <v>1410017.59</v>
      </c>
      <c r="C291" s="15">
        <f>IFERROR(__xludf.DUMMYFUNCTION("""COMPUTED_VALUE"""),6263.26)</f>
        <v>6263.26</v>
      </c>
      <c r="D291" s="15">
        <f>IFERROR(__xludf.DUMMYFUNCTION("""COMPUTED_VALUE"""),20611.34)</f>
        <v>20611.34</v>
      </c>
      <c r="E291" s="15">
        <f>IFERROR(__xludf.DUMMYFUNCTION("""COMPUTED_VALUE"""),44458.3)</f>
        <v>44458.3</v>
      </c>
      <c r="F291" s="15">
        <f>IFERROR(__xludf.DUMMYFUNCTION("""COMPUTED_VALUE"""),2252.49)</f>
        <v>2252.49</v>
      </c>
      <c r="G291" s="3">
        <f>IFERROR(__xludf.DUMMYFUNCTION("""COMPUTED_VALUE"""),624.06)</f>
        <v>624.06</v>
      </c>
      <c r="H291" s="3">
        <f>IFERROR(__xludf.DUMMYFUNCTION("""COMPUTED_VALUE"""),556.25)</f>
        <v>556.25</v>
      </c>
      <c r="I291" s="3">
        <f>IFERROR(__xludf.DUMMYFUNCTION("""COMPUTED_VALUE"""),373.38)</f>
        <v>373.38</v>
      </c>
      <c r="J291" s="3">
        <f>IFERROR(__xludf.DUMMYFUNCTION("""COMPUTED_VALUE"""),222.54)</f>
        <v>222.54</v>
      </c>
      <c r="K291" s="3">
        <f>IFERROR(__xludf.DUMMYFUNCTION("""COMPUTED_VALUE"""),141.8)</f>
        <v>141.8</v>
      </c>
      <c r="L291" s="3">
        <f>IFERROR(__xludf.DUMMYFUNCTION("""COMPUTED_VALUE"""),211.14)</f>
        <v>211.14</v>
      </c>
      <c r="M291" s="3">
        <f>IFERROR(__xludf.DUMMYFUNCTION("""COMPUTED_VALUE"""),195.39)</f>
        <v>195.39</v>
      </c>
      <c r="N291" s="3">
        <f>IFERROR(__xludf.DUMMYFUNCTION("""COMPUTED_VALUE"""),93.05)</f>
        <v>93.05</v>
      </c>
      <c r="O291" s="3">
        <f>IFERROR(__xludf.DUMMYFUNCTION("""COMPUTED_VALUE"""),18.63)</f>
        <v>18.63</v>
      </c>
      <c r="P291" s="3">
        <f>IFERROR(__xludf.DUMMYFUNCTION("""COMPUTED_VALUE"""),478.91)</f>
        <v>478.91</v>
      </c>
      <c r="Q291" s="3">
        <f>IFERROR(__xludf.DUMMYFUNCTION("""COMPUTED_VALUE"""),49.61)</f>
        <v>49.61</v>
      </c>
      <c r="R291" s="3">
        <f>IFERROR(__xludf.DUMMYFUNCTION("""COMPUTED_VALUE"""),133.02)</f>
        <v>133.02</v>
      </c>
      <c r="S291" s="3">
        <f>IFERROR(__xludf.DUMMYFUNCTION("""COMPUTED_VALUE"""),102.96)</f>
        <v>102.96</v>
      </c>
      <c r="T291" s="3">
        <f>IFERROR(__xludf.DUMMYFUNCTION("""COMPUTED_VALUE"""),75.89)</f>
        <v>75.89</v>
      </c>
      <c r="U291" s="3">
        <f>IFERROR(__xludf.DUMMYFUNCTION("""COMPUTED_VALUE"""),402.18)</f>
        <v>402.18</v>
      </c>
      <c r="V291" s="3">
        <f>IFERROR(__xludf.DUMMYFUNCTION("""COMPUTED_VALUE"""),71.55)</f>
        <v>71.55</v>
      </c>
      <c r="W291" s="3">
        <f>IFERROR(__xludf.DUMMYFUNCTION("""COMPUTED_VALUE"""),231.23)</f>
        <v>231.23</v>
      </c>
      <c r="X291" s="3">
        <f>IFERROR(__xludf.DUMMYFUNCTION("""COMPUTED_VALUE"""),153.02)</f>
        <v>153.02</v>
      </c>
      <c r="Y291" s="1">
        <f>IFERROR(__xludf.DUMMYFUNCTION("""COMPUTED_VALUE"""),309.78)</f>
        <v>309.78</v>
      </c>
      <c r="Z291" s="1">
        <f>IFERROR(__xludf.DUMMYFUNCTION("""COMPUTED_VALUE"""),47.38)</f>
        <v>47.38</v>
      </c>
      <c r="AA291" s="1">
        <f>IFERROR(__xludf.DUMMYFUNCTION("""COMPUTED_VALUE"""),69.48)</f>
        <v>69.48</v>
      </c>
      <c r="AB291" s="1">
        <f>IFERROR(__xludf.DUMMYFUNCTION("""COMPUTED_VALUE"""),99.97)</f>
        <v>99.97</v>
      </c>
      <c r="AC291" s="1">
        <f>IFERROR(__xludf.DUMMYFUNCTION("""COMPUTED_VALUE"""),171.18)</f>
        <v>171.18</v>
      </c>
      <c r="AD291" s="3">
        <f>IFERROR(__xludf.DUMMYFUNCTION("""COMPUTED_VALUE"""),104.75)</f>
        <v>104.75</v>
      </c>
      <c r="AE291" s="1">
        <f>IFERROR(__xludf.DUMMYFUNCTION("""COMPUTED_VALUE"""),463.48)</f>
        <v>463.48</v>
      </c>
      <c r="AF291" s="1">
        <f>IFERROR(__xludf.DUMMYFUNCTION("""COMPUTED_VALUE"""),76.32)</f>
        <v>76.32</v>
      </c>
      <c r="AG291" s="1">
        <f>IFERROR(__xludf.DUMMYFUNCTION("""COMPUTED_VALUE"""),113.8)</f>
        <v>113.8</v>
      </c>
      <c r="AH291" s="1">
        <f>IFERROR(__xludf.DUMMYFUNCTION("""COMPUTED_VALUE"""),236.51)</f>
        <v>236.51</v>
      </c>
      <c r="AI291" s="1">
        <f>IFERROR(__xludf.DUMMYFUNCTION("""COMPUTED_VALUE"""),491.01)</f>
        <v>491.01</v>
      </c>
      <c r="AJ291" s="1">
        <f>IFERROR(__xludf.DUMMYFUNCTION("""COMPUTED_VALUE"""),299.96)</f>
        <v>299.96</v>
      </c>
      <c r="AK291" s="1">
        <f>IFERROR(__xludf.DUMMYFUNCTION("""COMPUTED_VALUE"""),52.57)</f>
        <v>52.57</v>
      </c>
      <c r="AL291" s="1">
        <f>IFERROR(__xludf.DUMMYFUNCTION("""COMPUTED_VALUE"""),113.24)</f>
        <v>113.24</v>
      </c>
      <c r="AM291" s="1">
        <f>IFERROR(__xludf.DUMMYFUNCTION("""COMPUTED_VALUE"""),696.56)</f>
        <v>696.56</v>
      </c>
      <c r="AN291" s="1">
        <f>IFERROR(__xludf.DUMMYFUNCTION("""COMPUTED_VALUE"""),371.04)</f>
        <v>371.04</v>
      </c>
      <c r="AO291" s="1">
        <f>IFERROR(__xludf.DUMMYFUNCTION("""COMPUTED_VALUE"""),137.87)</f>
        <v>137.87</v>
      </c>
      <c r="AP291" s="1">
        <f>IFERROR(__xludf.DUMMYFUNCTION("""COMPUTED_VALUE"""),182.16)</f>
        <v>182.16</v>
      </c>
      <c r="AQ291" s="3">
        <f>IFERROR(__xludf.DUMMYFUNCTION("""COMPUTED_VALUE"""),528.13)</f>
        <v>528.13</v>
      </c>
      <c r="AR291" s="3">
        <f>IFERROR(__xludf.DUMMYFUNCTION("""COMPUTED_VALUE"""),283.16)</f>
        <v>283.16</v>
      </c>
      <c r="AS291" s="3">
        <f>IFERROR(__xludf.DUMMYFUNCTION("""COMPUTED_VALUE"""),463.06)</f>
        <v>463.06</v>
      </c>
      <c r="AT291" s="3">
        <f>IFERROR(__xludf.DUMMYFUNCTION("""COMPUTED_VALUE"""),235.89)</f>
        <v>235.89</v>
      </c>
      <c r="AU291" s="1">
        <f>IFERROR(__xludf.DUMMYFUNCTION("""COMPUTED_VALUE"""),30.47)</f>
        <v>30.47</v>
      </c>
      <c r="AV291" s="1">
        <f>IFERROR(__xludf.DUMMYFUNCTION("""COMPUTED_VALUE"""),89.0)</f>
        <v>89</v>
      </c>
      <c r="AW291" s="1">
        <f>IFERROR(__xludf.DUMMYFUNCTION("""COMPUTED_VALUE"""),78.24)</f>
        <v>78.24</v>
      </c>
      <c r="AX291" s="3">
        <f>IFERROR(__xludf.DUMMYFUNCTION("""COMPUTED_VALUE"""),30.03)</f>
        <v>30.03</v>
      </c>
      <c r="AY291" s="1">
        <f>IFERROR(__xludf.DUMMYFUNCTION("""COMPUTED_VALUE"""),503.51)</f>
        <v>503.51</v>
      </c>
      <c r="AZ291" s="3">
        <f>IFERROR(__xludf.DUMMYFUNCTION("""COMPUTED_VALUE"""),73.65)</f>
        <v>73.65</v>
      </c>
      <c r="BA291" s="3">
        <f>IFERROR(__xludf.DUMMYFUNCTION("""COMPUTED_VALUE"""),150.27)</f>
        <v>150.27</v>
      </c>
      <c r="BB291" s="3">
        <f>IFERROR(__xludf.DUMMYFUNCTION("""COMPUTED_VALUE"""),162.88)</f>
        <v>162.88</v>
      </c>
      <c r="BC291" s="1">
        <f>IFERROR(__xludf.DUMMYFUNCTION("""COMPUTED_VALUE"""),99.34)</f>
        <v>99.34</v>
      </c>
      <c r="BD291" s="1">
        <f>IFERROR(__xludf.DUMMYFUNCTION("""COMPUTED_VALUE"""),54.12)</f>
        <v>54.12</v>
      </c>
      <c r="BE291" s="3">
        <f>IFERROR(__xludf.DUMMYFUNCTION("""COMPUTED_VALUE"""),143.13)</f>
        <v>143.13</v>
      </c>
      <c r="BF291" s="1">
        <f>IFERROR(__xludf.DUMMYFUNCTION("""COMPUTED_VALUE"""),74.83)</f>
        <v>74.83</v>
      </c>
      <c r="BG291" s="1">
        <f>IFERROR(__xludf.DUMMYFUNCTION("""COMPUTED_VALUE"""),25.56)</f>
        <v>25.56</v>
      </c>
      <c r="BH291" s="1">
        <f>IFERROR(__xludf.DUMMYFUNCTION("""COMPUTED_VALUE"""),146.18)</f>
        <v>146.18</v>
      </c>
      <c r="BI291" s="3">
        <f>IFERROR(__xludf.DUMMYFUNCTION("""COMPUTED_VALUE"""),38.52)</f>
        <v>38.52</v>
      </c>
      <c r="BJ291" s="1">
        <f>IFERROR(__xludf.DUMMYFUNCTION("""COMPUTED_VALUE"""),232.31)</f>
        <v>232.31</v>
      </c>
      <c r="BK291" s="1">
        <f>IFERROR(__xludf.DUMMYFUNCTION("""COMPUTED_VALUE"""),419.88)</f>
        <v>419.88</v>
      </c>
      <c r="BL291" s="1">
        <f>IFERROR(__xludf.DUMMYFUNCTION("""COMPUTED_VALUE"""),170.54)</f>
        <v>170.54</v>
      </c>
      <c r="BM291" s="1">
        <f>IFERROR(__xludf.DUMMYFUNCTION("""COMPUTED_VALUE"""),126.41)</f>
        <v>126.41</v>
      </c>
      <c r="BN291" s="3">
        <f>IFERROR(__xludf.DUMMYFUNCTION("""COMPUTED_VALUE"""),6.93)</f>
        <v>6.93</v>
      </c>
      <c r="BO291" s="1">
        <f>IFERROR(__xludf.DUMMYFUNCTION("""COMPUTED_VALUE"""),236.49)</f>
        <v>236.49</v>
      </c>
      <c r="BP291" s="1">
        <f>IFERROR(__xludf.DUMMYFUNCTION("""COMPUTED_VALUE"""),302.91)</f>
        <v>302.91</v>
      </c>
      <c r="BQ291" s="36">
        <f>IFERROR(__xludf.DUMMYFUNCTION("""COMPUTED_VALUE"""),49.88)</f>
        <v>49.88</v>
      </c>
      <c r="BR291" s="1">
        <f>IFERROR(__xludf.DUMMYFUNCTION("""COMPUTED_VALUE"""),9.23)</f>
        <v>9.23</v>
      </c>
      <c r="BS291" s="3">
        <f>IFERROR(__xludf.DUMMYFUNCTION("""COMPUTED_VALUE"""),225.75)</f>
        <v>225.75</v>
      </c>
      <c r="BT291" s="1">
        <f>IFERROR(__xludf.DUMMYFUNCTION("""COMPUTED_VALUE"""),120.61)</f>
        <v>120.61</v>
      </c>
      <c r="BU291" s="3">
        <v>1.0</v>
      </c>
    </row>
    <row r="292">
      <c r="A292" s="25">
        <f>IFERROR(__xludf.DUMMYFUNCTION("""COMPUTED_VALUE"""),45848.66666666667)</f>
        <v>45848.66667</v>
      </c>
      <c r="B292" s="29">
        <f>'Master Scratch Work'!B291</f>
        <v>1419538.04</v>
      </c>
      <c r="C292" s="15">
        <f>IFERROR(__xludf.DUMMYFUNCTION("""COMPUTED_VALUE"""),6280.46)</f>
        <v>6280.46</v>
      </c>
      <c r="D292" s="15">
        <f>IFERROR(__xludf.DUMMYFUNCTION("""COMPUTED_VALUE"""),20630.67)</f>
        <v>20630.67</v>
      </c>
      <c r="E292" s="15">
        <f>IFERROR(__xludf.DUMMYFUNCTION("""COMPUTED_VALUE"""),44650.64)</f>
        <v>44650.64</v>
      </c>
      <c r="F292" s="15">
        <f>IFERROR(__xludf.DUMMYFUNCTION("""COMPUTED_VALUE"""),2263.41)</f>
        <v>2263.41</v>
      </c>
      <c r="G292" s="3">
        <f>IFERROR(__xludf.DUMMYFUNCTION("""COMPUTED_VALUE"""),625.82)</f>
        <v>625.82</v>
      </c>
      <c r="H292" s="3">
        <f>IFERROR(__xludf.DUMMYFUNCTION("""COMPUTED_VALUE"""),555.45)</f>
        <v>555.45</v>
      </c>
      <c r="I292" s="3">
        <f>IFERROR(__xludf.DUMMYFUNCTION("""COMPUTED_VALUE"""),371.43)</f>
        <v>371.43</v>
      </c>
      <c r="J292" s="3">
        <f>IFERROR(__xludf.DUMMYFUNCTION("""COMPUTED_VALUE"""),222.26)</f>
        <v>222.26</v>
      </c>
      <c r="K292" s="3">
        <f>IFERROR(__xludf.DUMMYFUNCTION("""COMPUTED_VALUE"""),142.68)</f>
        <v>142.68</v>
      </c>
      <c r="L292" s="3">
        <f>IFERROR(__xludf.DUMMYFUNCTION("""COMPUTED_VALUE"""),212.41)</f>
        <v>212.41</v>
      </c>
      <c r="M292" s="3">
        <f>IFERROR(__xludf.DUMMYFUNCTION("""COMPUTED_VALUE"""),198.03)</f>
        <v>198.03</v>
      </c>
      <c r="N292" s="3">
        <f>IFERROR(__xludf.DUMMYFUNCTION("""COMPUTED_VALUE"""),93.66)</f>
        <v>93.66</v>
      </c>
      <c r="O292" s="3">
        <f>IFERROR(__xludf.DUMMYFUNCTION("""COMPUTED_VALUE"""),18.81)</f>
        <v>18.81</v>
      </c>
      <c r="P292" s="3">
        <f>IFERROR(__xludf.DUMMYFUNCTION("""COMPUTED_VALUE"""),478.27)</f>
        <v>478.27</v>
      </c>
      <c r="Q292" s="3">
        <f>IFERROR(__xludf.DUMMYFUNCTION("""COMPUTED_VALUE"""),51.51)</f>
        <v>51.51</v>
      </c>
      <c r="R292" s="3">
        <f>IFERROR(__xludf.DUMMYFUNCTION("""COMPUTED_VALUE"""),135.33)</f>
        <v>135.33</v>
      </c>
      <c r="S292" s="3">
        <f>IFERROR(__xludf.DUMMYFUNCTION("""COMPUTED_VALUE"""),103.86)</f>
        <v>103.86</v>
      </c>
      <c r="T292" s="3">
        <f>IFERROR(__xludf.DUMMYFUNCTION("""COMPUTED_VALUE"""),76.77)</f>
        <v>76.77</v>
      </c>
      <c r="U292" s="3">
        <f>IFERROR(__xludf.DUMMYFUNCTION("""COMPUTED_VALUE"""),408.33)</f>
        <v>408.33</v>
      </c>
      <c r="V292" s="3">
        <f>IFERROR(__xludf.DUMMYFUNCTION("""COMPUTED_VALUE"""),70.82)</f>
        <v>70.82</v>
      </c>
      <c r="W292" s="3">
        <f>IFERROR(__xludf.DUMMYFUNCTION("""COMPUTED_VALUE"""),221.26)</f>
        <v>221.26</v>
      </c>
      <c r="X292" s="3">
        <f>IFERROR(__xludf.DUMMYFUNCTION("""COMPUTED_VALUE"""),154.17)</f>
        <v>154.17</v>
      </c>
      <c r="Y292" s="1">
        <f>IFERROR(__xludf.DUMMYFUNCTION("""COMPUTED_VALUE"""),308.78)</f>
        <v>308.78</v>
      </c>
      <c r="Z292" s="1">
        <f>IFERROR(__xludf.DUMMYFUNCTION("""COMPUTED_VALUE"""),47.9)</f>
        <v>47.9</v>
      </c>
      <c r="AA292" s="1">
        <f>IFERROR(__xludf.DUMMYFUNCTION("""COMPUTED_VALUE"""),69.77)</f>
        <v>69.77</v>
      </c>
      <c r="AB292" s="1">
        <f>IFERROR(__xludf.DUMMYFUNCTION("""COMPUTED_VALUE"""),101.07)</f>
        <v>101.07</v>
      </c>
      <c r="AC292" s="1">
        <f>IFERROR(__xludf.DUMMYFUNCTION("""COMPUTED_VALUE"""),170.48)</f>
        <v>170.48</v>
      </c>
      <c r="AD292" s="3">
        <f>IFERROR(__xludf.DUMMYFUNCTION("""COMPUTED_VALUE"""),108.37)</f>
        <v>108.37</v>
      </c>
      <c r="AE292" s="1">
        <f>IFERROR(__xludf.DUMMYFUNCTION("""COMPUTED_VALUE"""),469.92)</f>
        <v>469.92</v>
      </c>
      <c r="AF292" s="1">
        <f>IFERROR(__xludf.DUMMYFUNCTION("""COMPUTED_VALUE"""),77.22)</f>
        <v>77.22</v>
      </c>
      <c r="AG292" s="1">
        <f>IFERROR(__xludf.DUMMYFUNCTION("""COMPUTED_VALUE"""),114.93)</f>
        <v>114.93</v>
      </c>
      <c r="AH292" s="1">
        <f>IFERROR(__xludf.DUMMYFUNCTION("""COMPUTED_VALUE"""),238.73)</f>
        <v>238.73</v>
      </c>
      <c r="AI292" s="1">
        <f>IFERROR(__xludf.DUMMYFUNCTION("""COMPUTED_VALUE"""),497.94)</f>
        <v>497.94</v>
      </c>
      <c r="AJ292" s="1">
        <f>IFERROR(__xludf.DUMMYFUNCTION("""COMPUTED_VALUE"""),303.38)</f>
        <v>303.38</v>
      </c>
      <c r="AK292" s="1">
        <f>IFERROR(__xludf.DUMMYFUNCTION("""COMPUTED_VALUE"""),53.15)</f>
        <v>53.15</v>
      </c>
      <c r="AL292" s="1">
        <f>IFERROR(__xludf.DUMMYFUNCTION("""COMPUTED_VALUE"""),114.54)</f>
        <v>114.54</v>
      </c>
      <c r="AM292" s="1">
        <f>IFERROR(__xludf.DUMMYFUNCTION("""COMPUTED_VALUE"""),709.12)</f>
        <v>709.12</v>
      </c>
      <c r="AN292" s="1">
        <f>IFERROR(__xludf.DUMMYFUNCTION("""COMPUTED_VALUE"""),373.3)</f>
        <v>373.3</v>
      </c>
      <c r="AO292" s="1">
        <f>IFERROR(__xludf.DUMMYFUNCTION("""COMPUTED_VALUE"""),135.16)</f>
        <v>135.16</v>
      </c>
      <c r="AP292" s="1">
        <f>IFERROR(__xludf.DUMMYFUNCTION("""COMPUTED_VALUE"""),181.82)</f>
        <v>181.82</v>
      </c>
      <c r="AQ292" s="3">
        <f>IFERROR(__xludf.DUMMYFUNCTION("""COMPUTED_VALUE"""),526.05)</f>
        <v>526.05</v>
      </c>
      <c r="AR292" s="3">
        <f>IFERROR(__xludf.DUMMYFUNCTION("""COMPUTED_VALUE"""),288.19)</f>
        <v>288.19</v>
      </c>
      <c r="AS292" s="3">
        <f>IFERROR(__xludf.DUMMYFUNCTION("""COMPUTED_VALUE"""),464.31)</f>
        <v>464.31</v>
      </c>
      <c r="AT292" s="3">
        <f>IFERROR(__xludf.DUMMYFUNCTION("""COMPUTED_VALUE"""),238.52)</f>
        <v>238.52</v>
      </c>
      <c r="AU292" s="1">
        <f>IFERROR(__xludf.DUMMYFUNCTION("""COMPUTED_VALUE"""),30.72)</f>
        <v>30.72</v>
      </c>
      <c r="AV292" s="1">
        <f>IFERROR(__xludf.DUMMYFUNCTION("""COMPUTED_VALUE"""),89.4)</f>
        <v>89.4</v>
      </c>
      <c r="AW292" s="1">
        <f>IFERROR(__xludf.DUMMYFUNCTION("""COMPUTED_VALUE"""),78.37)</f>
        <v>78.37</v>
      </c>
      <c r="AX292" s="3">
        <f>IFERROR(__xludf.DUMMYFUNCTION("""COMPUTED_VALUE"""),45.23)</f>
        <v>45.23</v>
      </c>
      <c r="AY292" s="1">
        <f>IFERROR(__xludf.DUMMYFUNCTION("""COMPUTED_VALUE"""),501.48)</f>
        <v>501.48</v>
      </c>
      <c r="AZ292" s="3">
        <f>IFERROR(__xludf.DUMMYFUNCTION("""COMPUTED_VALUE"""),74.64)</f>
        <v>74.64</v>
      </c>
      <c r="BA292" s="3">
        <f>IFERROR(__xludf.DUMMYFUNCTION("""COMPUTED_VALUE"""),151.36)</f>
        <v>151.36</v>
      </c>
      <c r="BB292" s="3">
        <f>IFERROR(__xludf.DUMMYFUNCTION("""COMPUTED_VALUE"""),164.1)</f>
        <v>164.1</v>
      </c>
      <c r="BC292" s="1">
        <f>IFERROR(__xludf.DUMMYFUNCTION("""COMPUTED_VALUE"""),99.96)</f>
        <v>99.96</v>
      </c>
      <c r="BD292" s="1">
        <f>IFERROR(__xludf.DUMMYFUNCTION("""COMPUTED_VALUE"""),53.31)</f>
        <v>53.31</v>
      </c>
      <c r="BE292" s="3">
        <f>IFERROR(__xludf.DUMMYFUNCTION("""COMPUTED_VALUE"""),142.5)</f>
        <v>142.5</v>
      </c>
      <c r="BF292" s="1">
        <f>IFERROR(__xludf.DUMMYFUNCTION("""COMPUTED_VALUE"""),75.7)</f>
        <v>75.7</v>
      </c>
      <c r="BG292" s="1">
        <f>IFERROR(__xludf.DUMMYFUNCTION("""COMPUTED_VALUE"""),25.78)</f>
        <v>25.78</v>
      </c>
      <c r="BH292" s="1">
        <f>IFERROR(__xludf.DUMMYFUNCTION("""COMPUTED_VALUE"""),146.4)</f>
        <v>146.4</v>
      </c>
      <c r="BI292" s="3">
        <f>IFERROR(__xludf.DUMMYFUNCTION("""COMPUTED_VALUE"""),38.5)</f>
        <v>38.5</v>
      </c>
      <c r="BJ292" s="1">
        <f>IFERROR(__xludf.DUMMYFUNCTION("""COMPUTED_VALUE"""),228.15)</f>
        <v>228.15</v>
      </c>
      <c r="BK292" s="1">
        <f>IFERROR(__xludf.DUMMYFUNCTION("""COMPUTED_VALUE"""),430.73)</f>
        <v>430.73</v>
      </c>
      <c r="BL292" s="1">
        <f>IFERROR(__xludf.DUMMYFUNCTION("""COMPUTED_VALUE"""),170.39)</f>
        <v>170.39</v>
      </c>
      <c r="BM292" s="1">
        <f>IFERROR(__xludf.DUMMYFUNCTION("""COMPUTED_VALUE"""),124.78)</f>
        <v>124.78</v>
      </c>
      <c r="BN292" s="3">
        <f>IFERROR(__xludf.DUMMYFUNCTION("""COMPUTED_VALUE"""),7.08)</f>
        <v>7.08</v>
      </c>
      <c r="BO292" s="1">
        <f>IFERROR(__xludf.DUMMYFUNCTION("""COMPUTED_VALUE"""),237.0)</f>
        <v>237</v>
      </c>
      <c r="BP292" s="1">
        <f>IFERROR(__xludf.DUMMYFUNCTION("""COMPUTED_VALUE"""),299.51)</f>
        <v>299.51</v>
      </c>
      <c r="BQ292" s="36">
        <f>IFERROR(__xludf.DUMMYFUNCTION("""COMPUTED_VALUE"""),49.88)</f>
        <v>49.88</v>
      </c>
      <c r="BR292" s="1">
        <f>IFERROR(__xludf.DUMMYFUNCTION("""COMPUTED_VALUE"""),9.25)</f>
        <v>9.25</v>
      </c>
      <c r="BS292" s="3">
        <f>IFERROR(__xludf.DUMMYFUNCTION("""COMPUTED_VALUE"""),225.65)</f>
        <v>225.65</v>
      </c>
      <c r="BT292" s="1">
        <f>IFERROR(__xludf.DUMMYFUNCTION("""COMPUTED_VALUE"""),121.56)</f>
        <v>121.56</v>
      </c>
      <c r="BU292" s="3">
        <v>1.0</v>
      </c>
    </row>
    <row r="293">
      <c r="A293" s="25">
        <f>IFERROR(__xludf.DUMMYFUNCTION("""COMPUTED_VALUE"""),45849.66666666667)</f>
        <v>45849.66667</v>
      </c>
      <c r="B293" s="29">
        <f>'Master Scratch Work'!B292</f>
        <v>1410253.82</v>
      </c>
      <c r="C293" s="15">
        <f>IFERROR(__xludf.DUMMYFUNCTION("""COMPUTED_VALUE"""),6259.75)</f>
        <v>6259.75</v>
      </c>
      <c r="D293" s="15">
        <f>IFERROR(__xludf.DUMMYFUNCTION("""COMPUTED_VALUE"""),20585.53)</f>
        <v>20585.53</v>
      </c>
      <c r="E293" s="15">
        <f>IFERROR(__xludf.DUMMYFUNCTION("""COMPUTED_VALUE"""),44371.51)</f>
        <v>44371.51</v>
      </c>
      <c r="F293" s="15">
        <f>IFERROR(__xludf.DUMMYFUNCTION("""COMPUTED_VALUE"""),2234.83)</f>
        <v>2234.83</v>
      </c>
      <c r="G293" s="3">
        <f>IFERROR(__xludf.DUMMYFUNCTION("""COMPUTED_VALUE"""),623.62)</f>
        <v>623.62</v>
      </c>
      <c r="H293" s="3">
        <f>IFERROR(__xludf.DUMMYFUNCTION("""COMPUTED_VALUE"""),554.2)</f>
        <v>554.2</v>
      </c>
      <c r="I293" s="3">
        <f>IFERROR(__xludf.DUMMYFUNCTION("""COMPUTED_VALUE"""),363.35)</f>
        <v>363.35</v>
      </c>
      <c r="J293" s="3">
        <f>IFERROR(__xludf.DUMMYFUNCTION("""COMPUTED_VALUE"""),225.02)</f>
        <v>225.02</v>
      </c>
      <c r="K293" s="3">
        <f>IFERROR(__xludf.DUMMYFUNCTION("""COMPUTED_VALUE"""),142.29)</f>
        <v>142.29</v>
      </c>
      <c r="L293" s="3">
        <f>IFERROR(__xludf.DUMMYFUNCTION("""COMPUTED_VALUE"""),211.16)</f>
        <v>211.16</v>
      </c>
      <c r="M293" s="3">
        <f>IFERROR(__xludf.DUMMYFUNCTION("""COMPUTED_VALUE"""),197.93)</f>
        <v>197.93</v>
      </c>
      <c r="N293" s="3">
        <f>IFERROR(__xludf.DUMMYFUNCTION("""COMPUTED_VALUE"""),93.72)</f>
        <v>93.72</v>
      </c>
      <c r="O293" s="3">
        <f>IFERROR(__xludf.DUMMYFUNCTION("""COMPUTED_VALUE"""),18.4)</f>
        <v>18.4</v>
      </c>
      <c r="P293" s="3">
        <f>IFERROR(__xludf.DUMMYFUNCTION("""COMPUTED_VALUE"""),475.86)</f>
        <v>475.86</v>
      </c>
      <c r="Q293" s="3">
        <f>IFERROR(__xludf.DUMMYFUNCTION("""COMPUTED_VALUE"""),52.08)</f>
        <v>52.08</v>
      </c>
      <c r="R293" s="3">
        <f>IFERROR(__xludf.DUMMYFUNCTION("""COMPUTED_VALUE"""),134.21)</f>
        <v>134.21</v>
      </c>
      <c r="S293" s="3">
        <f>IFERROR(__xludf.DUMMYFUNCTION("""COMPUTED_VALUE"""),103.2)</f>
        <v>103.2</v>
      </c>
      <c r="T293" s="3">
        <f>IFERROR(__xludf.DUMMYFUNCTION("""COMPUTED_VALUE"""),76.62)</f>
        <v>76.62</v>
      </c>
      <c r="U293" s="3">
        <f>IFERROR(__xludf.DUMMYFUNCTION("""COMPUTED_VALUE"""),405.92)</f>
        <v>405.92</v>
      </c>
      <c r="V293" s="3">
        <f>IFERROR(__xludf.DUMMYFUNCTION("""COMPUTED_VALUE"""),72.7)</f>
        <v>72.7</v>
      </c>
      <c r="W293" s="3">
        <f>IFERROR(__xludf.DUMMYFUNCTION("""COMPUTED_VALUE"""),215.5)</f>
        <v>215.5</v>
      </c>
      <c r="X293" s="3">
        <f>IFERROR(__xludf.DUMMYFUNCTION("""COMPUTED_VALUE"""),155.31)</f>
        <v>155.31</v>
      </c>
      <c r="Y293" s="1">
        <f>IFERROR(__xludf.DUMMYFUNCTION("""COMPUTED_VALUE"""),303.27)</f>
        <v>303.27</v>
      </c>
      <c r="Z293" s="1">
        <f>IFERROR(__xludf.DUMMYFUNCTION("""COMPUTED_VALUE"""),47.67)</f>
        <v>47.67</v>
      </c>
      <c r="AA293" s="1">
        <f>IFERROR(__xludf.DUMMYFUNCTION("""COMPUTED_VALUE"""),69.87)</f>
        <v>69.87</v>
      </c>
      <c r="AB293" s="1">
        <f>IFERROR(__xludf.DUMMYFUNCTION("""COMPUTED_VALUE"""),100.59)</f>
        <v>100.59</v>
      </c>
      <c r="AC293" s="1">
        <f>IFERROR(__xludf.DUMMYFUNCTION("""COMPUTED_VALUE"""),168.47)</f>
        <v>168.47</v>
      </c>
      <c r="AD293" s="3">
        <f>IFERROR(__xludf.DUMMYFUNCTION("""COMPUTED_VALUE"""),109.36)</f>
        <v>109.36</v>
      </c>
      <c r="AE293" s="1">
        <f>IFERROR(__xludf.DUMMYFUNCTION("""COMPUTED_VALUE"""),464.48)</f>
        <v>464.48</v>
      </c>
      <c r="AF293" s="1">
        <f>IFERROR(__xludf.DUMMYFUNCTION("""COMPUTED_VALUE"""),77.11)</f>
        <v>77.11</v>
      </c>
      <c r="AG293" s="1">
        <f>IFERROR(__xludf.DUMMYFUNCTION("""COMPUTED_VALUE"""),115.43)</f>
        <v>115.43</v>
      </c>
      <c r="AH293" s="1">
        <f>IFERROR(__xludf.DUMMYFUNCTION("""COMPUTED_VALUE"""),236.06)</f>
        <v>236.06</v>
      </c>
      <c r="AI293" s="1">
        <f>IFERROR(__xludf.DUMMYFUNCTION("""COMPUTED_VALUE"""),490.66)</f>
        <v>490.66</v>
      </c>
      <c r="AJ293" s="1">
        <f>IFERROR(__xludf.DUMMYFUNCTION("""COMPUTED_VALUE"""),302.2)</f>
        <v>302.2</v>
      </c>
      <c r="AK293" s="1">
        <f>IFERROR(__xludf.DUMMYFUNCTION("""COMPUTED_VALUE"""),53.39)</f>
        <v>53.39</v>
      </c>
      <c r="AL293" s="1">
        <f>IFERROR(__xludf.DUMMYFUNCTION("""COMPUTED_VALUE"""),109.64)</f>
        <v>109.64</v>
      </c>
      <c r="AM293" s="1">
        <f>IFERROR(__xludf.DUMMYFUNCTION("""COMPUTED_VALUE"""),704.95)</f>
        <v>704.95</v>
      </c>
      <c r="AN293" s="1">
        <f>IFERROR(__xludf.DUMMYFUNCTION("""COMPUTED_VALUE"""),370.07)</f>
        <v>370.07</v>
      </c>
      <c r="AO293" s="1">
        <f>IFERROR(__xludf.DUMMYFUNCTION("""COMPUTED_VALUE"""),132.5)</f>
        <v>132.5</v>
      </c>
      <c r="AP293" s="1">
        <f>IFERROR(__xludf.DUMMYFUNCTION("""COMPUTED_VALUE"""),180.51)</f>
        <v>180.51</v>
      </c>
      <c r="AQ293" s="3">
        <f>IFERROR(__xludf.DUMMYFUNCTION("""COMPUTED_VALUE"""),512.06)</f>
        <v>512.06</v>
      </c>
      <c r="AR293" s="3">
        <f>IFERROR(__xludf.DUMMYFUNCTION("""COMPUTED_VALUE"""),286.86)</f>
        <v>286.86</v>
      </c>
      <c r="AS293" s="3">
        <f>IFERROR(__xludf.DUMMYFUNCTION("""COMPUTED_VALUE"""),467.51)</f>
        <v>467.51</v>
      </c>
      <c r="AT293" s="3">
        <f>IFERROR(__xludf.DUMMYFUNCTION("""COMPUTED_VALUE"""),236.51)</f>
        <v>236.51</v>
      </c>
      <c r="AU293" s="1">
        <f>IFERROR(__xludf.DUMMYFUNCTION("""COMPUTED_VALUE"""),30.48)</f>
        <v>30.48</v>
      </c>
      <c r="AV293" s="1">
        <f>IFERROR(__xludf.DUMMYFUNCTION("""COMPUTED_VALUE"""),89.92)</f>
        <v>89.92</v>
      </c>
      <c r="AW293" s="1">
        <f>IFERROR(__xludf.DUMMYFUNCTION("""COMPUTED_VALUE"""),77.7)</f>
        <v>77.7</v>
      </c>
      <c r="AX293" s="3">
        <f>IFERROR(__xludf.DUMMYFUNCTION("""COMPUTED_VALUE"""),45.11)</f>
        <v>45.11</v>
      </c>
      <c r="AY293" s="1">
        <f>IFERROR(__xludf.DUMMYFUNCTION("""COMPUTED_VALUE"""),503.32)</f>
        <v>503.32</v>
      </c>
      <c r="AZ293" s="3">
        <f>IFERROR(__xludf.DUMMYFUNCTION("""COMPUTED_VALUE"""),74.4)</f>
        <v>74.4</v>
      </c>
      <c r="BA293" s="3">
        <f>IFERROR(__xludf.DUMMYFUNCTION("""COMPUTED_VALUE"""),150.68)</f>
        <v>150.68</v>
      </c>
      <c r="BB293" s="3">
        <f>IFERROR(__xludf.DUMMYFUNCTION("""COMPUTED_VALUE"""),164.92)</f>
        <v>164.92</v>
      </c>
      <c r="BC293" s="1">
        <f>IFERROR(__xludf.DUMMYFUNCTION("""COMPUTED_VALUE"""),99.49)</f>
        <v>99.49</v>
      </c>
      <c r="BD293" s="1">
        <f>IFERROR(__xludf.DUMMYFUNCTION("""COMPUTED_VALUE"""),52.44)</f>
        <v>52.44</v>
      </c>
      <c r="BE293" s="3">
        <f>IFERROR(__xludf.DUMMYFUNCTION("""COMPUTED_VALUE"""),142.1)</f>
        <v>142.1</v>
      </c>
      <c r="BF293" s="1">
        <f>IFERROR(__xludf.DUMMYFUNCTION("""COMPUTED_VALUE"""),71.36)</f>
        <v>71.36</v>
      </c>
      <c r="BG293" s="1">
        <f>IFERROR(__xludf.DUMMYFUNCTION("""COMPUTED_VALUE"""),25.65)</f>
        <v>25.65</v>
      </c>
      <c r="BH293" s="1">
        <f>IFERROR(__xludf.DUMMYFUNCTION("""COMPUTED_VALUE"""),146.87)</f>
        <v>146.87</v>
      </c>
      <c r="BI293" s="3">
        <f>IFERROR(__xludf.DUMMYFUNCTION("""COMPUTED_VALUE"""),38.02)</f>
        <v>38.02</v>
      </c>
      <c r="BJ293" s="1">
        <f>IFERROR(__xludf.DUMMYFUNCTION("""COMPUTED_VALUE"""),227.76)</f>
        <v>227.76</v>
      </c>
      <c r="BK293" s="1">
        <f>IFERROR(__xludf.DUMMYFUNCTION("""COMPUTED_VALUE"""),434.86)</f>
        <v>434.86</v>
      </c>
      <c r="BL293" s="1">
        <f>IFERROR(__xludf.DUMMYFUNCTION("""COMPUTED_VALUE"""),170.26)</f>
        <v>170.26</v>
      </c>
      <c r="BM293" s="1">
        <f>IFERROR(__xludf.DUMMYFUNCTION("""COMPUTED_VALUE"""),112.46)</f>
        <v>112.46</v>
      </c>
      <c r="BN293" s="3">
        <f>IFERROR(__xludf.DUMMYFUNCTION("""COMPUTED_VALUE"""),6.85)</f>
        <v>6.85</v>
      </c>
      <c r="BO293" s="1">
        <f>IFERROR(__xludf.DUMMYFUNCTION("""COMPUTED_VALUE"""),235.1)</f>
        <v>235.1</v>
      </c>
      <c r="BP293" s="1">
        <f>IFERROR(__xludf.DUMMYFUNCTION("""COMPUTED_VALUE"""),304.1)</f>
        <v>304.1</v>
      </c>
      <c r="BQ293" s="36">
        <f>IFERROR(__xludf.DUMMYFUNCTION("""COMPUTED_VALUE"""),49.92)</f>
        <v>49.92</v>
      </c>
      <c r="BR293" s="1">
        <f>IFERROR(__xludf.DUMMYFUNCTION("""COMPUTED_VALUE"""),9.12)</f>
        <v>9.12</v>
      </c>
      <c r="BS293" s="3">
        <f>IFERROR(__xludf.DUMMYFUNCTION("""COMPUTED_VALUE"""),226.01)</f>
        <v>226.01</v>
      </c>
      <c r="BT293" s="1">
        <f>IFERROR(__xludf.DUMMYFUNCTION("""COMPUTED_VALUE"""),119.87)</f>
        <v>119.87</v>
      </c>
      <c r="BU293" s="3">
        <v>1.0</v>
      </c>
    </row>
    <row r="294">
      <c r="A294" s="25">
        <f>IFERROR(__xludf.DUMMYFUNCTION("""COMPUTED_VALUE"""),45852.66666666667)</f>
        <v>45852.66667</v>
      </c>
      <c r="B294" s="29">
        <f>'Master Scratch Work'!B293</f>
        <v>1419612.75</v>
      </c>
      <c r="C294" s="15">
        <f>IFERROR(__xludf.DUMMYFUNCTION("""COMPUTED_VALUE"""),6268.56)</f>
        <v>6268.56</v>
      </c>
      <c r="D294" s="15">
        <f>IFERROR(__xludf.DUMMYFUNCTION("""COMPUTED_VALUE"""),20640.33)</f>
        <v>20640.33</v>
      </c>
      <c r="E294" s="15">
        <f>IFERROR(__xludf.DUMMYFUNCTION("""COMPUTED_VALUE"""),44459.65)</f>
        <v>44459.65</v>
      </c>
      <c r="F294" s="15">
        <f>IFERROR(__xludf.DUMMYFUNCTION("""COMPUTED_VALUE"""),2249.73)</f>
        <v>2249.73</v>
      </c>
      <c r="G294" s="3">
        <f>IFERROR(__xludf.DUMMYFUNCTION("""COMPUTED_VALUE"""),624.81)</f>
        <v>624.81</v>
      </c>
      <c r="H294" s="3">
        <f>IFERROR(__xludf.DUMMYFUNCTION("""COMPUTED_VALUE"""),556.21)</f>
        <v>556.21</v>
      </c>
      <c r="I294" s="3">
        <f>IFERROR(__xludf.DUMMYFUNCTION("""COMPUTED_VALUE"""),366.99)</f>
        <v>366.99</v>
      </c>
      <c r="J294" s="3">
        <f>IFERROR(__xludf.DUMMYFUNCTION("""COMPUTED_VALUE"""),225.69)</f>
        <v>225.69</v>
      </c>
      <c r="K294" s="3">
        <f>IFERROR(__xludf.DUMMYFUNCTION("""COMPUTED_VALUE"""),143.35)</f>
        <v>143.35</v>
      </c>
      <c r="L294" s="3">
        <f>IFERROR(__xludf.DUMMYFUNCTION("""COMPUTED_VALUE"""),208.62)</f>
        <v>208.62</v>
      </c>
      <c r="M294" s="3">
        <f>IFERROR(__xludf.DUMMYFUNCTION("""COMPUTED_VALUE"""),197.1)</f>
        <v>197.1</v>
      </c>
      <c r="N294" s="3">
        <f>IFERROR(__xludf.DUMMYFUNCTION("""COMPUTED_VALUE"""),95.25)</f>
        <v>95.25</v>
      </c>
      <c r="O294" s="3">
        <f>IFERROR(__xludf.DUMMYFUNCTION("""COMPUTED_VALUE"""),18.64)</f>
        <v>18.64</v>
      </c>
      <c r="P294" s="3">
        <f>IFERROR(__xludf.DUMMYFUNCTION("""COMPUTED_VALUE"""),476.31)</f>
        <v>476.31</v>
      </c>
      <c r="Q294" s="3">
        <f>IFERROR(__xludf.DUMMYFUNCTION("""COMPUTED_VALUE"""),51.92)</f>
        <v>51.92</v>
      </c>
      <c r="R294" s="3">
        <f>IFERROR(__xludf.DUMMYFUNCTION("""COMPUTED_VALUE"""),133.11)</f>
        <v>133.11</v>
      </c>
      <c r="S294" s="3">
        <f>IFERROR(__xludf.DUMMYFUNCTION("""COMPUTED_VALUE"""),104.33)</f>
        <v>104.33</v>
      </c>
      <c r="T294" s="3">
        <f>IFERROR(__xludf.DUMMYFUNCTION("""COMPUTED_VALUE"""),76.61)</f>
        <v>76.61</v>
      </c>
      <c r="U294" s="3">
        <f>IFERROR(__xludf.DUMMYFUNCTION("""COMPUTED_VALUE"""),405.77)</f>
        <v>405.77</v>
      </c>
      <c r="V294" s="3">
        <f>IFERROR(__xludf.DUMMYFUNCTION("""COMPUTED_VALUE"""),75.14)</f>
        <v>75.14</v>
      </c>
      <c r="W294" s="3">
        <f>IFERROR(__xludf.DUMMYFUNCTION("""COMPUTED_VALUE"""),220.68)</f>
        <v>220.68</v>
      </c>
      <c r="X294" s="3">
        <f>IFERROR(__xludf.DUMMYFUNCTION("""COMPUTED_VALUE"""),151.65)</f>
        <v>151.65</v>
      </c>
      <c r="Y294" s="1">
        <f>IFERROR(__xludf.DUMMYFUNCTION("""COMPUTED_VALUE"""),303.06)</f>
        <v>303.06</v>
      </c>
      <c r="Z294" s="1">
        <f>IFERROR(__xludf.DUMMYFUNCTION("""COMPUTED_VALUE"""),47.88)</f>
        <v>47.88</v>
      </c>
      <c r="AA294" s="1">
        <f>IFERROR(__xludf.DUMMYFUNCTION("""COMPUTED_VALUE"""),69.47)</f>
        <v>69.47</v>
      </c>
      <c r="AB294" s="1">
        <f>IFERROR(__xludf.DUMMYFUNCTION("""COMPUTED_VALUE"""),101.01)</f>
        <v>101.01</v>
      </c>
      <c r="AC294" s="1">
        <f>IFERROR(__xludf.DUMMYFUNCTION("""COMPUTED_VALUE"""),170.93)</f>
        <v>170.93</v>
      </c>
      <c r="AD294" s="3">
        <f>IFERROR(__xludf.DUMMYFUNCTION("""COMPUTED_VALUE"""),108.63)</f>
        <v>108.63</v>
      </c>
      <c r="AE294" s="1">
        <f>IFERROR(__xludf.DUMMYFUNCTION("""COMPUTED_VALUE"""),472.94)</f>
        <v>472.94</v>
      </c>
      <c r="AF294" s="1">
        <f>IFERROR(__xludf.DUMMYFUNCTION("""COMPUTED_VALUE"""),77.63)</f>
        <v>77.63</v>
      </c>
      <c r="AG294" s="1">
        <f>IFERROR(__xludf.DUMMYFUNCTION("""COMPUTED_VALUE"""),113.92)</f>
        <v>113.92</v>
      </c>
      <c r="AH294" s="1">
        <f>IFERROR(__xludf.DUMMYFUNCTION("""COMPUTED_VALUE"""),233.98)</f>
        <v>233.98</v>
      </c>
      <c r="AI294" s="1">
        <f>IFERROR(__xludf.DUMMYFUNCTION("""COMPUTED_VALUE"""),488.29)</f>
        <v>488.29</v>
      </c>
      <c r="AJ294" s="1">
        <f>IFERROR(__xludf.DUMMYFUNCTION("""COMPUTED_VALUE"""),304.85)</f>
        <v>304.85</v>
      </c>
      <c r="AK294" s="1">
        <f>IFERROR(__xludf.DUMMYFUNCTION("""COMPUTED_VALUE"""),53.33)</f>
        <v>53.33</v>
      </c>
      <c r="AL294" s="1">
        <f>IFERROR(__xludf.DUMMYFUNCTION("""COMPUTED_VALUE"""),112.09)</f>
        <v>112.09</v>
      </c>
      <c r="AM294" s="1">
        <f>IFERROR(__xludf.DUMMYFUNCTION("""COMPUTED_VALUE"""),713.3)</f>
        <v>713.3</v>
      </c>
      <c r="AN294" s="1">
        <f>IFERROR(__xludf.DUMMYFUNCTION("""COMPUTED_VALUE"""),370.11)</f>
        <v>370.11</v>
      </c>
      <c r="AO294" s="1">
        <f>IFERROR(__xludf.DUMMYFUNCTION("""COMPUTED_VALUE"""),133.54)</f>
        <v>133.54</v>
      </c>
      <c r="AP294" s="1">
        <f>IFERROR(__xludf.DUMMYFUNCTION("""COMPUTED_VALUE"""),181.82)</f>
        <v>181.82</v>
      </c>
      <c r="AQ294" s="3">
        <f>IFERROR(__xludf.DUMMYFUNCTION("""COMPUTED_VALUE"""),516.44)</f>
        <v>516.44</v>
      </c>
      <c r="AR294" s="3">
        <f>IFERROR(__xludf.DUMMYFUNCTION("""COMPUTED_VALUE"""),288.7)</f>
        <v>288.7</v>
      </c>
      <c r="AS294" s="3">
        <f>IFERROR(__xludf.DUMMYFUNCTION("""COMPUTED_VALUE"""),473.57)</f>
        <v>473.57</v>
      </c>
      <c r="AT294" s="3">
        <f>IFERROR(__xludf.DUMMYFUNCTION("""COMPUTED_VALUE"""),228.89)</f>
        <v>228.89</v>
      </c>
      <c r="AU294" s="1">
        <f>IFERROR(__xludf.DUMMYFUNCTION("""COMPUTED_VALUE"""),30.48)</f>
        <v>30.48</v>
      </c>
      <c r="AV294" s="1">
        <f>IFERROR(__xludf.DUMMYFUNCTION("""COMPUTED_VALUE"""),89.73)</f>
        <v>89.73</v>
      </c>
      <c r="AW294" s="1">
        <f>IFERROR(__xludf.DUMMYFUNCTION("""COMPUTED_VALUE"""),77.9)</f>
        <v>77.9</v>
      </c>
      <c r="AX294" s="3">
        <f>IFERROR(__xludf.DUMMYFUNCTION("""COMPUTED_VALUE"""),48.52)</f>
        <v>48.52</v>
      </c>
      <c r="AY294" s="1">
        <f>IFERROR(__xludf.DUMMYFUNCTION("""COMPUTED_VALUE"""),503.02)</f>
        <v>503.02</v>
      </c>
      <c r="AZ294" s="3">
        <f>IFERROR(__xludf.DUMMYFUNCTION("""COMPUTED_VALUE"""),75.04)</f>
        <v>75.04</v>
      </c>
      <c r="BA294" s="3">
        <f>IFERROR(__xludf.DUMMYFUNCTION("""COMPUTED_VALUE"""),151.06)</f>
        <v>151.06</v>
      </c>
      <c r="BB294" s="3">
        <f>IFERROR(__xludf.DUMMYFUNCTION("""COMPUTED_VALUE"""),164.07)</f>
        <v>164.07</v>
      </c>
      <c r="BC294" s="1">
        <f>IFERROR(__xludf.DUMMYFUNCTION("""COMPUTED_VALUE"""),100.04)</f>
        <v>100.04</v>
      </c>
      <c r="BD294" s="1">
        <f>IFERROR(__xludf.DUMMYFUNCTION("""COMPUTED_VALUE"""),53.26)</f>
        <v>53.26</v>
      </c>
      <c r="BE294" s="3">
        <f>IFERROR(__xludf.DUMMYFUNCTION("""COMPUTED_VALUE"""),149.15)</f>
        <v>149.15</v>
      </c>
      <c r="BF294" s="1">
        <f>IFERROR(__xludf.DUMMYFUNCTION("""COMPUTED_VALUE"""),73.89)</f>
        <v>73.89</v>
      </c>
      <c r="BG294" s="1">
        <f>IFERROR(__xludf.DUMMYFUNCTION("""COMPUTED_VALUE"""),25.35)</f>
        <v>25.35</v>
      </c>
      <c r="BH294" s="1">
        <f>IFERROR(__xludf.DUMMYFUNCTION("""COMPUTED_VALUE"""),149.28)</f>
        <v>149.28</v>
      </c>
      <c r="BI294" s="3">
        <f>IFERROR(__xludf.DUMMYFUNCTION("""COMPUTED_VALUE"""),38.37)</f>
        <v>38.37</v>
      </c>
      <c r="BJ294" s="1">
        <f>IFERROR(__xludf.DUMMYFUNCTION("""COMPUTED_VALUE"""),228.15)</f>
        <v>228.15</v>
      </c>
      <c r="BK294" s="1">
        <f>IFERROR(__xludf.DUMMYFUNCTION("""COMPUTED_VALUE"""),425.34)</f>
        <v>425.34</v>
      </c>
      <c r="BL294" s="1">
        <f>IFERROR(__xludf.DUMMYFUNCTION("""COMPUTED_VALUE"""),172.14)</f>
        <v>172.14</v>
      </c>
      <c r="BM294" s="1">
        <f>IFERROR(__xludf.DUMMYFUNCTION("""COMPUTED_VALUE"""),116.88)</f>
        <v>116.88</v>
      </c>
      <c r="BN294" s="3">
        <f>IFERROR(__xludf.DUMMYFUNCTION("""COMPUTED_VALUE"""),6.99)</f>
        <v>6.99</v>
      </c>
      <c r="BO294" s="1">
        <f>IFERROR(__xludf.DUMMYFUNCTION("""COMPUTED_VALUE"""),233.31)</f>
        <v>233.31</v>
      </c>
      <c r="BP294" s="1">
        <f>IFERROR(__xludf.DUMMYFUNCTION("""COMPUTED_VALUE"""),300.58)</f>
        <v>300.58</v>
      </c>
      <c r="BQ294" s="36">
        <f>IFERROR(__xludf.DUMMYFUNCTION("""COMPUTED_VALUE"""),49.94)</f>
        <v>49.94</v>
      </c>
      <c r="BR294" s="1">
        <f>IFERROR(__xludf.DUMMYFUNCTION("""COMPUTED_VALUE"""),9.14)</f>
        <v>9.14</v>
      </c>
      <c r="BS294" s="3">
        <f>IFERROR(__xludf.DUMMYFUNCTION("""COMPUTED_VALUE"""),229.3)</f>
        <v>229.3</v>
      </c>
      <c r="BT294" s="1">
        <f>IFERROR(__xludf.DUMMYFUNCTION("""COMPUTED_VALUE"""),119.97)</f>
        <v>119.97</v>
      </c>
      <c r="BU294" s="3">
        <v>1.0</v>
      </c>
    </row>
    <row r="295">
      <c r="A295" s="25">
        <f>IFERROR(__xludf.DUMMYFUNCTION("""COMPUTED_VALUE"""),45853.66666666667)</f>
        <v>45853.66667</v>
      </c>
      <c r="B295" s="29">
        <f>'Master Scratch Work'!B294</f>
        <v>1414067.53</v>
      </c>
      <c r="C295" s="15">
        <f>IFERROR(__xludf.DUMMYFUNCTION("""COMPUTED_VALUE"""),6243.76)</f>
        <v>6243.76</v>
      </c>
      <c r="D295" s="15">
        <f>IFERROR(__xludf.DUMMYFUNCTION("""COMPUTED_VALUE"""),20677.8)</f>
        <v>20677.8</v>
      </c>
      <c r="E295" s="15">
        <f>IFERROR(__xludf.DUMMYFUNCTION("""COMPUTED_VALUE"""),44023.29)</f>
        <v>44023.29</v>
      </c>
      <c r="F295" s="15">
        <f>IFERROR(__xludf.DUMMYFUNCTION("""COMPUTED_VALUE"""),2205.05)</f>
        <v>2205.05</v>
      </c>
      <c r="G295" s="3">
        <f>IFERROR(__xludf.DUMMYFUNCTION("""COMPUTED_VALUE"""),622.14)</f>
        <v>622.14</v>
      </c>
      <c r="H295" s="3">
        <f>IFERROR(__xludf.DUMMYFUNCTION("""COMPUTED_VALUE"""),556.72)</f>
        <v>556.72</v>
      </c>
      <c r="I295" s="3">
        <f>IFERROR(__xludf.DUMMYFUNCTION("""COMPUTED_VALUE"""),364.18)</f>
        <v>364.18</v>
      </c>
      <c r="J295" s="3">
        <f>IFERROR(__xludf.DUMMYFUNCTION("""COMPUTED_VALUE"""),226.35)</f>
        <v>226.35</v>
      </c>
      <c r="K295" s="3">
        <f>IFERROR(__xludf.DUMMYFUNCTION("""COMPUTED_VALUE"""),140.83)</f>
        <v>140.83</v>
      </c>
      <c r="L295" s="3">
        <f>IFERROR(__xludf.DUMMYFUNCTION("""COMPUTED_VALUE"""),209.11)</f>
        <v>209.11</v>
      </c>
      <c r="M295" s="3">
        <f>IFERROR(__xludf.DUMMYFUNCTION("""COMPUTED_VALUE"""),199.29)</f>
        <v>199.29</v>
      </c>
      <c r="N295" s="3">
        <f>IFERROR(__xludf.DUMMYFUNCTION("""COMPUTED_VALUE"""),95.16)</f>
        <v>95.16</v>
      </c>
      <c r="O295" s="3">
        <f>IFERROR(__xludf.DUMMYFUNCTION("""COMPUTED_VALUE"""),18.48)</f>
        <v>18.48</v>
      </c>
      <c r="P295" s="3">
        <f>IFERROR(__xludf.DUMMYFUNCTION("""COMPUTED_VALUE"""),470.13)</f>
        <v>470.13</v>
      </c>
      <c r="Q295" s="3">
        <f>IFERROR(__xludf.DUMMYFUNCTION("""COMPUTED_VALUE"""),50.37)</f>
        <v>50.37</v>
      </c>
      <c r="R295" s="3">
        <f>IFERROR(__xludf.DUMMYFUNCTION("""COMPUTED_VALUE"""),127.5)</f>
        <v>127.5</v>
      </c>
      <c r="S295" s="3">
        <f>IFERROR(__xludf.DUMMYFUNCTION("""COMPUTED_VALUE"""),103.48)</f>
        <v>103.48</v>
      </c>
      <c r="T295" s="3">
        <f>IFERROR(__xludf.DUMMYFUNCTION("""COMPUTED_VALUE"""),75.38)</f>
        <v>75.38</v>
      </c>
      <c r="U295" s="3">
        <f>IFERROR(__xludf.DUMMYFUNCTION("""COMPUTED_VALUE"""),404.64)</f>
        <v>404.64</v>
      </c>
      <c r="V295" s="3">
        <f>IFERROR(__xludf.DUMMYFUNCTION("""COMPUTED_VALUE"""),75.8)</f>
        <v>75.8</v>
      </c>
      <c r="W295" s="3">
        <f>IFERROR(__xludf.DUMMYFUNCTION("""COMPUTED_VALUE"""),218.78)</f>
        <v>218.78</v>
      </c>
      <c r="X295" s="3">
        <f>IFERROR(__xludf.DUMMYFUNCTION("""COMPUTED_VALUE"""),150.69)</f>
        <v>150.69</v>
      </c>
      <c r="Y295" s="1">
        <f>IFERROR(__xludf.DUMMYFUNCTION("""COMPUTED_VALUE"""),302.44)</f>
        <v>302.44</v>
      </c>
      <c r="Z295" s="1">
        <f>IFERROR(__xludf.DUMMYFUNCTION("""COMPUTED_VALUE"""),46.69)</f>
        <v>46.69</v>
      </c>
      <c r="AA295" s="1">
        <f>IFERROR(__xludf.DUMMYFUNCTION("""COMPUTED_VALUE"""),69.36)</f>
        <v>69.36</v>
      </c>
      <c r="AB295" s="1">
        <f>IFERROR(__xludf.DUMMYFUNCTION("""COMPUTED_VALUE"""),99.95)</f>
        <v>99.95</v>
      </c>
      <c r="AC295" s="1">
        <f>IFERROR(__xludf.DUMMYFUNCTION("""COMPUTED_VALUE"""),171.13)</f>
        <v>171.13</v>
      </c>
      <c r="AD295" s="3">
        <f>IFERROR(__xludf.DUMMYFUNCTION("""COMPUTED_VALUE"""),106.55)</f>
        <v>106.55</v>
      </c>
      <c r="AE295" s="1">
        <f>IFERROR(__xludf.DUMMYFUNCTION("""COMPUTED_VALUE"""),465.39)</f>
        <v>465.39</v>
      </c>
      <c r="AF295" s="1">
        <f>IFERROR(__xludf.DUMMYFUNCTION("""COMPUTED_VALUE"""),77.22)</f>
        <v>77.22</v>
      </c>
      <c r="AG295" s="1">
        <f>IFERROR(__xludf.DUMMYFUNCTION("""COMPUTED_VALUE"""),112.91)</f>
        <v>112.91</v>
      </c>
      <c r="AH295" s="1">
        <f>IFERROR(__xludf.DUMMYFUNCTION("""COMPUTED_VALUE"""),230.66)</f>
        <v>230.66</v>
      </c>
      <c r="AI295" s="1">
        <f>IFERROR(__xludf.DUMMYFUNCTION("""COMPUTED_VALUE"""),487.11)</f>
        <v>487.11</v>
      </c>
      <c r="AJ295" s="1">
        <f>IFERROR(__xludf.DUMMYFUNCTION("""COMPUTED_VALUE"""),300.85)</f>
        <v>300.85</v>
      </c>
      <c r="AK295" s="1">
        <f>IFERROR(__xludf.DUMMYFUNCTION("""COMPUTED_VALUE"""),52.71)</f>
        <v>52.71</v>
      </c>
      <c r="AL295" s="1">
        <f>IFERROR(__xludf.DUMMYFUNCTION("""COMPUTED_VALUE"""),109.06)</f>
        <v>109.06</v>
      </c>
      <c r="AM295" s="1">
        <f>IFERROR(__xludf.DUMMYFUNCTION("""COMPUTED_VALUE"""),702.51)</f>
        <v>702.51</v>
      </c>
      <c r="AN295" s="1">
        <f>IFERROR(__xludf.DUMMYFUNCTION("""COMPUTED_VALUE"""),358.64)</f>
        <v>358.64</v>
      </c>
      <c r="AO295" s="1">
        <f>IFERROR(__xludf.DUMMYFUNCTION("""COMPUTED_VALUE"""),132.18)</f>
        <v>132.18</v>
      </c>
      <c r="AP295" s="1">
        <f>IFERROR(__xludf.DUMMYFUNCTION("""COMPUTED_VALUE"""),179.79)</f>
        <v>179.79</v>
      </c>
      <c r="AQ295" s="3">
        <f>IFERROR(__xludf.DUMMYFUNCTION("""COMPUTED_VALUE"""),512.23)</f>
        <v>512.23</v>
      </c>
      <c r="AR295" s="3">
        <f>IFERROR(__xludf.DUMMYFUNCTION("""COMPUTED_VALUE"""),286.55)</f>
        <v>286.55</v>
      </c>
      <c r="AS295" s="3">
        <f>IFERROR(__xludf.DUMMYFUNCTION("""COMPUTED_VALUE"""),470.12)</f>
        <v>470.12</v>
      </c>
      <c r="AT295" s="3">
        <f>IFERROR(__xludf.DUMMYFUNCTION("""COMPUTED_VALUE"""),222.19)</f>
        <v>222.19</v>
      </c>
      <c r="AU295" s="1">
        <f>IFERROR(__xludf.DUMMYFUNCTION("""COMPUTED_VALUE"""),30.25)</f>
        <v>30.25</v>
      </c>
      <c r="AV295" s="1">
        <f>IFERROR(__xludf.DUMMYFUNCTION("""COMPUTED_VALUE"""),89.22)</f>
        <v>89.22</v>
      </c>
      <c r="AW295" s="1">
        <f>IFERROR(__xludf.DUMMYFUNCTION("""COMPUTED_VALUE"""),76.21)</f>
        <v>76.21</v>
      </c>
      <c r="AX295" s="3">
        <f>IFERROR(__xludf.DUMMYFUNCTION("""COMPUTED_VALUE"""),58.22)</f>
        <v>58.22</v>
      </c>
      <c r="AY295" s="1">
        <f>IFERROR(__xludf.DUMMYFUNCTION("""COMPUTED_VALUE"""),505.82)</f>
        <v>505.82</v>
      </c>
      <c r="AZ295" s="3">
        <f>IFERROR(__xludf.DUMMYFUNCTION("""COMPUTED_VALUE"""),74.7)</f>
        <v>74.7</v>
      </c>
      <c r="BA295" s="3">
        <f>IFERROR(__xludf.DUMMYFUNCTION("""COMPUTED_VALUE"""),146.88)</f>
        <v>146.88</v>
      </c>
      <c r="BB295" s="3">
        <f>IFERROR(__xludf.DUMMYFUNCTION("""COMPUTED_VALUE"""),170.7)</f>
        <v>170.7</v>
      </c>
      <c r="BC295" s="1">
        <f>IFERROR(__xludf.DUMMYFUNCTION("""COMPUTED_VALUE"""),99.38)</f>
        <v>99.38</v>
      </c>
      <c r="BD295" s="1">
        <f>IFERROR(__xludf.DUMMYFUNCTION("""COMPUTED_VALUE"""),53.46)</f>
        <v>53.46</v>
      </c>
      <c r="BE295" s="3">
        <f>IFERROR(__xludf.DUMMYFUNCTION("""COMPUTED_VALUE"""),148.58)</f>
        <v>148.58</v>
      </c>
      <c r="BF295" s="1">
        <f>IFERROR(__xludf.DUMMYFUNCTION("""COMPUTED_VALUE"""),72.96)</f>
        <v>72.96</v>
      </c>
      <c r="BG295" s="1">
        <f>IFERROR(__xludf.DUMMYFUNCTION("""COMPUTED_VALUE"""),24.61)</f>
        <v>24.61</v>
      </c>
      <c r="BH295" s="1">
        <f>IFERROR(__xludf.DUMMYFUNCTION("""COMPUTED_VALUE"""),148.68)</f>
        <v>148.68</v>
      </c>
      <c r="BI295" s="3">
        <f>IFERROR(__xludf.DUMMYFUNCTION("""COMPUTED_VALUE"""),37.81)</f>
        <v>37.81</v>
      </c>
      <c r="BJ295" s="1">
        <f>IFERROR(__xludf.DUMMYFUNCTION("""COMPUTED_VALUE"""),226.02)</f>
        <v>226.02</v>
      </c>
      <c r="BK295" s="1">
        <f>IFERROR(__xludf.DUMMYFUNCTION("""COMPUTED_VALUE"""),417.99)</f>
        <v>417.99</v>
      </c>
      <c r="BL295" s="1">
        <f>IFERROR(__xludf.DUMMYFUNCTION("""COMPUTED_VALUE"""),170.02)</f>
        <v>170.02</v>
      </c>
      <c r="BM295" s="1">
        <f>IFERROR(__xludf.DUMMYFUNCTION("""COMPUTED_VALUE"""),115.68)</f>
        <v>115.68</v>
      </c>
      <c r="BN295" s="3">
        <f>IFERROR(__xludf.DUMMYFUNCTION("""COMPUTED_VALUE"""),6.83)</f>
        <v>6.83</v>
      </c>
      <c r="BO295" s="1">
        <f>IFERROR(__xludf.DUMMYFUNCTION("""COMPUTED_VALUE"""),231.14)</f>
        <v>231.14</v>
      </c>
      <c r="BP295" s="1">
        <f>IFERROR(__xludf.DUMMYFUNCTION("""COMPUTED_VALUE"""),291.71)</f>
        <v>291.71</v>
      </c>
      <c r="BQ295" s="36">
        <f>IFERROR(__xludf.DUMMYFUNCTION("""COMPUTED_VALUE"""),49.91)</f>
        <v>49.91</v>
      </c>
      <c r="BR295" s="1">
        <f>IFERROR(__xludf.DUMMYFUNCTION("""COMPUTED_VALUE"""),8.93)</f>
        <v>8.93</v>
      </c>
      <c r="BS295" s="3">
        <f>IFERROR(__xludf.DUMMYFUNCTION("""COMPUTED_VALUE"""),225.84)</f>
        <v>225.84</v>
      </c>
      <c r="BT295" s="1">
        <f>IFERROR(__xludf.DUMMYFUNCTION("""COMPUTED_VALUE"""),118.98)</f>
        <v>118.98</v>
      </c>
      <c r="BU295" s="3">
        <v>1.0</v>
      </c>
    </row>
    <row r="296">
      <c r="A296" s="25">
        <f>IFERROR(__xludf.DUMMYFUNCTION("""COMPUTED_VALUE"""),45854.66666666667)</f>
        <v>45854.66667</v>
      </c>
      <c r="B296" s="29">
        <f>'Master Scratch Work'!B295</f>
        <v>1418920.11</v>
      </c>
      <c r="C296" s="15">
        <f>IFERROR(__xludf.DUMMYFUNCTION("""COMPUTED_VALUE"""),6263.7)</f>
        <v>6263.7</v>
      </c>
      <c r="D296" s="15">
        <f>IFERROR(__xludf.DUMMYFUNCTION("""COMPUTED_VALUE"""),20730.49)</f>
        <v>20730.49</v>
      </c>
      <c r="E296" s="15">
        <f>IFERROR(__xludf.DUMMYFUNCTION("""COMPUTED_VALUE"""),44254.78)</f>
        <v>44254.78</v>
      </c>
      <c r="F296" s="15">
        <f>IFERROR(__xludf.DUMMYFUNCTION("""COMPUTED_VALUE"""),2226.98)</f>
        <v>2226.98</v>
      </c>
      <c r="G296" s="3">
        <f>IFERROR(__xludf.DUMMYFUNCTION("""COMPUTED_VALUE"""),624.22)</f>
        <v>624.22</v>
      </c>
      <c r="H296" s="3">
        <f>IFERROR(__xludf.DUMMYFUNCTION("""COMPUTED_VALUE"""),557.29)</f>
        <v>557.29</v>
      </c>
      <c r="I296" s="3">
        <f>IFERROR(__xludf.DUMMYFUNCTION("""COMPUTED_VALUE"""),361.77)</f>
        <v>361.77</v>
      </c>
      <c r="J296" s="3">
        <f>IFERROR(__xludf.DUMMYFUNCTION("""COMPUTED_VALUE"""),223.19)</f>
        <v>223.19</v>
      </c>
      <c r="K296" s="3">
        <f>IFERROR(__xludf.DUMMYFUNCTION("""COMPUTED_VALUE"""),141.72)</f>
        <v>141.72</v>
      </c>
      <c r="L296" s="3">
        <f>IFERROR(__xludf.DUMMYFUNCTION("""COMPUTED_VALUE"""),210.16)</f>
        <v>210.16</v>
      </c>
      <c r="M296" s="3">
        <f>IFERROR(__xludf.DUMMYFUNCTION("""COMPUTED_VALUE"""),194.81)</f>
        <v>194.81</v>
      </c>
      <c r="N296" s="3">
        <f>IFERROR(__xludf.DUMMYFUNCTION("""COMPUTED_VALUE"""),95.49)</f>
        <v>95.49</v>
      </c>
      <c r="O296" s="3">
        <f>IFERROR(__xludf.DUMMYFUNCTION("""COMPUTED_VALUE"""),18.73)</f>
        <v>18.73</v>
      </c>
      <c r="P296" s="3">
        <f>IFERROR(__xludf.DUMMYFUNCTION("""COMPUTED_VALUE"""),471.31)</f>
        <v>471.31</v>
      </c>
      <c r="Q296" s="3">
        <f>IFERROR(__xludf.DUMMYFUNCTION("""COMPUTED_VALUE"""),51.17)</f>
        <v>51.17</v>
      </c>
      <c r="R296" s="3">
        <f>IFERROR(__xludf.DUMMYFUNCTION("""COMPUTED_VALUE"""),128.46)</f>
        <v>128.46</v>
      </c>
      <c r="S296" s="3">
        <f>IFERROR(__xludf.DUMMYFUNCTION("""COMPUTED_VALUE"""),103.19)</f>
        <v>103.19</v>
      </c>
      <c r="T296" s="3">
        <f>IFERROR(__xludf.DUMMYFUNCTION("""COMPUTED_VALUE"""),75.43)</f>
        <v>75.43</v>
      </c>
      <c r="U296" s="3">
        <f>IFERROR(__xludf.DUMMYFUNCTION("""COMPUTED_VALUE"""),412.88)</f>
        <v>412.88</v>
      </c>
      <c r="V296" s="3">
        <f>IFERROR(__xludf.DUMMYFUNCTION("""COMPUTED_VALUE"""),76.19)</f>
        <v>76.19</v>
      </c>
      <c r="W296" s="3">
        <f>IFERROR(__xludf.DUMMYFUNCTION("""COMPUTED_VALUE"""),218.07)</f>
        <v>218.07</v>
      </c>
      <c r="X296" s="3">
        <f>IFERROR(__xludf.DUMMYFUNCTION("""COMPUTED_VALUE"""),149.92)</f>
        <v>149.92</v>
      </c>
      <c r="Y296" s="1">
        <f>IFERROR(__xludf.DUMMYFUNCTION("""COMPUTED_VALUE"""),305.82)</f>
        <v>305.82</v>
      </c>
      <c r="Z296" s="1">
        <f>IFERROR(__xludf.DUMMYFUNCTION("""COMPUTED_VALUE"""),46.97)</f>
        <v>46.97</v>
      </c>
      <c r="AA296" s="1">
        <f>IFERROR(__xludf.DUMMYFUNCTION("""COMPUTED_VALUE"""),69.27)</f>
        <v>69.27</v>
      </c>
      <c r="AB296" s="1">
        <f>IFERROR(__xludf.DUMMYFUNCTION("""COMPUTED_VALUE"""),100.46)</f>
        <v>100.46</v>
      </c>
      <c r="AC296" s="1">
        <f>IFERROR(__xludf.DUMMYFUNCTION("""COMPUTED_VALUE"""),172.98)</f>
        <v>172.98</v>
      </c>
      <c r="AD296" s="3">
        <f>IFERROR(__xludf.DUMMYFUNCTION("""COMPUTED_VALUE"""),106.62)</f>
        <v>106.62</v>
      </c>
      <c r="AE296" s="1">
        <f>IFERROR(__xludf.DUMMYFUNCTION("""COMPUTED_VALUE"""),465.3)</f>
        <v>465.3</v>
      </c>
      <c r="AF296" s="1">
        <f>IFERROR(__xludf.DUMMYFUNCTION("""COMPUTED_VALUE"""),76.92)</f>
        <v>76.92</v>
      </c>
      <c r="AG296" s="1">
        <f>IFERROR(__xludf.DUMMYFUNCTION("""COMPUTED_VALUE"""),112.23)</f>
        <v>112.23</v>
      </c>
      <c r="AH296" s="1">
        <f>IFERROR(__xludf.DUMMYFUNCTION("""COMPUTED_VALUE"""),228.75)</f>
        <v>228.75</v>
      </c>
      <c r="AI296" s="1">
        <f>IFERROR(__xludf.DUMMYFUNCTION("""COMPUTED_VALUE"""),505.3)</f>
        <v>505.3</v>
      </c>
      <c r="AJ296" s="1">
        <f>IFERROR(__xludf.DUMMYFUNCTION("""COMPUTED_VALUE"""),300.0)</f>
        <v>300</v>
      </c>
      <c r="AK296" s="1">
        <f>IFERROR(__xludf.DUMMYFUNCTION("""COMPUTED_VALUE"""),53.18)</f>
        <v>53.18</v>
      </c>
      <c r="AL296" s="1">
        <f>IFERROR(__xludf.DUMMYFUNCTION("""COMPUTED_VALUE"""),109.85)</f>
        <v>109.85</v>
      </c>
      <c r="AM296" s="1">
        <f>IFERROR(__xludf.DUMMYFUNCTION("""COMPUTED_VALUE"""),708.82)</f>
        <v>708.82</v>
      </c>
      <c r="AN296" s="1">
        <f>IFERROR(__xludf.DUMMYFUNCTION("""COMPUTED_VALUE"""),357.4)</f>
        <v>357.4</v>
      </c>
      <c r="AO296" s="1">
        <f>IFERROR(__xludf.DUMMYFUNCTION("""COMPUTED_VALUE"""),132.34)</f>
        <v>132.34</v>
      </c>
      <c r="AP296" s="1">
        <f>IFERROR(__xludf.DUMMYFUNCTION("""COMPUTED_VALUE"""),180.8)</f>
        <v>180.8</v>
      </c>
      <c r="AQ296" s="3">
        <f>IFERROR(__xludf.DUMMYFUNCTION("""COMPUTED_VALUE"""),512.64)</f>
        <v>512.64</v>
      </c>
      <c r="AR296" s="3">
        <f>IFERROR(__xludf.DUMMYFUNCTION("""COMPUTED_VALUE"""),285.82)</f>
        <v>285.82</v>
      </c>
      <c r="AS296" s="3">
        <f>IFERROR(__xludf.DUMMYFUNCTION("""COMPUTED_VALUE"""),471.47)</f>
        <v>471.47</v>
      </c>
      <c r="AT296" s="3">
        <f>IFERROR(__xludf.DUMMYFUNCTION("""COMPUTED_VALUE"""),226.11)</f>
        <v>226.11</v>
      </c>
      <c r="AU296" s="1">
        <f>IFERROR(__xludf.DUMMYFUNCTION("""COMPUTED_VALUE"""),30.46)</f>
        <v>30.46</v>
      </c>
      <c r="AV296" s="1">
        <f>IFERROR(__xludf.DUMMYFUNCTION("""COMPUTED_VALUE"""),89.78)</f>
        <v>89.78</v>
      </c>
      <c r="AW296" s="1">
        <f>IFERROR(__xludf.DUMMYFUNCTION("""COMPUTED_VALUE"""),76.59)</f>
        <v>76.59</v>
      </c>
      <c r="AX296" s="3">
        <f>IFERROR(__xludf.DUMMYFUNCTION("""COMPUTED_VALUE"""),58.55)</f>
        <v>58.55</v>
      </c>
      <c r="AY296" s="1">
        <f>IFERROR(__xludf.DUMMYFUNCTION("""COMPUTED_VALUE"""),505.62)</f>
        <v>505.62</v>
      </c>
      <c r="AZ296" s="3">
        <f>IFERROR(__xludf.DUMMYFUNCTION("""COMPUTED_VALUE"""),74.77)</f>
        <v>74.77</v>
      </c>
      <c r="BA296" s="3">
        <f>IFERROR(__xludf.DUMMYFUNCTION("""COMPUTED_VALUE"""),144.96)</f>
        <v>144.96</v>
      </c>
      <c r="BB296" s="3">
        <f>IFERROR(__xludf.DUMMYFUNCTION("""COMPUTED_VALUE"""),171.37)</f>
        <v>171.37</v>
      </c>
      <c r="BC296" s="1">
        <f>IFERROR(__xludf.DUMMYFUNCTION("""COMPUTED_VALUE"""),100.34)</f>
        <v>100.34</v>
      </c>
      <c r="BD296" s="1">
        <f>IFERROR(__xludf.DUMMYFUNCTION("""COMPUTED_VALUE"""),52.88)</f>
        <v>52.88</v>
      </c>
      <c r="BE296" s="3">
        <f>IFERROR(__xludf.DUMMYFUNCTION("""COMPUTED_VALUE"""),150.91)</f>
        <v>150.91</v>
      </c>
      <c r="BF296" s="1">
        <f>IFERROR(__xludf.DUMMYFUNCTION("""COMPUTED_VALUE"""),72.97)</f>
        <v>72.97</v>
      </c>
      <c r="BG296" s="1">
        <f>IFERROR(__xludf.DUMMYFUNCTION("""COMPUTED_VALUE"""),24.61)</f>
        <v>24.61</v>
      </c>
      <c r="BH296" s="1">
        <f>IFERROR(__xludf.DUMMYFUNCTION("""COMPUTED_VALUE"""),150.17)</f>
        <v>150.17</v>
      </c>
      <c r="BI296" s="3">
        <f>IFERROR(__xludf.DUMMYFUNCTION("""COMPUTED_VALUE"""),38.4)</f>
        <v>38.4</v>
      </c>
      <c r="BJ296" s="1">
        <f>IFERROR(__xludf.DUMMYFUNCTION("""COMPUTED_VALUE"""),228.74)</f>
        <v>228.74</v>
      </c>
      <c r="BK296" s="1">
        <f>IFERROR(__xludf.DUMMYFUNCTION("""COMPUTED_VALUE"""),416.31)</f>
        <v>416.31</v>
      </c>
      <c r="BL296" s="1">
        <f>IFERROR(__xludf.DUMMYFUNCTION("""COMPUTED_VALUE"""),169.88)</f>
        <v>169.88</v>
      </c>
      <c r="BM296" s="1">
        <f>IFERROR(__xludf.DUMMYFUNCTION("""COMPUTED_VALUE"""),113.32)</f>
        <v>113.32</v>
      </c>
      <c r="BN296" s="3">
        <f>IFERROR(__xludf.DUMMYFUNCTION("""COMPUTED_VALUE"""),6.69)</f>
        <v>6.69</v>
      </c>
      <c r="BO296" s="1">
        <f>IFERROR(__xludf.DUMMYFUNCTION("""COMPUTED_VALUE"""),231.18)</f>
        <v>231.18</v>
      </c>
      <c r="BP296" s="1">
        <f>IFERROR(__xludf.DUMMYFUNCTION("""COMPUTED_VALUE"""),292.49)</f>
        <v>292.49</v>
      </c>
      <c r="BQ296" s="36">
        <f>IFERROR(__xludf.DUMMYFUNCTION("""COMPUTED_VALUE"""),50.01)</f>
        <v>50.01</v>
      </c>
      <c r="BR296" s="1">
        <f>IFERROR(__xludf.DUMMYFUNCTION("""COMPUTED_VALUE"""),9.08)</f>
        <v>9.08</v>
      </c>
      <c r="BS296" s="3">
        <f>IFERROR(__xludf.DUMMYFUNCTION("""COMPUTED_VALUE"""),225.86)</f>
        <v>225.86</v>
      </c>
      <c r="BT296" s="1">
        <f>IFERROR(__xludf.DUMMYFUNCTION("""COMPUTED_VALUE"""),119.82)</f>
        <v>119.82</v>
      </c>
      <c r="BU296" s="3">
        <v>1.0</v>
      </c>
    </row>
    <row r="297">
      <c r="A297" s="25">
        <f>IFERROR(__xludf.DUMMYFUNCTION("""COMPUTED_VALUE"""),45855.66666666667)</f>
        <v>45855.66667</v>
      </c>
      <c r="B297" s="29">
        <f>'Master Scratch Work'!B296</f>
        <v>1425844.06</v>
      </c>
      <c r="C297" s="15">
        <f>IFERROR(__xludf.DUMMYFUNCTION("""COMPUTED_VALUE"""),6297.36)</f>
        <v>6297.36</v>
      </c>
      <c r="D297" s="15">
        <f>IFERROR(__xludf.DUMMYFUNCTION("""COMPUTED_VALUE"""),20885.65)</f>
        <v>20885.65</v>
      </c>
      <c r="E297" s="15">
        <f>IFERROR(__xludf.DUMMYFUNCTION("""COMPUTED_VALUE"""),44484.49)</f>
        <v>44484.49</v>
      </c>
      <c r="F297" s="15">
        <f>IFERROR(__xludf.DUMMYFUNCTION("""COMPUTED_VALUE"""),2253.68)</f>
        <v>2253.68</v>
      </c>
      <c r="G297" s="3">
        <f>IFERROR(__xludf.DUMMYFUNCTION("""COMPUTED_VALUE"""),628.04)</f>
        <v>628.04</v>
      </c>
      <c r="H297" s="3">
        <f>IFERROR(__xludf.DUMMYFUNCTION("""COMPUTED_VALUE"""),561.8)</f>
        <v>561.8</v>
      </c>
      <c r="I297" s="3">
        <f>IFERROR(__xludf.DUMMYFUNCTION("""COMPUTED_VALUE"""),366.45)</f>
        <v>366.45</v>
      </c>
      <c r="J297" s="3">
        <f>IFERROR(__xludf.DUMMYFUNCTION("""COMPUTED_VALUE"""),223.88)</f>
        <v>223.88</v>
      </c>
      <c r="K297" s="3">
        <f>IFERROR(__xludf.DUMMYFUNCTION("""COMPUTED_VALUE"""),142.21)</f>
        <v>142.21</v>
      </c>
      <c r="L297" s="3">
        <f>IFERROR(__xludf.DUMMYFUNCTION("""COMPUTED_VALUE"""),210.02)</f>
        <v>210.02</v>
      </c>
      <c r="M297" s="3">
        <f>IFERROR(__xludf.DUMMYFUNCTION("""COMPUTED_VALUE"""),192.52)</f>
        <v>192.52</v>
      </c>
      <c r="N297" s="3">
        <f>IFERROR(__xludf.DUMMYFUNCTION("""COMPUTED_VALUE"""),97.92)</f>
        <v>97.92</v>
      </c>
      <c r="O297" s="3">
        <f>IFERROR(__xludf.DUMMYFUNCTION("""COMPUTED_VALUE"""),19.01)</f>
        <v>19.01</v>
      </c>
      <c r="P297" s="3">
        <f>IFERROR(__xludf.DUMMYFUNCTION("""COMPUTED_VALUE"""),473.4)</f>
        <v>473.4</v>
      </c>
      <c r="Q297" s="3">
        <f>IFERROR(__xludf.DUMMYFUNCTION("""COMPUTED_VALUE"""),51.69)</f>
        <v>51.69</v>
      </c>
      <c r="R297" s="3">
        <f>IFERROR(__xludf.DUMMYFUNCTION("""COMPUTED_VALUE"""),128.69)</f>
        <v>128.69</v>
      </c>
      <c r="S297" s="3">
        <f>IFERROR(__xludf.DUMMYFUNCTION("""COMPUTED_VALUE"""),104.65)</f>
        <v>104.65</v>
      </c>
      <c r="T297" s="3">
        <f>IFERROR(__xludf.DUMMYFUNCTION("""COMPUTED_VALUE"""),76.93)</f>
        <v>76.93</v>
      </c>
      <c r="U297" s="3">
        <f>IFERROR(__xludf.DUMMYFUNCTION("""COMPUTED_VALUE"""),418.07)</f>
        <v>418.07</v>
      </c>
      <c r="V297" s="3">
        <f>IFERROR(__xludf.DUMMYFUNCTION("""COMPUTED_VALUE"""),77.91)</f>
        <v>77.91</v>
      </c>
      <c r="W297" s="3">
        <f>IFERROR(__xludf.DUMMYFUNCTION("""COMPUTED_VALUE"""),217.47)</f>
        <v>217.47</v>
      </c>
      <c r="X297" s="3">
        <f>IFERROR(__xludf.DUMMYFUNCTION("""COMPUTED_VALUE"""),151.38)</f>
        <v>151.38</v>
      </c>
      <c r="Y297" s="1">
        <f>IFERROR(__xludf.DUMMYFUNCTION("""COMPUTED_VALUE"""),298.28)</f>
        <v>298.28</v>
      </c>
      <c r="Z297" s="1">
        <f>IFERROR(__xludf.DUMMYFUNCTION("""COMPUTED_VALUE"""),48.82)</f>
        <v>48.82</v>
      </c>
      <c r="AA297" s="1">
        <f>IFERROR(__xludf.DUMMYFUNCTION("""COMPUTED_VALUE"""),70.59)</f>
        <v>70.59</v>
      </c>
      <c r="AB297" s="1">
        <f>IFERROR(__xludf.DUMMYFUNCTION("""COMPUTED_VALUE"""),100.6)</f>
        <v>100.6</v>
      </c>
      <c r="AC297" s="1">
        <f>IFERROR(__xludf.DUMMYFUNCTION("""COMPUTED_VALUE"""),176.76)</f>
        <v>176.76</v>
      </c>
      <c r="AD297" s="3">
        <f>IFERROR(__xludf.DUMMYFUNCTION("""COMPUTED_VALUE"""),108.15)</f>
        <v>108.15</v>
      </c>
      <c r="AE297" s="1">
        <f>IFERROR(__xludf.DUMMYFUNCTION("""COMPUTED_VALUE"""),468.71)</f>
        <v>468.71</v>
      </c>
      <c r="AF297" s="1">
        <f>IFERROR(__xludf.DUMMYFUNCTION("""COMPUTED_VALUE"""),76.79)</f>
        <v>76.79</v>
      </c>
      <c r="AG297" s="1">
        <f>IFERROR(__xludf.DUMMYFUNCTION("""COMPUTED_VALUE"""),111.66)</f>
        <v>111.66</v>
      </c>
      <c r="AH297" s="1">
        <f>IFERROR(__xludf.DUMMYFUNCTION("""COMPUTED_VALUE"""),228.37)</f>
        <v>228.37</v>
      </c>
      <c r="AI297" s="1">
        <f>IFERROR(__xludf.DUMMYFUNCTION("""COMPUTED_VALUE"""),506.19)</f>
        <v>506.19</v>
      </c>
      <c r="AJ297" s="1">
        <f>IFERROR(__xludf.DUMMYFUNCTION("""COMPUTED_VALUE"""),300.09)</f>
        <v>300.09</v>
      </c>
      <c r="AK297" s="1">
        <f>IFERROR(__xludf.DUMMYFUNCTION("""COMPUTED_VALUE"""),53.21)</f>
        <v>53.21</v>
      </c>
      <c r="AL297" s="1">
        <f>IFERROR(__xludf.DUMMYFUNCTION("""COMPUTED_VALUE"""),108.8)</f>
        <v>108.8</v>
      </c>
      <c r="AM297" s="1">
        <f>IFERROR(__xludf.DUMMYFUNCTION("""COMPUTED_VALUE"""),705.84)</f>
        <v>705.84</v>
      </c>
      <c r="AN297" s="1">
        <f>IFERROR(__xludf.DUMMYFUNCTION("""COMPUTED_VALUE"""),359.04)</f>
        <v>359.04</v>
      </c>
      <c r="AO297" s="1">
        <f>IFERROR(__xludf.DUMMYFUNCTION("""COMPUTED_VALUE"""),132.3)</f>
        <v>132.3</v>
      </c>
      <c r="AP297" s="1">
        <f>IFERROR(__xludf.DUMMYFUNCTION("""COMPUTED_VALUE"""),181.94)</f>
        <v>181.94</v>
      </c>
      <c r="AQ297" s="3">
        <f>IFERROR(__xludf.DUMMYFUNCTION("""COMPUTED_VALUE"""),516.16)</f>
        <v>516.16</v>
      </c>
      <c r="AR297" s="3">
        <f>IFERROR(__xludf.DUMMYFUNCTION("""COMPUTED_VALUE"""),289.9)</f>
        <v>289.9</v>
      </c>
      <c r="AS297" s="3">
        <f>IFERROR(__xludf.DUMMYFUNCTION("""COMPUTED_VALUE"""),469.2)</f>
        <v>469.2</v>
      </c>
      <c r="AT297" s="3">
        <f>IFERROR(__xludf.DUMMYFUNCTION("""COMPUTED_VALUE"""),233.31)</f>
        <v>233.31</v>
      </c>
      <c r="AU297" s="1">
        <f>IFERROR(__xludf.DUMMYFUNCTION("""COMPUTED_VALUE"""),30.91)</f>
        <v>30.91</v>
      </c>
      <c r="AV297" s="1">
        <f>IFERROR(__xludf.DUMMYFUNCTION("""COMPUTED_VALUE"""),89.53)</f>
        <v>89.53</v>
      </c>
      <c r="AW297" s="1">
        <f>IFERROR(__xludf.DUMMYFUNCTION("""COMPUTED_VALUE"""),77.33)</f>
        <v>77.33</v>
      </c>
      <c r="AX297" s="3">
        <f>IFERROR(__xludf.DUMMYFUNCTION("""COMPUTED_VALUE"""),60.26)</f>
        <v>60.26</v>
      </c>
      <c r="AY297" s="1">
        <f>IFERROR(__xludf.DUMMYFUNCTION("""COMPUTED_VALUE"""),511.7)</f>
        <v>511.7</v>
      </c>
      <c r="AZ297" s="3">
        <f>IFERROR(__xludf.DUMMYFUNCTION("""COMPUTED_VALUE"""),75.18)</f>
        <v>75.18</v>
      </c>
      <c r="BA297" s="3">
        <f>IFERROR(__xludf.DUMMYFUNCTION("""COMPUTED_VALUE"""),147.38)</f>
        <v>147.38</v>
      </c>
      <c r="BB297" s="3">
        <f>IFERROR(__xludf.DUMMYFUNCTION("""COMPUTED_VALUE"""),173.0)</f>
        <v>173</v>
      </c>
      <c r="BC297" s="1">
        <f>IFERROR(__xludf.DUMMYFUNCTION("""COMPUTED_VALUE"""),101.07)</f>
        <v>101.07</v>
      </c>
      <c r="BD297" s="1">
        <f>IFERROR(__xludf.DUMMYFUNCTION("""COMPUTED_VALUE"""),54.24)</f>
        <v>54.24</v>
      </c>
      <c r="BE297" s="3">
        <f>IFERROR(__xludf.DUMMYFUNCTION("""COMPUTED_VALUE"""),153.99)</f>
        <v>153.99</v>
      </c>
      <c r="BF297" s="1">
        <f>IFERROR(__xludf.DUMMYFUNCTION("""COMPUTED_VALUE"""),73.86)</f>
        <v>73.86</v>
      </c>
      <c r="BG297" s="1">
        <f>IFERROR(__xludf.DUMMYFUNCTION("""COMPUTED_VALUE"""),24.58)</f>
        <v>24.58</v>
      </c>
      <c r="BH297" s="1">
        <f>IFERROR(__xludf.DUMMYFUNCTION("""COMPUTED_VALUE"""),151.5)</f>
        <v>151.5</v>
      </c>
      <c r="BI297" s="3">
        <f>IFERROR(__xludf.DUMMYFUNCTION("""COMPUTED_VALUE"""),39.05)</f>
        <v>39.05</v>
      </c>
      <c r="BJ297" s="1">
        <f>IFERROR(__xludf.DUMMYFUNCTION("""COMPUTED_VALUE"""),227.03)</f>
        <v>227.03</v>
      </c>
      <c r="BK297" s="1">
        <f>IFERROR(__xludf.DUMMYFUNCTION("""COMPUTED_VALUE"""),424.98)</f>
        <v>424.98</v>
      </c>
      <c r="BL297" s="1">
        <f>IFERROR(__xludf.DUMMYFUNCTION("""COMPUTED_VALUE"""),170.48)</f>
        <v>170.48</v>
      </c>
      <c r="BM297" s="1">
        <f>IFERROR(__xludf.DUMMYFUNCTION("""COMPUTED_VALUE"""),112.52)</f>
        <v>112.52</v>
      </c>
      <c r="BN297" s="3">
        <f>IFERROR(__xludf.DUMMYFUNCTION("""COMPUTED_VALUE"""),6.84)</f>
        <v>6.84</v>
      </c>
      <c r="BO297" s="1">
        <f>IFERROR(__xludf.DUMMYFUNCTION("""COMPUTED_VALUE"""),227.49)</f>
        <v>227.49</v>
      </c>
      <c r="BP297" s="1">
        <f>IFERROR(__xludf.DUMMYFUNCTION("""COMPUTED_VALUE"""),288.07)</f>
        <v>288.07</v>
      </c>
      <c r="BQ297" s="36">
        <f>IFERROR(__xludf.DUMMYFUNCTION("""COMPUTED_VALUE"""),50.03)</f>
        <v>50.03</v>
      </c>
      <c r="BR297" s="1">
        <f>IFERROR(__xludf.DUMMYFUNCTION("""COMPUTED_VALUE"""),9.27)</f>
        <v>9.27</v>
      </c>
      <c r="BS297" s="3">
        <f>IFERROR(__xludf.DUMMYFUNCTION("""COMPUTED_VALUE"""),225.7)</f>
        <v>225.7</v>
      </c>
      <c r="BT297" s="1">
        <f>IFERROR(__xludf.DUMMYFUNCTION("""COMPUTED_VALUE"""),122.21)</f>
        <v>122.21</v>
      </c>
      <c r="BU297" s="3">
        <v>1.0</v>
      </c>
    </row>
    <row r="298">
      <c r="A298" s="25">
        <f>IFERROR(__xludf.DUMMYFUNCTION("""COMPUTED_VALUE"""),45856.66666666667)</f>
        <v>45856.66667</v>
      </c>
      <c r="B298" s="29">
        <f>'Master Scratch Work'!B297</f>
        <v>1422927.58</v>
      </c>
      <c r="C298" s="15">
        <f>IFERROR(__xludf.DUMMYFUNCTION("""COMPUTED_VALUE"""),6296.79)</f>
        <v>6296.79</v>
      </c>
      <c r="D298" s="15">
        <f>IFERROR(__xludf.DUMMYFUNCTION("""COMPUTED_VALUE"""),20895.66)</f>
        <v>20895.66</v>
      </c>
      <c r="E298" s="15">
        <f>IFERROR(__xludf.DUMMYFUNCTION("""COMPUTED_VALUE"""),44342.19)</f>
        <v>44342.19</v>
      </c>
      <c r="F298" s="15">
        <f>IFERROR(__xludf.DUMMYFUNCTION("""COMPUTED_VALUE"""),2240.01)</f>
        <v>2240.01</v>
      </c>
      <c r="G298" s="3">
        <f>IFERROR(__xludf.DUMMYFUNCTION("""COMPUTED_VALUE"""),627.58)</f>
        <v>627.58</v>
      </c>
      <c r="H298" s="3">
        <f>IFERROR(__xludf.DUMMYFUNCTION("""COMPUTED_VALUE"""),561.26)</f>
        <v>561.26</v>
      </c>
      <c r="I298" s="3">
        <f>IFERROR(__xludf.DUMMYFUNCTION("""COMPUTED_VALUE"""),365.79)</f>
        <v>365.79</v>
      </c>
      <c r="J298" s="3">
        <f>IFERROR(__xludf.DUMMYFUNCTION("""COMPUTED_VALUE"""),226.13)</f>
        <v>226.13</v>
      </c>
      <c r="K298" s="3">
        <f>IFERROR(__xludf.DUMMYFUNCTION("""COMPUTED_VALUE"""),142.91)</f>
        <v>142.91</v>
      </c>
      <c r="L298" s="3">
        <f>IFERROR(__xludf.DUMMYFUNCTION("""COMPUTED_VALUE"""),211.18)</f>
        <v>211.18</v>
      </c>
      <c r="M298" s="3">
        <f>IFERROR(__xludf.DUMMYFUNCTION("""COMPUTED_VALUE"""),190.44)</f>
        <v>190.44</v>
      </c>
      <c r="N298" s="3">
        <f>IFERROR(__xludf.DUMMYFUNCTION("""COMPUTED_VALUE"""),98.84)</f>
        <v>98.84</v>
      </c>
      <c r="O298" s="3">
        <f>IFERROR(__xludf.DUMMYFUNCTION("""COMPUTED_VALUE"""),18.88)</f>
        <v>18.88</v>
      </c>
      <c r="P298" s="3">
        <f>IFERROR(__xludf.DUMMYFUNCTION("""COMPUTED_VALUE"""),473.8)</f>
        <v>473.8</v>
      </c>
      <c r="Q298" s="3">
        <f>IFERROR(__xludf.DUMMYFUNCTION("""COMPUTED_VALUE"""),51.84)</f>
        <v>51.84</v>
      </c>
      <c r="R298" s="3">
        <f>IFERROR(__xludf.DUMMYFUNCTION("""COMPUTED_VALUE"""),124.99)</f>
        <v>124.99</v>
      </c>
      <c r="S298" s="3">
        <f>IFERROR(__xludf.DUMMYFUNCTION("""COMPUTED_VALUE"""),103.64)</f>
        <v>103.64</v>
      </c>
      <c r="T298" s="3">
        <f>IFERROR(__xludf.DUMMYFUNCTION("""COMPUTED_VALUE"""),76.63)</f>
        <v>76.63</v>
      </c>
      <c r="U298" s="3">
        <f>IFERROR(__xludf.DUMMYFUNCTION("""COMPUTED_VALUE"""),413.71)</f>
        <v>413.71</v>
      </c>
      <c r="V298" s="3">
        <f>IFERROR(__xludf.DUMMYFUNCTION("""COMPUTED_VALUE"""),78.97)</f>
        <v>78.97</v>
      </c>
      <c r="W298" s="3">
        <f>IFERROR(__xludf.DUMMYFUNCTION("""COMPUTED_VALUE"""),215.48)</f>
        <v>215.48</v>
      </c>
      <c r="X298" s="3">
        <f>IFERROR(__xludf.DUMMYFUNCTION("""COMPUTED_VALUE"""),150.04)</f>
        <v>150.04</v>
      </c>
      <c r="Y298" s="1">
        <f>IFERROR(__xludf.DUMMYFUNCTION("""COMPUTED_VALUE"""),295.71)</f>
        <v>295.71</v>
      </c>
      <c r="Z298" s="1">
        <f>IFERROR(__xludf.DUMMYFUNCTION("""COMPUTED_VALUE"""),48.58)</f>
        <v>48.58</v>
      </c>
      <c r="AA298" s="1">
        <f>IFERROR(__xludf.DUMMYFUNCTION("""COMPUTED_VALUE"""),69.85)</f>
        <v>69.85</v>
      </c>
      <c r="AB298" s="1">
        <f>IFERROR(__xludf.DUMMYFUNCTION("""COMPUTED_VALUE"""),101.08)</f>
        <v>101.08</v>
      </c>
      <c r="AC298" s="1">
        <f>IFERROR(__xludf.DUMMYFUNCTION("""COMPUTED_VALUE"""),177.98)</f>
        <v>177.98</v>
      </c>
      <c r="AD298" s="3">
        <f>IFERROR(__xludf.DUMMYFUNCTION("""COMPUTED_VALUE"""),110.12)</f>
        <v>110.12</v>
      </c>
      <c r="AE298" s="1">
        <f>IFERROR(__xludf.DUMMYFUNCTION("""COMPUTED_VALUE"""),465.95)</f>
        <v>465.95</v>
      </c>
      <c r="AF298" s="1">
        <f>IFERROR(__xludf.DUMMYFUNCTION("""COMPUTED_VALUE"""),78.14)</f>
        <v>78.14</v>
      </c>
      <c r="AG298" s="1">
        <f>IFERROR(__xludf.DUMMYFUNCTION("""COMPUTED_VALUE"""),107.77)</f>
        <v>107.77</v>
      </c>
      <c r="AH298" s="1">
        <f>IFERROR(__xludf.DUMMYFUNCTION("""COMPUTED_VALUE"""),226.62)</f>
        <v>226.62</v>
      </c>
      <c r="AI298" s="1">
        <f>IFERROR(__xludf.DUMMYFUNCTION("""COMPUTED_VALUE"""),505.4)</f>
        <v>505.4</v>
      </c>
      <c r="AJ298" s="1">
        <f>IFERROR(__xludf.DUMMYFUNCTION("""COMPUTED_VALUE"""),298.98)</f>
        <v>298.98</v>
      </c>
      <c r="AK298" s="1">
        <f>IFERROR(__xludf.DUMMYFUNCTION("""COMPUTED_VALUE"""),53.22)</f>
        <v>53.22</v>
      </c>
      <c r="AL298" s="1">
        <f>IFERROR(__xludf.DUMMYFUNCTION("""COMPUTED_VALUE"""),108.22)</f>
        <v>108.22</v>
      </c>
      <c r="AM298" s="1">
        <f>IFERROR(__xludf.DUMMYFUNCTION("""COMPUTED_VALUE"""),708.26)</f>
        <v>708.26</v>
      </c>
      <c r="AN298" s="1">
        <f>IFERROR(__xludf.DUMMYFUNCTION("""COMPUTED_VALUE"""),359.4)</f>
        <v>359.4</v>
      </c>
      <c r="AO298" s="1">
        <f>IFERROR(__xludf.DUMMYFUNCTION("""COMPUTED_VALUE"""),130.27)</f>
        <v>130.27</v>
      </c>
      <c r="AP298" s="1">
        <f>IFERROR(__xludf.DUMMYFUNCTION("""COMPUTED_VALUE"""),180.72)</f>
        <v>180.72</v>
      </c>
      <c r="AQ298" s="3">
        <f>IFERROR(__xludf.DUMMYFUNCTION("""COMPUTED_VALUE"""),518.62)</f>
        <v>518.62</v>
      </c>
      <c r="AR298" s="3">
        <f>IFERROR(__xludf.DUMMYFUNCTION("""COMPUTED_VALUE"""),291.27)</f>
        <v>291.27</v>
      </c>
      <c r="AS298" s="3">
        <f>IFERROR(__xludf.DUMMYFUNCTION("""COMPUTED_VALUE"""),463.96)</f>
        <v>463.96</v>
      </c>
      <c r="AT298" s="3">
        <f>IFERROR(__xludf.DUMMYFUNCTION("""COMPUTED_VALUE"""),229.77)</f>
        <v>229.77</v>
      </c>
      <c r="AU298" s="1">
        <f>IFERROR(__xludf.DUMMYFUNCTION("""COMPUTED_VALUE"""),30.82)</f>
        <v>30.82</v>
      </c>
      <c r="AV298" s="1">
        <f>IFERROR(__xludf.DUMMYFUNCTION("""COMPUTED_VALUE"""),89.61)</f>
        <v>89.61</v>
      </c>
      <c r="AW298" s="1">
        <f>IFERROR(__xludf.DUMMYFUNCTION("""COMPUTED_VALUE"""),77.15)</f>
        <v>77.15</v>
      </c>
      <c r="AX298" s="3">
        <f>IFERROR(__xludf.DUMMYFUNCTION("""COMPUTED_VALUE"""),63.22)</f>
        <v>63.22</v>
      </c>
      <c r="AY298" s="1">
        <f>IFERROR(__xludf.DUMMYFUNCTION("""COMPUTED_VALUE"""),510.05)</f>
        <v>510.05</v>
      </c>
      <c r="AZ298" s="3">
        <f>IFERROR(__xludf.DUMMYFUNCTION("""COMPUTED_VALUE"""),75.95)</f>
        <v>75.95</v>
      </c>
      <c r="BA298" s="3">
        <f>IFERROR(__xludf.DUMMYFUNCTION("""COMPUTED_VALUE"""),151.75)</f>
        <v>151.75</v>
      </c>
      <c r="BB298" s="3">
        <f>IFERROR(__xludf.DUMMYFUNCTION("""COMPUTED_VALUE"""),172.41)</f>
        <v>172.41</v>
      </c>
      <c r="BC298" s="1">
        <f>IFERROR(__xludf.DUMMYFUNCTION("""COMPUTED_VALUE"""),99.44)</f>
        <v>99.44</v>
      </c>
      <c r="BD298" s="1">
        <f>IFERROR(__xludf.DUMMYFUNCTION("""COMPUTED_VALUE"""),53.12)</f>
        <v>53.12</v>
      </c>
      <c r="BE298" s="3">
        <f>IFERROR(__xludf.DUMMYFUNCTION("""COMPUTED_VALUE"""),153.52)</f>
        <v>153.52</v>
      </c>
      <c r="BF298" s="1">
        <f>IFERROR(__xludf.DUMMYFUNCTION("""COMPUTED_VALUE"""),74.17)</f>
        <v>74.17</v>
      </c>
      <c r="BG298" s="1">
        <f>IFERROR(__xludf.DUMMYFUNCTION("""COMPUTED_VALUE"""),24.47)</f>
        <v>24.47</v>
      </c>
      <c r="BH298" s="1">
        <f>IFERROR(__xludf.DUMMYFUNCTION("""COMPUTED_VALUE"""),151.5)</f>
        <v>151.5</v>
      </c>
      <c r="BI298" s="3">
        <f>IFERROR(__xludf.DUMMYFUNCTION("""COMPUTED_VALUE"""),38.3)</f>
        <v>38.3</v>
      </c>
      <c r="BJ298" s="1">
        <f>IFERROR(__xludf.DUMMYFUNCTION("""COMPUTED_VALUE"""),227.21)</f>
        <v>227.21</v>
      </c>
      <c r="BK298" s="1">
        <f>IFERROR(__xludf.DUMMYFUNCTION("""COMPUTED_VALUE"""),414.75)</f>
        <v>414.75</v>
      </c>
      <c r="BL298" s="1">
        <f>IFERROR(__xludf.DUMMYFUNCTION("""COMPUTED_VALUE"""),168.65)</f>
        <v>168.65</v>
      </c>
      <c r="BM298" s="1">
        <f>IFERROR(__xludf.DUMMYFUNCTION("""COMPUTED_VALUE"""),109.88)</f>
        <v>109.88</v>
      </c>
      <c r="BN298" s="3">
        <f>IFERROR(__xludf.DUMMYFUNCTION("""COMPUTED_VALUE"""),6.86)</f>
        <v>6.86</v>
      </c>
      <c r="BO298" s="1">
        <f>IFERROR(__xludf.DUMMYFUNCTION("""COMPUTED_VALUE"""),224.87)</f>
        <v>224.87</v>
      </c>
      <c r="BP298" s="1">
        <f>IFERROR(__xludf.DUMMYFUNCTION("""COMPUTED_VALUE"""),282.65)</f>
        <v>282.65</v>
      </c>
      <c r="BQ298" s="36">
        <f>IFERROR(__xludf.DUMMYFUNCTION("""COMPUTED_VALUE"""),50.07)</f>
        <v>50.07</v>
      </c>
      <c r="BR298" s="1">
        <f>IFERROR(__xludf.DUMMYFUNCTION("""COMPUTED_VALUE"""),8.88)</f>
        <v>8.88</v>
      </c>
      <c r="BS298" s="3">
        <f>IFERROR(__xludf.DUMMYFUNCTION("""COMPUTED_VALUE"""),227.32)</f>
        <v>227.32</v>
      </c>
      <c r="BT298" s="1">
        <f>IFERROR(__xludf.DUMMYFUNCTION("""COMPUTED_VALUE"""),121.42)</f>
        <v>121.42</v>
      </c>
      <c r="BU298" s="3">
        <v>1.0</v>
      </c>
    </row>
    <row r="299">
      <c r="A299" s="25">
        <f>IFERROR(__xludf.DUMMYFUNCTION("""COMPUTED_VALUE"""),45859.66666666667)</f>
        <v>45859.66667</v>
      </c>
      <c r="B299" s="29">
        <f>'Master Scratch Work'!B298</f>
        <v>1420259.83</v>
      </c>
      <c r="C299" s="15">
        <f>IFERROR(__xludf.DUMMYFUNCTION("""COMPUTED_VALUE"""),6305.6)</f>
        <v>6305.6</v>
      </c>
      <c r="D299" s="15">
        <f>IFERROR(__xludf.DUMMYFUNCTION("""COMPUTED_VALUE"""),20974.18)</f>
        <v>20974.18</v>
      </c>
      <c r="E299" s="15">
        <f>IFERROR(__xludf.DUMMYFUNCTION("""COMPUTED_VALUE"""),44323.07)</f>
        <v>44323.07</v>
      </c>
      <c r="F299" s="15">
        <f>IFERROR(__xludf.DUMMYFUNCTION("""COMPUTED_VALUE"""),2231.13)</f>
        <v>2231.13</v>
      </c>
      <c r="G299" s="3">
        <f>IFERROR(__xludf.DUMMYFUNCTION("""COMPUTED_VALUE"""),628.77)</f>
        <v>628.77</v>
      </c>
      <c r="H299" s="3">
        <f>IFERROR(__xludf.DUMMYFUNCTION("""COMPUTED_VALUE"""),564.17)</f>
        <v>564.17</v>
      </c>
      <c r="I299" s="3">
        <f>IFERROR(__xludf.DUMMYFUNCTION("""COMPUTED_VALUE"""),367.68)</f>
        <v>367.68</v>
      </c>
      <c r="J299" s="3">
        <f>IFERROR(__xludf.DUMMYFUNCTION("""COMPUTED_VALUE"""),229.3)</f>
        <v>229.3</v>
      </c>
      <c r="K299" s="3">
        <f>IFERROR(__xludf.DUMMYFUNCTION("""COMPUTED_VALUE"""),142.84)</f>
        <v>142.84</v>
      </c>
      <c r="L299" s="3">
        <f>IFERROR(__xludf.DUMMYFUNCTION("""COMPUTED_VALUE"""),212.48)</f>
        <v>212.48</v>
      </c>
      <c r="M299" s="3">
        <f>IFERROR(__xludf.DUMMYFUNCTION("""COMPUTED_VALUE"""),192.61)</f>
        <v>192.61</v>
      </c>
      <c r="N299" s="3">
        <f>IFERROR(__xludf.DUMMYFUNCTION("""COMPUTED_VALUE"""),98.6)</f>
        <v>98.6</v>
      </c>
      <c r="O299" s="3">
        <f>IFERROR(__xludf.DUMMYFUNCTION("""COMPUTED_VALUE"""),19.03)</f>
        <v>19.03</v>
      </c>
      <c r="P299" s="3">
        <f>IFERROR(__xludf.DUMMYFUNCTION("""COMPUTED_VALUE"""),474.41)</f>
        <v>474.41</v>
      </c>
      <c r="Q299" s="3">
        <f>IFERROR(__xludf.DUMMYFUNCTION("""COMPUTED_VALUE"""),53.18)</f>
        <v>53.18</v>
      </c>
      <c r="R299" s="3">
        <f>IFERROR(__xludf.DUMMYFUNCTION("""COMPUTED_VALUE"""),122.68)</f>
        <v>122.68</v>
      </c>
      <c r="S299" s="3">
        <f>IFERROR(__xludf.DUMMYFUNCTION("""COMPUTED_VALUE"""),103.78)</f>
        <v>103.78</v>
      </c>
      <c r="T299" s="3">
        <f>IFERROR(__xludf.DUMMYFUNCTION("""COMPUTED_VALUE"""),75.97)</f>
        <v>75.97</v>
      </c>
      <c r="U299" s="3">
        <f>IFERROR(__xludf.DUMMYFUNCTION("""COMPUTED_VALUE"""),410.07)</f>
        <v>410.07</v>
      </c>
      <c r="V299" s="3">
        <f>IFERROR(__xludf.DUMMYFUNCTION("""COMPUTED_VALUE"""),77.08)</f>
        <v>77.08</v>
      </c>
      <c r="W299" s="3">
        <f>IFERROR(__xludf.DUMMYFUNCTION("""COMPUTED_VALUE"""),222.64)</f>
        <v>222.64</v>
      </c>
      <c r="X299" s="3">
        <f>IFERROR(__xludf.DUMMYFUNCTION("""COMPUTED_VALUE"""),149.68)</f>
        <v>149.68</v>
      </c>
      <c r="Y299" s="1">
        <f>IFERROR(__xludf.DUMMYFUNCTION("""COMPUTED_VALUE"""),294.8)</f>
        <v>294.8</v>
      </c>
      <c r="Z299" s="1">
        <f>IFERROR(__xludf.DUMMYFUNCTION("""COMPUTED_VALUE"""),48.6)</f>
        <v>48.6</v>
      </c>
      <c r="AA299" s="1">
        <f>IFERROR(__xludf.DUMMYFUNCTION("""COMPUTED_VALUE"""),70.07)</f>
        <v>70.07</v>
      </c>
      <c r="AB299" s="1">
        <f>IFERROR(__xludf.DUMMYFUNCTION("""COMPUTED_VALUE"""),102.07)</f>
        <v>102.07</v>
      </c>
      <c r="AC299" s="1">
        <f>IFERROR(__xludf.DUMMYFUNCTION("""COMPUTED_VALUE"""),177.11)</f>
        <v>177.11</v>
      </c>
      <c r="AD299" s="3">
        <f>IFERROR(__xludf.DUMMYFUNCTION("""COMPUTED_VALUE"""),112.31)</f>
        <v>112.31</v>
      </c>
      <c r="AE299" s="1">
        <f>IFERROR(__xludf.DUMMYFUNCTION("""COMPUTED_VALUE"""),462.24)</f>
        <v>462.24</v>
      </c>
      <c r="AF299" s="1">
        <f>IFERROR(__xludf.DUMMYFUNCTION("""COMPUTED_VALUE"""),79.03)</f>
        <v>79.03</v>
      </c>
      <c r="AG299" s="1">
        <f>IFERROR(__xludf.DUMMYFUNCTION("""COMPUTED_VALUE"""),108.05)</f>
        <v>108.05</v>
      </c>
      <c r="AH299" s="1">
        <f>IFERROR(__xludf.DUMMYFUNCTION("""COMPUTED_VALUE"""),225.73)</f>
        <v>225.73</v>
      </c>
      <c r="AI299" s="1">
        <f>IFERROR(__xludf.DUMMYFUNCTION("""COMPUTED_VALUE"""),507.34)</f>
        <v>507.34</v>
      </c>
      <c r="AJ299" s="1">
        <f>IFERROR(__xludf.DUMMYFUNCTION("""COMPUTED_VALUE"""),297.05)</f>
        <v>297.05</v>
      </c>
      <c r="AK299" s="1">
        <f>IFERROR(__xludf.DUMMYFUNCTION("""COMPUTED_VALUE"""),53.21)</f>
        <v>53.21</v>
      </c>
      <c r="AL299" s="1">
        <f>IFERROR(__xludf.DUMMYFUNCTION("""COMPUTED_VALUE"""),108.28)</f>
        <v>108.28</v>
      </c>
      <c r="AM299" s="1">
        <f>IFERROR(__xludf.DUMMYFUNCTION("""COMPUTED_VALUE"""),706.0)</f>
        <v>706</v>
      </c>
      <c r="AN299" s="1">
        <f>IFERROR(__xludf.DUMMYFUNCTION("""COMPUTED_VALUE"""),364.04)</f>
        <v>364.04</v>
      </c>
      <c r="AO299" s="1">
        <f>IFERROR(__xludf.DUMMYFUNCTION("""COMPUTED_VALUE"""),130.22)</f>
        <v>130.22</v>
      </c>
      <c r="AP299" s="1">
        <f>IFERROR(__xludf.DUMMYFUNCTION("""COMPUTED_VALUE"""),180.81)</f>
        <v>180.81</v>
      </c>
      <c r="AQ299" s="3">
        <f>IFERROR(__xludf.DUMMYFUNCTION("""COMPUTED_VALUE"""),516.12)</f>
        <v>516.12</v>
      </c>
      <c r="AR299" s="3">
        <f>IFERROR(__xludf.DUMMYFUNCTION("""COMPUTED_VALUE"""),290.97)</f>
        <v>290.97</v>
      </c>
      <c r="AS299" s="3">
        <f>IFERROR(__xludf.DUMMYFUNCTION("""COMPUTED_VALUE"""),460.53)</f>
        <v>460.53</v>
      </c>
      <c r="AT299" s="3">
        <f>IFERROR(__xludf.DUMMYFUNCTION("""COMPUTED_VALUE"""),223.21)</f>
        <v>223.21</v>
      </c>
      <c r="AU299" s="1">
        <f>IFERROR(__xludf.DUMMYFUNCTION("""COMPUTED_VALUE"""),30.51)</f>
        <v>30.51</v>
      </c>
      <c r="AV299" s="1">
        <f>IFERROR(__xludf.DUMMYFUNCTION("""COMPUTED_VALUE"""),89.7)</f>
        <v>89.7</v>
      </c>
      <c r="AW299" s="1">
        <f>IFERROR(__xludf.DUMMYFUNCTION("""COMPUTED_VALUE"""),76.33)</f>
        <v>76.33</v>
      </c>
      <c r="AX299" s="3">
        <f>IFERROR(__xludf.DUMMYFUNCTION("""COMPUTED_VALUE"""),59.01)</f>
        <v>59.01</v>
      </c>
      <c r="AY299" s="1">
        <f>IFERROR(__xludf.DUMMYFUNCTION("""COMPUTED_VALUE"""),510.06)</f>
        <v>510.06</v>
      </c>
      <c r="AZ299" s="3">
        <f>IFERROR(__xludf.DUMMYFUNCTION("""COMPUTED_VALUE"""),76.17)</f>
        <v>76.17</v>
      </c>
      <c r="BA299" s="3">
        <f>IFERROR(__xludf.DUMMYFUNCTION("""COMPUTED_VALUE"""),152.31)</f>
        <v>152.31</v>
      </c>
      <c r="BB299" s="3">
        <f>IFERROR(__xludf.DUMMYFUNCTION("""COMPUTED_VALUE"""),171.38)</f>
        <v>171.38</v>
      </c>
      <c r="BC299" s="1">
        <f>IFERROR(__xludf.DUMMYFUNCTION("""COMPUTED_VALUE"""),98.5)</f>
        <v>98.5</v>
      </c>
      <c r="BD299" s="1">
        <f>IFERROR(__xludf.DUMMYFUNCTION("""COMPUTED_VALUE"""),53.21)</f>
        <v>53.21</v>
      </c>
      <c r="BE299" s="3">
        <f>IFERROR(__xludf.DUMMYFUNCTION("""COMPUTED_VALUE"""),151.79)</f>
        <v>151.79</v>
      </c>
      <c r="BF299" s="1">
        <f>IFERROR(__xludf.DUMMYFUNCTION("""COMPUTED_VALUE"""),74.82)</f>
        <v>74.82</v>
      </c>
      <c r="BG299" s="1">
        <f>IFERROR(__xludf.DUMMYFUNCTION("""COMPUTED_VALUE"""),24.26)</f>
        <v>24.26</v>
      </c>
      <c r="BH299" s="1">
        <f>IFERROR(__xludf.DUMMYFUNCTION("""COMPUTED_VALUE"""),151.56)</f>
        <v>151.56</v>
      </c>
      <c r="BI299" s="3">
        <f>IFERROR(__xludf.DUMMYFUNCTION("""COMPUTED_VALUE"""),38.42)</f>
        <v>38.42</v>
      </c>
      <c r="BJ299" s="1">
        <f>IFERROR(__xludf.DUMMYFUNCTION("""COMPUTED_VALUE"""),232.62)</f>
        <v>232.62</v>
      </c>
      <c r="BK299" s="1">
        <f>IFERROR(__xludf.DUMMYFUNCTION("""COMPUTED_VALUE"""),404.94)</f>
        <v>404.94</v>
      </c>
      <c r="BL299" s="1">
        <f>IFERROR(__xludf.DUMMYFUNCTION("""COMPUTED_VALUE"""),170.03)</f>
        <v>170.03</v>
      </c>
      <c r="BM299" s="1">
        <f>IFERROR(__xludf.DUMMYFUNCTION("""COMPUTED_VALUE"""),103.61)</f>
        <v>103.61</v>
      </c>
      <c r="BN299" s="3">
        <f>IFERROR(__xludf.DUMMYFUNCTION("""COMPUTED_VALUE"""),6.98)</f>
        <v>6.98</v>
      </c>
      <c r="BO299" s="1">
        <f>IFERROR(__xludf.DUMMYFUNCTION("""COMPUTED_VALUE"""),225.85)</f>
        <v>225.85</v>
      </c>
      <c r="BP299" s="1">
        <f>IFERROR(__xludf.DUMMYFUNCTION("""COMPUTED_VALUE"""),282.14)</f>
        <v>282.14</v>
      </c>
      <c r="BQ299" s="36">
        <f>IFERROR(__xludf.DUMMYFUNCTION("""COMPUTED_VALUE"""),50.11)</f>
        <v>50.11</v>
      </c>
      <c r="BR299" s="1">
        <f>IFERROR(__xludf.DUMMYFUNCTION("""COMPUTED_VALUE"""),8.9)</f>
        <v>8.9</v>
      </c>
      <c r="BS299" s="3">
        <f>IFERROR(__xludf.DUMMYFUNCTION("""COMPUTED_VALUE"""),225.3)</f>
        <v>225.3</v>
      </c>
      <c r="BT299" s="1">
        <f>IFERROR(__xludf.DUMMYFUNCTION("""COMPUTED_VALUE"""),120.84)</f>
        <v>120.84</v>
      </c>
      <c r="BU299" s="3">
        <v>1.0</v>
      </c>
    </row>
    <row r="300">
      <c r="A300" s="25">
        <f>IFERROR(__xludf.DUMMYFUNCTION("""COMPUTED_VALUE"""),45860.66666666667)</f>
        <v>45860.66667</v>
      </c>
      <c r="B300" s="29">
        <f>'Master Scratch Work'!B299</f>
        <v>1423755.14</v>
      </c>
      <c r="C300" s="15">
        <f>IFERROR(__xludf.DUMMYFUNCTION("""COMPUTED_VALUE"""),6309.62)</f>
        <v>6309.62</v>
      </c>
      <c r="D300" s="15">
        <f>IFERROR(__xludf.DUMMYFUNCTION("""COMPUTED_VALUE"""),20892.69)</f>
        <v>20892.69</v>
      </c>
      <c r="E300" s="15">
        <f>IFERROR(__xludf.DUMMYFUNCTION("""COMPUTED_VALUE"""),44502.44)</f>
        <v>44502.44</v>
      </c>
      <c r="F300" s="15">
        <f>IFERROR(__xludf.DUMMYFUNCTION("""COMPUTED_VALUE"""),2248.76)</f>
        <v>2248.76</v>
      </c>
      <c r="G300" s="3">
        <f>IFERROR(__xludf.DUMMYFUNCTION("""COMPUTED_VALUE"""),628.86)</f>
        <v>628.86</v>
      </c>
      <c r="H300" s="3">
        <f>IFERROR(__xludf.DUMMYFUNCTION("""COMPUTED_VALUE"""),561.25)</f>
        <v>561.25</v>
      </c>
      <c r="I300" s="3">
        <f>IFERROR(__xludf.DUMMYFUNCTION("""COMPUTED_VALUE"""),372.87)</f>
        <v>372.87</v>
      </c>
      <c r="J300" s="3">
        <f>IFERROR(__xludf.DUMMYFUNCTION("""COMPUTED_VALUE"""),227.47)</f>
        <v>227.47</v>
      </c>
      <c r="K300" s="3">
        <f>IFERROR(__xludf.DUMMYFUNCTION("""COMPUTED_VALUE"""),144.91)</f>
        <v>144.91</v>
      </c>
      <c r="L300" s="3">
        <f>IFERROR(__xludf.DUMMYFUNCTION("""COMPUTED_VALUE"""),214.4)</f>
        <v>214.4</v>
      </c>
      <c r="M300" s="3">
        <f>IFERROR(__xludf.DUMMYFUNCTION("""COMPUTED_VALUE"""),187.14)</f>
        <v>187.14</v>
      </c>
      <c r="N300" s="3">
        <f>IFERROR(__xludf.DUMMYFUNCTION("""COMPUTED_VALUE"""),98.9)</f>
        <v>98.9</v>
      </c>
      <c r="O300" s="3">
        <f>IFERROR(__xludf.DUMMYFUNCTION("""COMPUTED_VALUE"""),18.94)</f>
        <v>18.94</v>
      </c>
      <c r="P300" s="3">
        <f>IFERROR(__xludf.DUMMYFUNCTION("""COMPUTED_VALUE"""),478.13)</f>
        <v>478.13</v>
      </c>
      <c r="Q300" s="3">
        <f>IFERROR(__xludf.DUMMYFUNCTION("""COMPUTED_VALUE"""),55.06)</f>
        <v>55.06</v>
      </c>
      <c r="R300" s="3">
        <f>IFERROR(__xludf.DUMMYFUNCTION("""COMPUTED_VALUE"""),127.85)</f>
        <v>127.85</v>
      </c>
      <c r="S300" s="3">
        <f>IFERROR(__xludf.DUMMYFUNCTION("""COMPUTED_VALUE"""),103.16)</f>
        <v>103.16</v>
      </c>
      <c r="T300" s="3">
        <f>IFERROR(__xludf.DUMMYFUNCTION("""COMPUTED_VALUE"""),76.42)</f>
        <v>76.42</v>
      </c>
      <c r="U300" s="3">
        <f>IFERROR(__xludf.DUMMYFUNCTION("""COMPUTED_VALUE"""),417.19)</f>
        <v>417.19</v>
      </c>
      <c r="V300" s="3">
        <f>IFERROR(__xludf.DUMMYFUNCTION("""COMPUTED_VALUE"""),77.9)</f>
        <v>77.9</v>
      </c>
      <c r="W300" s="3">
        <f>IFERROR(__xludf.DUMMYFUNCTION("""COMPUTED_VALUE"""),222.89)</f>
        <v>222.89</v>
      </c>
      <c r="X300" s="3">
        <f>IFERROR(__xludf.DUMMYFUNCTION("""COMPUTED_VALUE"""),150.04)</f>
        <v>150.04</v>
      </c>
      <c r="Y300" s="1">
        <f>IFERROR(__xludf.DUMMYFUNCTION("""COMPUTED_VALUE"""),300.05)</f>
        <v>300.05</v>
      </c>
      <c r="Z300" s="1">
        <f>IFERROR(__xludf.DUMMYFUNCTION("""COMPUTED_VALUE"""),49.13)</f>
        <v>49.13</v>
      </c>
      <c r="AA300" s="1">
        <f>IFERROR(__xludf.DUMMYFUNCTION("""COMPUTED_VALUE"""),69.66)</f>
        <v>69.66</v>
      </c>
      <c r="AB300" s="1">
        <f>IFERROR(__xludf.DUMMYFUNCTION("""COMPUTED_VALUE"""),103.59)</f>
        <v>103.59</v>
      </c>
      <c r="AC300" s="1">
        <f>IFERROR(__xludf.DUMMYFUNCTION("""COMPUTED_VALUE"""),179.34)</f>
        <v>179.34</v>
      </c>
      <c r="AD300" s="3">
        <f>IFERROR(__xludf.DUMMYFUNCTION("""COMPUTED_VALUE"""),114.77)</f>
        <v>114.77</v>
      </c>
      <c r="AE300" s="1">
        <f>IFERROR(__xludf.DUMMYFUNCTION("""COMPUTED_VALUE"""),480.97)</f>
        <v>480.97</v>
      </c>
      <c r="AF300" s="1">
        <f>IFERROR(__xludf.DUMMYFUNCTION("""COMPUTED_VALUE"""),81.76)</f>
        <v>81.76</v>
      </c>
      <c r="AG300" s="1">
        <f>IFERROR(__xludf.DUMMYFUNCTION("""COMPUTED_VALUE"""),108.54)</f>
        <v>108.54</v>
      </c>
      <c r="AH300" s="1">
        <f>IFERROR(__xludf.DUMMYFUNCTION("""COMPUTED_VALUE"""),231.7)</f>
        <v>231.7</v>
      </c>
      <c r="AI300" s="1">
        <f>IFERROR(__xludf.DUMMYFUNCTION("""COMPUTED_VALUE"""),500.81)</f>
        <v>500.81</v>
      </c>
      <c r="AJ300" s="1">
        <f>IFERROR(__xludf.DUMMYFUNCTION("""COMPUTED_VALUE"""),297.6)</f>
        <v>297.6</v>
      </c>
      <c r="AK300" s="1">
        <f>IFERROR(__xludf.DUMMYFUNCTION("""COMPUTED_VALUE"""),48.89)</f>
        <v>48.89</v>
      </c>
      <c r="AL300" s="1">
        <f>IFERROR(__xludf.DUMMYFUNCTION("""COMPUTED_VALUE"""),110.17)</f>
        <v>110.17</v>
      </c>
      <c r="AM300" s="1">
        <f>IFERROR(__xludf.DUMMYFUNCTION("""COMPUTED_VALUE"""),700.41)</f>
        <v>700.41</v>
      </c>
      <c r="AN300" s="1">
        <f>IFERROR(__xludf.DUMMYFUNCTION("""COMPUTED_VALUE"""),371.01)</f>
        <v>371.01</v>
      </c>
      <c r="AO300" s="1">
        <f>IFERROR(__xludf.DUMMYFUNCTION("""COMPUTED_VALUE"""),131.11)</f>
        <v>131.11</v>
      </c>
      <c r="AP300" s="1">
        <f>IFERROR(__xludf.DUMMYFUNCTION("""COMPUTED_VALUE"""),180.8)</f>
        <v>180.8</v>
      </c>
      <c r="AQ300" s="3">
        <f>IFERROR(__xludf.DUMMYFUNCTION("""COMPUTED_VALUE"""),511.0)</f>
        <v>511</v>
      </c>
      <c r="AR300" s="3">
        <f>IFERROR(__xludf.DUMMYFUNCTION("""COMPUTED_VALUE"""),291.43)</f>
        <v>291.43</v>
      </c>
      <c r="AS300" s="3">
        <f>IFERROR(__xludf.DUMMYFUNCTION("""COMPUTED_VALUE"""),410.74)</f>
        <v>410.74</v>
      </c>
      <c r="AT300" s="3">
        <f>IFERROR(__xludf.DUMMYFUNCTION("""COMPUTED_VALUE"""),223.93)</f>
        <v>223.93</v>
      </c>
      <c r="AU300" s="1">
        <f>IFERROR(__xludf.DUMMYFUNCTION("""COMPUTED_VALUE"""),30.8)</f>
        <v>30.8</v>
      </c>
      <c r="AV300" s="1">
        <f>IFERROR(__xludf.DUMMYFUNCTION("""COMPUTED_VALUE"""),91.65)</f>
        <v>91.65</v>
      </c>
      <c r="AW300" s="1">
        <f>IFERROR(__xludf.DUMMYFUNCTION("""COMPUTED_VALUE"""),77.51)</f>
        <v>77.51</v>
      </c>
      <c r="AX300" s="3">
        <f>IFERROR(__xludf.DUMMYFUNCTION("""COMPUTED_VALUE"""),60.08)</f>
        <v>60.08</v>
      </c>
      <c r="AY300" s="1">
        <f>IFERROR(__xludf.DUMMYFUNCTION("""COMPUTED_VALUE"""),505.27)</f>
        <v>505.27</v>
      </c>
      <c r="AZ300" s="3">
        <f>IFERROR(__xludf.DUMMYFUNCTION("""COMPUTED_VALUE"""),77.54)</f>
        <v>77.54</v>
      </c>
      <c r="BA300" s="3">
        <f>IFERROR(__xludf.DUMMYFUNCTION("""COMPUTED_VALUE"""),153.96)</f>
        <v>153.96</v>
      </c>
      <c r="BB300" s="3">
        <f>IFERROR(__xludf.DUMMYFUNCTION("""COMPUTED_VALUE"""),167.03)</f>
        <v>167.03</v>
      </c>
      <c r="BC300" s="1">
        <f>IFERROR(__xludf.DUMMYFUNCTION("""COMPUTED_VALUE"""),100.99)</f>
        <v>100.99</v>
      </c>
      <c r="BD300" s="1">
        <f>IFERROR(__xludf.DUMMYFUNCTION("""COMPUTED_VALUE"""),50.36)</f>
        <v>50.36</v>
      </c>
      <c r="BE300" s="3">
        <f>IFERROR(__xludf.DUMMYFUNCTION("""COMPUTED_VALUE"""),149.07)</f>
        <v>149.07</v>
      </c>
      <c r="BF300" s="1">
        <f>IFERROR(__xludf.DUMMYFUNCTION("""COMPUTED_VALUE"""),76.0)</f>
        <v>76</v>
      </c>
      <c r="BG300" s="1">
        <f>IFERROR(__xludf.DUMMYFUNCTION("""COMPUTED_VALUE"""),25.14)</f>
        <v>25.14</v>
      </c>
      <c r="BH300" s="1">
        <f>IFERROR(__xludf.DUMMYFUNCTION("""COMPUTED_VALUE"""),149.17)</f>
        <v>149.17</v>
      </c>
      <c r="BI300" s="3">
        <f>IFERROR(__xludf.DUMMYFUNCTION("""COMPUTED_VALUE"""),38.27)</f>
        <v>38.27</v>
      </c>
      <c r="BJ300" s="1">
        <f>IFERROR(__xludf.DUMMYFUNCTION("""COMPUTED_VALUE"""),233.25)</f>
        <v>233.25</v>
      </c>
      <c r="BK300" s="1">
        <f>IFERROR(__xludf.DUMMYFUNCTION("""COMPUTED_VALUE"""),427.62)</f>
        <v>427.62</v>
      </c>
      <c r="BL300" s="1">
        <f>IFERROR(__xludf.DUMMYFUNCTION("""COMPUTED_VALUE"""),169.99)</f>
        <v>169.99</v>
      </c>
      <c r="BM300" s="1">
        <f>IFERROR(__xludf.DUMMYFUNCTION("""COMPUTED_VALUE"""),105.6)</f>
        <v>105.6</v>
      </c>
      <c r="BN300" s="3">
        <f>IFERROR(__xludf.DUMMYFUNCTION("""COMPUTED_VALUE"""),7.2)</f>
        <v>7.2</v>
      </c>
      <c r="BO300" s="1">
        <f>IFERROR(__xludf.DUMMYFUNCTION("""COMPUTED_VALUE"""),229.24)</f>
        <v>229.24</v>
      </c>
      <c r="BP300" s="1">
        <f>IFERROR(__xludf.DUMMYFUNCTION("""COMPUTED_VALUE"""),285.13)</f>
        <v>285.13</v>
      </c>
      <c r="BQ300" s="36">
        <f>IFERROR(__xludf.DUMMYFUNCTION("""COMPUTED_VALUE"""),50.13)</f>
        <v>50.13</v>
      </c>
      <c r="BR300" s="1">
        <f>IFERROR(__xludf.DUMMYFUNCTION("""COMPUTED_VALUE"""),9.24)</f>
        <v>9.24</v>
      </c>
      <c r="BS300" s="3">
        <f>IFERROR(__xludf.DUMMYFUNCTION("""COMPUTED_VALUE"""),227.09)</f>
        <v>227.09</v>
      </c>
      <c r="BT300" s="1">
        <f>IFERROR(__xludf.DUMMYFUNCTION("""COMPUTED_VALUE"""),121.06)</f>
        <v>121.06</v>
      </c>
      <c r="BU300" s="3">
        <v>1.0</v>
      </c>
    </row>
    <row r="301">
      <c r="A301" s="25">
        <f>IFERROR(__xludf.DUMMYFUNCTION("""COMPUTED_VALUE"""),45861.66666666667)</f>
        <v>45861.66667</v>
      </c>
      <c r="B301" s="29">
        <f>'Master Scratch Work'!B300</f>
        <v>1441023.69</v>
      </c>
      <c r="C301" s="15">
        <f>IFERROR(__xludf.DUMMYFUNCTION("""COMPUTED_VALUE"""),6358.91)</f>
        <v>6358.91</v>
      </c>
      <c r="D301" s="15">
        <f>IFERROR(__xludf.DUMMYFUNCTION("""COMPUTED_VALUE"""),21020.02)</f>
        <v>21020.02</v>
      </c>
      <c r="E301" s="15">
        <f>IFERROR(__xludf.DUMMYFUNCTION("""COMPUTED_VALUE"""),45010.29)</f>
        <v>45010.29</v>
      </c>
      <c r="F301" s="15">
        <f>IFERROR(__xludf.DUMMYFUNCTION("""COMPUTED_VALUE"""),2283.13)</f>
        <v>2283.13</v>
      </c>
      <c r="G301" s="3">
        <f>IFERROR(__xludf.DUMMYFUNCTION("""COMPUTED_VALUE"""),634.21)</f>
        <v>634.21</v>
      </c>
      <c r="H301" s="3">
        <f>IFERROR(__xludf.DUMMYFUNCTION("""COMPUTED_VALUE"""),563.81)</f>
        <v>563.81</v>
      </c>
      <c r="I301" s="3">
        <f>IFERROR(__xludf.DUMMYFUNCTION("""COMPUTED_VALUE"""),372.46)</f>
        <v>372.46</v>
      </c>
      <c r="J301" s="3">
        <f>IFERROR(__xludf.DUMMYFUNCTION("""COMPUTED_VALUE"""),228.29)</f>
        <v>228.29</v>
      </c>
      <c r="K301" s="3">
        <f>IFERROR(__xludf.DUMMYFUNCTION("""COMPUTED_VALUE"""),141.88)</f>
        <v>141.88</v>
      </c>
      <c r="L301" s="3">
        <f>IFERROR(__xludf.DUMMYFUNCTION("""COMPUTED_VALUE"""),214.15)</f>
        <v>214.15</v>
      </c>
      <c r="M301" s="3">
        <f>IFERROR(__xludf.DUMMYFUNCTION("""COMPUTED_VALUE"""),187.01)</f>
        <v>187.01</v>
      </c>
      <c r="N301" s="3">
        <f>IFERROR(__xludf.DUMMYFUNCTION("""COMPUTED_VALUE"""),99.63)</f>
        <v>99.63</v>
      </c>
      <c r="O301" s="3">
        <f>IFERROR(__xludf.DUMMYFUNCTION("""COMPUTED_VALUE"""),19.46)</f>
        <v>19.46</v>
      </c>
      <c r="P301" s="3">
        <f>IFERROR(__xludf.DUMMYFUNCTION("""COMPUTED_VALUE"""),482.63)</f>
        <v>482.63</v>
      </c>
      <c r="Q301" s="3">
        <f>IFERROR(__xludf.DUMMYFUNCTION("""COMPUTED_VALUE"""),55.31)</f>
        <v>55.31</v>
      </c>
      <c r="R301" s="3">
        <f>IFERROR(__xludf.DUMMYFUNCTION("""COMPUTED_VALUE"""),130.98)</f>
        <v>130.98</v>
      </c>
      <c r="S301" s="3">
        <f>IFERROR(__xludf.DUMMYFUNCTION("""COMPUTED_VALUE"""),107.76)</f>
        <v>107.76</v>
      </c>
      <c r="T301" s="3">
        <f>IFERROR(__xludf.DUMMYFUNCTION("""COMPUTED_VALUE"""),79.61)</f>
        <v>79.61</v>
      </c>
      <c r="U301" s="3">
        <f>IFERROR(__xludf.DUMMYFUNCTION("""COMPUTED_VALUE"""),427.59)</f>
        <v>427.59</v>
      </c>
      <c r="V301" s="3">
        <f>IFERROR(__xludf.DUMMYFUNCTION("""COMPUTED_VALUE"""),79.15)</f>
        <v>79.15</v>
      </c>
      <c r="W301" s="3">
        <f>IFERROR(__xludf.DUMMYFUNCTION("""COMPUTED_VALUE"""),223.0)</f>
        <v>223</v>
      </c>
      <c r="X301" s="3">
        <f>IFERROR(__xludf.DUMMYFUNCTION("""COMPUTED_VALUE"""),153.12)</f>
        <v>153.12</v>
      </c>
      <c r="Y301" s="1">
        <f>IFERROR(__xludf.DUMMYFUNCTION("""COMPUTED_VALUE"""),304.34)</f>
        <v>304.34</v>
      </c>
      <c r="Z301" s="1">
        <f>IFERROR(__xludf.DUMMYFUNCTION("""COMPUTED_VALUE"""),49.88)</f>
        <v>49.88</v>
      </c>
      <c r="AA301" s="1">
        <f>IFERROR(__xludf.DUMMYFUNCTION("""COMPUTED_VALUE"""),69.16)</f>
        <v>69.16</v>
      </c>
      <c r="AB301" s="1">
        <f>IFERROR(__xludf.DUMMYFUNCTION("""COMPUTED_VALUE"""),102.55)</f>
        <v>102.55</v>
      </c>
      <c r="AC301" s="1">
        <f>IFERROR(__xludf.DUMMYFUNCTION("""COMPUTED_VALUE"""),179.24)</f>
        <v>179.24</v>
      </c>
      <c r="AD301" s="3">
        <f>IFERROR(__xludf.DUMMYFUNCTION("""COMPUTED_VALUE"""),114.92)</f>
        <v>114.92</v>
      </c>
      <c r="AE301" s="1">
        <f>IFERROR(__xludf.DUMMYFUNCTION("""COMPUTED_VALUE"""),478.05)</f>
        <v>478.05</v>
      </c>
      <c r="AF301" s="1">
        <f>IFERROR(__xludf.DUMMYFUNCTION("""COMPUTED_VALUE"""),81.93)</f>
        <v>81.93</v>
      </c>
      <c r="AG301" s="1">
        <f>IFERROR(__xludf.DUMMYFUNCTION("""COMPUTED_VALUE"""),109.93)</f>
        <v>109.93</v>
      </c>
      <c r="AH301" s="1">
        <f>IFERROR(__xludf.DUMMYFUNCTION("""COMPUTED_VALUE"""),237.9)</f>
        <v>237.9</v>
      </c>
      <c r="AI301" s="1">
        <f>IFERROR(__xludf.DUMMYFUNCTION("""COMPUTED_VALUE"""),517.56)</f>
        <v>517.56</v>
      </c>
      <c r="AJ301" s="1">
        <f>IFERROR(__xludf.DUMMYFUNCTION("""COMPUTED_VALUE"""),316.94)</f>
        <v>316.94</v>
      </c>
      <c r="AK301" s="1">
        <f>IFERROR(__xludf.DUMMYFUNCTION("""COMPUTED_VALUE"""),53.13)</f>
        <v>53.13</v>
      </c>
      <c r="AL301" s="1">
        <f>IFERROR(__xludf.DUMMYFUNCTION("""COMPUTED_VALUE"""),113.56)</f>
        <v>113.56</v>
      </c>
      <c r="AM301" s="1">
        <f>IFERROR(__xludf.DUMMYFUNCTION("""COMPUTED_VALUE"""),717.52)</f>
        <v>717.52</v>
      </c>
      <c r="AN301" s="1">
        <f>IFERROR(__xludf.DUMMYFUNCTION("""COMPUTED_VALUE"""),376.35)</f>
        <v>376.35</v>
      </c>
      <c r="AO301" s="1">
        <f>IFERROR(__xludf.DUMMYFUNCTION("""COMPUTED_VALUE"""),132.84)</f>
        <v>132.84</v>
      </c>
      <c r="AP301" s="1">
        <f>IFERROR(__xludf.DUMMYFUNCTION("""COMPUTED_VALUE"""),181.0)</f>
        <v>181</v>
      </c>
      <c r="AQ301" s="3">
        <f>IFERROR(__xludf.DUMMYFUNCTION("""COMPUTED_VALUE"""),501.95)</f>
        <v>501.95</v>
      </c>
      <c r="AR301" s="3">
        <f>IFERROR(__xludf.DUMMYFUNCTION("""COMPUTED_VALUE"""),296.76)</f>
        <v>296.76</v>
      </c>
      <c r="AS301" s="3">
        <f>IFERROR(__xludf.DUMMYFUNCTION("""COMPUTED_VALUE"""),419.39)</f>
        <v>419.39</v>
      </c>
      <c r="AT301" s="3">
        <f>IFERROR(__xludf.DUMMYFUNCTION("""COMPUTED_VALUE"""),224.03)</f>
        <v>224.03</v>
      </c>
      <c r="AU301" s="1">
        <f>IFERROR(__xludf.DUMMYFUNCTION("""COMPUTED_VALUE"""),31.34)</f>
        <v>31.34</v>
      </c>
      <c r="AV301" s="1">
        <f>IFERROR(__xludf.DUMMYFUNCTION("""COMPUTED_VALUE"""),92.01)</f>
        <v>92.01</v>
      </c>
      <c r="AW301" s="1">
        <f>IFERROR(__xludf.DUMMYFUNCTION("""COMPUTED_VALUE"""),78.44)</f>
        <v>78.44</v>
      </c>
      <c r="AX301" s="3">
        <f>IFERROR(__xludf.DUMMYFUNCTION("""COMPUTED_VALUE"""),61.14)</f>
        <v>61.14</v>
      </c>
      <c r="AY301" s="1">
        <f>IFERROR(__xludf.DUMMYFUNCTION("""COMPUTED_VALUE"""),505.87)</f>
        <v>505.87</v>
      </c>
      <c r="AZ301" s="3">
        <f>IFERROR(__xludf.DUMMYFUNCTION("""COMPUTED_VALUE"""),72.82)</f>
        <v>72.82</v>
      </c>
      <c r="BA301" s="3">
        <f>IFERROR(__xludf.DUMMYFUNCTION("""COMPUTED_VALUE"""),160.55)</f>
        <v>160.55</v>
      </c>
      <c r="BB301" s="3">
        <f>IFERROR(__xludf.DUMMYFUNCTION("""COMPUTED_VALUE"""),170.78)</f>
        <v>170.78</v>
      </c>
      <c r="BC301" s="1">
        <f>IFERROR(__xludf.DUMMYFUNCTION("""COMPUTED_VALUE"""),88.49)</f>
        <v>88.49</v>
      </c>
      <c r="BD301" s="1">
        <f>IFERROR(__xludf.DUMMYFUNCTION("""COMPUTED_VALUE"""),51.64)</f>
        <v>51.64</v>
      </c>
      <c r="BE301" s="3">
        <f>IFERROR(__xludf.DUMMYFUNCTION("""COMPUTED_VALUE"""),154.63)</f>
        <v>154.63</v>
      </c>
      <c r="BF301" s="1">
        <f>IFERROR(__xludf.DUMMYFUNCTION("""COMPUTED_VALUE"""),76.66)</f>
        <v>76.66</v>
      </c>
      <c r="BG301" s="1">
        <f>IFERROR(__xludf.DUMMYFUNCTION("""COMPUTED_VALUE"""),25.36)</f>
        <v>25.36</v>
      </c>
      <c r="BH301" s="1">
        <f>IFERROR(__xludf.DUMMYFUNCTION("""COMPUTED_VALUE"""),156.49)</f>
        <v>156.49</v>
      </c>
      <c r="BI301" s="3">
        <f>IFERROR(__xludf.DUMMYFUNCTION("""COMPUTED_VALUE"""),37.53)</f>
        <v>37.53</v>
      </c>
      <c r="BJ301" s="1">
        <f>IFERROR(__xludf.DUMMYFUNCTION("""COMPUTED_VALUE"""),233.93)</f>
        <v>233.93</v>
      </c>
      <c r="BK301" s="1">
        <f>IFERROR(__xludf.DUMMYFUNCTION("""COMPUTED_VALUE"""),466.71)</f>
        <v>466.71</v>
      </c>
      <c r="BL301" s="1">
        <f>IFERROR(__xludf.DUMMYFUNCTION("""COMPUTED_VALUE"""),193.18)</f>
        <v>193.18</v>
      </c>
      <c r="BM301" s="1">
        <f>IFERROR(__xludf.DUMMYFUNCTION("""COMPUTED_VALUE"""),109.97)</f>
        <v>109.97</v>
      </c>
      <c r="BN301" s="3">
        <f>IFERROR(__xludf.DUMMYFUNCTION("""COMPUTED_VALUE"""),7.37)</f>
        <v>7.37</v>
      </c>
      <c r="BO301" s="1">
        <f>IFERROR(__xludf.DUMMYFUNCTION("""COMPUTED_VALUE"""),231.0)</f>
        <v>231</v>
      </c>
      <c r="BP301" s="1">
        <f>IFERROR(__xludf.DUMMYFUNCTION("""COMPUTED_VALUE"""),292.51)</f>
        <v>292.51</v>
      </c>
      <c r="BQ301" s="36">
        <f>IFERROR(__xludf.DUMMYFUNCTION("""COMPUTED_VALUE"""),50.02)</f>
        <v>50.02</v>
      </c>
      <c r="BR301" s="1">
        <f>IFERROR(__xludf.DUMMYFUNCTION("""COMPUTED_VALUE"""),9.37)</f>
        <v>9.37</v>
      </c>
      <c r="BS301" s="3">
        <f>IFERROR(__xludf.DUMMYFUNCTION("""COMPUTED_VALUE"""),228.12)</f>
        <v>228.12</v>
      </c>
      <c r="BT301" s="1">
        <f>IFERROR(__xludf.DUMMYFUNCTION("""COMPUTED_VALUE"""),122.94)</f>
        <v>122.94</v>
      </c>
      <c r="BU301" s="3">
        <v>1.0</v>
      </c>
    </row>
    <row r="302">
      <c r="A302" s="25">
        <f>IFERROR(__xludf.DUMMYFUNCTION("""COMPUTED_VALUE"""),45862.66666666667)</f>
        <v>45862.66667</v>
      </c>
      <c r="B302" s="29">
        <f>'Master Scratch Work'!B301</f>
        <v>1440795.64</v>
      </c>
      <c r="C302" s="15">
        <f>IFERROR(__xludf.DUMMYFUNCTION("""COMPUTED_VALUE"""),6363.35)</f>
        <v>6363.35</v>
      </c>
      <c r="D302" s="15">
        <f>IFERROR(__xludf.DUMMYFUNCTION("""COMPUTED_VALUE"""),21057.96)</f>
        <v>21057.96</v>
      </c>
      <c r="E302" s="15">
        <f>IFERROR(__xludf.DUMMYFUNCTION("""COMPUTED_VALUE"""),44693.91)</f>
        <v>44693.91</v>
      </c>
      <c r="F302" s="15">
        <f>IFERROR(__xludf.DUMMYFUNCTION("""COMPUTED_VALUE"""),2252.13)</f>
        <v>2252.13</v>
      </c>
      <c r="G302" s="3">
        <f>IFERROR(__xludf.DUMMYFUNCTION("""COMPUTED_VALUE"""),634.42)</f>
        <v>634.42</v>
      </c>
      <c r="H302" s="3">
        <f>IFERROR(__xludf.DUMMYFUNCTION("""COMPUTED_VALUE"""),565.01)</f>
        <v>565.01</v>
      </c>
      <c r="I302" s="3">
        <f>IFERROR(__xludf.DUMMYFUNCTION("""COMPUTED_VALUE"""),371.69)</f>
        <v>371.69</v>
      </c>
      <c r="J302" s="3">
        <f>IFERROR(__xludf.DUMMYFUNCTION("""COMPUTED_VALUE"""),232.23)</f>
        <v>232.23</v>
      </c>
      <c r="K302" s="3">
        <f>IFERROR(__xludf.DUMMYFUNCTION("""COMPUTED_VALUE"""),140.51)</f>
        <v>140.51</v>
      </c>
      <c r="L302" s="3">
        <f>IFERROR(__xludf.DUMMYFUNCTION("""COMPUTED_VALUE"""),213.76)</f>
        <v>213.76</v>
      </c>
      <c r="M302" s="3">
        <f>IFERROR(__xludf.DUMMYFUNCTION("""COMPUTED_VALUE"""),188.12)</f>
        <v>188.12</v>
      </c>
      <c r="N302" s="3">
        <f>IFERROR(__xludf.DUMMYFUNCTION("""COMPUTED_VALUE"""),99.97)</f>
        <v>99.97</v>
      </c>
      <c r="O302" s="3">
        <f>IFERROR(__xludf.DUMMYFUNCTION("""COMPUTED_VALUE"""),19.4)</f>
        <v>19.4</v>
      </c>
      <c r="P302" s="3">
        <f>IFERROR(__xludf.DUMMYFUNCTION("""COMPUTED_VALUE"""),480.6)</f>
        <v>480.6</v>
      </c>
      <c r="Q302" s="3">
        <f>IFERROR(__xludf.DUMMYFUNCTION("""COMPUTED_VALUE"""),54.08)</f>
        <v>54.08</v>
      </c>
      <c r="R302" s="3">
        <f>IFERROR(__xludf.DUMMYFUNCTION("""COMPUTED_VALUE"""),132.59)</f>
        <v>132.59</v>
      </c>
      <c r="S302" s="3">
        <f>IFERROR(__xludf.DUMMYFUNCTION("""COMPUTED_VALUE"""),106.21)</f>
        <v>106.21</v>
      </c>
      <c r="T302" s="3">
        <f>IFERROR(__xludf.DUMMYFUNCTION("""COMPUTED_VALUE"""),79.44)</f>
        <v>79.44</v>
      </c>
      <c r="U302" s="3">
        <f>IFERROR(__xludf.DUMMYFUNCTION("""COMPUTED_VALUE"""),429.52)</f>
        <v>429.52</v>
      </c>
      <c r="V302" s="3">
        <f>IFERROR(__xludf.DUMMYFUNCTION("""COMPUTED_VALUE"""),79.92)</f>
        <v>79.92</v>
      </c>
      <c r="W302" s="3">
        <f>IFERROR(__xludf.DUMMYFUNCTION("""COMPUTED_VALUE"""),222.01)</f>
        <v>222.01</v>
      </c>
      <c r="X302" s="3">
        <f>IFERROR(__xludf.DUMMYFUNCTION("""COMPUTED_VALUE"""),155.83)</f>
        <v>155.83</v>
      </c>
      <c r="Y302" s="1">
        <f>IFERROR(__xludf.DUMMYFUNCTION("""COMPUTED_VALUE"""),293.93)</f>
        <v>293.93</v>
      </c>
      <c r="Z302" s="1">
        <f>IFERROR(__xludf.DUMMYFUNCTION("""COMPUTED_VALUE"""),49.28)</f>
        <v>49.28</v>
      </c>
      <c r="AA302" s="1">
        <f>IFERROR(__xludf.DUMMYFUNCTION("""COMPUTED_VALUE"""),69.1)</f>
        <v>69.1</v>
      </c>
      <c r="AB302" s="1">
        <f>IFERROR(__xludf.DUMMYFUNCTION("""COMPUTED_VALUE"""),102.05)</f>
        <v>102.05</v>
      </c>
      <c r="AC302" s="1">
        <f>IFERROR(__xludf.DUMMYFUNCTION("""COMPUTED_VALUE"""),180.02)</f>
        <v>180.02</v>
      </c>
      <c r="AD302" s="3">
        <f>IFERROR(__xludf.DUMMYFUNCTION("""COMPUTED_VALUE"""),114.21)</f>
        <v>114.21</v>
      </c>
      <c r="AE302" s="1">
        <f>IFERROR(__xludf.DUMMYFUNCTION("""COMPUTED_VALUE"""),476.34)</f>
        <v>476.34</v>
      </c>
      <c r="AF302" s="1">
        <f>IFERROR(__xludf.DUMMYFUNCTION("""COMPUTED_VALUE"""),82.45)</f>
        <v>82.45</v>
      </c>
      <c r="AG302" s="1">
        <f>IFERROR(__xludf.DUMMYFUNCTION("""COMPUTED_VALUE"""),110.79)</f>
        <v>110.79</v>
      </c>
      <c r="AH302" s="1">
        <f>IFERROR(__xludf.DUMMYFUNCTION("""COMPUTED_VALUE"""),236.51)</f>
        <v>236.51</v>
      </c>
      <c r="AI302" s="1">
        <f>IFERROR(__xludf.DUMMYFUNCTION("""COMPUTED_VALUE"""),516.2)</f>
        <v>516.2</v>
      </c>
      <c r="AJ302" s="1">
        <f>IFERROR(__xludf.DUMMYFUNCTION("""COMPUTED_VALUE"""),314.24)</f>
        <v>314.24</v>
      </c>
      <c r="AK302" s="1">
        <f>IFERROR(__xludf.DUMMYFUNCTION("""COMPUTED_VALUE"""),52.34)</f>
        <v>52.34</v>
      </c>
      <c r="AL302" s="1">
        <f>IFERROR(__xludf.DUMMYFUNCTION("""COMPUTED_VALUE"""),113.2)</f>
        <v>113.2</v>
      </c>
      <c r="AM302" s="1">
        <f>IFERROR(__xludf.DUMMYFUNCTION("""COMPUTED_VALUE"""),719.18)</f>
        <v>719.18</v>
      </c>
      <c r="AN302" s="1">
        <f>IFERROR(__xludf.DUMMYFUNCTION("""COMPUTED_VALUE"""),373.09)</f>
        <v>373.09</v>
      </c>
      <c r="AO302" s="1">
        <f>IFERROR(__xludf.DUMMYFUNCTION("""COMPUTED_VALUE"""),132.48)</f>
        <v>132.48</v>
      </c>
      <c r="AP302" s="1">
        <f>IFERROR(__xludf.DUMMYFUNCTION("""COMPUTED_VALUE"""),183.58)</f>
        <v>183.58</v>
      </c>
      <c r="AQ302" s="3">
        <f>IFERROR(__xludf.DUMMYFUNCTION("""COMPUTED_VALUE"""),488.61)</f>
        <v>488.61</v>
      </c>
      <c r="AR302" s="3">
        <f>IFERROR(__xludf.DUMMYFUNCTION("""COMPUTED_VALUE"""),296.55)</f>
        <v>296.55</v>
      </c>
      <c r="AS302" s="3">
        <f>IFERROR(__xludf.DUMMYFUNCTION("""COMPUTED_VALUE"""),420.55)</f>
        <v>420.55</v>
      </c>
      <c r="AT302" s="3">
        <f>IFERROR(__xludf.DUMMYFUNCTION("""COMPUTED_VALUE"""),218.69)</f>
        <v>218.69</v>
      </c>
      <c r="AU302" s="1">
        <f>IFERROR(__xludf.DUMMYFUNCTION("""COMPUTED_VALUE"""),31.14)</f>
        <v>31.14</v>
      </c>
      <c r="AV302" s="1">
        <f>IFERROR(__xludf.DUMMYFUNCTION("""COMPUTED_VALUE"""),92.32)</f>
        <v>92.32</v>
      </c>
      <c r="AW302" s="1">
        <f>IFERROR(__xludf.DUMMYFUNCTION("""COMPUTED_VALUE"""),77.79)</f>
        <v>77.79</v>
      </c>
      <c r="AX302" s="3">
        <f>IFERROR(__xludf.DUMMYFUNCTION("""COMPUTED_VALUE"""),61.56)</f>
        <v>61.56</v>
      </c>
      <c r="AY302" s="1">
        <f>IFERROR(__xludf.DUMMYFUNCTION("""COMPUTED_VALUE"""),510.88)</f>
        <v>510.88</v>
      </c>
      <c r="AZ302" s="3">
        <f>IFERROR(__xludf.DUMMYFUNCTION("""COMPUTED_VALUE"""),71.97)</f>
        <v>71.97</v>
      </c>
      <c r="BA302" s="3">
        <f>IFERROR(__xludf.DUMMYFUNCTION("""COMPUTED_VALUE"""),157.97)</f>
        <v>157.97</v>
      </c>
      <c r="BB302" s="3">
        <f>IFERROR(__xludf.DUMMYFUNCTION("""COMPUTED_VALUE"""),173.74)</f>
        <v>173.74</v>
      </c>
      <c r="BC302" s="1">
        <f>IFERROR(__xludf.DUMMYFUNCTION("""COMPUTED_VALUE"""),89.2)</f>
        <v>89.2</v>
      </c>
      <c r="BD302" s="1">
        <f>IFERROR(__xludf.DUMMYFUNCTION("""COMPUTED_VALUE"""),49.95)</f>
        <v>49.95</v>
      </c>
      <c r="BE302" s="3">
        <f>IFERROR(__xludf.DUMMYFUNCTION("""COMPUTED_VALUE"""),154.86)</f>
        <v>154.86</v>
      </c>
      <c r="BF302" s="1">
        <f>IFERROR(__xludf.DUMMYFUNCTION("""COMPUTED_VALUE"""),77.82)</f>
        <v>77.82</v>
      </c>
      <c r="BG302" s="1">
        <f>IFERROR(__xludf.DUMMYFUNCTION("""COMPUTED_VALUE"""),25.35)</f>
        <v>25.35</v>
      </c>
      <c r="BH302" s="1">
        <f>IFERROR(__xludf.DUMMYFUNCTION("""COMPUTED_VALUE"""),155.22)</f>
        <v>155.22</v>
      </c>
      <c r="BI302" s="3">
        <f>IFERROR(__xludf.DUMMYFUNCTION("""COMPUTED_VALUE"""),37.22)</f>
        <v>37.22</v>
      </c>
      <c r="BJ302" s="1">
        <f>IFERROR(__xludf.DUMMYFUNCTION("""COMPUTED_VALUE"""),247.5)</f>
        <v>247.5</v>
      </c>
      <c r="BK302" s="1">
        <f>IFERROR(__xludf.DUMMYFUNCTION("""COMPUTED_VALUE"""),475.03)</f>
        <v>475.03</v>
      </c>
      <c r="BL302" s="1">
        <f>IFERROR(__xludf.DUMMYFUNCTION("""COMPUTED_VALUE"""),191.66)</f>
        <v>191.66</v>
      </c>
      <c r="BM302" s="1">
        <f>IFERROR(__xludf.DUMMYFUNCTION("""COMPUTED_VALUE"""),106.79)</f>
        <v>106.79</v>
      </c>
      <c r="BN302" s="3">
        <f>IFERROR(__xludf.DUMMYFUNCTION("""COMPUTED_VALUE"""),7.17)</f>
        <v>7.17</v>
      </c>
      <c r="BO302" s="1">
        <f>IFERROR(__xludf.DUMMYFUNCTION("""COMPUTED_VALUE"""),220.52)</f>
        <v>220.52</v>
      </c>
      <c r="BP302" s="1">
        <f>IFERROR(__xludf.DUMMYFUNCTION("""COMPUTED_VALUE"""),278.58)</f>
        <v>278.58</v>
      </c>
      <c r="BQ302" s="36">
        <f>IFERROR(__xludf.DUMMYFUNCTION("""COMPUTED_VALUE"""),50.03)</f>
        <v>50.03</v>
      </c>
      <c r="BR302" s="1">
        <f>IFERROR(__xludf.DUMMYFUNCTION("""COMPUTED_VALUE"""),9.35)</f>
        <v>9.35</v>
      </c>
      <c r="BS302" s="3">
        <f>IFERROR(__xludf.DUMMYFUNCTION("""COMPUTED_VALUE"""),230.61)</f>
        <v>230.61</v>
      </c>
      <c r="BT302" s="1">
        <f>IFERROR(__xludf.DUMMYFUNCTION("""COMPUTED_VALUE"""),121.95)</f>
        <v>121.95</v>
      </c>
      <c r="BU302" s="3">
        <v>1.0</v>
      </c>
    </row>
    <row r="303">
      <c r="A303" s="25">
        <f>IFERROR(__xludf.DUMMYFUNCTION("""COMPUTED_VALUE"""),45863.66666666667)</f>
        <v>45863.66667</v>
      </c>
      <c r="B303" s="29">
        <f>'Master Scratch Work'!B302</f>
        <v>1447145.36</v>
      </c>
      <c r="C303" s="15">
        <f>IFERROR(__xludf.DUMMYFUNCTION("""COMPUTED_VALUE"""),6388.64)</f>
        <v>6388.64</v>
      </c>
      <c r="D303" s="15">
        <f>IFERROR(__xludf.DUMMYFUNCTION("""COMPUTED_VALUE"""),21108.32)</f>
        <v>21108.32</v>
      </c>
      <c r="E303" s="15">
        <f>IFERROR(__xludf.DUMMYFUNCTION("""COMPUTED_VALUE"""),44901.92)</f>
        <v>44901.92</v>
      </c>
      <c r="F303" s="15">
        <f>IFERROR(__xludf.DUMMYFUNCTION("""COMPUTED_VALUE"""),2261.07)</f>
        <v>2261.07</v>
      </c>
      <c r="G303" s="3">
        <f>IFERROR(__xludf.DUMMYFUNCTION("""COMPUTED_VALUE"""),637.1)</f>
        <v>637.1</v>
      </c>
      <c r="H303" s="3">
        <f>IFERROR(__xludf.DUMMYFUNCTION("""COMPUTED_VALUE"""),566.37)</f>
        <v>566.37</v>
      </c>
      <c r="I303" s="3">
        <f>IFERROR(__xludf.DUMMYFUNCTION("""COMPUTED_VALUE"""),370.74)</f>
        <v>370.74</v>
      </c>
      <c r="J303" s="3">
        <f>IFERROR(__xludf.DUMMYFUNCTION("""COMPUTED_VALUE"""),231.44)</f>
        <v>231.44</v>
      </c>
      <c r="K303" s="3">
        <f>IFERROR(__xludf.DUMMYFUNCTION("""COMPUTED_VALUE"""),140.32)</f>
        <v>140.32</v>
      </c>
      <c r="L303" s="3">
        <f>IFERROR(__xludf.DUMMYFUNCTION("""COMPUTED_VALUE"""),213.88)</f>
        <v>213.88</v>
      </c>
      <c r="M303" s="3">
        <f>IFERROR(__xludf.DUMMYFUNCTION("""COMPUTED_VALUE"""),185.69)</f>
        <v>185.69</v>
      </c>
      <c r="N303" s="3">
        <f>IFERROR(__xludf.DUMMYFUNCTION("""COMPUTED_VALUE"""),100.92)</f>
        <v>100.92</v>
      </c>
      <c r="O303" s="3">
        <f>IFERROR(__xludf.DUMMYFUNCTION("""COMPUTED_VALUE"""),19.62)</f>
        <v>19.62</v>
      </c>
      <c r="P303" s="3">
        <f>IFERROR(__xludf.DUMMYFUNCTION("""COMPUTED_VALUE"""),484.07)</f>
        <v>484.07</v>
      </c>
      <c r="Q303" s="3">
        <f>IFERROR(__xludf.DUMMYFUNCTION("""COMPUTED_VALUE"""),53.15)</f>
        <v>53.15</v>
      </c>
      <c r="R303" s="3">
        <f>IFERROR(__xludf.DUMMYFUNCTION("""COMPUTED_VALUE"""),131.52)</f>
        <v>131.52</v>
      </c>
      <c r="S303" s="3">
        <f>IFERROR(__xludf.DUMMYFUNCTION("""COMPUTED_VALUE"""),106.14)</f>
        <v>106.14</v>
      </c>
      <c r="T303" s="3">
        <f>IFERROR(__xludf.DUMMYFUNCTION("""COMPUTED_VALUE"""),80.73)</f>
        <v>80.73</v>
      </c>
      <c r="U303" s="3">
        <f>IFERROR(__xludf.DUMMYFUNCTION("""COMPUTED_VALUE"""),433.75)</f>
        <v>433.75</v>
      </c>
      <c r="V303" s="3">
        <f>IFERROR(__xludf.DUMMYFUNCTION("""COMPUTED_VALUE"""),79.6)</f>
        <v>79.6</v>
      </c>
      <c r="W303" s="3">
        <f>IFERROR(__xludf.DUMMYFUNCTION("""COMPUTED_VALUE"""),220.11)</f>
        <v>220.11</v>
      </c>
      <c r="X303" s="3">
        <f>IFERROR(__xludf.DUMMYFUNCTION("""COMPUTED_VALUE"""),154.84)</f>
        <v>154.84</v>
      </c>
      <c r="Y303" s="1">
        <f>IFERROR(__xludf.DUMMYFUNCTION("""COMPUTED_VALUE"""),296.37)</f>
        <v>296.37</v>
      </c>
      <c r="Z303" s="1">
        <f>IFERROR(__xludf.DUMMYFUNCTION("""COMPUTED_VALUE"""),49.49)</f>
        <v>49.49</v>
      </c>
      <c r="AA303" s="1">
        <f>IFERROR(__xludf.DUMMYFUNCTION("""COMPUTED_VALUE"""),69.17)</f>
        <v>69.17</v>
      </c>
      <c r="AB303" s="1">
        <f>IFERROR(__xludf.DUMMYFUNCTION("""COMPUTED_VALUE"""),102.26)</f>
        <v>102.26</v>
      </c>
      <c r="AC303" s="1">
        <f>IFERROR(__xludf.DUMMYFUNCTION("""COMPUTED_VALUE"""),177.91)</f>
        <v>177.91</v>
      </c>
      <c r="AD303" s="3">
        <f>IFERROR(__xludf.DUMMYFUNCTION("""COMPUTED_VALUE"""),114.41)</f>
        <v>114.41</v>
      </c>
      <c r="AE303" s="1">
        <f>IFERROR(__xludf.DUMMYFUNCTION("""COMPUTED_VALUE"""),485.53)</f>
        <v>485.53</v>
      </c>
      <c r="AF303" s="1">
        <f>IFERROR(__xludf.DUMMYFUNCTION("""COMPUTED_VALUE"""),81.43)</f>
        <v>81.43</v>
      </c>
      <c r="AG303" s="1">
        <f>IFERROR(__xludf.DUMMYFUNCTION("""COMPUTED_VALUE"""),110.4)</f>
        <v>110.4</v>
      </c>
      <c r="AH303" s="1">
        <f>IFERROR(__xludf.DUMMYFUNCTION("""COMPUTED_VALUE"""),243.2)</f>
        <v>243.2</v>
      </c>
      <c r="AI303" s="1">
        <f>IFERROR(__xludf.DUMMYFUNCTION("""COMPUTED_VALUE"""),517.65)</f>
        <v>517.65</v>
      </c>
      <c r="AJ303" s="1">
        <f>IFERROR(__xludf.DUMMYFUNCTION("""COMPUTED_VALUE"""),314.02)</f>
        <v>314.02</v>
      </c>
      <c r="AK303" s="1">
        <f>IFERROR(__xludf.DUMMYFUNCTION("""COMPUTED_VALUE"""),53.4)</f>
        <v>53.4</v>
      </c>
      <c r="AL303" s="1">
        <f>IFERROR(__xludf.DUMMYFUNCTION("""COMPUTED_VALUE"""),116.2)</f>
        <v>116.2</v>
      </c>
      <c r="AM303" s="1">
        <f>IFERROR(__xludf.DUMMYFUNCTION("""COMPUTED_VALUE"""),728.98)</f>
        <v>728.98</v>
      </c>
      <c r="AN303" s="1">
        <f>IFERROR(__xludf.DUMMYFUNCTION("""COMPUTED_VALUE"""),375.34)</f>
        <v>375.34</v>
      </c>
      <c r="AO303" s="1">
        <f>IFERROR(__xludf.DUMMYFUNCTION("""COMPUTED_VALUE"""),133.49)</f>
        <v>133.49</v>
      </c>
      <c r="AP303" s="1">
        <f>IFERROR(__xludf.DUMMYFUNCTION("""COMPUTED_VALUE"""),184.44)</f>
        <v>184.44</v>
      </c>
      <c r="AQ303" s="3">
        <f>IFERROR(__xludf.DUMMYFUNCTION("""COMPUTED_VALUE"""),495.86)</f>
        <v>495.86</v>
      </c>
      <c r="AR303" s="3">
        <f>IFERROR(__xludf.DUMMYFUNCTION("""COMPUTED_VALUE"""),298.62)</f>
        <v>298.62</v>
      </c>
      <c r="AS303" s="3">
        <f>IFERROR(__xludf.DUMMYFUNCTION("""COMPUTED_VALUE"""),421.17)</f>
        <v>421.17</v>
      </c>
      <c r="AT303" s="3">
        <f>IFERROR(__xludf.DUMMYFUNCTION("""COMPUTED_VALUE"""),219.43)</f>
        <v>219.43</v>
      </c>
      <c r="AU303" s="1">
        <f>IFERROR(__xludf.DUMMYFUNCTION("""COMPUTED_VALUE"""),31.32)</f>
        <v>31.32</v>
      </c>
      <c r="AV303" s="1">
        <f>IFERROR(__xludf.DUMMYFUNCTION("""COMPUTED_VALUE"""),92.94)</f>
        <v>92.94</v>
      </c>
      <c r="AW303" s="1">
        <f>IFERROR(__xludf.DUMMYFUNCTION("""COMPUTED_VALUE"""),78.56)</f>
        <v>78.56</v>
      </c>
      <c r="AX303" s="3">
        <f>IFERROR(__xludf.DUMMYFUNCTION("""COMPUTED_VALUE"""),62.08)</f>
        <v>62.08</v>
      </c>
      <c r="AY303" s="1">
        <f>IFERROR(__xludf.DUMMYFUNCTION("""COMPUTED_VALUE"""),513.71)</f>
        <v>513.71</v>
      </c>
      <c r="AZ303" s="3">
        <f>IFERROR(__xludf.DUMMYFUNCTION("""COMPUTED_VALUE"""),71.85)</f>
        <v>71.85</v>
      </c>
      <c r="BA303" s="3">
        <f>IFERROR(__xludf.DUMMYFUNCTION("""COMPUTED_VALUE"""),156.59)</f>
        <v>156.59</v>
      </c>
      <c r="BB303" s="3">
        <f>IFERROR(__xludf.DUMMYFUNCTION("""COMPUTED_VALUE"""),173.5)</f>
        <v>173.5</v>
      </c>
      <c r="BC303" s="1">
        <f>IFERROR(__xludf.DUMMYFUNCTION("""COMPUTED_VALUE"""),89.79)</f>
        <v>89.79</v>
      </c>
      <c r="BD303" s="1">
        <f>IFERROR(__xludf.DUMMYFUNCTION("""COMPUTED_VALUE"""),50.76)</f>
        <v>50.76</v>
      </c>
      <c r="BE303" s="3">
        <f>IFERROR(__xludf.DUMMYFUNCTION("""COMPUTED_VALUE"""),158.8)</f>
        <v>158.8</v>
      </c>
      <c r="BF303" s="1">
        <f>IFERROR(__xludf.DUMMYFUNCTION("""COMPUTED_VALUE"""),77.98)</f>
        <v>77.98</v>
      </c>
      <c r="BG303" s="1">
        <f>IFERROR(__xludf.DUMMYFUNCTION("""COMPUTED_VALUE"""),24.79)</f>
        <v>24.79</v>
      </c>
      <c r="BH303" s="1">
        <f>IFERROR(__xludf.DUMMYFUNCTION("""COMPUTED_VALUE"""),156.88)</f>
        <v>156.88</v>
      </c>
      <c r="BI303" s="3">
        <f>IFERROR(__xludf.DUMMYFUNCTION("""COMPUTED_VALUE"""),37.91)</f>
        <v>37.91</v>
      </c>
      <c r="BJ303" s="1">
        <f>IFERROR(__xludf.DUMMYFUNCTION("""COMPUTED_VALUE"""),243.55)</f>
        <v>243.55</v>
      </c>
      <c r="BK303" s="1">
        <f>IFERROR(__xludf.DUMMYFUNCTION("""COMPUTED_VALUE"""),478.32)</f>
        <v>478.32</v>
      </c>
      <c r="BL303" s="1">
        <f>IFERROR(__xludf.DUMMYFUNCTION("""COMPUTED_VALUE"""),188.49)</f>
        <v>188.49</v>
      </c>
      <c r="BM303" s="1">
        <f>IFERROR(__xludf.DUMMYFUNCTION("""COMPUTED_VALUE"""),108.12)</f>
        <v>108.12</v>
      </c>
      <c r="BN303" s="3">
        <f>IFERROR(__xludf.DUMMYFUNCTION("""COMPUTED_VALUE"""),7.36)</f>
        <v>7.36</v>
      </c>
      <c r="BO303" s="1">
        <f>IFERROR(__xludf.DUMMYFUNCTION("""COMPUTED_VALUE"""),224.74)</f>
        <v>224.74</v>
      </c>
      <c r="BP303" s="1">
        <f>IFERROR(__xludf.DUMMYFUNCTION("""COMPUTED_VALUE"""),281.06)</f>
        <v>281.06</v>
      </c>
      <c r="BQ303" s="36">
        <f>IFERROR(__xludf.DUMMYFUNCTION("""COMPUTED_VALUE"""),50.03)</f>
        <v>50.03</v>
      </c>
      <c r="BR303" s="1">
        <f>IFERROR(__xludf.DUMMYFUNCTION("""COMPUTED_VALUE"""),9.41)</f>
        <v>9.41</v>
      </c>
      <c r="BS303" s="3">
        <f>IFERROR(__xludf.DUMMYFUNCTION("""COMPUTED_VALUE"""),229.67)</f>
        <v>229.67</v>
      </c>
      <c r="BT303" s="1">
        <f>IFERROR(__xludf.DUMMYFUNCTION("""COMPUTED_VALUE"""),121.47)</f>
        <v>121.47</v>
      </c>
      <c r="BU303" s="3">
        <v>1.0</v>
      </c>
    </row>
    <row r="304">
      <c r="A304" s="25">
        <f>IFERROR(__xludf.DUMMYFUNCTION("""COMPUTED_VALUE"""),45866.66666666667)</f>
        <v>45866.66667</v>
      </c>
      <c r="B304" s="29">
        <f>'Master Scratch Work'!B303</f>
        <v>1442038.91</v>
      </c>
      <c r="C304" s="15">
        <f>IFERROR(__xludf.DUMMYFUNCTION("""COMPUTED_VALUE"""),6389.77)</f>
        <v>6389.77</v>
      </c>
      <c r="D304" s="15">
        <f>IFERROR(__xludf.DUMMYFUNCTION("""COMPUTED_VALUE"""),21178.58)</f>
        <v>21178.58</v>
      </c>
      <c r="E304" s="15">
        <f>IFERROR(__xludf.DUMMYFUNCTION("""COMPUTED_VALUE"""),44837.56)</f>
        <v>44837.56</v>
      </c>
      <c r="F304" s="15">
        <f>IFERROR(__xludf.DUMMYFUNCTION("""COMPUTED_VALUE"""),2256.73)</f>
        <v>2256.73</v>
      </c>
      <c r="G304" s="3">
        <f>IFERROR(__xludf.DUMMYFUNCTION("""COMPUTED_VALUE"""),636.94)</f>
        <v>636.94</v>
      </c>
      <c r="H304" s="3">
        <f>IFERROR(__xludf.DUMMYFUNCTION("""COMPUTED_VALUE"""),568.14)</f>
        <v>568.14</v>
      </c>
      <c r="I304" s="3">
        <f>IFERROR(__xludf.DUMMYFUNCTION("""COMPUTED_VALUE"""),369.47)</f>
        <v>369.47</v>
      </c>
      <c r="J304" s="3">
        <f>IFERROR(__xludf.DUMMYFUNCTION("""COMPUTED_VALUE"""),232.79)</f>
        <v>232.79</v>
      </c>
      <c r="K304" s="3">
        <f>IFERROR(__xludf.DUMMYFUNCTION("""COMPUTED_VALUE"""),138.71)</f>
        <v>138.71</v>
      </c>
      <c r="L304" s="3">
        <f>IFERROR(__xludf.DUMMYFUNCTION("""COMPUTED_VALUE"""),214.05)</f>
        <v>214.05</v>
      </c>
      <c r="M304" s="3">
        <f>IFERROR(__xludf.DUMMYFUNCTION("""COMPUTED_VALUE"""),190.27)</f>
        <v>190.27</v>
      </c>
      <c r="N304" s="3">
        <f>IFERROR(__xludf.DUMMYFUNCTION("""COMPUTED_VALUE"""),100.63)</f>
        <v>100.63</v>
      </c>
      <c r="O304" s="3">
        <f>IFERROR(__xludf.DUMMYFUNCTION("""COMPUTED_VALUE"""),19.41)</f>
        <v>19.41</v>
      </c>
      <c r="P304" s="3">
        <f>IFERROR(__xludf.DUMMYFUNCTION("""COMPUTED_VALUE"""),481.7)</f>
        <v>481.7</v>
      </c>
      <c r="Q304" s="3">
        <f>IFERROR(__xludf.DUMMYFUNCTION("""COMPUTED_VALUE"""),52.28)</f>
        <v>52.28</v>
      </c>
      <c r="R304" s="3">
        <f>IFERROR(__xludf.DUMMYFUNCTION("""COMPUTED_VALUE"""),129.28)</f>
        <v>129.28</v>
      </c>
      <c r="S304" s="3">
        <f>IFERROR(__xludf.DUMMYFUNCTION("""COMPUTED_VALUE"""),105.84)</f>
        <v>105.84</v>
      </c>
      <c r="T304" s="3">
        <f>IFERROR(__xludf.DUMMYFUNCTION("""COMPUTED_VALUE"""),80.18)</f>
        <v>80.18</v>
      </c>
      <c r="U304" s="3">
        <f>IFERROR(__xludf.DUMMYFUNCTION("""COMPUTED_VALUE"""),432.94)</f>
        <v>432.94</v>
      </c>
      <c r="V304" s="3">
        <f>IFERROR(__xludf.DUMMYFUNCTION("""COMPUTED_VALUE"""),79.14)</f>
        <v>79.14</v>
      </c>
      <c r="W304" s="3">
        <f>IFERROR(__xludf.DUMMYFUNCTION("""COMPUTED_VALUE"""),218.29)</f>
        <v>218.29</v>
      </c>
      <c r="X304" s="3">
        <f>IFERROR(__xludf.DUMMYFUNCTION("""COMPUTED_VALUE"""),156.28)</f>
        <v>156.28</v>
      </c>
      <c r="Y304" s="1">
        <f>IFERROR(__xludf.DUMMYFUNCTION("""COMPUTED_VALUE"""),292.39)</f>
        <v>292.39</v>
      </c>
      <c r="Z304" s="1">
        <f>IFERROR(__xludf.DUMMYFUNCTION("""COMPUTED_VALUE"""),49.33)</f>
        <v>49.33</v>
      </c>
      <c r="AA304" s="1">
        <f>IFERROR(__xludf.DUMMYFUNCTION("""COMPUTED_VALUE"""),68.09)</f>
        <v>68.09</v>
      </c>
      <c r="AB304" s="1">
        <f>IFERROR(__xludf.DUMMYFUNCTION("""COMPUTED_VALUE"""),100.98)</f>
        <v>100.98</v>
      </c>
      <c r="AC304" s="1">
        <f>IFERROR(__xludf.DUMMYFUNCTION("""COMPUTED_VALUE"""),175.72)</f>
        <v>175.72</v>
      </c>
      <c r="AD304" s="3">
        <f>IFERROR(__xludf.DUMMYFUNCTION("""COMPUTED_VALUE"""),115.43)</f>
        <v>115.43</v>
      </c>
      <c r="AE304" s="1">
        <f>IFERROR(__xludf.DUMMYFUNCTION("""COMPUTED_VALUE"""),474.32)</f>
        <v>474.32</v>
      </c>
      <c r="AF304" s="1">
        <f>IFERROR(__xludf.DUMMYFUNCTION("""COMPUTED_VALUE"""),79.0)</f>
        <v>79</v>
      </c>
      <c r="AG304" s="1">
        <f>IFERROR(__xludf.DUMMYFUNCTION("""COMPUTED_VALUE"""),111.44)</f>
        <v>111.44</v>
      </c>
      <c r="AH304" s="1">
        <f>IFERROR(__xludf.DUMMYFUNCTION("""COMPUTED_VALUE"""),242.41)</f>
        <v>242.41</v>
      </c>
      <c r="AI304" s="1">
        <f>IFERROR(__xludf.DUMMYFUNCTION("""COMPUTED_VALUE"""),507.31)</f>
        <v>507.31</v>
      </c>
      <c r="AJ304" s="1">
        <f>IFERROR(__xludf.DUMMYFUNCTION("""COMPUTED_VALUE"""),313.1)</f>
        <v>313.1</v>
      </c>
      <c r="AK304" s="1">
        <f>IFERROR(__xludf.DUMMYFUNCTION("""COMPUTED_VALUE"""),53.45)</f>
        <v>53.45</v>
      </c>
      <c r="AL304" s="1">
        <f>IFERROR(__xludf.DUMMYFUNCTION("""COMPUTED_VALUE"""),113.03)</f>
        <v>113.03</v>
      </c>
      <c r="AM304" s="1">
        <f>IFERROR(__xludf.DUMMYFUNCTION("""COMPUTED_VALUE"""),723.65)</f>
        <v>723.65</v>
      </c>
      <c r="AN304" s="1">
        <f>IFERROR(__xludf.DUMMYFUNCTION("""COMPUTED_VALUE"""),377.23)</f>
        <v>377.23</v>
      </c>
      <c r="AO304" s="1">
        <f>IFERROR(__xludf.DUMMYFUNCTION("""COMPUTED_VALUE"""),133.89)</f>
        <v>133.89</v>
      </c>
      <c r="AP304" s="1">
        <f>IFERROR(__xludf.DUMMYFUNCTION("""COMPUTED_VALUE"""),182.79)</f>
        <v>182.79</v>
      </c>
      <c r="AQ304" s="3">
        <f>IFERROR(__xludf.DUMMYFUNCTION("""COMPUTED_VALUE"""),493.95)</f>
        <v>493.95</v>
      </c>
      <c r="AR304" s="3">
        <f>IFERROR(__xludf.DUMMYFUNCTION("""COMPUTED_VALUE"""),298.28)</f>
        <v>298.28</v>
      </c>
      <c r="AS304" s="3">
        <f>IFERROR(__xludf.DUMMYFUNCTION("""COMPUTED_VALUE"""),421.34)</f>
        <v>421.34</v>
      </c>
      <c r="AT304" s="3">
        <f>IFERROR(__xludf.DUMMYFUNCTION("""COMPUTED_VALUE"""),216.59)</f>
        <v>216.59</v>
      </c>
      <c r="AU304" s="1">
        <f>IFERROR(__xludf.DUMMYFUNCTION("""COMPUTED_VALUE"""),31.46)</f>
        <v>31.46</v>
      </c>
      <c r="AV304" s="1">
        <f>IFERROR(__xludf.DUMMYFUNCTION("""COMPUTED_VALUE"""),91.97)</f>
        <v>91.97</v>
      </c>
      <c r="AW304" s="1">
        <f>IFERROR(__xludf.DUMMYFUNCTION("""COMPUTED_VALUE"""),77.66)</f>
        <v>77.66</v>
      </c>
      <c r="AX304" s="3">
        <f>IFERROR(__xludf.DUMMYFUNCTION("""COMPUTED_VALUE"""),64.11)</f>
        <v>64.11</v>
      </c>
      <c r="AY304" s="1">
        <f>IFERROR(__xludf.DUMMYFUNCTION("""COMPUTED_VALUE"""),512.5)</f>
        <v>512.5</v>
      </c>
      <c r="AZ304" s="3">
        <f>IFERROR(__xludf.DUMMYFUNCTION("""COMPUTED_VALUE"""),71.34)</f>
        <v>71.34</v>
      </c>
      <c r="BA304" s="3">
        <f>IFERROR(__xludf.DUMMYFUNCTION("""COMPUTED_VALUE"""),158.54)</f>
        <v>158.54</v>
      </c>
      <c r="BB304" s="3">
        <f>IFERROR(__xludf.DUMMYFUNCTION("""COMPUTED_VALUE"""),176.75)</f>
        <v>176.75</v>
      </c>
      <c r="BC304" s="1">
        <f>IFERROR(__xludf.DUMMYFUNCTION("""COMPUTED_VALUE"""),87.9)</f>
        <v>87.9</v>
      </c>
      <c r="BD304" s="1">
        <f>IFERROR(__xludf.DUMMYFUNCTION("""COMPUTED_VALUE"""),50.95)</f>
        <v>50.95</v>
      </c>
      <c r="BE304" s="3">
        <f>IFERROR(__xludf.DUMMYFUNCTION("""COMPUTED_VALUE"""),157.88)</f>
        <v>157.88</v>
      </c>
      <c r="BF304" s="1">
        <f>IFERROR(__xludf.DUMMYFUNCTION("""COMPUTED_VALUE"""),78.22)</f>
        <v>78.22</v>
      </c>
      <c r="BG304" s="1">
        <f>IFERROR(__xludf.DUMMYFUNCTION("""COMPUTED_VALUE"""),24.31)</f>
        <v>24.31</v>
      </c>
      <c r="BH304" s="1">
        <f>IFERROR(__xludf.DUMMYFUNCTION("""COMPUTED_VALUE"""),156.07)</f>
        <v>156.07</v>
      </c>
      <c r="BI304" s="3">
        <f>IFERROR(__xludf.DUMMYFUNCTION("""COMPUTED_VALUE"""),37.26)</f>
        <v>37.26</v>
      </c>
      <c r="BJ304" s="1">
        <f>IFERROR(__xludf.DUMMYFUNCTION("""COMPUTED_VALUE"""),238.19)</f>
        <v>238.19</v>
      </c>
      <c r="BK304" s="1">
        <f>IFERROR(__xludf.DUMMYFUNCTION("""COMPUTED_VALUE"""),484.96)</f>
        <v>484.96</v>
      </c>
      <c r="BL304" s="1">
        <f>IFERROR(__xludf.DUMMYFUNCTION("""COMPUTED_VALUE"""),187.18)</f>
        <v>187.18</v>
      </c>
      <c r="BM304" s="1">
        <f>IFERROR(__xludf.DUMMYFUNCTION("""COMPUTED_VALUE"""),105.24)</f>
        <v>105.24</v>
      </c>
      <c r="BN304" s="3">
        <f>IFERROR(__xludf.DUMMYFUNCTION("""COMPUTED_VALUE"""),7.16)</f>
        <v>7.16</v>
      </c>
      <c r="BO304" s="1">
        <f>IFERROR(__xludf.DUMMYFUNCTION("""COMPUTED_VALUE"""),229.24)</f>
        <v>229.24</v>
      </c>
      <c r="BP304" s="1">
        <f>IFERROR(__xludf.DUMMYFUNCTION("""COMPUTED_VALUE"""),282.12)</f>
        <v>282.12</v>
      </c>
      <c r="BQ304" s="36">
        <f>IFERROR(__xludf.DUMMYFUNCTION("""COMPUTED_VALUE"""),50.04)</f>
        <v>50.04</v>
      </c>
      <c r="BR304" s="1">
        <f>IFERROR(__xludf.DUMMYFUNCTION("""COMPUTED_VALUE"""),9.26)</f>
        <v>9.26</v>
      </c>
      <c r="BS304" s="3">
        <f>IFERROR(__xludf.DUMMYFUNCTION("""COMPUTED_VALUE"""),227.9)</f>
        <v>227.9</v>
      </c>
      <c r="BT304" s="1">
        <f>IFERROR(__xludf.DUMMYFUNCTION("""COMPUTED_VALUE"""),120.37)</f>
        <v>120.37</v>
      </c>
      <c r="BU304" s="3">
        <v>1.0</v>
      </c>
    </row>
    <row r="305">
      <c r="A305" s="25">
        <f>IFERROR(__xludf.DUMMYFUNCTION("""COMPUTED_VALUE"""),45867.66666666667)</f>
        <v>45867.66667</v>
      </c>
      <c r="B305" s="29">
        <f>'Master Scratch Work'!B304</f>
        <v>1435835.18</v>
      </c>
      <c r="C305" s="15">
        <f>IFERROR(__xludf.DUMMYFUNCTION("""COMPUTED_VALUE"""),6370.86)</f>
        <v>6370.86</v>
      </c>
      <c r="D305" s="15">
        <f>IFERROR(__xludf.DUMMYFUNCTION("""COMPUTED_VALUE"""),21098.29)</f>
        <v>21098.29</v>
      </c>
      <c r="E305" s="15">
        <f>IFERROR(__xludf.DUMMYFUNCTION("""COMPUTED_VALUE"""),44632.99)</f>
        <v>44632.99</v>
      </c>
      <c r="F305" s="15">
        <f>IFERROR(__xludf.DUMMYFUNCTION("""COMPUTED_VALUE"""),2242.96)</f>
        <v>2242.96</v>
      </c>
      <c r="G305" s="3">
        <f>IFERROR(__xludf.DUMMYFUNCTION("""COMPUTED_VALUE"""),635.26)</f>
        <v>635.26</v>
      </c>
      <c r="H305" s="3">
        <f>IFERROR(__xludf.DUMMYFUNCTION("""COMPUTED_VALUE"""),567.26)</f>
        <v>567.26</v>
      </c>
      <c r="I305" s="3">
        <f>IFERROR(__xludf.DUMMYFUNCTION("""COMPUTED_VALUE"""),370.7)</f>
        <v>370.7</v>
      </c>
      <c r="J305" s="3">
        <f>IFERROR(__xludf.DUMMYFUNCTION("""COMPUTED_VALUE"""),231.01)</f>
        <v>231.01</v>
      </c>
      <c r="K305" s="3">
        <f>IFERROR(__xludf.DUMMYFUNCTION("""COMPUTED_VALUE"""),140.95)</f>
        <v>140.95</v>
      </c>
      <c r="L305" s="3">
        <f>IFERROR(__xludf.DUMMYFUNCTION("""COMPUTED_VALUE"""),211.27)</f>
        <v>211.27</v>
      </c>
      <c r="M305" s="3">
        <f>IFERROR(__xludf.DUMMYFUNCTION("""COMPUTED_VALUE"""),188.41)</f>
        <v>188.41</v>
      </c>
      <c r="N305" s="3">
        <f>IFERROR(__xludf.DUMMYFUNCTION("""COMPUTED_VALUE"""),101.87)</f>
        <v>101.87</v>
      </c>
      <c r="O305" s="3">
        <f>IFERROR(__xludf.DUMMYFUNCTION("""COMPUTED_VALUE"""),20.05)</f>
        <v>20.05</v>
      </c>
      <c r="P305" s="3">
        <f>IFERROR(__xludf.DUMMYFUNCTION("""COMPUTED_VALUE"""),476.56)</f>
        <v>476.56</v>
      </c>
      <c r="Q305" s="3">
        <f>IFERROR(__xludf.DUMMYFUNCTION("""COMPUTED_VALUE"""),52.71)</f>
        <v>52.71</v>
      </c>
      <c r="R305" s="3">
        <f>IFERROR(__xludf.DUMMYFUNCTION("""COMPUTED_VALUE"""),127.9)</f>
        <v>127.9</v>
      </c>
      <c r="S305" s="3">
        <f>IFERROR(__xludf.DUMMYFUNCTION("""COMPUTED_VALUE"""),106.47)</f>
        <v>106.47</v>
      </c>
      <c r="T305" s="3">
        <f>IFERROR(__xludf.DUMMYFUNCTION("""COMPUTED_VALUE"""),71.67)</f>
        <v>71.67</v>
      </c>
      <c r="U305" s="3">
        <f>IFERROR(__xludf.DUMMYFUNCTION("""COMPUTED_VALUE"""),430.05)</f>
        <v>430.05</v>
      </c>
      <c r="V305" s="3">
        <f>IFERROR(__xludf.DUMMYFUNCTION("""COMPUTED_VALUE"""),78.69)</f>
        <v>78.69</v>
      </c>
      <c r="W305" s="3">
        <f>IFERROR(__xludf.DUMMYFUNCTION("""COMPUTED_VALUE"""),218.33)</f>
        <v>218.33</v>
      </c>
      <c r="X305" s="3">
        <f>IFERROR(__xludf.DUMMYFUNCTION("""COMPUTED_VALUE"""),157.03)</f>
        <v>157.03</v>
      </c>
      <c r="Y305" s="1">
        <f>IFERROR(__xludf.DUMMYFUNCTION("""COMPUTED_VALUE"""),292.17)</f>
        <v>292.17</v>
      </c>
      <c r="Z305" s="1">
        <f>IFERROR(__xludf.DUMMYFUNCTION("""COMPUTED_VALUE"""),49.09)</f>
        <v>49.09</v>
      </c>
      <c r="AA305" s="1">
        <f>IFERROR(__xludf.DUMMYFUNCTION("""COMPUTED_VALUE"""),69.38)</f>
        <v>69.38</v>
      </c>
      <c r="AB305" s="1">
        <f>IFERROR(__xludf.DUMMYFUNCTION("""COMPUTED_VALUE"""),102.24)</f>
        <v>102.24</v>
      </c>
      <c r="AC305" s="1">
        <f>IFERROR(__xludf.DUMMYFUNCTION("""COMPUTED_VALUE"""),178.3)</f>
        <v>178.3</v>
      </c>
      <c r="AD305" s="3">
        <f>IFERROR(__xludf.DUMMYFUNCTION("""COMPUTED_VALUE"""),114.99)</f>
        <v>114.99</v>
      </c>
      <c r="AE305" s="1">
        <f>IFERROR(__xludf.DUMMYFUNCTION("""COMPUTED_VALUE"""),470.05)</f>
        <v>470.05</v>
      </c>
      <c r="AF305" s="1">
        <f>IFERROR(__xludf.DUMMYFUNCTION("""COMPUTED_VALUE"""),78.5)</f>
        <v>78.5</v>
      </c>
      <c r="AG305" s="1">
        <f>IFERROR(__xludf.DUMMYFUNCTION("""COMPUTED_VALUE"""),112.88)</f>
        <v>112.88</v>
      </c>
      <c r="AH305" s="1">
        <f>IFERROR(__xludf.DUMMYFUNCTION("""COMPUTED_VALUE"""),234.54)</f>
        <v>234.54</v>
      </c>
      <c r="AI305" s="1">
        <f>IFERROR(__xludf.DUMMYFUNCTION("""COMPUTED_VALUE"""),505.42)</f>
        <v>505.42</v>
      </c>
      <c r="AJ305" s="1">
        <f>IFERROR(__xludf.DUMMYFUNCTION("""COMPUTED_VALUE"""),314.7)</f>
        <v>314.7</v>
      </c>
      <c r="AK305" s="1">
        <f>IFERROR(__xludf.DUMMYFUNCTION("""COMPUTED_VALUE"""),52.11)</f>
        <v>52.11</v>
      </c>
      <c r="AL305" s="1">
        <f>IFERROR(__xludf.DUMMYFUNCTION("""COMPUTED_VALUE"""),114.23)</f>
        <v>114.23</v>
      </c>
      <c r="AM305" s="1">
        <f>IFERROR(__xludf.DUMMYFUNCTION("""COMPUTED_VALUE"""),731.98)</f>
        <v>731.98</v>
      </c>
      <c r="AN305" s="1">
        <f>IFERROR(__xludf.DUMMYFUNCTION("""COMPUTED_VALUE"""),377.34)</f>
        <v>377.34</v>
      </c>
      <c r="AO305" s="1">
        <f>IFERROR(__xludf.DUMMYFUNCTION("""COMPUTED_VALUE"""),134.14)</f>
        <v>134.14</v>
      </c>
      <c r="AP305" s="1">
        <f>IFERROR(__xludf.DUMMYFUNCTION("""COMPUTED_VALUE"""),184.71)</f>
        <v>184.71</v>
      </c>
      <c r="AQ305" s="3">
        <f>IFERROR(__xludf.DUMMYFUNCTION("""COMPUTED_VALUE"""),496.87)</f>
        <v>496.87</v>
      </c>
      <c r="AR305" s="3">
        <f>IFERROR(__xludf.DUMMYFUNCTION("""COMPUTED_VALUE"""),297.04)</f>
        <v>297.04</v>
      </c>
      <c r="AS305" s="3">
        <f>IFERROR(__xludf.DUMMYFUNCTION("""COMPUTED_VALUE"""),420.13)</f>
        <v>420.13</v>
      </c>
      <c r="AT305" s="3">
        <f>IFERROR(__xludf.DUMMYFUNCTION("""COMPUTED_VALUE"""),214.04)</f>
        <v>214.04</v>
      </c>
      <c r="AU305" s="1">
        <f>IFERROR(__xludf.DUMMYFUNCTION("""COMPUTED_VALUE"""),31.48)</f>
        <v>31.48</v>
      </c>
      <c r="AV305" s="1">
        <f>IFERROR(__xludf.DUMMYFUNCTION("""COMPUTED_VALUE"""),92.44)</f>
        <v>92.44</v>
      </c>
      <c r="AW305" s="1">
        <f>IFERROR(__xludf.DUMMYFUNCTION("""COMPUTED_VALUE"""),77.68)</f>
        <v>77.68</v>
      </c>
      <c r="AX305" s="3">
        <f>IFERROR(__xludf.DUMMYFUNCTION("""COMPUTED_VALUE"""),60.26)</f>
        <v>60.26</v>
      </c>
      <c r="AY305" s="1">
        <f>IFERROR(__xludf.DUMMYFUNCTION("""COMPUTED_VALUE"""),512.57)</f>
        <v>512.57</v>
      </c>
      <c r="AZ305" s="3">
        <f>IFERROR(__xludf.DUMMYFUNCTION("""COMPUTED_VALUE"""),71.95)</f>
        <v>71.95</v>
      </c>
      <c r="BA305" s="3">
        <f>IFERROR(__xludf.DUMMYFUNCTION("""COMPUTED_VALUE"""),159.87)</f>
        <v>159.87</v>
      </c>
      <c r="BB305" s="3">
        <f>IFERROR(__xludf.DUMMYFUNCTION("""COMPUTED_VALUE"""),175.51)</f>
        <v>175.51</v>
      </c>
      <c r="BC305" s="1">
        <f>IFERROR(__xludf.DUMMYFUNCTION("""COMPUTED_VALUE"""),87.3)</f>
        <v>87.3</v>
      </c>
      <c r="BD305" s="1">
        <f>IFERROR(__xludf.DUMMYFUNCTION("""COMPUTED_VALUE"""),51.75)</f>
        <v>51.75</v>
      </c>
      <c r="BE305" s="3">
        <f>IFERROR(__xludf.DUMMYFUNCTION("""COMPUTED_VALUE"""),156.24)</f>
        <v>156.24</v>
      </c>
      <c r="BF305" s="1">
        <f>IFERROR(__xludf.DUMMYFUNCTION("""COMPUTED_VALUE"""),71.45)</f>
        <v>71.45</v>
      </c>
      <c r="BG305" s="1">
        <f>IFERROR(__xludf.DUMMYFUNCTION("""COMPUTED_VALUE"""),24.3)</f>
        <v>24.3</v>
      </c>
      <c r="BH305" s="1">
        <f>IFERROR(__xludf.DUMMYFUNCTION("""COMPUTED_VALUE"""),157.12)</f>
        <v>157.12</v>
      </c>
      <c r="BI305" s="3">
        <f>IFERROR(__xludf.DUMMYFUNCTION("""COMPUTED_VALUE"""),37.01)</f>
        <v>37.01</v>
      </c>
      <c r="BJ305" s="1">
        <f>IFERROR(__xludf.DUMMYFUNCTION("""COMPUTED_VALUE"""),239.25)</f>
        <v>239.25</v>
      </c>
      <c r="BK305" s="1">
        <f>IFERROR(__xludf.DUMMYFUNCTION("""COMPUTED_VALUE"""),482.16)</f>
        <v>482.16</v>
      </c>
      <c r="BL305" s="1">
        <f>IFERROR(__xludf.DUMMYFUNCTION("""COMPUTED_VALUE"""),184.27)</f>
        <v>184.27</v>
      </c>
      <c r="BM305" s="1">
        <f>IFERROR(__xludf.DUMMYFUNCTION("""COMPUTED_VALUE"""),104.83)</f>
        <v>104.83</v>
      </c>
      <c r="BN305" s="3">
        <f>IFERROR(__xludf.DUMMYFUNCTION("""COMPUTED_VALUE"""),6.88)</f>
        <v>6.88</v>
      </c>
      <c r="BO305" s="1">
        <f>IFERROR(__xludf.DUMMYFUNCTION("""COMPUTED_VALUE"""),223.77)</f>
        <v>223.77</v>
      </c>
      <c r="BP305" s="1">
        <f>IFERROR(__xludf.DUMMYFUNCTION("""COMPUTED_VALUE"""),261.07)</f>
        <v>261.07</v>
      </c>
      <c r="BQ305" s="36">
        <f>IFERROR(__xludf.DUMMYFUNCTION("""COMPUTED_VALUE"""),50.11)</f>
        <v>50.11</v>
      </c>
      <c r="BR305" s="1">
        <f>IFERROR(__xludf.DUMMYFUNCTION("""COMPUTED_VALUE"""),9.19)</f>
        <v>9.19</v>
      </c>
      <c r="BS305" s="3">
        <f>IFERROR(__xludf.DUMMYFUNCTION("""COMPUTED_VALUE"""),235.56)</f>
        <v>235.56</v>
      </c>
      <c r="BT305" s="1">
        <f>IFERROR(__xludf.DUMMYFUNCTION("""COMPUTED_VALUE"""),119.91)</f>
        <v>119.91</v>
      </c>
      <c r="BU305" s="3">
        <v>1.0</v>
      </c>
    </row>
    <row r="306">
      <c r="A306" s="25">
        <f>IFERROR(__xludf.DUMMYFUNCTION("""COMPUTED_VALUE"""),45868.66666666667)</f>
        <v>45868.66667</v>
      </c>
      <c r="B306" s="29">
        <f>'Master Scratch Work'!B305</f>
        <v>1430002.26</v>
      </c>
      <c r="C306" s="15">
        <f>IFERROR(__xludf.DUMMYFUNCTION("""COMPUTED_VALUE"""),6362.9)</f>
        <v>6362.9</v>
      </c>
      <c r="D306" s="15">
        <f>IFERROR(__xludf.DUMMYFUNCTION("""COMPUTED_VALUE"""),21129.67)</f>
        <v>21129.67</v>
      </c>
      <c r="E306" s="15">
        <f>IFERROR(__xludf.DUMMYFUNCTION("""COMPUTED_VALUE"""),44461.28)</f>
        <v>44461.28</v>
      </c>
      <c r="F306" s="15">
        <f>IFERROR(__xludf.DUMMYFUNCTION("""COMPUTED_VALUE"""),2232.4)</f>
        <v>2232.4</v>
      </c>
      <c r="G306" s="3">
        <f>IFERROR(__xludf.DUMMYFUNCTION("""COMPUTED_VALUE"""),634.46)</f>
        <v>634.46</v>
      </c>
      <c r="H306" s="3">
        <f>IFERROR(__xludf.DUMMYFUNCTION("""COMPUTED_VALUE"""),568.02)</f>
        <v>568.02</v>
      </c>
      <c r="I306" s="3">
        <f>IFERROR(__xludf.DUMMYFUNCTION("""COMPUTED_VALUE"""),364.0)</f>
        <v>364</v>
      </c>
      <c r="J306" s="3">
        <f>IFERROR(__xludf.DUMMYFUNCTION("""COMPUTED_VALUE"""),230.19)</f>
        <v>230.19</v>
      </c>
      <c r="K306" s="3">
        <f>IFERROR(__xludf.DUMMYFUNCTION("""COMPUTED_VALUE"""),139.65)</f>
        <v>139.65</v>
      </c>
      <c r="L306" s="3">
        <f>IFERROR(__xludf.DUMMYFUNCTION("""COMPUTED_VALUE"""),209.05)</f>
        <v>209.05</v>
      </c>
      <c r="M306" s="3">
        <f>IFERROR(__xludf.DUMMYFUNCTION("""COMPUTED_VALUE"""),189.39)</f>
        <v>189.39</v>
      </c>
      <c r="N306" s="3">
        <f>IFERROR(__xludf.DUMMYFUNCTION("""COMPUTED_VALUE"""),102.3)</f>
        <v>102.3</v>
      </c>
      <c r="O306" s="3">
        <f>IFERROR(__xludf.DUMMYFUNCTION("""COMPUTED_VALUE"""),19.86)</f>
        <v>19.86</v>
      </c>
      <c r="P306" s="3">
        <f>IFERROR(__xludf.DUMMYFUNCTION("""COMPUTED_VALUE"""),476.0)</f>
        <v>476</v>
      </c>
      <c r="Q306" s="3">
        <f>IFERROR(__xludf.DUMMYFUNCTION("""COMPUTED_VALUE"""),50.65)</f>
        <v>50.65</v>
      </c>
      <c r="R306" s="3">
        <f>IFERROR(__xludf.DUMMYFUNCTION("""COMPUTED_VALUE"""),126.64)</f>
        <v>126.64</v>
      </c>
      <c r="S306" s="3">
        <f>IFERROR(__xludf.DUMMYFUNCTION("""COMPUTED_VALUE"""),106.76)</f>
        <v>106.76</v>
      </c>
      <c r="T306" s="3">
        <f>IFERROR(__xludf.DUMMYFUNCTION("""COMPUTED_VALUE"""),68.2)</f>
        <v>68.2</v>
      </c>
      <c r="U306" s="3">
        <f>IFERROR(__xludf.DUMMYFUNCTION("""COMPUTED_VALUE"""),434.12)</f>
        <v>434.12</v>
      </c>
      <c r="V306" s="3">
        <f>IFERROR(__xludf.DUMMYFUNCTION("""COMPUTED_VALUE"""),77.75)</f>
        <v>77.75</v>
      </c>
      <c r="W306" s="3">
        <f>IFERROR(__xludf.DUMMYFUNCTION("""COMPUTED_VALUE"""),186.67)</f>
        <v>186.67</v>
      </c>
      <c r="X306" s="3">
        <f>IFERROR(__xludf.DUMMYFUNCTION("""COMPUTED_VALUE"""),153.56)</f>
        <v>153.56</v>
      </c>
      <c r="Y306" s="1">
        <f>IFERROR(__xludf.DUMMYFUNCTION("""COMPUTED_VALUE"""),297.86)</f>
        <v>297.86</v>
      </c>
      <c r="Z306" s="1">
        <f>IFERROR(__xludf.DUMMYFUNCTION("""COMPUTED_VALUE"""),48.69)</f>
        <v>48.69</v>
      </c>
      <c r="AA306" s="1">
        <f>IFERROR(__xludf.DUMMYFUNCTION("""COMPUTED_VALUE"""),68.75)</f>
        <v>68.75</v>
      </c>
      <c r="AB306" s="1">
        <f>IFERROR(__xludf.DUMMYFUNCTION("""COMPUTED_VALUE"""),102.59)</f>
        <v>102.59</v>
      </c>
      <c r="AC306" s="1">
        <f>IFERROR(__xludf.DUMMYFUNCTION("""COMPUTED_VALUE"""),177.3)</f>
        <v>177.3</v>
      </c>
      <c r="AD306" s="3">
        <f>IFERROR(__xludf.DUMMYFUNCTION("""COMPUTED_VALUE"""),114.15)</f>
        <v>114.15</v>
      </c>
      <c r="AE306" s="1">
        <f>IFERROR(__xludf.DUMMYFUNCTION("""COMPUTED_VALUE"""),475.38)</f>
        <v>475.38</v>
      </c>
      <c r="AF306" s="1">
        <f>IFERROR(__xludf.DUMMYFUNCTION("""COMPUTED_VALUE"""),77.56)</f>
        <v>77.56</v>
      </c>
      <c r="AG306" s="1">
        <f>IFERROR(__xludf.DUMMYFUNCTION("""COMPUTED_VALUE"""),111.9)</f>
        <v>111.9</v>
      </c>
      <c r="AH306" s="1">
        <f>IFERROR(__xludf.DUMMYFUNCTION("""COMPUTED_VALUE"""),223.86)</f>
        <v>223.86</v>
      </c>
      <c r="AI306" s="1">
        <f>IFERROR(__xludf.DUMMYFUNCTION("""COMPUTED_VALUE"""),498.79)</f>
        <v>498.79</v>
      </c>
      <c r="AJ306" s="1">
        <f>IFERROR(__xludf.DUMMYFUNCTION("""COMPUTED_VALUE"""),312.18)</f>
        <v>312.18</v>
      </c>
      <c r="AK306" s="1">
        <f>IFERROR(__xludf.DUMMYFUNCTION("""COMPUTED_VALUE"""),52.11)</f>
        <v>52.11</v>
      </c>
      <c r="AL306" s="1">
        <f>IFERROR(__xludf.DUMMYFUNCTION("""COMPUTED_VALUE"""),114.76)</f>
        <v>114.76</v>
      </c>
      <c r="AM306" s="1">
        <f>IFERROR(__xludf.DUMMYFUNCTION("""COMPUTED_VALUE"""),730.75)</f>
        <v>730.75</v>
      </c>
      <c r="AN306" s="1">
        <f>IFERROR(__xludf.DUMMYFUNCTION("""COMPUTED_VALUE"""),372.08)</f>
        <v>372.08</v>
      </c>
      <c r="AO306" s="1">
        <f>IFERROR(__xludf.DUMMYFUNCTION("""COMPUTED_VALUE"""),131.93)</f>
        <v>131.93</v>
      </c>
      <c r="AP306" s="1">
        <f>IFERROR(__xludf.DUMMYFUNCTION("""COMPUTED_VALUE"""),185.74)</f>
        <v>185.74</v>
      </c>
      <c r="AQ306" s="3">
        <f>IFERROR(__xludf.DUMMYFUNCTION("""COMPUTED_VALUE"""),500.51)</f>
        <v>500.51</v>
      </c>
      <c r="AR306" s="3">
        <f>IFERROR(__xludf.DUMMYFUNCTION("""COMPUTED_VALUE"""),299.63)</f>
        <v>299.63</v>
      </c>
      <c r="AS306" s="3">
        <f>IFERROR(__xludf.DUMMYFUNCTION("""COMPUTED_VALUE"""),418.68)</f>
        <v>418.68</v>
      </c>
      <c r="AT306" s="3">
        <f>IFERROR(__xludf.DUMMYFUNCTION("""COMPUTED_VALUE"""),206.47)</f>
        <v>206.47</v>
      </c>
      <c r="AU306" s="1">
        <f>IFERROR(__xludf.DUMMYFUNCTION("""COMPUTED_VALUE"""),30.7)</f>
        <v>30.7</v>
      </c>
      <c r="AV306" s="1">
        <f>IFERROR(__xludf.DUMMYFUNCTION("""COMPUTED_VALUE"""),91.64)</f>
        <v>91.64</v>
      </c>
      <c r="AW306" s="1">
        <f>IFERROR(__xludf.DUMMYFUNCTION("""COMPUTED_VALUE"""),74.79)</f>
        <v>74.79</v>
      </c>
      <c r="AX306" s="3">
        <f>IFERROR(__xludf.DUMMYFUNCTION("""COMPUTED_VALUE"""),60.85)</f>
        <v>60.85</v>
      </c>
      <c r="AY306" s="1">
        <f>IFERROR(__xludf.DUMMYFUNCTION("""COMPUTED_VALUE"""),513.24)</f>
        <v>513.24</v>
      </c>
      <c r="AZ306" s="3">
        <f>IFERROR(__xludf.DUMMYFUNCTION("""COMPUTED_VALUE"""),70.99)</f>
        <v>70.99</v>
      </c>
      <c r="BA306" s="3">
        <f>IFERROR(__xludf.DUMMYFUNCTION("""COMPUTED_VALUE"""),166.59)</f>
        <v>166.59</v>
      </c>
      <c r="BB306" s="3">
        <f>IFERROR(__xludf.DUMMYFUNCTION("""COMPUTED_VALUE"""),179.27)</f>
        <v>179.27</v>
      </c>
      <c r="BC306" s="1">
        <f>IFERROR(__xludf.DUMMYFUNCTION("""COMPUTED_VALUE"""),86.43)</f>
        <v>86.43</v>
      </c>
      <c r="BD306" s="1">
        <f>IFERROR(__xludf.DUMMYFUNCTION("""COMPUTED_VALUE"""),50.68)</f>
        <v>50.68</v>
      </c>
      <c r="BE306" s="3">
        <f>IFERROR(__xludf.DUMMYFUNCTION("""COMPUTED_VALUE"""),158.61)</f>
        <v>158.61</v>
      </c>
      <c r="BF306" s="1">
        <f>IFERROR(__xludf.DUMMYFUNCTION("""COMPUTED_VALUE"""),69.71)</f>
        <v>69.71</v>
      </c>
      <c r="BG306" s="1">
        <f>IFERROR(__xludf.DUMMYFUNCTION("""COMPUTED_VALUE"""),23.81)</f>
        <v>23.81</v>
      </c>
      <c r="BH306" s="1">
        <f>IFERROR(__xludf.DUMMYFUNCTION("""COMPUTED_VALUE"""),158.4)</f>
        <v>158.4</v>
      </c>
      <c r="BI306" s="3">
        <f>IFERROR(__xludf.DUMMYFUNCTION("""COMPUTED_VALUE"""),37.02)</f>
        <v>37.02</v>
      </c>
      <c r="BJ306" s="1">
        <f>IFERROR(__xludf.DUMMYFUNCTION("""COMPUTED_VALUE"""),241.58)</f>
        <v>241.58</v>
      </c>
      <c r="BK306" s="1">
        <f>IFERROR(__xludf.DUMMYFUNCTION("""COMPUTED_VALUE"""),477.28)</f>
        <v>477.28</v>
      </c>
      <c r="BL306" s="1">
        <f>IFERROR(__xludf.DUMMYFUNCTION("""COMPUTED_VALUE"""),182.75)</f>
        <v>182.75</v>
      </c>
      <c r="BM306" s="1">
        <f>IFERROR(__xludf.DUMMYFUNCTION("""COMPUTED_VALUE"""),107.7)</f>
        <v>107.7</v>
      </c>
      <c r="BN306" s="3">
        <f>IFERROR(__xludf.DUMMYFUNCTION("""COMPUTED_VALUE"""),6.76)</f>
        <v>6.76</v>
      </c>
      <c r="BO306" s="1">
        <f>IFERROR(__xludf.DUMMYFUNCTION("""COMPUTED_VALUE"""),225.28)</f>
        <v>225.28</v>
      </c>
      <c r="BP306" s="1">
        <f>IFERROR(__xludf.DUMMYFUNCTION("""COMPUTED_VALUE"""),266.04)</f>
        <v>266.04</v>
      </c>
      <c r="BQ306" s="36">
        <f>IFERROR(__xludf.DUMMYFUNCTION("""COMPUTED_VALUE"""),50.06)</f>
        <v>50.06</v>
      </c>
      <c r="BR306" s="1">
        <f>IFERROR(__xludf.DUMMYFUNCTION("""COMPUTED_VALUE"""),9.0)</f>
        <v>9</v>
      </c>
      <c r="BS306" s="3">
        <f>IFERROR(__xludf.DUMMYFUNCTION("""COMPUTED_VALUE"""),232.51)</f>
        <v>232.51</v>
      </c>
      <c r="BT306" s="1">
        <f>IFERROR(__xludf.DUMMYFUNCTION("""COMPUTED_VALUE"""),119.54)</f>
        <v>119.54</v>
      </c>
      <c r="BU306" s="3">
        <v>1.0</v>
      </c>
    </row>
    <row r="307">
      <c r="A307" s="25">
        <f>IFERROR(__xludf.DUMMYFUNCTION("""COMPUTED_VALUE"""),45869.66666666667)</f>
        <v>45869.66667</v>
      </c>
      <c r="B307" s="29">
        <f>'Master Scratch Work'!B306</f>
        <v>1424497.77</v>
      </c>
      <c r="C307" s="15">
        <f>IFERROR(__xludf.DUMMYFUNCTION("""COMPUTED_VALUE"""),6339.39)</f>
        <v>6339.39</v>
      </c>
      <c r="D307" s="15">
        <f>IFERROR(__xludf.DUMMYFUNCTION("""COMPUTED_VALUE"""),21122.45)</f>
        <v>21122.45</v>
      </c>
      <c r="E307" s="15">
        <f>IFERROR(__xludf.DUMMYFUNCTION("""COMPUTED_VALUE"""),44130.98)</f>
        <v>44130.98</v>
      </c>
      <c r="F307" s="15">
        <f>IFERROR(__xludf.DUMMYFUNCTION("""COMPUTED_VALUE"""),2211.65)</f>
        <v>2211.65</v>
      </c>
      <c r="G307" s="3">
        <f>IFERROR(__xludf.DUMMYFUNCTION("""COMPUTED_VALUE"""),632.08)</f>
        <v>632.08</v>
      </c>
      <c r="H307" s="3">
        <f>IFERROR(__xludf.DUMMYFUNCTION("""COMPUTED_VALUE"""),565.01)</f>
        <v>565.01</v>
      </c>
      <c r="I307" s="3">
        <f>IFERROR(__xludf.DUMMYFUNCTION("""COMPUTED_VALUE"""),357.69)</f>
        <v>357.69</v>
      </c>
      <c r="J307" s="3">
        <f>IFERROR(__xludf.DUMMYFUNCTION("""COMPUTED_VALUE"""),234.11)</f>
        <v>234.11</v>
      </c>
      <c r="K307" s="3">
        <f>IFERROR(__xludf.DUMMYFUNCTION("""COMPUTED_VALUE"""),140.24)</f>
        <v>140.24</v>
      </c>
      <c r="L307" s="3">
        <f>IFERROR(__xludf.DUMMYFUNCTION("""COMPUTED_VALUE"""),207.57)</f>
        <v>207.57</v>
      </c>
      <c r="M307" s="3">
        <f>IFERROR(__xludf.DUMMYFUNCTION("""COMPUTED_VALUE"""),180.06)</f>
        <v>180.06</v>
      </c>
      <c r="N307" s="3">
        <f>IFERROR(__xludf.DUMMYFUNCTION("""COMPUTED_VALUE"""),101.45)</f>
        <v>101.45</v>
      </c>
      <c r="O307" s="3">
        <f>IFERROR(__xludf.DUMMYFUNCTION("""COMPUTED_VALUE"""),19.62)</f>
        <v>19.62</v>
      </c>
      <c r="P307" s="3">
        <f>IFERROR(__xludf.DUMMYFUNCTION("""COMPUTED_VALUE"""),471.88)</f>
        <v>471.88</v>
      </c>
      <c r="Q307" s="3">
        <f>IFERROR(__xludf.DUMMYFUNCTION("""COMPUTED_VALUE"""),50.67)</f>
        <v>50.67</v>
      </c>
      <c r="R307" s="3">
        <f>IFERROR(__xludf.DUMMYFUNCTION("""COMPUTED_VALUE"""),128.0)</f>
        <v>128</v>
      </c>
      <c r="S307" s="3">
        <f>IFERROR(__xludf.DUMMYFUNCTION("""COMPUTED_VALUE"""),104.92)</f>
        <v>104.92</v>
      </c>
      <c r="T307" s="3">
        <f>IFERROR(__xludf.DUMMYFUNCTION("""COMPUTED_VALUE"""),68.62)</f>
        <v>68.62</v>
      </c>
      <c r="U307" s="3">
        <f>IFERROR(__xludf.DUMMYFUNCTION("""COMPUTED_VALUE"""),438.02)</f>
        <v>438.02</v>
      </c>
      <c r="V307" s="3">
        <f>IFERROR(__xludf.DUMMYFUNCTION("""COMPUTED_VALUE"""),74.93)</f>
        <v>74.93</v>
      </c>
      <c r="W307" s="3">
        <f>IFERROR(__xludf.DUMMYFUNCTION("""COMPUTED_VALUE"""),186.2)</f>
        <v>186.2</v>
      </c>
      <c r="X307" s="3">
        <f>IFERROR(__xludf.DUMMYFUNCTION("""COMPUTED_VALUE"""),151.64)</f>
        <v>151.64</v>
      </c>
      <c r="Y307" s="1">
        <f>IFERROR(__xludf.DUMMYFUNCTION("""COMPUTED_VALUE"""),267.38)</f>
        <v>267.38</v>
      </c>
      <c r="Z307" s="1">
        <f>IFERROR(__xludf.DUMMYFUNCTION("""COMPUTED_VALUE"""),47.72)</f>
        <v>47.72</v>
      </c>
      <c r="AA307" s="1">
        <f>IFERROR(__xludf.DUMMYFUNCTION("""COMPUTED_VALUE"""),67.89)</f>
        <v>67.89</v>
      </c>
      <c r="AB307" s="1">
        <f>IFERROR(__xludf.DUMMYFUNCTION("""COMPUTED_VALUE"""),103.5)</f>
        <v>103.5</v>
      </c>
      <c r="AC307" s="1">
        <f>IFERROR(__xludf.DUMMYFUNCTION("""COMPUTED_VALUE"""),176.44)</f>
        <v>176.44</v>
      </c>
      <c r="AD307" s="3">
        <f>IFERROR(__xludf.DUMMYFUNCTION("""COMPUTED_VALUE"""),113.55)</f>
        <v>113.55</v>
      </c>
      <c r="AE307" s="1">
        <f>IFERROR(__xludf.DUMMYFUNCTION("""COMPUTED_VALUE"""),463.21)</f>
        <v>463.21</v>
      </c>
      <c r="AF307" s="1">
        <f>IFERROR(__xludf.DUMMYFUNCTION("""COMPUTED_VALUE"""),91.75)</f>
        <v>91.75</v>
      </c>
      <c r="AG307" s="1">
        <f>IFERROR(__xludf.DUMMYFUNCTION("""COMPUTED_VALUE"""),111.64)</f>
        <v>111.64</v>
      </c>
      <c r="AH307" s="1">
        <f>IFERROR(__xludf.DUMMYFUNCTION("""COMPUTED_VALUE"""),223.49)</f>
        <v>223.49</v>
      </c>
      <c r="AI307" s="1">
        <f>IFERROR(__xludf.DUMMYFUNCTION("""COMPUTED_VALUE"""),443.39)</f>
        <v>443.39</v>
      </c>
      <c r="AJ307" s="1">
        <f>IFERROR(__xludf.DUMMYFUNCTION("""COMPUTED_VALUE"""),311.61)</f>
        <v>311.61</v>
      </c>
      <c r="AK307" s="1">
        <f>IFERROR(__xludf.DUMMYFUNCTION("""COMPUTED_VALUE"""),53.34)</f>
        <v>53.34</v>
      </c>
      <c r="AL307" s="1">
        <f>IFERROR(__xludf.DUMMYFUNCTION("""COMPUTED_VALUE"""),112.29)</f>
        <v>112.29</v>
      </c>
      <c r="AM307" s="1">
        <f>IFERROR(__xludf.DUMMYFUNCTION("""COMPUTED_VALUE"""),723.59)</f>
        <v>723.59</v>
      </c>
      <c r="AN307" s="1">
        <f>IFERROR(__xludf.DUMMYFUNCTION("""COMPUTED_VALUE"""),367.51)</f>
        <v>367.51</v>
      </c>
      <c r="AO307" s="1">
        <f>IFERROR(__xludf.DUMMYFUNCTION("""COMPUTED_VALUE"""),132.08)</f>
        <v>132.08</v>
      </c>
      <c r="AP307" s="1">
        <f>IFERROR(__xludf.DUMMYFUNCTION("""COMPUTED_VALUE"""),184.83)</f>
        <v>184.83</v>
      </c>
      <c r="AQ307" s="3">
        <f>IFERROR(__xludf.DUMMYFUNCTION("""COMPUTED_VALUE"""),481.09)</f>
        <v>481.09</v>
      </c>
      <c r="AR307" s="3">
        <f>IFERROR(__xludf.DUMMYFUNCTION("""COMPUTED_VALUE"""),296.24)</f>
        <v>296.24</v>
      </c>
      <c r="AS307" s="3">
        <f>IFERROR(__xludf.DUMMYFUNCTION("""COMPUTED_VALUE"""),420.98)</f>
        <v>420.98</v>
      </c>
      <c r="AT307" s="3">
        <f>IFERROR(__xludf.DUMMYFUNCTION("""COMPUTED_VALUE"""),200.53)</f>
        <v>200.53</v>
      </c>
      <c r="AU307" s="1">
        <f>IFERROR(__xludf.DUMMYFUNCTION("""COMPUTED_VALUE"""),30.96)</f>
        <v>30.96</v>
      </c>
      <c r="AV307" s="1">
        <f>IFERROR(__xludf.DUMMYFUNCTION("""COMPUTED_VALUE"""),90.24)</f>
        <v>90.24</v>
      </c>
      <c r="AW307" s="1">
        <f>IFERROR(__xludf.DUMMYFUNCTION("""COMPUTED_VALUE"""),75.95)</f>
        <v>75.95</v>
      </c>
      <c r="AX307" s="3">
        <f>IFERROR(__xludf.DUMMYFUNCTION("""COMPUTED_VALUE"""),61.5)</f>
        <v>61.5</v>
      </c>
      <c r="AY307" s="1">
        <f>IFERROR(__xludf.DUMMYFUNCTION("""COMPUTED_VALUE"""),533.5)</f>
        <v>533.5</v>
      </c>
      <c r="AZ307" s="3">
        <f>IFERROR(__xludf.DUMMYFUNCTION("""COMPUTED_VALUE"""),71.06)</f>
        <v>71.06</v>
      </c>
      <c r="BA307" s="3">
        <f>IFERROR(__xludf.DUMMYFUNCTION("""COMPUTED_VALUE"""),167.2)</f>
        <v>167.2</v>
      </c>
      <c r="BB307" s="3">
        <f>IFERROR(__xludf.DUMMYFUNCTION("""COMPUTED_VALUE"""),177.87)</f>
        <v>177.87</v>
      </c>
      <c r="BC307" s="1">
        <f>IFERROR(__xludf.DUMMYFUNCTION("""COMPUTED_VALUE"""),85.69)</f>
        <v>85.69</v>
      </c>
      <c r="BD307" s="1">
        <f>IFERROR(__xludf.DUMMYFUNCTION("""COMPUTED_VALUE"""),48.57)</f>
        <v>48.57</v>
      </c>
      <c r="BE307" s="3">
        <f>IFERROR(__xludf.DUMMYFUNCTION("""COMPUTED_VALUE"""),158.35)</f>
        <v>158.35</v>
      </c>
      <c r="BF307" s="1">
        <f>IFERROR(__xludf.DUMMYFUNCTION("""COMPUTED_VALUE"""),68.76)</f>
        <v>68.76</v>
      </c>
      <c r="BG307" s="1">
        <f>IFERROR(__xludf.DUMMYFUNCTION("""COMPUTED_VALUE"""),23.29)</f>
        <v>23.29</v>
      </c>
      <c r="BH307" s="1">
        <f>IFERROR(__xludf.DUMMYFUNCTION("""COMPUTED_VALUE"""),157.57)</f>
        <v>157.57</v>
      </c>
      <c r="BI307" s="3">
        <f>IFERROR(__xludf.DUMMYFUNCTION("""COMPUTED_VALUE"""),37.27)</f>
        <v>37.27</v>
      </c>
      <c r="BJ307" s="1">
        <f>IFERROR(__xludf.DUMMYFUNCTION("""COMPUTED_VALUE"""),238.41)</f>
        <v>238.41</v>
      </c>
      <c r="BK307" s="1">
        <f>IFERROR(__xludf.DUMMYFUNCTION("""COMPUTED_VALUE"""),467.68)</f>
        <v>467.68</v>
      </c>
      <c r="BL307" s="1">
        <f>IFERROR(__xludf.DUMMYFUNCTION("""COMPUTED_VALUE"""),178.97)</f>
        <v>178.97</v>
      </c>
      <c r="BM307" s="1">
        <f>IFERROR(__xludf.DUMMYFUNCTION("""COMPUTED_VALUE"""),118.97)</f>
        <v>118.97</v>
      </c>
      <c r="BN307" s="3">
        <f>IFERROR(__xludf.DUMMYFUNCTION("""COMPUTED_VALUE"""),6.64)</f>
        <v>6.64</v>
      </c>
      <c r="BO307" s="1">
        <f>IFERROR(__xludf.DUMMYFUNCTION("""COMPUTED_VALUE"""),221.97)</f>
        <v>221.97</v>
      </c>
      <c r="BP307" s="1">
        <f>IFERROR(__xludf.DUMMYFUNCTION("""COMPUTED_VALUE"""),249.56)</f>
        <v>249.56</v>
      </c>
      <c r="BQ307" s="36">
        <f>IFERROR(__xludf.DUMMYFUNCTION("""COMPUTED_VALUE"""),50.0)</f>
        <v>50</v>
      </c>
      <c r="BR307" s="1">
        <f>IFERROR(__xludf.DUMMYFUNCTION("""COMPUTED_VALUE"""),8.74)</f>
        <v>8.74</v>
      </c>
      <c r="BS307" s="3">
        <f>IFERROR(__xludf.DUMMYFUNCTION("""COMPUTED_VALUE"""),229.16)</f>
        <v>229.16</v>
      </c>
      <c r="BT307" s="1">
        <f>IFERROR(__xludf.DUMMYFUNCTION("""COMPUTED_VALUE"""),119.11)</f>
        <v>119.11</v>
      </c>
      <c r="BU307" s="3">
        <v>1.0</v>
      </c>
    </row>
    <row r="308">
      <c r="A308" s="25">
        <f>IFERROR(__xludf.DUMMYFUNCTION("""COMPUTED_VALUE"""),45870.66666666667)</f>
        <v>45870.66667</v>
      </c>
      <c r="B308" s="29">
        <f>'Master Scratch Work'!B307</f>
        <v>1406368.12</v>
      </c>
      <c r="C308" s="15">
        <f>IFERROR(__xludf.DUMMYFUNCTION("""COMPUTED_VALUE"""),6238.01)</f>
        <v>6238.01</v>
      </c>
      <c r="D308" s="15">
        <f>IFERROR(__xludf.DUMMYFUNCTION("""COMPUTED_VALUE"""),20650.13)</f>
        <v>20650.13</v>
      </c>
      <c r="E308" s="15">
        <f>IFERROR(__xludf.DUMMYFUNCTION("""COMPUTED_VALUE"""),43588.58)</f>
        <v>43588.58</v>
      </c>
      <c r="F308" s="15">
        <f>IFERROR(__xludf.DUMMYFUNCTION("""COMPUTED_VALUE"""),2166.78)</f>
        <v>2166.78</v>
      </c>
      <c r="G308" s="3">
        <f>IFERROR(__xludf.DUMMYFUNCTION("""COMPUTED_VALUE"""),621.72)</f>
        <v>621.72</v>
      </c>
      <c r="H308" s="3">
        <f>IFERROR(__xludf.DUMMYFUNCTION("""COMPUTED_VALUE"""),553.88)</f>
        <v>553.88</v>
      </c>
      <c r="I308" s="3">
        <f>IFERROR(__xludf.DUMMYFUNCTION("""COMPUTED_VALUE"""),347.8)</f>
        <v>347.8</v>
      </c>
      <c r="J308" s="3">
        <f>IFERROR(__xludf.DUMMYFUNCTION("""COMPUTED_VALUE"""),214.75)</f>
        <v>214.75</v>
      </c>
      <c r="K308" s="3">
        <f>IFERROR(__xludf.DUMMYFUNCTION("""COMPUTED_VALUE"""),145.72)</f>
        <v>145.72</v>
      </c>
      <c r="L308" s="3">
        <f>IFERROR(__xludf.DUMMYFUNCTION("""COMPUTED_VALUE"""),202.38)</f>
        <v>202.38</v>
      </c>
      <c r="M308" s="3">
        <f>IFERROR(__xludf.DUMMYFUNCTION("""COMPUTED_VALUE"""),179.99)</f>
        <v>179.99</v>
      </c>
      <c r="N308" s="3">
        <f>IFERROR(__xludf.DUMMYFUNCTION("""COMPUTED_VALUE"""),99.81)</f>
        <v>99.81</v>
      </c>
      <c r="O308" s="3">
        <f>IFERROR(__xludf.DUMMYFUNCTION("""COMPUTED_VALUE"""),19.1)</f>
        <v>19.1</v>
      </c>
      <c r="P308" s="3">
        <f>IFERROR(__xludf.DUMMYFUNCTION("""COMPUTED_VALUE"""),472.84)</f>
        <v>472.84</v>
      </c>
      <c r="Q308" s="3">
        <f>IFERROR(__xludf.DUMMYFUNCTION("""COMPUTED_VALUE"""),50.73)</f>
        <v>50.73</v>
      </c>
      <c r="R308" s="3">
        <f>IFERROR(__xludf.DUMMYFUNCTION("""COMPUTED_VALUE"""),131.95)</f>
        <v>131.95</v>
      </c>
      <c r="S308" s="3">
        <f>IFERROR(__xludf.DUMMYFUNCTION("""COMPUTED_VALUE"""),105.41)</f>
        <v>105.41</v>
      </c>
      <c r="T308" s="3">
        <f>IFERROR(__xludf.DUMMYFUNCTION("""COMPUTED_VALUE"""),66.92)</f>
        <v>66.92</v>
      </c>
      <c r="U308" s="3">
        <f>IFERROR(__xludf.DUMMYFUNCTION("""COMPUTED_VALUE"""),428.69)</f>
        <v>428.69</v>
      </c>
      <c r="V308" s="3">
        <f>IFERROR(__xludf.DUMMYFUNCTION("""COMPUTED_VALUE"""),72.93)</f>
        <v>72.93</v>
      </c>
      <c r="W308" s="3">
        <f>IFERROR(__xludf.DUMMYFUNCTION("""COMPUTED_VALUE"""),188.58)</f>
        <v>188.58</v>
      </c>
      <c r="X308" s="3">
        <f>IFERROR(__xludf.DUMMYFUNCTION("""COMPUTED_VALUE"""),151.4)</f>
        <v>151.4</v>
      </c>
      <c r="Y308" s="1">
        <f>IFERROR(__xludf.DUMMYFUNCTION("""COMPUTED_VALUE"""),262.23)</f>
        <v>262.23</v>
      </c>
      <c r="Z308" s="1">
        <f>IFERROR(__xludf.DUMMYFUNCTION("""COMPUTED_VALUE"""),46.82)</f>
        <v>46.82</v>
      </c>
      <c r="AA308" s="1">
        <f>IFERROR(__xludf.DUMMYFUNCTION("""COMPUTED_VALUE"""),68.86)</f>
        <v>68.86</v>
      </c>
      <c r="AB308" s="1">
        <f>IFERROR(__xludf.DUMMYFUNCTION("""COMPUTED_VALUE"""),104.44)</f>
        <v>104.44</v>
      </c>
      <c r="AC308" s="1">
        <f>IFERROR(__xludf.DUMMYFUNCTION("""COMPUTED_VALUE"""),172.21)</f>
        <v>172.21</v>
      </c>
      <c r="AD308" s="3">
        <f>IFERROR(__xludf.DUMMYFUNCTION("""COMPUTED_VALUE"""),114.72)</f>
        <v>114.72</v>
      </c>
      <c r="AE308" s="1">
        <f>IFERROR(__xludf.DUMMYFUNCTION("""COMPUTED_VALUE"""),466.17)</f>
        <v>466.17</v>
      </c>
      <c r="AF308" s="1">
        <f>IFERROR(__xludf.DUMMYFUNCTION("""COMPUTED_VALUE"""),91.74)</f>
        <v>91.74</v>
      </c>
      <c r="AG308" s="1">
        <f>IFERROR(__xludf.DUMMYFUNCTION("""COMPUTED_VALUE"""),109.64)</f>
        <v>109.64</v>
      </c>
      <c r="AH308" s="1">
        <f>IFERROR(__xludf.DUMMYFUNCTION("""COMPUTED_VALUE"""),217.1)</f>
        <v>217.1</v>
      </c>
      <c r="AI308" s="1">
        <f>IFERROR(__xludf.DUMMYFUNCTION("""COMPUTED_VALUE"""),436.24)</f>
        <v>436.24</v>
      </c>
      <c r="AJ308" s="1">
        <f>IFERROR(__xludf.DUMMYFUNCTION("""COMPUTED_VALUE"""),310.74)</f>
        <v>310.74</v>
      </c>
      <c r="AK308" s="1">
        <f>IFERROR(__xludf.DUMMYFUNCTION("""COMPUTED_VALUE"""),52.53)</f>
        <v>52.53</v>
      </c>
      <c r="AL308" s="1">
        <f>IFERROR(__xludf.DUMMYFUNCTION("""COMPUTED_VALUE"""),113.18)</f>
        <v>113.18</v>
      </c>
      <c r="AM308" s="1">
        <f>IFERROR(__xludf.DUMMYFUNCTION("""COMPUTED_VALUE"""),709.57)</f>
        <v>709.57</v>
      </c>
      <c r="AN308" s="1">
        <f>IFERROR(__xludf.DUMMYFUNCTION("""COMPUTED_VALUE"""),373.66)</f>
        <v>373.66</v>
      </c>
      <c r="AO308" s="1">
        <f>IFERROR(__xludf.DUMMYFUNCTION("""COMPUTED_VALUE"""),121.98)</f>
        <v>121.98</v>
      </c>
      <c r="AP308" s="1">
        <f>IFERROR(__xludf.DUMMYFUNCTION("""COMPUTED_VALUE"""),184.6)</f>
        <v>184.6</v>
      </c>
      <c r="AQ308" s="3">
        <f>IFERROR(__xludf.DUMMYFUNCTION("""COMPUTED_VALUE"""),483.12)</f>
        <v>483.12</v>
      </c>
      <c r="AR308" s="3">
        <f>IFERROR(__xludf.DUMMYFUNCTION("""COMPUTED_VALUE"""),289.37)</f>
        <v>289.37</v>
      </c>
      <c r="AS308" s="3">
        <f>IFERROR(__xludf.DUMMYFUNCTION("""COMPUTED_VALUE"""),421.01)</f>
        <v>421.01</v>
      </c>
      <c r="AT308" s="3">
        <f>IFERROR(__xludf.DUMMYFUNCTION("""COMPUTED_VALUE"""),193.33)</f>
        <v>193.33</v>
      </c>
      <c r="AU308" s="1">
        <f>IFERROR(__xludf.DUMMYFUNCTION("""COMPUTED_VALUE"""),30.45)</f>
        <v>30.45</v>
      </c>
      <c r="AV308" s="1">
        <f>IFERROR(__xludf.DUMMYFUNCTION("""COMPUTED_VALUE"""),89.34)</f>
        <v>89.34</v>
      </c>
      <c r="AW308" s="1">
        <f>IFERROR(__xludf.DUMMYFUNCTION("""COMPUTED_VALUE"""),74.01)</f>
        <v>74.01</v>
      </c>
      <c r="AX308" s="3">
        <f>IFERROR(__xludf.DUMMYFUNCTION("""COMPUTED_VALUE"""),63.69)</f>
        <v>63.69</v>
      </c>
      <c r="AY308" s="1">
        <f>IFERROR(__xludf.DUMMYFUNCTION("""COMPUTED_VALUE"""),524.11)</f>
        <v>524.11</v>
      </c>
      <c r="AZ308" s="3">
        <f>IFERROR(__xludf.DUMMYFUNCTION("""COMPUTED_VALUE"""),70.4)</f>
        <v>70.4</v>
      </c>
      <c r="BA308" s="3">
        <f>IFERROR(__xludf.DUMMYFUNCTION("""COMPUTED_VALUE"""),167.63)</f>
        <v>167.63</v>
      </c>
      <c r="BB308" s="3">
        <f>IFERROR(__xludf.DUMMYFUNCTION("""COMPUTED_VALUE"""),173.72)</f>
        <v>173.72</v>
      </c>
      <c r="BC308" s="1">
        <f>IFERROR(__xludf.DUMMYFUNCTION("""COMPUTED_VALUE"""),84.93)</f>
        <v>84.93</v>
      </c>
      <c r="BD308" s="1">
        <f>IFERROR(__xludf.DUMMYFUNCTION("""COMPUTED_VALUE"""),47.03)</f>
        <v>47.03</v>
      </c>
      <c r="BE308" s="3">
        <f>IFERROR(__xludf.DUMMYFUNCTION("""COMPUTED_VALUE"""),154.27)</f>
        <v>154.27</v>
      </c>
      <c r="BF308" s="1">
        <f>IFERROR(__xludf.DUMMYFUNCTION("""COMPUTED_VALUE"""),67.11)</f>
        <v>67.11</v>
      </c>
      <c r="BG308" s="1">
        <f>IFERROR(__xludf.DUMMYFUNCTION("""COMPUTED_VALUE"""),23.49)</f>
        <v>23.49</v>
      </c>
      <c r="BH308" s="1">
        <f>IFERROR(__xludf.DUMMYFUNCTION("""COMPUTED_VALUE"""),156.81)</f>
        <v>156.81</v>
      </c>
      <c r="BI308" s="3">
        <f>IFERROR(__xludf.DUMMYFUNCTION("""COMPUTED_VALUE"""),36.63)</f>
        <v>36.63</v>
      </c>
      <c r="BJ308" s="1">
        <f>IFERROR(__xludf.DUMMYFUNCTION("""COMPUTED_VALUE"""),237.2)</f>
        <v>237.2</v>
      </c>
      <c r="BK308" s="1">
        <f>IFERROR(__xludf.DUMMYFUNCTION("""COMPUTED_VALUE"""),463.04)</f>
        <v>463.04</v>
      </c>
      <c r="BL308" s="1">
        <f>IFERROR(__xludf.DUMMYFUNCTION("""COMPUTED_VALUE"""),179.69)</f>
        <v>179.69</v>
      </c>
      <c r="BM308" s="1">
        <f>IFERROR(__xludf.DUMMYFUNCTION("""COMPUTED_VALUE"""),120.55)</f>
        <v>120.55</v>
      </c>
      <c r="BN308" s="3">
        <f>IFERROR(__xludf.DUMMYFUNCTION("""COMPUTED_VALUE"""),6.57)</f>
        <v>6.57</v>
      </c>
      <c r="BO308" s="1">
        <f>IFERROR(__xludf.DUMMYFUNCTION("""COMPUTED_VALUE"""),219.4)</f>
        <v>219.4</v>
      </c>
      <c r="BP308" s="1">
        <f>IFERROR(__xludf.DUMMYFUNCTION("""COMPUTED_VALUE"""),237.77)</f>
        <v>237.77</v>
      </c>
      <c r="BQ308" s="36">
        <f>IFERROR(__xludf.DUMMYFUNCTION("""COMPUTED_VALUE"""),50.2)</f>
        <v>50.2</v>
      </c>
      <c r="BR308" s="1">
        <f>IFERROR(__xludf.DUMMYFUNCTION("""COMPUTED_VALUE"""),8.81)</f>
        <v>8.81</v>
      </c>
      <c r="BS308" s="3">
        <f>IFERROR(__xludf.DUMMYFUNCTION("""COMPUTED_VALUE"""),228.88)</f>
        <v>228.88</v>
      </c>
      <c r="BT308" s="1">
        <f>IFERROR(__xludf.DUMMYFUNCTION("""COMPUTED_VALUE"""),116.59)</f>
        <v>116.59</v>
      </c>
      <c r="BU308" s="3">
        <v>1.0</v>
      </c>
    </row>
    <row r="309">
      <c r="A309" s="25">
        <f>IFERROR(__xludf.DUMMYFUNCTION("""COMPUTED_VALUE"""),45873.66666666667)</f>
        <v>45873.66667</v>
      </c>
      <c r="B309" s="29">
        <f>'Master Scratch Work'!B308</f>
        <v>1429561.46</v>
      </c>
      <c r="C309" s="15">
        <f>IFERROR(__xludf.DUMMYFUNCTION("""COMPUTED_VALUE"""),6329.94)</f>
        <v>6329.94</v>
      </c>
      <c r="D309" s="15">
        <f>IFERROR(__xludf.DUMMYFUNCTION("""COMPUTED_VALUE"""),21053.58)</f>
        <v>21053.58</v>
      </c>
      <c r="E309" s="15">
        <f>IFERROR(__xludf.DUMMYFUNCTION("""COMPUTED_VALUE"""),44173.64)</f>
        <v>44173.64</v>
      </c>
      <c r="F309" s="15">
        <f>IFERROR(__xludf.DUMMYFUNCTION("""COMPUTED_VALUE"""),2212.3)</f>
        <v>2212.3</v>
      </c>
      <c r="G309" s="3">
        <f>IFERROR(__xludf.DUMMYFUNCTION("""COMPUTED_VALUE"""),631.17)</f>
        <v>631.17</v>
      </c>
      <c r="H309" s="3">
        <f>IFERROR(__xludf.DUMMYFUNCTION("""COMPUTED_VALUE"""),564.1)</f>
        <v>564.1</v>
      </c>
      <c r="I309" s="3">
        <f>IFERROR(__xludf.DUMMYFUNCTION("""COMPUTED_VALUE"""),338.85)</f>
        <v>338.85</v>
      </c>
      <c r="J309" s="3">
        <f>IFERROR(__xludf.DUMMYFUNCTION("""COMPUTED_VALUE"""),211.65)</f>
        <v>211.65</v>
      </c>
      <c r="K309" s="3">
        <f>IFERROR(__xludf.DUMMYFUNCTION("""COMPUTED_VALUE"""),147.0)</f>
        <v>147</v>
      </c>
      <c r="L309" s="3">
        <f>IFERROR(__xludf.DUMMYFUNCTION("""COMPUTED_VALUE"""),203.35)</f>
        <v>203.35</v>
      </c>
      <c r="M309" s="3">
        <f>IFERROR(__xludf.DUMMYFUNCTION("""COMPUTED_VALUE"""),182.82)</f>
        <v>182.82</v>
      </c>
      <c r="N309" s="3">
        <f>IFERROR(__xludf.DUMMYFUNCTION("""COMPUTED_VALUE"""),101.41)</f>
        <v>101.41</v>
      </c>
      <c r="O309" s="3">
        <f>IFERROR(__xludf.DUMMYFUNCTION("""COMPUTED_VALUE"""),19.32)</f>
        <v>19.32</v>
      </c>
      <c r="P309" s="3">
        <f>IFERROR(__xludf.DUMMYFUNCTION("""COMPUTED_VALUE"""),459.11)</f>
        <v>459.11</v>
      </c>
      <c r="Q309" s="3">
        <f>IFERROR(__xludf.DUMMYFUNCTION("""COMPUTED_VALUE"""),51.63)</f>
        <v>51.63</v>
      </c>
      <c r="R309" s="3">
        <f>IFERROR(__xludf.DUMMYFUNCTION("""COMPUTED_VALUE"""),132.2)</f>
        <v>132.2</v>
      </c>
      <c r="S309" s="3">
        <f>IFERROR(__xludf.DUMMYFUNCTION("""COMPUTED_VALUE"""),106.79)</f>
        <v>106.79</v>
      </c>
      <c r="T309" s="3">
        <f>IFERROR(__xludf.DUMMYFUNCTION("""COMPUTED_VALUE"""),66.54)</f>
        <v>66.54</v>
      </c>
      <c r="U309" s="3">
        <f>IFERROR(__xludf.DUMMYFUNCTION("""COMPUTED_VALUE"""),433.7)</f>
        <v>433.7</v>
      </c>
      <c r="V309" s="3">
        <f>IFERROR(__xludf.DUMMYFUNCTION("""COMPUTED_VALUE"""),75.26)</f>
        <v>75.26</v>
      </c>
      <c r="W309" s="3">
        <f>IFERROR(__xludf.DUMMYFUNCTION("""COMPUTED_VALUE"""),192.76)</f>
        <v>192.76</v>
      </c>
      <c r="X309" s="3">
        <f>IFERROR(__xludf.DUMMYFUNCTION("""COMPUTED_VALUE"""),151.04)</f>
        <v>151.04</v>
      </c>
      <c r="Y309" s="1">
        <f>IFERROR(__xludf.DUMMYFUNCTION("""COMPUTED_VALUE"""),266.59)</f>
        <v>266.59</v>
      </c>
      <c r="Z309" s="1">
        <f>IFERROR(__xludf.DUMMYFUNCTION("""COMPUTED_VALUE"""),47.58)</f>
        <v>47.58</v>
      </c>
      <c r="AA309" s="1">
        <f>IFERROR(__xludf.DUMMYFUNCTION("""COMPUTED_VALUE"""),68.96)</f>
        <v>68.96</v>
      </c>
      <c r="AB309" s="1">
        <f>IFERROR(__xludf.DUMMYFUNCTION("""COMPUTED_VALUE"""),105.36)</f>
        <v>105.36</v>
      </c>
      <c r="AC309" s="1">
        <f>IFERROR(__xludf.DUMMYFUNCTION("""COMPUTED_VALUE"""),172.91)</f>
        <v>172.91</v>
      </c>
      <c r="AD309" s="3">
        <f>IFERROR(__xludf.DUMMYFUNCTION("""COMPUTED_VALUE"""),115.72)</f>
        <v>115.72</v>
      </c>
      <c r="AE309" s="1">
        <f>IFERROR(__xludf.DUMMYFUNCTION("""COMPUTED_VALUE"""),467.98)</f>
        <v>467.98</v>
      </c>
      <c r="AF309" s="1">
        <f>IFERROR(__xludf.DUMMYFUNCTION("""COMPUTED_VALUE"""),92.86)</f>
        <v>92.86</v>
      </c>
      <c r="AG309" s="1">
        <f>IFERROR(__xludf.DUMMYFUNCTION("""COMPUTED_VALUE"""),107.37)</f>
        <v>107.37</v>
      </c>
      <c r="AH309" s="1">
        <f>IFERROR(__xludf.DUMMYFUNCTION("""COMPUTED_VALUE"""),217.49)</f>
        <v>217.49</v>
      </c>
      <c r="AI309" s="1">
        <f>IFERROR(__xludf.DUMMYFUNCTION("""COMPUTED_VALUE"""),438.32)</f>
        <v>438.32</v>
      </c>
      <c r="AJ309" s="1">
        <f>IFERROR(__xludf.DUMMYFUNCTION("""COMPUTED_VALUE"""),312.78)</f>
        <v>312.78</v>
      </c>
      <c r="AK309" s="1">
        <f>IFERROR(__xludf.DUMMYFUNCTION("""COMPUTED_VALUE"""),52.77)</f>
        <v>52.77</v>
      </c>
      <c r="AL309" s="1">
        <f>IFERROR(__xludf.DUMMYFUNCTION("""COMPUTED_VALUE"""),114.51)</f>
        <v>114.51</v>
      </c>
      <c r="AM309" s="1">
        <f>IFERROR(__xludf.DUMMYFUNCTION("""COMPUTED_VALUE"""),726.03)</f>
        <v>726.03</v>
      </c>
      <c r="AN309" s="1">
        <f>IFERROR(__xludf.DUMMYFUNCTION("""COMPUTED_VALUE"""),380.82)</f>
        <v>380.82</v>
      </c>
      <c r="AO309" s="1">
        <f>IFERROR(__xludf.DUMMYFUNCTION("""COMPUTED_VALUE"""),126.55)</f>
        <v>126.55</v>
      </c>
      <c r="AP309" s="1">
        <f>IFERROR(__xludf.DUMMYFUNCTION("""COMPUTED_VALUE"""),188.45)</f>
        <v>188.45</v>
      </c>
      <c r="AQ309" s="3">
        <f>IFERROR(__xludf.DUMMYFUNCTION("""COMPUTED_VALUE"""),483.36)</f>
        <v>483.36</v>
      </c>
      <c r="AR309" s="3">
        <f>IFERROR(__xludf.DUMMYFUNCTION("""COMPUTED_VALUE"""),294.26)</f>
        <v>294.26</v>
      </c>
      <c r="AS309" s="3">
        <f>IFERROR(__xludf.DUMMYFUNCTION("""COMPUTED_VALUE"""),423.7)</f>
        <v>423.7</v>
      </c>
      <c r="AT309" s="3">
        <f>IFERROR(__xludf.DUMMYFUNCTION("""COMPUTED_VALUE"""),196.45)</f>
        <v>196.45</v>
      </c>
      <c r="AU309" s="1">
        <f>IFERROR(__xludf.DUMMYFUNCTION("""COMPUTED_VALUE"""),30.87)</f>
        <v>30.87</v>
      </c>
      <c r="AV309" s="1">
        <f>IFERROR(__xludf.DUMMYFUNCTION("""COMPUTED_VALUE"""),89.64)</f>
        <v>89.64</v>
      </c>
      <c r="AW309" s="1">
        <f>IFERROR(__xludf.DUMMYFUNCTION("""COMPUTED_VALUE"""),74.83)</f>
        <v>74.83</v>
      </c>
      <c r="AX309" s="3">
        <f>IFERROR(__xludf.DUMMYFUNCTION("""COMPUTED_VALUE"""),65.42)</f>
        <v>65.42</v>
      </c>
      <c r="AY309" s="1">
        <f>IFERROR(__xludf.DUMMYFUNCTION("""COMPUTED_VALUE"""),535.64)</f>
        <v>535.64</v>
      </c>
      <c r="AZ309" s="3">
        <f>IFERROR(__xludf.DUMMYFUNCTION("""COMPUTED_VALUE"""),70.53)</f>
        <v>70.53</v>
      </c>
      <c r="BA309" s="3">
        <f>IFERROR(__xludf.DUMMYFUNCTION("""COMPUTED_VALUE"""),173.91)</f>
        <v>173.91</v>
      </c>
      <c r="BB309" s="3">
        <f>IFERROR(__xludf.DUMMYFUNCTION("""COMPUTED_VALUE"""),180.0)</f>
        <v>180</v>
      </c>
      <c r="BC309" s="1">
        <f>IFERROR(__xludf.DUMMYFUNCTION("""COMPUTED_VALUE"""),85.41)</f>
        <v>85.41</v>
      </c>
      <c r="BD309" s="1">
        <f>IFERROR(__xludf.DUMMYFUNCTION("""COMPUTED_VALUE"""),47.6)</f>
        <v>47.6</v>
      </c>
      <c r="BE309" s="3">
        <f>IFERROR(__xludf.DUMMYFUNCTION("""COMPUTED_VALUE"""),160.66)</f>
        <v>160.66</v>
      </c>
      <c r="BF309" s="1">
        <f>IFERROR(__xludf.DUMMYFUNCTION("""COMPUTED_VALUE"""),68.01)</f>
        <v>68.01</v>
      </c>
      <c r="BG309" s="1">
        <f>IFERROR(__xludf.DUMMYFUNCTION("""COMPUTED_VALUE"""),23.53)</f>
        <v>23.53</v>
      </c>
      <c r="BH309" s="1">
        <f>IFERROR(__xludf.DUMMYFUNCTION("""COMPUTED_VALUE"""),157.38)</f>
        <v>157.38</v>
      </c>
      <c r="BI309" s="3">
        <f>IFERROR(__xludf.DUMMYFUNCTION("""COMPUTED_VALUE"""),37.18)</f>
        <v>37.18</v>
      </c>
      <c r="BJ309" s="1">
        <f>IFERROR(__xludf.DUMMYFUNCTION("""COMPUTED_VALUE"""),241.01)</f>
        <v>241.01</v>
      </c>
      <c r="BK309" s="1">
        <f>IFERROR(__xludf.DUMMYFUNCTION("""COMPUTED_VALUE"""),466.57)</f>
        <v>466.57</v>
      </c>
      <c r="BL309" s="1">
        <f>IFERROR(__xludf.DUMMYFUNCTION("""COMPUTED_VALUE"""),182.31)</f>
        <v>182.31</v>
      </c>
      <c r="BM309" s="1">
        <f>IFERROR(__xludf.DUMMYFUNCTION("""COMPUTED_VALUE"""),128.5)</f>
        <v>128.5</v>
      </c>
      <c r="BN309" s="3">
        <f>IFERROR(__xludf.DUMMYFUNCTION("""COMPUTED_VALUE"""),6.74)</f>
        <v>6.74</v>
      </c>
      <c r="BO309" s="1">
        <f>IFERROR(__xludf.DUMMYFUNCTION("""COMPUTED_VALUE"""),222.06)</f>
        <v>222.06</v>
      </c>
      <c r="BP309" s="1">
        <f>IFERROR(__xludf.DUMMYFUNCTION("""COMPUTED_VALUE"""),240.98)</f>
        <v>240.98</v>
      </c>
      <c r="BQ309" s="36">
        <f>IFERROR(__xludf.DUMMYFUNCTION("""COMPUTED_VALUE"""),50.26)</f>
        <v>50.26</v>
      </c>
      <c r="BR309" s="1">
        <f>IFERROR(__xludf.DUMMYFUNCTION("""COMPUTED_VALUE"""),8.94)</f>
        <v>8.94</v>
      </c>
      <c r="BS309" s="3">
        <f>IFERROR(__xludf.DUMMYFUNCTION("""COMPUTED_VALUE"""),230.54)</f>
        <v>230.54</v>
      </c>
      <c r="BT309" s="1">
        <f>IFERROR(__xludf.DUMMYFUNCTION("""COMPUTED_VALUE"""),119.35)</f>
        <v>119.35</v>
      </c>
      <c r="BU309" s="3">
        <v>1.0</v>
      </c>
    </row>
    <row r="310">
      <c r="A310" s="25">
        <f>IFERROR(__xludf.DUMMYFUNCTION("""COMPUTED_VALUE"""),45874.66666666667)</f>
        <v>45874.66667</v>
      </c>
      <c r="B310" s="29">
        <f>'Master Scratch Work'!B309</f>
        <v>1433573.76</v>
      </c>
      <c r="C310" s="15">
        <f>IFERROR(__xludf.DUMMYFUNCTION("""COMPUTED_VALUE"""),6299.19)</f>
        <v>6299.19</v>
      </c>
      <c r="D310" s="15">
        <f>IFERROR(__xludf.DUMMYFUNCTION("""COMPUTED_VALUE"""),20916.55)</f>
        <v>20916.55</v>
      </c>
      <c r="E310" s="15">
        <f>IFERROR(__xludf.DUMMYFUNCTION("""COMPUTED_VALUE"""),44111.74)</f>
        <v>44111.74</v>
      </c>
      <c r="F310" s="15">
        <f>IFERROR(__xludf.DUMMYFUNCTION("""COMPUTED_VALUE"""),2225.67)</f>
        <v>2225.67</v>
      </c>
      <c r="G310" s="3">
        <f>IFERROR(__xludf.DUMMYFUNCTION("""COMPUTED_VALUE"""),627.97)</f>
        <v>627.97</v>
      </c>
      <c r="H310" s="3">
        <f>IFERROR(__xludf.DUMMYFUNCTION("""COMPUTED_VALUE"""),560.27)</f>
        <v>560.27</v>
      </c>
      <c r="I310" s="3">
        <f>IFERROR(__xludf.DUMMYFUNCTION("""COMPUTED_VALUE"""),338.74)</f>
        <v>338.74</v>
      </c>
      <c r="J310" s="3">
        <f>IFERROR(__xludf.DUMMYFUNCTION("""COMPUTED_VALUE"""),213.75)</f>
        <v>213.75</v>
      </c>
      <c r="K310" s="3">
        <f>IFERROR(__xludf.DUMMYFUNCTION("""COMPUTED_VALUE"""),141.5)</f>
        <v>141.5</v>
      </c>
      <c r="L310" s="3">
        <f>IFERROR(__xludf.DUMMYFUNCTION("""COMPUTED_VALUE"""),202.92)</f>
        <v>202.92</v>
      </c>
      <c r="M310" s="3">
        <f>IFERROR(__xludf.DUMMYFUNCTION("""COMPUTED_VALUE"""),179.15)</f>
        <v>179.15</v>
      </c>
      <c r="N310" s="3">
        <f>IFERROR(__xludf.DUMMYFUNCTION("""COMPUTED_VALUE"""),100.66)</f>
        <v>100.66</v>
      </c>
      <c r="O310" s="3">
        <f>IFERROR(__xludf.DUMMYFUNCTION("""COMPUTED_VALUE"""),19.39)</f>
        <v>19.39</v>
      </c>
      <c r="P310" s="3">
        <f>IFERROR(__xludf.DUMMYFUNCTION("""COMPUTED_VALUE"""),464.19)</f>
        <v>464.19</v>
      </c>
      <c r="Q310" s="3">
        <f>IFERROR(__xludf.DUMMYFUNCTION("""COMPUTED_VALUE"""),51.13)</f>
        <v>51.13</v>
      </c>
      <c r="R310" s="3">
        <f>IFERROR(__xludf.DUMMYFUNCTION("""COMPUTED_VALUE"""),132.89)</f>
        <v>132.89</v>
      </c>
      <c r="S310" s="3">
        <f>IFERROR(__xludf.DUMMYFUNCTION("""COMPUTED_VALUE"""),104.83)</f>
        <v>104.83</v>
      </c>
      <c r="T310" s="3">
        <f>IFERROR(__xludf.DUMMYFUNCTION("""COMPUTED_VALUE"""),66.38)</f>
        <v>66.38</v>
      </c>
      <c r="U310" s="3">
        <f>IFERROR(__xludf.DUMMYFUNCTION("""COMPUTED_VALUE"""),434.23)</f>
        <v>434.23</v>
      </c>
      <c r="V310" s="3">
        <f>IFERROR(__xludf.DUMMYFUNCTION("""COMPUTED_VALUE"""),74.59)</f>
        <v>74.59</v>
      </c>
      <c r="W310" s="3">
        <f>IFERROR(__xludf.DUMMYFUNCTION("""COMPUTED_VALUE"""),188.9)</f>
        <v>188.9</v>
      </c>
      <c r="X310" s="3">
        <f>IFERROR(__xludf.DUMMYFUNCTION("""COMPUTED_VALUE"""),153.04)</f>
        <v>153.04</v>
      </c>
      <c r="Y310" s="1">
        <f>IFERROR(__xludf.DUMMYFUNCTION("""COMPUTED_VALUE"""),270.74)</f>
        <v>270.74</v>
      </c>
      <c r="Z310" s="1">
        <f>IFERROR(__xludf.DUMMYFUNCTION("""COMPUTED_VALUE"""),47.3)</f>
        <v>47.3</v>
      </c>
      <c r="AA310" s="1">
        <f>IFERROR(__xludf.DUMMYFUNCTION("""COMPUTED_VALUE"""),69.05)</f>
        <v>69.05</v>
      </c>
      <c r="AB310" s="1">
        <f>IFERROR(__xludf.DUMMYFUNCTION("""COMPUTED_VALUE"""),104.18)</f>
        <v>104.18</v>
      </c>
      <c r="AC310" s="1">
        <f>IFERROR(__xludf.DUMMYFUNCTION("""COMPUTED_VALUE"""),172.17)</f>
        <v>172.17</v>
      </c>
      <c r="AD310" s="3">
        <f>IFERROR(__xludf.DUMMYFUNCTION("""COMPUTED_VALUE"""),115.66)</f>
        <v>115.66</v>
      </c>
      <c r="AE310" s="1">
        <f>IFERROR(__xludf.DUMMYFUNCTION("""COMPUTED_VALUE"""),447.13)</f>
        <v>447.13</v>
      </c>
      <c r="AF310" s="1">
        <f>IFERROR(__xludf.DUMMYFUNCTION("""COMPUTED_VALUE"""),91.28)</f>
        <v>91.28</v>
      </c>
      <c r="AG310" s="1">
        <f>IFERROR(__xludf.DUMMYFUNCTION("""COMPUTED_VALUE"""),107.24)</f>
        <v>107.24</v>
      </c>
      <c r="AH310" s="1">
        <f>IFERROR(__xludf.DUMMYFUNCTION("""COMPUTED_VALUE"""),222.41)</f>
        <v>222.41</v>
      </c>
      <c r="AI310" s="1">
        <f>IFERROR(__xludf.DUMMYFUNCTION("""COMPUTED_VALUE"""),441.79)</f>
        <v>441.79</v>
      </c>
      <c r="AJ310" s="1">
        <f>IFERROR(__xludf.DUMMYFUNCTION("""COMPUTED_VALUE"""),313.76)</f>
        <v>313.76</v>
      </c>
      <c r="AK310" s="1">
        <f>IFERROR(__xludf.DUMMYFUNCTION("""COMPUTED_VALUE"""),52.58)</f>
        <v>52.58</v>
      </c>
      <c r="AL310" s="1">
        <f>IFERROR(__xludf.DUMMYFUNCTION("""COMPUTED_VALUE"""),112.46)</f>
        <v>112.46</v>
      </c>
      <c r="AM310" s="1">
        <f>IFERROR(__xludf.DUMMYFUNCTION("""COMPUTED_VALUE"""),720.91)</f>
        <v>720.91</v>
      </c>
      <c r="AN310" s="1">
        <f>IFERROR(__xludf.DUMMYFUNCTION("""COMPUTED_VALUE"""),385.41)</f>
        <v>385.41</v>
      </c>
      <c r="AO310" s="1">
        <f>IFERROR(__xludf.DUMMYFUNCTION("""COMPUTED_VALUE"""),127.89)</f>
        <v>127.89</v>
      </c>
      <c r="AP310" s="1">
        <f>IFERROR(__xludf.DUMMYFUNCTION("""COMPUTED_VALUE"""),187.4)</f>
        <v>187.4</v>
      </c>
      <c r="AQ310" s="3">
        <f>IFERROR(__xludf.DUMMYFUNCTION("""COMPUTED_VALUE"""),477.0)</f>
        <v>477</v>
      </c>
      <c r="AR310" s="3">
        <f>IFERROR(__xludf.DUMMYFUNCTION("""COMPUTED_VALUE"""),291.37)</f>
        <v>291.37</v>
      </c>
      <c r="AS310" s="3">
        <f>IFERROR(__xludf.DUMMYFUNCTION("""COMPUTED_VALUE"""),428.24)</f>
        <v>428.24</v>
      </c>
      <c r="AT310" s="3">
        <f>IFERROR(__xludf.DUMMYFUNCTION("""COMPUTED_VALUE"""),195.07)</f>
        <v>195.07</v>
      </c>
      <c r="AU310" s="1">
        <f>IFERROR(__xludf.DUMMYFUNCTION("""COMPUTED_VALUE"""),30.82)</f>
        <v>30.82</v>
      </c>
      <c r="AV310" s="1">
        <f>IFERROR(__xludf.DUMMYFUNCTION("""COMPUTED_VALUE"""),89.67)</f>
        <v>89.67</v>
      </c>
      <c r="AW310" s="1">
        <f>IFERROR(__xludf.DUMMYFUNCTION("""COMPUTED_VALUE"""),74.89)</f>
        <v>74.89</v>
      </c>
      <c r="AX310" s="3">
        <f>IFERROR(__xludf.DUMMYFUNCTION("""COMPUTED_VALUE"""),68.39)</f>
        <v>68.39</v>
      </c>
      <c r="AY310" s="1">
        <f>IFERROR(__xludf.DUMMYFUNCTION("""COMPUTED_VALUE"""),527.75)</f>
        <v>527.75</v>
      </c>
      <c r="AZ310" s="3">
        <f>IFERROR(__xludf.DUMMYFUNCTION("""COMPUTED_VALUE"""),71.18)</f>
        <v>71.18</v>
      </c>
      <c r="BA310" s="3">
        <f>IFERROR(__xludf.DUMMYFUNCTION("""COMPUTED_VALUE"""),171.96)</f>
        <v>171.96</v>
      </c>
      <c r="BB310" s="3">
        <f>IFERROR(__xludf.DUMMYFUNCTION("""COMPUTED_VALUE"""),178.26)</f>
        <v>178.26</v>
      </c>
      <c r="BC310" s="1">
        <f>IFERROR(__xludf.DUMMYFUNCTION("""COMPUTED_VALUE"""),86.28)</f>
        <v>86.28</v>
      </c>
      <c r="BD310" s="1">
        <f>IFERROR(__xludf.DUMMYFUNCTION("""COMPUTED_VALUE"""),47.15)</f>
        <v>47.15</v>
      </c>
      <c r="BE310" s="3">
        <f>IFERROR(__xludf.DUMMYFUNCTION("""COMPUTED_VALUE"""),173.27)</f>
        <v>173.27</v>
      </c>
      <c r="BF310" s="1">
        <f>IFERROR(__xludf.DUMMYFUNCTION("""COMPUTED_VALUE"""),67.83)</f>
        <v>67.83</v>
      </c>
      <c r="BG310" s="1">
        <f>IFERROR(__xludf.DUMMYFUNCTION("""COMPUTED_VALUE"""),24.75)</f>
        <v>24.75</v>
      </c>
      <c r="BH310" s="1">
        <f>IFERROR(__xludf.DUMMYFUNCTION("""COMPUTED_VALUE"""),156.33)</f>
        <v>156.33</v>
      </c>
      <c r="BI310" s="3">
        <f>IFERROR(__xludf.DUMMYFUNCTION("""COMPUTED_VALUE"""),38.39)</f>
        <v>38.39</v>
      </c>
      <c r="BJ310" s="1">
        <f>IFERROR(__xludf.DUMMYFUNCTION("""COMPUTED_VALUE"""),238.93)</f>
        <v>238.93</v>
      </c>
      <c r="BK310" s="1">
        <f>IFERROR(__xludf.DUMMYFUNCTION("""COMPUTED_VALUE"""),466.42)</f>
        <v>466.42</v>
      </c>
      <c r="BL310" s="1">
        <f>IFERROR(__xludf.DUMMYFUNCTION("""COMPUTED_VALUE"""),181.5)</f>
        <v>181.5</v>
      </c>
      <c r="BM310" s="1">
        <f>IFERROR(__xludf.DUMMYFUNCTION("""COMPUTED_VALUE"""),125.74)</f>
        <v>125.74</v>
      </c>
      <c r="BN310" s="3">
        <f>IFERROR(__xludf.DUMMYFUNCTION("""COMPUTED_VALUE"""),6.71)</f>
        <v>6.71</v>
      </c>
      <c r="BO310" s="1">
        <f>IFERROR(__xludf.DUMMYFUNCTION("""COMPUTED_VALUE"""),222.97)</f>
        <v>222.97</v>
      </c>
      <c r="BP310" s="1">
        <f>IFERROR(__xludf.DUMMYFUNCTION("""COMPUTED_VALUE"""),251.0)</f>
        <v>251</v>
      </c>
      <c r="BQ310" s="36">
        <f>IFERROR(__xludf.DUMMYFUNCTION("""COMPUTED_VALUE"""),50.23)</f>
        <v>50.23</v>
      </c>
      <c r="BR310" s="1">
        <f>IFERROR(__xludf.DUMMYFUNCTION("""COMPUTED_VALUE"""),8.98)</f>
        <v>8.98</v>
      </c>
      <c r="BS310" s="3">
        <f>IFERROR(__xludf.DUMMYFUNCTION("""COMPUTED_VALUE"""),229.78)</f>
        <v>229.78</v>
      </c>
      <c r="BT310" s="1">
        <f>IFERROR(__xludf.DUMMYFUNCTION("""COMPUTED_VALUE"""),118.32)</f>
        <v>118.32</v>
      </c>
      <c r="BU310" s="3">
        <v>1.0</v>
      </c>
    </row>
    <row r="311">
      <c r="A311" s="25">
        <f>IFERROR(__xludf.DUMMYFUNCTION("""COMPUTED_VALUE"""),45875.66666666667)</f>
        <v>45875.66667</v>
      </c>
      <c r="B311" s="29">
        <f>'Master Scratch Work'!B310</f>
        <v>1438661.85</v>
      </c>
      <c r="C311" s="15">
        <f>IFERROR(__xludf.DUMMYFUNCTION("""COMPUTED_VALUE"""),6345.06)</f>
        <v>6345.06</v>
      </c>
      <c r="D311" s="15">
        <f>IFERROR(__xludf.DUMMYFUNCTION("""COMPUTED_VALUE"""),21169.42)</f>
        <v>21169.42</v>
      </c>
      <c r="E311" s="15">
        <f>IFERROR(__xludf.DUMMYFUNCTION("""COMPUTED_VALUE"""),44193.12)</f>
        <v>44193.12</v>
      </c>
      <c r="F311" s="15">
        <f>IFERROR(__xludf.DUMMYFUNCTION("""COMPUTED_VALUE"""),2221.29)</f>
        <v>2221.29</v>
      </c>
      <c r="G311" s="3">
        <f>IFERROR(__xludf.DUMMYFUNCTION("""COMPUTED_VALUE"""),632.78)</f>
        <v>632.78</v>
      </c>
      <c r="H311" s="3">
        <f>IFERROR(__xludf.DUMMYFUNCTION("""COMPUTED_VALUE"""),567.32)</f>
        <v>567.32</v>
      </c>
      <c r="I311" s="3">
        <f>IFERROR(__xludf.DUMMYFUNCTION("""COMPUTED_VALUE"""),345.62)</f>
        <v>345.62</v>
      </c>
      <c r="J311" s="3">
        <f>IFERROR(__xludf.DUMMYFUNCTION("""COMPUTED_VALUE"""),222.31)</f>
        <v>222.31</v>
      </c>
      <c r="K311" s="3">
        <f>IFERROR(__xludf.DUMMYFUNCTION("""COMPUTED_VALUE"""),141.91)</f>
        <v>141.91</v>
      </c>
      <c r="L311" s="3">
        <f>IFERROR(__xludf.DUMMYFUNCTION("""COMPUTED_VALUE"""),213.25)</f>
        <v>213.25</v>
      </c>
      <c r="M311" s="3">
        <f>IFERROR(__xludf.DUMMYFUNCTION("""COMPUTED_VALUE"""),178.14)</f>
        <v>178.14</v>
      </c>
      <c r="N311" s="3">
        <f>IFERROR(__xludf.DUMMYFUNCTION("""COMPUTED_VALUE"""),102.29)</f>
        <v>102.29</v>
      </c>
      <c r="O311" s="3">
        <f>IFERROR(__xludf.DUMMYFUNCTION("""COMPUTED_VALUE"""),19.56)</f>
        <v>19.56</v>
      </c>
      <c r="P311" s="3">
        <f>IFERROR(__xludf.DUMMYFUNCTION("""COMPUTED_VALUE"""),468.91)</f>
        <v>468.91</v>
      </c>
      <c r="Q311" s="3">
        <f>IFERROR(__xludf.DUMMYFUNCTION("""COMPUTED_VALUE"""),51.54)</f>
        <v>51.54</v>
      </c>
      <c r="R311" s="3">
        <f>IFERROR(__xludf.DUMMYFUNCTION("""COMPUTED_VALUE"""),129.34)</f>
        <v>129.34</v>
      </c>
      <c r="S311" s="3">
        <f>IFERROR(__xludf.DUMMYFUNCTION("""COMPUTED_VALUE"""),102.95)</f>
        <v>102.95</v>
      </c>
      <c r="T311" s="3">
        <f>IFERROR(__xludf.DUMMYFUNCTION("""COMPUTED_VALUE"""),66.11)</f>
        <v>66.11</v>
      </c>
      <c r="U311" s="3">
        <f>IFERROR(__xludf.DUMMYFUNCTION("""COMPUTED_VALUE"""),427.72)</f>
        <v>427.72</v>
      </c>
      <c r="V311" s="3">
        <f>IFERROR(__xludf.DUMMYFUNCTION("""COMPUTED_VALUE"""),76.55)</f>
        <v>76.55</v>
      </c>
      <c r="W311" s="3">
        <f>IFERROR(__xludf.DUMMYFUNCTION("""COMPUTED_VALUE"""),188.21)</f>
        <v>188.21</v>
      </c>
      <c r="X311" s="3">
        <f>IFERROR(__xludf.DUMMYFUNCTION("""COMPUTED_VALUE"""),152.78)</f>
        <v>152.78</v>
      </c>
      <c r="Y311" s="1">
        <f>IFERROR(__xludf.DUMMYFUNCTION("""COMPUTED_VALUE"""),269.96)</f>
        <v>269.96</v>
      </c>
      <c r="Z311" s="1">
        <f>IFERROR(__xludf.DUMMYFUNCTION("""COMPUTED_VALUE"""),46.93)</f>
        <v>46.93</v>
      </c>
      <c r="AA311" s="1">
        <f>IFERROR(__xludf.DUMMYFUNCTION("""COMPUTED_VALUE"""),69.51)</f>
        <v>69.51</v>
      </c>
      <c r="AB311" s="1">
        <f>IFERROR(__xludf.DUMMYFUNCTION("""COMPUTED_VALUE"""),104.15)</f>
        <v>104.15</v>
      </c>
      <c r="AC311" s="1">
        <f>IFERROR(__xludf.DUMMYFUNCTION("""COMPUTED_VALUE"""),169.49)</f>
        <v>169.49</v>
      </c>
      <c r="AD311" s="3">
        <f>IFERROR(__xludf.DUMMYFUNCTION("""COMPUTED_VALUE"""),116.37)</f>
        <v>116.37</v>
      </c>
      <c r="AE311" s="1">
        <f>IFERROR(__xludf.DUMMYFUNCTION("""COMPUTED_VALUE"""),443.78)</f>
        <v>443.78</v>
      </c>
      <c r="AF311" s="1">
        <f>IFERROR(__xludf.DUMMYFUNCTION("""COMPUTED_VALUE"""),92.54)</f>
        <v>92.54</v>
      </c>
      <c r="AG311" s="1">
        <f>IFERROR(__xludf.DUMMYFUNCTION("""COMPUTED_VALUE"""),106.51)</f>
        <v>106.51</v>
      </c>
      <c r="AH311" s="1">
        <f>IFERROR(__xludf.DUMMYFUNCTION("""COMPUTED_VALUE"""),226.45)</f>
        <v>226.45</v>
      </c>
      <c r="AI311" s="1">
        <f>IFERROR(__xludf.DUMMYFUNCTION("""COMPUTED_VALUE"""),442.92)</f>
        <v>442.92</v>
      </c>
      <c r="AJ311" s="1">
        <f>IFERROR(__xludf.DUMMYFUNCTION("""COMPUTED_VALUE"""),314.99)</f>
        <v>314.99</v>
      </c>
      <c r="AK311" s="1">
        <f>IFERROR(__xludf.DUMMYFUNCTION("""COMPUTED_VALUE"""),52.47)</f>
        <v>52.47</v>
      </c>
      <c r="AL311" s="1">
        <f>IFERROR(__xludf.DUMMYFUNCTION("""COMPUTED_VALUE"""),110.28)</f>
        <v>110.28</v>
      </c>
      <c r="AM311" s="1">
        <f>IFERROR(__xludf.DUMMYFUNCTION("""COMPUTED_VALUE"""),724.74)</f>
        <v>724.74</v>
      </c>
      <c r="AN311" s="1">
        <f>IFERROR(__xludf.DUMMYFUNCTION("""COMPUTED_VALUE"""),386.8)</f>
        <v>386.8</v>
      </c>
      <c r="AO311" s="1">
        <f>IFERROR(__xludf.DUMMYFUNCTION("""COMPUTED_VALUE"""),128.91)</f>
        <v>128.91</v>
      </c>
      <c r="AP311" s="1">
        <f>IFERROR(__xludf.DUMMYFUNCTION("""COMPUTED_VALUE"""),188.05)</f>
        <v>188.05</v>
      </c>
      <c r="AQ311" s="3">
        <f>IFERROR(__xludf.DUMMYFUNCTION("""COMPUTED_VALUE"""),474.06)</f>
        <v>474.06</v>
      </c>
      <c r="AR311" s="3">
        <f>IFERROR(__xludf.DUMMYFUNCTION("""COMPUTED_VALUE"""),291.35)</f>
        <v>291.35</v>
      </c>
      <c r="AS311" s="3">
        <f>IFERROR(__xludf.DUMMYFUNCTION("""COMPUTED_VALUE"""),434.85)</f>
        <v>434.85</v>
      </c>
      <c r="AT311" s="3">
        <f>IFERROR(__xludf.DUMMYFUNCTION("""COMPUTED_VALUE"""),196.51)</f>
        <v>196.51</v>
      </c>
      <c r="AU311" s="1">
        <f>IFERROR(__xludf.DUMMYFUNCTION("""COMPUTED_VALUE"""),31.26)</f>
        <v>31.26</v>
      </c>
      <c r="AV311" s="1">
        <f>IFERROR(__xludf.DUMMYFUNCTION("""COMPUTED_VALUE"""),89.36)</f>
        <v>89.36</v>
      </c>
      <c r="AW311" s="1">
        <f>IFERROR(__xludf.DUMMYFUNCTION("""COMPUTED_VALUE"""),75.95)</f>
        <v>75.95</v>
      </c>
      <c r="AX311" s="3">
        <f>IFERROR(__xludf.DUMMYFUNCTION("""COMPUTED_VALUE"""),67.51)</f>
        <v>67.51</v>
      </c>
      <c r="AY311" s="1">
        <f>IFERROR(__xludf.DUMMYFUNCTION("""COMPUTED_VALUE"""),524.94)</f>
        <v>524.94</v>
      </c>
      <c r="AZ311" s="3">
        <f>IFERROR(__xludf.DUMMYFUNCTION("""COMPUTED_VALUE"""),70.54)</f>
        <v>70.54</v>
      </c>
      <c r="BA311" s="3">
        <f>IFERROR(__xludf.DUMMYFUNCTION("""COMPUTED_VALUE"""),148.56)</f>
        <v>148.56</v>
      </c>
      <c r="BB311" s="3">
        <f>IFERROR(__xludf.DUMMYFUNCTION("""COMPUTED_VALUE"""),179.42)</f>
        <v>179.42</v>
      </c>
      <c r="BC311" s="1">
        <f>IFERROR(__xludf.DUMMYFUNCTION("""COMPUTED_VALUE"""),86.97)</f>
        <v>86.97</v>
      </c>
      <c r="BD311" s="1">
        <f>IFERROR(__xludf.DUMMYFUNCTION("""COMPUTED_VALUE"""),46.81)</f>
        <v>46.81</v>
      </c>
      <c r="BE311" s="3">
        <f>IFERROR(__xludf.DUMMYFUNCTION("""COMPUTED_VALUE"""),179.54)</f>
        <v>179.54</v>
      </c>
      <c r="BF311" s="1">
        <f>IFERROR(__xludf.DUMMYFUNCTION("""COMPUTED_VALUE"""),69.42)</f>
        <v>69.42</v>
      </c>
      <c r="BG311" s="1">
        <f>IFERROR(__xludf.DUMMYFUNCTION("""COMPUTED_VALUE"""),23.93)</f>
        <v>23.93</v>
      </c>
      <c r="BH311" s="1">
        <f>IFERROR(__xludf.DUMMYFUNCTION("""COMPUTED_VALUE"""),155.75)</f>
        <v>155.75</v>
      </c>
      <c r="BI311" s="3">
        <f>IFERROR(__xludf.DUMMYFUNCTION("""COMPUTED_VALUE"""),36.67)</f>
        <v>36.67</v>
      </c>
      <c r="BJ311" s="1">
        <f>IFERROR(__xludf.DUMMYFUNCTION("""COMPUTED_VALUE"""),239.22)</f>
        <v>239.22</v>
      </c>
      <c r="BK311" s="1">
        <f>IFERROR(__xludf.DUMMYFUNCTION("""COMPUTED_VALUE"""),448.94)</f>
        <v>448.94</v>
      </c>
      <c r="BL311" s="1">
        <f>IFERROR(__xludf.DUMMYFUNCTION("""COMPUTED_VALUE"""),183.99)</f>
        <v>183.99</v>
      </c>
      <c r="BM311" s="1">
        <f>IFERROR(__xludf.DUMMYFUNCTION("""COMPUTED_VALUE"""),118.8)</f>
        <v>118.8</v>
      </c>
      <c r="BN311" s="3">
        <f>IFERROR(__xludf.DUMMYFUNCTION("""COMPUTED_VALUE"""),6.73)</f>
        <v>6.73</v>
      </c>
      <c r="BO311" s="1">
        <f>IFERROR(__xludf.DUMMYFUNCTION("""COMPUTED_VALUE"""),225.46)</f>
        <v>225.46</v>
      </c>
      <c r="BP311" s="1">
        <f>IFERROR(__xludf.DUMMYFUNCTION("""COMPUTED_VALUE"""),245.78)</f>
        <v>245.78</v>
      </c>
      <c r="BQ311" s="36">
        <f>IFERROR(__xludf.DUMMYFUNCTION("""COMPUTED_VALUE"""),50.23)</f>
        <v>50.23</v>
      </c>
      <c r="BR311" s="1">
        <f>IFERROR(__xludf.DUMMYFUNCTION("""COMPUTED_VALUE"""),8.75)</f>
        <v>8.75</v>
      </c>
      <c r="BS311" s="3">
        <f>IFERROR(__xludf.DUMMYFUNCTION("""COMPUTED_VALUE"""),231.6)</f>
        <v>231.6</v>
      </c>
      <c r="BT311" s="1">
        <f>IFERROR(__xludf.DUMMYFUNCTION("""COMPUTED_VALUE"""),115.17)</f>
        <v>115.17</v>
      </c>
      <c r="BU311" s="3">
        <v>1.0</v>
      </c>
    </row>
    <row r="312">
      <c r="A312" s="25">
        <f>IFERROR(__xludf.DUMMYFUNCTION("""COMPUTED_VALUE"""),45876.66666666667)</f>
        <v>45876.66667</v>
      </c>
      <c r="B312" s="29">
        <f>'Master Scratch Work'!B311</f>
        <v>1438219.34</v>
      </c>
      <c r="C312" s="15">
        <f>IFERROR(__xludf.DUMMYFUNCTION("""COMPUTED_VALUE"""),6340.0)</f>
        <v>6340</v>
      </c>
      <c r="D312" s="15">
        <f>IFERROR(__xludf.DUMMYFUNCTION("""COMPUTED_VALUE"""),21242.7)</f>
        <v>21242.7</v>
      </c>
      <c r="E312" s="15">
        <f>IFERROR(__xludf.DUMMYFUNCTION("""COMPUTED_VALUE"""),43968.64)</f>
        <v>43968.64</v>
      </c>
      <c r="F312" s="15">
        <f>IFERROR(__xludf.DUMMYFUNCTION("""COMPUTED_VALUE"""),2214.72)</f>
        <v>2214.72</v>
      </c>
      <c r="G312" s="3">
        <f>IFERROR(__xludf.DUMMYFUNCTION("""COMPUTED_VALUE"""),632.25)</f>
        <v>632.25</v>
      </c>
      <c r="H312" s="3">
        <f>IFERROR(__xludf.DUMMYFUNCTION("""COMPUTED_VALUE"""),569.24)</f>
        <v>569.24</v>
      </c>
      <c r="I312" s="3">
        <f>IFERROR(__xludf.DUMMYFUNCTION("""COMPUTED_VALUE"""),338.27)</f>
        <v>338.27</v>
      </c>
      <c r="J312" s="3">
        <f>IFERROR(__xludf.DUMMYFUNCTION("""COMPUTED_VALUE"""),223.13)</f>
        <v>223.13</v>
      </c>
      <c r="K312" s="3">
        <f>IFERROR(__xludf.DUMMYFUNCTION("""COMPUTED_VALUE"""),144.42)</f>
        <v>144.42</v>
      </c>
      <c r="L312" s="3">
        <f>IFERROR(__xludf.DUMMYFUNCTION("""COMPUTED_VALUE"""),220.03)</f>
        <v>220.03</v>
      </c>
      <c r="M312" s="3">
        <f>IFERROR(__xludf.DUMMYFUNCTION("""COMPUTED_VALUE"""),183.15)</f>
        <v>183.15</v>
      </c>
      <c r="N312" s="3">
        <f>IFERROR(__xludf.DUMMYFUNCTION("""COMPUTED_VALUE"""),102.21)</f>
        <v>102.21</v>
      </c>
      <c r="O312" s="3">
        <f>IFERROR(__xludf.DUMMYFUNCTION("""COMPUTED_VALUE"""),19.75)</f>
        <v>19.75</v>
      </c>
      <c r="P312" s="3">
        <f>IFERROR(__xludf.DUMMYFUNCTION("""COMPUTED_VALUE"""),461.47)</f>
        <v>461.47</v>
      </c>
      <c r="Q312" s="3">
        <f>IFERROR(__xludf.DUMMYFUNCTION("""COMPUTED_VALUE"""),52.11)</f>
        <v>52.11</v>
      </c>
      <c r="R312" s="3">
        <f>IFERROR(__xludf.DUMMYFUNCTION("""COMPUTED_VALUE"""),127.75)</f>
        <v>127.75</v>
      </c>
      <c r="S312" s="3">
        <f>IFERROR(__xludf.DUMMYFUNCTION("""COMPUTED_VALUE"""),102.96)</f>
        <v>102.96</v>
      </c>
      <c r="T312" s="3">
        <f>IFERROR(__xludf.DUMMYFUNCTION("""COMPUTED_VALUE"""),66.36)</f>
        <v>66.36</v>
      </c>
      <c r="U312" s="3">
        <f>IFERROR(__xludf.DUMMYFUNCTION("""COMPUTED_VALUE"""),417.12)</f>
        <v>417.12</v>
      </c>
      <c r="V312" s="3">
        <f>IFERROR(__xludf.DUMMYFUNCTION("""COMPUTED_VALUE"""),76.37)</f>
        <v>76.37</v>
      </c>
      <c r="W312" s="3">
        <f>IFERROR(__xludf.DUMMYFUNCTION("""COMPUTED_VALUE"""),185.03)</f>
        <v>185.03</v>
      </c>
      <c r="X312" s="3">
        <f>IFERROR(__xludf.DUMMYFUNCTION("""COMPUTED_VALUE"""),153.16)</f>
        <v>153.16</v>
      </c>
      <c r="Y312" s="1">
        <f>IFERROR(__xludf.DUMMYFUNCTION("""COMPUTED_VALUE"""),271.0)</f>
        <v>271</v>
      </c>
      <c r="Z312" s="1">
        <f>IFERROR(__xludf.DUMMYFUNCTION("""COMPUTED_VALUE"""),46.64)</f>
        <v>46.64</v>
      </c>
      <c r="AA312" s="1">
        <f>IFERROR(__xludf.DUMMYFUNCTION("""COMPUTED_VALUE"""),70.43)</f>
        <v>70.43</v>
      </c>
      <c r="AB312" s="1">
        <f>IFERROR(__xludf.DUMMYFUNCTION("""COMPUTED_VALUE"""),105.0)</f>
        <v>105</v>
      </c>
      <c r="AC312" s="1">
        <f>IFERROR(__xludf.DUMMYFUNCTION("""COMPUTED_VALUE"""),171.23)</f>
        <v>171.23</v>
      </c>
      <c r="AD312" s="3">
        <f>IFERROR(__xludf.DUMMYFUNCTION("""COMPUTED_VALUE"""),117.16)</f>
        <v>117.16</v>
      </c>
      <c r="AE312" s="1">
        <f>IFERROR(__xludf.DUMMYFUNCTION("""COMPUTED_VALUE"""),442.42)</f>
        <v>442.42</v>
      </c>
      <c r="AF312" s="1">
        <f>IFERROR(__xludf.DUMMYFUNCTION("""COMPUTED_VALUE"""),93.02)</f>
        <v>93.02</v>
      </c>
      <c r="AG312" s="1">
        <f>IFERROR(__xludf.DUMMYFUNCTION("""COMPUTED_VALUE"""),105.95)</f>
        <v>105.95</v>
      </c>
      <c r="AH312" s="1">
        <f>IFERROR(__xludf.DUMMYFUNCTION("""COMPUTED_VALUE"""),224.66)</f>
        <v>224.66</v>
      </c>
      <c r="AI312" s="1">
        <f>IFERROR(__xludf.DUMMYFUNCTION("""COMPUTED_VALUE"""),448.68)</f>
        <v>448.68</v>
      </c>
      <c r="AJ312" s="1">
        <f>IFERROR(__xludf.DUMMYFUNCTION("""COMPUTED_VALUE"""),312.73)</f>
        <v>312.73</v>
      </c>
      <c r="AK312" s="1">
        <f>IFERROR(__xludf.DUMMYFUNCTION("""COMPUTED_VALUE"""),52.95)</f>
        <v>52.95</v>
      </c>
      <c r="AL312" s="1">
        <f>IFERROR(__xludf.DUMMYFUNCTION("""COMPUTED_VALUE"""),110.28)</f>
        <v>110.28</v>
      </c>
      <c r="AM312" s="1">
        <f>IFERROR(__xludf.DUMMYFUNCTION("""COMPUTED_VALUE"""),719.74)</f>
        <v>719.74</v>
      </c>
      <c r="AN312" s="1">
        <f>IFERROR(__xludf.DUMMYFUNCTION("""COMPUTED_VALUE"""),386.17)</f>
        <v>386.17</v>
      </c>
      <c r="AO312" s="1">
        <f>IFERROR(__xludf.DUMMYFUNCTION("""COMPUTED_VALUE"""),131.73)</f>
        <v>131.73</v>
      </c>
      <c r="AP312" s="1">
        <f>IFERROR(__xludf.DUMMYFUNCTION("""COMPUTED_VALUE"""),188.02)</f>
        <v>188.02</v>
      </c>
      <c r="AQ312" s="3">
        <f>IFERROR(__xludf.DUMMYFUNCTION("""COMPUTED_VALUE"""),469.81)</f>
        <v>469.81</v>
      </c>
      <c r="AR312" s="3">
        <f>IFERROR(__xludf.DUMMYFUNCTION("""COMPUTED_VALUE"""),286.94)</f>
        <v>286.94</v>
      </c>
      <c r="AS312" s="3">
        <f>IFERROR(__xludf.DUMMYFUNCTION("""COMPUTED_VALUE"""),430.75)</f>
        <v>430.75</v>
      </c>
      <c r="AT312" s="3">
        <f>IFERROR(__xludf.DUMMYFUNCTION("""COMPUTED_VALUE"""),191.14)</f>
        <v>191.14</v>
      </c>
      <c r="AU312" s="1">
        <f>IFERROR(__xludf.DUMMYFUNCTION("""COMPUTED_VALUE"""),30.07)</f>
        <v>30.07</v>
      </c>
      <c r="AV312" s="1">
        <f>IFERROR(__xludf.DUMMYFUNCTION("""COMPUTED_VALUE"""),91.24)</f>
        <v>91.24</v>
      </c>
      <c r="AW312" s="1">
        <f>IFERROR(__xludf.DUMMYFUNCTION("""COMPUTED_VALUE"""),73.82)</f>
        <v>73.82</v>
      </c>
      <c r="AX312" s="3">
        <f>IFERROR(__xludf.DUMMYFUNCTION("""COMPUTED_VALUE"""),71.07)</f>
        <v>71.07</v>
      </c>
      <c r="AY312" s="1">
        <f>IFERROR(__xludf.DUMMYFUNCTION("""COMPUTED_VALUE"""),520.84)</f>
        <v>520.84</v>
      </c>
      <c r="AZ312" s="3">
        <f>IFERROR(__xludf.DUMMYFUNCTION("""COMPUTED_VALUE"""),72.58)</f>
        <v>72.58</v>
      </c>
      <c r="BA312" s="3">
        <f>IFERROR(__xludf.DUMMYFUNCTION("""COMPUTED_VALUE"""),153.22)</f>
        <v>153.22</v>
      </c>
      <c r="BB312" s="3">
        <f>IFERROR(__xludf.DUMMYFUNCTION("""COMPUTED_VALUE"""),180.77)</f>
        <v>180.77</v>
      </c>
      <c r="BC312" s="1">
        <f>IFERROR(__xludf.DUMMYFUNCTION("""COMPUTED_VALUE"""),87.33)</f>
        <v>87.33</v>
      </c>
      <c r="BD312" s="1">
        <f>IFERROR(__xludf.DUMMYFUNCTION("""COMPUTED_VALUE"""),45.16)</f>
        <v>45.16</v>
      </c>
      <c r="BE312" s="3">
        <f>IFERROR(__xludf.DUMMYFUNCTION("""COMPUTED_VALUE"""),182.2)</f>
        <v>182.2</v>
      </c>
      <c r="BF312" s="1">
        <f>IFERROR(__xludf.DUMMYFUNCTION("""COMPUTED_VALUE"""),68.22)</f>
        <v>68.22</v>
      </c>
      <c r="BG312" s="1">
        <f>IFERROR(__xludf.DUMMYFUNCTION("""COMPUTED_VALUE"""),24.23)</f>
        <v>24.23</v>
      </c>
      <c r="BH312" s="1">
        <f>IFERROR(__xludf.DUMMYFUNCTION("""COMPUTED_VALUE"""),155.76)</f>
        <v>155.76</v>
      </c>
      <c r="BI312" s="3">
        <f>IFERROR(__xludf.DUMMYFUNCTION("""COMPUTED_VALUE"""),34.95)</f>
        <v>34.95</v>
      </c>
      <c r="BJ312" s="1">
        <f>IFERROR(__xludf.DUMMYFUNCTION("""COMPUTED_VALUE"""),242.93)</f>
        <v>242.93</v>
      </c>
      <c r="BK312" s="1">
        <f>IFERROR(__xludf.DUMMYFUNCTION("""COMPUTED_VALUE"""),454.74)</f>
        <v>454.74</v>
      </c>
      <c r="BL312" s="1">
        <f>IFERROR(__xludf.DUMMYFUNCTION("""COMPUTED_VALUE"""),181.49)</f>
        <v>181.49</v>
      </c>
      <c r="BM312" s="1">
        <f>IFERROR(__xludf.DUMMYFUNCTION("""COMPUTED_VALUE"""),116.05)</f>
        <v>116.05</v>
      </c>
      <c r="BN312" s="3">
        <f>IFERROR(__xludf.DUMMYFUNCTION("""COMPUTED_VALUE"""),6.64)</f>
        <v>6.64</v>
      </c>
      <c r="BO312" s="1">
        <f>IFERROR(__xludf.DUMMYFUNCTION("""COMPUTED_VALUE"""),222.66)</f>
        <v>222.66</v>
      </c>
      <c r="BP312" s="1">
        <f>IFERROR(__xludf.DUMMYFUNCTION("""COMPUTED_VALUE"""),244.67)</f>
        <v>244.67</v>
      </c>
      <c r="BQ312" s="36">
        <f>IFERROR(__xludf.DUMMYFUNCTION("""COMPUTED_VALUE"""),50.25)</f>
        <v>50.25</v>
      </c>
      <c r="BR312" s="1">
        <f>IFERROR(__xludf.DUMMYFUNCTION("""COMPUTED_VALUE"""),9.39)</f>
        <v>9.39</v>
      </c>
      <c r="BS312" s="3">
        <f>IFERROR(__xludf.DUMMYFUNCTION("""COMPUTED_VALUE"""),233.22)</f>
        <v>233.22</v>
      </c>
      <c r="BT312" s="1">
        <f>IFERROR(__xludf.DUMMYFUNCTION("""COMPUTED_VALUE"""),112.88)</f>
        <v>112.88</v>
      </c>
      <c r="BU312" s="3">
        <v>1.0</v>
      </c>
    </row>
    <row r="313">
      <c r="A313" s="25">
        <f>IFERROR(__xludf.DUMMYFUNCTION("""COMPUTED_VALUE"""),45877.66666666667)</f>
        <v>45877.66667</v>
      </c>
      <c r="B313" s="29">
        <f>'Master Scratch Work'!B312</f>
        <v>1450139.89</v>
      </c>
      <c r="C313" s="15">
        <f>IFERROR(__xludf.DUMMYFUNCTION("""COMPUTED_VALUE"""),6389.45)</f>
        <v>6389.45</v>
      </c>
      <c r="D313" s="15">
        <f>IFERROR(__xludf.DUMMYFUNCTION("""COMPUTED_VALUE"""),21450.02)</f>
        <v>21450.02</v>
      </c>
      <c r="E313" s="15">
        <f>IFERROR(__xludf.DUMMYFUNCTION("""COMPUTED_VALUE"""),44175.61)</f>
        <v>44175.61</v>
      </c>
      <c r="F313" s="15">
        <f>IFERROR(__xludf.DUMMYFUNCTION("""COMPUTED_VALUE"""),2218.42)</f>
        <v>2218.42</v>
      </c>
      <c r="G313" s="3">
        <f>IFERROR(__xludf.DUMMYFUNCTION("""COMPUTED_VALUE"""),637.18)</f>
        <v>637.18</v>
      </c>
      <c r="H313" s="3">
        <f>IFERROR(__xludf.DUMMYFUNCTION("""COMPUTED_VALUE"""),574.55)</f>
        <v>574.55</v>
      </c>
      <c r="I313" s="3">
        <f>IFERROR(__xludf.DUMMYFUNCTION("""COMPUTED_VALUE"""),341.05)</f>
        <v>341.05</v>
      </c>
      <c r="J313" s="3">
        <f>IFERROR(__xludf.DUMMYFUNCTION("""COMPUTED_VALUE"""),222.69)</f>
        <v>222.69</v>
      </c>
      <c r="K313" s="3">
        <f>IFERROR(__xludf.DUMMYFUNCTION("""COMPUTED_VALUE"""),145.36)</f>
        <v>145.36</v>
      </c>
      <c r="L313" s="3">
        <f>IFERROR(__xludf.DUMMYFUNCTION("""COMPUTED_VALUE"""),229.35)</f>
        <v>229.35</v>
      </c>
      <c r="M313" s="3">
        <f>IFERROR(__xludf.DUMMYFUNCTION("""COMPUTED_VALUE"""),184.87)</f>
        <v>184.87</v>
      </c>
      <c r="N313" s="3">
        <f>IFERROR(__xludf.DUMMYFUNCTION("""COMPUTED_VALUE"""),103.09)</f>
        <v>103.09</v>
      </c>
      <c r="O313" s="3">
        <f>IFERROR(__xludf.DUMMYFUNCTION("""COMPUTED_VALUE"""),19.94)</f>
        <v>19.94</v>
      </c>
      <c r="P313" s="3">
        <f>IFERROR(__xludf.DUMMYFUNCTION("""COMPUTED_VALUE"""),465.4)</f>
        <v>465.4</v>
      </c>
      <c r="Q313" s="3">
        <f>IFERROR(__xludf.DUMMYFUNCTION("""COMPUTED_VALUE"""),52.86)</f>
        <v>52.86</v>
      </c>
      <c r="R313" s="3">
        <f>IFERROR(__xludf.DUMMYFUNCTION("""COMPUTED_VALUE"""),130.67)</f>
        <v>130.67</v>
      </c>
      <c r="S313" s="3">
        <f>IFERROR(__xludf.DUMMYFUNCTION("""COMPUTED_VALUE"""),103.14)</f>
        <v>103.14</v>
      </c>
      <c r="T313" s="3">
        <f>IFERROR(__xludf.DUMMYFUNCTION("""COMPUTED_VALUE"""),66.03)</f>
        <v>66.03</v>
      </c>
      <c r="U313" s="3">
        <f>IFERROR(__xludf.DUMMYFUNCTION("""COMPUTED_VALUE"""),416.52)</f>
        <v>416.52</v>
      </c>
      <c r="V313" s="3">
        <f>IFERROR(__xludf.DUMMYFUNCTION("""COMPUTED_VALUE"""),76.92)</f>
        <v>76.92</v>
      </c>
      <c r="W313" s="3">
        <f>IFERROR(__xludf.DUMMYFUNCTION("""COMPUTED_VALUE"""),183.32)</f>
        <v>183.32</v>
      </c>
      <c r="X313" s="3">
        <f>IFERROR(__xludf.DUMMYFUNCTION("""COMPUTED_VALUE"""),155.01)</f>
        <v>155.01</v>
      </c>
      <c r="Y313" s="1">
        <f>IFERROR(__xludf.DUMMYFUNCTION("""COMPUTED_VALUE"""),274.9)</f>
        <v>274.9</v>
      </c>
      <c r="Z313" s="1">
        <f>IFERROR(__xludf.DUMMYFUNCTION("""COMPUTED_VALUE"""),47.28)</f>
        <v>47.28</v>
      </c>
      <c r="AA313" s="1">
        <f>IFERROR(__xludf.DUMMYFUNCTION("""COMPUTED_VALUE"""),70.34)</f>
        <v>70.34</v>
      </c>
      <c r="AB313" s="1">
        <f>IFERROR(__xludf.DUMMYFUNCTION("""COMPUTED_VALUE"""),104.48)</f>
        <v>104.48</v>
      </c>
      <c r="AC313" s="1">
        <f>IFERROR(__xludf.DUMMYFUNCTION("""COMPUTED_VALUE"""),169.91)</f>
        <v>169.91</v>
      </c>
      <c r="AD313" s="3">
        <f>IFERROR(__xludf.DUMMYFUNCTION("""COMPUTED_VALUE"""),116.12)</f>
        <v>116.12</v>
      </c>
      <c r="AE313" s="1">
        <f>IFERROR(__xludf.DUMMYFUNCTION("""COMPUTED_VALUE"""),440.04)</f>
        <v>440.04</v>
      </c>
      <c r="AF313" s="1">
        <f>IFERROR(__xludf.DUMMYFUNCTION("""COMPUTED_VALUE"""),93.14)</f>
        <v>93.14</v>
      </c>
      <c r="AG313" s="1">
        <f>IFERROR(__xludf.DUMMYFUNCTION("""COMPUTED_VALUE"""),106.8)</f>
        <v>106.8</v>
      </c>
      <c r="AH313" s="1">
        <f>IFERROR(__xludf.DUMMYFUNCTION("""COMPUTED_VALUE"""),228.05)</f>
        <v>228.05</v>
      </c>
      <c r="AI313" s="1">
        <f>IFERROR(__xludf.DUMMYFUNCTION("""COMPUTED_VALUE"""),443.84)</f>
        <v>443.84</v>
      </c>
      <c r="AJ313" s="1">
        <f>IFERROR(__xludf.DUMMYFUNCTION("""COMPUTED_VALUE"""),314.13)</f>
        <v>314.13</v>
      </c>
      <c r="AK313" s="1">
        <f>IFERROR(__xludf.DUMMYFUNCTION("""COMPUTED_VALUE"""),53.53)</f>
        <v>53.53</v>
      </c>
      <c r="AL313" s="1">
        <f>IFERROR(__xludf.DUMMYFUNCTION("""COMPUTED_VALUE"""),119.41)</f>
        <v>119.41</v>
      </c>
      <c r="AM313" s="1">
        <f>IFERROR(__xludf.DUMMYFUNCTION("""COMPUTED_VALUE"""),721.27)</f>
        <v>721.27</v>
      </c>
      <c r="AN313" s="1">
        <f>IFERROR(__xludf.DUMMYFUNCTION("""COMPUTED_VALUE"""),387.85)</f>
        <v>387.85</v>
      </c>
      <c r="AO313" s="1">
        <f>IFERROR(__xludf.DUMMYFUNCTION("""COMPUTED_VALUE"""),133.0)</f>
        <v>133</v>
      </c>
      <c r="AP313" s="1">
        <f>IFERROR(__xludf.DUMMYFUNCTION("""COMPUTED_VALUE"""),186.4)</f>
        <v>186.4</v>
      </c>
      <c r="AQ313" s="3">
        <f>IFERROR(__xludf.DUMMYFUNCTION("""COMPUTED_VALUE"""),470.08)</f>
        <v>470.08</v>
      </c>
      <c r="AR313" s="3">
        <f>IFERROR(__xludf.DUMMYFUNCTION("""COMPUTED_VALUE"""),288.76)</f>
        <v>288.76</v>
      </c>
      <c r="AS313" s="3">
        <f>IFERROR(__xludf.DUMMYFUNCTION("""COMPUTED_VALUE"""),425.63)</f>
        <v>425.63</v>
      </c>
      <c r="AT313" s="3">
        <f>IFERROR(__xludf.DUMMYFUNCTION("""COMPUTED_VALUE"""),189.43)</f>
        <v>189.43</v>
      </c>
      <c r="AU313" s="1">
        <f>IFERROR(__xludf.DUMMYFUNCTION("""COMPUTED_VALUE"""),30.09)</f>
        <v>30.09</v>
      </c>
      <c r="AV313" s="1">
        <f>IFERROR(__xludf.DUMMYFUNCTION("""COMPUTED_VALUE"""),92.88)</f>
        <v>92.88</v>
      </c>
      <c r="AW313" s="1">
        <f>IFERROR(__xludf.DUMMYFUNCTION("""COMPUTED_VALUE"""),76.27)</f>
        <v>76.27</v>
      </c>
      <c r="AX313" s="3">
        <f>IFERROR(__xludf.DUMMYFUNCTION("""COMPUTED_VALUE"""),74.32)</f>
        <v>74.32</v>
      </c>
      <c r="AY313" s="1">
        <f>IFERROR(__xludf.DUMMYFUNCTION("""COMPUTED_VALUE"""),522.04)</f>
        <v>522.04</v>
      </c>
      <c r="AZ313" s="3">
        <f>IFERROR(__xludf.DUMMYFUNCTION("""COMPUTED_VALUE"""),72.41)</f>
        <v>72.41</v>
      </c>
      <c r="BA313" s="3">
        <f>IFERROR(__xludf.DUMMYFUNCTION("""COMPUTED_VALUE"""),152.54)</f>
        <v>152.54</v>
      </c>
      <c r="BB313" s="3">
        <f>IFERROR(__xludf.DUMMYFUNCTION("""COMPUTED_VALUE"""),182.7)</f>
        <v>182.7</v>
      </c>
      <c r="BC313" s="1">
        <f>IFERROR(__xludf.DUMMYFUNCTION("""COMPUTED_VALUE"""),87.47)</f>
        <v>87.47</v>
      </c>
      <c r="BD313" s="1">
        <f>IFERROR(__xludf.DUMMYFUNCTION("""COMPUTED_VALUE"""),45.66)</f>
        <v>45.66</v>
      </c>
      <c r="BE313" s="3">
        <f>IFERROR(__xludf.DUMMYFUNCTION("""COMPUTED_VALUE"""),186.96)</f>
        <v>186.96</v>
      </c>
      <c r="BF313" s="1">
        <f>IFERROR(__xludf.DUMMYFUNCTION("""COMPUTED_VALUE"""),67.65)</f>
        <v>67.65</v>
      </c>
      <c r="BG313" s="1">
        <f>IFERROR(__xludf.DUMMYFUNCTION("""COMPUTED_VALUE"""),24.58)</f>
        <v>24.58</v>
      </c>
      <c r="BH313" s="1">
        <f>IFERROR(__xludf.DUMMYFUNCTION("""COMPUTED_VALUE"""),154.86)</f>
        <v>154.86</v>
      </c>
      <c r="BI313" s="3">
        <f>IFERROR(__xludf.DUMMYFUNCTION("""COMPUTED_VALUE"""),35.0)</f>
        <v>35</v>
      </c>
      <c r="BJ313" s="1">
        <f>IFERROR(__xludf.DUMMYFUNCTION("""COMPUTED_VALUE"""),244.98)</f>
        <v>244.98</v>
      </c>
      <c r="BK313" s="1">
        <f>IFERROR(__xludf.DUMMYFUNCTION("""COMPUTED_VALUE"""),460.72)</f>
        <v>460.72</v>
      </c>
      <c r="BL313" s="1">
        <f>IFERROR(__xludf.DUMMYFUNCTION("""COMPUTED_VALUE"""),188.64)</f>
        <v>188.64</v>
      </c>
      <c r="BM313" s="1">
        <f>IFERROR(__xludf.DUMMYFUNCTION("""COMPUTED_VALUE"""),114.5)</f>
        <v>114.5</v>
      </c>
      <c r="BN313" s="3">
        <f>IFERROR(__xludf.DUMMYFUNCTION("""COMPUTED_VALUE"""),5.44)</f>
        <v>5.44</v>
      </c>
      <c r="BO313" s="1">
        <f>IFERROR(__xludf.DUMMYFUNCTION("""COMPUTED_VALUE"""),222.24)</f>
        <v>222.24</v>
      </c>
      <c r="BP313" s="1">
        <f>IFERROR(__xludf.DUMMYFUNCTION("""COMPUTED_VALUE"""),250.89)</f>
        <v>250.89</v>
      </c>
      <c r="BQ313" s="36">
        <f>IFERROR(__xludf.DUMMYFUNCTION("""COMPUTED_VALUE"""),50.27)</f>
        <v>50.27</v>
      </c>
      <c r="BR313" s="1">
        <f>IFERROR(__xludf.DUMMYFUNCTION("""COMPUTED_VALUE"""),9.7)</f>
        <v>9.7</v>
      </c>
      <c r="BS313" s="3">
        <f>IFERROR(__xludf.DUMMYFUNCTION("""COMPUTED_VALUE"""),235.09)</f>
        <v>235.09</v>
      </c>
      <c r="BT313" s="1">
        <f>IFERROR(__xludf.DUMMYFUNCTION("""COMPUTED_VALUE"""),112.43)</f>
        <v>112.43</v>
      </c>
      <c r="BU313" s="3">
        <v>1.0</v>
      </c>
    </row>
    <row r="314">
      <c r="A314" s="25">
        <f>IFERROR(__xludf.DUMMYFUNCTION("""COMPUTED_VALUE"""),45880.66666666667)</f>
        <v>45880.66667</v>
      </c>
      <c r="B314" s="29">
        <f>'Master Scratch Work'!B313</f>
        <v>1448536.55</v>
      </c>
      <c r="C314" s="15">
        <f>IFERROR(__xludf.DUMMYFUNCTION("""COMPUTED_VALUE"""),6373.45)</f>
        <v>6373.45</v>
      </c>
      <c r="D314" s="15">
        <f>IFERROR(__xludf.DUMMYFUNCTION("""COMPUTED_VALUE"""),21385.4)</f>
        <v>21385.4</v>
      </c>
      <c r="E314" s="15">
        <f>IFERROR(__xludf.DUMMYFUNCTION("""COMPUTED_VALUE"""),43975.09)</f>
        <v>43975.09</v>
      </c>
      <c r="F314" s="15">
        <f>IFERROR(__xludf.DUMMYFUNCTION("""COMPUTED_VALUE"""),2216.51)</f>
        <v>2216.51</v>
      </c>
      <c r="G314" s="3">
        <f>IFERROR(__xludf.DUMMYFUNCTION("""COMPUTED_VALUE"""),635.92)</f>
        <v>635.92</v>
      </c>
      <c r="H314" s="3">
        <f>IFERROR(__xludf.DUMMYFUNCTION("""COMPUTED_VALUE"""),572.85)</f>
        <v>572.85</v>
      </c>
      <c r="I314" s="3">
        <f>IFERROR(__xludf.DUMMYFUNCTION("""COMPUTED_VALUE"""),333.65)</f>
        <v>333.65</v>
      </c>
      <c r="J314" s="3">
        <f>IFERROR(__xludf.DUMMYFUNCTION("""COMPUTED_VALUE"""),221.3)</f>
        <v>221.3</v>
      </c>
      <c r="K314" s="3">
        <f>IFERROR(__xludf.DUMMYFUNCTION("""COMPUTED_VALUE"""),145.55)</f>
        <v>145.55</v>
      </c>
      <c r="L314" s="3">
        <f>IFERROR(__xludf.DUMMYFUNCTION("""COMPUTED_VALUE"""),227.18)</f>
        <v>227.18</v>
      </c>
      <c r="M314" s="3">
        <f>IFERROR(__xludf.DUMMYFUNCTION("""COMPUTED_VALUE"""),184.38)</f>
        <v>184.38</v>
      </c>
      <c r="N314" s="3">
        <f>IFERROR(__xludf.DUMMYFUNCTION("""COMPUTED_VALUE"""),103.27)</f>
        <v>103.27</v>
      </c>
      <c r="O314" s="3">
        <f>IFERROR(__xludf.DUMMYFUNCTION("""COMPUTED_VALUE"""),20.05)</f>
        <v>20.05</v>
      </c>
      <c r="P314" s="3">
        <f>IFERROR(__xludf.DUMMYFUNCTION("""COMPUTED_VALUE"""),464.73)</f>
        <v>464.73</v>
      </c>
      <c r="Q314" s="3">
        <f>IFERROR(__xludf.DUMMYFUNCTION("""COMPUTED_VALUE"""),53.31)</f>
        <v>53.31</v>
      </c>
      <c r="R314" s="3">
        <f>IFERROR(__xludf.DUMMYFUNCTION("""COMPUTED_VALUE"""),128.0)</f>
        <v>128</v>
      </c>
      <c r="S314" s="3">
        <f>IFERROR(__xludf.DUMMYFUNCTION("""COMPUTED_VALUE"""),102.75)</f>
        <v>102.75</v>
      </c>
      <c r="T314" s="3">
        <f>IFERROR(__xludf.DUMMYFUNCTION("""COMPUTED_VALUE"""),64.88)</f>
        <v>64.88</v>
      </c>
      <c r="U314" s="3">
        <f>IFERROR(__xludf.DUMMYFUNCTION("""COMPUTED_VALUE"""),408.54)</f>
        <v>408.54</v>
      </c>
      <c r="V314" s="3">
        <f>IFERROR(__xludf.DUMMYFUNCTION("""COMPUTED_VALUE"""),77.67)</f>
        <v>77.67</v>
      </c>
      <c r="W314" s="3">
        <f>IFERROR(__xludf.DUMMYFUNCTION("""COMPUTED_VALUE"""),180.73)</f>
        <v>180.73</v>
      </c>
      <c r="X314" s="3">
        <f>IFERROR(__xludf.DUMMYFUNCTION("""COMPUTED_VALUE"""),153.45)</f>
        <v>153.45</v>
      </c>
      <c r="Y314" s="1">
        <f>IFERROR(__xludf.DUMMYFUNCTION("""COMPUTED_VALUE"""),277.04)</f>
        <v>277.04</v>
      </c>
      <c r="Z314" s="1">
        <f>IFERROR(__xludf.DUMMYFUNCTION("""COMPUTED_VALUE"""),46.93)</f>
        <v>46.93</v>
      </c>
      <c r="AA314" s="1">
        <f>IFERROR(__xludf.DUMMYFUNCTION("""COMPUTED_VALUE"""),70.75)</f>
        <v>70.75</v>
      </c>
      <c r="AB314" s="1">
        <f>IFERROR(__xludf.DUMMYFUNCTION("""COMPUTED_VALUE"""),104.12)</f>
        <v>104.12</v>
      </c>
      <c r="AC314" s="1">
        <f>IFERROR(__xludf.DUMMYFUNCTION("""COMPUTED_VALUE"""),168.73)</f>
        <v>168.73</v>
      </c>
      <c r="AD314" s="3">
        <f>IFERROR(__xludf.DUMMYFUNCTION("""COMPUTED_VALUE"""),114.29)</f>
        <v>114.29</v>
      </c>
      <c r="AE314" s="1">
        <f>IFERROR(__xludf.DUMMYFUNCTION("""COMPUTED_VALUE"""),440.54)</f>
        <v>440.54</v>
      </c>
      <c r="AF314" s="1">
        <f>IFERROR(__xludf.DUMMYFUNCTION("""COMPUTED_VALUE"""),95.3)</f>
        <v>95.3</v>
      </c>
      <c r="AG314" s="1">
        <f>IFERROR(__xludf.DUMMYFUNCTION("""COMPUTED_VALUE"""),105.83)</f>
        <v>105.83</v>
      </c>
      <c r="AH314" s="1">
        <f>IFERROR(__xludf.DUMMYFUNCTION("""COMPUTED_VALUE"""),224.61)</f>
        <v>224.61</v>
      </c>
      <c r="AI314" s="1">
        <f>IFERROR(__xludf.DUMMYFUNCTION("""COMPUTED_VALUE"""),441.35)</f>
        <v>441.35</v>
      </c>
      <c r="AJ314" s="1">
        <f>IFERROR(__xludf.DUMMYFUNCTION("""COMPUTED_VALUE"""),314.93)</f>
        <v>314.93</v>
      </c>
      <c r="AK314" s="1">
        <f>IFERROR(__xludf.DUMMYFUNCTION("""COMPUTED_VALUE"""),54.01)</f>
        <v>54.01</v>
      </c>
      <c r="AL314" s="1">
        <f>IFERROR(__xludf.DUMMYFUNCTION("""COMPUTED_VALUE"""),120.47)</f>
        <v>120.47</v>
      </c>
      <c r="AM314" s="1">
        <f>IFERROR(__xludf.DUMMYFUNCTION("""COMPUTED_VALUE"""),719.24)</f>
        <v>719.24</v>
      </c>
      <c r="AN314" s="1">
        <f>IFERROR(__xludf.DUMMYFUNCTION("""COMPUTED_VALUE"""),387.53)</f>
        <v>387.53</v>
      </c>
      <c r="AO314" s="1">
        <f>IFERROR(__xludf.DUMMYFUNCTION("""COMPUTED_VALUE"""),131.19)</f>
        <v>131.19</v>
      </c>
      <c r="AP314" s="1">
        <f>IFERROR(__xludf.DUMMYFUNCTION("""COMPUTED_VALUE"""),185.93)</f>
        <v>185.93</v>
      </c>
      <c r="AQ314" s="3">
        <f>IFERROR(__xludf.DUMMYFUNCTION("""COMPUTED_VALUE"""),471.85)</f>
        <v>471.85</v>
      </c>
      <c r="AR314" s="3">
        <f>IFERROR(__xludf.DUMMYFUNCTION("""COMPUTED_VALUE"""),289.56)</f>
        <v>289.56</v>
      </c>
      <c r="AS314" s="3">
        <f>IFERROR(__xludf.DUMMYFUNCTION("""COMPUTED_VALUE"""),426.26)</f>
        <v>426.26</v>
      </c>
      <c r="AT314" s="3">
        <f>IFERROR(__xludf.DUMMYFUNCTION("""COMPUTED_VALUE"""),186.44)</f>
        <v>186.44</v>
      </c>
      <c r="AU314" s="1">
        <f>IFERROR(__xludf.DUMMYFUNCTION("""COMPUTED_VALUE"""),29.9)</f>
        <v>29.9</v>
      </c>
      <c r="AV314" s="1">
        <f>IFERROR(__xludf.DUMMYFUNCTION("""COMPUTED_VALUE"""),92.74)</f>
        <v>92.74</v>
      </c>
      <c r="AW314" s="1">
        <f>IFERROR(__xludf.DUMMYFUNCTION("""COMPUTED_VALUE"""),75.3)</f>
        <v>75.3</v>
      </c>
      <c r="AX314" s="3">
        <f>IFERROR(__xludf.DUMMYFUNCTION("""COMPUTED_VALUE"""),72.69)</f>
        <v>72.69</v>
      </c>
      <c r="AY314" s="1">
        <f>IFERROR(__xludf.DUMMYFUNCTION("""COMPUTED_VALUE"""),521.77)</f>
        <v>521.77</v>
      </c>
      <c r="AZ314" s="3">
        <f>IFERROR(__xludf.DUMMYFUNCTION("""COMPUTED_VALUE"""),72.45)</f>
        <v>72.45</v>
      </c>
      <c r="BA314" s="3">
        <f>IFERROR(__xludf.DUMMYFUNCTION("""COMPUTED_VALUE"""),152.03)</f>
        <v>152.03</v>
      </c>
      <c r="BB314" s="3">
        <f>IFERROR(__xludf.DUMMYFUNCTION("""COMPUTED_VALUE"""),182.06)</f>
        <v>182.06</v>
      </c>
      <c r="BC314" s="1">
        <f>IFERROR(__xludf.DUMMYFUNCTION("""COMPUTED_VALUE"""),86.03)</f>
        <v>86.03</v>
      </c>
      <c r="BD314" s="1">
        <f>IFERROR(__xludf.DUMMYFUNCTION("""COMPUTED_VALUE"""),45.72)</f>
        <v>45.72</v>
      </c>
      <c r="BE314" s="3">
        <f>IFERROR(__xludf.DUMMYFUNCTION("""COMPUTED_VALUE"""),182.68)</f>
        <v>182.68</v>
      </c>
      <c r="BF314" s="1">
        <f>IFERROR(__xludf.DUMMYFUNCTION("""COMPUTED_VALUE"""),67.08)</f>
        <v>67.08</v>
      </c>
      <c r="BG314" s="1">
        <f>IFERROR(__xludf.DUMMYFUNCTION("""COMPUTED_VALUE"""),24.58)</f>
        <v>24.58</v>
      </c>
      <c r="BH314" s="1">
        <f>IFERROR(__xludf.DUMMYFUNCTION("""COMPUTED_VALUE"""),154.8)</f>
        <v>154.8</v>
      </c>
      <c r="BI314" s="3">
        <f>IFERROR(__xludf.DUMMYFUNCTION("""COMPUTED_VALUE"""),34.7)</f>
        <v>34.7</v>
      </c>
      <c r="BJ314" s="1">
        <f>IFERROR(__xludf.DUMMYFUNCTION("""COMPUTED_VALUE"""),248.87)</f>
        <v>248.87</v>
      </c>
      <c r="BK314" s="1">
        <f>IFERROR(__xludf.DUMMYFUNCTION("""COMPUTED_VALUE"""),462.39)</f>
        <v>462.39</v>
      </c>
      <c r="BL314" s="1">
        <f>IFERROR(__xludf.DUMMYFUNCTION("""COMPUTED_VALUE"""),189.13)</f>
        <v>189.13</v>
      </c>
      <c r="BM314" s="1">
        <f>IFERROR(__xludf.DUMMYFUNCTION("""COMPUTED_VALUE"""),127.26)</f>
        <v>127.26</v>
      </c>
      <c r="BN314" s="3">
        <f>IFERROR(__xludf.DUMMYFUNCTION("""COMPUTED_VALUE"""),5.12)</f>
        <v>5.12</v>
      </c>
      <c r="BO314" s="1">
        <f>IFERROR(__xludf.DUMMYFUNCTION("""COMPUTED_VALUE"""),219.65)</f>
        <v>219.65</v>
      </c>
      <c r="BP314" s="1">
        <f>IFERROR(__xludf.DUMMYFUNCTION("""COMPUTED_VALUE"""),252.37)</f>
        <v>252.37</v>
      </c>
      <c r="BQ314" s="36">
        <f>IFERROR(__xludf.DUMMYFUNCTION("""COMPUTED_VALUE"""),50.28)</f>
        <v>50.28</v>
      </c>
      <c r="BR314" s="1">
        <f>IFERROR(__xludf.DUMMYFUNCTION("""COMPUTED_VALUE"""),9.86)</f>
        <v>9.86</v>
      </c>
      <c r="BS314" s="3">
        <f>IFERROR(__xludf.DUMMYFUNCTION("""COMPUTED_VALUE"""),237.1)</f>
        <v>237.1</v>
      </c>
      <c r="BT314" s="1">
        <f>IFERROR(__xludf.DUMMYFUNCTION("""COMPUTED_VALUE"""),112.55)</f>
        <v>112.55</v>
      </c>
      <c r="BU314" s="3">
        <v>1.0</v>
      </c>
    </row>
    <row r="315">
      <c r="A315" s="25">
        <f>IFERROR(__xludf.DUMMYFUNCTION("""COMPUTED_VALUE"""),45881.66666666667)</f>
        <v>45881.66667</v>
      </c>
      <c r="B315" s="29">
        <f>'Master Scratch Work'!B314</f>
        <v>1463488.62</v>
      </c>
      <c r="C315" s="15">
        <f>IFERROR(__xludf.DUMMYFUNCTION("""COMPUTED_VALUE"""),6445.76)</f>
        <v>6445.76</v>
      </c>
      <c r="D315" s="15">
        <f>IFERROR(__xludf.DUMMYFUNCTION("""COMPUTED_VALUE"""),21681.9)</f>
        <v>21681.9</v>
      </c>
      <c r="E315" s="15">
        <f>IFERROR(__xludf.DUMMYFUNCTION("""COMPUTED_VALUE"""),44458.61)</f>
        <v>44458.61</v>
      </c>
      <c r="F315" s="15">
        <f>IFERROR(__xludf.DUMMYFUNCTION("""COMPUTED_VALUE"""),2282.78)</f>
        <v>2282.78</v>
      </c>
      <c r="G315" s="3">
        <f>IFERROR(__xludf.DUMMYFUNCTION("""COMPUTED_VALUE"""),642.69)</f>
        <v>642.69</v>
      </c>
      <c r="H315" s="3">
        <f>IFERROR(__xludf.DUMMYFUNCTION("""COMPUTED_VALUE"""),580.05)</f>
        <v>580.05</v>
      </c>
      <c r="I315" s="3">
        <f>IFERROR(__xludf.DUMMYFUNCTION("""COMPUTED_VALUE"""),338.43)</f>
        <v>338.43</v>
      </c>
      <c r="J315" s="3">
        <f>IFERROR(__xludf.DUMMYFUNCTION("""COMPUTED_VALUE"""),221.47)</f>
        <v>221.47</v>
      </c>
      <c r="K315" s="3">
        <f>IFERROR(__xludf.DUMMYFUNCTION("""COMPUTED_VALUE"""),142.09)</f>
        <v>142.09</v>
      </c>
      <c r="L315" s="3">
        <f>IFERROR(__xludf.DUMMYFUNCTION("""COMPUTED_VALUE"""),229.65)</f>
        <v>229.65</v>
      </c>
      <c r="M315" s="3">
        <f>IFERROR(__xludf.DUMMYFUNCTION("""COMPUTED_VALUE"""),188.45)</f>
        <v>188.45</v>
      </c>
      <c r="N315" s="3">
        <f>IFERROR(__xludf.DUMMYFUNCTION("""COMPUTED_VALUE"""),103.61)</f>
        <v>103.61</v>
      </c>
      <c r="O315" s="3">
        <f>IFERROR(__xludf.DUMMYFUNCTION("""COMPUTED_VALUE"""),20.41)</f>
        <v>20.41</v>
      </c>
      <c r="P315" s="3">
        <f>IFERROR(__xludf.DUMMYFUNCTION("""COMPUTED_VALUE"""),470.39)</f>
        <v>470.39</v>
      </c>
      <c r="Q315" s="3">
        <f>IFERROR(__xludf.DUMMYFUNCTION("""COMPUTED_VALUE"""),54.04)</f>
        <v>54.04</v>
      </c>
      <c r="R315" s="3">
        <f>IFERROR(__xludf.DUMMYFUNCTION("""COMPUTED_VALUE"""),128.93)</f>
        <v>128.93</v>
      </c>
      <c r="S315" s="3">
        <f>IFERROR(__xludf.DUMMYFUNCTION("""COMPUTED_VALUE"""),102.64)</f>
        <v>102.64</v>
      </c>
      <c r="T315" s="3">
        <f>IFERROR(__xludf.DUMMYFUNCTION("""COMPUTED_VALUE"""),65.73)</f>
        <v>65.73</v>
      </c>
      <c r="U315" s="3">
        <f>IFERROR(__xludf.DUMMYFUNCTION("""COMPUTED_VALUE"""),412.71)</f>
        <v>412.71</v>
      </c>
      <c r="V315" s="3">
        <f>IFERROR(__xludf.DUMMYFUNCTION("""COMPUTED_VALUE"""),78.43)</f>
        <v>78.43</v>
      </c>
      <c r="W315" s="3">
        <f>IFERROR(__xludf.DUMMYFUNCTION("""COMPUTED_VALUE"""),181.2)</f>
        <v>181.2</v>
      </c>
      <c r="X315" s="3">
        <f>IFERROR(__xludf.DUMMYFUNCTION("""COMPUTED_VALUE"""),154.44)</f>
        <v>154.44</v>
      </c>
      <c r="Y315" s="1">
        <f>IFERROR(__xludf.DUMMYFUNCTION("""COMPUTED_VALUE"""),280.47)</f>
        <v>280.47</v>
      </c>
      <c r="Z315" s="1">
        <f>IFERROR(__xludf.DUMMYFUNCTION("""COMPUTED_VALUE"""),48.14)</f>
        <v>48.14</v>
      </c>
      <c r="AA315" s="1">
        <f>IFERROR(__xludf.DUMMYFUNCTION("""COMPUTED_VALUE"""),70.71)</f>
        <v>70.71</v>
      </c>
      <c r="AB315" s="1">
        <f>IFERROR(__xludf.DUMMYFUNCTION("""COMPUTED_VALUE"""),103.69)</f>
        <v>103.69</v>
      </c>
      <c r="AC315" s="1">
        <f>IFERROR(__xludf.DUMMYFUNCTION("""COMPUTED_VALUE"""),169.27)</f>
        <v>169.27</v>
      </c>
      <c r="AD315" s="3">
        <f>IFERROR(__xludf.DUMMYFUNCTION("""COMPUTED_VALUE"""),114.06)</f>
        <v>114.06</v>
      </c>
      <c r="AE315" s="1">
        <f>IFERROR(__xludf.DUMMYFUNCTION("""COMPUTED_VALUE"""),441.19)</f>
        <v>441.19</v>
      </c>
      <c r="AF315" s="1">
        <f>IFERROR(__xludf.DUMMYFUNCTION("""COMPUTED_VALUE"""),97.06)</f>
        <v>97.06</v>
      </c>
      <c r="AG315" s="1">
        <f>IFERROR(__xludf.DUMMYFUNCTION("""COMPUTED_VALUE"""),106.13)</f>
        <v>106.13</v>
      </c>
      <c r="AH315" s="1">
        <f>IFERROR(__xludf.DUMMYFUNCTION("""COMPUTED_VALUE"""),230.42)</f>
        <v>230.42</v>
      </c>
      <c r="AI315" s="1">
        <f>IFERROR(__xludf.DUMMYFUNCTION("""COMPUTED_VALUE"""),446.16)</f>
        <v>446.16</v>
      </c>
      <c r="AJ315" s="1">
        <f>IFERROR(__xludf.DUMMYFUNCTION("""COMPUTED_VALUE"""),314.01)</f>
        <v>314.01</v>
      </c>
      <c r="AK315" s="1">
        <f>IFERROR(__xludf.DUMMYFUNCTION("""COMPUTED_VALUE"""),54.16)</f>
        <v>54.16</v>
      </c>
      <c r="AL315" s="1">
        <f>IFERROR(__xludf.DUMMYFUNCTION("""COMPUTED_VALUE"""),120.02)</f>
        <v>120.02</v>
      </c>
      <c r="AM315" s="1">
        <f>IFERROR(__xludf.DUMMYFUNCTION("""COMPUTED_VALUE"""),743.38)</f>
        <v>743.38</v>
      </c>
      <c r="AN315" s="1">
        <f>IFERROR(__xludf.DUMMYFUNCTION("""COMPUTED_VALUE"""),396.0)</f>
        <v>396</v>
      </c>
      <c r="AO315" s="1">
        <f>IFERROR(__xludf.DUMMYFUNCTION("""COMPUTED_VALUE"""),132.2)</f>
        <v>132.2</v>
      </c>
      <c r="AP315" s="1">
        <f>IFERROR(__xludf.DUMMYFUNCTION("""COMPUTED_VALUE"""),182.74)</f>
        <v>182.74</v>
      </c>
      <c r="AQ315" s="3">
        <f>IFERROR(__xludf.DUMMYFUNCTION("""COMPUTED_VALUE"""),478.19)</f>
        <v>478.19</v>
      </c>
      <c r="AR315" s="3">
        <f>IFERROR(__xludf.DUMMYFUNCTION("""COMPUTED_VALUE"""),292.85)</f>
        <v>292.85</v>
      </c>
      <c r="AS315" s="3">
        <f>IFERROR(__xludf.DUMMYFUNCTION("""COMPUTED_VALUE"""),431.56)</f>
        <v>431.56</v>
      </c>
      <c r="AT315" s="3">
        <f>IFERROR(__xludf.DUMMYFUNCTION("""COMPUTED_VALUE"""),192.93)</f>
        <v>192.93</v>
      </c>
      <c r="AU315" s="1">
        <f>IFERROR(__xludf.DUMMYFUNCTION("""COMPUTED_VALUE"""),30.15)</f>
        <v>30.15</v>
      </c>
      <c r="AV315" s="1">
        <f>IFERROR(__xludf.DUMMYFUNCTION("""COMPUTED_VALUE"""),92.08)</f>
        <v>92.08</v>
      </c>
      <c r="AW315" s="1">
        <f>IFERROR(__xludf.DUMMYFUNCTION("""COMPUTED_VALUE"""),76.56)</f>
        <v>76.56</v>
      </c>
      <c r="AX315" s="3">
        <f>IFERROR(__xludf.DUMMYFUNCTION("""COMPUTED_VALUE"""),74.95)</f>
        <v>74.95</v>
      </c>
      <c r="AY315" s="1">
        <f>IFERROR(__xludf.DUMMYFUNCTION("""COMPUTED_VALUE"""),529.24)</f>
        <v>529.24</v>
      </c>
      <c r="AZ315" s="3">
        <f>IFERROR(__xludf.DUMMYFUNCTION("""COMPUTED_VALUE"""),71.86)</f>
        <v>71.86</v>
      </c>
      <c r="BA315" s="3">
        <f>IFERROR(__xludf.DUMMYFUNCTION("""COMPUTED_VALUE"""),156.69)</f>
        <v>156.69</v>
      </c>
      <c r="BB315" s="3">
        <f>IFERROR(__xludf.DUMMYFUNCTION("""COMPUTED_VALUE"""),183.16)</f>
        <v>183.16</v>
      </c>
      <c r="BC315" s="1">
        <f>IFERROR(__xludf.DUMMYFUNCTION("""COMPUTED_VALUE"""),88.15)</f>
        <v>88.15</v>
      </c>
      <c r="BD315" s="1">
        <f>IFERROR(__xludf.DUMMYFUNCTION("""COMPUTED_VALUE"""),49.81)</f>
        <v>49.81</v>
      </c>
      <c r="BE315" s="3">
        <f>IFERROR(__xludf.DUMMYFUNCTION("""COMPUTED_VALUE"""),186.97)</f>
        <v>186.97</v>
      </c>
      <c r="BF315" s="1">
        <f>IFERROR(__xludf.DUMMYFUNCTION("""COMPUTED_VALUE"""),67.97)</f>
        <v>67.97</v>
      </c>
      <c r="BG315" s="1">
        <f>IFERROR(__xludf.DUMMYFUNCTION("""COMPUTED_VALUE"""),24.65)</f>
        <v>24.65</v>
      </c>
      <c r="BH315" s="1">
        <f>IFERROR(__xludf.DUMMYFUNCTION("""COMPUTED_VALUE"""),155.49)</f>
        <v>155.49</v>
      </c>
      <c r="BI315" s="3">
        <f>IFERROR(__xludf.DUMMYFUNCTION("""COMPUTED_VALUE"""),35.26)</f>
        <v>35.26</v>
      </c>
      <c r="BJ315" s="1">
        <f>IFERROR(__xludf.DUMMYFUNCTION("""COMPUTED_VALUE"""),252.28)</f>
        <v>252.28</v>
      </c>
      <c r="BK315" s="1">
        <f>IFERROR(__xludf.DUMMYFUNCTION("""COMPUTED_VALUE"""),477.41)</f>
        <v>477.41</v>
      </c>
      <c r="BL315" s="1">
        <f>IFERROR(__xludf.DUMMYFUNCTION("""COMPUTED_VALUE"""),193.97)</f>
        <v>193.97</v>
      </c>
      <c r="BM315" s="1">
        <f>IFERROR(__xludf.DUMMYFUNCTION("""COMPUTED_VALUE"""),131.13)</f>
        <v>131.13</v>
      </c>
      <c r="BN315" s="3">
        <f>IFERROR(__xludf.DUMMYFUNCTION("""COMPUTED_VALUE"""),5.03)</f>
        <v>5.03</v>
      </c>
      <c r="BO315" s="1">
        <f>IFERROR(__xludf.DUMMYFUNCTION("""COMPUTED_VALUE"""),218.8)</f>
        <v>218.8</v>
      </c>
      <c r="BP315" s="1">
        <f>IFERROR(__xludf.DUMMYFUNCTION("""COMPUTED_VALUE"""),261.57)</f>
        <v>261.57</v>
      </c>
      <c r="BQ315" s="36">
        <f>IFERROR(__xludf.DUMMYFUNCTION("""COMPUTED_VALUE"""),50.26)</f>
        <v>50.26</v>
      </c>
      <c r="BR315" s="1">
        <f>IFERROR(__xludf.DUMMYFUNCTION("""COMPUTED_VALUE"""),10.12)</f>
        <v>10.12</v>
      </c>
      <c r="BS315" s="3">
        <f>IFERROR(__xludf.DUMMYFUNCTION("""COMPUTED_VALUE"""),232.98)</f>
        <v>232.98</v>
      </c>
      <c r="BT315" s="1">
        <f>IFERROR(__xludf.DUMMYFUNCTION("""COMPUTED_VALUE"""),113.72)</f>
        <v>113.72</v>
      </c>
      <c r="BU315" s="3">
        <v>1.0</v>
      </c>
    </row>
    <row r="316">
      <c r="A316" s="25">
        <f>IFERROR(__xludf.DUMMYFUNCTION("""COMPUTED_VALUE"""),45882.66666666667)</f>
        <v>45882.66667</v>
      </c>
      <c r="B316" s="29">
        <f>'Master Scratch Work'!B315</f>
        <v>1473017.96</v>
      </c>
      <c r="C316" s="15">
        <f>IFERROR(__xludf.DUMMYFUNCTION("""COMPUTED_VALUE"""),6466.58)</f>
        <v>6466.58</v>
      </c>
      <c r="D316" s="15">
        <f>IFERROR(__xludf.DUMMYFUNCTION("""COMPUTED_VALUE"""),21713.14)</f>
        <v>21713.14</v>
      </c>
      <c r="E316" s="15">
        <f>IFERROR(__xludf.DUMMYFUNCTION("""COMPUTED_VALUE"""),44922.27)</f>
        <v>44922.27</v>
      </c>
      <c r="F316" s="15">
        <f>IFERROR(__xludf.DUMMYFUNCTION("""COMPUTED_VALUE"""),2328.06)</f>
        <v>2328.06</v>
      </c>
      <c r="G316" s="3">
        <f>IFERROR(__xludf.DUMMYFUNCTION("""COMPUTED_VALUE"""),644.89)</f>
        <v>644.89</v>
      </c>
      <c r="H316" s="3">
        <f>IFERROR(__xludf.DUMMYFUNCTION("""COMPUTED_VALUE"""),580.34)</f>
        <v>580.34</v>
      </c>
      <c r="I316" s="3">
        <f>IFERROR(__xludf.DUMMYFUNCTION("""COMPUTED_VALUE"""),351.07)</f>
        <v>351.07</v>
      </c>
      <c r="J316" s="3">
        <f>IFERROR(__xludf.DUMMYFUNCTION("""COMPUTED_VALUE"""),224.56)</f>
        <v>224.56</v>
      </c>
      <c r="K316" s="3">
        <f>IFERROR(__xludf.DUMMYFUNCTION("""COMPUTED_VALUE"""),143.73)</f>
        <v>143.73</v>
      </c>
      <c r="L316" s="3">
        <f>IFERROR(__xludf.DUMMYFUNCTION("""COMPUTED_VALUE"""),233.33)</f>
        <v>233.33</v>
      </c>
      <c r="M316" s="3">
        <f>IFERROR(__xludf.DUMMYFUNCTION("""COMPUTED_VALUE"""),190.03)</f>
        <v>190.03</v>
      </c>
      <c r="N316" s="3">
        <f>IFERROR(__xludf.DUMMYFUNCTION("""COMPUTED_VALUE"""),101.91)</f>
        <v>101.91</v>
      </c>
      <c r="O316" s="3">
        <f>IFERROR(__xludf.DUMMYFUNCTION("""COMPUTED_VALUE"""),20.45)</f>
        <v>20.45</v>
      </c>
      <c r="P316" s="3">
        <f>IFERROR(__xludf.DUMMYFUNCTION("""COMPUTED_VALUE"""),477.31)</f>
        <v>477.31</v>
      </c>
      <c r="Q316" s="3">
        <f>IFERROR(__xludf.DUMMYFUNCTION("""COMPUTED_VALUE"""),54.73)</f>
        <v>54.73</v>
      </c>
      <c r="R316" s="3">
        <f>IFERROR(__xludf.DUMMYFUNCTION("""COMPUTED_VALUE"""),135.19)</f>
        <v>135.19</v>
      </c>
      <c r="S316" s="3">
        <f>IFERROR(__xludf.DUMMYFUNCTION("""COMPUTED_VALUE"""),102.5)</f>
        <v>102.5</v>
      </c>
      <c r="T316" s="3">
        <f>IFERROR(__xludf.DUMMYFUNCTION("""COMPUTED_VALUE"""),67.05)</f>
        <v>67.05</v>
      </c>
      <c r="U316" s="3">
        <f>IFERROR(__xludf.DUMMYFUNCTION("""COMPUTED_VALUE"""),413.7)</f>
        <v>413.7</v>
      </c>
      <c r="V316" s="3">
        <f>IFERROR(__xludf.DUMMYFUNCTION("""COMPUTED_VALUE"""),75.6)</f>
        <v>75.6</v>
      </c>
      <c r="W316" s="3">
        <f>IFERROR(__xludf.DUMMYFUNCTION("""COMPUTED_VALUE"""),188.12)</f>
        <v>188.12</v>
      </c>
      <c r="X316" s="3">
        <f>IFERROR(__xludf.DUMMYFUNCTION("""COMPUTED_VALUE"""),155.87)</f>
        <v>155.87</v>
      </c>
      <c r="Y316" s="1">
        <f>IFERROR(__xludf.DUMMYFUNCTION("""COMPUTED_VALUE"""),287.1)</f>
        <v>287.1</v>
      </c>
      <c r="Z316" s="1">
        <f>IFERROR(__xludf.DUMMYFUNCTION("""COMPUTED_VALUE"""),48.55)</f>
        <v>48.55</v>
      </c>
      <c r="AA316" s="1">
        <f>IFERROR(__xludf.DUMMYFUNCTION("""COMPUTED_VALUE"""),70.46)</f>
        <v>70.46</v>
      </c>
      <c r="AB316" s="1">
        <f>IFERROR(__xludf.DUMMYFUNCTION("""COMPUTED_VALUE"""),103.66)</f>
        <v>103.66</v>
      </c>
      <c r="AC316" s="1">
        <f>IFERROR(__xludf.DUMMYFUNCTION("""COMPUTED_VALUE"""),168.58)</f>
        <v>168.58</v>
      </c>
      <c r="AD316" s="3">
        <f>IFERROR(__xludf.DUMMYFUNCTION("""COMPUTED_VALUE"""),115.4)</f>
        <v>115.4</v>
      </c>
      <c r="AE316" s="1">
        <f>IFERROR(__xludf.DUMMYFUNCTION("""COMPUTED_VALUE"""),450.98)</f>
        <v>450.98</v>
      </c>
      <c r="AF316" s="1">
        <f>IFERROR(__xludf.DUMMYFUNCTION("""COMPUTED_VALUE"""),100.77)</f>
        <v>100.77</v>
      </c>
      <c r="AG316" s="1">
        <f>IFERROR(__xludf.DUMMYFUNCTION("""COMPUTED_VALUE"""),107.6)</f>
        <v>107.6</v>
      </c>
      <c r="AH316" s="1">
        <f>IFERROR(__xludf.DUMMYFUNCTION("""COMPUTED_VALUE"""),230.5)</f>
        <v>230.5</v>
      </c>
      <c r="AI316" s="1">
        <f>IFERROR(__xludf.DUMMYFUNCTION("""COMPUTED_VALUE"""),451.21)</f>
        <v>451.21</v>
      </c>
      <c r="AJ316" s="1">
        <f>IFERROR(__xludf.DUMMYFUNCTION("""COMPUTED_VALUE"""),317.49)</f>
        <v>317.49</v>
      </c>
      <c r="AK316" s="1">
        <f>IFERROR(__xludf.DUMMYFUNCTION("""COMPUTED_VALUE"""),55.58)</f>
        <v>55.58</v>
      </c>
      <c r="AL316" s="1">
        <f>IFERROR(__xludf.DUMMYFUNCTION("""COMPUTED_VALUE"""),120.14)</f>
        <v>120.14</v>
      </c>
      <c r="AM316" s="1">
        <f>IFERROR(__xludf.DUMMYFUNCTION("""COMPUTED_VALUE"""),744.69)</f>
        <v>744.69</v>
      </c>
      <c r="AN316" s="1">
        <f>IFERROR(__xludf.DUMMYFUNCTION("""COMPUTED_VALUE"""),407.18)</f>
        <v>407.18</v>
      </c>
      <c r="AO316" s="1">
        <f>IFERROR(__xludf.DUMMYFUNCTION("""COMPUTED_VALUE"""),137.0)</f>
        <v>137</v>
      </c>
      <c r="AP316" s="1">
        <f>IFERROR(__xludf.DUMMYFUNCTION("""COMPUTED_VALUE"""),181.41)</f>
        <v>181.41</v>
      </c>
      <c r="AQ316" s="3">
        <f>IFERROR(__xludf.DUMMYFUNCTION("""COMPUTED_VALUE"""),482.35)</f>
        <v>482.35</v>
      </c>
      <c r="AR316" s="3">
        <f>IFERROR(__xludf.DUMMYFUNCTION("""COMPUTED_VALUE"""),290.53)</f>
        <v>290.53</v>
      </c>
      <c r="AS316" s="3">
        <f>IFERROR(__xludf.DUMMYFUNCTION("""COMPUTED_VALUE"""),442.57)</f>
        <v>442.57</v>
      </c>
      <c r="AT316" s="3">
        <f>IFERROR(__xludf.DUMMYFUNCTION("""COMPUTED_VALUE"""),200.49)</f>
        <v>200.49</v>
      </c>
      <c r="AU316" s="1">
        <f>IFERROR(__xludf.DUMMYFUNCTION("""COMPUTED_VALUE"""),30.48)</f>
        <v>30.48</v>
      </c>
      <c r="AV316" s="1">
        <f>IFERROR(__xludf.DUMMYFUNCTION("""COMPUTED_VALUE"""),92.91)</f>
        <v>92.91</v>
      </c>
      <c r="AW316" s="1">
        <f>IFERROR(__xludf.DUMMYFUNCTION("""COMPUTED_VALUE"""),77.36)</f>
        <v>77.36</v>
      </c>
      <c r="AX316" s="3">
        <f>IFERROR(__xludf.DUMMYFUNCTION("""COMPUTED_VALUE"""),75.4)</f>
        <v>75.4</v>
      </c>
      <c r="AY316" s="1">
        <f>IFERROR(__xludf.DUMMYFUNCTION("""COMPUTED_VALUE"""),520.58)</f>
        <v>520.58</v>
      </c>
      <c r="AZ316" s="3">
        <f>IFERROR(__xludf.DUMMYFUNCTION("""COMPUTED_VALUE"""),72.3)</f>
        <v>72.3</v>
      </c>
      <c r="BA316" s="3">
        <f>IFERROR(__xludf.DUMMYFUNCTION("""COMPUTED_VALUE"""),155.0)</f>
        <v>155</v>
      </c>
      <c r="BB316" s="3">
        <f>IFERROR(__xludf.DUMMYFUNCTION("""COMPUTED_VALUE"""),181.59)</f>
        <v>181.59</v>
      </c>
      <c r="BC316" s="1">
        <f>IFERROR(__xludf.DUMMYFUNCTION("""COMPUTED_VALUE"""),89.23)</f>
        <v>89.23</v>
      </c>
      <c r="BD316" s="1">
        <f>IFERROR(__xludf.DUMMYFUNCTION("""COMPUTED_VALUE"""),48.19)</f>
        <v>48.19</v>
      </c>
      <c r="BE316" s="3">
        <f>IFERROR(__xludf.DUMMYFUNCTION("""COMPUTED_VALUE"""),184.37)</f>
        <v>184.37</v>
      </c>
      <c r="BF316" s="1">
        <f>IFERROR(__xludf.DUMMYFUNCTION("""COMPUTED_VALUE"""),70.63)</f>
        <v>70.63</v>
      </c>
      <c r="BG316" s="1">
        <f>IFERROR(__xludf.DUMMYFUNCTION("""COMPUTED_VALUE"""),25.16)</f>
        <v>25.16</v>
      </c>
      <c r="BH316" s="1">
        <f>IFERROR(__xludf.DUMMYFUNCTION("""COMPUTED_VALUE"""),155.71)</f>
        <v>155.71</v>
      </c>
      <c r="BI316" s="3">
        <f>IFERROR(__xludf.DUMMYFUNCTION("""COMPUTED_VALUE"""),36.07)</f>
        <v>36.07</v>
      </c>
      <c r="BJ316" s="1">
        <f>IFERROR(__xludf.DUMMYFUNCTION("""COMPUTED_VALUE"""),250.84)</f>
        <v>250.84</v>
      </c>
      <c r="BK316" s="1">
        <f>IFERROR(__xludf.DUMMYFUNCTION("""COMPUTED_VALUE"""),484.79)</f>
        <v>484.79</v>
      </c>
      <c r="BL316" s="1">
        <f>IFERROR(__xludf.DUMMYFUNCTION("""COMPUTED_VALUE"""),194.4)</f>
        <v>194.4</v>
      </c>
      <c r="BM316" s="1">
        <f>IFERROR(__xludf.DUMMYFUNCTION("""COMPUTED_VALUE"""),132.04)</f>
        <v>132.04</v>
      </c>
      <c r="BN316" s="3">
        <f>IFERROR(__xludf.DUMMYFUNCTION("""COMPUTED_VALUE"""),5.06)</f>
        <v>5.06</v>
      </c>
      <c r="BO316" s="1">
        <f>IFERROR(__xludf.DUMMYFUNCTION("""COMPUTED_VALUE"""),223.18)</f>
        <v>223.18</v>
      </c>
      <c r="BP316" s="1">
        <f>IFERROR(__xludf.DUMMYFUNCTION("""COMPUTED_VALUE"""),271.81)</f>
        <v>271.81</v>
      </c>
      <c r="BQ316" s="36">
        <f>IFERROR(__xludf.DUMMYFUNCTION("""COMPUTED_VALUE"""),50.34)</f>
        <v>50.34</v>
      </c>
      <c r="BR316" s="1">
        <f>IFERROR(__xludf.DUMMYFUNCTION("""COMPUTED_VALUE"""),10.41)</f>
        <v>10.41</v>
      </c>
      <c r="BS316" s="3">
        <f>IFERROR(__xludf.DUMMYFUNCTION("""COMPUTED_VALUE"""),229.9)</f>
        <v>229.9</v>
      </c>
      <c r="BT316" s="1">
        <f>IFERROR(__xludf.DUMMYFUNCTION("""COMPUTED_VALUE"""),116.64)</f>
        <v>116.64</v>
      </c>
      <c r="BU316" s="3">
        <v>1.0</v>
      </c>
    </row>
    <row r="317">
      <c r="A317" s="25">
        <f>IFERROR(__xludf.DUMMYFUNCTION("""COMPUTED_VALUE"""),45883.66666666667)</f>
        <v>45883.66667</v>
      </c>
      <c r="B317" s="29">
        <f>'Master Scratch Work'!B316</f>
        <v>1471093.63</v>
      </c>
      <c r="C317" s="15">
        <f>IFERROR(__xludf.DUMMYFUNCTION("""COMPUTED_VALUE"""),6468.54)</f>
        <v>6468.54</v>
      </c>
      <c r="D317" s="15">
        <f>IFERROR(__xludf.DUMMYFUNCTION("""COMPUTED_VALUE"""),21710.67)</f>
        <v>21710.67</v>
      </c>
      <c r="E317" s="15">
        <f>IFERROR(__xludf.DUMMYFUNCTION("""COMPUTED_VALUE"""),44911.26)</f>
        <v>44911.26</v>
      </c>
      <c r="F317" s="15">
        <f>IFERROR(__xludf.DUMMYFUNCTION("""COMPUTED_VALUE"""),2299.08)</f>
        <v>2299.08</v>
      </c>
      <c r="G317" s="3">
        <f>IFERROR(__xludf.DUMMYFUNCTION("""COMPUTED_VALUE"""),644.95)</f>
        <v>644.95</v>
      </c>
      <c r="H317" s="3">
        <f>IFERROR(__xludf.DUMMYFUNCTION("""COMPUTED_VALUE"""),579.89)</f>
        <v>579.89</v>
      </c>
      <c r="I317" s="3">
        <f>IFERROR(__xludf.DUMMYFUNCTION("""COMPUTED_VALUE"""),348.58)</f>
        <v>348.58</v>
      </c>
      <c r="J317" s="3">
        <f>IFERROR(__xludf.DUMMYFUNCTION("""COMPUTED_VALUE"""),230.98)</f>
        <v>230.98</v>
      </c>
      <c r="K317" s="3">
        <f>IFERROR(__xludf.DUMMYFUNCTION("""COMPUTED_VALUE"""),143.41)</f>
        <v>143.41</v>
      </c>
      <c r="L317" s="3">
        <f>IFERROR(__xludf.DUMMYFUNCTION("""COMPUTED_VALUE"""),232.78)</f>
        <v>232.78</v>
      </c>
      <c r="M317" s="3">
        <f>IFERROR(__xludf.DUMMYFUNCTION("""COMPUTED_VALUE"""),188.24)</f>
        <v>188.24</v>
      </c>
      <c r="N317" s="3">
        <f>IFERROR(__xludf.DUMMYFUNCTION("""COMPUTED_VALUE"""),103.35)</f>
        <v>103.35</v>
      </c>
      <c r="O317" s="3">
        <f>IFERROR(__xludf.DUMMYFUNCTION("""COMPUTED_VALUE"""),20.55)</f>
        <v>20.55</v>
      </c>
      <c r="P317" s="3">
        <f>IFERROR(__xludf.DUMMYFUNCTION("""COMPUTED_VALUE"""),479.22)</f>
        <v>479.22</v>
      </c>
      <c r="Q317" s="3">
        <f>IFERROR(__xludf.DUMMYFUNCTION("""COMPUTED_VALUE"""),53.82)</f>
        <v>53.82</v>
      </c>
      <c r="R317" s="3">
        <f>IFERROR(__xludf.DUMMYFUNCTION("""COMPUTED_VALUE"""),134.94)</f>
        <v>134.94</v>
      </c>
      <c r="S317" s="3">
        <f>IFERROR(__xludf.DUMMYFUNCTION("""COMPUTED_VALUE"""),104.15)</f>
        <v>104.15</v>
      </c>
      <c r="T317" s="3">
        <f>IFERROR(__xludf.DUMMYFUNCTION("""COMPUTED_VALUE"""),65.76)</f>
        <v>65.76</v>
      </c>
      <c r="U317" s="3">
        <f>IFERROR(__xludf.DUMMYFUNCTION("""COMPUTED_VALUE"""),417.5)</f>
        <v>417.5</v>
      </c>
      <c r="V317" s="3">
        <f>IFERROR(__xludf.DUMMYFUNCTION("""COMPUTED_VALUE"""),75.55)</f>
        <v>75.55</v>
      </c>
      <c r="W317" s="3">
        <f>IFERROR(__xludf.DUMMYFUNCTION("""COMPUTED_VALUE"""),185.32)</f>
        <v>185.32</v>
      </c>
      <c r="X317" s="3">
        <f>IFERROR(__xludf.DUMMYFUNCTION("""COMPUTED_VALUE"""),155.16)</f>
        <v>155.16</v>
      </c>
      <c r="Y317" s="1">
        <f>IFERROR(__xludf.DUMMYFUNCTION("""COMPUTED_VALUE"""),290.35)</f>
        <v>290.35</v>
      </c>
      <c r="Z317" s="1">
        <f>IFERROR(__xludf.DUMMYFUNCTION("""COMPUTED_VALUE"""),49.21)</f>
        <v>49.21</v>
      </c>
      <c r="AA317" s="1">
        <f>IFERROR(__xludf.DUMMYFUNCTION("""COMPUTED_VALUE"""),69.55)</f>
        <v>69.55</v>
      </c>
      <c r="AB317" s="1">
        <f>IFERROR(__xludf.DUMMYFUNCTION("""COMPUTED_VALUE"""),102.86)</f>
        <v>102.86</v>
      </c>
      <c r="AC317" s="1">
        <f>IFERROR(__xludf.DUMMYFUNCTION("""COMPUTED_VALUE"""),166.22)</f>
        <v>166.22</v>
      </c>
      <c r="AD317" s="3">
        <f>IFERROR(__xludf.DUMMYFUNCTION("""COMPUTED_VALUE"""),114.63)</f>
        <v>114.63</v>
      </c>
      <c r="AE317" s="1">
        <f>IFERROR(__xludf.DUMMYFUNCTION("""COMPUTED_VALUE"""),450.59)</f>
        <v>450.59</v>
      </c>
      <c r="AF317" s="1">
        <f>IFERROR(__xludf.DUMMYFUNCTION("""COMPUTED_VALUE"""),98.48)</f>
        <v>98.48</v>
      </c>
      <c r="AG317" s="1">
        <f>IFERROR(__xludf.DUMMYFUNCTION("""COMPUTED_VALUE"""),107.38)</f>
        <v>107.38</v>
      </c>
      <c r="AH317" s="1">
        <f>IFERROR(__xludf.DUMMYFUNCTION("""COMPUTED_VALUE"""),231.07)</f>
        <v>231.07</v>
      </c>
      <c r="AI317" s="1">
        <f>IFERROR(__xludf.DUMMYFUNCTION("""COMPUTED_VALUE"""),464.43)</f>
        <v>464.43</v>
      </c>
      <c r="AJ317" s="1">
        <f>IFERROR(__xludf.DUMMYFUNCTION("""COMPUTED_VALUE"""),315.84)</f>
        <v>315.84</v>
      </c>
      <c r="AK317" s="1">
        <f>IFERROR(__xludf.DUMMYFUNCTION("""COMPUTED_VALUE"""),56.42)</f>
        <v>56.42</v>
      </c>
      <c r="AL317" s="1">
        <f>IFERROR(__xludf.DUMMYFUNCTION("""COMPUTED_VALUE"""),119.02)</f>
        <v>119.02</v>
      </c>
      <c r="AM317" s="1">
        <f>IFERROR(__xludf.DUMMYFUNCTION("""COMPUTED_VALUE"""),747.2)</f>
        <v>747.2</v>
      </c>
      <c r="AN317" s="1">
        <f>IFERROR(__xludf.DUMMYFUNCTION("""COMPUTED_VALUE"""),400.32)</f>
        <v>400.32</v>
      </c>
      <c r="AO317" s="1">
        <f>IFERROR(__xludf.DUMMYFUNCTION("""COMPUTED_VALUE"""),132.9)</f>
        <v>132.9</v>
      </c>
      <c r="AP317" s="1">
        <f>IFERROR(__xludf.DUMMYFUNCTION("""COMPUTED_VALUE"""),182.68)</f>
        <v>182.68</v>
      </c>
      <c r="AQ317" s="3">
        <f>IFERROR(__xludf.DUMMYFUNCTION("""COMPUTED_VALUE"""),477.08)</f>
        <v>477.08</v>
      </c>
      <c r="AR317" s="3">
        <f>IFERROR(__xludf.DUMMYFUNCTION("""COMPUTED_VALUE"""),294.16)</f>
        <v>294.16</v>
      </c>
      <c r="AS317" s="3">
        <f>IFERROR(__xludf.DUMMYFUNCTION("""COMPUTED_VALUE"""),437.32)</f>
        <v>437.32</v>
      </c>
      <c r="AT317" s="3">
        <f>IFERROR(__xludf.DUMMYFUNCTION("""COMPUTED_VALUE"""),195.19)</f>
        <v>195.19</v>
      </c>
      <c r="AU317" s="1">
        <f>IFERROR(__xludf.DUMMYFUNCTION("""COMPUTED_VALUE"""),30.59)</f>
        <v>30.59</v>
      </c>
      <c r="AV317" s="1">
        <f>IFERROR(__xludf.DUMMYFUNCTION("""COMPUTED_VALUE"""),91.98)</f>
        <v>91.98</v>
      </c>
      <c r="AW317" s="1">
        <f>IFERROR(__xludf.DUMMYFUNCTION("""COMPUTED_VALUE"""),77.92)</f>
        <v>77.92</v>
      </c>
      <c r="AX317" s="3">
        <f>IFERROR(__xludf.DUMMYFUNCTION("""COMPUTED_VALUE"""),76.58)</f>
        <v>76.58</v>
      </c>
      <c r="AY317" s="1">
        <f>IFERROR(__xludf.DUMMYFUNCTION("""COMPUTED_VALUE"""),522.48)</f>
        <v>522.48</v>
      </c>
      <c r="AZ317" s="3">
        <f>IFERROR(__xludf.DUMMYFUNCTION("""COMPUTED_VALUE"""),72.24)</f>
        <v>72.24</v>
      </c>
      <c r="BA317" s="3">
        <f>IFERROR(__xludf.DUMMYFUNCTION("""COMPUTED_VALUE"""),153.78)</f>
        <v>153.78</v>
      </c>
      <c r="BB317" s="3">
        <f>IFERROR(__xludf.DUMMYFUNCTION("""COMPUTED_VALUE"""),182.02)</f>
        <v>182.02</v>
      </c>
      <c r="BC317" s="1">
        <f>IFERROR(__xludf.DUMMYFUNCTION("""COMPUTED_VALUE"""),87.54)</f>
        <v>87.54</v>
      </c>
      <c r="BD317" s="1">
        <f>IFERROR(__xludf.DUMMYFUNCTION("""COMPUTED_VALUE"""),44.21)</f>
        <v>44.21</v>
      </c>
      <c r="BE317" s="3">
        <f>IFERROR(__xludf.DUMMYFUNCTION("""COMPUTED_VALUE"""),181.02)</f>
        <v>181.02</v>
      </c>
      <c r="BF317" s="1">
        <f>IFERROR(__xludf.DUMMYFUNCTION("""COMPUTED_VALUE"""),69.38)</f>
        <v>69.38</v>
      </c>
      <c r="BG317" s="1">
        <f>IFERROR(__xludf.DUMMYFUNCTION("""COMPUTED_VALUE"""),25.11)</f>
        <v>25.11</v>
      </c>
      <c r="BH317" s="1">
        <f>IFERROR(__xludf.DUMMYFUNCTION("""COMPUTED_VALUE"""),155.08)</f>
        <v>155.08</v>
      </c>
      <c r="BI317" s="3">
        <f>IFERROR(__xludf.DUMMYFUNCTION("""COMPUTED_VALUE"""),36.02)</f>
        <v>36.02</v>
      </c>
      <c r="BJ317" s="1">
        <f>IFERROR(__xludf.DUMMYFUNCTION("""COMPUTED_VALUE"""),250.31)</f>
        <v>250.31</v>
      </c>
      <c r="BK317" s="1">
        <f>IFERROR(__xludf.DUMMYFUNCTION("""COMPUTED_VALUE"""),485.04)</f>
        <v>485.04</v>
      </c>
      <c r="BL317" s="1">
        <f>IFERROR(__xludf.DUMMYFUNCTION("""COMPUTED_VALUE"""),192.48)</f>
        <v>192.48</v>
      </c>
      <c r="BM317" s="1">
        <f>IFERROR(__xludf.DUMMYFUNCTION("""COMPUTED_VALUE"""),129.74)</f>
        <v>129.74</v>
      </c>
      <c r="BN317" s="3">
        <f>IFERROR(__xludf.DUMMYFUNCTION("""COMPUTED_VALUE"""),4.92)</f>
        <v>4.92</v>
      </c>
      <c r="BO317" s="1">
        <f>IFERROR(__xludf.DUMMYFUNCTION("""COMPUTED_VALUE"""),221.52)</f>
        <v>221.52</v>
      </c>
      <c r="BP317" s="1">
        <f>IFERROR(__xludf.DUMMYFUNCTION("""COMPUTED_VALUE"""),271.49)</f>
        <v>271.49</v>
      </c>
      <c r="BQ317" s="36">
        <f>IFERROR(__xludf.DUMMYFUNCTION("""COMPUTED_VALUE"""),50.31)</f>
        <v>50.31</v>
      </c>
      <c r="BR317" s="1">
        <f>IFERROR(__xludf.DUMMYFUNCTION("""COMPUTED_VALUE"""),10.69)</f>
        <v>10.69</v>
      </c>
      <c r="BS317" s="3">
        <f>IFERROR(__xludf.DUMMYFUNCTION("""COMPUTED_VALUE"""),226.15)</f>
        <v>226.15</v>
      </c>
      <c r="BT317" s="1">
        <f>IFERROR(__xludf.DUMMYFUNCTION("""COMPUTED_VALUE"""),116.31)</f>
        <v>116.31</v>
      </c>
      <c r="BU317" s="3">
        <v>1.0</v>
      </c>
    </row>
    <row r="318">
      <c r="A318" s="25">
        <f>IFERROR(__xludf.DUMMYFUNCTION("""COMPUTED_VALUE"""),45884.66666666667)</f>
        <v>45884.66667</v>
      </c>
      <c r="B318" s="29">
        <f>'Master Scratch Work'!B317</f>
        <v>1465910.44</v>
      </c>
      <c r="C318" s="15">
        <f>IFERROR(__xludf.DUMMYFUNCTION("""COMPUTED_VALUE"""),6449.8)</f>
        <v>6449.8</v>
      </c>
      <c r="D318" s="15">
        <f>IFERROR(__xludf.DUMMYFUNCTION("""COMPUTED_VALUE"""),21622.98)</f>
        <v>21622.98</v>
      </c>
      <c r="E318" s="15">
        <f>IFERROR(__xludf.DUMMYFUNCTION("""COMPUTED_VALUE"""),44946.12)</f>
        <v>44946.12</v>
      </c>
      <c r="F318" s="15">
        <f>IFERROR(__xludf.DUMMYFUNCTION("""COMPUTED_VALUE"""),2286.52)</f>
        <v>2286.52</v>
      </c>
      <c r="G318" s="3">
        <f>IFERROR(__xludf.DUMMYFUNCTION("""COMPUTED_VALUE"""),643.44)</f>
        <v>643.44</v>
      </c>
      <c r="H318" s="3">
        <f>IFERROR(__xludf.DUMMYFUNCTION("""COMPUTED_VALUE"""),577.34)</f>
        <v>577.34</v>
      </c>
      <c r="I318" s="3">
        <f>IFERROR(__xludf.DUMMYFUNCTION("""COMPUTED_VALUE"""),354.85)</f>
        <v>354.85</v>
      </c>
      <c r="J318" s="3">
        <f>IFERROR(__xludf.DUMMYFUNCTION("""COMPUTED_VALUE"""),231.03)</f>
        <v>231.03</v>
      </c>
      <c r="K318" s="3">
        <f>IFERROR(__xludf.DUMMYFUNCTION("""COMPUTED_VALUE"""),143.92)</f>
        <v>143.92</v>
      </c>
      <c r="L318" s="3">
        <f>IFERROR(__xludf.DUMMYFUNCTION("""COMPUTED_VALUE"""),231.59)</f>
        <v>231.59</v>
      </c>
      <c r="M318" s="3">
        <f>IFERROR(__xludf.DUMMYFUNCTION("""COMPUTED_VALUE"""),161.76)</f>
        <v>161.76</v>
      </c>
      <c r="N318" s="3">
        <f>IFERROR(__xludf.DUMMYFUNCTION("""COMPUTED_VALUE"""),101.0)</f>
        <v>101</v>
      </c>
      <c r="O318" s="3">
        <f>IFERROR(__xludf.DUMMYFUNCTION("""COMPUTED_VALUE"""),20.27)</f>
        <v>20.27</v>
      </c>
      <c r="P318" s="3">
        <f>IFERROR(__xludf.DUMMYFUNCTION("""COMPUTED_VALUE"""),477.2)</f>
        <v>477.2</v>
      </c>
      <c r="Q318" s="3">
        <f>IFERROR(__xludf.DUMMYFUNCTION("""COMPUTED_VALUE"""),54.15)</f>
        <v>54.15</v>
      </c>
      <c r="R318" s="3">
        <f>IFERROR(__xludf.DUMMYFUNCTION("""COMPUTED_VALUE"""),138.6)</f>
        <v>138.6</v>
      </c>
      <c r="S318" s="3">
        <f>IFERROR(__xludf.DUMMYFUNCTION("""COMPUTED_VALUE"""),103.17)</f>
        <v>103.17</v>
      </c>
      <c r="T318" s="3">
        <f>IFERROR(__xludf.DUMMYFUNCTION("""COMPUTED_VALUE"""),65.4)</f>
        <v>65.4</v>
      </c>
      <c r="U318" s="3">
        <f>IFERROR(__xludf.DUMMYFUNCTION("""COMPUTED_VALUE"""),407.79)</f>
        <v>407.79</v>
      </c>
      <c r="V318" s="3">
        <f>IFERROR(__xludf.DUMMYFUNCTION("""COMPUTED_VALUE"""),75.6)</f>
        <v>75.6</v>
      </c>
      <c r="W318" s="3">
        <f>IFERROR(__xludf.DUMMYFUNCTION("""COMPUTED_VALUE"""),188.92)</f>
        <v>188.92</v>
      </c>
      <c r="X318" s="3">
        <f>IFERROR(__xludf.DUMMYFUNCTION("""COMPUTED_VALUE"""),156.55)</f>
        <v>156.55</v>
      </c>
      <c r="Y318" s="1">
        <f>IFERROR(__xludf.DUMMYFUNCTION("""COMPUTED_VALUE"""),296.86)</f>
        <v>296.86</v>
      </c>
      <c r="Z318" s="1">
        <f>IFERROR(__xludf.DUMMYFUNCTION("""COMPUTED_VALUE"""),48.28)</f>
        <v>48.28</v>
      </c>
      <c r="AA318" s="1">
        <f>IFERROR(__xludf.DUMMYFUNCTION("""COMPUTED_VALUE"""),69.92)</f>
        <v>69.92</v>
      </c>
      <c r="AB318" s="1">
        <f>IFERROR(__xludf.DUMMYFUNCTION("""COMPUTED_VALUE"""),100.77)</f>
        <v>100.77</v>
      </c>
      <c r="AC318" s="1">
        <f>IFERROR(__xludf.DUMMYFUNCTION("""COMPUTED_VALUE"""),166.9)</f>
        <v>166.9</v>
      </c>
      <c r="AD318" s="3">
        <f>IFERROR(__xludf.DUMMYFUNCTION("""COMPUTED_VALUE"""),113.49)</f>
        <v>113.49</v>
      </c>
      <c r="AE318" s="1">
        <f>IFERROR(__xludf.DUMMYFUNCTION("""COMPUTED_VALUE"""),451.26)</f>
        <v>451.26</v>
      </c>
      <c r="AF318" s="1">
        <f>IFERROR(__xludf.DUMMYFUNCTION("""COMPUTED_VALUE"""),100.7)</f>
        <v>100.7</v>
      </c>
      <c r="AG318" s="1">
        <f>IFERROR(__xludf.DUMMYFUNCTION("""COMPUTED_VALUE"""),106.49)</f>
        <v>106.49</v>
      </c>
      <c r="AH318" s="1">
        <f>IFERROR(__xludf.DUMMYFUNCTION("""COMPUTED_VALUE"""),227.26)</f>
        <v>227.26</v>
      </c>
      <c r="AI318" s="1">
        <f>IFERROR(__xludf.DUMMYFUNCTION("""COMPUTED_VALUE"""),460.55)</f>
        <v>460.55</v>
      </c>
      <c r="AJ318" s="1">
        <f>IFERROR(__xludf.DUMMYFUNCTION("""COMPUTED_VALUE"""),313.69)</f>
        <v>313.69</v>
      </c>
      <c r="AK318" s="1">
        <f>IFERROR(__xludf.DUMMYFUNCTION("""COMPUTED_VALUE"""),56.31)</f>
        <v>56.31</v>
      </c>
      <c r="AL318" s="1">
        <f>IFERROR(__xludf.DUMMYFUNCTION("""COMPUTED_VALUE"""),118.37)</f>
        <v>118.37</v>
      </c>
      <c r="AM318" s="1">
        <f>IFERROR(__xludf.DUMMYFUNCTION("""COMPUTED_VALUE"""),730.72)</f>
        <v>730.72</v>
      </c>
      <c r="AN318" s="1">
        <f>IFERROR(__xludf.DUMMYFUNCTION("""COMPUTED_VALUE"""),399.38)</f>
        <v>399.38</v>
      </c>
      <c r="AO318" s="1">
        <f>IFERROR(__xludf.DUMMYFUNCTION("""COMPUTED_VALUE"""),133.17)</f>
        <v>133.17</v>
      </c>
      <c r="AP318" s="1">
        <f>IFERROR(__xludf.DUMMYFUNCTION("""COMPUTED_VALUE"""),181.2)</f>
        <v>181.2</v>
      </c>
      <c r="AQ318" s="3">
        <f>IFERROR(__xludf.DUMMYFUNCTION("""COMPUTED_VALUE"""),480.26)</f>
        <v>480.26</v>
      </c>
      <c r="AR318" s="3">
        <f>IFERROR(__xludf.DUMMYFUNCTION("""COMPUTED_VALUE"""),290.49)</f>
        <v>290.49</v>
      </c>
      <c r="AS318" s="3">
        <f>IFERROR(__xludf.DUMMYFUNCTION("""COMPUTED_VALUE"""),437.56)</f>
        <v>437.56</v>
      </c>
      <c r="AT318" s="3">
        <f>IFERROR(__xludf.DUMMYFUNCTION("""COMPUTED_VALUE"""),198.46)</f>
        <v>198.46</v>
      </c>
      <c r="AU318" s="1">
        <f>IFERROR(__xludf.DUMMYFUNCTION("""COMPUTED_VALUE"""),30.38)</f>
        <v>30.38</v>
      </c>
      <c r="AV318" s="1">
        <f>IFERROR(__xludf.DUMMYFUNCTION("""COMPUTED_VALUE"""),93.02)</f>
        <v>93.02</v>
      </c>
      <c r="AW318" s="1">
        <f>IFERROR(__xludf.DUMMYFUNCTION("""COMPUTED_VALUE"""),77.33)</f>
        <v>77.33</v>
      </c>
      <c r="AX318" s="3">
        <f>IFERROR(__xludf.DUMMYFUNCTION("""COMPUTED_VALUE"""),75.03)</f>
        <v>75.03</v>
      </c>
      <c r="AY318" s="1">
        <f>IFERROR(__xludf.DUMMYFUNCTION("""COMPUTED_VALUE"""),520.17)</f>
        <v>520.17</v>
      </c>
      <c r="AZ318" s="3">
        <f>IFERROR(__xludf.DUMMYFUNCTION("""COMPUTED_VALUE"""),75.41)</f>
        <v>75.41</v>
      </c>
      <c r="BA318" s="3">
        <f>IFERROR(__xludf.DUMMYFUNCTION("""COMPUTED_VALUE"""),148.62)</f>
        <v>148.62</v>
      </c>
      <c r="BB318" s="3">
        <f>IFERROR(__xludf.DUMMYFUNCTION("""COMPUTED_VALUE"""),180.45)</f>
        <v>180.45</v>
      </c>
      <c r="BC318" s="1">
        <f>IFERROR(__xludf.DUMMYFUNCTION("""COMPUTED_VALUE"""),87.43)</f>
        <v>87.43</v>
      </c>
      <c r="BD318" s="1">
        <f>IFERROR(__xludf.DUMMYFUNCTION("""COMPUTED_VALUE"""),45.34)</f>
        <v>45.34</v>
      </c>
      <c r="BE318" s="3">
        <f>IFERROR(__xludf.DUMMYFUNCTION("""COMPUTED_VALUE"""),177.17)</f>
        <v>177.17</v>
      </c>
      <c r="BF318" s="1">
        <f>IFERROR(__xludf.DUMMYFUNCTION("""COMPUTED_VALUE"""),69.23)</f>
        <v>69.23</v>
      </c>
      <c r="BG318" s="1">
        <f>IFERROR(__xludf.DUMMYFUNCTION("""COMPUTED_VALUE"""),25.14)</f>
        <v>25.14</v>
      </c>
      <c r="BH318" s="1">
        <f>IFERROR(__xludf.DUMMYFUNCTION("""COMPUTED_VALUE"""),154.09)</f>
        <v>154.09</v>
      </c>
      <c r="BI318" s="3">
        <f>IFERROR(__xludf.DUMMYFUNCTION("""COMPUTED_VALUE"""),36.32)</f>
        <v>36.32</v>
      </c>
      <c r="BJ318" s="1">
        <f>IFERROR(__xludf.DUMMYFUNCTION("""COMPUTED_VALUE"""),254.63)</f>
        <v>254.63</v>
      </c>
      <c r="BK318" s="1">
        <f>IFERROR(__xludf.DUMMYFUNCTION("""COMPUTED_VALUE"""),489.01)</f>
        <v>489.01</v>
      </c>
      <c r="BL318" s="1">
        <f>IFERROR(__xludf.DUMMYFUNCTION("""COMPUTED_VALUE"""),193.66)</f>
        <v>193.66</v>
      </c>
      <c r="BM318" s="1">
        <f>IFERROR(__xludf.DUMMYFUNCTION("""COMPUTED_VALUE"""),127.55)</f>
        <v>127.55</v>
      </c>
      <c r="BN318" s="3">
        <f>IFERROR(__xludf.DUMMYFUNCTION("""COMPUTED_VALUE"""),5.17)</f>
        <v>5.17</v>
      </c>
      <c r="BO318" s="1">
        <f>IFERROR(__xludf.DUMMYFUNCTION("""COMPUTED_VALUE"""),220.78)</f>
        <v>220.78</v>
      </c>
      <c r="BP318" s="1">
        <f>IFERROR(__xludf.DUMMYFUNCTION("""COMPUTED_VALUE"""),304.01)</f>
        <v>304.01</v>
      </c>
      <c r="BQ318" s="36">
        <f>IFERROR(__xludf.DUMMYFUNCTION("""COMPUTED_VALUE"""),50.27)</f>
        <v>50.27</v>
      </c>
      <c r="BR318" s="1">
        <f>IFERROR(__xludf.DUMMYFUNCTION("""COMPUTED_VALUE"""),10.61)</f>
        <v>10.61</v>
      </c>
      <c r="BS318" s="3">
        <f>IFERROR(__xludf.DUMMYFUNCTION("""COMPUTED_VALUE"""),226.81)</f>
        <v>226.81</v>
      </c>
      <c r="BT318" s="1">
        <f>IFERROR(__xludf.DUMMYFUNCTION("""COMPUTED_VALUE"""),115.39)</f>
        <v>115.39</v>
      </c>
      <c r="BU318" s="3">
        <v>1.0</v>
      </c>
    </row>
    <row r="319">
      <c r="A319" s="25">
        <f>IFERROR(__xludf.DUMMYFUNCTION("""COMPUTED_VALUE"""),45887.66666666667)</f>
        <v>45887.66667</v>
      </c>
      <c r="B319" s="29">
        <f>'Master Scratch Work'!B318</f>
        <v>1464123.11</v>
      </c>
      <c r="C319" s="15">
        <f>IFERROR(__xludf.DUMMYFUNCTION("""COMPUTED_VALUE"""),6449.15)</f>
        <v>6449.15</v>
      </c>
      <c r="D319" s="15">
        <f>IFERROR(__xludf.DUMMYFUNCTION("""COMPUTED_VALUE"""),21629.77)</f>
        <v>21629.77</v>
      </c>
      <c r="E319" s="15">
        <f>IFERROR(__xludf.DUMMYFUNCTION("""COMPUTED_VALUE"""),44911.82)</f>
        <v>44911.82</v>
      </c>
      <c r="F319" s="15">
        <f>IFERROR(__xludf.DUMMYFUNCTION("""COMPUTED_VALUE"""),2294.47)</f>
        <v>2294.47</v>
      </c>
      <c r="G319" s="3">
        <f>IFERROR(__xludf.DUMMYFUNCTION("""COMPUTED_VALUE"""),643.3)</f>
        <v>643.3</v>
      </c>
      <c r="H319" s="3">
        <f>IFERROR(__xludf.DUMMYFUNCTION("""COMPUTED_VALUE"""),577.11)</f>
        <v>577.11</v>
      </c>
      <c r="I319" s="3">
        <f>IFERROR(__xludf.DUMMYFUNCTION("""COMPUTED_VALUE"""),357.24)</f>
        <v>357.24</v>
      </c>
      <c r="J319" s="3">
        <f>IFERROR(__xludf.DUMMYFUNCTION("""COMPUTED_VALUE"""),231.49)</f>
        <v>231.49</v>
      </c>
      <c r="K319" s="3">
        <f>IFERROR(__xludf.DUMMYFUNCTION("""COMPUTED_VALUE"""),142.66)</f>
        <v>142.66</v>
      </c>
      <c r="L319" s="3">
        <f>IFERROR(__xludf.DUMMYFUNCTION("""COMPUTED_VALUE"""),230.89)</f>
        <v>230.89</v>
      </c>
      <c r="M319" s="3">
        <f>IFERROR(__xludf.DUMMYFUNCTION("""COMPUTED_VALUE"""),163.53)</f>
        <v>163.53</v>
      </c>
      <c r="N319" s="3">
        <f>IFERROR(__xludf.DUMMYFUNCTION("""COMPUTED_VALUE"""),101.74)</f>
        <v>101.74</v>
      </c>
      <c r="O319" s="3">
        <f>IFERROR(__xludf.DUMMYFUNCTION("""COMPUTED_VALUE"""),20.29)</f>
        <v>20.29</v>
      </c>
      <c r="P319" s="3">
        <f>IFERROR(__xludf.DUMMYFUNCTION("""COMPUTED_VALUE"""),478.52)</f>
        <v>478.52</v>
      </c>
      <c r="Q319" s="3">
        <f>IFERROR(__xludf.DUMMYFUNCTION("""COMPUTED_VALUE"""),53.43)</f>
        <v>53.43</v>
      </c>
      <c r="R319" s="3">
        <f>IFERROR(__xludf.DUMMYFUNCTION("""COMPUTED_VALUE"""),135.91)</f>
        <v>135.91</v>
      </c>
      <c r="S319" s="3">
        <f>IFERROR(__xludf.DUMMYFUNCTION("""COMPUTED_VALUE"""),103.05)</f>
        <v>103.05</v>
      </c>
      <c r="T319" s="3">
        <f>IFERROR(__xludf.DUMMYFUNCTION("""COMPUTED_VALUE"""),66.49)</f>
        <v>66.49</v>
      </c>
      <c r="U319" s="3">
        <f>IFERROR(__xludf.DUMMYFUNCTION("""COMPUTED_VALUE"""),412.64)</f>
        <v>412.64</v>
      </c>
      <c r="V319" s="3">
        <f>IFERROR(__xludf.DUMMYFUNCTION("""COMPUTED_VALUE"""),76.82)</f>
        <v>76.82</v>
      </c>
      <c r="W319" s="3">
        <f>IFERROR(__xludf.DUMMYFUNCTION("""COMPUTED_VALUE"""),188.64)</f>
        <v>188.64</v>
      </c>
      <c r="X319" s="3">
        <f>IFERROR(__xludf.DUMMYFUNCTION("""COMPUTED_VALUE"""),155.32)</f>
        <v>155.32</v>
      </c>
      <c r="Y319" s="1">
        <f>IFERROR(__xludf.DUMMYFUNCTION("""COMPUTED_VALUE"""),298.32)</f>
        <v>298.32</v>
      </c>
      <c r="Z319" s="1">
        <f>IFERROR(__xludf.DUMMYFUNCTION("""COMPUTED_VALUE"""),48.54)</f>
        <v>48.54</v>
      </c>
      <c r="AA319" s="1">
        <f>IFERROR(__xludf.DUMMYFUNCTION("""COMPUTED_VALUE"""),69.13)</f>
        <v>69.13</v>
      </c>
      <c r="AB319" s="1">
        <f>IFERROR(__xludf.DUMMYFUNCTION("""COMPUTED_VALUE"""),99.74)</f>
        <v>99.74</v>
      </c>
      <c r="AC319" s="1">
        <f>IFERROR(__xludf.DUMMYFUNCTION("""COMPUTED_VALUE"""),165.02)</f>
        <v>165.02</v>
      </c>
      <c r="AD319" s="3">
        <f>IFERROR(__xludf.DUMMYFUNCTION("""COMPUTED_VALUE"""),112.06)</f>
        <v>112.06</v>
      </c>
      <c r="AE319" s="1">
        <f>IFERROR(__xludf.DUMMYFUNCTION("""COMPUTED_VALUE"""),444.85)</f>
        <v>444.85</v>
      </c>
      <c r="AF319" s="1">
        <f>IFERROR(__xludf.DUMMYFUNCTION("""COMPUTED_VALUE"""),99.03)</f>
        <v>99.03</v>
      </c>
      <c r="AG319" s="1">
        <f>IFERROR(__xludf.DUMMYFUNCTION("""COMPUTED_VALUE"""),106.72)</f>
        <v>106.72</v>
      </c>
      <c r="AH319" s="1">
        <f>IFERROR(__xludf.DUMMYFUNCTION("""COMPUTED_VALUE"""),227.72)</f>
        <v>227.72</v>
      </c>
      <c r="AI319" s="1">
        <f>IFERROR(__xludf.DUMMYFUNCTION("""COMPUTED_VALUE"""),463.17)</f>
        <v>463.17</v>
      </c>
      <c r="AJ319" s="1">
        <f>IFERROR(__xludf.DUMMYFUNCTION("""COMPUTED_VALUE"""),313.58)</f>
        <v>313.58</v>
      </c>
      <c r="AK319" s="1">
        <f>IFERROR(__xludf.DUMMYFUNCTION("""COMPUTED_VALUE"""),56.23)</f>
        <v>56.23</v>
      </c>
      <c r="AL319" s="1">
        <f>IFERROR(__xludf.DUMMYFUNCTION("""COMPUTED_VALUE"""),117.99)</f>
        <v>117.99</v>
      </c>
      <c r="AM319" s="1">
        <f>IFERROR(__xludf.DUMMYFUNCTION("""COMPUTED_VALUE"""),730.96)</f>
        <v>730.96</v>
      </c>
      <c r="AN319" s="1">
        <f>IFERROR(__xludf.DUMMYFUNCTION("""COMPUTED_VALUE"""),394.7)</f>
        <v>394.7</v>
      </c>
      <c r="AO319" s="1">
        <f>IFERROR(__xludf.DUMMYFUNCTION("""COMPUTED_VALUE"""),134.9)</f>
        <v>134.9</v>
      </c>
      <c r="AP319" s="1">
        <f>IFERROR(__xludf.DUMMYFUNCTION("""COMPUTED_VALUE"""),177.94)</f>
        <v>177.94</v>
      </c>
      <c r="AQ319" s="3">
        <f>IFERROR(__xludf.DUMMYFUNCTION("""COMPUTED_VALUE"""),481.28)</f>
        <v>481.28</v>
      </c>
      <c r="AR319" s="3">
        <f>IFERROR(__xludf.DUMMYFUNCTION("""COMPUTED_VALUE"""),291.53)</f>
        <v>291.53</v>
      </c>
      <c r="AS319" s="3">
        <f>IFERROR(__xludf.DUMMYFUNCTION("""COMPUTED_VALUE"""),440.64)</f>
        <v>440.64</v>
      </c>
      <c r="AT319" s="3">
        <f>IFERROR(__xludf.DUMMYFUNCTION("""COMPUTED_VALUE"""),203.62)</f>
        <v>203.62</v>
      </c>
      <c r="AU319" s="1">
        <f>IFERROR(__xludf.DUMMYFUNCTION("""COMPUTED_VALUE"""),30.64)</f>
        <v>30.64</v>
      </c>
      <c r="AV319" s="1">
        <f>IFERROR(__xludf.DUMMYFUNCTION("""COMPUTED_VALUE"""),92.81)</f>
        <v>92.81</v>
      </c>
      <c r="AW319" s="1">
        <f>IFERROR(__xludf.DUMMYFUNCTION("""COMPUTED_VALUE"""),77.74)</f>
        <v>77.74</v>
      </c>
      <c r="AX319" s="3">
        <f>IFERROR(__xludf.DUMMYFUNCTION("""COMPUTED_VALUE"""),72.21)</f>
        <v>72.21</v>
      </c>
      <c r="AY319" s="1">
        <f>IFERROR(__xludf.DUMMYFUNCTION("""COMPUTED_VALUE"""),517.1)</f>
        <v>517.1</v>
      </c>
      <c r="AZ319" s="3">
        <f>IFERROR(__xludf.DUMMYFUNCTION("""COMPUTED_VALUE"""),75.72)</f>
        <v>75.72</v>
      </c>
      <c r="BA319" s="3">
        <f>IFERROR(__xludf.DUMMYFUNCTION("""COMPUTED_VALUE"""),150.44)</f>
        <v>150.44</v>
      </c>
      <c r="BB319" s="3">
        <f>IFERROR(__xludf.DUMMYFUNCTION("""COMPUTED_VALUE"""),182.01)</f>
        <v>182.01</v>
      </c>
      <c r="BC319" s="1">
        <f>IFERROR(__xludf.DUMMYFUNCTION("""COMPUTED_VALUE"""),87.61)</f>
        <v>87.61</v>
      </c>
      <c r="BD319" s="1">
        <f>IFERROR(__xludf.DUMMYFUNCTION("""COMPUTED_VALUE"""),45.22)</f>
        <v>45.22</v>
      </c>
      <c r="BE319" s="3">
        <f>IFERROR(__xludf.DUMMYFUNCTION("""COMPUTED_VALUE"""),174.03)</f>
        <v>174.03</v>
      </c>
      <c r="BF319" s="1">
        <f>IFERROR(__xludf.DUMMYFUNCTION("""COMPUTED_VALUE"""),69.53)</f>
        <v>69.53</v>
      </c>
      <c r="BG319" s="1">
        <f>IFERROR(__xludf.DUMMYFUNCTION("""COMPUTED_VALUE"""),25.07)</f>
        <v>25.07</v>
      </c>
      <c r="BH319" s="1">
        <f>IFERROR(__xludf.DUMMYFUNCTION("""COMPUTED_VALUE"""),155.5)</f>
        <v>155.5</v>
      </c>
      <c r="BI319" s="3">
        <f>IFERROR(__xludf.DUMMYFUNCTION("""COMPUTED_VALUE"""),36.45)</f>
        <v>36.45</v>
      </c>
      <c r="BJ319" s="1">
        <f>IFERROR(__xludf.DUMMYFUNCTION("""COMPUTED_VALUE"""),255.18)</f>
        <v>255.18</v>
      </c>
      <c r="BK319" s="1">
        <f>IFERROR(__xludf.DUMMYFUNCTION("""COMPUTED_VALUE"""),487.54)</f>
        <v>487.54</v>
      </c>
      <c r="BL319" s="1">
        <f>IFERROR(__xludf.DUMMYFUNCTION("""COMPUTED_VALUE"""),197.83)</f>
        <v>197.83</v>
      </c>
      <c r="BM319" s="1">
        <f>IFERROR(__xludf.DUMMYFUNCTION("""COMPUTED_VALUE"""),125.65)</f>
        <v>125.65</v>
      </c>
      <c r="BN319" s="3">
        <f>IFERROR(__xludf.DUMMYFUNCTION("""COMPUTED_VALUE"""),5.17)</f>
        <v>5.17</v>
      </c>
      <c r="BO319" s="1">
        <f>IFERROR(__xludf.DUMMYFUNCTION("""COMPUTED_VALUE"""),220.08)</f>
        <v>220.08</v>
      </c>
      <c r="BP319" s="1">
        <f>IFERROR(__xludf.DUMMYFUNCTION("""COMPUTED_VALUE"""),308.49)</f>
        <v>308.49</v>
      </c>
      <c r="BQ319" s="36">
        <f>IFERROR(__xludf.DUMMYFUNCTION("""COMPUTED_VALUE"""),50.25)</f>
        <v>50.25</v>
      </c>
      <c r="BR319" s="1">
        <f>IFERROR(__xludf.DUMMYFUNCTION("""COMPUTED_VALUE"""),10.63)</f>
        <v>10.63</v>
      </c>
      <c r="BS319" s="3">
        <f>IFERROR(__xludf.DUMMYFUNCTION("""COMPUTED_VALUE"""),224.2)</f>
        <v>224.2</v>
      </c>
      <c r="BT319" s="1">
        <f>IFERROR(__xludf.DUMMYFUNCTION("""COMPUTED_VALUE"""),116.55)</f>
        <v>116.55</v>
      </c>
      <c r="BU319" s="3">
        <v>1.0</v>
      </c>
    </row>
    <row r="320">
      <c r="A320" s="25">
        <f>IFERROR(__xludf.DUMMYFUNCTION("""COMPUTED_VALUE"""),45888.66666666667)</f>
        <v>45888.66667</v>
      </c>
      <c r="B320" s="29">
        <f>'Master Scratch Work'!B319</f>
        <v>1456162.63</v>
      </c>
      <c r="C320" s="15">
        <f>IFERROR(__xludf.DUMMYFUNCTION("""COMPUTED_VALUE"""),6411.37)</f>
        <v>6411.37</v>
      </c>
      <c r="D320" s="15">
        <f>IFERROR(__xludf.DUMMYFUNCTION("""COMPUTED_VALUE"""),21314.95)</f>
        <v>21314.95</v>
      </c>
      <c r="E320" s="15">
        <f>IFERROR(__xludf.DUMMYFUNCTION("""COMPUTED_VALUE"""),44922.27)</f>
        <v>44922.27</v>
      </c>
      <c r="F320" s="15">
        <f>IFERROR(__xludf.DUMMYFUNCTION("""COMPUTED_VALUE"""),2276.61)</f>
        <v>2276.61</v>
      </c>
      <c r="G320" s="3">
        <f>IFERROR(__xludf.DUMMYFUNCTION("""COMPUTED_VALUE"""),639.81)</f>
        <v>639.81</v>
      </c>
      <c r="H320" s="3">
        <f>IFERROR(__xludf.DUMMYFUNCTION("""COMPUTED_VALUE"""),569.28)</f>
        <v>569.28</v>
      </c>
      <c r="I320" s="3">
        <f>IFERROR(__xludf.DUMMYFUNCTION("""COMPUTED_VALUE"""),361.03)</f>
        <v>361.03</v>
      </c>
      <c r="J320" s="3">
        <f>IFERROR(__xludf.DUMMYFUNCTION("""COMPUTED_VALUE"""),228.01)</f>
        <v>228.01</v>
      </c>
      <c r="K320" s="3">
        <f>IFERROR(__xludf.DUMMYFUNCTION("""COMPUTED_VALUE"""),145.21)</f>
        <v>145.21</v>
      </c>
      <c r="L320" s="3">
        <f>IFERROR(__xludf.DUMMYFUNCTION("""COMPUTED_VALUE"""),230.56)</f>
        <v>230.56</v>
      </c>
      <c r="M320" s="3">
        <f>IFERROR(__xludf.DUMMYFUNCTION("""COMPUTED_VALUE"""),162.22)</f>
        <v>162.22</v>
      </c>
      <c r="N320" s="3">
        <f>IFERROR(__xludf.DUMMYFUNCTION("""COMPUTED_VALUE"""),101.08)</f>
        <v>101.08</v>
      </c>
      <c r="O320" s="3">
        <f>IFERROR(__xludf.DUMMYFUNCTION("""COMPUTED_VALUE"""),20.12)</f>
        <v>20.12</v>
      </c>
      <c r="P320" s="3">
        <f>IFERROR(__xludf.DUMMYFUNCTION("""COMPUTED_VALUE"""),485.31)</f>
        <v>485.31</v>
      </c>
      <c r="Q320" s="3">
        <f>IFERROR(__xludf.DUMMYFUNCTION("""COMPUTED_VALUE"""),53.7)</f>
        <v>53.7</v>
      </c>
      <c r="R320" s="3">
        <f>IFERROR(__xludf.DUMMYFUNCTION("""COMPUTED_VALUE"""),138.86)</f>
        <v>138.86</v>
      </c>
      <c r="S320" s="3">
        <f>IFERROR(__xludf.DUMMYFUNCTION("""COMPUTED_VALUE"""),103.75)</f>
        <v>103.75</v>
      </c>
      <c r="T320" s="3">
        <f>IFERROR(__xludf.DUMMYFUNCTION("""COMPUTED_VALUE"""),66.98)</f>
        <v>66.98</v>
      </c>
      <c r="U320" s="3">
        <f>IFERROR(__xludf.DUMMYFUNCTION("""COMPUTED_VALUE"""),416.09)</f>
        <v>416.09</v>
      </c>
      <c r="V320" s="3">
        <f>IFERROR(__xludf.DUMMYFUNCTION("""COMPUTED_VALUE"""),73.82)</f>
        <v>73.82</v>
      </c>
      <c r="W320" s="3">
        <f>IFERROR(__xludf.DUMMYFUNCTION("""COMPUTED_VALUE"""),188.0)</f>
        <v>188</v>
      </c>
      <c r="X320" s="3">
        <f>IFERROR(__xludf.DUMMYFUNCTION("""COMPUTED_VALUE"""),152.0)</f>
        <v>152</v>
      </c>
      <c r="Y320" s="1">
        <f>IFERROR(__xludf.DUMMYFUNCTION("""COMPUTED_VALUE"""),302.11)</f>
        <v>302.11</v>
      </c>
      <c r="Z320" s="1">
        <f>IFERROR(__xludf.DUMMYFUNCTION("""COMPUTED_VALUE"""),48.39)</f>
        <v>48.39</v>
      </c>
      <c r="AA320" s="1">
        <f>IFERROR(__xludf.DUMMYFUNCTION("""COMPUTED_VALUE"""),70.13)</f>
        <v>70.13</v>
      </c>
      <c r="AB320" s="1">
        <f>IFERROR(__xludf.DUMMYFUNCTION("""COMPUTED_VALUE"""),101.1)</f>
        <v>101.1</v>
      </c>
      <c r="AC320" s="1">
        <f>IFERROR(__xludf.DUMMYFUNCTION("""COMPUTED_VALUE"""),166.57)</f>
        <v>166.57</v>
      </c>
      <c r="AD320" s="3">
        <f>IFERROR(__xludf.DUMMYFUNCTION("""COMPUTED_VALUE"""),112.48)</f>
        <v>112.48</v>
      </c>
      <c r="AE320" s="1">
        <f>IFERROR(__xludf.DUMMYFUNCTION("""COMPUTED_VALUE"""),450.56)</f>
        <v>450.56</v>
      </c>
      <c r="AF320" s="1">
        <f>IFERROR(__xludf.DUMMYFUNCTION("""COMPUTED_VALUE"""),99.89)</f>
        <v>99.89</v>
      </c>
      <c r="AG320" s="1">
        <f>IFERROR(__xludf.DUMMYFUNCTION("""COMPUTED_VALUE"""),107.42)</f>
        <v>107.42</v>
      </c>
      <c r="AH320" s="1">
        <f>IFERROR(__xludf.DUMMYFUNCTION("""COMPUTED_VALUE"""),233.13)</f>
        <v>233.13</v>
      </c>
      <c r="AI320" s="1">
        <f>IFERROR(__xludf.DUMMYFUNCTION("""COMPUTED_VALUE"""),471.5)</f>
        <v>471.5</v>
      </c>
      <c r="AJ320" s="1">
        <f>IFERROR(__xludf.DUMMYFUNCTION("""COMPUTED_VALUE"""),316.4)</f>
        <v>316.4</v>
      </c>
      <c r="AK320" s="1">
        <f>IFERROR(__xludf.DUMMYFUNCTION("""COMPUTED_VALUE"""),57.06)</f>
        <v>57.06</v>
      </c>
      <c r="AL320" s="1">
        <f>IFERROR(__xludf.DUMMYFUNCTION("""COMPUTED_VALUE"""),117.98)</f>
        <v>117.98</v>
      </c>
      <c r="AM320" s="1">
        <f>IFERROR(__xludf.DUMMYFUNCTION("""COMPUTED_VALUE"""),721.38)</f>
        <v>721.38</v>
      </c>
      <c r="AN320" s="1">
        <f>IFERROR(__xludf.DUMMYFUNCTION("""COMPUTED_VALUE"""),407.2)</f>
        <v>407.2</v>
      </c>
      <c r="AO320" s="1">
        <f>IFERROR(__xludf.DUMMYFUNCTION("""COMPUTED_VALUE"""),135.75)</f>
        <v>135.75</v>
      </c>
      <c r="AP320" s="1">
        <f>IFERROR(__xludf.DUMMYFUNCTION("""COMPUTED_VALUE"""),178.27)</f>
        <v>178.27</v>
      </c>
      <c r="AQ320" s="3">
        <f>IFERROR(__xludf.DUMMYFUNCTION("""COMPUTED_VALUE"""),479.2)</f>
        <v>479.2</v>
      </c>
      <c r="AR320" s="3">
        <f>IFERROR(__xludf.DUMMYFUNCTION("""COMPUTED_VALUE"""),290.66)</f>
        <v>290.66</v>
      </c>
      <c r="AS320" s="3">
        <f>IFERROR(__xludf.DUMMYFUNCTION("""COMPUTED_VALUE"""),441.1)</f>
        <v>441.1</v>
      </c>
      <c r="AT320" s="3">
        <f>IFERROR(__xludf.DUMMYFUNCTION("""COMPUTED_VALUE"""),197.66)</f>
        <v>197.66</v>
      </c>
      <c r="AU320" s="1">
        <f>IFERROR(__xludf.DUMMYFUNCTION("""COMPUTED_VALUE"""),30.41)</f>
        <v>30.41</v>
      </c>
      <c r="AV320" s="1">
        <f>IFERROR(__xludf.DUMMYFUNCTION("""COMPUTED_VALUE"""),89.9)</f>
        <v>89.9</v>
      </c>
      <c r="AW320" s="1">
        <f>IFERROR(__xludf.DUMMYFUNCTION("""COMPUTED_VALUE"""),78.72)</f>
        <v>78.72</v>
      </c>
      <c r="AX320" s="3">
        <f>IFERROR(__xludf.DUMMYFUNCTION("""COMPUTED_VALUE"""),69.29)</f>
        <v>69.29</v>
      </c>
      <c r="AY320" s="1">
        <f>IFERROR(__xludf.DUMMYFUNCTION("""COMPUTED_VALUE"""),509.77)</f>
        <v>509.77</v>
      </c>
      <c r="AZ320" s="3">
        <f>IFERROR(__xludf.DUMMYFUNCTION("""COMPUTED_VALUE"""),76.51)</f>
        <v>76.51</v>
      </c>
      <c r="BA320" s="3">
        <f>IFERROR(__xludf.DUMMYFUNCTION("""COMPUTED_VALUE"""),148.38)</f>
        <v>148.38</v>
      </c>
      <c r="BB320" s="3">
        <f>IFERROR(__xludf.DUMMYFUNCTION("""COMPUTED_VALUE"""),175.64)</f>
        <v>175.64</v>
      </c>
      <c r="BC320" s="1">
        <f>IFERROR(__xludf.DUMMYFUNCTION("""COMPUTED_VALUE"""),88.59)</f>
        <v>88.59</v>
      </c>
      <c r="BD320" s="1">
        <f>IFERROR(__xludf.DUMMYFUNCTION("""COMPUTED_VALUE"""),45.03)</f>
        <v>45.03</v>
      </c>
      <c r="BE320" s="3">
        <f>IFERROR(__xludf.DUMMYFUNCTION("""COMPUTED_VALUE"""),157.75)</f>
        <v>157.75</v>
      </c>
      <c r="BF320" s="1">
        <f>IFERROR(__xludf.DUMMYFUNCTION("""COMPUTED_VALUE"""),69.05)</f>
        <v>69.05</v>
      </c>
      <c r="BG320" s="1">
        <f>IFERROR(__xludf.DUMMYFUNCTION("""COMPUTED_VALUE"""),25.32)</f>
        <v>25.32</v>
      </c>
      <c r="BH320" s="1">
        <f>IFERROR(__xludf.DUMMYFUNCTION("""COMPUTED_VALUE"""),153.66)</f>
        <v>153.66</v>
      </c>
      <c r="BI320" s="3">
        <f>IFERROR(__xludf.DUMMYFUNCTION("""COMPUTED_VALUE"""),36.54)</f>
        <v>36.54</v>
      </c>
      <c r="BJ320" s="1">
        <f>IFERROR(__xludf.DUMMYFUNCTION("""COMPUTED_VALUE"""),258.22)</f>
        <v>258.22</v>
      </c>
      <c r="BK320" s="1">
        <f>IFERROR(__xludf.DUMMYFUNCTION("""COMPUTED_VALUE"""),498.29)</f>
        <v>498.29</v>
      </c>
      <c r="BL320" s="1">
        <f>IFERROR(__xludf.DUMMYFUNCTION("""COMPUTED_VALUE"""),198.6)</f>
        <v>198.6</v>
      </c>
      <c r="BM320" s="1">
        <f>IFERROR(__xludf.DUMMYFUNCTION("""COMPUTED_VALUE"""),122.68)</f>
        <v>122.68</v>
      </c>
      <c r="BN320" s="3">
        <f>IFERROR(__xludf.DUMMYFUNCTION("""COMPUTED_VALUE"""),5.08)</f>
        <v>5.08</v>
      </c>
      <c r="BO320" s="1">
        <f>IFERROR(__xludf.DUMMYFUNCTION("""COMPUTED_VALUE"""),223.77)</f>
        <v>223.77</v>
      </c>
      <c r="BP320" s="1">
        <f>IFERROR(__xludf.DUMMYFUNCTION("""COMPUTED_VALUE"""),304.24)</f>
        <v>304.24</v>
      </c>
      <c r="BQ320" s="36">
        <f>IFERROR(__xludf.DUMMYFUNCTION("""COMPUTED_VALUE"""),50.29)</f>
        <v>50.29</v>
      </c>
      <c r="BR320" s="1">
        <f>IFERROR(__xludf.DUMMYFUNCTION("""COMPUTED_VALUE"""),10.68)</f>
        <v>10.68</v>
      </c>
      <c r="BS320" s="3">
        <f>IFERROR(__xludf.DUMMYFUNCTION("""COMPUTED_VALUE"""),228.49)</f>
        <v>228.49</v>
      </c>
      <c r="BT320" s="1">
        <f>IFERROR(__xludf.DUMMYFUNCTION("""COMPUTED_VALUE"""),116.27)</f>
        <v>116.27</v>
      </c>
      <c r="BU320" s="3">
        <v>1.0</v>
      </c>
    </row>
    <row r="321">
      <c r="A321" s="25">
        <f>IFERROR(__xludf.DUMMYFUNCTION("""COMPUTED_VALUE"""),45889.66666666667)</f>
        <v>45889.66667</v>
      </c>
      <c r="B321" s="29">
        <f>'Master Scratch Work'!B320</f>
        <v>1453340.67</v>
      </c>
      <c r="C321" s="15">
        <f>IFERROR(__xludf.DUMMYFUNCTION("""COMPUTED_VALUE"""),6395.78)</f>
        <v>6395.78</v>
      </c>
      <c r="D321" s="15">
        <f>IFERROR(__xludf.DUMMYFUNCTION("""COMPUTED_VALUE"""),21172.86)</f>
        <v>21172.86</v>
      </c>
      <c r="E321" s="15">
        <f>IFERROR(__xludf.DUMMYFUNCTION("""COMPUTED_VALUE"""),44938.31)</f>
        <v>44938.31</v>
      </c>
      <c r="F321" s="15">
        <f>IFERROR(__xludf.DUMMYFUNCTION("""COMPUTED_VALUE"""),2269.35)</f>
        <v>2269.35</v>
      </c>
      <c r="G321" s="3">
        <f>IFERROR(__xludf.DUMMYFUNCTION("""COMPUTED_VALUE"""),638.11)</f>
        <v>638.11</v>
      </c>
      <c r="H321" s="3">
        <f>IFERROR(__xludf.DUMMYFUNCTION("""COMPUTED_VALUE"""),565.9)</f>
        <v>565.9</v>
      </c>
      <c r="I321" s="3">
        <f>IFERROR(__xludf.DUMMYFUNCTION("""COMPUTED_VALUE"""),353.43)</f>
        <v>353.43</v>
      </c>
      <c r="J321" s="3">
        <f>IFERROR(__xludf.DUMMYFUNCTION("""COMPUTED_VALUE"""),223.81)</f>
        <v>223.81</v>
      </c>
      <c r="K321" s="3">
        <f>IFERROR(__xludf.DUMMYFUNCTION("""COMPUTED_VALUE"""),145.62)</f>
        <v>145.62</v>
      </c>
      <c r="L321" s="3">
        <f>IFERROR(__xludf.DUMMYFUNCTION("""COMPUTED_VALUE"""),226.01)</f>
        <v>226.01</v>
      </c>
      <c r="M321" s="3">
        <f>IFERROR(__xludf.DUMMYFUNCTION("""COMPUTED_VALUE"""),160.96)</f>
        <v>160.96</v>
      </c>
      <c r="N321" s="3">
        <f>IFERROR(__xludf.DUMMYFUNCTION("""COMPUTED_VALUE"""),101.25)</f>
        <v>101.25</v>
      </c>
      <c r="O321" s="3">
        <f>IFERROR(__xludf.DUMMYFUNCTION("""COMPUTED_VALUE"""),20.26)</f>
        <v>20.26</v>
      </c>
      <c r="P321" s="3">
        <f>IFERROR(__xludf.DUMMYFUNCTION("""COMPUTED_VALUE"""),488.68)</f>
        <v>488.68</v>
      </c>
      <c r="Q321" s="3">
        <f>IFERROR(__xludf.DUMMYFUNCTION("""COMPUTED_VALUE"""),53.59)</f>
        <v>53.59</v>
      </c>
      <c r="R321" s="3">
        <f>IFERROR(__xludf.DUMMYFUNCTION("""COMPUTED_VALUE"""),138.99)</f>
        <v>138.99</v>
      </c>
      <c r="S321" s="3">
        <f>IFERROR(__xludf.DUMMYFUNCTION("""COMPUTED_VALUE"""),106.05)</f>
        <v>106.05</v>
      </c>
      <c r="T321" s="3">
        <f>IFERROR(__xludf.DUMMYFUNCTION("""COMPUTED_VALUE"""),66.84)</f>
        <v>66.84</v>
      </c>
      <c r="U321" s="3">
        <f>IFERROR(__xludf.DUMMYFUNCTION("""COMPUTED_VALUE"""),420.59)</f>
        <v>420.59</v>
      </c>
      <c r="V321" s="3">
        <f>IFERROR(__xludf.DUMMYFUNCTION("""COMPUTED_VALUE"""),70.47)</f>
        <v>70.47</v>
      </c>
      <c r="W321" s="3">
        <f>IFERROR(__xludf.DUMMYFUNCTION("""COMPUTED_VALUE"""),189.29)</f>
        <v>189.29</v>
      </c>
      <c r="X321" s="3">
        <f>IFERROR(__xludf.DUMMYFUNCTION("""COMPUTED_VALUE"""),153.22)</f>
        <v>153.22</v>
      </c>
      <c r="Y321" s="1">
        <f>IFERROR(__xludf.DUMMYFUNCTION("""COMPUTED_VALUE"""),304.57)</f>
        <v>304.57</v>
      </c>
      <c r="Z321" s="1">
        <f>IFERROR(__xludf.DUMMYFUNCTION("""COMPUTED_VALUE"""),48.81)</f>
        <v>48.81</v>
      </c>
      <c r="AA321" s="1">
        <f>IFERROR(__xludf.DUMMYFUNCTION("""COMPUTED_VALUE"""),70.7)</f>
        <v>70.7</v>
      </c>
      <c r="AB321" s="1">
        <f>IFERROR(__xludf.DUMMYFUNCTION("""COMPUTED_VALUE"""),101.76)</f>
        <v>101.76</v>
      </c>
      <c r="AC321" s="1">
        <f>IFERROR(__xludf.DUMMYFUNCTION("""COMPUTED_VALUE"""),165.33)</f>
        <v>165.33</v>
      </c>
      <c r="AD321" s="3">
        <f>IFERROR(__xludf.DUMMYFUNCTION("""COMPUTED_VALUE"""),113.35)</f>
        <v>113.35</v>
      </c>
      <c r="AE321" s="1">
        <f>IFERROR(__xludf.DUMMYFUNCTION("""COMPUTED_VALUE"""),442.86)</f>
        <v>442.86</v>
      </c>
      <c r="AF321" s="1">
        <f>IFERROR(__xludf.DUMMYFUNCTION("""COMPUTED_VALUE"""),99.15)</f>
        <v>99.15</v>
      </c>
      <c r="AG321" s="1">
        <f>IFERROR(__xludf.DUMMYFUNCTION("""COMPUTED_VALUE"""),108.53)</f>
        <v>108.53</v>
      </c>
      <c r="AH321" s="1">
        <f>IFERROR(__xludf.DUMMYFUNCTION("""COMPUTED_VALUE"""),227.21)</f>
        <v>227.21</v>
      </c>
      <c r="AI321" s="1">
        <f>IFERROR(__xludf.DUMMYFUNCTION("""COMPUTED_VALUE"""),468.42)</f>
        <v>468.42</v>
      </c>
      <c r="AJ321" s="1">
        <f>IFERROR(__xludf.DUMMYFUNCTION("""COMPUTED_VALUE"""),317.48)</f>
        <v>317.48</v>
      </c>
      <c r="AK321" s="1">
        <f>IFERROR(__xludf.DUMMYFUNCTION("""COMPUTED_VALUE"""),56.77)</f>
        <v>56.77</v>
      </c>
      <c r="AL321" s="1">
        <f>IFERROR(__xludf.DUMMYFUNCTION("""COMPUTED_VALUE"""),118.73)</f>
        <v>118.73</v>
      </c>
      <c r="AM321" s="1">
        <f>IFERROR(__xludf.DUMMYFUNCTION("""COMPUTED_VALUE"""),720.68)</f>
        <v>720.68</v>
      </c>
      <c r="AN321" s="1">
        <f>IFERROR(__xludf.DUMMYFUNCTION("""COMPUTED_VALUE"""),401.74)</f>
        <v>401.74</v>
      </c>
      <c r="AO321" s="1">
        <f>IFERROR(__xludf.DUMMYFUNCTION("""COMPUTED_VALUE"""),135.29)</f>
        <v>135.29</v>
      </c>
      <c r="AP321" s="1">
        <f>IFERROR(__xludf.DUMMYFUNCTION("""COMPUTED_VALUE"""),181.3)</f>
        <v>181.3</v>
      </c>
      <c r="AQ321" s="3">
        <f>IFERROR(__xludf.DUMMYFUNCTION("""COMPUTED_VALUE"""),480.45)</f>
        <v>480.45</v>
      </c>
      <c r="AR321" s="3">
        <f>IFERROR(__xludf.DUMMYFUNCTION("""COMPUTED_VALUE"""),292.24)</f>
        <v>292.24</v>
      </c>
      <c r="AS321" s="3">
        <f>IFERROR(__xludf.DUMMYFUNCTION("""COMPUTED_VALUE"""),446.0)</f>
        <v>446</v>
      </c>
      <c r="AT321" s="3">
        <f>IFERROR(__xludf.DUMMYFUNCTION("""COMPUTED_VALUE"""),198.12)</f>
        <v>198.12</v>
      </c>
      <c r="AU321" s="1">
        <f>IFERROR(__xludf.DUMMYFUNCTION("""COMPUTED_VALUE"""),30.08)</f>
        <v>30.08</v>
      </c>
      <c r="AV321" s="1">
        <f>IFERROR(__xludf.DUMMYFUNCTION("""COMPUTED_VALUE"""),93.22)</f>
        <v>93.22</v>
      </c>
      <c r="AW321" s="1">
        <f>IFERROR(__xludf.DUMMYFUNCTION("""COMPUTED_VALUE"""),79.03)</f>
        <v>79.03</v>
      </c>
      <c r="AX321" s="3">
        <f>IFERROR(__xludf.DUMMYFUNCTION("""COMPUTED_VALUE"""),68.17)</f>
        <v>68.17</v>
      </c>
      <c r="AY321" s="1">
        <f>IFERROR(__xludf.DUMMYFUNCTION("""COMPUTED_VALUE"""),505.72)</f>
        <v>505.72</v>
      </c>
      <c r="AZ321" s="3">
        <f>IFERROR(__xludf.DUMMYFUNCTION("""COMPUTED_VALUE"""),76.18)</f>
        <v>76.18</v>
      </c>
      <c r="BA321" s="3">
        <f>IFERROR(__xludf.DUMMYFUNCTION("""COMPUTED_VALUE"""),148.19)</f>
        <v>148.19</v>
      </c>
      <c r="BB321" s="3">
        <f>IFERROR(__xludf.DUMMYFUNCTION("""COMPUTED_VALUE"""),175.4)</f>
        <v>175.4</v>
      </c>
      <c r="BC321" s="1">
        <f>IFERROR(__xludf.DUMMYFUNCTION("""COMPUTED_VALUE"""),89.12)</f>
        <v>89.12</v>
      </c>
      <c r="BD321" s="1">
        <f>IFERROR(__xludf.DUMMYFUNCTION("""COMPUTED_VALUE"""),45.24)</f>
        <v>45.24</v>
      </c>
      <c r="BE321" s="3">
        <f>IFERROR(__xludf.DUMMYFUNCTION("""COMPUTED_VALUE"""),156.01)</f>
        <v>156.01</v>
      </c>
      <c r="BF321" s="1">
        <f>IFERROR(__xludf.DUMMYFUNCTION("""COMPUTED_VALUE"""),68.08)</f>
        <v>68.08</v>
      </c>
      <c r="BG321" s="1">
        <f>IFERROR(__xludf.DUMMYFUNCTION("""COMPUTED_VALUE"""),25.38)</f>
        <v>25.38</v>
      </c>
      <c r="BH321" s="1">
        <f>IFERROR(__xludf.DUMMYFUNCTION("""COMPUTED_VALUE"""),156.59)</f>
        <v>156.59</v>
      </c>
      <c r="BI321" s="3">
        <f>IFERROR(__xludf.DUMMYFUNCTION("""COMPUTED_VALUE"""),36.16)</f>
        <v>36.16</v>
      </c>
      <c r="BJ321" s="1">
        <f>IFERROR(__xludf.DUMMYFUNCTION("""COMPUTED_VALUE"""),259.01)</f>
        <v>259.01</v>
      </c>
      <c r="BK321" s="1">
        <f>IFERROR(__xludf.DUMMYFUNCTION("""COMPUTED_VALUE"""),494.81)</f>
        <v>494.81</v>
      </c>
      <c r="BL321" s="1">
        <f>IFERROR(__xludf.DUMMYFUNCTION("""COMPUTED_VALUE"""),199.19)</f>
        <v>199.19</v>
      </c>
      <c r="BM321" s="1">
        <f>IFERROR(__xludf.DUMMYFUNCTION("""COMPUTED_VALUE"""),121.88)</f>
        <v>121.88</v>
      </c>
      <c r="BN321" s="3">
        <f>IFERROR(__xludf.DUMMYFUNCTION("""COMPUTED_VALUE"""),5.13)</f>
        <v>5.13</v>
      </c>
      <c r="BO321" s="1">
        <f>IFERROR(__xludf.DUMMYFUNCTION("""COMPUTED_VALUE"""),225.68)</f>
        <v>225.68</v>
      </c>
      <c r="BP321" s="1">
        <f>IFERROR(__xludf.DUMMYFUNCTION("""COMPUTED_VALUE"""),299.84)</f>
        <v>299.84</v>
      </c>
      <c r="BQ321" s="36">
        <f>IFERROR(__xludf.DUMMYFUNCTION("""COMPUTED_VALUE"""),50.32)</f>
        <v>50.32</v>
      </c>
      <c r="BR321" s="1">
        <f>IFERROR(__xludf.DUMMYFUNCTION("""COMPUTED_VALUE"""),10.65)</f>
        <v>10.65</v>
      </c>
      <c r="BS321" s="3">
        <f>IFERROR(__xludf.DUMMYFUNCTION("""COMPUTED_VALUE"""),230.03)</f>
        <v>230.03</v>
      </c>
      <c r="BT321" s="1">
        <f>IFERROR(__xludf.DUMMYFUNCTION("""COMPUTED_VALUE"""),117.04)</f>
        <v>117.04</v>
      </c>
      <c r="BU321" s="3">
        <v>1.0</v>
      </c>
    </row>
    <row r="322">
      <c r="A322" s="25">
        <f>IFERROR(__xludf.DUMMYFUNCTION("""COMPUTED_VALUE"""),45890.66666666667)</f>
        <v>45890.66667</v>
      </c>
      <c r="B322" s="29">
        <f>'Master Scratch Work'!B321</f>
        <v>1448038.2</v>
      </c>
      <c r="C322" s="15">
        <f>IFERROR(__xludf.DUMMYFUNCTION("""COMPUTED_VALUE"""),6370.17)</f>
        <v>6370.17</v>
      </c>
      <c r="D322" s="15">
        <f>IFERROR(__xludf.DUMMYFUNCTION("""COMPUTED_VALUE"""),21100.31)</f>
        <v>21100.31</v>
      </c>
      <c r="E322" s="15">
        <f>IFERROR(__xludf.DUMMYFUNCTION("""COMPUTED_VALUE"""),44785.5)</f>
        <v>44785.5</v>
      </c>
      <c r="F322" s="15">
        <f>IFERROR(__xludf.DUMMYFUNCTION("""COMPUTED_VALUE"""),2274.1)</f>
        <v>2274.1</v>
      </c>
      <c r="G322" s="3">
        <f>IFERROR(__xludf.DUMMYFUNCTION("""COMPUTED_VALUE"""),635.55)</f>
        <v>635.55</v>
      </c>
      <c r="H322" s="3">
        <f>IFERROR(__xludf.DUMMYFUNCTION("""COMPUTED_VALUE"""),563.28)</f>
        <v>563.28</v>
      </c>
      <c r="I322" s="3">
        <f>IFERROR(__xludf.DUMMYFUNCTION("""COMPUTED_VALUE"""),353.43)</f>
        <v>353.43</v>
      </c>
      <c r="J322" s="3">
        <f>IFERROR(__xludf.DUMMYFUNCTION("""COMPUTED_VALUE"""),221.95)</f>
        <v>221.95</v>
      </c>
      <c r="K322" s="3">
        <f>IFERROR(__xludf.DUMMYFUNCTION("""COMPUTED_VALUE"""),145.87)</f>
        <v>145.87</v>
      </c>
      <c r="L322" s="3">
        <f>IFERROR(__xludf.DUMMYFUNCTION("""COMPUTED_VALUE"""),224.9)</f>
        <v>224.9</v>
      </c>
      <c r="M322" s="3">
        <f>IFERROR(__xludf.DUMMYFUNCTION("""COMPUTED_VALUE"""),159.84)</f>
        <v>159.84</v>
      </c>
      <c r="N322" s="3">
        <f>IFERROR(__xludf.DUMMYFUNCTION("""COMPUTED_VALUE"""),101.78)</f>
        <v>101.78</v>
      </c>
      <c r="O322" s="3">
        <f>IFERROR(__xludf.DUMMYFUNCTION("""COMPUTED_VALUE"""),20.22)</f>
        <v>20.22</v>
      </c>
      <c r="P322" s="3">
        <f>IFERROR(__xludf.DUMMYFUNCTION("""COMPUTED_VALUE"""),488.59)</f>
        <v>488.59</v>
      </c>
      <c r="Q322" s="3">
        <f>IFERROR(__xludf.DUMMYFUNCTION("""COMPUTED_VALUE"""),54.5)</f>
        <v>54.5</v>
      </c>
      <c r="R322" s="3">
        <f>IFERROR(__xludf.DUMMYFUNCTION("""COMPUTED_VALUE"""),139.12)</f>
        <v>139.12</v>
      </c>
      <c r="S322" s="3">
        <f>IFERROR(__xludf.DUMMYFUNCTION("""COMPUTED_VALUE"""),105.21)</f>
        <v>105.21</v>
      </c>
      <c r="T322" s="3">
        <f>IFERROR(__xludf.DUMMYFUNCTION("""COMPUTED_VALUE"""),65.01)</f>
        <v>65.01</v>
      </c>
      <c r="U322" s="3">
        <f>IFERROR(__xludf.DUMMYFUNCTION("""COMPUTED_VALUE"""),417.89)</f>
        <v>417.89</v>
      </c>
      <c r="V322" s="3">
        <f>IFERROR(__xludf.DUMMYFUNCTION("""COMPUTED_VALUE"""),71.43)</f>
        <v>71.43</v>
      </c>
      <c r="W322" s="3">
        <f>IFERROR(__xludf.DUMMYFUNCTION("""COMPUTED_VALUE"""),188.41)</f>
        <v>188.41</v>
      </c>
      <c r="X322" s="3">
        <f>IFERROR(__xludf.DUMMYFUNCTION("""COMPUTED_VALUE"""),155.55)</f>
        <v>155.55</v>
      </c>
      <c r="Y322" s="1">
        <f>IFERROR(__xludf.DUMMYFUNCTION("""COMPUTED_VALUE"""),300.95)</f>
        <v>300.95</v>
      </c>
      <c r="Z322" s="1">
        <f>IFERROR(__xludf.DUMMYFUNCTION("""COMPUTED_VALUE"""),48.46)</f>
        <v>48.46</v>
      </c>
      <c r="AA322" s="1">
        <f>IFERROR(__xludf.DUMMYFUNCTION("""COMPUTED_VALUE"""),70.66)</f>
        <v>70.66</v>
      </c>
      <c r="AB322" s="1">
        <f>IFERROR(__xludf.DUMMYFUNCTION("""COMPUTED_VALUE"""),101.5)</f>
        <v>101.5</v>
      </c>
      <c r="AC322" s="1">
        <f>IFERROR(__xludf.DUMMYFUNCTION("""COMPUTED_VALUE"""),163.78)</f>
        <v>163.78</v>
      </c>
      <c r="AD322" s="3">
        <f>IFERROR(__xludf.DUMMYFUNCTION("""COMPUTED_VALUE"""),112.59)</f>
        <v>112.59</v>
      </c>
      <c r="AE322" s="1">
        <f>IFERROR(__xludf.DUMMYFUNCTION("""COMPUTED_VALUE"""),446.86)</f>
        <v>446.86</v>
      </c>
      <c r="AF322" s="1">
        <f>IFERROR(__xludf.DUMMYFUNCTION("""COMPUTED_VALUE"""),98.86)</f>
        <v>98.86</v>
      </c>
      <c r="AG322" s="1">
        <f>IFERROR(__xludf.DUMMYFUNCTION("""COMPUTED_VALUE"""),109.23)</f>
        <v>109.23</v>
      </c>
      <c r="AH322" s="1">
        <f>IFERROR(__xludf.DUMMYFUNCTION("""COMPUTED_VALUE"""),225.28)</f>
        <v>225.28</v>
      </c>
      <c r="AI322" s="1">
        <f>IFERROR(__xludf.DUMMYFUNCTION("""COMPUTED_VALUE"""),467.02)</f>
        <v>467.02</v>
      </c>
      <c r="AJ322" s="1">
        <f>IFERROR(__xludf.DUMMYFUNCTION("""COMPUTED_VALUE"""),316.53)</f>
        <v>316.53</v>
      </c>
      <c r="AK322" s="1">
        <f>IFERROR(__xludf.DUMMYFUNCTION("""COMPUTED_VALUE"""),56.51)</f>
        <v>56.51</v>
      </c>
      <c r="AL322" s="1">
        <f>IFERROR(__xludf.DUMMYFUNCTION("""COMPUTED_VALUE"""),116.14)</f>
        <v>116.14</v>
      </c>
      <c r="AM322" s="1">
        <f>IFERROR(__xludf.DUMMYFUNCTION("""COMPUTED_VALUE"""),715.95)</f>
        <v>715.95</v>
      </c>
      <c r="AN322" s="1">
        <f>IFERROR(__xludf.DUMMYFUNCTION("""COMPUTED_VALUE"""),397.7)</f>
        <v>397.7</v>
      </c>
      <c r="AO322" s="1">
        <f>IFERROR(__xludf.DUMMYFUNCTION("""COMPUTED_VALUE"""),135.39)</f>
        <v>135.39</v>
      </c>
      <c r="AP322" s="1">
        <f>IFERROR(__xludf.DUMMYFUNCTION("""COMPUTED_VALUE"""),179.23)</f>
        <v>179.23</v>
      </c>
      <c r="AQ322" s="3">
        <f>IFERROR(__xludf.DUMMYFUNCTION("""COMPUTED_VALUE"""),469.88)</f>
        <v>469.88</v>
      </c>
      <c r="AR322" s="3">
        <f>IFERROR(__xludf.DUMMYFUNCTION("""COMPUTED_VALUE"""),291.47)</f>
        <v>291.47</v>
      </c>
      <c r="AS322" s="3">
        <f>IFERROR(__xludf.DUMMYFUNCTION("""COMPUTED_VALUE"""),447.2)</f>
        <v>447.2</v>
      </c>
      <c r="AT322" s="3">
        <f>IFERROR(__xludf.DUMMYFUNCTION("""COMPUTED_VALUE"""),198.18)</f>
        <v>198.18</v>
      </c>
      <c r="AU322" s="1">
        <f>IFERROR(__xludf.DUMMYFUNCTION("""COMPUTED_VALUE"""),30.06)</f>
        <v>30.06</v>
      </c>
      <c r="AV322" s="1">
        <f>IFERROR(__xludf.DUMMYFUNCTION("""COMPUTED_VALUE"""),91.1)</f>
        <v>91.1</v>
      </c>
      <c r="AW322" s="1">
        <f>IFERROR(__xludf.DUMMYFUNCTION("""COMPUTED_VALUE"""),79.24)</f>
        <v>79.24</v>
      </c>
      <c r="AX322" s="3">
        <f>IFERROR(__xludf.DUMMYFUNCTION("""COMPUTED_VALUE"""),68.28)</f>
        <v>68.28</v>
      </c>
      <c r="AY322" s="1">
        <f>IFERROR(__xludf.DUMMYFUNCTION("""COMPUTED_VALUE"""),504.24)</f>
        <v>504.24</v>
      </c>
      <c r="AZ322" s="3">
        <f>IFERROR(__xludf.DUMMYFUNCTION("""COMPUTED_VALUE"""),76.08)</f>
        <v>76.08</v>
      </c>
      <c r="BA322" s="3">
        <f>IFERROR(__xludf.DUMMYFUNCTION("""COMPUTED_VALUE"""),145.89)</f>
        <v>145.89</v>
      </c>
      <c r="BB322" s="3">
        <f>IFERROR(__xludf.DUMMYFUNCTION("""COMPUTED_VALUE"""),174.98)</f>
        <v>174.98</v>
      </c>
      <c r="BC322" s="1">
        <f>IFERROR(__xludf.DUMMYFUNCTION("""COMPUTED_VALUE"""),87.57)</f>
        <v>87.57</v>
      </c>
      <c r="BD322" s="1">
        <f>IFERROR(__xludf.DUMMYFUNCTION("""COMPUTED_VALUE"""),44.58)</f>
        <v>44.58</v>
      </c>
      <c r="BE322" s="3">
        <f>IFERROR(__xludf.DUMMYFUNCTION("""COMPUTED_VALUE"""),156.18)</f>
        <v>156.18</v>
      </c>
      <c r="BF322" s="1">
        <f>IFERROR(__xludf.DUMMYFUNCTION("""COMPUTED_VALUE"""),67.55)</f>
        <v>67.55</v>
      </c>
      <c r="BG322" s="1">
        <f>IFERROR(__xludf.DUMMYFUNCTION("""COMPUTED_VALUE"""),25.74)</f>
        <v>25.74</v>
      </c>
      <c r="BH322" s="1">
        <f>IFERROR(__xludf.DUMMYFUNCTION("""COMPUTED_VALUE"""),156.32)</f>
        <v>156.32</v>
      </c>
      <c r="BI322" s="3">
        <f>IFERROR(__xludf.DUMMYFUNCTION("""COMPUTED_VALUE"""),36.48)</f>
        <v>36.48</v>
      </c>
      <c r="BJ322" s="1">
        <f>IFERROR(__xludf.DUMMYFUNCTION("""COMPUTED_VALUE"""),258.16)</f>
        <v>258.16</v>
      </c>
      <c r="BK322" s="1">
        <f>IFERROR(__xludf.DUMMYFUNCTION("""COMPUTED_VALUE"""),483.76)</f>
        <v>483.76</v>
      </c>
      <c r="BL322" s="1">
        <f>IFERROR(__xludf.DUMMYFUNCTION("""COMPUTED_VALUE"""),197.27)</f>
        <v>197.27</v>
      </c>
      <c r="BM322" s="1">
        <f>IFERROR(__xludf.DUMMYFUNCTION("""COMPUTED_VALUE"""),118.81)</f>
        <v>118.81</v>
      </c>
      <c r="BN322" s="3">
        <f>IFERROR(__xludf.DUMMYFUNCTION("""COMPUTED_VALUE"""),5.05)</f>
        <v>5.05</v>
      </c>
      <c r="BO322" s="1">
        <f>IFERROR(__xludf.DUMMYFUNCTION("""COMPUTED_VALUE"""),225.3)</f>
        <v>225.3</v>
      </c>
      <c r="BP322" s="1">
        <f>IFERROR(__xludf.DUMMYFUNCTION("""COMPUTED_VALUE"""),303.35)</f>
        <v>303.35</v>
      </c>
      <c r="BQ322" s="36">
        <f>IFERROR(__xludf.DUMMYFUNCTION("""COMPUTED_VALUE"""),50.31)</f>
        <v>50.31</v>
      </c>
      <c r="BR322" s="1">
        <f>IFERROR(__xludf.DUMMYFUNCTION("""COMPUTED_VALUE"""),10.69)</f>
        <v>10.69</v>
      </c>
      <c r="BS322" s="3">
        <f>IFERROR(__xludf.DUMMYFUNCTION("""COMPUTED_VALUE"""),229.61)</f>
        <v>229.61</v>
      </c>
      <c r="BT322" s="1">
        <f>IFERROR(__xludf.DUMMYFUNCTION("""COMPUTED_VALUE"""),116.21)</f>
        <v>116.21</v>
      </c>
      <c r="BU322" s="3">
        <v>1.0</v>
      </c>
    </row>
    <row r="323">
      <c r="A323" s="25">
        <f>IFERROR(__xludf.DUMMYFUNCTION("""COMPUTED_VALUE"""),45891.66666666667)</f>
        <v>45891.66667</v>
      </c>
      <c r="B323" s="29">
        <f>'Master Scratch Work'!B322</f>
        <v>1468153.72</v>
      </c>
      <c r="C323" s="15">
        <f>IFERROR(__xludf.DUMMYFUNCTION("""COMPUTED_VALUE"""),6466.91)</f>
        <v>6466.91</v>
      </c>
      <c r="D323" s="15">
        <f>IFERROR(__xludf.DUMMYFUNCTION("""COMPUTED_VALUE"""),21496.54)</f>
        <v>21496.54</v>
      </c>
      <c r="E323" s="15">
        <f>IFERROR(__xludf.DUMMYFUNCTION("""COMPUTED_VALUE"""),45631.74)</f>
        <v>45631.74</v>
      </c>
      <c r="F323" s="15">
        <f>IFERROR(__xludf.DUMMYFUNCTION("""COMPUTED_VALUE"""),2361.95)</f>
        <v>2361.95</v>
      </c>
      <c r="G323" s="3">
        <f>IFERROR(__xludf.DUMMYFUNCTION("""COMPUTED_VALUE"""),645.31)</f>
        <v>645.31</v>
      </c>
      <c r="H323" s="3">
        <f>IFERROR(__xludf.DUMMYFUNCTION("""COMPUTED_VALUE"""),571.97)</f>
        <v>571.97</v>
      </c>
      <c r="I323" s="3">
        <f>IFERROR(__xludf.DUMMYFUNCTION("""COMPUTED_VALUE"""),362.09)</f>
        <v>362.09</v>
      </c>
      <c r="J323" s="3">
        <f>IFERROR(__xludf.DUMMYFUNCTION("""COMPUTED_VALUE"""),228.84)</f>
        <v>228.84</v>
      </c>
      <c r="K323" s="3">
        <f>IFERROR(__xludf.DUMMYFUNCTION("""COMPUTED_VALUE"""),146.2)</f>
        <v>146.2</v>
      </c>
      <c r="L323" s="3">
        <f>IFERROR(__xludf.DUMMYFUNCTION("""COMPUTED_VALUE"""),227.76)</f>
        <v>227.76</v>
      </c>
      <c r="M323" s="3">
        <f>IFERROR(__xludf.DUMMYFUNCTION("""COMPUTED_VALUE"""),162.49)</f>
        <v>162.49</v>
      </c>
      <c r="N323" s="3">
        <f>IFERROR(__xludf.DUMMYFUNCTION("""COMPUTED_VALUE"""),102.54)</f>
        <v>102.54</v>
      </c>
      <c r="O323" s="3">
        <f>IFERROR(__xludf.DUMMYFUNCTION("""COMPUTED_VALUE"""),20.47)</f>
        <v>20.47</v>
      </c>
      <c r="P323" s="3">
        <f>IFERROR(__xludf.DUMMYFUNCTION("""COMPUTED_VALUE"""),489.0)</f>
        <v>489</v>
      </c>
      <c r="Q323" s="3">
        <f>IFERROR(__xludf.DUMMYFUNCTION("""COMPUTED_VALUE"""),55.95)</f>
        <v>55.95</v>
      </c>
      <c r="R323" s="3">
        <f>IFERROR(__xludf.DUMMYFUNCTION("""COMPUTED_VALUE"""),139.31)</f>
        <v>139.31</v>
      </c>
      <c r="S323" s="3">
        <f>IFERROR(__xludf.DUMMYFUNCTION("""COMPUTED_VALUE"""),106.17)</f>
        <v>106.17</v>
      </c>
      <c r="T323" s="3">
        <f>IFERROR(__xludf.DUMMYFUNCTION("""COMPUTED_VALUE"""),67.75)</f>
        <v>67.75</v>
      </c>
      <c r="U323" s="3">
        <f>IFERROR(__xludf.DUMMYFUNCTION("""COMPUTED_VALUE"""),435.67)</f>
        <v>435.67</v>
      </c>
      <c r="V323" s="3">
        <f>IFERROR(__xludf.DUMMYFUNCTION("""COMPUTED_VALUE"""),74.91)</f>
        <v>74.91</v>
      </c>
      <c r="W323" s="3">
        <f>IFERROR(__xludf.DUMMYFUNCTION("""COMPUTED_VALUE"""),190.42)</f>
        <v>190.42</v>
      </c>
      <c r="X323" s="3">
        <f>IFERROR(__xludf.DUMMYFUNCTION("""COMPUTED_VALUE"""),158.18)</f>
        <v>158.18</v>
      </c>
      <c r="Y323" s="1">
        <f>IFERROR(__xludf.DUMMYFUNCTION("""COMPUTED_VALUE"""),304.35)</f>
        <v>304.35</v>
      </c>
      <c r="Z323" s="1">
        <f>IFERROR(__xludf.DUMMYFUNCTION("""COMPUTED_VALUE"""),50.77)</f>
        <v>50.77</v>
      </c>
      <c r="AA323" s="1">
        <f>IFERROR(__xludf.DUMMYFUNCTION("""COMPUTED_VALUE"""),70.13)</f>
        <v>70.13</v>
      </c>
      <c r="AB323" s="1">
        <f>IFERROR(__xludf.DUMMYFUNCTION("""COMPUTED_VALUE"""),101.65)</f>
        <v>101.65</v>
      </c>
      <c r="AC323" s="1">
        <f>IFERROR(__xludf.DUMMYFUNCTION("""COMPUTED_VALUE"""),167.06)</f>
        <v>167.06</v>
      </c>
      <c r="AD323" s="3">
        <f>IFERROR(__xludf.DUMMYFUNCTION("""COMPUTED_VALUE"""),113.32)</f>
        <v>113.32</v>
      </c>
      <c r="AE323" s="1">
        <f>IFERROR(__xludf.DUMMYFUNCTION("""COMPUTED_VALUE"""),450.99)</f>
        <v>450.99</v>
      </c>
      <c r="AF323" s="1">
        <f>IFERROR(__xludf.DUMMYFUNCTION("""COMPUTED_VALUE"""),99.22)</f>
        <v>99.22</v>
      </c>
      <c r="AG323" s="1">
        <f>IFERROR(__xludf.DUMMYFUNCTION("""COMPUTED_VALUE"""),111.28)</f>
        <v>111.28</v>
      </c>
      <c r="AH323" s="1">
        <f>IFERROR(__xludf.DUMMYFUNCTION("""COMPUTED_VALUE"""),236.8)</f>
        <v>236.8</v>
      </c>
      <c r="AI323" s="1">
        <f>IFERROR(__xludf.DUMMYFUNCTION("""COMPUTED_VALUE"""),471.02)</f>
        <v>471.02</v>
      </c>
      <c r="AJ323" s="1">
        <f>IFERROR(__xludf.DUMMYFUNCTION("""COMPUTED_VALUE"""),319.61)</f>
        <v>319.61</v>
      </c>
      <c r="AK323" s="1">
        <f>IFERROR(__xludf.DUMMYFUNCTION("""COMPUTED_VALUE"""),58.37)</f>
        <v>58.37</v>
      </c>
      <c r="AL323" s="1">
        <f>IFERROR(__xludf.DUMMYFUNCTION("""COMPUTED_VALUE"""),114.77)</f>
        <v>114.77</v>
      </c>
      <c r="AM323" s="1">
        <f>IFERROR(__xludf.DUMMYFUNCTION("""COMPUTED_VALUE"""),741.89)</f>
        <v>741.89</v>
      </c>
      <c r="AN323" s="1">
        <f>IFERROR(__xludf.DUMMYFUNCTION("""COMPUTED_VALUE"""),412.79)</f>
        <v>412.79</v>
      </c>
      <c r="AO323" s="1">
        <f>IFERROR(__xludf.DUMMYFUNCTION("""COMPUTED_VALUE"""),138.73)</f>
        <v>138.73</v>
      </c>
      <c r="AP323" s="1">
        <f>IFERROR(__xludf.DUMMYFUNCTION("""COMPUTED_VALUE"""),180.67)</f>
        <v>180.67</v>
      </c>
      <c r="AQ323" s="3">
        <f>IFERROR(__xludf.DUMMYFUNCTION("""COMPUTED_VALUE"""),476.16)</f>
        <v>476.16</v>
      </c>
      <c r="AR323" s="3">
        <f>IFERROR(__xludf.DUMMYFUNCTION("""COMPUTED_VALUE"""),296.24)</f>
        <v>296.24</v>
      </c>
      <c r="AS323" s="3">
        <f>IFERROR(__xludf.DUMMYFUNCTION("""COMPUTED_VALUE"""),446.2)</f>
        <v>446.2</v>
      </c>
      <c r="AT323" s="3">
        <f>IFERROR(__xludf.DUMMYFUNCTION("""COMPUTED_VALUE"""),207.59)</f>
        <v>207.59</v>
      </c>
      <c r="AU323" s="1">
        <f>IFERROR(__xludf.DUMMYFUNCTION("""COMPUTED_VALUE"""),30.74)</f>
        <v>30.74</v>
      </c>
      <c r="AV323" s="1">
        <f>IFERROR(__xludf.DUMMYFUNCTION("""COMPUTED_VALUE"""),92.71)</f>
        <v>92.71</v>
      </c>
      <c r="AW323" s="1">
        <f>IFERROR(__xludf.DUMMYFUNCTION("""COMPUTED_VALUE"""),81.49)</f>
        <v>81.49</v>
      </c>
      <c r="AX323" s="3">
        <f>IFERROR(__xludf.DUMMYFUNCTION("""COMPUTED_VALUE"""),67.88)</f>
        <v>67.88</v>
      </c>
      <c r="AY323" s="1">
        <f>IFERROR(__xludf.DUMMYFUNCTION("""COMPUTED_VALUE"""),507.23)</f>
        <v>507.23</v>
      </c>
      <c r="AZ323" s="3">
        <f>IFERROR(__xludf.DUMMYFUNCTION("""COMPUTED_VALUE"""),76.32)</f>
        <v>76.32</v>
      </c>
      <c r="BA323" s="3">
        <f>IFERROR(__xludf.DUMMYFUNCTION("""COMPUTED_VALUE"""),145.09)</f>
        <v>145.09</v>
      </c>
      <c r="BB323" s="3">
        <f>IFERROR(__xludf.DUMMYFUNCTION("""COMPUTED_VALUE"""),177.99)</f>
        <v>177.99</v>
      </c>
      <c r="BC323" s="1">
        <f>IFERROR(__xludf.DUMMYFUNCTION("""COMPUTED_VALUE"""),88.58)</f>
        <v>88.58</v>
      </c>
      <c r="BD323" s="1">
        <f>IFERROR(__xludf.DUMMYFUNCTION("""COMPUTED_VALUE"""),46.56)</f>
        <v>46.56</v>
      </c>
      <c r="BE323" s="3">
        <f>IFERROR(__xludf.DUMMYFUNCTION("""COMPUTED_VALUE"""),158.74)</f>
        <v>158.74</v>
      </c>
      <c r="BF323" s="1">
        <f>IFERROR(__xludf.DUMMYFUNCTION("""COMPUTED_VALUE"""),69.9)</f>
        <v>69.9</v>
      </c>
      <c r="BG323" s="1">
        <f>IFERROR(__xludf.DUMMYFUNCTION("""COMPUTED_VALUE"""),25.88)</f>
        <v>25.88</v>
      </c>
      <c r="BH323" s="1">
        <f>IFERROR(__xludf.DUMMYFUNCTION("""COMPUTED_VALUE"""),156.24)</f>
        <v>156.24</v>
      </c>
      <c r="BI323" s="3">
        <f>IFERROR(__xludf.DUMMYFUNCTION("""COMPUTED_VALUE"""),37.01)</f>
        <v>37.01</v>
      </c>
      <c r="BJ323" s="1">
        <f>IFERROR(__xludf.DUMMYFUNCTION("""COMPUTED_VALUE"""),251.95)</f>
        <v>251.95</v>
      </c>
      <c r="BK323" s="1">
        <f>IFERROR(__xludf.DUMMYFUNCTION("""COMPUTED_VALUE"""),499.99)</f>
        <v>499.99</v>
      </c>
      <c r="BL323" s="1">
        <f>IFERROR(__xludf.DUMMYFUNCTION("""COMPUTED_VALUE"""),201.37)</f>
        <v>201.37</v>
      </c>
      <c r="BM323" s="1">
        <f>IFERROR(__xludf.DUMMYFUNCTION("""COMPUTED_VALUE"""),119.85)</f>
        <v>119.85</v>
      </c>
      <c r="BN323" s="3">
        <f>IFERROR(__xludf.DUMMYFUNCTION("""COMPUTED_VALUE"""),5.14)</f>
        <v>5.14</v>
      </c>
      <c r="BO323" s="1">
        <f>IFERROR(__xludf.DUMMYFUNCTION("""COMPUTED_VALUE"""),227.85)</f>
        <v>227.85</v>
      </c>
      <c r="BP323" s="1">
        <f>IFERROR(__xludf.DUMMYFUNCTION("""COMPUTED_VALUE"""),307.42)</f>
        <v>307.42</v>
      </c>
      <c r="BQ323" s="36">
        <f>IFERROR(__xludf.DUMMYFUNCTION("""COMPUTED_VALUE"""),50.51)</f>
        <v>50.51</v>
      </c>
      <c r="BR323" s="1">
        <f>IFERROR(__xludf.DUMMYFUNCTION("""COMPUTED_VALUE"""),10.65)</f>
        <v>10.65</v>
      </c>
      <c r="BS323" s="3">
        <f>IFERROR(__xludf.DUMMYFUNCTION("""COMPUTED_VALUE"""),227.02)</f>
        <v>227.02</v>
      </c>
      <c r="BT323" s="1">
        <f>IFERROR(__xludf.DUMMYFUNCTION("""COMPUTED_VALUE"""),118.86)</f>
        <v>118.86</v>
      </c>
      <c r="BU323" s="3">
        <v>1.0</v>
      </c>
    </row>
    <row r="324">
      <c r="A324" s="25">
        <f>IFERROR(__xludf.DUMMYFUNCTION("""COMPUTED_VALUE"""),45894.66666666667)</f>
        <v>45894.66667</v>
      </c>
      <c r="B324" s="29">
        <f>'Master Scratch Work'!B323</f>
        <v>1459171.18</v>
      </c>
      <c r="C324" s="15">
        <f>IFERROR(__xludf.DUMMYFUNCTION("""COMPUTED_VALUE"""),6439.32)</f>
        <v>6439.32</v>
      </c>
      <c r="D324" s="15">
        <f>IFERROR(__xludf.DUMMYFUNCTION("""COMPUTED_VALUE"""),21449.29)</f>
        <v>21449.29</v>
      </c>
      <c r="E324" s="15">
        <f>IFERROR(__xludf.DUMMYFUNCTION("""COMPUTED_VALUE"""),45282.47)</f>
        <v>45282.47</v>
      </c>
      <c r="F324" s="15">
        <f>IFERROR(__xludf.DUMMYFUNCTION("""COMPUTED_VALUE"""),2339.17)</f>
        <v>2339.17</v>
      </c>
      <c r="G324" s="3">
        <f>IFERROR(__xludf.DUMMYFUNCTION("""COMPUTED_VALUE"""),642.47)</f>
        <v>642.47</v>
      </c>
      <c r="H324" s="3">
        <f>IFERROR(__xludf.DUMMYFUNCTION("""COMPUTED_VALUE"""),570.32)</f>
        <v>570.32</v>
      </c>
      <c r="I324" s="3">
        <f>IFERROR(__xludf.DUMMYFUNCTION("""COMPUTED_VALUE"""),363.21)</f>
        <v>363.21</v>
      </c>
      <c r="J324" s="3">
        <f>IFERROR(__xludf.DUMMYFUNCTION("""COMPUTED_VALUE"""),227.94)</f>
        <v>227.94</v>
      </c>
      <c r="K324" s="3">
        <f>IFERROR(__xludf.DUMMYFUNCTION("""COMPUTED_VALUE"""),144.4)</f>
        <v>144.4</v>
      </c>
      <c r="L324" s="3">
        <f>IFERROR(__xludf.DUMMYFUNCTION("""COMPUTED_VALUE"""),227.16)</f>
        <v>227.16</v>
      </c>
      <c r="M324" s="3">
        <f>IFERROR(__xludf.DUMMYFUNCTION("""COMPUTED_VALUE"""),161.99)</f>
        <v>161.99</v>
      </c>
      <c r="N324" s="3">
        <f>IFERROR(__xludf.DUMMYFUNCTION("""COMPUTED_VALUE"""),103.12)</f>
        <v>103.12</v>
      </c>
      <c r="O324" s="3">
        <f>IFERROR(__xludf.DUMMYFUNCTION("""COMPUTED_VALUE"""),20.4)</f>
        <v>20.4</v>
      </c>
      <c r="P324" s="3">
        <f>IFERROR(__xludf.DUMMYFUNCTION("""COMPUTED_VALUE"""),486.18)</f>
        <v>486.18</v>
      </c>
      <c r="Q324" s="3">
        <f>IFERROR(__xludf.DUMMYFUNCTION("""COMPUTED_VALUE"""),55.77)</f>
        <v>55.77</v>
      </c>
      <c r="R324" s="3">
        <f>IFERROR(__xludf.DUMMYFUNCTION("""COMPUTED_VALUE"""),136.36)</f>
        <v>136.36</v>
      </c>
      <c r="S324" s="3">
        <f>IFERROR(__xludf.DUMMYFUNCTION("""COMPUTED_VALUE"""),105.11)</f>
        <v>105.11</v>
      </c>
      <c r="T324" s="3">
        <f>IFERROR(__xludf.DUMMYFUNCTION("""COMPUTED_VALUE"""),66.0)</f>
        <v>66</v>
      </c>
      <c r="U324" s="3">
        <f>IFERROR(__xludf.DUMMYFUNCTION("""COMPUTED_VALUE"""),432.3)</f>
        <v>432.3</v>
      </c>
      <c r="V324" s="3">
        <f>IFERROR(__xludf.DUMMYFUNCTION("""COMPUTED_VALUE"""),74.97)</f>
        <v>74.97</v>
      </c>
      <c r="W324" s="3">
        <f>IFERROR(__xludf.DUMMYFUNCTION("""COMPUTED_VALUE"""),187.72)</f>
        <v>187.72</v>
      </c>
      <c r="X324" s="3">
        <f>IFERROR(__xludf.DUMMYFUNCTION("""COMPUTED_VALUE"""),158.2)</f>
        <v>158.2</v>
      </c>
      <c r="Y324" s="1">
        <f>IFERROR(__xludf.DUMMYFUNCTION("""COMPUTED_VALUE"""),300.76)</f>
        <v>300.76</v>
      </c>
      <c r="Z324" s="1">
        <f>IFERROR(__xludf.DUMMYFUNCTION("""COMPUTED_VALUE"""),50.69)</f>
        <v>50.69</v>
      </c>
      <c r="AA324" s="1">
        <f>IFERROR(__xludf.DUMMYFUNCTION("""COMPUTED_VALUE"""),68.93)</f>
        <v>68.93</v>
      </c>
      <c r="AB324" s="1">
        <f>IFERROR(__xludf.DUMMYFUNCTION("""COMPUTED_VALUE"""),99.95)</f>
        <v>99.95</v>
      </c>
      <c r="AC324" s="1">
        <f>IFERROR(__xludf.DUMMYFUNCTION("""COMPUTED_VALUE"""),165.86)</f>
        <v>165.86</v>
      </c>
      <c r="AD324" s="3">
        <f>IFERROR(__xludf.DUMMYFUNCTION("""COMPUTED_VALUE"""),111.8)</f>
        <v>111.8</v>
      </c>
      <c r="AE324" s="1">
        <f>IFERROR(__xludf.DUMMYFUNCTION("""COMPUTED_VALUE"""),460.66)</f>
        <v>460.66</v>
      </c>
      <c r="AF324" s="1">
        <f>IFERROR(__xludf.DUMMYFUNCTION("""COMPUTED_VALUE"""),98.55)</f>
        <v>98.55</v>
      </c>
      <c r="AG324" s="1">
        <f>IFERROR(__xludf.DUMMYFUNCTION("""COMPUTED_VALUE"""),111.74)</f>
        <v>111.74</v>
      </c>
      <c r="AH324" s="1">
        <f>IFERROR(__xludf.DUMMYFUNCTION("""COMPUTED_VALUE"""),233.0)</f>
        <v>233</v>
      </c>
      <c r="AI324" s="1">
        <f>IFERROR(__xludf.DUMMYFUNCTION("""COMPUTED_VALUE"""),467.54)</f>
        <v>467.54</v>
      </c>
      <c r="AJ324" s="1">
        <f>IFERROR(__xludf.DUMMYFUNCTION("""COMPUTED_VALUE"""),319.89)</f>
        <v>319.89</v>
      </c>
      <c r="AK324" s="1">
        <f>IFERROR(__xludf.DUMMYFUNCTION("""COMPUTED_VALUE"""),58.28)</f>
        <v>58.28</v>
      </c>
      <c r="AL324" s="1">
        <f>IFERROR(__xludf.DUMMYFUNCTION("""COMPUTED_VALUE"""),114.15)</f>
        <v>114.15</v>
      </c>
      <c r="AM324" s="1">
        <f>IFERROR(__xludf.DUMMYFUNCTION("""COMPUTED_VALUE"""),738.79)</f>
        <v>738.79</v>
      </c>
      <c r="AN324" s="1">
        <f>IFERROR(__xludf.DUMMYFUNCTION("""COMPUTED_VALUE"""),408.9)</f>
        <v>408.9</v>
      </c>
      <c r="AO324" s="1">
        <f>IFERROR(__xludf.DUMMYFUNCTION("""COMPUTED_VALUE"""),136.19)</f>
        <v>136.19</v>
      </c>
      <c r="AP324" s="1">
        <f>IFERROR(__xludf.DUMMYFUNCTION("""COMPUTED_VALUE"""),179.14)</f>
        <v>179.14</v>
      </c>
      <c r="AQ324" s="3">
        <f>IFERROR(__xludf.DUMMYFUNCTION("""COMPUTED_VALUE"""),468.44)</f>
        <v>468.44</v>
      </c>
      <c r="AR324" s="3">
        <f>IFERROR(__xludf.DUMMYFUNCTION("""COMPUTED_VALUE"""),294.9)</f>
        <v>294.9</v>
      </c>
      <c r="AS324" s="3">
        <f>IFERROR(__xludf.DUMMYFUNCTION("""COMPUTED_VALUE"""),447.72)</f>
        <v>447.72</v>
      </c>
      <c r="AT324" s="3">
        <f>IFERROR(__xludf.DUMMYFUNCTION("""COMPUTED_VALUE"""),202.44)</f>
        <v>202.44</v>
      </c>
      <c r="AU324" s="1">
        <f>IFERROR(__xludf.DUMMYFUNCTION("""COMPUTED_VALUE"""),30.06)</f>
        <v>30.06</v>
      </c>
      <c r="AV324" s="1">
        <f>IFERROR(__xludf.DUMMYFUNCTION("""COMPUTED_VALUE"""),92.04)</f>
        <v>92.04</v>
      </c>
      <c r="AW324" s="1">
        <f>IFERROR(__xludf.DUMMYFUNCTION("""COMPUTED_VALUE"""),80.83)</f>
        <v>80.83</v>
      </c>
      <c r="AX324" s="3">
        <f>IFERROR(__xludf.DUMMYFUNCTION("""COMPUTED_VALUE"""),72.31)</f>
        <v>72.31</v>
      </c>
      <c r="AY324" s="1">
        <f>IFERROR(__xludf.DUMMYFUNCTION("""COMPUTED_VALUE"""),504.26)</f>
        <v>504.26</v>
      </c>
      <c r="AZ324" s="3">
        <f>IFERROR(__xludf.DUMMYFUNCTION("""COMPUTED_VALUE"""),75.32)</f>
        <v>75.32</v>
      </c>
      <c r="BA324" s="3">
        <f>IFERROR(__xludf.DUMMYFUNCTION("""COMPUTED_VALUE"""),144.77)</f>
        <v>144.77</v>
      </c>
      <c r="BB324" s="3">
        <f>IFERROR(__xludf.DUMMYFUNCTION("""COMPUTED_VALUE"""),179.81)</f>
        <v>179.81</v>
      </c>
      <c r="BC324" s="1">
        <f>IFERROR(__xludf.DUMMYFUNCTION("""COMPUTED_VALUE"""),86.86)</f>
        <v>86.86</v>
      </c>
      <c r="BD324" s="1">
        <f>IFERROR(__xludf.DUMMYFUNCTION("""COMPUTED_VALUE"""),45.59)</f>
        <v>45.59</v>
      </c>
      <c r="BE324" s="3">
        <f>IFERROR(__xludf.DUMMYFUNCTION("""COMPUTED_VALUE"""),157.17)</f>
        <v>157.17</v>
      </c>
      <c r="BF324" s="1">
        <f>IFERROR(__xludf.DUMMYFUNCTION("""COMPUTED_VALUE"""),69.48)</f>
        <v>69.48</v>
      </c>
      <c r="BG324" s="1">
        <f>IFERROR(__xludf.DUMMYFUNCTION("""COMPUTED_VALUE"""),25.14)</f>
        <v>25.14</v>
      </c>
      <c r="BH324" s="1">
        <f>IFERROR(__xludf.DUMMYFUNCTION("""COMPUTED_VALUE"""),156.27)</f>
        <v>156.27</v>
      </c>
      <c r="BI324" s="3">
        <f>IFERROR(__xludf.DUMMYFUNCTION("""COMPUTED_VALUE"""),35.67)</f>
        <v>35.67</v>
      </c>
      <c r="BJ324" s="1">
        <f>IFERROR(__xludf.DUMMYFUNCTION("""COMPUTED_VALUE"""),251.74)</f>
        <v>251.74</v>
      </c>
      <c r="BK324" s="1">
        <f>IFERROR(__xludf.DUMMYFUNCTION("""COMPUTED_VALUE"""),490.75)</f>
        <v>490.75</v>
      </c>
      <c r="BL324" s="1">
        <f>IFERROR(__xludf.DUMMYFUNCTION("""COMPUTED_VALUE"""),198.37)</f>
        <v>198.37</v>
      </c>
      <c r="BM324" s="1">
        <f>IFERROR(__xludf.DUMMYFUNCTION("""COMPUTED_VALUE"""),114.97)</f>
        <v>114.97</v>
      </c>
      <c r="BN324" s="3">
        <f>IFERROR(__xludf.DUMMYFUNCTION("""COMPUTED_VALUE"""),5.07)</f>
        <v>5.07</v>
      </c>
      <c r="BO324" s="1">
        <f>IFERROR(__xludf.DUMMYFUNCTION("""COMPUTED_VALUE"""),223.32)</f>
        <v>223.32</v>
      </c>
      <c r="BP324" s="1">
        <f>IFERROR(__xludf.DUMMYFUNCTION("""COMPUTED_VALUE"""),304.86)</f>
        <v>304.86</v>
      </c>
      <c r="BQ324" s="36">
        <f>IFERROR(__xludf.DUMMYFUNCTION("""COMPUTED_VALUE"""),50.49)</f>
        <v>50.49</v>
      </c>
      <c r="BR324" s="1">
        <f>IFERROR(__xludf.DUMMYFUNCTION("""COMPUTED_VALUE"""),10.55)</f>
        <v>10.55</v>
      </c>
      <c r="BS324" s="3">
        <f>IFERROR(__xludf.DUMMYFUNCTION("""COMPUTED_VALUE"""),224.04)</f>
        <v>224.04</v>
      </c>
      <c r="BT324" s="1">
        <f>IFERROR(__xludf.DUMMYFUNCTION("""COMPUTED_VALUE"""),117.71)</f>
        <v>117.71</v>
      </c>
      <c r="BU324" s="3">
        <v>1.0</v>
      </c>
    </row>
    <row r="325">
      <c r="A325" s="25">
        <f>IFERROR(__xludf.DUMMYFUNCTION("""COMPUTED_VALUE"""),45895.66666666667)</f>
        <v>45895.66667</v>
      </c>
      <c r="B325" s="29">
        <f>'Master Scratch Work'!B324</f>
        <v>1463724.26</v>
      </c>
      <c r="C325" s="15">
        <f>IFERROR(__xludf.DUMMYFUNCTION("""COMPUTED_VALUE"""),6465.94)</f>
        <v>6465.94</v>
      </c>
      <c r="D325" s="15">
        <f>IFERROR(__xludf.DUMMYFUNCTION("""COMPUTED_VALUE"""),21544.27)</f>
        <v>21544.27</v>
      </c>
      <c r="E325" s="15">
        <f>IFERROR(__xludf.DUMMYFUNCTION("""COMPUTED_VALUE"""),45418.07)</f>
        <v>45418.07</v>
      </c>
      <c r="F325" s="15">
        <f>IFERROR(__xludf.DUMMYFUNCTION("""COMPUTED_VALUE"""),2358.6)</f>
        <v>2358.6</v>
      </c>
      <c r="G325" s="3">
        <f>IFERROR(__xludf.DUMMYFUNCTION("""COMPUTED_VALUE"""),645.16)</f>
        <v>645.16</v>
      </c>
      <c r="H325" s="3">
        <f>IFERROR(__xludf.DUMMYFUNCTION("""COMPUTED_VALUE"""),572.61)</f>
        <v>572.61</v>
      </c>
      <c r="I325" s="3">
        <f>IFERROR(__xludf.DUMMYFUNCTION("""COMPUTED_VALUE"""),354.91)</f>
        <v>354.91</v>
      </c>
      <c r="J325" s="3">
        <f>IFERROR(__xludf.DUMMYFUNCTION("""COMPUTED_VALUE"""),228.71)</f>
        <v>228.71</v>
      </c>
      <c r="K325" s="3">
        <f>IFERROR(__xludf.DUMMYFUNCTION("""COMPUTED_VALUE"""),143.95)</f>
        <v>143.95</v>
      </c>
      <c r="L325" s="3">
        <f>IFERROR(__xludf.DUMMYFUNCTION("""COMPUTED_VALUE"""),229.31)</f>
        <v>229.31</v>
      </c>
      <c r="M325" s="3">
        <f>IFERROR(__xludf.DUMMYFUNCTION("""COMPUTED_VALUE"""),164.51)</f>
        <v>164.51</v>
      </c>
      <c r="N325" s="3">
        <f>IFERROR(__xludf.DUMMYFUNCTION("""COMPUTED_VALUE"""),104.59)</f>
        <v>104.59</v>
      </c>
      <c r="O325" s="3">
        <f>IFERROR(__xludf.DUMMYFUNCTION("""COMPUTED_VALUE"""),20.4)</f>
        <v>20.4</v>
      </c>
      <c r="P325" s="3">
        <f>IFERROR(__xludf.DUMMYFUNCTION("""COMPUTED_VALUE"""),492.21)</f>
        <v>492.21</v>
      </c>
      <c r="Q325" s="3">
        <f>IFERROR(__xludf.DUMMYFUNCTION("""COMPUTED_VALUE"""),55.65)</f>
        <v>55.65</v>
      </c>
      <c r="R325" s="3">
        <f>IFERROR(__xludf.DUMMYFUNCTION("""COMPUTED_VALUE"""),136.72)</f>
        <v>136.72</v>
      </c>
      <c r="S325" s="3">
        <f>IFERROR(__xludf.DUMMYFUNCTION("""COMPUTED_VALUE"""),106.39)</f>
        <v>106.39</v>
      </c>
      <c r="T325" s="3">
        <f>IFERROR(__xludf.DUMMYFUNCTION("""COMPUTED_VALUE"""),66.48)</f>
        <v>66.48</v>
      </c>
      <c r="U325" s="3">
        <f>IFERROR(__xludf.DUMMYFUNCTION("""COMPUTED_VALUE"""),431.26)</f>
        <v>431.26</v>
      </c>
      <c r="V325" s="3">
        <f>IFERROR(__xludf.DUMMYFUNCTION("""COMPUTED_VALUE"""),76.51)</f>
        <v>76.51</v>
      </c>
      <c r="W325" s="3">
        <f>IFERROR(__xludf.DUMMYFUNCTION("""COMPUTED_VALUE"""),187.62)</f>
        <v>187.62</v>
      </c>
      <c r="X325" s="3">
        <f>IFERROR(__xludf.DUMMYFUNCTION("""COMPUTED_VALUE"""),157.36)</f>
        <v>157.36</v>
      </c>
      <c r="Y325" s="1">
        <f>IFERROR(__xludf.DUMMYFUNCTION("""COMPUTED_VALUE"""),300.32)</f>
        <v>300.32</v>
      </c>
      <c r="Z325" s="1">
        <f>IFERROR(__xludf.DUMMYFUNCTION("""COMPUTED_VALUE"""),51.31)</f>
        <v>51.31</v>
      </c>
      <c r="AA325" s="1">
        <f>IFERROR(__xludf.DUMMYFUNCTION("""COMPUTED_VALUE"""),68.73)</f>
        <v>68.73</v>
      </c>
      <c r="AB325" s="1">
        <f>IFERROR(__xludf.DUMMYFUNCTION("""COMPUTED_VALUE"""),99.72)</f>
        <v>99.72</v>
      </c>
      <c r="AC325" s="1">
        <f>IFERROR(__xludf.DUMMYFUNCTION("""COMPUTED_VALUE"""),167.92)</f>
        <v>167.92</v>
      </c>
      <c r="AD325" s="3">
        <f>IFERROR(__xludf.DUMMYFUNCTION("""COMPUTED_VALUE"""),111.98)</f>
        <v>111.98</v>
      </c>
      <c r="AE325" s="1">
        <f>IFERROR(__xludf.DUMMYFUNCTION("""COMPUTED_VALUE"""),451.22)</f>
        <v>451.22</v>
      </c>
      <c r="AF325" s="1">
        <f>IFERROR(__xludf.DUMMYFUNCTION("""COMPUTED_VALUE"""),94.64)</f>
        <v>94.64</v>
      </c>
      <c r="AG325" s="1">
        <f>IFERROR(__xludf.DUMMYFUNCTION("""COMPUTED_VALUE"""),111.49)</f>
        <v>111.49</v>
      </c>
      <c r="AH325" s="1">
        <f>IFERROR(__xludf.DUMMYFUNCTION("""COMPUTED_VALUE"""),231.1)</f>
        <v>231.1</v>
      </c>
      <c r="AI325" s="1">
        <f>IFERROR(__xludf.DUMMYFUNCTION("""COMPUTED_VALUE"""),467.94)</f>
        <v>467.94</v>
      </c>
      <c r="AJ325" s="1">
        <f>IFERROR(__xludf.DUMMYFUNCTION("""COMPUTED_VALUE"""),322.18)</f>
        <v>322.18</v>
      </c>
      <c r="AK325" s="1">
        <f>IFERROR(__xludf.DUMMYFUNCTION("""COMPUTED_VALUE"""),58.8)</f>
        <v>58.8</v>
      </c>
      <c r="AL325" s="1">
        <f>IFERROR(__xludf.DUMMYFUNCTION("""COMPUTED_VALUE"""),114.75)</f>
        <v>114.75</v>
      </c>
      <c r="AM325" s="1">
        <f>IFERROR(__xludf.DUMMYFUNCTION("""COMPUTED_VALUE"""),748.95)</f>
        <v>748.95</v>
      </c>
      <c r="AN325" s="1">
        <f>IFERROR(__xludf.DUMMYFUNCTION("""COMPUTED_VALUE"""),407.54)</f>
        <v>407.54</v>
      </c>
      <c r="AO325" s="1">
        <f>IFERROR(__xludf.DUMMYFUNCTION("""COMPUTED_VALUE"""),136.57)</f>
        <v>136.57</v>
      </c>
      <c r="AP325" s="1">
        <f>IFERROR(__xludf.DUMMYFUNCTION("""COMPUTED_VALUE"""),178.74)</f>
        <v>178.74</v>
      </c>
      <c r="AQ325" s="3">
        <f>IFERROR(__xludf.DUMMYFUNCTION("""COMPUTED_VALUE"""),474.26)</f>
        <v>474.26</v>
      </c>
      <c r="AR325" s="3">
        <f>IFERROR(__xludf.DUMMYFUNCTION("""COMPUTED_VALUE"""),298.57)</f>
        <v>298.57</v>
      </c>
      <c r="AS325" s="3">
        <f>IFERROR(__xludf.DUMMYFUNCTION("""COMPUTED_VALUE"""),455.46)</f>
        <v>455.46</v>
      </c>
      <c r="AT325" s="3">
        <f>IFERROR(__xludf.DUMMYFUNCTION("""COMPUTED_VALUE"""),202.53)</f>
        <v>202.53</v>
      </c>
      <c r="AU325" s="1">
        <f>IFERROR(__xludf.DUMMYFUNCTION("""COMPUTED_VALUE"""),30.1)</f>
        <v>30.1</v>
      </c>
      <c r="AV325" s="1">
        <f>IFERROR(__xludf.DUMMYFUNCTION("""COMPUTED_VALUE"""),92.18)</f>
        <v>92.18</v>
      </c>
      <c r="AW325" s="1">
        <f>IFERROR(__xludf.DUMMYFUNCTION("""COMPUTED_VALUE"""),81.01)</f>
        <v>81.01</v>
      </c>
      <c r="AX325" s="3">
        <f>IFERROR(__xludf.DUMMYFUNCTION("""COMPUTED_VALUE"""),69.83)</f>
        <v>69.83</v>
      </c>
      <c r="AY325" s="1">
        <f>IFERROR(__xludf.DUMMYFUNCTION("""COMPUTED_VALUE"""),502.04)</f>
        <v>502.04</v>
      </c>
      <c r="AZ325" s="3">
        <f>IFERROR(__xludf.DUMMYFUNCTION("""COMPUTED_VALUE"""),74.84)</f>
        <v>74.84</v>
      </c>
      <c r="BA325" s="3">
        <f>IFERROR(__xludf.DUMMYFUNCTION("""COMPUTED_VALUE"""),146.23)</f>
        <v>146.23</v>
      </c>
      <c r="BB325" s="3">
        <f>IFERROR(__xludf.DUMMYFUNCTION("""COMPUTED_VALUE"""),181.77)</f>
        <v>181.77</v>
      </c>
      <c r="BC325" s="1">
        <f>IFERROR(__xludf.DUMMYFUNCTION("""COMPUTED_VALUE"""),87.63)</f>
        <v>87.63</v>
      </c>
      <c r="BD325" s="1">
        <f>IFERROR(__xludf.DUMMYFUNCTION("""COMPUTED_VALUE"""),45.18)</f>
        <v>45.18</v>
      </c>
      <c r="BE325" s="3">
        <f>IFERROR(__xludf.DUMMYFUNCTION("""COMPUTED_VALUE"""),160.87)</f>
        <v>160.87</v>
      </c>
      <c r="BF325" s="1">
        <f>IFERROR(__xludf.DUMMYFUNCTION("""COMPUTED_VALUE"""),70.18)</f>
        <v>70.18</v>
      </c>
      <c r="BG325" s="1">
        <f>IFERROR(__xludf.DUMMYFUNCTION("""COMPUTED_VALUE"""),24.92)</f>
        <v>24.92</v>
      </c>
      <c r="BH325" s="1">
        <f>IFERROR(__xludf.DUMMYFUNCTION("""COMPUTED_VALUE"""),159.57)</f>
        <v>159.57</v>
      </c>
      <c r="BI325" s="3">
        <f>IFERROR(__xludf.DUMMYFUNCTION("""COMPUTED_VALUE"""),37.28)</f>
        <v>37.28</v>
      </c>
      <c r="BJ325" s="1">
        <f>IFERROR(__xludf.DUMMYFUNCTION("""COMPUTED_VALUE"""),251.2)</f>
        <v>251.2</v>
      </c>
      <c r="BK325" s="1">
        <f>IFERROR(__xludf.DUMMYFUNCTION("""COMPUTED_VALUE"""),488.48)</f>
        <v>488.48</v>
      </c>
      <c r="BL325" s="1">
        <f>IFERROR(__xludf.DUMMYFUNCTION("""COMPUTED_VALUE"""),197.35)</f>
        <v>197.35</v>
      </c>
      <c r="BM325" s="1">
        <f>IFERROR(__xludf.DUMMYFUNCTION("""COMPUTED_VALUE"""),115.18)</f>
        <v>115.18</v>
      </c>
      <c r="BN325" s="3">
        <f>IFERROR(__xludf.DUMMYFUNCTION("""COMPUTED_VALUE"""),4.99)</f>
        <v>4.99</v>
      </c>
      <c r="BO325" s="1">
        <f>IFERROR(__xludf.DUMMYFUNCTION("""COMPUTED_VALUE"""),222.74)</f>
        <v>222.74</v>
      </c>
      <c r="BP325" s="1">
        <f>IFERROR(__xludf.DUMMYFUNCTION("""COMPUTED_VALUE"""),300.43)</f>
        <v>300.43</v>
      </c>
      <c r="BQ325" s="36">
        <f>IFERROR(__xludf.DUMMYFUNCTION("""COMPUTED_VALUE"""),50.57)</f>
        <v>50.57</v>
      </c>
      <c r="BR325" s="1">
        <f>IFERROR(__xludf.DUMMYFUNCTION("""COMPUTED_VALUE"""),10.41)</f>
        <v>10.41</v>
      </c>
      <c r="BS325" s="3">
        <f>IFERROR(__xludf.DUMMYFUNCTION("""COMPUTED_VALUE"""),225.25)</f>
        <v>225.25</v>
      </c>
      <c r="BT325" s="1">
        <f>IFERROR(__xludf.DUMMYFUNCTION("""COMPUTED_VALUE"""),117.65)</f>
        <v>117.65</v>
      </c>
      <c r="BU325" s="3">
        <v>1.0</v>
      </c>
    </row>
    <row r="326">
      <c r="A326" s="25">
        <f>IFERROR(__xludf.DUMMYFUNCTION("""COMPUTED_VALUE"""),45896.66666666667)</f>
        <v>45896.66667</v>
      </c>
      <c r="B326" s="29">
        <f>'Master Scratch Work'!B325</f>
        <v>1465937.31</v>
      </c>
      <c r="C326" s="15">
        <f>IFERROR(__xludf.DUMMYFUNCTION("""COMPUTED_VALUE"""),6481.4)</f>
        <v>6481.4</v>
      </c>
      <c r="D326" s="15">
        <f>IFERROR(__xludf.DUMMYFUNCTION("""COMPUTED_VALUE"""),21590.14)</f>
        <v>21590.14</v>
      </c>
      <c r="E326" s="15">
        <f>IFERROR(__xludf.DUMMYFUNCTION("""COMPUTED_VALUE"""),45565.23)</f>
        <v>45565.23</v>
      </c>
      <c r="F326" s="15">
        <f>IFERROR(__xludf.DUMMYFUNCTION("""COMPUTED_VALUE"""),2373.8)</f>
        <v>2373.8</v>
      </c>
      <c r="G326" s="3">
        <f>IFERROR(__xludf.DUMMYFUNCTION("""COMPUTED_VALUE"""),646.63)</f>
        <v>646.63</v>
      </c>
      <c r="H326" s="3">
        <f>IFERROR(__xludf.DUMMYFUNCTION("""COMPUTED_VALUE"""),573.49)</f>
        <v>573.49</v>
      </c>
      <c r="I326" s="3">
        <f>IFERROR(__xludf.DUMMYFUNCTION("""COMPUTED_VALUE"""),356.35)</f>
        <v>356.35</v>
      </c>
      <c r="J326" s="3">
        <f>IFERROR(__xludf.DUMMYFUNCTION("""COMPUTED_VALUE"""),229.12)</f>
        <v>229.12</v>
      </c>
      <c r="K326" s="3">
        <f>IFERROR(__xludf.DUMMYFUNCTION("""COMPUTED_VALUE"""),144.75)</f>
        <v>144.75</v>
      </c>
      <c r="L326" s="3">
        <f>IFERROR(__xludf.DUMMYFUNCTION("""COMPUTED_VALUE"""),230.49)</f>
        <v>230.49</v>
      </c>
      <c r="M326" s="3">
        <f>IFERROR(__xludf.DUMMYFUNCTION("""COMPUTED_VALUE"""),164.39)</f>
        <v>164.39</v>
      </c>
      <c r="N326" s="3">
        <f>IFERROR(__xludf.DUMMYFUNCTION("""COMPUTED_VALUE"""),105.03)</f>
        <v>105.03</v>
      </c>
      <c r="O326" s="3">
        <f>IFERROR(__xludf.DUMMYFUNCTION("""COMPUTED_VALUE"""),20.13)</f>
        <v>20.13</v>
      </c>
      <c r="P326" s="3">
        <f>IFERROR(__xludf.DUMMYFUNCTION("""COMPUTED_VALUE"""),495.72)</f>
        <v>495.72</v>
      </c>
      <c r="Q326" s="3">
        <f>IFERROR(__xludf.DUMMYFUNCTION("""COMPUTED_VALUE"""),55.87)</f>
        <v>55.87</v>
      </c>
      <c r="R326" s="3">
        <f>IFERROR(__xludf.DUMMYFUNCTION("""COMPUTED_VALUE"""),136.36)</f>
        <v>136.36</v>
      </c>
      <c r="S326" s="3">
        <f>IFERROR(__xludf.DUMMYFUNCTION("""COMPUTED_VALUE"""),105.87)</f>
        <v>105.87</v>
      </c>
      <c r="T326" s="3">
        <f>IFERROR(__xludf.DUMMYFUNCTION("""COMPUTED_VALUE"""),67.59)</f>
        <v>67.59</v>
      </c>
      <c r="U326" s="3">
        <f>IFERROR(__xludf.DUMMYFUNCTION("""COMPUTED_VALUE"""),432.67)</f>
        <v>432.67</v>
      </c>
      <c r="V326" s="3">
        <f>IFERROR(__xludf.DUMMYFUNCTION("""COMPUTED_VALUE"""),75.28)</f>
        <v>75.28</v>
      </c>
      <c r="W326" s="3">
        <f>IFERROR(__xludf.DUMMYFUNCTION("""COMPUTED_VALUE"""),190.67)</f>
        <v>190.67</v>
      </c>
      <c r="X326" s="3">
        <f>IFERROR(__xludf.DUMMYFUNCTION("""COMPUTED_VALUE"""),159.24)</f>
        <v>159.24</v>
      </c>
      <c r="Y326" s="1">
        <f>IFERROR(__xludf.DUMMYFUNCTION("""COMPUTED_VALUE"""),299.95)</f>
        <v>299.95</v>
      </c>
      <c r="Z326" s="1">
        <f>IFERROR(__xludf.DUMMYFUNCTION("""COMPUTED_VALUE"""),51.9)</f>
        <v>51.9</v>
      </c>
      <c r="AA326" s="1">
        <f>IFERROR(__xludf.DUMMYFUNCTION("""COMPUTED_VALUE"""),68.83)</f>
        <v>68.83</v>
      </c>
      <c r="AB326" s="1">
        <f>IFERROR(__xludf.DUMMYFUNCTION("""COMPUTED_VALUE"""),100.07)</f>
        <v>100.07</v>
      </c>
      <c r="AC326" s="1">
        <f>IFERROR(__xludf.DUMMYFUNCTION("""COMPUTED_VALUE"""),169.73)</f>
        <v>169.73</v>
      </c>
      <c r="AD326" s="3">
        <f>IFERROR(__xludf.DUMMYFUNCTION("""COMPUTED_VALUE"""),112.86)</f>
        <v>112.86</v>
      </c>
      <c r="AE326" s="1">
        <f>IFERROR(__xludf.DUMMYFUNCTION("""COMPUTED_VALUE"""),452.55)</f>
        <v>452.55</v>
      </c>
      <c r="AF326" s="1">
        <f>IFERROR(__xludf.DUMMYFUNCTION("""COMPUTED_VALUE"""),93.67)</f>
        <v>93.67</v>
      </c>
      <c r="AG326" s="1">
        <f>IFERROR(__xludf.DUMMYFUNCTION("""COMPUTED_VALUE"""),112.75)</f>
        <v>112.75</v>
      </c>
      <c r="AH326" s="1">
        <f>IFERROR(__xludf.DUMMYFUNCTION("""COMPUTED_VALUE"""),232.21)</f>
        <v>232.21</v>
      </c>
      <c r="AI326" s="1">
        <f>IFERROR(__xludf.DUMMYFUNCTION("""COMPUTED_VALUE"""),469.36)</f>
        <v>469.36</v>
      </c>
      <c r="AJ326" s="1">
        <f>IFERROR(__xludf.DUMMYFUNCTION("""COMPUTED_VALUE"""),325.46)</f>
        <v>325.46</v>
      </c>
      <c r="AK326" s="1">
        <f>IFERROR(__xludf.DUMMYFUNCTION("""COMPUTED_VALUE"""),58.75)</f>
        <v>58.75</v>
      </c>
      <c r="AL326" s="1">
        <f>IFERROR(__xludf.DUMMYFUNCTION("""COMPUTED_VALUE"""),113.92)</f>
        <v>113.92</v>
      </c>
      <c r="AM326" s="1">
        <f>IFERROR(__xludf.DUMMYFUNCTION("""COMPUTED_VALUE"""),749.67)</f>
        <v>749.67</v>
      </c>
      <c r="AN326" s="1">
        <f>IFERROR(__xludf.DUMMYFUNCTION("""COMPUTED_VALUE"""),408.24)</f>
        <v>408.24</v>
      </c>
      <c r="AO326" s="1">
        <f>IFERROR(__xludf.DUMMYFUNCTION("""COMPUTED_VALUE"""),138.25)</f>
        <v>138.25</v>
      </c>
      <c r="AP326" s="1">
        <f>IFERROR(__xludf.DUMMYFUNCTION("""COMPUTED_VALUE"""),177.3)</f>
        <v>177.3</v>
      </c>
      <c r="AQ326" s="3">
        <f>IFERROR(__xludf.DUMMYFUNCTION("""COMPUTED_VALUE"""),471.15)</f>
        <v>471.15</v>
      </c>
      <c r="AR326" s="3">
        <f>IFERROR(__xludf.DUMMYFUNCTION("""COMPUTED_VALUE"""),299.28)</f>
        <v>299.28</v>
      </c>
      <c r="AS326" s="3">
        <f>IFERROR(__xludf.DUMMYFUNCTION("""COMPUTED_VALUE"""),454.47)</f>
        <v>454.47</v>
      </c>
      <c r="AT326" s="3">
        <f>IFERROR(__xludf.DUMMYFUNCTION("""COMPUTED_VALUE"""),205.57)</f>
        <v>205.57</v>
      </c>
      <c r="AU326" s="1">
        <f>IFERROR(__xludf.DUMMYFUNCTION("""COMPUTED_VALUE"""),30.32)</f>
        <v>30.32</v>
      </c>
      <c r="AV326" s="1">
        <f>IFERROR(__xludf.DUMMYFUNCTION("""COMPUTED_VALUE"""),92.05)</f>
        <v>92.05</v>
      </c>
      <c r="AW326" s="1">
        <f>IFERROR(__xludf.DUMMYFUNCTION("""COMPUTED_VALUE"""),81.11)</f>
        <v>81.11</v>
      </c>
      <c r="AX326" s="3">
        <f>IFERROR(__xludf.DUMMYFUNCTION("""COMPUTED_VALUE"""),71.4)</f>
        <v>71.4</v>
      </c>
      <c r="AY326" s="1">
        <f>IFERROR(__xludf.DUMMYFUNCTION("""COMPUTED_VALUE"""),506.74)</f>
        <v>506.74</v>
      </c>
      <c r="AZ326" s="3">
        <f>IFERROR(__xludf.DUMMYFUNCTION("""COMPUTED_VALUE"""),73.89)</f>
        <v>73.89</v>
      </c>
      <c r="BA326" s="3">
        <f>IFERROR(__xludf.DUMMYFUNCTION("""COMPUTED_VALUE"""),148.12)</f>
        <v>148.12</v>
      </c>
      <c r="BB326" s="3">
        <f>IFERROR(__xludf.DUMMYFUNCTION("""COMPUTED_VALUE"""),181.6)</f>
        <v>181.6</v>
      </c>
      <c r="BC326" s="1">
        <f>IFERROR(__xludf.DUMMYFUNCTION("""COMPUTED_VALUE"""),87.72)</f>
        <v>87.72</v>
      </c>
      <c r="BD326" s="1">
        <f>IFERROR(__xludf.DUMMYFUNCTION("""COMPUTED_VALUE"""),45.18)</f>
        <v>45.18</v>
      </c>
      <c r="BE326" s="3">
        <f>IFERROR(__xludf.DUMMYFUNCTION("""COMPUTED_VALUE"""),156.72)</f>
        <v>156.72</v>
      </c>
      <c r="BF326" s="1">
        <f>IFERROR(__xludf.DUMMYFUNCTION("""COMPUTED_VALUE"""),69.65)</f>
        <v>69.65</v>
      </c>
      <c r="BG326" s="1">
        <f>IFERROR(__xludf.DUMMYFUNCTION("""COMPUTED_VALUE"""),25.07)</f>
        <v>25.07</v>
      </c>
      <c r="BH326" s="1">
        <f>IFERROR(__xludf.DUMMYFUNCTION("""COMPUTED_VALUE"""),159.84)</f>
        <v>159.84</v>
      </c>
      <c r="BI326" s="3">
        <f>IFERROR(__xludf.DUMMYFUNCTION("""COMPUTED_VALUE"""),38.04)</f>
        <v>38.04</v>
      </c>
      <c r="BJ326" s="1">
        <f>IFERROR(__xludf.DUMMYFUNCTION("""COMPUTED_VALUE"""),251.36)</f>
        <v>251.36</v>
      </c>
      <c r="BK326" s="1">
        <f>IFERROR(__xludf.DUMMYFUNCTION("""COMPUTED_VALUE"""),488.12)</f>
        <v>488.12</v>
      </c>
      <c r="BL326" s="1">
        <f>IFERROR(__xludf.DUMMYFUNCTION("""COMPUTED_VALUE"""),196.74)</f>
        <v>196.74</v>
      </c>
      <c r="BM326" s="1">
        <f>IFERROR(__xludf.DUMMYFUNCTION("""COMPUTED_VALUE"""),117.38)</f>
        <v>117.38</v>
      </c>
      <c r="BN326" s="3">
        <f>IFERROR(__xludf.DUMMYFUNCTION("""COMPUTED_VALUE"""),5.04)</f>
        <v>5.04</v>
      </c>
      <c r="BO326" s="1">
        <f>IFERROR(__xludf.DUMMYFUNCTION("""COMPUTED_VALUE"""),220.95)</f>
        <v>220.95</v>
      </c>
      <c r="BP326" s="1">
        <f>IFERROR(__xludf.DUMMYFUNCTION("""COMPUTED_VALUE"""),303.88)</f>
        <v>303.88</v>
      </c>
      <c r="BQ326" s="36">
        <f>IFERROR(__xludf.DUMMYFUNCTION("""COMPUTED_VALUE"""),50.66)</f>
        <v>50.66</v>
      </c>
      <c r="BR326" s="1">
        <f>IFERROR(__xludf.DUMMYFUNCTION("""COMPUTED_VALUE"""),10.42)</f>
        <v>10.42</v>
      </c>
      <c r="BS326" s="3">
        <f>IFERROR(__xludf.DUMMYFUNCTION("""COMPUTED_VALUE"""),225.83)</f>
        <v>225.83</v>
      </c>
      <c r="BT326" s="1">
        <f>IFERROR(__xludf.DUMMYFUNCTION("""COMPUTED_VALUE"""),118.09)</f>
        <v>118.09</v>
      </c>
      <c r="BU326" s="3">
        <v>1.0</v>
      </c>
    </row>
    <row r="327">
      <c r="A327" s="25">
        <f>IFERROR(__xludf.DUMMYFUNCTION("""COMPUTED_VALUE"""),45897.66666666667)</f>
        <v>45897.66667</v>
      </c>
      <c r="B327" s="29">
        <f>'Master Scratch Work'!B326</f>
        <v>1469702</v>
      </c>
      <c r="C327" s="15">
        <f>IFERROR(__xludf.DUMMYFUNCTION("""COMPUTED_VALUE"""),6501.86)</f>
        <v>6501.86</v>
      </c>
      <c r="D327" s="15">
        <f>IFERROR(__xludf.DUMMYFUNCTION("""COMPUTED_VALUE"""),21705.16)</f>
        <v>21705.16</v>
      </c>
      <c r="E327" s="15">
        <f>IFERROR(__xludf.DUMMYFUNCTION("""COMPUTED_VALUE"""),45636.9)</f>
        <v>45636.9</v>
      </c>
      <c r="F327" s="15">
        <f>IFERROR(__xludf.DUMMYFUNCTION("""COMPUTED_VALUE"""),2378.41)</f>
        <v>2378.41</v>
      </c>
      <c r="G327" s="3">
        <f>IFERROR(__xludf.DUMMYFUNCTION("""COMPUTED_VALUE"""),648.92)</f>
        <v>648.92</v>
      </c>
      <c r="H327" s="3">
        <f>IFERROR(__xludf.DUMMYFUNCTION("""COMPUTED_VALUE"""),577.08)</f>
        <v>577.08</v>
      </c>
      <c r="I327" s="3">
        <f>IFERROR(__xludf.DUMMYFUNCTION("""COMPUTED_VALUE"""),353.96)</f>
        <v>353.96</v>
      </c>
      <c r="J327" s="3">
        <f>IFERROR(__xludf.DUMMYFUNCTION("""COMPUTED_VALUE"""),231.6)</f>
        <v>231.6</v>
      </c>
      <c r="K327" s="3">
        <f>IFERROR(__xludf.DUMMYFUNCTION("""COMPUTED_VALUE"""),142.93)</f>
        <v>142.93</v>
      </c>
      <c r="L327" s="3">
        <f>IFERROR(__xludf.DUMMYFUNCTION("""COMPUTED_VALUE"""),232.56)</f>
        <v>232.56</v>
      </c>
      <c r="M327" s="3">
        <f>IFERROR(__xludf.DUMMYFUNCTION("""COMPUTED_VALUE"""),165.27)</f>
        <v>165.27</v>
      </c>
      <c r="N327" s="3">
        <f>IFERROR(__xludf.DUMMYFUNCTION("""COMPUTED_VALUE"""),106.1)</f>
        <v>106.1</v>
      </c>
      <c r="O327" s="3">
        <f>IFERROR(__xludf.DUMMYFUNCTION("""COMPUTED_VALUE"""),20.03)</f>
        <v>20.03</v>
      </c>
      <c r="P327" s="3">
        <f>IFERROR(__xludf.DUMMYFUNCTION("""COMPUTED_VALUE"""),499.86)</f>
        <v>499.86</v>
      </c>
      <c r="Q327" s="3">
        <f>IFERROR(__xludf.DUMMYFUNCTION("""COMPUTED_VALUE"""),56.12)</f>
        <v>56.12</v>
      </c>
      <c r="R327" s="3">
        <f>IFERROR(__xludf.DUMMYFUNCTION("""COMPUTED_VALUE"""),132.65)</f>
        <v>132.65</v>
      </c>
      <c r="S327" s="3">
        <f>IFERROR(__xludf.DUMMYFUNCTION("""COMPUTED_VALUE"""),105.75)</f>
        <v>105.75</v>
      </c>
      <c r="T327" s="3">
        <f>IFERROR(__xludf.DUMMYFUNCTION("""COMPUTED_VALUE"""),66.17)</f>
        <v>66.17</v>
      </c>
      <c r="U327" s="3">
        <f>IFERROR(__xludf.DUMMYFUNCTION("""COMPUTED_VALUE"""),434.91)</f>
        <v>434.91</v>
      </c>
      <c r="V327" s="3">
        <f>IFERROR(__xludf.DUMMYFUNCTION("""COMPUTED_VALUE"""),78.63)</f>
        <v>78.63</v>
      </c>
      <c r="W327" s="3">
        <f>IFERROR(__xludf.DUMMYFUNCTION("""COMPUTED_VALUE"""),191.26)</f>
        <v>191.26</v>
      </c>
      <c r="X327" s="3">
        <f>IFERROR(__xludf.DUMMYFUNCTION("""COMPUTED_VALUE"""),159.32)</f>
        <v>159.32</v>
      </c>
      <c r="Y327" s="1">
        <f>IFERROR(__xludf.DUMMYFUNCTION("""COMPUTED_VALUE"""),299.0)</f>
        <v>299</v>
      </c>
      <c r="Z327" s="1">
        <f>IFERROR(__xludf.DUMMYFUNCTION("""COMPUTED_VALUE"""),52.16)</f>
        <v>52.16</v>
      </c>
      <c r="AA327" s="1">
        <f>IFERROR(__xludf.DUMMYFUNCTION("""COMPUTED_VALUE"""),68.36)</f>
        <v>68.36</v>
      </c>
      <c r="AB327" s="1">
        <f>IFERROR(__xludf.DUMMYFUNCTION("""COMPUTED_VALUE"""),98.17)</f>
        <v>98.17</v>
      </c>
      <c r="AC327" s="1">
        <f>IFERROR(__xludf.DUMMYFUNCTION("""COMPUTED_VALUE"""),168.57)</f>
        <v>168.57</v>
      </c>
      <c r="AD327" s="3">
        <f>IFERROR(__xludf.DUMMYFUNCTION("""COMPUTED_VALUE"""),112.5)</f>
        <v>112.5</v>
      </c>
      <c r="AE327" s="1">
        <f>IFERROR(__xludf.DUMMYFUNCTION("""COMPUTED_VALUE"""),448.96)</f>
        <v>448.96</v>
      </c>
      <c r="AF327" s="1">
        <f>IFERROR(__xludf.DUMMYFUNCTION("""COMPUTED_VALUE"""),92.8)</f>
        <v>92.8</v>
      </c>
      <c r="AG327" s="1">
        <f>IFERROR(__xludf.DUMMYFUNCTION("""COMPUTED_VALUE"""),113.35)</f>
        <v>113.35</v>
      </c>
      <c r="AH327" s="1">
        <f>IFERROR(__xludf.DUMMYFUNCTION("""COMPUTED_VALUE"""),231.27)</f>
        <v>231.27</v>
      </c>
      <c r="AI327" s="1">
        <f>IFERROR(__xludf.DUMMYFUNCTION("""COMPUTED_VALUE"""),478.98)</f>
        <v>478.98</v>
      </c>
      <c r="AJ327" s="1">
        <f>IFERROR(__xludf.DUMMYFUNCTION("""COMPUTED_VALUE"""),324.91)</f>
        <v>324.91</v>
      </c>
      <c r="AK327" s="1">
        <f>IFERROR(__xludf.DUMMYFUNCTION("""COMPUTED_VALUE"""),58.49)</f>
        <v>58.49</v>
      </c>
      <c r="AL327" s="1">
        <f>IFERROR(__xludf.DUMMYFUNCTION("""COMPUTED_VALUE"""),112.56)</f>
        <v>112.56</v>
      </c>
      <c r="AM327" s="1">
        <f>IFERROR(__xludf.DUMMYFUNCTION("""COMPUTED_VALUE"""),751.22)</f>
        <v>751.22</v>
      </c>
      <c r="AN327" s="1">
        <f>IFERROR(__xludf.DUMMYFUNCTION("""COMPUTED_VALUE"""),407.45)</f>
        <v>407.45</v>
      </c>
      <c r="AO327" s="1">
        <f>IFERROR(__xludf.DUMMYFUNCTION("""COMPUTED_VALUE"""),135.34)</f>
        <v>135.34</v>
      </c>
      <c r="AP327" s="1">
        <f>IFERROR(__xludf.DUMMYFUNCTION("""COMPUTED_VALUE"""),177.14)</f>
        <v>177.14</v>
      </c>
      <c r="AQ327" s="3">
        <f>IFERROR(__xludf.DUMMYFUNCTION("""COMPUTED_VALUE"""),473.84)</f>
        <v>473.84</v>
      </c>
      <c r="AR327" s="3">
        <f>IFERROR(__xludf.DUMMYFUNCTION("""COMPUTED_VALUE"""),301.07)</f>
        <v>301.07</v>
      </c>
      <c r="AS327" s="3">
        <f>IFERROR(__xludf.DUMMYFUNCTION("""COMPUTED_VALUE"""),456.18)</f>
        <v>456.18</v>
      </c>
      <c r="AT327" s="3">
        <f>IFERROR(__xludf.DUMMYFUNCTION("""COMPUTED_VALUE"""),205.08)</f>
        <v>205.08</v>
      </c>
      <c r="AU327" s="1">
        <f>IFERROR(__xludf.DUMMYFUNCTION("""COMPUTED_VALUE"""),30.67)</f>
        <v>30.67</v>
      </c>
      <c r="AV327" s="1">
        <f>IFERROR(__xludf.DUMMYFUNCTION("""COMPUTED_VALUE"""),91.96)</f>
        <v>91.96</v>
      </c>
      <c r="AW327" s="1">
        <f>IFERROR(__xludf.DUMMYFUNCTION("""COMPUTED_VALUE"""),80.8)</f>
        <v>80.8</v>
      </c>
      <c r="AX327" s="3">
        <f>IFERROR(__xludf.DUMMYFUNCTION("""COMPUTED_VALUE"""),73.5)</f>
        <v>73.5</v>
      </c>
      <c r="AY327" s="1">
        <f>IFERROR(__xludf.DUMMYFUNCTION("""COMPUTED_VALUE"""),509.64)</f>
        <v>509.64</v>
      </c>
      <c r="AZ327" s="3">
        <f>IFERROR(__xludf.DUMMYFUNCTION("""COMPUTED_VALUE"""),72.09)</f>
        <v>72.09</v>
      </c>
      <c r="BA327" s="3">
        <f>IFERROR(__xludf.DUMMYFUNCTION("""COMPUTED_VALUE"""),148.66)</f>
        <v>148.66</v>
      </c>
      <c r="BB327" s="3">
        <f>IFERROR(__xludf.DUMMYFUNCTION("""COMPUTED_VALUE"""),180.17)</f>
        <v>180.17</v>
      </c>
      <c r="BC327" s="1">
        <f>IFERROR(__xludf.DUMMYFUNCTION("""COMPUTED_VALUE"""),86.25)</f>
        <v>86.25</v>
      </c>
      <c r="BD327" s="1">
        <f>IFERROR(__xludf.DUMMYFUNCTION("""COMPUTED_VALUE"""),44.59)</f>
        <v>44.59</v>
      </c>
      <c r="BE327" s="3">
        <f>IFERROR(__xludf.DUMMYFUNCTION("""COMPUTED_VALUE"""),158.12)</f>
        <v>158.12</v>
      </c>
      <c r="BF327" s="1">
        <f>IFERROR(__xludf.DUMMYFUNCTION("""COMPUTED_VALUE"""),70.06)</f>
        <v>70.06</v>
      </c>
      <c r="BG327" s="1">
        <f>IFERROR(__xludf.DUMMYFUNCTION("""COMPUTED_VALUE"""),24.6)</f>
        <v>24.6</v>
      </c>
      <c r="BH327" s="1">
        <f>IFERROR(__xludf.DUMMYFUNCTION("""COMPUTED_VALUE"""),160.66)</f>
        <v>160.66</v>
      </c>
      <c r="BI327" s="3">
        <f>IFERROR(__xludf.DUMMYFUNCTION("""COMPUTED_VALUE"""),38.33)</f>
        <v>38.33</v>
      </c>
      <c r="BJ327" s="1">
        <f>IFERROR(__xludf.DUMMYFUNCTION("""COMPUTED_VALUE"""),250.56)</f>
        <v>250.56</v>
      </c>
      <c r="BK327" s="1">
        <f>IFERROR(__xludf.DUMMYFUNCTION("""COMPUTED_VALUE"""),489.74)</f>
        <v>489.74</v>
      </c>
      <c r="BL327" s="1">
        <f>IFERROR(__xludf.DUMMYFUNCTION("""COMPUTED_VALUE"""),198.25)</f>
        <v>198.25</v>
      </c>
      <c r="BM327" s="1">
        <f>IFERROR(__xludf.DUMMYFUNCTION("""COMPUTED_VALUE"""),116.73)</f>
        <v>116.73</v>
      </c>
      <c r="BN327" s="3">
        <f>IFERROR(__xludf.DUMMYFUNCTION("""COMPUTED_VALUE"""),5.02)</f>
        <v>5.02</v>
      </c>
      <c r="BO327" s="1">
        <f>IFERROR(__xludf.DUMMYFUNCTION("""COMPUTED_VALUE"""),222.35)</f>
        <v>222.35</v>
      </c>
      <c r="BP327" s="1">
        <f>IFERROR(__xludf.DUMMYFUNCTION("""COMPUTED_VALUE"""),302.29)</f>
        <v>302.29</v>
      </c>
      <c r="BQ327" s="36">
        <f>IFERROR(__xludf.DUMMYFUNCTION("""COMPUTED_VALUE"""),50.65)</f>
        <v>50.65</v>
      </c>
      <c r="BR327" s="1">
        <f>IFERROR(__xludf.DUMMYFUNCTION("""COMPUTED_VALUE"""),10.41)</f>
        <v>10.41</v>
      </c>
      <c r="BS327" s="3">
        <f>IFERROR(__xludf.DUMMYFUNCTION("""COMPUTED_VALUE"""),224.58)</f>
        <v>224.58</v>
      </c>
      <c r="BT327" s="1">
        <f>IFERROR(__xludf.DUMMYFUNCTION("""COMPUTED_VALUE"""),117.64)</f>
        <v>117.64</v>
      </c>
      <c r="BU327" s="3">
        <v>1.0</v>
      </c>
    </row>
    <row r="328">
      <c r="A328" s="25">
        <f>IFERROR(__xludf.DUMMYFUNCTION("""COMPUTED_VALUE"""),45898.66666666667)</f>
        <v>45898.66667</v>
      </c>
      <c r="B328" s="29">
        <f>'Master Scratch Work'!B327</f>
        <v>1463905.63</v>
      </c>
      <c r="C328" s="15">
        <f>IFERROR(__xludf.DUMMYFUNCTION("""COMPUTED_VALUE"""),6460.26)</f>
        <v>6460.26</v>
      </c>
      <c r="D328" s="15">
        <f>IFERROR(__xludf.DUMMYFUNCTION("""COMPUTED_VALUE"""),21455.55)</f>
        <v>21455.55</v>
      </c>
      <c r="E328" s="15">
        <f>IFERROR(__xludf.DUMMYFUNCTION("""COMPUTED_VALUE"""),45544.88)</f>
        <v>45544.88</v>
      </c>
      <c r="F328" s="15">
        <f>IFERROR(__xludf.DUMMYFUNCTION("""COMPUTED_VALUE"""),2366.42)</f>
        <v>2366.42</v>
      </c>
      <c r="G328" s="3">
        <f>IFERROR(__xludf.DUMMYFUNCTION("""COMPUTED_VALUE"""),645.05)</f>
        <v>645.05</v>
      </c>
      <c r="H328" s="3">
        <f>IFERROR(__xludf.DUMMYFUNCTION("""COMPUTED_VALUE"""),570.4)</f>
        <v>570.4</v>
      </c>
      <c r="I328" s="3">
        <f>IFERROR(__xludf.DUMMYFUNCTION("""COMPUTED_VALUE"""),356.7)</f>
        <v>356.7</v>
      </c>
      <c r="J328" s="3">
        <f>IFERROR(__xludf.DUMMYFUNCTION("""COMPUTED_VALUE"""),229.0)</f>
        <v>229</v>
      </c>
      <c r="K328" s="3">
        <f>IFERROR(__xludf.DUMMYFUNCTION("""COMPUTED_VALUE"""),143.51)</f>
        <v>143.51</v>
      </c>
      <c r="L328" s="3">
        <f>IFERROR(__xludf.DUMMYFUNCTION("""COMPUTED_VALUE"""),232.14)</f>
        <v>232.14</v>
      </c>
      <c r="M328" s="3">
        <f>IFERROR(__xludf.DUMMYFUNCTION("""COMPUTED_VALUE"""),160.76)</f>
        <v>160.76</v>
      </c>
      <c r="N328" s="3">
        <f>IFERROR(__xludf.DUMMYFUNCTION("""COMPUTED_VALUE"""),105.6)</f>
        <v>105.6</v>
      </c>
      <c r="O328" s="3">
        <f>IFERROR(__xludf.DUMMYFUNCTION("""COMPUTED_VALUE"""),19.63)</f>
        <v>19.63</v>
      </c>
      <c r="P328" s="3">
        <f>IFERROR(__xludf.DUMMYFUNCTION("""COMPUTED_VALUE"""),502.98)</f>
        <v>502.98</v>
      </c>
      <c r="Q328" s="3">
        <f>IFERROR(__xludf.DUMMYFUNCTION("""COMPUTED_VALUE"""),55.77)</f>
        <v>55.77</v>
      </c>
      <c r="R328" s="3">
        <f>IFERROR(__xludf.DUMMYFUNCTION("""COMPUTED_VALUE"""),132.22)</f>
        <v>132.22</v>
      </c>
      <c r="S328" s="3">
        <f>IFERROR(__xludf.DUMMYFUNCTION("""COMPUTED_VALUE"""),105.5)</f>
        <v>105.5</v>
      </c>
      <c r="T328" s="3">
        <f>IFERROR(__xludf.DUMMYFUNCTION("""COMPUTED_VALUE"""),65.2)</f>
        <v>65.2</v>
      </c>
      <c r="U328" s="3">
        <f>IFERROR(__xludf.DUMMYFUNCTION("""COMPUTED_VALUE"""),419.04)</f>
        <v>419.04</v>
      </c>
      <c r="V328" s="3">
        <f>IFERROR(__xludf.DUMMYFUNCTION("""COMPUTED_VALUE"""),77.39)</f>
        <v>77.39</v>
      </c>
      <c r="W328" s="3">
        <f>IFERROR(__xludf.DUMMYFUNCTION("""COMPUTED_VALUE"""),193.14)</f>
        <v>193.14</v>
      </c>
      <c r="X328" s="3">
        <f>IFERROR(__xludf.DUMMYFUNCTION("""COMPUTED_VALUE"""),160.6)</f>
        <v>160.6</v>
      </c>
      <c r="Y328" s="1">
        <f>IFERROR(__xludf.DUMMYFUNCTION("""COMPUTED_VALUE"""),300.87)</f>
        <v>300.87</v>
      </c>
      <c r="Z328" s="1">
        <f>IFERROR(__xludf.DUMMYFUNCTION("""COMPUTED_VALUE"""),52.28)</f>
        <v>52.28</v>
      </c>
      <c r="AA328" s="1">
        <f>IFERROR(__xludf.DUMMYFUNCTION("""COMPUTED_VALUE"""),68.99)</f>
        <v>68.99</v>
      </c>
      <c r="AB328" s="1">
        <f>IFERROR(__xludf.DUMMYFUNCTION("""COMPUTED_VALUE"""),98.23)</f>
        <v>98.23</v>
      </c>
      <c r="AC328" s="1">
        <f>IFERROR(__xludf.DUMMYFUNCTION("""COMPUTED_VALUE"""),167.64)</f>
        <v>167.64</v>
      </c>
      <c r="AD328" s="3">
        <f>IFERROR(__xludf.DUMMYFUNCTION("""COMPUTED_VALUE"""),109.17)</f>
        <v>109.17</v>
      </c>
      <c r="AE328" s="1">
        <f>IFERROR(__xludf.DUMMYFUNCTION("""COMPUTED_VALUE"""),458.3)</f>
        <v>458.3</v>
      </c>
      <c r="AF328" s="1">
        <f>IFERROR(__xludf.DUMMYFUNCTION("""COMPUTED_VALUE"""),90.61)</f>
        <v>90.61</v>
      </c>
      <c r="AG328" s="1">
        <f>IFERROR(__xludf.DUMMYFUNCTION("""COMPUTED_VALUE"""),114.29)</f>
        <v>114.29</v>
      </c>
      <c r="AH328" s="1">
        <f>IFERROR(__xludf.DUMMYFUNCTION("""COMPUTED_VALUE"""),231.07)</f>
        <v>231.07</v>
      </c>
      <c r="AI328" s="1">
        <f>IFERROR(__xludf.DUMMYFUNCTION("""COMPUTED_VALUE"""),477.21)</f>
        <v>477.21</v>
      </c>
      <c r="AJ328" s="1">
        <f>IFERROR(__xludf.DUMMYFUNCTION("""COMPUTED_VALUE"""),324.57)</f>
        <v>324.57</v>
      </c>
      <c r="AK328" s="1">
        <f>IFERROR(__xludf.DUMMYFUNCTION("""COMPUTED_VALUE"""),58.59)</f>
        <v>58.59</v>
      </c>
      <c r="AL328" s="1">
        <f>IFERROR(__xludf.DUMMYFUNCTION("""COMPUTED_VALUE"""),112.97)</f>
        <v>112.97</v>
      </c>
      <c r="AM328" s="1">
        <f>IFERROR(__xludf.DUMMYFUNCTION("""COMPUTED_VALUE"""),745.25)</f>
        <v>745.25</v>
      </c>
      <c r="AN328" s="1">
        <f>IFERROR(__xludf.DUMMYFUNCTION("""COMPUTED_VALUE"""),406.77)</f>
        <v>406.77</v>
      </c>
      <c r="AO328" s="1">
        <f>IFERROR(__xludf.DUMMYFUNCTION("""COMPUTED_VALUE"""),136.96)</f>
        <v>136.96</v>
      </c>
      <c r="AP328" s="1">
        <f>IFERROR(__xludf.DUMMYFUNCTION("""COMPUTED_VALUE"""),176.6)</f>
        <v>176.6</v>
      </c>
      <c r="AQ328" s="3">
        <f>IFERROR(__xludf.DUMMYFUNCTION("""COMPUTED_VALUE"""),473.3)</f>
        <v>473.3</v>
      </c>
      <c r="AR328" s="3">
        <f>IFERROR(__xludf.DUMMYFUNCTION("""COMPUTED_VALUE"""),301.42)</f>
        <v>301.42</v>
      </c>
      <c r="AS328" s="3">
        <f>IFERROR(__xludf.DUMMYFUNCTION("""COMPUTED_VALUE"""),455.63)</f>
        <v>455.63</v>
      </c>
      <c r="AT328" s="3">
        <f>IFERROR(__xludf.DUMMYFUNCTION("""COMPUTED_VALUE"""),202.2)</f>
        <v>202.2</v>
      </c>
      <c r="AU328" s="1">
        <f>IFERROR(__xludf.DUMMYFUNCTION("""COMPUTED_VALUE"""),30.75)</f>
        <v>30.75</v>
      </c>
      <c r="AV328" s="1">
        <f>IFERROR(__xludf.DUMMYFUNCTION("""COMPUTED_VALUE"""),92.81)</f>
        <v>92.81</v>
      </c>
      <c r="AW328" s="1">
        <f>IFERROR(__xludf.DUMMYFUNCTION("""COMPUTED_VALUE"""),81.36)</f>
        <v>81.36</v>
      </c>
      <c r="AX328" s="3">
        <f>IFERROR(__xludf.DUMMYFUNCTION("""COMPUTED_VALUE"""),71.14)</f>
        <v>71.14</v>
      </c>
      <c r="AY328" s="1">
        <f>IFERROR(__xludf.DUMMYFUNCTION("""COMPUTED_VALUE"""),506.69)</f>
        <v>506.69</v>
      </c>
      <c r="AZ328" s="3">
        <f>IFERROR(__xludf.DUMMYFUNCTION("""COMPUTED_VALUE"""),72.05)</f>
        <v>72.05</v>
      </c>
      <c r="BA328" s="3">
        <f>IFERROR(__xludf.DUMMYFUNCTION("""COMPUTED_VALUE"""),145.56)</f>
        <v>145.56</v>
      </c>
      <c r="BB328" s="3">
        <f>IFERROR(__xludf.DUMMYFUNCTION("""COMPUTED_VALUE"""),174.18)</f>
        <v>174.18</v>
      </c>
      <c r="BC328" s="1">
        <f>IFERROR(__xludf.DUMMYFUNCTION("""COMPUTED_VALUE"""),86.38)</f>
        <v>86.38</v>
      </c>
      <c r="BD328" s="1">
        <f>IFERROR(__xludf.DUMMYFUNCTION("""COMPUTED_VALUE"""),45.08)</f>
        <v>45.08</v>
      </c>
      <c r="BE328" s="3">
        <f>IFERROR(__xludf.DUMMYFUNCTION("""COMPUTED_VALUE"""),156.71)</f>
        <v>156.71</v>
      </c>
      <c r="BF328" s="1">
        <f>IFERROR(__xludf.DUMMYFUNCTION("""COMPUTED_VALUE"""),70.19)</f>
        <v>70.19</v>
      </c>
      <c r="BG328" s="1">
        <f>IFERROR(__xludf.DUMMYFUNCTION("""COMPUTED_VALUE"""),24.76)</f>
        <v>24.76</v>
      </c>
      <c r="BH328" s="1">
        <f>IFERROR(__xludf.DUMMYFUNCTION("""COMPUTED_VALUE"""),158.6)</f>
        <v>158.6</v>
      </c>
      <c r="BI328" s="3">
        <f>IFERROR(__xludf.DUMMYFUNCTION("""COMPUTED_VALUE"""),37.97)</f>
        <v>37.97</v>
      </c>
      <c r="BJ328" s="1">
        <f>IFERROR(__xludf.DUMMYFUNCTION("""COMPUTED_VALUE"""),251.99)</f>
        <v>251.99</v>
      </c>
      <c r="BK328" s="1">
        <f>IFERROR(__xludf.DUMMYFUNCTION("""COMPUTED_VALUE"""),492.72)</f>
        <v>492.72</v>
      </c>
      <c r="BL328" s="1">
        <f>IFERROR(__xludf.DUMMYFUNCTION("""COMPUTED_VALUE"""),194.57)</f>
        <v>194.57</v>
      </c>
      <c r="BM328" s="1">
        <f>IFERROR(__xludf.DUMMYFUNCTION("""COMPUTED_VALUE"""),114.96)</f>
        <v>114.96</v>
      </c>
      <c r="BN328" s="3">
        <f>IFERROR(__xludf.DUMMYFUNCTION("""COMPUTED_VALUE"""),5.0)</f>
        <v>5</v>
      </c>
      <c r="BO328" s="1">
        <f>IFERROR(__xludf.DUMMYFUNCTION("""COMPUTED_VALUE"""),223.57)</f>
        <v>223.57</v>
      </c>
      <c r="BP328" s="1">
        <f>IFERROR(__xludf.DUMMYFUNCTION("""COMPUTED_VALUE"""),309.87)</f>
        <v>309.87</v>
      </c>
      <c r="BQ328" s="36">
        <f>IFERROR(__xludf.DUMMYFUNCTION("""COMPUTED_VALUE"""),50.68)</f>
        <v>50.68</v>
      </c>
      <c r="BR328" s="1">
        <f>IFERROR(__xludf.DUMMYFUNCTION("""COMPUTED_VALUE"""),10.55)</f>
        <v>10.55</v>
      </c>
      <c r="BS328" s="3">
        <f>IFERROR(__xludf.DUMMYFUNCTION("""COMPUTED_VALUE"""),226.39)</f>
        <v>226.39</v>
      </c>
      <c r="BT328" s="1">
        <f>IFERROR(__xludf.DUMMYFUNCTION("""COMPUTED_VALUE"""),118.38)</f>
        <v>118.38</v>
      </c>
      <c r="BU328" s="3">
        <v>1.0</v>
      </c>
    </row>
    <row r="329">
      <c r="A329" s="25">
        <f>IFERROR(__xludf.DUMMYFUNCTION("""COMPUTED_VALUE"""),45902.66666666667)</f>
        <v>45902.66667</v>
      </c>
      <c r="B329" s="29">
        <f>'Master Scratch Work'!B328</f>
        <v>1455651.63</v>
      </c>
      <c r="C329" s="15">
        <f>IFERROR(__xludf.DUMMYFUNCTION("""COMPUTED_VALUE"""),6415.54)</f>
        <v>6415.54</v>
      </c>
      <c r="D329" s="15">
        <f>IFERROR(__xludf.DUMMYFUNCTION("""COMPUTED_VALUE"""),21279.63)</f>
        <v>21279.63</v>
      </c>
      <c r="E329" s="15">
        <f>IFERROR(__xludf.DUMMYFUNCTION("""COMPUTED_VALUE"""),45295.81)</f>
        <v>45295.81</v>
      </c>
      <c r="F329" s="15">
        <f>IFERROR(__xludf.DUMMYFUNCTION("""COMPUTED_VALUE"""),2352.21)</f>
        <v>2352.21</v>
      </c>
      <c r="G329" s="3">
        <f>IFERROR(__xludf.DUMMYFUNCTION("""COMPUTED_VALUE"""),640.27)</f>
        <v>640.27</v>
      </c>
      <c r="H329" s="3">
        <f>IFERROR(__xludf.DUMMYFUNCTION("""COMPUTED_VALUE"""),565.62)</f>
        <v>565.62</v>
      </c>
      <c r="I329" s="3">
        <f>IFERROR(__xludf.DUMMYFUNCTION("""COMPUTED_VALUE"""),345.63)</f>
        <v>345.63</v>
      </c>
      <c r="J329" s="3">
        <f>IFERROR(__xludf.DUMMYFUNCTION("""COMPUTED_VALUE"""),225.34)</f>
        <v>225.34</v>
      </c>
      <c r="K329" s="3">
        <f>IFERROR(__xludf.DUMMYFUNCTION("""COMPUTED_VALUE"""),141.41)</f>
        <v>141.41</v>
      </c>
      <c r="L329" s="3">
        <f>IFERROR(__xludf.DUMMYFUNCTION("""COMPUTED_VALUE"""),229.72)</f>
        <v>229.72</v>
      </c>
      <c r="M329" s="3">
        <f>IFERROR(__xludf.DUMMYFUNCTION("""COMPUTED_VALUE"""),157.57)</f>
        <v>157.57</v>
      </c>
      <c r="N329" s="3">
        <f>IFERROR(__xludf.DUMMYFUNCTION("""COMPUTED_VALUE"""),104.7)</f>
        <v>104.7</v>
      </c>
      <c r="O329" s="3">
        <f>IFERROR(__xludf.DUMMYFUNCTION("""COMPUTED_VALUE"""),19.56)</f>
        <v>19.56</v>
      </c>
      <c r="P329" s="3">
        <f>IFERROR(__xludf.DUMMYFUNCTION("""COMPUTED_VALUE"""),501.14)</f>
        <v>501.14</v>
      </c>
      <c r="Q329" s="3">
        <f>IFERROR(__xludf.DUMMYFUNCTION("""COMPUTED_VALUE"""),55.67)</f>
        <v>55.67</v>
      </c>
      <c r="R329" s="3">
        <f>IFERROR(__xludf.DUMMYFUNCTION("""COMPUTED_VALUE"""),139.63)</f>
        <v>139.63</v>
      </c>
      <c r="S329" s="3">
        <f>IFERROR(__xludf.DUMMYFUNCTION("""COMPUTED_VALUE"""),106.66)</f>
        <v>106.66</v>
      </c>
      <c r="T329" s="3">
        <f>IFERROR(__xludf.DUMMYFUNCTION("""COMPUTED_VALUE"""),63.5)</f>
        <v>63.5</v>
      </c>
      <c r="U329" s="3">
        <f>IFERROR(__xludf.DUMMYFUNCTION("""COMPUTED_VALUE"""),416.05)</f>
        <v>416.05</v>
      </c>
      <c r="V329" s="3">
        <f>IFERROR(__xludf.DUMMYFUNCTION("""COMPUTED_VALUE"""),75.42)</f>
        <v>75.42</v>
      </c>
      <c r="W329" s="3">
        <f>IFERROR(__xludf.DUMMYFUNCTION("""COMPUTED_VALUE"""),190.16)</f>
        <v>190.16</v>
      </c>
      <c r="X329" s="3">
        <f>IFERROR(__xludf.DUMMYFUNCTION("""COMPUTED_VALUE"""),161.83)</f>
        <v>161.83</v>
      </c>
      <c r="Y329" s="1">
        <f>IFERROR(__xludf.DUMMYFUNCTION("""COMPUTED_VALUE"""),300.72)</f>
        <v>300.72</v>
      </c>
      <c r="Z329" s="1">
        <f>IFERROR(__xludf.DUMMYFUNCTION("""COMPUTED_VALUE"""),51.6)</f>
        <v>51.6</v>
      </c>
      <c r="AA329" s="1">
        <f>IFERROR(__xludf.DUMMYFUNCTION("""COMPUTED_VALUE"""),69.06)</f>
        <v>69.06</v>
      </c>
      <c r="AB329" s="1">
        <f>IFERROR(__xludf.DUMMYFUNCTION("""COMPUTED_VALUE"""),97.2)</f>
        <v>97.2</v>
      </c>
      <c r="AC329" s="1">
        <f>IFERROR(__xludf.DUMMYFUNCTION("""COMPUTED_VALUE"""),162.95)</f>
        <v>162.95</v>
      </c>
      <c r="AD329" s="3">
        <f>IFERROR(__xludf.DUMMYFUNCTION("""COMPUTED_VALUE"""),111.35)</f>
        <v>111.35</v>
      </c>
      <c r="AE329" s="1">
        <f>IFERROR(__xludf.DUMMYFUNCTION("""COMPUTED_VALUE"""),467.3)</f>
        <v>467.3</v>
      </c>
      <c r="AF329" s="1">
        <f>IFERROR(__xludf.DUMMYFUNCTION("""COMPUTED_VALUE"""),89.89)</f>
        <v>89.89</v>
      </c>
      <c r="AG329" s="1">
        <f>IFERROR(__xludf.DUMMYFUNCTION("""COMPUTED_VALUE"""),114.69)</f>
        <v>114.69</v>
      </c>
      <c r="AH329" s="1">
        <f>IFERROR(__xludf.DUMMYFUNCTION("""COMPUTED_VALUE"""),224.18)</f>
        <v>224.18</v>
      </c>
      <c r="AI329" s="1">
        <f>IFERROR(__xludf.DUMMYFUNCTION("""COMPUTED_VALUE"""),492.08)</f>
        <v>492.08</v>
      </c>
      <c r="AJ329" s="1">
        <f>IFERROR(__xludf.DUMMYFUNCTION("""COMPUTED_VALUE"""),324.39)</f>
        <v>324.39</v>
      </c>
      <c r="AK329" s="1">
        <f>IFERROR(__xludf.DUMMYFUNCTION("""COMPUTED_VALUE"""),58.53)</f>
        <v>58.53</v>
      </c>
      <c r="AL329" s="1">
        <f>IFERROR(__xludf.DUMMYFUNCTION("""COMPUTED_VALUE"""),112.71)</f>
        <v>112.71</v>
      </c>
      <c r="AM329" s="1">
        <f>IFERROR(__xludf.DUMMYFUNCTION("""COMPUTED_VALUE"""),730.85)</f>
        <v>730.85</v>
      </c>
      <c r="AN329" s="1">
        <f>IFERROR(__xludf.DUMMYFUNCTION("""COMPUTED_VALUE"""),406.31)</f>
        <v>406.31</v>
      </c>
      <c r="AO329" s="1">
        <f>IFERROR(__xludf.DUMMYFUNCTION("""COMPUTED_VALUE"""),137.73)</f>
        <v>137.73</v>
      </c>
      <c r="AP329" s="1">
        <f>IFERROR(__xludf.DUMMYFUNCTION("""COMPUTED_VALUE"""),175.09)</f>
        <v>175.09</v>
      </c>
      <c r="AQ329" s="3">
        <f>IFERROR(__xludf.DUMMYFUNCTION("""COMPUTED_VALUE"""),469.07)</f>
        <v>469.07</v>
      </c>
      <c r="AR329" s="3">
        <f>IFERROR(__xludf.DUMMYFUNCTION("""COMPUTED_VALUE"""),299.7)</f>
        <v>299.7</v>
      </c>
      <c r="AS329" s="3">
        <f>IFERROR(__xludf.DUMMYFUNCTION("""COMPUTED_VALUE"""),452.5)</f>
        <v>452.5</v>
      </c>
      <c r="AT329" s="3">
        <f>IFERROR(__xludf.DUMMYFUNCTION("""COMPUTED_VALUE"""),200.21)</f>
        <v>200.21</v>
      </c>
      <c r="AU329" s="1">
        <f>IFERROR(__xludf.DUMMYFUNCTION("""COMPUTED_VALUE"""),30.48)</f>
        <v>30.48</v>
      </c>
      <c r="AV329" s="1">
        <f>IFERROR(__xludf.DUMMYFUNCTION("""COMPUTED_VALUE"""),93.33)</f>
        <v>93.33</v>
      </c>
      <c r="AW329" s="1">
        <f>IFERROR(__xludf.DUMMYFUNCTION("""COMPUTED_VALUE"""),80.56)</f>
        <v>80.56</v>
      </c>
      <c r="AX329" s="3">
        <f>IFERROR(__xludf.DUMMYFUNCTION("""COMPUTED_VALUE"""),67.31)</f>
        <v>67.31</v>
      </c>
      <c r="AY329" s="1">
        <f>IFERROR(__xludf.DUMMYFUNCTION("""COMPUTED_VALUE"""),505.12)</f>
        <v>505.12</v>
      </c>
      <c r="AZ329" s="3">
        <f>IFERROR(__xludf.DUMMYFUNCTION("""COMPUTED_VALUE"""),72.65)</f>
        <v>72.65</v>
      </c>
      <c r="BA329" s="3">
        <f>IFERROR(__xludf.DUMMYFUNCTION("""COMPUTED_VALUE"""),145.11)</f>
        <v>145.11</v>
      </c>
      <c r="BB329" s="3">
        <f>IFERROR(__xludf.DUMMYFUNCTION("""COMPUTED_VALUE"""),170.78)</f>
        <v>170.78</v>
      </c>
      <c r="BC329" s="1">
        <f>IFERROR(__xludf.DUMMYFUNCTION("""COMPUTED_VALUE"""),85.77)</f>
        <v>85.77</v>
      </c>
      <c r="BD329" s="1">
        <f>IFERROR(__xludf.DUMMYFUNCTION("""COMPUTED_VALUE"""),44.79)</f>
        <v>44.79</v>
      </c>
      <c r="BE329" s="3">
        <f>IFERROR(__xludf.DUMMYFUNCTION("""COMPUTED_VALUE"""),157.09)</f>
        <v>157.09</v>
      </c>
      <c r="BF329" s="1">
        <f>IFERROR(__xludf.DUMMYFUNCTION("""COMPUTED_VALUE"""),69.25)</f>
        <v>69.25</v>
      </c>
      <c r="BG329" s="1">
        <f>IFERROR(__xludf.DUMMYFUNCTION("""COMPUTED_VALUE"""),24.98)</f>
        <v>24.98</v>
      </c>
      <c r="BH329" s="1">
        <f>IFERROR(__xludf.DUMMYFUNCTION("""COMPUTED_VALUE"""),158.01)</f>
        <v>158.01</v>
      </c>
      <c r="BI329" s="3">
        <f>IFERROR(__xludf.DUMMYFUNCTION("""COMPUTED_VALUE"""),39.53)</f>
        <v>39.53</v>
      </c>
      <c r="BJ329" s="1">
        <f>IFERROR(__xludf.DUMMYFUNCTION("""COMPUTED_VALUE"""),255.89)</f>
        <v>255.89</v>
      </c>
      <c r="BK329" s="1">
        <f>IFERROR(__xludf.DUMMYFUNCTION("""COMPUTED_VALUE"""),487.53)</f>
        <v>487.53</v>
      </c>
      <c r="BL329" s="1">
        <f>IFERROR(__xludf.DUMMYFUNCTION("""COMPUTED_VALUE"""),193.57)</f>
        <v>193.57</v>
      </c>
      <c r="BM329" s="1">
        <f>IFERROR(__xludf.DUMMYFUNCTION("""COMPUTED_VALUE"""),111.55)</f>
        <v>111.55</v>
      </c>
      <c r="BN329" s="3">
        <f>IFERROR(__xludf.DUMMYFUNCTION("""COMPUTED_VALUE"""),5.03)</f>
        <v>5.03</v>
      </c>
      <c r="BO329" s="1">
        <f>IFERROR(__xludf.DUMMYFUNCTION("""COMPUTED_VALUE"""),221.99)</f>
        <v>221.99</v>
      </c>
      <c r="BP329" s="1">
        <f>IFERROR(__xludf.DUMMYFUNCTION("""COMPUTED_VALUE"""),308.8)</f>
        <v>308.8</v>
      </c>
      <c r="BQ329" s="36">
        <f>IFERROR(__xludf.DUMMYFUNCTION("""COMPUTED_VALUE"""),50.63)</f>
        <v>50.63</v>
      </c>
      <c r="BR329" s="1">
        <f>IFERROR(__xludf.DUMMYFUNCTION("""COMPUTED_VALUE"""),10.56)</f>
        <v>10.56</v>
      </c>
      <c r="BS329" s="3">
        <f>IFERROR(__xludf.DUMMYFUNCTION("""COMPUTED_VALUE"""),225.73)</f>
        <v>225.73</v>
      </c>
      <c r="BT329" s="1">
        <f>IFERROR(__xludf.DUMMYFUNCTION("""COMPUTED_VALUE"""),118.27)</f>
        <v>118.27</v>
      </c>
      <c r="BU329" s="3">
        <v>1.0</v>
      </c>
    </row>
    <row r="330">
      <c r="A330" s="25">
        <f>IFERROR(__xludf.DUMMYFUNCTION("""COMPUTED_VALUE"""),45903.66666666667)</f>
        <v>45903.66667</v>
      </c>
      <c r="B330" s="29">
        <f>'Master Scratch Work'!B329</f>
        <v>1452786.45</v>
      </c>
      <c r="C330" s="15">
        <f>IFERROR(__xludf.DUMMYFUNCTION("""COMPUTED_VALUE"""),6448.26)</f>
        <v>6448.26</v>
      </c>
      <c r="D330" s="15">
        <f>IFERROR(__xludf.DUMMYFUNCTION("""COMPUTED_VALUE"""),21497.73)</f>
        <v>21497.73</v>
      </c>
      <c r="E330" s="15">
        <f>IFERROR(__xludf.DUMMYFUNCTION("""COMPUTED_VALUE"""),45271.23)</f>
        <v>45271.23</v>
      </c>
      <c r="F330" s="15">
        <f>IFERROR(__xludf.DUMMYFUNCTION("""COMPUTED_VALUE"""),2349.97)</f>
        <v>2349.97</v>
      </c>
      <c r="G330" s="3">
        <f>IFERROR(__xludf.DUMMYFUNCTION("""COMPUTED_VALUE"""),643.74)</f>
        <v>643.74</v>
      </c>
      <c r="H330" s="3">
        <f>IFERROR(__xludf.DUMMYFUNCTION("""COMPUTED_VALUE"""),570.07)</f>
        <v>570.07</v>
      </c>
      <c r="I330" s="3">
        <f>IFERROR(__xludf.DUMMYFUNCTION("""COMPUTED_VALUE"""),348.5)</f>
        <v>348.5</v>
      </c>
      <c r="J330" s="3">
        <f>IFERROR(__xludf.DUMMYFUNCTION("""COMPUTED_VALUE"""),225.99)</f>
        <v>225.99</v>
      </c>
      <c r="K330" s="3">
        <f>IFERROR(__xludf.DUMMYFUNCTION("""COMPUTED_VALUE"""),140.7)</f>
        <v>140.7</v>
      </c>
      <c r="L330" s="3">
        <f>IFERROR(__xludf.DUMMYFUNCTION("""COMPUTED_VALUE"""),238.47)</f>
        <v>238.47</v>
      </c>
      <c r="M330" s="3">
        <f>IFERROR(__xludf.DUMMYFUNCTION("""COMPUTED_VALUE"""),156.25)</f>
        <v>156.25</v>
      </c>
      <c r="N330" s="3">
        <f>IFERROR(__xludf.DUMMYFUNCTION("""COMPUTED_VALUE"""),104.68)</f>
        <v>104.68</v>
      </c>
      <c r="O330" s="3">
        <f>IFERROR(__xludf.DUMMYFUNCTION("""COMPUTED_VALUE"""),19.68)</f>
        <v>19.68</v>
      </c>
      <c r="P330" s="3">
        <f>IFERROR(__xludf.DUMMYFUNCTION("""COMPUTED_VALUE"""),501.49)</f>
        <v>501.49</v>
      </c>
      <c r="Q330" s="3">
        <f>IFERROR(__xludf.DUMMYFUNCTION("""COMPUTED_VALUE"""),55.89)</f>
        <v>55.89</v>
      </c>
      <c r="R330" s="3">
        <f>IFERROR(__xludf.DUMMYFUNCTION("""COMPUTED_VALUE"""),141.62)</f>
        <v>141.62</v>
      </c>
      <c r="S330" s="3">
        <f>IFERROR(__xludf.DUMMYFUNCTION("""COMPUTED_VALUE"""),107.53)</f>
        <v>107.53</v>
      </c>
      <c r="T330" s="3">
        <f>IFERROR(__xludf.DUMMYFUNCTION("""COMPUTED_VALUE"""),62.47)</f>
        <v>62.47</v>
      </c>
      <c r="U330" s="3">
        <f>IFERROR(__xludf.DUMMYFUNCTION("""COMPUTED_VALUE"""),415.12)</f>
        <v>415.12</v>
      </c>
      <c r="V330" s="3">
        <f>IFERROR(__xludf.DUMMYFUNCTION("""COMPUTED_VALUE"""),77.17)</f>
        <v>77.17</v>
      </c>
      <c r="W330" s="3">
        <f>IFERROR(__xludf.DUMMYFUNCTION("""COMPUTED_VALUE"""),191.47)</f>
        <v>191.47</v>
      </c>
      <c r="X330" s="3">
        <f>IFERROR(__xludf.DUMMYFUNCTION("""COMPUTED_VALUE"""),158.06)</f>
        <v>158.06</v>
      </c>
      <c r="Y330" s="1">
        <f>IFERROR(__xludf.DUMMYFUNCTION("""COMPUTED_VALUE"""),300.48)</f>
        <v>300.48</v>
      </c>
      <c r="Z330" s="1">
        <f>IFERROR(__xludf.DUMMYFUNCTION("""COMPUTED_VALUE"""),51.67)</f>
        <v>51.67</v>
      </c>
      <c r="AA330" s="1">
        <f>IFERROR(__xludf.DUMMYFUNCTION("""COMPUTED_VALUE"""),68.99)</f>
        <v>68.99</v>
      </c>
      <c r="AB330" s="1">
        <f>IFERROR(__xludf.DUMMYFUNCTION("""COMPUTED_VALUE"""),97.85)</f>
        <v>97.85</v>
      </c>
      <c r="AC330" s="1">
        <f>IFERROR(__xludf.DUMMYFUNCTION("""COMPUTED_VALUE"""),161.5)</f>
        <v>161.5</v>
      </c>
      <c r="AD330" s="3">
        <f>IFERROR(__xludf.DUMMYFUNCTION("""COMPUTED_VALUE"""),102.03)</f>
        <v>102.03</v>
      </c>
      <c r="AE330" s="1">
        <f>IFERROR(__xludf.DUMMYFUNCTION("""COMPUTED_VALUE"""),466.6)</f>
        <v>466.6</v>
      </c>
      <c r="AF330" s="1">
        <f>IFERROR(__xludf.DUMMYFUNCTION("""COMPUTED_VALUE"""),90.16)</f>
        <v>90.16</v>
      </c>
      <c r="AG330" s="1">
        <f>IFERROR(__xludf.DUMMYFUNCTION("""COMPUTED_VALUE"""),111.91)</f>
        <v>111.91</v>
      </c>
      <c r="AH330" s="1">
        <f>IFERROR(__xludf.DUMMYFUNCTION("""COMPUTED_VALUE"""),225.34)</f>
        <v>225.34</v>
      </c>
      <c r="AI330" s="1">
        <f>IFERROR(__xludf.DUMMYFUNCTION("""COMPUTED_VALUE"""),494.82)</f>
        <v>494.82</v>
      </c>
      <c r="AJ330" s="1">
        <f>IFERROR(__xludf.DUMMYFUNCTION("""COMPUTED_VALUE"""),322.81)</f>
        <v>322.81</v>
      </c>
      <c r="AK330" s="1">
        <f>IFERROR(__xludf.DUMMYFUNCTION("""COMPUTED_VALUE"""),57.75)</f>
        <v>57.75</v>
      </c>
      <c r="AL330" s="1">
        <f>IFERROR(__xludf.DUMMYFUNCTION("""COMPUTED_VALUE"""),112.99)</f>
        <v>112.99</v>
      </c>
      <c r="AM330" s="1">
        <f>IFERROR(__xludf.DUMMYFUNCTION("""COMPUTED_VALUE"""),730.56)</f>
        <v>730.56</v>
      </c>
      <c r="AN330" s="1">
        <f>IFERROR(__xludf.DUMMYFUNCTION("""COMPUTED_VALUE"""),407.71)</f>
        <v>407.71</v>
      </c>
      <c r="AO330" s="1">
        <f>IFERROR(__xludf.DUMMYFUNCTION("""COMPUTED_VALUE"""),137.95)</f>
        <v>137.95</v>
      </c>
      <c r="AP330" s="1">
        <f>IFERROR(__xludf.DUMMYFUNCTION("""COMPUTED_VALUE"""),175.13)</f>
        <v>175.13</v>
      </c>
      <c r="AQ330" s="3">
        <f>IFERROR(__xludf.DUMMYFUNCTION("""COMPUTED_VALUE"""),441.18)</f>
        <v>441.18</v>
      </c>
      <c r="AR330" s="3">
        <f>IFERROR(__xludf.DUMMYFUNCTION("""COMPUTED_VALUE"""),299.51)</f>
        <v>299.51</v>
      </c>
      <c r="AS330" s="3">
        <f>IFERROR(__xludf.DUMMYFUNCTION("""COMPUTED_VALUE"""),449.06)</f>
        <v>449.06</v>
      </c>
      <c r="AT330" s="3">
        <f>IFERROR(__xludf.DUMMYFUNCTION("""COMPUTED_VALUE"""),198.53)</f>
        <v>198.53</v>
      </c>
      <c r="AU330" s="1">
        <f>IFERROR(__xludf.DUMMYFUNCTION("""COMPUTED_VALUE"""),30.46)</f>
        <v>30.46</v>
      </c>
      <c r="AV330" s="1">
        <f>IFERROR(__xludf.DUMMYFUNCTION("""COMPUTED_VALUE"""),92.25)</f>
        <v>92.25</v>
      </c>
      <c r="AW330" s="1">
        <f>IFERROR(__xludf.DUMMYFUNCTION("""COMPUTED_VALUE"""),80.57)</f>
        <v>80.57</v>
      </c>
      <c r="AX330" s="3">
        <f>IFERROR(__xludf.DUMMYFUNCTION("""COMPUTED_VALUE"""),65.99)</f>
        <v>65.99</v>
      </c>
      <c r="AY330" s="1">
        <f>IFERROR(__xludf.DUMMYFUNCTION("""COMPUTED_VALUE"""),505.35)</f>
        <v>505.35</v>
      </c>
      <c r="AZ330" s="3">
        <f>IFERROR(__xludf.DUMMYFUNCTION("""COMPUTED_VALUE"""),71.63)</f>
        <v>71.63</v>
      </c>
      <c r="BA330" s="3">
        <f>IFERROR(__xludf.DUMMYFUNCTION("""COMPUTED_VALUE"""),146.91)</f>
        <v>146.91</v>
      </c>
      <c r="BB330" s="3">
        <f>IFERROR(__xludf.DUMMYFUNCTION("""COMPUTED_VALUE"""),170.62)</f>
        <v>170.62</v>
      </c>
      <c r="BC330" s="1">
        <f>IFERROR(__xludf.DUMMYFUNCTION("""COMPUTED_VALUE"""),85.67)</f>
        <v>85.67</v>
      </c>
      <c r="BD330" s="1">
        <f>IFERROR(__xludf.DUMMYFUNCTION("""COMPUTED_VALUE"""),44.8)</f>
        <v>44.8</v>
      </c>
      <c r="BE330" s="3">
        <f>IFERROR(__xludf.DUMMYFUNCTION("""COMPUTED_VALUE"""),154.9)</f>
        <v>154.9</v>
      </c>
      <c r="BF330" s="1">
        <f>IFERROR(__xludf.DUMMYFUNCTION("""COMPUTED_VALUE"""),69.64)</f>
        <v>69.64</v>
      </c>
      <c r="BG330" s="1">
        <f>IFERROR(__xludf.DUMMYFUNCTION("""COMPUTED_VALUE"""),24.79)</f>
        <v>24.79</v>
      </c>
      <c r="BH330" s="1">
        <f>IFERROR(__xludf.DUMMYFUNCTION("""COMPUTED_VALUE"""),158.11)</f>
        <v>158.11</v>
      </c>
      <c r="BI330" s="3">
        <f>IFERROR(__xludf.DUMMYFUNCTION("""COMPUTED_VALUE"""),39.77)</f>
        <v>39.77</v>
      </c>
      <c r="BJ330" s="1">
        <f>IFERROR(__xludf.DUMMYFUNCTION("""COMPUTED_VALUE"""),252.66)</f>
        <v>252.66</v>
      </c>
      <c r="BK330" s="1">
        <f>IFERROR(__xludf.DUMMYFUNCTION("""COMPUTED_VALUE"""),484.55)</f>
        <v>484.55</v>
      </c>
      <c r="BL330" s="1">
        <f>IFERROR(__xludf.DUMMYFUNCTION("""COMPUTED_VALUE"""),193.01)</f>
        <v>193.01</v>
      </c>
      <c r="BM330" s="1">
        <f>IFERROR(__xludf.DUMMYFUNCTION("""COMPUTED_VALUE"""),106.94)</f>
        <v>106.94</v>
      </c>
      <c r="BN330" s="3">
        <f>IFERROR(__xludf.DUMMYFUNCTION("""COMPUTED_VALUE"""),5.06)</f>
        <v>5.06</v>
      </c>
      <c r="BO330" s="1">
        <f>IFERROR(__xludf.DUMMYFUNCTION("""COMPUTED_VALUE"""),221.76)</f>
        <v>221.76</v>
      </c>
      <c r="BP330" s="1">
        <f>IFERROR(__xludf.DUMMYFUNCTION("""COMPUTED_VALUE"""),307.88)</f>
        <v>307.88</v>
      </c>
      <c r="BQ330" s="36">
        <f>IFERROR(__xludf.DUMMYFUNCTION("""COMPUTED_VALUE"""),50.63)</f>
        <v>50.63</v>
      </c>
      <c r="BR330" s="1">
        <f>IFERROR(__xludf.DUMMYFUNCTION("""COMPUTED_VALUE"""),10.55)</f>
        <v>10.55</v>
      </c>
      <c r="BS330" s="3">
        <f>IFERROR(__xludf.DUMMYFUNCTION("""COMPUTED_VALUE"""),224.41)</f>
        <v>224.41</v>
      </c>
      <c r="BT330" s="1">
        <f>IFERROR(__xludf.DUMMYFUNCTION("""COMPUTED_VALUE"""),117.38)</f>
        <v>117.38</v>
      </c>
      <c r="BU330" s="3">
        <v>1.0</v>
      </c>
    </row>
    <row r="331">
      <c r="A331" s="25">
        <f>IFERROR(__xludf.DUMMYFUNCTION("""COMPUTED_VALUE"""),45904.66666666667)</f>
        <v>45904.66667</v>
      </c>
      <c r="B331" s="29">
        <f>'Master Scratch Work'!B330</f>
        <v>1462967.16</v>
      </c>
      <c r="C331" s="15">
        <f>IFERROR(__xludf.DUMMYFUNCTION("""COMPUTED_VALUE"""),6502.08)</f>
        <v>6502.08</v>
      </c>
      <c r="D331" s="15">
        <f>IFERROR(__xludf.DUMMYFUNCTION("""COMPUTED_VALUE"""),21707.69)</f>
        <v>21707.69</v>
      </c>
      <c r="E331" s="15">
        <f>IFERROR(__xludf.DUMMYFUNCTION("""COMPUTED_VALUE"""),45621.29)</f>
        <v>45621.29</v>
      </c>
      <c r="F331" s="15">
        <f>IFERROR(__xludf.DUMMYFUNCTION("""COMPUTED_VALUE"""),2379.61)</f>
        <v>2379.61</v>
      </c>
      <c r="G331" s="3">
        <f>IFERROR(__xludf.DUMMYFUNCTION("""COMPUTED_VALUE"""),649.12)</f>
        <v>649.12</v>
      </c>
      <c r="H331" s="3">
        <f>IFERROR(__xludf.DUMMYFUNCTION("""COMPUTED_VALUE"""),575.23)</f>
        <v>575.23</v>
      </c>
      <c r="I331" s="3">
        <f>IFERROR(__xludf.DUMMYFUNCTION("""COMPUTED_VALUE"""),344.31)</f>
        <v>344.31</v>
      </c>
      <c r="J331" s="3">
        <f>IFERROR(__xludf.DUMMYFUNCTION("""COMPUTED_VALUE"""),235.68)</f>
        <v>235.68</v>
      </c>
      <c r="K331" s="3">
        <f>IFERROR(__xludf.DUMMYFUNCTION("""COMPUTED_VALUE"""),141.57)</f>
        <v>141.57</v>
      </c>
      <c r="L331" s="3">
        <f>IFERROR(__xludf.DUMMYFUNCTION("""COMPUTED_VALUE"""),239.78)</f>
        <v>239.78</v>
      </c>
      <c r="M331" s="3">
        <f>IFERROR(__xludf.DUMMYFUNCTION("""COMPUTED_VALUE"""),158.24)</f>
        <v>158.24</v>
      </c>
      <c r="N331" s="3">
        <f>IFERROR(__xludf.DUMMYFUNCTION("""COMPUTED_VALUE"""),105.56)</f>
        <v>105.56</v>
      </c>
      <c r="O331" s="3">
        <f>IFERROR(__xludf.DUMMYFUNCTION("""COMPUTED_VALUE"""),20.11)</f>
        <v>20.11</v>
      </c>
      <c r="P331" s="3">
        <f>IFERROR(__xludf.DUMMYFUNCTION("""COMPUTED_VALUE"""),506.91)</f>
        <v>506.91</v>
      </c>
      <c r="Q331" s="3">
        <f>IFERROR(__xludf.DUMMYFUNCTION("""COMPUTED_VALUE"""),55.55)</f>
        <v>55.55</v>
      </c>
      <c r="R331" s="3">
        <f>IFERROR(__xludf.DUMMYFUNCTION("""COMPUTED_VALUE"""),139.94)</f>
        <v>139.94</v>
      </c>
      <c r="S331" s="3">
        <f>IFERROR(__xludf.DUMMYFUNCTION("""COMPUTED_VALUE"""),107.29)</f>
        <v>107.29</v>
      </c>
      <c r="T331" s="3">
        <f>IFERROR(__xludf.DUMMYFUNCTION("""COMPUTED_VALUE"""),63.54)</f>
        <v>63.54</v>
      </c>
      <c r="U331" s="3">
        <f>IFERROR(__xludf.DUMMYFUNCTION("""COMPUTED_VALUE"""),420.22)</f>
        <v>420.22</v>
      </c>
      <c r="V331" s="3">
        <f>IFERROR(__xludf.DUMMYFUNCTION("""COMPUTED_VALUE"""),76.31)</f>
        <v>76.31</v>
      </c>
      <c r="W331" s="3">
        <f>IFERROR(__xludf.DUMMYFUNCTION("""COMPUTED_VALUE"""),190.77)</f>
        <v>190.77</v>
      </c>
      <c r="X331" s="3">
        <f>IFERROR(__xludf.DUMMYFUNCTION("""COMPUTED_VALUE"""),157.69)</f>
        <v>157.69</v>
      </c>
      <c r="Y331" s="1">
        <f>IFERROR(__xludf.DUMMYFUNCTION("""COMPUTED_VALUE"""),304.03)</f>
        <v>304.03</v>
      </c>
      <c r="Z331" s="1">
        <f>IFERROR(__xludf.DUMMYFUNCTION("""COMPUTED_VALUE"""),52.51)</f>
        <v>52.51</v>
      </c>
      <c r="AA331" s="1">
        <f>IFERROR(__xludf.DUMMYFUNCTION("""COMPUTED_VALUE"""),68.25)</f>
        <v>68.25</v>
      </c>
      <c r="AB331" s="1">
        <f>IFERROR(__xludf.DUMMYFUNCTION("""COMPUTED_VALUE"""),97.8)</f>
        <v>97.8</v>
      </c>
      <c r="AC331" s="1">
        <f>IFERROR(__xludf.DUMMYFUNCTION("""COMPUTED_VALUE"""),162.84)</f>
        <v>162.84</v>
      </c>
      <c r="AD331" s="3">
        <f>IFERROR(__xludf.DUMMYFUNCTION("""COMPUTED_VALUE"""),100.25)</f>
        <v>100.25</v>
      </c>
      <c r="AE331" s="1">
        <f>IFERROR(__xludf.DUMMYFUNCTION("""COMPUTED_VALUE"""),462.6)</f>
        <v>462.6</v>
      </c>
      <c r="AF331" s="1">
        <f>IFERROR(__xludf.DUMMYFUNCTION("""COMPUTED_VALUE"""),93.03)</f>
        <v>93.03</v>
      </c>
      <c r="AG331" s="1">
        <f>IFERROR(__xludf.DUMMYFUNCTION("""COMPUTED_VALUE"""),112.4)</f>
        <v>112.4</v>
      </c>
      <c r="AH331" s="1">
        <f>IFERROR(__xludf.DUMMYFUNCTION("""COMPUTED_VALUE"""),225.28)</f>
        <v>225.28</v>
      </c>
      <c r="AI331" s="1">
        <f>IFERROR(__xludf.DUMMYFUNCTION("""COMPUTED_VALUE"""),495.19)</f>
        <v>495.19</v>
      </c>
      <c r="AJ331" s="1">
        <f>IFERROR(__xludf.DUMMYFUNCTION("""COMPUTED_VALUE"""),322.44)</f>
        <v>322.44</v>
      </c>
      <c r="AK331" s="1">
        <f>IFERROR(__xludf.DUMMYFUNCTION("""COMPUTED_VALUE"""),58.15)</f>
        <v>58.15</v>
      </c>
      <c r="AL331" s="1">
        <f>IFERROR(__xludf.DUMMYFUNCTION("""COMPUTED_VALUE"""),112.77)</f>
        <v>112.77</v>
      </c>
      <c r="AM331" s="1">
        <f>IFERROR(__xludf.DUMMYFUNCTION("""COMPUTED_VALUE"""),748.9)</f>
        <v>748.9</v>
      </c>
      <c r="AN331" s="1">
        <f>IFERROR(__xludf.DUMMYFUNCTION("""COMPUTED_VALUE"""),411.69)</f>
        <v>411.69</v>
      </c>
      <c r="AO331" s="1">
        <f>IFERROR(__xludf.DUMMYFUNCTION("""COMPUTED_VALUE"""),145.15)</f>
        <v>145.15</v>
      </c>
      <c r="AP331" s="1">
        <f>IFERROR(__xludf.DUMMYFUNCTION("""COMPUTED_VALUE"""),174.52)</f>
        <v>174.52</v>
      </c>
      <c r="AQ331" s="3">
        <f>IFERROR(__xludf.DUMMYFUNCTION("""COMPUTED_VALUE"""),454.52)</f>
        <v>454.52</v>
      </c>
      <c r="AR331" s="3">
        <f>IFERROR(__xludf.DUMMYFUNCTION("""COMPUTED_VALUE"""),303.82)</f>
        <v>303.82</v>
      </c>
      <c r="AS331" s="3">
        <f>IFERROR(__xludf.DUMMYFUNCTION("""COMPUTED_VALUE"""),456.85)</f>
        <v>456.85</v>
      </c>
      <c r="AT331" s="3">
        <f>IFERROR(__xludf.DUMMYFUNCTION("""COMPUTED_VALUE"""),206.09)</f>
        <v>206.09</v>
      </c>
      <c r="AU331" s="1">
        <f>IFERROR(__xludf.DUMMYFUNCTION("""COMPUTED_VALUE"""),30.91)</f>
        <v>30.91</v>
      </c>
      <c r="AV331" s="1">
        <f>IFERROR(__xludf.DUMMYFUNCTION("""COMPUTED_VALUE"""),92.85)</f>
        <v>92.85</v>
      </c>
      <c r="AW331" s="1">
        <f>IFERROR(__xludf.DUMMYFUNCTION("""COMPUTED_VALUE"""),81.75)</f>
        <v>81.75</v>
      </c>
      <c r="AX331" s="3">
        <f>IFERROR(__xludf.DUMMYFUNCTION("""COMPUTED_VALUE"""),64.18)</f>
        <v>64.18</v>
      </c>
      <c r="AY331" s="1">
        <f>IFERROR(__xludf.DUMMYFUNCTION("""COMPUTED_VALUE"""),507.97)</f>
        <v>507.97</v>
      </c>
      <c r="AZ331" s="3">
        <f>IFERROR(__xludf.DUMMYFUNCTION("""COMPUTED_VALUE"""),70.87)</f>
        <v>70.87</v>
      </c>
      <c r="BA331" s="3">
        <f>IFERROR(__xludf.DUMMYFUNCTION("""COMPUTED_VALUE"""),147.95)</f>
        <v>147.95</v>
      </c>
      <c r="BB331" s="3">
        <f>IFERROR(__xludf.DUMMYFUNCTION("""COMPUTED_VALUE"""),171.66)</f>
        <v>171.66</v>
      </c>
      <c r="BC331" s="1">
        <f>IFERROR(__xludf.DUMMYFUNCTION("""COMPUTED_VALUE"""),86.5)</f>
        <v>86.5</v>
      </c>
      <c r="BD331" s="1">
        <f>IFERROR(__xludf.DUMMYFUNCTION("""COMPUTED_VALUE"""),46.05)</f>
        <v>46.05</v>
      </c>
      <c r="BE331" s="3">
        <f>IFERROR(__xludf.DUMMYFUNCTION("""COMPUTED_VALUE"""),156.14)</f>
        <v>156.14</v>
      </c>
      <c r="BF331" s="1">
        <f>IFERROR(__xludf.DUMMYFUNCTION("""COMPUTED_VALUE"""),68.46)</f>
        <v>68.46</v>
      </c>
      <c r="BG331" s="1">
        <f>IFERROR(__xludf.DUMMYFUNCTION("""COMPUTED_VALUE"""),24.54)</f>
        <v>24.54</v>
      </c>
      <c r="BH331" s="1">
        <f>IFERROR(__xludf.DUMMYFUNCTION("""COMPUTED_VALUE"""),158.68)</f>
        <v>158.68</v>
      </c>
      <c r="BI331" s="3">
        <f>IFERROR(__xludf.DUMMYFUNCTION("""COMPUTED_VALUE"""),38.95)</f>
        <v>38.95</v>
      </c>
      <c r="BJ331" s="1">
        <f>IFERROR(__xludf.DUMMYFUNCTION("""COMPUTED_VALUE"""),252.12)</f>
        <v>252.12</v>
      </c>
      <c r="BK331" s="1">
        <f>IFERROR(__xludf.DUMMYFUNCTION("""COMPUTED_VALUE"""),489.49)</f>
        <v>489.49</v>
      </c>
      <c r="BL331" s="1">
        <f>IFERROR(__xludf.DUMMYFUNCTION("""COMPUTED_VALUE"""),197.64)</f>
        <v>197.64</v>
      </c>
      <c r="BM331" s="1">
        <f>IFERROR(__xludf.DUMMYFUNCTION("""COMPUTED_VALUE"""),104.05)</f>
        <v>104.05</v>
      </c>
      <c r="BN331" s="3">
        <f>IFERROR(__xludf.DUMMYFUNCTION("""COMPUTED_VALUE"""),5.26)</f>
        <v>5.26</v>
      </c>
      <c r="BO331" s="1">
        <f>IFERROR(__xludf.DUMMYFUNCTION("""COMPUTED_VALUE"""),223.06)</f>
        <v>223.06</v>
      </c>
      <c r="BP331" s="1">
        <f>IFERROR(__xludf.DUMMYFUNCTION("""COMPUTED_VALUE"""),310.38)</f>
        <v>310.38</v>
      </c>
      <c r="BQ331" s="36">
        <f>IFERROR(__xludf.DUMMYFUNCTION("""COMPUTED_VALUE"""),50.64)</f>
        <v>50.64</v>
      </c>
      <c r="BR331" s="1">
        <f>IFERROR(__xludf.DUMMYFUNCTION("""COMPUTED_VALUE"""),10.33)</f>
        <v>10.33</v>
      </c>
      <c r="BS331" s="3">
        <f>IFERROR(__xludf.DUMMYFUNCTION("""COMPUTED_VALUE"""),224.95)</f>
        <v>224.95</v>
      </c>
      <c r="BT331" s="1">
        <f>IFERROR(__xludf.DUMMYFUNCTION("""COMPUTED_VALUE"""),118.81)</f>
        <v>118.81</v>
      </c>
      <c r="BU331" s="3">
        <v>1.0</v>
      </c>
    </row>
    <row r="332">
      <c r="A332" s="25">
        <f>IFERROR(__xludf.DUMMYFUNCTION("""COMPUTED_VALUE"""),45905.66666666667)</f>
        <v>45905.66667</v>
      </c>
      <c r="B332" s="29">
        <f>'Master Scratch Work'!B331</f>
        <v>1455927.18</v>
      </c>
      <c r="C332" s="15">
        <f>IFERROR(__xludf.DUMMYFUNCTION("""COMPUTED_VALUE"""),6481.5)</f>
        <v>6481.5</v>
      </c>
      <c r="D332" s="15">
        <f>IFERROR(__xludf.DUMMYFUNCTION("""COMPUTED_VALUE"""),21700.39)</f>
        <v>21700.39</v>
      </c>
      <c r="E332" s="15">
        <f>IFERROR(__xludf.DUMMYFUNCTION("""COMPUTED_VALUE"""),45400.86)</f>
        <v>45400.86</v>
      </c>
      <c r="F332" s="15">
        <f>IFERROR(__xludf.DUMMYFUNCTION("""COMPUTED_VALUE"""),2391.05)</f>
        <v>2391.05</v>
      </c>
      <c r="G332" s="3">
        <f>IFERROR(__xludf.DUMMYFUNCTION("""COMPUTED_VALUE"""),647.24)</f>
        <v>647.24</v>
      </c>
      <c r="H332" s="3">
        <f>IFERROR(__xludf.DUMMYFUNCTION("""COMPUTED_VALUE"""),576.06)</f>
        <v>576.06</v>
      </c>
      <c r="I332" s="3">
        <f>IFERROR(__xludf.DUMMYFUNCTION("""COMPUTED_VALUE"""),348.97)</f>
        <v>348.97</v>
      </c>
      <c r="J332" s="3">
        <f>IFERROR(__xludf.DUMMYFUNCTION("""COMPUTED_VALUE"""),232.33)</f>
        <v>232.33</v>
      </c>
      <c r="K332" s="3">
        <f>IFERROR(__xludf.DUMMYFUNCTION("""COMPUTED_VALUE"""),143.6)</f>
        <v>143.6</v>
      </c>
      <c r="L332" s="3">
        <f>IFERROR(__xludf.DUMMYFUNCTION("""COMPUTED_VALUE"""),239.69)</f>
        <v>239.69</v>
      </c>
      <c r="M332" s="3">
        <f>IFERROR(__xludf.DUMMYFUNCTION("""COMPUTED_VALUE"""),162.75)</f>
        <v>162.75</v>
      </c>
      <c r="N332" s="3">
        <f>IFERROR(__xludf.DUMMYFUNCTION("""COMPUTED_VALUE"""),103.69)</f>
        <v>103.69</v>
      </c>
      <c r="O332" s="3">
        <f>IFERROR(__xludf.DUMMYFUNCTION("""COMPUTED_VALUE"""),19.71)</f>
        <v>19.71</v>
      </c>
      <c r="P332" s="3">
        <f>IFERROR(__xludf.DUMMYFUNCTION("""COMPUTED_VALUE"""),499.77)</f>
        <v>499.77</v>
      </c>
      <c r="Q332" s="3">
        <f>IFERROR(__xludf.DUMMYFUNCTION("""COMPUTED_VALUE"""),54.39)</f>
        <v>54.39</v>
      </c>
      <c r="R332" s="3">
        <f>IFERROR(__xludf.DUMMYFUNCTION("""COMPUTED_VALUE"""),140.67)</f>
        <v>140.67</v>
      </c>
      <c r="S332" s="3">
        <f>IFERROR(__xludf.DUMMYFUNCTION("""COMPUTED_VALUE"""),107.22)</f>
        <v>107.22</v>
      </c>
      <c r="T332" s="3">
        <f>IFERROR(__xludf.DUMMYFUNCTION("""COMPUTED_VALUE"""),65.51)</f>
        <v>65.51</v>
      </c>
      <c r="U332" s="3">
        <f>IFERROR(__xludf.DUMMYFUNCTION("""COMPUTED_VALUE"""),423.08)</f>
        <v>423.08</v>
      </c>
      <c r="V332" s="3">
        <f>IFERROR(__xludf.DUMMYFUNCTION("""COMPUTED_VALUE"""),75.85)</f>
        <v>75.85</v>
      </c>
      <c r="W332" s="3">
        <f>IFERROR(__xludf.DUMMYFUNCTION("""COMPUTED_VALUE"""),193.09)</f>
        <v>193.09</v>
      </c>
      <c r="X332" s="3">
        <f>IFERROR(__xludf.DUMMYFUNCTION("""COMPUTED_VALUE"""),153.66)</f>
        <v>153.66</v>
      </c>
      <c r="Y332" s="1">
        <f>IFERROR(__xludf.DUMMYFUNCTION("""COMPUTED_VALUE"""),305.31)</f>
        <v>305.31</v>
      </c>
      <c r="Z332" s="1">
        <f>IFERROR(__xludf.DUMMYFUNCTION("""COMPUTED_VALUE"""),51.71)</f>
        <v>51.71</v>
      </c>
      <c r="AA332" s="1">
        <f>IFERROR(__xludf.DUMMYFUNCTION("""COMPUTED_VALUE"""),67.96)</f>
        <v>67.96</v>
      </c>
      <c r="AB332" s="1">
        <f>IFERROR(__xludf.DUMMYFUNCTION("""COMPUTED_VALUE"""),98.05)</f>
        <v>98.05</v>
      </c>
      <c r="AC332" s="1">
        <f>IFERROR(__xludf.DUMMYFUNCTION("""COMPUTED_VALUE"""),163.24)</f>
        <v>163.24</v>
      </c>
      <c r="AD332" s="3">
        <f>IFERROR(__xludf.DUMMYFUNCTION("""COMPUTED_VALUE"""),101.12)</f>
        <v>101.12</v>
      </c>
      <c r="AE332" s="1">
        <f>IFERROR(__xludf.DUMMYFUNCTION("""COMPUTED_VALUE"""),463.83)</f>
        <v>463.83</v>
      </c>
      <c r="AF332" s="1">
        <f>IFERROR(__xludf.DUMMYFUNCTION("""COMPUTED_VALUE"""),92.66)</f>
        <v>92.66</v>
      </c>
      <c r="AG332" s="1">
        <f>IFERROR(__xludf.DUMMYFUNCTION("""COMPUTED_VALUE"""),109.23)</f>
        <v>109.23</v>
      </c>
      <c r="AH332" s="1">
        <f>IFERROR(__xludf.DUMMYFUNCTION("""COMPUTED_VALUE"""),227.72)</f>
        <v>227.72</v>
      </c>
      <c r="AI332" s="1">
        <f>IFERROR(__xludf.DUMMYFUNCTION("""COMPUTED_VALUE"""),488.77)</f>
        <v>488.77</v>
      </c>
      <c r="AJ332" s="1">
        <f>IFERROR(__xludf.DUMMYFUNCTION("""COMPUTED_VALUE"""),322.86)</f>
        <v>322.86</v>
      </c>
      <c r="AK332" s="1">
        <f>IFERROR(__xludf.DUMMYFUNCTION("""COMPUTED_VALUE"""),58.27)</f>
        <v>58.27</v>
      </c>
      <c r="AL332" s="1">
        <f>IFERROR(__xludf.DUMMYFUNCTION("""COMPUTED_VALUE"""),115.05)</f>
        <v>115.05</v>
      </c>
      <c r="AM332" s="1">
        <f>IFERROR(__xludf.DUMMYFUNCTION("""COMPUTED_VALUE"""),738.21)</f>
        <v>738.21</v>
      </c>
      <c r="AN332" s="1">
        <f>IFERROR(__xludf.DUMMYFUNCTION("""COMPUTED_VALUE"""),418.95)</f>
        <v>418.95</v>
      </c>
      <c r="AO332" s="1">
        <f>IFERROR(__xludf.DUMMYFUNCTION("""COMPUTED_VALUE"""),141.27)</f>
        <v>141.27</v>
      </c>
      <c r="AP332" s="1">
        <f>IFERROR(__xludf.DUMMYFUNCTION("""COMPUTED_VALUE"""),174.27)</f>
        <v>174.27</v>
      </c>
      <c r="AQ332" s="3">
        <f>IFERROR(__xludf.DUMMYFUNCTION("""COMPUTED_VALUE"""),466.86)</f>
        <v>466.86</v>
      </c>
      <c r="AR332" s="3">
        <f>IFERROR(__xludf.DUMMYFUNCTION("""COMPUTED_VALUE"""),294.38)</f>
        <v>294.38</v>
      </c>
      <c r="AS332" s="3">
        <f>IFERROR(__xludf.DUMMYFUNCTION("""COMPUTED_VALUE"""),463.9)</f>
        <v>463.9</v>
      </c>
      <c r="AT332" s="3">
        <f>IFERROR(__xludf.DUMMYFUNCTION("""COMPUTED_VALUE"""),167.8)</f>
        <v>167.8</v>
      </c>
      <c r="AU332" s="1">
        <f>IFERROR(__xludf.DUMMYFUNCTION("""COMPUTED_VALUE"""),30.66)</f>
        <v>30.66</v>
      </c>
      <c r="AV332" s="1">
        <f>IFERROR(__xludf.DUMMYFUNCTION("""COMPUTED_VALUE"""),92.9)</f>
        <v>92.9</v>
      </c>
      <c r="AW332" s="1">
        <f>IFERROR(__xludf.DUMMYFUNCTION("""COMPUTED_VALUE"""),79.51)</f>
        <v>79.51</v>
      </c>
      <c r="AX332" s="3">
        <f>IFERROR(__xludf.DUMMYFUNCTION("""COMPUTED_VALUE"""),63.05)</f>
        <v>63.05</v>
      </c>
      <c r="AY332" s="1">
        <f>IFERROR(__xludf.DUMMYFUNCTION("""COMPUTED_VALUE"""),495.0)</f>
        <v>495</v>
      </c>
      <c r="AZ332" s="3">
        <f>IFERROR(__xludf.DUMMYFUNCTION("""COMPUTED_VALUE"""),70.9)</f>
        <v>70.9</v>
      </c>
      <c r="BA332" s="3">
        <f>IFERROR(__xludf.DUMMYFUNCTION("""COMPUTED_VALUE"""),147.66)</f>
        <v>147.66</v>
      </c>
      <c r="BB332" s="3">
        <f>IFERROR(__xludf.DUMMYFUNCTION("""COMPUTED_VALUE"""),167.02)</f>
        <v>167.02</v>
      </c>
      <c r="BC332" s="1">
        <f>IFERROR(__xludf.DUMMYFUNCTION("""COMPUTED_VALUE"""),87.0)</f>
        <v>87</v>
      </c>
      <c r="BD332" s="1">
        <f>IFERROR(__xludf.DUMMYFUNCTION("""COMPUTED_VALUE"""),45.52)</f>
        <v>45.52</v>
      </c>
      <c r="BE332" s="3">
        <f>IFERROR(__xludf.DUMMYFUNCTION("""COMPUTED_VALUE"""),153.11)</f>
        <v>153.11</v>
      </c>
      <c r="BF332" s="1">
        <f>IFERROR(__xludf.DUMMYFUNCTION("""COMPUTED_VALUE"""),68.26)</f>
        <v>68.26</v>
      </c>
      <c r="BG332" s="1">
        <f>IFERROR(__xludf.DUMMYFUNCTION("""COMPUTED_VALUE"""),24.88)</f>
        <v>24.88</v>
      </c>
      <c r="BH332" s="1">
        <f>IFERROR(__xludf.DUMMYFUNCTION("""COMPUTED_VALUE"""),157.52)</f>
        <v>157.52</v>
      </c>
      <c r="BI332" s="3">
        <f>IFERROR(__xludf.DUMMYFUNCTION("""COMPUTED_VALUE"""),40.5)</f>
        <v>40.5</v>
      </c>
      <c r="BJ332" s="1">
        <f>IFERROR(__xludf.DUMMYFUNCTION("""COMPUTED_VALUE"""),252.76)</f>
        <v>252.76</v>
      </c>
      <c r="BK332" s="1">
        <f>IFERROR(__xludf.DUMMYFUNCTION("""COMPUTED_VALUE"""),492.6)</f>
        <v>492.6</v>
      </c>
      <c r="BL332" s="1">
        <f>IFERROR(__xludf.DUMMYFUNCTION("""COMPUTED_VALUE"""),199.62)</f>
        <v>199.62</v>
      </c>
      <c r="BM332" s="1">
        <f>IFERROR(__xludf.DUMMYFUNCTION("""COMPUTED_VALUE"""),104.01)</f>
        <v>104.01</v>
      </c>
      <c r="BN332" s="3">
        <f>IFERROR(__xludf.DUMMYFUNCTION("""COMPUTED_VALUE"""),5.14)</f>
        <v>5.14</v>
      </c>
      <c r="BO332" s="1">
        <f>IFERROR(__xludf.DUMMYFUNCTION("""COMPUTED_VALUE"""),220.31)</f>
        <v>220.31</v>
      </c>
      <c r="BP332" s="1">
        <f>IFERROR(__xludf.DUMMYFUNCTION("""COMPUTED_VALUE"""),315.39)</f>
        <v>315.39</v>
      </c>
      <c r="BQ332" s="36">
        <f>IFERROR(__xludf.DUMMYFUNCTION("""COMPUTED_VALUE"""),50.72)</f>
        <v>50.72</v>
      </c>
      <c r="BR332" s="1">
        <f>IFERROR(__xludf.DUMMYFUNCTION("""COMPUTED_VALUE"""),10.5)</f>
        <v>10.5</v>
      </c>
      <c r="BS332" s="3">
        <f>IFERROR(__xludf.DUMMYFUNCTION("""COMPUTED_VALUE"""),220.06)</f>
        <v>220.06</v>
      </c>
      <c r="BT332" s="1">
        <f>IFERROR(__xludf.DUMMYFUNCTION("""COMPUTED_VALUE"""),117.91)</f>
        <v>117.91</v>
      </c>
      <c r="BU332" s="3">
        <v>1.0</v>
      </c>
    </row>
    <row r="333">
      <c r="A333" s="25">
        <f>IFERROR(__xludf.DUMMYFUNCTION("""COMPUTED_VALUE"""),45908.66666666667)</f>
        <v>45908.66667</v>
      </c>
      <c r="B333" s="29">
        <f>'Master Scratch Work'!B332</f>
        <v>1454999.94</v>
      </c>
      <c r="C333" s="15">
        <f>IFERROR(__xludf.DUMMYFUNCTION("""COMPUTED_VALUE"""),6495.15)</f>
        <v>6495.15</v>
      </c>
      <c r="D333" s="15">
        <f>IFERROR(__xludf.DUMMYFUNCTION("""COMPUTED_VALUE"""),21798.7)</f>
        <v>21798.7</v>
      </c>
      <c r="E333" s="15">
        <f>IFERROR(__xludf.DUMMYFUNCTION("""COMPUTED_VALUE"""),45514.95)</f>
        <v>45514.95</v>
      </c>
      <c r="F333" s="15">
        <f>IFERROR(__xludf.DUMMYFUNCTION("""COMPUTED_VALUE"""),2394.89)</f>
        <v>2394.89</v>
      </c>
      <c r="G333" s="3">
        <f>IFERROR(__xludf.DUMMYFUNCTION("""COMPUTED_VALUE"""),648.83)</f>
        <v>648.83</v>
      </c>
      <c r="H333" s="3">
        <f>IFERROR(__xludf.DUMMYFUNCTION("""COMPUTED_VALUE"""),578.87)</f>
        <v>578.87</v>
      </c>
      <c r="I333" s="3">
        <f>IFERROR(__xludf.DUMMYFUNCTION("""COMPUTED_VALUE"""),358.66)</f>
        <v>358.66</v>
      </c>
      <c r="J333" s="3">
        <f>IFERROR(__xludf.DUMMYFUNCTION("""COMPUTED_VALUE"""),235.84)</f>
        <v>235.84</v>
      </c>
      <c r="K333" s="3">
        <f>IFERROR(__xludf.DUMMYFUNCTION("""COMPUTED_VALUE"""),140.02)</f>
        <v>140.02</v>
      </c>
      <c r="L333" s="3">
        <f>IFERROR(__xludf.DUMMYFUNCTION("""COMPUTED_VALUE"""),237.88)</f>
        <v>237.88</v>
      </c>
      <c r="M333" s="3">
        <f>IFERROR(__xludf.DUMMYFUNCTION("""COMPUTED_VALUE"""),162.05)</f>
        <v>162.05</v>
      </c>
      <c r="N333" s="3">
        <f>IFERROR(__xludf.DUMMYFUNCTION("""COMPUTED_VALUE"""),104.02)</f>
        <v>104.02</v>
      </c>
      <c r="O333" s="3">
        <f>IFERROR(__xludf.DUMMYFUNCTION("""COMPUTED_VALUE"""),19.94)</f>
        <v>19.94</v>
      </c>
      <c r="P333" s="3">
        <f>IFERROR(__xludf.DUMMYFUNCTION("""COMPUTED_VALUE"""),493.78)</f>
        <v>493.78</v>
      </c>
      <c r="Q333" s="3">
        <f>IFERROR(__xludf.DUMMYFUNCTION("""COMPUTED_VALUE"""),54.2)</f>
        <v>54.2</v>
      </c>
      <c r="R333" s="3">
        <f>IFERROR(__xludf.DUMMYFUNCTION("""COMPUTED_VALUE"""),141.35)</f>
        <v>141.35</v>
      </c>
      <c r="S333" s="3">
        <f>IFERROR(__xludf.DUMMYFUNCTION("""COMPUTED_VALUE"""),108.14)</f>
        <v>108.14</v>
      </c>
      <c r="T333" s="3">
        <f>IFERROR(__xludf.DUMMYFUNCTION("""COMPUTED_VALUE"""),65.61)</f>
        <v>65.61</v>
      </c>
      <c r="U333" s="3">
        <f>IFERROR(__xludf.DUMMYFUNCTION("""COMPUTED_VALUE"""),422.78)</f>
        <v>422.78</v>
      </c>
      <c r="V333" s="3">
        <f>IFERROR(__xludf.DUMMYFUNCTION("""COMPUTED_VALUE"""),77.24)</f>
        <v>77.24</v>
      </c>
      <c r="W333" s="3">
        <f>IFERROR(__xludf.DUMMYFUNCTION("""COMPUTED_VALUE"""),196.9)</f>
        <v>196.9</v>
      </c>
      <c r="X333" s="3">
        <f>IFERROR(__xludf.DUMMYFUNCTION("""COMPUTED_VALUE"""),154.0)</f>
        <v>154</v>
      </c>
      <c r="Y333" s="1">
        <f>IFERROR(__xludf.DUMMYFUNCTION("""COMPUTED_VALUE"""),300.89)</f>
        <v>300.89</v>
      </c>
      <c r="Z333" s="1">
        <f>IFERROR(__xludf.DUMMYFUNCTION("""COMPUTED_VALUE"""),51.7)</f>
        <v>51.7</v>
      </c>
      <c r="AA333" s="1">
        <f>IFERROR(__xludf.DUMMYFUNCTION("""COMPUTED_VALUE"""),67.43)</f>
        <v>67.43</v>
      </c>
      <c r="AB333" s="1">
        <f>IFERROR(__xludf.DUMMYFUNCTION("""COMPUTED_VALUE"""),96.65)</f>
        <v>96.65</v>
      </c>
      <c r="AC333" s="1">
        <f>IFERROR(__xludf.DUMMYFUNCTION("""COMPUTED_VALUE"""),161.21)</f>
        <v>161.21</v>
      </c>
      <c r="AD333" s="3">
        <f>IFERROR(__xludf.DUMMYFUNCTION("""COMPUTED_VALUE"""),99.4)</f>
        <v>99.4</v>
      </c>
      <c r="AE333" s="1">
        <f>IFERROR(__xludf.DUMMYFUNCTION("""COMPUTED_VALUE"""),466.11)</f>
        <v>466.11</v>
      </c>
      <c r="AF333" s="1">
        <f>IFERROR(__xludf.DUMMYFUNCTION("""COMPUTED_VALUE"""),93.02)</f>
        <v>93.02</v>
      </c>
      <c r="AG333" s="1">
        <f>IFERROR(__xludf.DUMMYFUNCTION("""COMPUTED_VALUE"""),109.85)</f>
        <v>109.85</v>
      </c>
      <c r="AH333" s="1">
        <f>IFERROR(__xludf.DUMMYFUNCTION("""COMPUTED_VALUE"""),225.0)</f>
        <v>225</v>
      </c>
      <c r="AI333" s="1">
        <f>IFERROR(__xludf.DUMMYFUNCTION("""COMPUTED_VALUE"""),478.97)</f>
        <v>478.97</v>
      </c>
      <c r="AJ333" s="1">
        <f>IFERROR(__xludf.DUMMYFUNCTION("""COMPUTED_VALUE"""),322.72)</f>
        <v>322.72</v>
      </c>
      <c r="AK333" s="1">
        <f>IFERROR(__xludf.DUMMYFUNCTION("""COMPUTED_VALUE"""),58.2)</f>
        <v>58.2</v>
      </c>
      <c r="AL333" s="1">
        <f>IFERROR(__xludf.DUMMYFUNCTION("""COMPUTED_VALUE"""),115.88)</f>
        <v>115.88</v>
      </c>
      <c r="AM333" s="1">
        <f>IFERROR(__xludf.DUMMYFUNCTION("""COMPUTED_VALUE"""),741.85)</f>
        <v>741.85</v>
      </c>
      <c r="AN333" s="1">
        <f>IFERROR(__xludf.DUMMYFUNCTION("""COMPUTED_VALUE"""),419.94)</f>
        <v>419.94</v>
      </c>
      <c r="AO333" s="1">
        <f>IFERROR(__xludf.DUMMYFUNCTION("""COMPUTED_VALUE"""),139.31)</f>
        <v>139.31</v>
      </c>
      <c r="AP333" s="1">
        <f>IFERROR(__xludf.DUMMYFUNCTION("""COMPUTED_VALUE"""),173.89)</f>
        <v>173.89</v>
      </c>
      <c r="AQ333" s="3">
        <f>IFERROR(__xludf.DUMMYFUNCTION("""COMPUTED_VALUE"""),470.0)</f>
        <v>470</v>
      </c>
      <c r="AR333" s="3">
        <f>IFERROR(__xludf.DUMMYFUNCTION("""COMPUTED_VALUE"""),292.91)</f>
        <v>292.91</v>
      </c>
      <c r="AS333" s="3">
        <f>IFERROR(__xludf.DUMMYFUNCTION("""COMPUTED_VALUE"""),459.11)</f>
        <v>459.11</v>
      </c>
      <c r="AT333" s="3">
        <f>IFERROR(__xludf.DUMMYFUNCTION("""COMPUTED_VALUE"""),168.1)</f>
        <v>168.1</v>
      </c>
      <c r="AU333" s="1">
        <f>IFERROR(__xludf.DUMMYFUNCTION("""COMPUTED_VALUE"""),30.74)</f>
        <v>30.74</v>
      </c>
      <c r="AV333" s="1">
        <f>IFERROR(__xludf.DUMMYFUNCTION("""COMPUTED_VALUE"""),92.99)</f>
        <v>92.99</v>
      </c>
      <c r="AW333" s="1">
        <f>IFERROR(__xludf.DUMMYFUNCTION("""COMPUTED_VALUE"""),79.6)</f>
        <v>79.6</v>
      </c>
      <c r="AX333" s="3">
        <f>IFERROR(__xludf.DUMMYFUNCTION("""COMPUTED_VALUE"""),62.72)</f>
        <v>62.72</v>
      </c>
      <c r="AY333" s="1">
        <f>IFERROR(__xludf.DUMMYFUNCTION("""COMPUTED_VALUE"""),498.2)</f>
        <v>498.2</v>
      </c>
      <c r="AZ333" s="3">
        <f>IFERROR(__xludf.DUMMYFUNCTION("""COMPUTED_VALUE"""),69.77)</f>
        <v>69.77</v>
      </c>
      <c r="BA333" s="3">
        <f>IFERROR(__xludf.DUMMYFUNCTION("""COMPUTED_VALUE"""),147.76)</f>
        <v>147.76</v>
      </c>
      <c r="BB333" s="3">
        <f>IFERROR(__xludf.DUMMYFUNCTION("""COMPUTED_VALUE"""),168.31)</f>
        <v>168.31</v>
      </c>
      <c r="BC333" s="1">
        <f>IFERROR(__xludf.DUMMYFUNCTION("""COMPUTED_VALUE"""),87.37)</f>
        <v>87.37</v>
      </c>
      <c r="BD333" s="1">
        <f>IFERROR(__xludf.DUMMYFUNCTION("""COMPUTED_VALUE"""),45.2)</f>
        <v>45.2</v>
      </c>
      <c r="BE333" s="3">
        <f>IFERROR(__xludf.DUMMYFUNCTION("""COMPUTED_VALUE"""),156.1)</f>
        <v>156.1</v>
      </c>
      <c r="BF333" s="1">
        <f>IFERROR(__xludf.DUMMYFUNCTION("""COMPUTED_VALUE"""),68.4)</f>
        <v>68.4</v>
      </c>
      <c r="BG333" s="1">
        <f>IFERROR(__xludf.DUMMYFUNCTION("""COMPUTED_VALUE"""),24.55)</f>
        <v>24.55</v>
      </c>
      <c r="BH333" s="1">
        <f>IFERROR(__xludf.DUMMYFUNCTION("""COMPUTED_VALUE"""),154.22)</f>
        <v>154.22</v>
      </c>
      <c r="BI333" s="3">
        <f>IFERROR(__xludf.DUMMYFUNCTION("""COMPUTED_VALUE"""),41.06)</f>
        <v>41.06</v>
      </c>
      <c r="BJ333" s="1">
        <f>IFERROR(__xludf.DUMMYFUNCTION("""COMPUTED_VALUE"""),242.9)</f>
        <v>242.9</v>
      </c>
      <c r="BK333" s="1">
        <f>IFERROR(__xludf.DUMMYFUNCTION("""COMPUTED_VALUE"""),487.65)</f>
        <v>487.65</v>
      </c>
      <c r="BL333" s="1">
        <f>IFERROR(__xludf.DUMMYFUNCTION("""COMPUTED_VALUE"""),202.79)</f>
        <v>202.79</v>
      </c>
      <c r="BM333" s="1">
        <f>IFERROR(__xludf.DUMMYFUNCTION("""COMPUTED_VALUE"""),105.58)</f>
        <v>105.58</v>
      </c>
      <c r="BN333" s="3">
        <f>IFERROR(__xludf.DUMMYFUNCTION("""COMPUTED_VALUE"""),5.1)</f>
        <v>5.1</v>
      </c>
      <c r="BO333" s="1">
        <f>IFERROR(__xludf.DUMMYFUNCTION("""COMPUTED_VALUE"""),217.26)</f>
        <v>217.26</v>
      </c>
      <c r="BP333" s="1">
        <f>IFERROR(__xludf.DUMMYFUNCTION("""COMPUTED_VALUE"""),320.25)</f>
        <v>320.25</v>
      </c>
      <c r="BQ333" s="36">
        <f>IFERROR(__xludf.DUMMYFUNCTION("""COMPUTED_VALUE"""),50.74)</f>
        <v>50.74</v>
      </c>
      <c r="BR333" s="1">
        <f>IFERROR(__xludf.DUMMYFUNCTION("""COMPUTED_VALUE"""),10.48)</f>
        <v>10.48</v>
      </c>
      <c r="BS333" s="3">
        <f>IFERROR(__xludf.DUMMYFUNCTION("""COMPUTED_VALUE"""),219.05)</f>
        <v>219.05</v>
      </c>
      <c r="BT333" s="1">
        <f>IFERROR(__xludf.DUMMYFUNCTION("""COMPUTED_VALUE"""),118.84)</f>
        <v>118.84</v>
      </c>
      <c r="BU333" s="3">
        <v>1.0</v>
      </c>
    </row>
    <row r="334">
      <c r="A334" s="25">
        <f>IFERROR(__xludf.DUMMYFUNCTION("""COMPUTED_VALUE"""),45909.66666666667)</f>
        <v>45909.66667</v>
      </c>
      <c r="B334" s="29">
        <f>'Master Scratch Work'!B333</f>
        <v>1461489.48</v>
      </c>
      <c r="C334" s="15">
        <f>IFERROR(__xludf.DUMMYFUNCTION("""COMPUTED_VALUE"""),6512.61)</f>
        <v>6512.61</v>
      </c>
      <c r="D334" s="15">
        <f>IFERROR(__xludf.DUMMYFUNCTION("""COMPUTED_VALUE"""),21879.49)</f>
        <v>21879.49</v>
      </c>
      <c r="E334" s="15">
        <f>IFERROR(__xludf.DUMMYFUNCTION("""COMPUTED_VALUE"""),45711.34)</f>
        <v>45711.34</v>
      </c>
      <c r="F334" s="15">
        <f>IFERROR(__xludf.DUMMYFUNCTION("""COMPUTED_VALUE"""),2381.82)</f>
        <v>2381.82</v>
      </c>
      <c r="G334" s="3">
        <f>IFERROR(__xludf.DUMMYFUNCTION("""COMPUTED_VALUE"""),650.33)</f>
        <v>650.33</v>
      </c>
      <c r="H334" s="3">
        <f>IFERROR(__xludf.DUMMYFUNCTION("""COMPUTED_VALUE"""),580.51)</f>
        <v>580.51</v>
      </c>
      <c r="I334" s="3">
        <f>IFERROR(__xludf.DUMMYFUNCTION("""COMPUTED_VALUE"""),354.06)</f>
        <v>354.06</v>
      </c>
      <c r="J334" s="3">
        <f>IFERROR(__xludf.DUMMYFUNCTION("""COMPUTED_VALUE"""),238.24)</f>
        <v>238.24</v>
      </c>
      <c r="K334" s="3">
        <f>IFERROR(__xludf.DUMMYFUNCTION("""COMPUTED_VALUE"""),140.09)</f>
        <v>140.09</v>
      </c>
      <c r="L334" s="3">
        <f>IFERROR(__xludf.DUMMYFUNCTION("""COMPUTED_VALUE"""),234.35)</f>
        <v>234.35</v>
      </c>
      <c r="M334" s="3">
        <f>IFERROR(__xludf.DUMMYFUNCTION("""COMPUTED_VALUE"""),163.5)</f>
        <v>163.5</v>
      </c>
      <c r="N334" s="3">
        <f>IFERROR(__xludf.DUMMYFUNCTION("""COMPUTED_VALUE"""),104.77)</f>
        <v>104.77</v>
      </c>
      <c r="O334" s="3">
        <f>IFERROR(__xludf.DUMMYFUNCTION("""COMPUTED_VALUE"""),20.31)</f>
        <v>20.31</v>
      </c>
      <c r="P334" s="3">
        <f>IFERROR(__xludf.DUMMYFUNCTION("""COMPUTED_VALUE"""),492.72)</f>
        <v>492.72</v>
      </c>
      <c r="Q334" s="3">
        <f>IFERROR(__xludf.DUMMYFUNCTION("""COMPUTED_VALUE"""),53.15)</f>
        <v>53.15</v>
      </c>
      <c r="R334" s="3">
        <f>IFERROR(__xludf.DUMMYFUNCTION("""COMPUTED_VALUE"""),143.6)</f>
        <v>143.6</v>
      </c>
      <c r="S334" s="3">
        <f>IFERROR(__xludf.DUMMYFUNCTION("""COMPUTED_VALUE"""),108.09)</f>
        <v>108.09</v>
      </c>
      <c r="T334" s="3">
        <f>IFERROR(__xludf.DUMMYFUNCTION("""COMPUTED_VALUE"""),63.47)</f>
        <v>63.47</v>
      </c>
      <c r="U334" s="3">
        <f>IFERROR(__xludf.DUMMYFUNCTION("""COMPUTED_VALUE"""),418.09)</f>
        <v>418.09</v>
      </c>
      <c r="V334" s="3">
        <f>IFERROR(__xludf.DUMMYFUNCTION("""COMPUTED_VALUE"""),77.39)</f>
        <v>77.39</v>
      </c>
      <c r="W334" s="3">
        <f>IFERROR(__xludf.DUMMYFUNCTION("""COMPUTED_VALUE"""),196.56)</f>
        <v>196.56</v>
      </c>
      <c r="X334" s="3">
        <f>IFERROR(__xludf.DUMMYFUNCTION("""COMPUTED_VALUE"""),154.85)</f>
        <v>154.85</v>
      </c>
      <c r="Y334" s="1">
        <f>IFERROR(__xludf.DUMMYFUNCTION("""COMPUTED_VALUE"""),302.01)</f>
        <v>302.01</v>
      </c>
      <c r="Z334" s="1">
        <f>IFERROR(__xludf.DUMMYFUNCTION("""COMPUTED_VALUE"""),51.71)</f>
        <v>51.71</v>
      </c>
      <c r="AA334" s="1">
        <f>IFERROR(__xludf.DUMMYFUNCTION("""COMPUTED_VALUE"""),67.86)</f>
        <v>67.86</v>
      </c>
      <c r="AB334" s="1">
        <f>IFERROR(__xludf.DUMMYFUNCTION("""COMPUTED_VALUE"""),96.98)</f>
        <v>96.98</v>
      </c>
      <c r="AC334" s="1">
        <f>IFERROR(__xludf.DUMMYFUNCTION("""COMPUTED_VALUE"""),163.98)</f>
        <v>163.98</v>
      </c>
      <c r="AD334" s="3">
        <f>IFERROR(__xludf.DUMMYFUNCTION("""COMPUTED_VALUE"""),96.3)</f>
        <v>96.3</v>
      </c>
      <c r="AE334" s="1">
        <f>IFERROR(__xludf.DUMMYFUNCTION("""COMPUTED_VALUE"""),458.97)</f>
        <v>458.97</v>
      </c>
      <c r="AF334" s="1">
        <f>IFERROR(__xludf.DUMMYFUNCTION("""COMPUTED_VALUE"""),92.46)</f>
        <v>92.46</v>
      </c>
      <c r="AG334" s="1">
        <f>IFERROR(__xludf.DUMMYFUNCTION("""COMPUTED_VALUE"""),110.65)</f>
        <v>110.65</v>
      </c>
      <c r="AH334" s="1">
        <f>IFERROR(__xludf.DUMMYFUNCTION("""COMPUTED_VALUE"""),225.75)</f>
        <v>225.75</v>
      </c>
      <c r="AI334" s="1">
        <f>IFERROR(__xludf.DUMMYFUNCTION("""COMPUTED_VALUE"""),479.62)</f>
        <v>479.62</v>
      </c>
      <c r="AJ334" s="1">
        <f>IFERROR(__xludf.DUMMYFUNCTION("""COMPUTED_VALUE"""),321.33)</f>
        <v>321.33</v>
      </c>
      <c r="AK334" s="1">
        <f>IFERROR(__xludf.DUMMYFUNCTION("""COMPUTED_VALUE"""),58.01)</f>
        <v>58.01</v>
      </c>
      <c r="AL334" s="1">
        <f>IFERROR(__xludf.DUMMYFUNCTION("""COMPUTED_VALUE"""),115.76)</f>
        <v>115.76</v>
      </c>
      <c r="AM334" s="1">
        <f>IFERROR(__xludf.DUMMYFUNCTION("""COMPUTED_VALUE"""),763.92)</f>
        <v>763.92</v>
      </c>
      <c r="AN334" s="1">
        <f>IFERROR(__xludf.DUMMYFUNCTION("""COMPUTED_VALUE"""),415.34)</f>
        <v>415.34</v>
      </c>
      <c r="AO334" s="1">
        <f>IFERROR(__xludf.DUMMYFUNCTION("""COMPUTED_VALUE"""),139.58)</f>
        <v>139.58</v>
      </c>
      <c r="AP334" s="1">
        <f>IFERROR(__xludf.DUMMYFUNCTION("""COMPUTED_VALUE"""),173.46)</f>
        <v>173.46</v>
      </c>
      <c r="AQ334" s="3">
        <f>IFERROR(__xludf.DUMMYFUNCTION("""COMPUTED_VALUE"""),467.54)</f>
        <v>467.54</v>
      </c>
      <c r="AR334" s="3">
        <f>IFERROR(__xludf.DUMMYFUNCTION("""COMPUTED_VALUE"""),297.85)</f>
        <v>297.85</v>
      </c>
      <c r="AS334" s="3">
        <f>IFERROR(__xludf.DUMMYFUNCTION("""COMPUTED_VALUE"""),457.06)</f>
        <v>457.06</v>
      </c>
      <c r="AT334" s="3">
        <f>IFERROR(__xludf.DUMMYFUNCTION("""COMPUTED_VALUE"""),165.69)</f>
        <v>165.69</v>
      </c>
      <c r="AU334" s="1">
        <f>IFERROR(__xludf.DUMMYFUNCTION("""COMPUTED_VALUE"""),30.86)</f>
        <v>30.86</v>
      </c>
      <c r="AV334" s="1">
        <f>IFERROR(__xludf.DUMMYFUNCTION("""COMPUTED_VALUE"""),94.07)</f>
        <v>94.07</v>
      </c>
      <c r="AW334" s="1">
        <f>IFERROR(__xludf.DUMMYFUNCTION("""COMPUTED_VALUE"""),79.29)</f>
        <v>79.29</v>
      </c>
      <c r="AX334" s="3">
        <f>IFERROR(__xludf.DUMMYFUNCTION("""COMPUTED_VALUE"""),63.15)</f>
        <v>63.15</v>
      </c>
      <c r="AY334" s="1">
        <f>IFERROR(__xludf.DUMMYFUNCTION("""COMPUTED_VALUE"""),498.41)</f>
        <v>498.41</v>
      </c>
      <c r="AZ334" s="3">
        <f>IFERROR(__xludf.DUMMYFUNCTION("""COMPUTED_VALUE"""),70.07)</f>
        <v>70.07</v>
      </c>
      <c r="BA334" s="3">
        <f>IFERROR(__xludf.DUMMYFUNCTION("""COMPUTED_VALUE"""),152.26)</f>
        <v>152.26</v>
      </c>
      <c r="BB334" s="3">
        <f>IFERROR(__xludf.DUMMYFUNCTION("""COMPUTED_VALUE"""),170.76)</f>
        <v>170.76</v>
      </c>
      <c r="BC334" s="1">
        <f>IFERROR(__xludf.DUMMYFUNCTION("""COMPUTED_VALUE"""),88.01)</f>
        <v>88.01</v>
      </c>
      <c r="BD334" s="1">
        <f>IFERROR(__xludf.DUMMYFUNCTION("""COMPUTED_VALUE"""),44.39)</f>
        <v>44.39</v>
      </c>
      <c r="BE334" s="3">
        <f>IFERROR(__xludf.DUMMYFUNCTION("""COMPUTED_VALUE"""),162.36)</f>
        <v>162.36</v>
      </c>
      <c r="BF334" s="1">
        <f>IFERROR(__xludf.DUMMYFUNCTION("""COMPUTED_VALUE"""),67.68)</f>
        <v>67.68</v>
      </c>
      <c r="BG334" s="1">
        <f>IFERROR(__xludf.DUMMYFUNCTION("""COMPUTED_VALUE"""),24.71)</f>
        <v>24.71</v>
      </c>
      <c r="BH334" s="1">
        <f>IFERROR(__xludf.DUMMYFUNCTION("""COMPUTED_VALUE"""),151.75)</f>
        <v>151.75</v>
      </c>
      <c r="BI334" s="3">
        <f>IFERROR(__xludf.DUMMYFUNCTION("""COMPUTED_VALUE"""),40.94)</f>
        <v>40.94</v>
      </c>
      <c r="BJ334" s="1">
        <f>IFERROR(__xludf.DUMMYFUNCTION("""COMPUTED_VALUE"""),242.72)</f>
        <v>242.72</v>
      </c>
      <c r="BK334" s="1">
        <f>IFERROR(__xludf.DUMMYFUNCTION("""COMPUTED_VALUE"""),482.41)</f>
        <v>482.41</v>
      </c>
      <c r="BL334" s="1">
        <f>IFERROR(__xludf.DUMMYFUNCTION("""COMPUTED_VALUE"""),200.8)</f>
        <v>200.8</v>
      </c>
      <c r="BM334" s="1">
        <f>IFERROR(__xludf.DUMMYFUNCTION("""COMPUTED_VALUE"""),108.28)</f>
        <v>108.28</v>
      </c>
      <c r="BN334" s="3">
        <f>IFERROR(__xludf.DUMMYFUNCTION("""COMPUTED_VALUE"""),5.04)</f>
        <v>5.04</v>
      </c>
      <c r="BO334" s="1">
        <f>IFERROR(__xludf.DUMMYFUNCTION("""COMPUTED_VALUE"""),216.05)</f>
        <v>216.05</v>
      </c>
      <c r="BP334" s="1">
        <f>IFERROR(__xludf.DUMMYFUNCTION("""COMPUTED_VALUE"""),347.92)</f>
        <v>347.92</v>
      </c>
      <c r="BQ334" s="36">
        <f>IFERROR(__xludf.DUMMYFUNCTION("""COMPUTED_VALUE"""),50.72)</f>
        <v>50.72</v>
      </c>
      <c r="BR334" s="1">
        <f>IFERROR(__xludf.DUMMYFUNCTION("""COMPUTED_VALUE"""),10.45)</f>
        <v>10.45</v>
      </c>
      <c r="BS334" s="3">
        <f>IFERROR(__xludf.DUMMYFUNCTION("""COMPUTED_VALUE"""),219.16)</f>
        <v>219.16</v>
      </c>
      <c r="BT334" s="1">
        <f>IFERROR(__xludf.DUMMYFUNCTION("""COMPUTED_VALUE"""),117.37)</f>
        <v>117.37</v>
      </c>
      <c r="BU334" s="3">
        <v>1.0</v>
      </c>
    </row>
    <row r="335">
      <c r="A335" s="25">
        <f>IFERROR(__xludf.DUMMYFUNCTION("""COMPUTED_VALUE"""),45910.66666666667)</f>
        <v>45910.66667</v>
      </c>
      <c r="B335" s="29">
        <f>'Master Scratch Work'!B334</f>
        <v>1458958.16</v>
      </c>
      <c r="C335" s="15">
        <f>IFERROR(__xludf.DUMMYFUNCTION("""COMPUTED_VALUE"""),6532.04)</f>
        <v>6532.04</v>
      </c>
      <c r="D335" s="15">
        <f>IFERROR(__xludf.DUMMYFUNCTION("""COMPUTED_VALUE"""),21886.06)</f>
        <v>21886.06</v>
      </c>
      <c r="E335" s="15">
        <f>IFERROR(__xludf.DUMMYFUNCTION("""COMPUTED_VALUE"""),45490.92)</f>
        <v>45490.92</v>
      </c>
      <c r="F335" s="15">
        <f>IFERROR(__xludf.DUMMYFUNCTION("""COMPUTED_VALUE"""),2378.01)</f>
        <v>2378.01</v>
      </c>
      <c r="G335" s="3">
        <f>IFERROR(__xludf.DUMMYFUNCTION("""COMPUTED_VALUE"""),652.21)</f>
        <v>652.21</v>
      </c>
      <c r="H335" s="3">
        <f>IFERROR(__xludf.DUMMYFUNCTION("""COMPUTED_VALUE"""),580.7)</f>
        <v>580.7</v>
      </c>
      <c r="I335" s="3">
        <f>IFERROR(__xludf.DUMMYFUNCTION("""COMPUTED_VALUE"""),350.16)</f>
        <v>350.16</v>
      </c>
      <c r="J335" s="3">
        <f>IFERROR(__xludf.DUMMYFUNCTION("""COMPUTED_VALUE"""),230.33)</f>
        <v>230.33</v>
      </c>
      <c r="K335" s="3">
        <f>IFERROR(__xludf.DUMMYFUNCTION("""COMPUTED_VALUE"""),138.5)</f>
        <v>138.5</v>
      </c>
      <c r="L335" s="3">
        <f>IFERROR(__xludf.DUMMYFUNCTION("""COMPUTED_VALUE"""),226.79)</f>
        <v>226.79</v>
      </c>
      <c r="M335" s="3">
        <f>IFERROR(__xludf.DUMMYFUNCTION("""COMPUTED_VALUE"""),163.42)</f>
        <v>163.42</v>
      </c>
      <c r="N335" s="3">
        <f>IFERROR(__xludf.DUMMYFUNCTION("""COMPUTED_VALUE"""),104.0)</f>
        <v>104</v>
      </c>
      <c r="O335" s="3">
        <f>IFERROR(__xludf.DUMMYFUNCTION("""COMPUTED_VALUE"""),20.49)</f>
        <v>20.49</v>
      </c>
      <c r="P335" s="3">
        <f>IFERROR(__xludf.DUMMYFUNCTION("""COMPUTED_VALUE"""),490.08)</f>
        <v>490.08</v>
      </c>
      <c r="Q335" s="3">
        <f>IFERROR(__xludf.DUMMYFUNCTION("""COMPUTED_VALUE"""),53.25)</f>
        <v>53.25</v>
      </c>
      <c r="R335" s="3">
        <f>IFERROR(__xludf.DUMMYFUNCTION("""COMPUTED_VALUE"""),142.61)</f>
        <v>142.61</v>
      </c>
      <c r="S335" s="3">
        <f>IFERROR(__xludf.DUMMYFUNCTION("""COMPUTED_VALUE"""),105.23)</f>
        <v>105.23</v>
      </c>
      <c r="T335" s="3">
        <f>IFERROR(__xludf.DUMMYFUNCTION("""COMPUTED_VALUE"""),62.5)</f>
        <v>62.5</v>
      </c>
      <c r="U335" s="3">
        <f>IFERROR(__xludf.DUMMYFUNCTION("""COMPUTED_VALUE"""),422.91)</f>
        <v>422.91</v>
      </c>
      <c r="V335" s="3">
        <f>IFERROR(__xludf.DUMMYFUNCTION("""COMPUTED_VALUE"""),79.47)</f>
        <v>79.47</v>
      </c>
      <c r="W335" s="3">
        <f>IFERROR(__xludf.DUMMYFUNCTION("""COMPUTED_VALUE"""),194.24)</f>
        <v>194.24</v>
      </c>
      <c r="X335" s="3">
        <f>IFERROR(__xludf.DUMMYFUNCTION("""COMPUTED_VALUE"""),157.79)</f>
        <v>157.79</v>
      </c>
      <c r="Y335" s="1">
        <f>IFERROR(__xludf.DUMMYFUNCTION("""COMPUTED_VALUE"""),302.44)</f>
        <v>302.44</v>
      </c>
      <c r="Z335" s="1">
        <f>IFERROR(__xludf.DUMMYFUNCTION("""COMPUTED_VALUE"""),51.81)</f>
        <v>51.81</v>
      </c>
      <c r="AA335" s="1">
        <f>IFERROR(__xludf.DUMMYFUNCTION("""COMPUTED_VALUE"""),67.82)</f>
        <v>67.82</v>
      </c>
      <c r="AB335" s="1">
        <f>IFERROR(__xludf.DUMMYFUNCTION("""COMPUTED_VALUE"""),97.08)</f>
        <v>97.08</v>
      </c>
      <c r="AC335" s="1">
        <f>IFERROR(__xludf.DUMMYFUNCTION("""COMPUTED_VALUE"""),173.89)</f>
        <v>173.89</v>
      </c>
      <c r="AD335" s="3">
        <f>IFERROR(__xludf.DUMMYFUNCTION("""COMPUTED_VALUE"""),98.85)</f>
        <v>98.85</v>
      </c>
      <c r="AE335" s="1">
        <f>IFERROR(__xludf.DUMMYFUNCTION("""COMPUTED_VALUE"""),450.56)</f>
        <v>450.56</v>
      </c>
      <c r="AF335" s="1">
        <f>IFERROR(__xludf.DUMMYFUNCTION("""COMPUTED_VALUE"""),91.29)</f>
        <v>91.29</v>
      </c>
      <c r="AG335" s="1">
        <f>IFERROR(__xludf.DUMMYFUNCTION("""COMPUTED_VALUE"""),112.5)</f>
        <v>112.5</v>
      </c>
      <c r="AH335" s="1">
        <f>IFERROR(__xludf.DUMMYFUNCTION("""COMPUTED_VALUE"""),225.69)</f>
        <v>225.69</v>
      </c>
      <c r="AI335" s="1">
        <f>IFERROR(__xludf.DUMMYFUNCTION("""COMPUTED_VALUE"""),473.62)</f>
        <v>473.62</v>
      </c>
      <c r="AJ335" s="1">
        <f>IFERROR(__xludf.DUMMYFUNCTION("""COMPUTED_VALUE"""),323.05)</f>
        <v>323.05</v>
      </c>
      <c r="AK335" s="1">
        <f>IFERROR(__xludf.DUMMYFUNCTION("""COMPUTED_VALUE"""),57.34)</f>
        <v>57.34</v>
      </c>
      <c r="AL335" s="1">
        <f>IFERROR(__xludf.DUMMYFUNCTION("""COMPUTED_VALUE"""),115.25)</f>
        <v>115.25</v>
      </c>
      <c r="AM335" s="1">
        <f>IFERROR(__xludf.DUMMYFUNCTION("""COMPUTED_VALUE"""),769.58)</f>
        <v>769.58</v>
      </c>
      <c r="AN335" s="1">
        <f>IFERROR(__xludf.DUMMYFUNCTION("""COMPUTED_VALUE"""),413.23)</f>
        <v>413.23</v>
      </c>
      <c r="AO335" s="1">
        <f>IFERROR(__xludf.DUMMYFUNCTION("""COMPUTED_VALUE"""),136.19)</f>
        <v>136.19</v>
      </c>
      <c r="AP335" s="1">
        <f>IFERROR(__xludf.DUMMYFUNCTION("""COMPUTED_VALUE"""),172.23)</f>
        <v>172.23</v>
      </c>
      <c r="AQ335" s="3">
        <f>IFERROR(__xludf.DUMMYFUNCTION("""COMPUTED_VALUE"""),449.98)</f>
        <v>449.98</v>
      </c>
      <c r="AR335" s="3">
        <f>IFERROR(__xludf.DUMMYFUNCTION("""COMPUTED_VALUE"""),300.54)</f>
        <v>300.54</v>
      </c>
      <c r="AS335" s="3">
        <f>IFERROR(__xludf.DUMMYFUNCTION("""COMPUTED_VALUE"""),463.87)</f>
        <v>463.87</v>
      </c>
      <c r="AT335" s="3">
        <f>IFERROR(__xludf.DUMMYFUNCTION("""COMPUTED_VALUE"""),163.9)</f>
        <v>163.9</v>
      </c>
      <c r="AU335" s="1">
        <f>IFERROR(__xludf.DUMMYFUNCTION("""COMPUTED_VALUE"""),30.87)</f>
        <v>30.87</v>
      </c>
      <c r="AV335" s="1">
        <f>IFERROR(__xludf.DUMMYFUNCTION("""COMPUTED_VALUE"""),92.32)</f>
        <v>92.32</v>
      </c>
      <c r="AW335" s="1">
        <f>IFERROR(__xludf.DUMMYFUNCTION("""COMPUTED_VALUE"""),79.23)</f>
        <v>79.23</v>
      </c>
      <c r="AX335" s="3">
        <f>IFERROR(__xludf.DUMMYFUNCTION("""COMPUTED_VALUE"""),62.44)</f>
        <v>62.44</v>
      </c>
      <c r="AY335" s="1">
        <f>IFERROR(__xludf.DUMMYFUNCTION("""COMPUTED_VALUE"""),500.37)</f>
        <v>500.37</v>
      </c>
      <c r="AZ335" s="3">
        <f>IFERROR(__xludf.DUMMYFUNCTION("""COMPUTED_VALUE"""),71.04)</f>
        <v>71.04</v>
      </c>
      <c r="BA335" s="3">
        <f>IFERROR(__xludf.DUMMYFUNCTION("""COMPUTED_VALUE"""),161.21)</f>
        <v>161.21</v>
      </c>
      <c r="BB335" s="3">
        <f>IFERROR(__xludf.DUMMYFUNCTION("""COMPUTED_VALUE"""),177.33)</f>
        <v>177.33</v>
      </c>
      <c r="BC335" s="1">
        <f>IFERROR(__xludf.DUMMYFUNCTION("""COMPUTED_VALUE"""),87.63)</f>
        <v>87.63</v>
      </c>
      <c r="BD335" s="1">
        <f>IFERROR(__xludf.DUMMYFUNCTION("""COMPUTED_VALUE"""),42.85)</f>
        <v>42.85</v>
      </c>
      <c r="BE335" s="3">
        <f>IFERROR(__xludf.DUMMYFUNCTION("""COMPUTED_VALUE"""),166.74)</f>
        <v>166.74</v>
      </c>
      <c r="BF335" s="1">
        <f>IFERROR(__xludf.DUMMYFUNCTION("""COMPUTED_VALUE"""),65.64)</f>
        <v>65.64</v>
      </c>
      <c r="BG335" s="1">
        <f>IFERROR(__xludf.DUMMYFUNCTION("""COMPUTED_VALUE"""),24.57)</f>
        <v>24.57</v>
      </c>
      <c r="BH335" s="1">
        <f>IFERROR(__xludf.DUMMYFUNCTION("""COMPUTED_VALUE"""),155.0)</f>
        <v>155</v>
      </c>
      <c r="BI335" s="3">
        <f>IFERROR(__xludf.DUMMYFUNCTION("""COMPUTED_VALUE"""),40.45)</f>
        <v>40.45</v>
      </c>
      <c r="BJ335" s="1">
        <f>IFERROR(__xludf.DUMMYFUNCTION("""COMPUTED_VALUE"""),240.38)</f>
        <v>240.38</v>
      </c>
      <c r="BK335" s="1">
        <f>IFERROR(__xludf.DUMMYFUNCTION("""COMPUTED_VALUE"""),476.54)</f>
        <v>476.54</v>
      </c>
      <c r="BL335" s="1">
        <f>IFERROR(__xludf.DUMMYFUNCTION("""COMPUTED_VALUE"""),197.38)</f>
        <v>197.38</v>
      </c>
      <c r="BM335" s="1">
        <f>IFERROR(__xludf.DUMMYFUNCTION("""COMPUTED_VALUE"""),107.79)</f>
        <v>107.79</v>
      </c>
      <c r="BN335" s="3">
        <f>IFERROR(__xludf.DUMMYFUNCTION("""COMPUTED_VALUE"""),5.0)</f>
        <v>5</v>
      </c>
      <c r="BO335" s="1">
        <f>IFERROR(__xludf.DUMMYFUNCTION("""COMPUTED_VALUE"""),215.19)</f>
        <v>215.19</v>
      </c>
      <c r="BP335" s="1">
        <f>IFERROR(__xludf.DUMMYFUNCTION("""COMPUTED_VALUE"""),346.78)</f>
        <v>346.78</v>
      </c>
      <c r="BQ335" s="36">
        <f>IFERROR(__xludf.DUMMYFUNCTION("""COMPUTED_VALUE"""),50.7)</f>
        <v>50.7</v>
      </c>
      <c r="BR335" s="1">
        <f>IFERROR(__xludf.DUMMYFUNCTION("""COMPUTED_VALUE"""),10.24)</f>
        <v>10.24</v>
      </c>
      <c r="BS335" s="3">
        <f>IFERROR(__xludf.DUMMYFUNCTION("""COMPUTED_VALUE"""),217.69)</f>
        <v>217.69</v>
      </c>
      <c r="BT335" s="1">
        <f>IFERROR(__xludf.DUMMYFUNCTION("""COMPUTED_VALUE"""),115.79)</f>
        <v>115.79</v>
      </c>
      <c r="BU335" s="3">
        <v>1.0</v>
      </c>
    </row>
    <row r="336">
      <c r="A336" s="25">
        <f>IFERROR(__xludf.DUMMYFUNCTION("""COMPUTED_VALUE"""),45911.66666666667)</f>
        <v>45911.66667</v>
      </c>
      <c r="B336" s="29">
        <f>'Master Scratch Work'!B335</f>
        <v>1464873.5</v>
      </c>
      <c r="C336" s="15">
        <f>IFERROR(__xludf.DUMMYFUNCTION("""COMPUTED_VALUE"""),6587.47)</f>
        <v>6587.47</v>
      </c>
      <c r="D336" s="15">
        <f>IFERROR(__xludf.DUMMYFUNCTION("""COMPUTED_VALUE"""),22043.08)</f>
        <v>22043.08</v>
      </c>
      <c r="E336" s="15">
        <f>IFERROR(__xludf.DUMMYFUNCTION("""COMPUTED_VALUE"""),46108.0)</f>
        <v>46108</v>
      </c>
      <c r="F336" s="15">
        <f>IFERROR(__xludf.DUMMYFUNCTION("""COMPUTED_VALUE"""),2421.53)</f>
        <v>2421.53</v>
      </c>
      <c r="G336" s="3">
        <f>IFERROR(__xludf.DUMMYFUNCTION("""COMPUTED_VALUE"""),657.63)</f>
        <v>657.63</v>
      </c>
      <c r="H336" s="3">
        <f>IFERROR(__xludf.DUMMYFUNCTION("""COMPUTED_VALUE"""),584.08)</f>
        <v>584.08</v>
      </c>
      <c r="I336" s="3">
        <f>IFERROR(__xludf.DUMMYFUNCTION("""COMPUTED_VALUE"""),350.55)</f>
        <v>350.55</v>
      </c>
      <c r="J336" s="3">
        <f>IFERROR(__xludf.DUMMYFUNCTION("""COMPUTED_VALUE"""),229.95)</f>
        <v>229.95</v>
      </c>
      <c r="K336" s="3">
        <f>IFERROR(__xludf.DUMMYFUNCTION("""COMPUTED_VALUE"""),139.63)</f>
        <v>139.63</v>
      </c>
      <c r="L336" s="3">
        <f>IFERROR(__xludf.DUMMYFUNCTION("""COMPUTED_VALUE"""),230.03)</f>
        <v>230.03</v>
      </c>
      <c r="M336" s="3">
        <f>IFERROR(__xludf.DUMMYFUNCTION("""COMPUTED_VALUE"""),170.15)</f>
        <v>170.15</v>
      </c>
      <c r="N336" s="3">
        <f>IFERROR(__xludf.DUMMYFUNCTION("""COMPUTED_VALUE"""),105.6)</f>
        <v>105.6</v>
      </c>
      <c r="O336" s="3">
        <f>IFERROR(__xludf.DUMMYFUNCTION("""COMPUTED_VALUE"""),20.79)</f>
        <v>20.79</v>
      </c>
      <c r="P336" s="3">
        <f>IFERROR(__xludf.DUMMYFUNCTION("""COMPUTED_VALUE"""),496.91)</f>
        <v>496.91</v>
      </c>
      <c r="Q336" s="3">
        <f>IFERROR(__xludf.DUMMYFUNCTION("""COMPUTED_VALUE"""),54.21)</f>
        <v>54.21</v>
      </c>
      <c r="R336" s="3">
        <f>IFERROR(__xludf.DUMMYFUNCTION("""COMPUTED_VALUE"""),148.84)</f>
        <v>148.84</v>
      </c>
      <c r="S336" s="3">
        <f>IFERROR(__xludf.DUMMYFUNCTION("""COMPUTED_VALUE"""),104.34)</f>
        <v>104.34</v>
      </c>
      <c r="T336" s="3">
        <f>IFERROR(__xludf.DUMMYFUNCTION("""COMPUTED_VALUE"""),62.3)</f>
        <v>62.3</v>
      </c>
      <c r="U336" s="3">
        <f>IFERROR(__xludf.DUMMYFUNCTION("""COMPUTED_VALUE"""),431.38)</f>
        <v>431.38</v>
      </c>
      <c r="V336" s="3">
        <f>IFERROR(__xludf.DUMMYFUNCTION("""COMPUTED_VALUE"""),79.89)</f>
        <v>79.89</v>
      </c>
      <c r="W336" s="3">
        <f>IFERROR(__xludf.DUMMYFUNCTION("""COMPUTED_VALUE"""),196.54)</f>
        <v>196.54</v>
      </c>
      <c r="X336" s="3">
        <f>IFERROR(__xludf.DUMMYFUNCTION("""COMPUTED_VALUE"""),158.25)</f>
        <v>158.25</v>
      </c>
      <c r="Y336" s="1">
        <f>IFERROR(__xludf.DUMMYFUNCTION("""COMPUTED_VALUE"""),305.87)</f>
        <v>305.87</v>
      </c>
      <c r="Z336" s="1">
        <f>IFERROR(__xludf.DUMMYFUNCTION("""COMPUTED_VALUE"""),51.76)</f>
        <v>51.76</v>
      </c>
      <c r="AA336" s="1">
        <f>IFERROR(__xludf.DUMMYFUNCTION("""COMPUTED_VALUE"""),67.62)</f>
        <v>67.62</v>
      </c>
      <c r="AB336" s="1">
        <f>IFERROR(__xludf.DUMMYFUNCTION("""COMPUTED_VALUE"""),97.7)</f>
        <v>97.7</v>
      </c>
      <c r="AC336" s="1">
        <f>IFERROR(__xludf.DUMMYFUNCTION("""COMPUTED_VALUE"""),174.67)</f>
        <v>174.67</v>
      </c>
      <c r="AD336" s="3">
        <f>IFERROR(__xludf.DUMMYFUNCTION("""COMPUTED_VALUE"""),99.39)</f>
        <v>99.39</v>
      </c>
      <c r="AE336" s="1">
        <f>IFERROR(__xludf.DUMMYFUNCTION("""COMPUTED_VALUE"""),456.62)</f>
        <v>456.62</v>
      </c>
      <c r="AF336" s="1">
        <f>IFERROR(__xludf.DUMMYFUNCTION("""COMPUTED_VALUE"""),92.46)</f>
        <v>92.46</v>
      </c>
      <c r="AG336" s="1">
        <f>IFERROR(__xludf.DUMMYFUNCTION("""COMPUTED_VALUE"""),112.14)</f>
        <v>112.14</v>
      </c>
      <c r="AH336" s="1">
        <f>IFERROR(__xludf.DUMMYFUNCTION("""COMPUTED_VALUE"""),228.81)</f>
        <v>228.81</v>
      </c>
      <c r="AI336" s="1">
        <f>IFERROR(__xludf.DUMMYFUNCTION("""COMPUTED_VALUE"""),479.36)</f>
        <v>479.36</v>
      </c>
      <c r="AJ336" s="1">
        <f>IFERROR(__xludf.DUMMYFUNCTION("""COMPUTED_VALUE"""),329.62)</f>
        <v>329.62</v>
      </c>
      <c r="AK336" s="1">
        <f>IFERROR(__xludf.DUMMYFUNCTION("""COMPUTED_VALUE"""),58.71)</f>
        <v>58.71</v>
      </c>
      <c r="AL336" s="1">
        <f>IFERROR(__xludf.DUMMYFUNCTION("""COMPUTED_VALUE"""),117.86)</f>
        <v>117.86</v>
      </c>
      <c r="AM336" s="1">
        <f>IFERROR(__xludf.DUMMYFUNCTION("""COMPUTED_VALUE"""),784.73)</f>
        <v>784.73</v>
      </c>
      <c r="AN336" s="1">
        <f>IFERROR(__xludf.DUMMYFUNCTION("""COMPUTED_VALUE"""),423.42)</f>
        <v>423.42</v>
      </c>
      <c r="AO336" s="1">
        <f>IFERROR(__xludf.DUMMYFUNCTION("""COMPUTED_VALUE"""),141.88)</f>
        <v>141.88</v>
      </c>
      <c r="AP336" s="1">
        <f>IFERROR(__xludf.DUMMYFUNCTION("""COMPUTED_VALUE"""),176.17)</f>
        <v>176.17</v>
      </c>
      <c r="AQ336" s="3">
        <f>IFERROR(__xludf.DUMMYFUNCTION("""COMPUTED_VALUE"""),455.85)</f>
        <v>455.85</v>
      </c>
      <c r="AR336" s="3">
        <f>IFERROR(__xludf.DUMMYFUNCTION("""COMPUTED_VALUE"""),305.56)</f>
        <v>305.56</v>
      </c>
      <c r="AS336" s="3">
        <f>IFERROR(__xludf.DUMMYFUNCTION("""COMPUTED_VALUE"""),470.73)</f>
        <v>470.73</v>
      </c>
      <c r="AT336" s="3">
        <f>IFERROR(__xludf.DUMMYFUNCTION("""COMPUTED_VALUE"""),165.78)</f>
        <v>165.78</v>
      </c>
      <c r="AU336" s="1">
        <f>IFERROR(__xludf.DUMMYFUNCTION("""COMPUTED_VALUE"""),31.79)</f>
        <v>31.79</v>
      </c>
      <c r="AV336" s="1">
        <f>IFERROR(__xludf.DUMMYFUNCTION("""COMPUTED_VALUE"""),94.25)</f>
        <v>94.25</v>
      </c>
      <c r="AW336" s="1">
        <f>IFERROR(__xludf.DUMMYFUNCTION("""COMPUTED_VALUE"""),80.34)</f>
        <v>80.34</v>
      </c>
      <c r="AX336" s="3">
        <f>IFERROR(__xludf.DUMMYFUNCTION("""COMPUTED_VALUE"""),63.03)</f>
        <v>63.03</v>
      </c>
      <c r="AY336" s="1">
        <f>IFERROR(__xludf.DUMMYFUNCTION("""COMPUTED_VALUE"""),501.01)</f>
        <v>501.01</v>
      </c>
      <c r="AZ336" s="3">
        <f>IFERROR(__xludf.DUMMYFUNCTION("""COMPUTED_VALUE"""),71.32)</f>
        <v>71.32</v>
      </c>
      <c r="BA336" s="3">
        <f>IFERROR(__xludf.DUMMYFUNCTION("""COMPUTED_VALUE"""),157.92)</f>
        <v>157.92</v>
      </c>
      <c r="BB336" s="3">
        <f>IFERROR(__xludf.DUMMYFUNCTION("""COMPUTED_VALUE"""),177.17)</f>
        <v>177.17</v>
      </c>
      <c r="BC336" s="1">
        <f>IFERROR(__xludf.DUMMYFUNCTION("""COMPUTED_VALUE"""),89.38)</f>
        <v>89.38</v>
      </c>
      <c r="BD336" s="1">
        <f>IFERROR(__xludf.DUMMYFUNCTION("""COMPUTED_VALUE"""),43.3)</f>
        <v>43.3</v>
      </c>
      <c r="BE336" s="3">
        <f>IFERROR(__xludf.DUMMYFUNCTION("""COMPUTED_VALUE"""),164.36)</f>
        <v>164.36</v>
      </c>
      <c r="BF336" s="1">
        <f>IFERROR(__xludf.DUMMYFUNCTION("""COMPUTED_VALUE"""),67.27)</f>
        <v>67.27</v>
      </c>
      <c r="BG336" s="1">
        <f>IFERROR(__xludf.DUMMYFUNCTION("""COMPUTED_VALUE"""),24.86)</f>
        <v>24.86</v>
      </c>
      <c r="BH336" s="1">
        <f>IFERROR(__xludf.DUMMYFUNCTION("""COMPUTED_VALUE"""),157.65)</f>
        <v>157.65</v>
      </c>
      <c r="BI336" s="3">
        <f>IFERROR(__xludf.DUMMYFUNCTION("""COMPUTED_VALUE"""),46.24)</f>
        <v>46.24</v>
      </c>
      <c r="BJ336" s="1">
        <f>IFERROR(__xludf.DUMMYFUNCTION("""COMPUTED_VALUE"""),241.39)</f>
        <v>241.39</v>
      </c>
      <c r="BK336" s="1">
        <f>IFERROR(__xludf.DUMMYFUNCTION("""COMPUTED_VALUE"""),491.41)</f>
        <v>491.41</v>
      </c>
      <c r="BL336" s="1">
        <f>IFERROR(__xludf.DUMMYFUNCTION("""COMPUTED_VALUE"""),197.63)</f>
        <v>197.63</v>
      </c>
      <c r="BM336" s="1">
        <f>IFERROR(__xludf.DUMMYFUNCTION("""COMPUTED_VALUE"""),116.99)</f>
        <v>116.99</v>
      </c>
      <c r="BN336" s="3">
        <f>IFERROR(__xludf.DUMMYFUNCTION("""COMPUTED_VALUE"""),5.03)</f>
        <v>5.03</v>
      </c>
      <c r="BO336" s="1">
        <f>IFERROR(__xludf.DUMMYFUNCTION("""COMPUTED_VALUE"""),216.04)</f>
        <v>216.04</v>
      </c>
      <c r="BP336" s="1">
        <f>IFERROR(__xludf.DUMMYFUNCTION("""COMPUTED_VALUE"""),353.61)</f>
        <v>353.61</v>
      </c>
      <c r="BQ336" s="36">
        <f>IFERROR(__xludf.DUMMYFUNCTION("""COMPUTED_VALUE"""),50.7)</f>
        <v>50.7</v>
      </c>
      <c r="BR336" s="1">
        <f>IFERROR(__xludf.DUMMYFUNCTION("""COMPUTED_VALUE"""),10.17)</f>
        <v>10.17</v>
      </c>
      <c r="BS336" s="3">
        <f>IFERROR(__xludf.DUMMYFUNCTION("""COMPUTED_VALUE"""),220.5)</f>
        <v>220.5</v>
      </c>
      <c r="BT336" s="1">
        <f>IFERROR(__xludf.DUMMYFUNCTION("""COMPUTED_VALUE"""),117.08)</f>
        <v>117.08</v>
      </c>
      <c r="BU336" s="3">
        <v>1.0</v>
      </c>
    </row>
    <row r="337">
      <c r="A337" s="25">
        <f>IFERROR(__xludf.DUMMYFUNCTION("""COMPUTED_VALUE"""),45912.66666666667)</f>
        <v>45912.66667</v>
      </c>
      <c r="B337" s="29">
        <f>'Master Scratch Work'!B336</f>
        <v>1461938.28</v>
      </c>
      <c r="C337" s="15">
        <f>IFERROR(__xludf.DUMMYFUNCTION("""COMPUTED_VALUE"""),6584.29)</f>
        <v>6584.29</v>
      </c>
      <c r="D337" s="15">
        <f>IFERROR(__xludf.DUMMYFUNCTION("""COMPUTED_VALUE"""),22141.1)</f>
        <v>22141.1</v>
      </c>
      <c r="E337" s="15">
        <f>IFERROR(__xludf.DUMMYFUNCTION("""COMPUTED_VALUE"""),45834.22)</f>
        <v>45834.22</v>
      </c>
      <c r="F337" s="15">
        <f>IFERROR(__xludf.DUMMYFUNCTION("""COMPUTED_VALUE"""),2397.06)</f>
        <v>2397.06</v>
      </c>
      <c r="G337" s="3">
        <f>IFERROR(__xludf.DUMMYFUNCTION("""COMPUTED_VALUE"""),657.41)</f>
        <v>657.41</v>
      </c>
      <c r="H337" s="3">
        <f>IFERROR(__xludf.DUMMYFUNCTION("""COMPUTED_VALUE"""),586.66)</f>
        <v>586.66</v>
      </c>
      <c r="I337" s="3">
        <f>IFERROR(__xludf.DUMMYFUNCTION("""COMPUTED_VALUE"""),349.36)</f>
        <v>349.36</v>
      </c>
      <c r="J337" s="3">
        <f>IFERROR(__xludf.DUMMYFUNCTION("""COMPUTED_VALUE"""),228.15)</f>
        <v>228.15</v>
      </c>
      <c r="K337" s="3">
        <f>IFERROR(__xludf.DUMMYFUNCTION("""COMPUTED_VALUE"""),139.28)</f>
        <v>139.28</v>
      </c>
      <c r="L337" s="3">
        <f>IFERROR(__xludf.DUMMYFUNCTION("""COMPUTED_VALUE"""),234.07)</f>
        <v>234.07</v>
      </c>
      <c r="M337" s="3">
        <f>IFERROR(__xludf.DUMMYFUNCTION("""COMPUTED_VALUE"""),167.8)</f>
        <v>167.8</v>
      </c>
      <c r="N337" s="3">
        <f>IFERROR(__xludf.DUMMYFUNCTION("""COMPUTED_VALUE"""),106.48)</f>
        <v>106.48</v>
      </c>
      <c r="O337" s="3">
        <f>IFERROR(__xludf.DUMMYFUNCTION("""COMPUTED_VALUE"""),20.72)</f>
        <v>20.72</v>
      </c>
      <c r="P337" s="3">
        <f>IFERROR(__xludf.DUMMYFUNCTION("""COMPUTED_VALUE"""),493.74)</f>
        <v>493.74</v>
      </c>
      <c r="Q337" s="3">
        <f>IFERROR(__xludf.DUMMYFUNCTION("""COMPUTED_VALUE"""),54.07)</f>
        <v>54.07</v>
      </c>
      <c r="R337" s="3">
        <f>IFERROR(__xludf.DUMMYFUNCTION("""COMPUTED_VALUE"""),144.86)</f>
        <v>144.86</v>
      </c>
      <c r="S337" s="3">
        <f>IFERROR(__xludf.DUMMYFUNCTION("""COMPUTED_VALUE"""),102.71)</f>
        <v>102.71</v>
      </c>
      <c r="T337" s="3">
        <f>IFERROR(__xludf.DUMMYFUNCTION("""COMPUTED_VALUE"""),61.67)</f>
        <v>61.67</v>
      </c>
      <c r="U337" s="3">
        <f>IFERROR(__xludf.DUMMYFUNCTION("""COMPUTED_VALUE"""),431.52)</f>
        <v>431.52</v>
      </c>
      <c r="V337" s="3">
        <f>IFERROR(__xludf.DUMMYFUNCTION("""COMPUTED_VALUE"""),78.11)</f>
        <v>78.11</v>
      </c>
      <c r="W337" s="3">
        <f>IFERROR(__xludf.DUMMYFUNCTION("""COMPUTED_VALUE"""),195.19)</f>
        <v>195.19</v>
      </c>
      <c r="X337" s="3">
        <f>IFERROR(__xludf.DUMMYFUNCTION("""COMPUTED_VALUE"""),157.11)</f>
        <v>157.11</v>
      </c>
      <c r="Y337" s="1">
        <f>IFERROR(__xludf.DUMMYFUNCTION("""COMPUTED_VALUE"""),302.76)</f>
        <v>302.76</v>
      </c>
      <c r="Z337" s="1">
        <f>IFERROR(__xludf.DUMMYFUNCTION("""COMPUTED_VALUE"""),51.82)</f>
        <v>51.82</v>
      </c>
      <c r="AA337" s="1">
        <f>IFERROR(__xludf.DUMMYFUNCTION("""COMPUTED_VALUE"""),67.01)</f>
        <v>67.01</v>
      </c>
      <c r="AB337" s="1">
        <f>IFERROR(__xludf.DUMMYFUNCTION("""COMPUTED_VALUE"""),97.55)</f>
        <v>97.55</v>
      </c>
      <c r="AC337" s="1">
        <f>IFERROR(__xludf.DUMMYFUNCTION("""COMPUTED_VALUE"""),173.5)</f>
        <v>173.5</v>
      </c>
      <c r="AD337" s="3">
        <f>IFERROR(__xludf.DUMMYFUNCTION("""COMPUTED_VALUE"""),97.45)</f>
        <v>97.45</v>
      </c>
      <c r="AE337" s="1">
        <f>IFERROR(__xludf.DUMMYFUNCTION("""COMPUTED_VALUE"""),452.05)</f>
        <v>452.05</v>
      </c>
      <c r="AF337" s="1">
        <f>IFERROR(__xludf.DUMMYFUNCTION("""COMPUTED_VALUE"""),90.8)</f>
        <v>90.8</v>
      </c>
      <c r="AG337" s="1">
        <f>IFERROR(__xludf.DUMMYFUNCTION("""COMPUTED_VALUE"""),112.16)</f>
        <v>112.16</v>
      </c>
      <c r="AH337" s="1">
        <f>IFERROR(__xludf.DUMMYFUNCTION("""COMPUTED_VALUE"""),229.55)</f>
        <v>229.55</v>
      </c>
      <c r="AI337" s="1">
        <f>IFERROR(__xludf.DUMMYFUNCTION("""COMPUTED_VALUE"""),478.0)</f>
        <v>478</v>
      </c>
      <c r="AJ337" s="1">
        <f>IFERROR(__xludf.DUMMYFUNCTION("""COMPUTED_VALUE"""),326.15)</f>
        <v>326.15</v>
      </c>
      <c r="AK337" s="1">
        <f>IFERROR(__xludf.DUMMYFUNCTION("""COMPUTED_VALUE"""),58.5)</f>
        <v>58.5</v>
      </c>
      <c r="AL337" s="1">
        <f>IFERROR(__xludf.DUMMYFUNCTION("""COMPUTED_VALUE"""),114.55)</f>
        <v>114.55</v>
      </c>
      <c r="AM337" s="1">
        <f>IFERROR(__xludf.DUMMYFUNCTION("""COMPUTED_VALUE"""),780.06)</f>
        <v>780.06</v>
      </c>
      <c r="AN337" s="1">
        <f>IFERROR(__xludf.DUMMYFUNCTION("""COMPUTED_VALUE"""),422.69)</f>
        <v>422.69</v>
      </c>
      <c r="AO337" s="1">
        <f>IFERROR(__xludf.DUMMYFUNCTION("""COMPUTED_VALUE"""),140.7)</f>
        <v>140.7</v>
      </c>
      <c r="AP337" s="1">
        <f>IFERROR(__xludf.DUMMYFUNCTION("""COMPUTED_VALUE"""),173.97)</f>
        <v>173.97</v>
      </c>
      <c r="AQ337" s="3">
        <f>IFERROR(__xludf.DUMMYFUNCTION("""COMPUTED_VALUE"""),449.68)</f>
        <v>449.68</v>
      </c>
      <c r="AR337" s="3">
        <f>IFERROR(__xludf.DUMMYFUNCTION("""COMPUTED_VALUE"""),306.91)</f>
        <v>306.91</v>
      </c>
      <c r="AS337" s="3">
        <f>IFERROR(__xludf.DUMMYFUNCTION("""COMPUTED_VALUE"""),471.31)</f>
        <v>471.31</v>
      </c>
      <c r="AT337" s="3">
        <f>IFERROR(__xludf.DUMMYFUNCTION("""COMPUTED_VALUE"""),159.87)</f>
        <v>159.87</v>
      </c>
      <c r="AU337" s="1">
        <f>IFERROR(__xludf.DUMMYFUNCTION("""COMPUTED_VALUE"""),31.89)</f>
        <v>31.89</v>
      </c>
      <c r="AV337" s="1">
        <f>IFERROR(__xludf.DUMMYFUNCTION("""COMPUTED_VALUE"""),94.03)</f>
        <v>94.03</v>
      </c>
      <c r="AW337" s="1">
        <f>IFERROR(__xludf.DUMMYFUNCTION("""COMPUTED_VALUE"""),80.82)</f>
        <v>80.82</v>
      </c>
      <c r="AX337" s="3">
        <f>IFERROR(__xludf.DUMMYFUNCTION("""COMPUTED_VALUE"""),63.51)</f>
        <v>63.51</v>
      </c>
      <c r="AY337" s="1">
        <f>IFERROR(__xludf.DUMMYFUNCTION("""COMPUTED_VALUE"""),509.9)</f>
        <v>509.9</v>
      </c>
      <c r="AZ337" s="3">
        <f>IFERROR(__xludf.DUMMYFUNCTION("""COMPUTED_VALUE"""),71.64)</f>
        <v>71.64</v>
      </c>
      <c r="BA337" s="3">
        <f>IFERROR(__xludf.DUMMYFUNCTION("""COMPUTED_VALUE"""),164.84)</f>
        <v>164.84</v>
      </c>
      <c r="BB337" s="3">
        <f>IFERROR(__xludf.DUMMYFUNCTION("""COMPUTED_VALUE"""),177.82)</f>
        <v>177.82</v>
      </c>
      <c r="BC337" s="1">
        <f>IFERROR(__xludf.DUMMYFUNCTION("""COMPUTED_VALUE"""),89.06)</f>
        <v>89.06</v>
      </c>
      <c r="BD337" s="1">
        <f>IFERROR(__xludf.DUMMYFUNCTION("""COMPUTED_VALUE"""),42.89)</f>
        <v>42.89</v>
      </c>
      <c r="BE337" s="3">
        <f>IFERROR(__xludf.DUMMYFUNCTION("""COMPUTED_VALUE"""),171.43)</f>
        <v>171.43</v>
      </c>
      <c r="BF337" s="1">
        <f>IFERROR(__xludf.DUMMYFUNCTION("""COMPUTED_VALUE"""),66.89)</f>
        <v>66.89</v>
      </c>
      <c r="BG337" s="1">
        <f>IFERROR(__xludf.DUMMYFUNCTION("""COMPUTED_VALUE"""),23.87)</f>
        <v>23.87</v>
      </c>
      <c r="BH337" s="1">
        <f>IFERROR(__xludf.DUMMYFUNCTION("""COMPUTED_VALUE"""),155.85)</f>
        <v>155.85</v>
      </c>
      <c r="BI337" s="3">
        <f>IFERROR(__xludf.DUMMYFUNCTION("""COMPUTED_VALUE"""),46.55)</f>
        <v>46.55</v>
      </c>
      <c r="BJ337" s="1">
        <f>IFERROR(__xludf.DUMMYFUNCTION("""COMPUTED_VALUE"""),241.72)</f>
        <v>241.72</v>
      </c>
      <c r="BK337" s="1">
        <f>IFERROR(__xludf.DUMMYFUNCTION("""COMPUTED_VALUE"""),479.46)</f>
        <v>479.46</v>
      </c>
      <c r="BL337" s="1">
        <f>IFERROR(__xludf.DUMMYFUNCTION("""COMPUTED_VALUE"""),196.13)</f>
        <v>196.13</v>
      </c>
      <c r="BM337" s="1">
        <f>IFERROR(__xludf.DUMMYFUNCTION("""COMPUTED_VALUE"""),114.57)</f>
        <v>114.57</v>
      </c>
      <c r="BN337" s="3">
        <f>IFERROR(__xludf.DUMMYFUNCTION("""COMPUTED_VALUE"""),4.85)</f>
        <v>4.85</v>
      </c>
      <c r="BO337" s="1">
        <f>IFERROR(__xludf.DUMMYFUNCTION("""COMPUTED_VALUE"""),214.91)</f>
        <v>214.91</v>
      </c>
      <c r="BP337" s="1">
        <f>IFERROR(__xludf.DUMMYFUNCTION("""COMPUTED_VALUE"""),352.51)</f>
        <v>352.51</v>
      </c>
      <c r="BQ337" s="36">
        <f>IFERROR(__xludf.DUMMYFUNCTION("""COMPUTED_VALUE"""),50.69)</f>
        <v>50.69</v>
      </c>
      <c r="BR337" s="1">
        <f>IFERROR(__xludf.DUMMYFUNCTION("""COMPUTED_VALUE"""),9.96)</f>
        <v>9.96</v>
      </c>
      <c r="BS337" s="3">
        <f>IFERROR(__xludf.DUMMYFUNCTION("""COMPUTED_VALUE"""),218.16)</f>
        <v>218.16</v>
      </c>
      <c r="BT337" s="1">
        <f>IFERROR(__xludf.DUMMYFUNCTION("""COMPUTED_VALUE"""),115.96)</f>
        <v>115.96</v>
      </c>
      <c r="BU337" s="3">
        <v>1.0</v>
      </c>
    </row>
    <row r="338">
      <c r="A338" s="25">
        <f>IFERROR(__xludf.DUMMYFUNCTION("""COMPUTED_VALUE"""),45915.66666666667)</f>
        <v>45915.66667</v>
      </c>
      <c r="B338" s="29">
        <f>'Master Scratch Work'!B337</f>
        <v>1467106.21</v>
      </c>
      <c r="C338" s="15">
        <f>IFERROR(__xludf.DUMMYFUNCTION("""COMPUTED_VALUE"""),6615.28)</f>
        <v>6615.28</v>
      </c>
      <c r="D338" s="15">
        <f>IFERROR(__xludf.DUMMYFUNCTION("""COMPUTED_VALUE"""),22348.75)</f>
        <v>22348.75</v>
      </c>
      <c r="E338" s="15">
        <f>IFERROR(__xludf.DUMMYFUNCTION("""COMPUTED_VALUE"""),45883.45)</f>
        <v>45883.45</v>
      </c>
      <c r="F338" s="15">
        <f>IFERROR(__xludf.DUMMYFUNCTION("""COMPUTED_VALUE"""),2405.13)</f>
        <v>2405.13</v>
      </c>
      <c r="G338" s="3">
        <f>IFERROR(__xludf.DUMMYFUNCTION("""COMPUTED_VALUE"""),660.91)</f>
        <v>660.91</v>
      </c>
      <c r="H338" s="3">
        <f>IFERROR(__xludf.DUMMYFUNCTION("""COMPUTED_VALUE"""),591.68)</f>
        <v>591.68</v>
      </c>
      <c r="I338" s="3">
        <f>IFERROR(__xludf.DUMMYFUNCTION("""COMPUTED_VALUE"""),347.1)</f>
        <v>347.1</v>
      </c>
      <c r="J338" s="3">
        <f>IFERROR(__xludf.DUMMYFUNCTION("""COMPUTED_VALUE"""),231.43)</f>
        <v>231.43</v>
      </c>
      <c r="K338" s="3">
        <f>IFERROR(__xludf.DUMMYFUNCTION("""COMPUTED_VALUE"""),137.58)</f>
        <v>137.58</v>
      </c>
      <c r="L338" s="3">
        <f>IFERROR(__xludf.DUMMYFUNCTION("""COMPUTED_VALUE"""),236.7)</f>
        <v>236.7</v>
      </c>
      <c r="M338" s="3">
        <f>IFERROR(__xludf.DUMMYFUNCTION("""COMPUTED_VALUE"""),170.93)</f>
        <v>170.93</v>
      </c>
      <c r="N338" s="3">
        <f>IFERROR(__xludf.DUMMYFUNCTION("""COMPUTED_VALUE"""),106.42)</f>
        <v>106.42</v>
      </c>
      <c r="O338" s="3">
        <f>IFERROR(__xludf.DUMMYFUNCTION("""COMPUTED_VALUE"""),21.05)</f>
        <v>21.05</v>
      </c>
      <c r="P338" s="3">
        <f>IFERROR(__xludf.DUMMYFUNCTION("""COMPUTED_VALUE"""),491.54)</f>
        <v>491.54</v>
      </c>
      <c r="Q338" s="3">
        <f>IFERROR(__xludf.DUMMYFUNCTION("""COMPUTED_VALUE"""),54.8)</f>
        <v>54.8</v>
      </c>
      <c r="R338" s="3">
        <f>IFERROR(__xludf.DUMMYFUNCTION("""COMPUTED_VALUE"""),143.32)</f>
        <v>143.32</v>
      </c>
      <c r="S338" s="3">
        <f>IFERROR(__xludf.DUMMYFUNCTION("""COMPUTED_VALUE"""),99.87)</f>
        <v>99.87</v>
      </c>
      <c r="T338" s="3">
        <f>IFERROR(__xludf.DUMMYFUNCTION("""COMPUTED_VALUE"""),61.24)</f>
        <v>61.24</v>
      </c>
      <c r="U338" s="3">
        <f>IFERROR(__xludf.DUMMYFUNCTION("""COMPUTED_VALUE"""),435.94)</f>
        <v>435.94</v>
      </c>
      <c r="V338" s="3">
        <f>IFERROR(__xludf.DUMMYFUNCTION("""COMPUTED_VALUE"""),86.32)</f>
        <v>86.32</v>
      </c>
      <c r="W338" s="3">
        <f>IFERROR(__xludf.DUMMYFUNCTION("""COMPUTED_VALUE"""),198.0)</f>
        <v>198</v>
      </c>
      <c r="X338" s="3">
        <f>IFERROR(__xludf.DUMMYFUNCTION("""COMPUTED_VALUE"""),157.31)</f>
        <v>157.31</v>
      </c>
      <c r="Y338" s="1">
        <f>IFERROR(__xludf.DUMMYFUNCTION("""COMPUTED_VALUE"""),297.14)</f>
        <v>297.14</v>
      </c>
      <c r="Z338" s="1">
        <f>IFERROR(__xludf.DUMMYFUNCTION("""COMPUTED_VALUE"""),51.34)</f>
        <v>51.34</v>
      </c>
      <c r="AA338" s="1">
        <f>IFERROR(__xludf.DUMMYFUNCTION("""COMPUTED_VALUE"""),66.21)</f>
        <v>66.21</v>
      </c>
      <c r="AB338" s="1">
        <f>IFERROR(__xludf.DUMMYFUNCTION("""COMPUTED_VALUE"""),97.0)</f>
        <v>97</v>
      </c>
      <c r="AC338" s="1">
        <f>IFERROR(__xludf.DUMMYFUNCTION("""COMPUTED_VALUE"""),175.04)</f>
        <v>175.04</v>
      </c>
      <c r="AD338" s="3">
        <f>IFERROR(__xludf.DUMMYFUNCTION("""COMPUTED_VALUE"""),97.26)</f>
        <v>97.26</v>
      </c>
      <c r="AE338" s="1">
        <f>IFERROR(__xludf.DUMMYFUNCTION("""COMPUTED_VALUE"""),449.95)</f>
        <v>449.95</v>
      </c>
      <c r="AF338" s="1">
        <f>IFERROR(__xludf.DUMMYFUNCTION("""COMPUTED_VALUE"""),90.36)</f>
        <v>90.36</v>
      </c>
      <c r="AG338" s="1">
        <f>IFERROR(__xludf.DUMMYFUNCTION("""COMPUTED_VALUE"""),112.35)</f>
        <v>112.35</v>
      </c>
      <c r="AH338" s="1">
        <f>IFERROR(__xludf.DUMMYFUNCTION("""COMPUTED_VALUE"""),225.69)</f>
        <v>225.69</v>
      </c>
      <c r="AI338" s="1">
        <f>IFERROR(__xludf.DUMMYFUNCTION("""COMPUTED_VALUE"""),478.94)</f>
        <v>478.94</v>
      </c>
      <c r="AJ338" s="1">
        <f>IFERROR(__xludf.DUMMYFUNCTION("""COMPUTED_VALUE"""),326.98)</f>
        <v>326.98</v>
      </c>
      <c r="AK338" s="1">
        <f>IFERROR(__xludf.DUMMYFUNCTION("""COMPUTED_VALUE"""),58.95)</f>
        <v>58.95</v>
      </c>
      <c r="AL338" s="1">
        <f>IFERROR(__xludf.DUMMYFUNCTION("""COMPUTED_VALUE"""),112.54)</f>
        <v>112.54</v>
      </c>
      <c r="AM338" s="1">
        <f>IFERROR(__xludf.DUMMYFUNCTION("""COMPUTED_VALUE"""),786.76)</f>
        <v>786.76</v>
      </c>
      <c r="AN338" s="1">
        <f>IFERROR(__xludf.DUMMYFUNCTION("""COMPUTED_VALUE"""),422.71)</f>
        <v>422.71</v>
      </c>
      <c r="AO338" s="1">
        <f>IFERROR(__xludf.DUMMYFUNCTION("""COMPUTED_VALUE"""),140.96)</f>
        <v>140.96</v>
      </c>
      <c r="AP338" s="1">
        <f>IFERROR(__xludf.DUMMYFUNCTION("""COMPUTED_VALUE"""),172.23)</f>
        <v>172.23</v>
      </c>
      <c r="AQ338" s="3">
        <f>IFERROR(__xludf.DUMMYFUNCTION("""COMPUTED_VALUE"""),433.99)</f>
        <v>433.99</v>
      </c>
      <c r="AR338" s="3">
        <f>IFERROR(__xludf.DUMMYFUNCTION("""COMPUTED_VALUE"""),308.9)</f>
        <v>308.9</v>
      </c>
      <c r="AS338" s="3">
        <f>IFERROR(__xludf.DUMMYFUNCTION("""COMPUTED_VALUE"""),473.25)</f>
        <v>473.25</v>
      </c>
      <c r="AT338" s="3">
        <f>IFERROR(__xludf.DUMMYFUNCTION("""COMPUTED_VALUE"""),159.98)</f>
        <v>159.98</v>
      </c>
      <c r="AU338" s="1">
        <f>IFERROR(__xludf.DUMMYFUNCTION("""COMPUTED_VALUE"""),32.34)</f>
        <v>32.34</v>
      </c>
      <c r="AV338" s="1">
        <f>IFERROR(__xludf.DUMMYFUNCTION("""COMPUTED_VALUE"""),93.43)</f>
        <v>93.43</v>
      </c>
      <c r="AW338" s="1">
        <f>IFERROR(__xludf.DUMMYFUNCTION("""COMPUTED_VALUE"""),80.46)</f>
        <v>80.46</v>
      </c>
      <c r="AX338" s="3">
        <f>IFERROR(__xludf.DUMMYFUNCTION("""COMPUTED_VALUE"""),65.94)</f>
        <v>65.94</v>
      </c>
      <c r="AY338" s="1">
        <f>IFERROR(__xludf.DUMMYFUNCTION("""COMPUTED_VALUE"""),515.36)</f>
        <v>515.36</v>
      </c>
      <c r="AZ338" s="3">
        <f>IFERROR(__xludf.DUMMYFUNCTION("""COMPUTED_VALUE"""),71.5)</f>
        <v>71.5</v>
      </c>
      <c r="BA338" s="3">
        <f>IFERROR(__xludf.DUMMYFUNCTION("""COMPUTED_VALUE"""),166.08)</f>
        <v>166.08</v>
      </c>
      <c r="BB338" s="3">
        <f>IFERROR(__xludf.DUMMYFUNCTION("""COMPUTED_VALUE"""),177.75)</f>
        <v>177.75</v>
      </c>
      <c r="BC338" s="1">
        <f>IFERROR(__xludf.DUMMYFUNCTION("""COMPUTED_VALUE"""),89.63)</f>
        <v>89.63</v>
      </c>
      <c r="BD338" s="1">
        <f>IFERROR(__xludf.DUMMYFUNCTION("""COMPUTED_VALUE"""),42.67)</f>
        <v>42.67</v>
      </c>
      <c r="BE338" s="3">
        <f>IFERROR(__xludf.DUMMYFUNCTION("""COMPUTED_VALUE"""),171.21)</f>
        <v>171.21</v>
      </c>
      <c r="BF338" s="1">
        <f>IFERROR(__xludf.DUMMYFUNCTION("""COMPUTED_VALUE"""),67.11)</f>
        <v>67.11</v>
      </c>
      <c r="BG338" s="1">
        <f>IFERROR(__xludf.DUMMYFUNCTION("""COMPUTED_VALUE"""),23.97)</f>
        <v>23.97</v>
      </c>
      <c r="BH338" s="1">
        <f>IFERROR(__xludf.DUMMYFUNCTION("""COMPUTED_VALUE"""),158.37)</f>
        <v>158.37</v>
      </c>
      <c r="BI338" s="3">
        <f>IFERROR(__xludf.DUMMYFUNCTION("""COMPUTED_VALUE"""),46.2)</f>
        <v>46.2</v>
      </c>
      <c r="BJ338" s="1">
        <f>IFERROR(__xludf.DUMMYFUNCTION("""COMPUTED_VALUE"""),239.74)</f>
        <v>239.74</v>
      </c>
      <c r="BK338" s="1">
        <f>IFERROR(__xludf.DUMMYFUNCTION("""COMPUTED_VALUE"""),474.46)</f>
        <v>474.46</v>
      </c>
      <c r="BL338" s="1">
        <f>IFERROR(__xludf.DUMMYFUNCTION("""COMPUTED_VALUE"""),197.28)</f>
        <v>197.28</v>
      </c>
      <c r="BM338" s="1">
        <f>IFERROR(__xludf.DUMMYFUNCTION("""COMPUTED_VALUE"""),114.29)</f>
        <v>114.29</v>
      </c>
      <c r="BN338" s="3">
        <f>IFERROR(__xludf.DUMMYFUNCTION("""COMPUTED_VALUE"""),4.88)</f>
        <v>4.88</v>
      </c>
      <c r="BO338" s="1">
        <f>IFERROR(__xludf.DUMMYFUNCTION("""COMPUTED_VALUE"""),216.25)</f>
        <v>216.25</v>
      </c>
      <c r="BP338" s="1">
        <f>IFERROR(__xludf.DUMMYFUNCTION("""COMPUTED_VALUE"""),347.89)</f>
        <v>347.89</v>
      </c>
      <c r="BQ338" s="36">
        <f>IFERROR(__xludf.DUMMYFUNCTION("""COMPUTED_VALUE"""),50.7)</f>
        <v>50.7</v>
      </c>
      <c r="BR338" s="1">
        <f>IFERROR(__xludf.DUMMYFUNCTION("""COMPUTED_VALUE"""),9.6)</f>
        <v>9.6</v>
      </c>
      <c r="BS338" s="3">
        <f>IFERROR(__xludf.DUMMYFUNCTION("""COMPUTED_VALUE"""),216.13)</f>
        <v>216.13</v>
      </c>
      <c r="BT338" s="1">
        <f>IFERROR(__xludf.DUMMYFUNCTION("""COMPUTED_VALUE"""),115.62)</f>
        <v>115.62</v>
      </c>
      <c r="BU338" s="3">
        <v>1.0</v>
      </c>
    </row>
    <row r="339">
      <c r="A339" s="25">
        <f>IFERROR(__xludf.DUMMYFUNCTION("""COMPUTED_VALUE"""),45916.66666666667)</f>
        <v>45916.66667</v>
      </c>
      <c r="B339" s="29">
        <f>'Master Scratch Work'!B338</f>
        <v>1462270.88</v>
      </c>
      <c r="C339" s="15">
        <f>IFERROR(__xludf.DUMMYFUNCTION("""COMPUTED_VALUE"""),6606.76)</f>
        <v>6606.76</v>
      </c>
      <c r="D339" s="15">
        <f>IFERROR(__xludf.DUMMYFUNCTION("""COMPUTED_VALUE"""),22333.96)</f>
        <v>22333.96</v>
      </c>
      <c r="E339" s="15">
        <f>IFERROR(__xludf.DUMMYFUNCTION("""COMPUTED_VALUE"""),45757.9)</f>
        <v>45757.9</v>
      </c>
      <c r="F339" s="15">
        <f>IFERROR(__xludf.DUMMYFUNCTION("""COMPUTED_VALUE"""),2403.03)</f>
        <v>2403.03</v>
      </c>
      <c r="G339" s="3">
        <f>IFERROR(__xludf.DUMMYFUNCTION("""COMPUTED_VALUE"""),660.0)</f>
        <v>660</v>
      </c>
      <c r="H339" s="3">
        <f>IFERROR(__xludf.DUMMYFUNCTION("""COMPUTED_VALUE"""),591.18)</f>
        <v>591.18</v>
      </c>
      <c r="I339" s="3">
        <f>IFERROR(__xludf.DUMMYFUNCTION("""COMPUTED_VALUE"""),352.73)</f>
        <v>352.73</v>
      </c>
      <c r="J339" s="3">
        <f>IFERROR(__xludf.DUMMYFUNCTION("""COMPUTED_VALUE"""),234.05)</f>
        <v>234.05</v>
      </c>
      <c r="K339" s="3">
        <f>IFERROR(__xludf.DUMMYFUNCTION("""COMPUTED_VALUE"""),136.25)</f>
        <v>136.25</v>
      </c>
      <c r="L339" s="3">
        <f>IFERROR(__xludf.DUMMYFUNCTION("""COMPUTED_VALUE"""),238.15)</f>
        <v>238.15</v>
      </c>
      <c r="M339" s="3">
        <f>IFERROR(__xludf.DUMMYFUNCTION("""COMPUTED_VALUE"""),173.54)</f>
        <v>173.54</v>
      </c>
      <c r="N339" s="3">
        <f>IFERROR(__xludf.DUMMYFUNCTION("""COMPUTED_VALUE"""),105.49)</f>
        <v>105.49</v>
      </c>
      <c r="O339" s="3">
        <f>IFERROR(__xludf.DUMMYFUNCTION("""COMPUTED_VALUE"""),20.63)</f>
        <v>20.63</v>
      </c>
      <c r="P339" s="3">
        <f>IFERROR(__xludf.DUMMYFUNCTION("""COMPUTED_VALUE"""),490.99)</f>
        <v>490.99</v>
      </c>
      <c r="Q339" s="3">
        <f>IFERROR(__xludf.DUMMYFUNCTION("""COMPUTED_VALUE"""),54.11)</f>
        <v>54.11</v>
      </c>
      <c r="R339" s="3">
        <f>IFERROR(__xludf.DUMMYFUNCTION("""COMPUTED_VALUE"""),143.68)</f>
        <v>143.68</v>
      </c>
      <c r="S339" s="3">
        <f>IFERROR(__xludf.DUMMYFUNCTION("""COMPUTED_VALUE"""),98.98)</f>
        <v>98.98</v>
      </c>
      <c r="T339" s="3">
        <f>IFERROR(__xludf.DUMMYFUNCTION("""COMPUTED_VALUE"""),60.93)</f>
        <v>60.93</v>
      </c>
      <c r="U339" s="3">
        <f>IFERROR(__xludf.DUMMYFUNCTION("""COMPUTED_VALUE"""),440.67)</f>
        <v>440.67</v>
      </c>
      <c r="V339" s="3">
        <f>IFERROR(__xludf.DUMMYFUNCTION("""COMPUTED_VALUE"""),80.23)</f>
        <v>80.23</v>
      </c>
      <c r="W339" s="3">
        <f>IFERROR(__xludf.DUMMYFUNCTION("""COMPUTED_VALUE"""),198.84)</f>
        <v>198.84</v>
      </c>
      <c r="X339" s="3">
        <f>IFERROR(__xludf.DUMMYFUNCTION("""COMPUTED_VALUE"""),159.54)</f>
        <v>159.54</v>
      </c>
      <c r="Y339" s="1">
        <f>IFERROR(__xludf.DUMMYFUNCTION("""COMPUTED_VALUE"""),294.21)</f>
        <v>294.21</v>
      </c>
      <c r="Z339" s="1">
        <f>IFERROR(__xludf.DUMMYFUNCTION("""COMPUTED_VALUE"""),51.13)</f>
        <v>51.13</v>
      </c>
      <c r="AA339" s="1">
        <f>IFERROR(__xludf.DUMMYFUNCTION("""COMPUTED_VALUE"""),66.24)</f>
        <v>66.24</v>
      </c>
      <c r="AB339" s="1">
        <f>IFERROR(__xludf.DUMMYFUNCTION("""COMPUTED_VALUE"""),95.57)</f>
        <v>95.57</v>
      </c>
      <c r="AC339" s="1">
        <f>IFERROR(__xludf.DUMMYFUNCTION("""COMPUTED_VALUE"""),173.86)</f>
        <v>173.86</v>
      </c>
      <c r="AD339" s="3">
        <f>IFERROR(__xludf.DUMMYFUNCTION("""COMPUTED_VALUE"""),95.48)</f>
        <v>95.48</v>
      </c>
      <c r="AE339" s="1">
        <f>IFERROR(__xludf.DUMMYFUNCTION("""COMPUTED_VALUE"""),442.42)</f>
        <v>442.42</v>
      </c>
      <c r="AF339" s="1">
        <f>IFERROR(__xludf.DUMMYFUNCTION("""COMPUTED_VALUE"""),88.85)</f>
        <v>88.85</v>
      </c>
      <c r="AG339" s="1">
        <f>IFERROR(__xludf.DUMMYFUNCTION("""COMPUTED_VALUE"""),114.68)</f>
        <v>114.68</v>
      </c>
      <c r="AH339" s="1">
        <f>IFERROR(__xludf.DUMMYFUNCTION("""COMPUTED_VALUE"""),227.7)</f>
        <v>227.7</v>
      </c>
      <c r="AI339" s="1">
        <f>IFERROR(__xludf.DUMMYFUNCTION("""COMPUTED_VALUE"""),480.33)</f>
        <v>480.33</v>
      </c>
      <c r="AJ339" s="1">
        <f>IFERROR(__xludf.DUMMYFUNCTION("""COMPUTED_VALUE"""),326.4)</f>
        <v>326.4</v>
      </c>
      <c r="AK339" s="1">
        <f>IFERROR(__xludf.DUMMYFUNCTION("""COMPUTED_VALUE"""),58.46)</f>
        <v>58.46</v>
      </c>
      <c r="AL339" s="1">
        <f>IFERROR(__xludf.DUMMYFUNCTION("""COMPUTED_VALUE"""),110.86)</f>
        <v>110.86</v>
      </c>
      <c r="AM339" s="1">
        <f>IFERROR(__xludf.DUMMYFUNCTION("""COMPUTED_VALUE"""),785.53)</f>
        <v>785.53</v>
      </c>
      <c r="AN339" s="1">
        <f>IFERROR(__xludf.DUMMYFUNCTION("""COMPUTED_VALUE"""),421.45)</f>
        <v>421.45</v>
      </c>
      <c r="AO339" s="1">
        <f>IFERROR(__xludf.DUMMYFUNCTION("""COMPUTED_VALUE"""),141.61)</f>
        <v>141.61</v>
      </c>
      <c r="AP339" s="1">
        <f>IFERROR(__xludf.DUMMYFUNCTION("""COMPUTED_VALUE"""),171.4)</f>
        <v>171.4</v>
      </c>
      <c r="AQ339" s="3">
        <f>IFERROR(__xludf.DUMMYFUNCTION("""COMPUTED_VALUE"""),434.5)</f>
        <v>434.5</v>
      </c>
      <c r="AR339" s="3">
        <f>IFERROR(__xludf.DUMMYFUNCTION("""COMPUTED_VALUE"""),309.19)</f>
        <v>309.19</v>
      </c>
      <c r="AS339" s="3">
        <f>IFERROR(__xludf.DUMMYFUNCTION("""COMPUTED_VALUE"""),474.32)</f>
        <v>474.32</v>
      </c>
      <c r="AT339" s="3">
        <f>IFERROR(__xludf.DUMMYFUNCTION("""COMPUTED_VALUE"""),162.34)</f>
        <v>162.34</v>
      </c>
      <c r="AU339" s="1">
        <f>IFERROR(__xludf.DUMMYFUNCTION("""COMPUTED_VALUE"""),31.49)</f>
        <v>31.49</v>
      </c>
      <c r="AV339" s="1">
        <f>IFERROR(__xludf.DUMMYFUNCTION("""COMPUTED_VALUE"""),94.19)</f>
        <v>94.19</v>
      </c>
      <c r="AW339" s="1">
        <f>IFERROR(__xludf.DUMMYFUNCTION("""COMPUTED_VALUE"""),78.73)</f>
        <v>78.73</v>
      </c>
      <c r="AX339" s="3">
        <f>IFERROR(__xludf.DUMMYFUNCTION("""COMPUTED_VALUE"""),65.98)</f>
        <v>65.98</v>
      </c>
      <c r="AY339" s="1">
        <f>IFERROR(__xludf.DUMMYFUNCTION("""COMPUTED_VALUE"""),509.04)</f>
        <v>509.04</v>
      </c>
      <c r="AZ339" s="3">
        <f>IFERROR(__xludf.DUMMYFUNCTION("""COMPUTED_VALUE"""),69.83)</f>
        <v>69.83</v>
      </c>
      <c r="BA339" s="3">
        <f>IFERROR(__xludf.DUMMYFUNCTION("""COMPUTED_VALUE"""),164.22)</f>
        <v>164.22</v>
      </c>
      <c r="BB339" s="3">
        <f>IFERROR(__xludf.DUMMYFUNCTION("""COMPUTED_VALUE"""),174.88)</f>
        <v>174.88</v>
      </c>
      <c r="BC339" s="1">
        <f>IFERROR(__xludf.DUMMYFUNCTION("""COMPUTED_VALUE"""),89.21)</f>
        <v>89.21</v>
      </c>
      <c r="BD339" s="1">
        <f>IFERROR(__xludf.DUMMYFUNCTION("""COMPUTED_VALUE"""),43.02)</f>
        <v>43.02</v>
      </c>
      <c r="BE339" s="3">
        <f>IFERROR(__xludf.DUMMYFUNCTION("""COMPUTED_VALUE"""),170.26)</f>
        <v>170.26</v>
      </c>
      <c r="BF339" s="1">
        <f>IFERROR(__xludf.DUMMYFUNCTION("""COMPUTED_VALUE"""),66.85)</f>
        <v>66.85</v>
      </c>
      <c r="BG339" s="1">
        <f>IFERROR(__xludf.DUMMYFUNCTION("""COMPUTED_VALUE"""),23.9)</f>
        <v>23.9</v>
      </c>
      <c r="BH339" s="1">
        <f>IFERROR(__xludf.DUMMYFUNCTION("""COMPUTED_VALUE"""),158.58)</f>
        <v>158.58</v>
      </c>
      <c r="BI339" s="3">
        <f>IFERROR(__xludf.DUMMYFUNCTION("""COMPUTED_VALUE"""),44.7)</f>
        <v>44.7</v>
      </c>
      <c r="BJ339" s="1">
        <f>IFERROR(__xludf.DUMMYFUNCTION("""COMPUTED_VALUE"""),237.62)</f>
        <v>237.62</v>
      </c>
      <c r="BK339" s="1">
        <f>IFERROR(__xludf.DUMMYFUNCTION("""COMPUTED_VALUE"""),480.74)</f>
        <v>480.74</v>
      </c>
      <c r="BL339" s="1">
        <f>IFERROR(__xludf.DUMMYFUNCTION("""COMPUTED_VALUE"""),198.78)</f>
        <v>198.78</v>
      </c>
      <c r="BM339" s="1">
        <f>IFERROR(__xludf.DUMMYFUNCTION("""COMPUTED_VALUE"""),119.15)</f>
        <v>119.15</v>
      </c>
      <c r="BN339" s="3">
        <f>IFERROR(__xludf.DUMMYFUNCTION("""COMPUTED_VALUE"""),4.86)</f>
        <v>4.86</v>
      </c>
      <c r="BO339" s="1">
        <f>IFERROR(__xludf.DUMMYFUNCTION("""COMPUTED_VALUE"""),216.0)</f>
        <v>216</v>
      </c>
      <c r="BP339" s="1">
        <f>IFERROR(__xludf.DUMMYFUNCTION("""COMPUTED_VALUE"""),339.78)</f>
        <v>339.78</v>
      </c>
      <c r="BQ339" s="36">
        <f>IFERROR(__xludf.DUMMYFUNCTION("""COMPUTED_VALUE"""),50.75)</f>
        <v>50.75</v>
      </c>
      <c r="BR339" s="1">
        <f>IFERROR(__xludf.DUMMYFUNCTION("""COMPUTED_VALUE"""),9.56)</f>
        <v>9.56</v>
      </c>
      <c r="BS339" s="3">
        <f>IFERROR(__xludf.DUMMYFUNCTION("""COMPUTED_VALUE"""),213.88)</f>
        <v>213.88</v>
      </c>
      <c r="BT339" s="1">
        <f>IFERROR(__xludf.DUMMYFUNCTION("""COMPUTED_VALUE"""),115.23)</f>
        <v>115.23</v>
      </c>
      <c r="BU339" s="3">
        <v>1.0</v>
      </c>
    </row>
    <row r="340">
      <c r="A340" s="25">
        <f>IFERROR(__xludf.DUMMYFUNCTION("""COMPUTED_VALUE"""),45917.66666666667)</f>
        <v>45917.66667</v>
      </c>
      <c r="B340" s="29">
        <f>'Master Scratch Work'!B339</f>
        <v>1465915.69</v>
      </c>
      <c r="C340" s="15">
        <f>IFERROR(__xludf.DUMMYFUNCTION("""COMPUTED_VALUE"""),6600.35)</f>
        <v>6600.35</v>
      </c>
      <c r="D340" s="15">
        <f>IFERROR(__xludf.DUMMYFUNCTION("""COMPUTED_VALUE"""),22261.33)</f>
        <v>22261.33</v>
      </c>
      <c r="E340" s="15">
        <f>IFERROR(__xludf.DUMMYFUNCTION("""COMPUTED_VALUE"""),46018.32)</f>
        <v>46018.32</v>
      </c>
      <c r="F340" s="15">
        <f>IFERROR(__xludf.DUMMYFUNCTION("""COMPUTED_VALUE"""),2407.34)</f>
        <v>2407.34</v>
      </c>
      <c r="G340" s="3">
        <f>IFERROR(__xludf.DUMMYFUNCTION("""COMPUTED_VALUE"""),659.18)</f>
        <v>659.18</v>
      </c>
      <c r="H340" s="3">
        <f>IFERROR(__xludf.DUMMYFUNCTION("""COMPUTED_VALUE"""),590.0)</f>
        <v>590</v>
      </c>
      <c r="I340" s="3">
        <f>IFERROR(__xludf.DUMMYFUNCTION("""COMPUTED_VALUE"""),362.07)</f>
        <v>362.07</v>
      </c>
      <c r="J340" s="3">
        <f>IFERROR(__xludf.DUMMYFUNCTION("""COMPUTED_VALUE"""),231.62)</f>
        <v>231.62</v>
      </c>
      <c r="K340" s="3">
        <f>IFERROR(__xludf.DUMMYFUNCTION("""COMPUTED_VALUE"""),136.09)</f>
        <v>136.09</v>
      </c>
      <c r="L340" s="3">
        <f>IFERROR(__xludf.DUMMYFUNCTION("""COMPUTED_VALUE"""),238.99)</f>
        <v>238.99</v>
      </c>
      <c r="M340" s="3">
        <f>IFERROR(__xludf.DUMMYFUNCTION("""COMPUTED_VALUE"""),178.13)</f>
        <v>178.13</v>
      </c>
      <c r="N340" s="3">
        <f>IFERROR(__xludf.DUMMYFUNCTION("""COMPUTED_VALUE"""),107.01)</f>
        <v>107.01</v>
      </c>
      <c r="O340" s="3">
        <f>IFERROR(__xludf.DUMMYFUNCTION("""COMPUTED_VALUE"""),20.77)</f>
        <v>20.77</v>
      </c>
      <c r="P340" s="3">
        <f>IFERROR(__xludf.DUMMYFUNCTION("""COMPUTED_VALUE"""),492.33)</f>
        <v>492.33</v>
      </c>
      <c r="Q340" s="3">
        <f>IFERROR(__xludf.DUMMYFUNCTION("""COMPUTED_VALUE"""),53.17)</f>
        <v>53.17</v>
      </c>
      <c r="R340" s="3">
        <f>IFERROR(__xludf.DUMMYFUNCTION("""COMPUTED_VALUE"""),144.87)</f>
        <v>144.87</v>
      </c>
      <c r="S340" s="3">
        <f>IFERROR(__xludf.DUMMYFUNCTION("""COMPUTED_VALUE"""),98.5)</f>
        <v>98.5</v>
      </c>
      <c r="T340" s="3">
        <f>IFERROR(__xludf.DUMMYFUNCTION("""COMPUTED_VALUE"""),60.72)</f>
        <v>60.72</v>
      </c>
      <c r="U340" s="3">
        <f>IFERROR(__xludf.DUMMYFUNCTION("""COMPUTED_VALUE"""),450.66)</f>
        <v>450.66</v>
      </c>
      <c r="V340" s="3">
        <f>IFERROR(__xludf.DUMMYFUNCTION("""COMPUTED_VALUE"""),81.81)</f>
        <v>81.81</v>
      </c>
      <c r="W340" s="3">
        <f>IFERROR(__xludf.DUMMYFUNCTION("""COMPUTED_VALUE"""),196.54)</f>
        <v>196.54</v>
      </c>
      <c r="X340" s="3">
        <f>IFERROR(__xludf.DUMMYFUNCTION("""COMPUTED_VALUE"""),160.09)</f>
        <v>160.09</v>
      </c>
      <c r="Y340" s="1">
        <f>IFERROR(__xludf.DUMMYFUNCTION("""COMPUTED_VALUE"""),296.59)</f>
        <v>296.59</v>
      </c>
      <c r="Z340" s="1">
        <f>IFERROR(__xludf.DUMMYFUNCTION("""COMPUTED_VALUE"""),52.27)</f>
        <v>52.27</v>
      </c>
      <c r="AA340" s="1">
        <f>IFERROR(__xludf.DUMMYFUNCTION("""COMPUTED_VALUE"""),67.04)</f>
        <v>67.04</v>
      </c>
      <c r="AB340" s="1">
        <f>IFERROR(__xludf.DUMMYFUNCTION("""COMPUTED_VALUE"""),96.4)</f>
        <v>96.4</v>
      </c>
      <c r="AC340" s="1">
        <f>IFERROR(__xludf.DUMMYFUNCTION("""COMPUTED_VALUE"""),171.15)</f>
        <v>171.15</v>
      </c>
      <c r="AD340" s="3">
        <f>IFERROR(__xludf.DUMMYFUNCTION("""COMPUTED_VALUE"""),97.78)</f>
        <v>97.78</v>
      </c>
      <c r="AE340" s="1">
        <f>IFERROR(__xludf.DUMMYFUNCTION("""COMPUTED_VALUE"""),438.21)</f>
        <v>438.21</v>
      </c>
      <c r="AF340" s="1">
        <f>IFERROR(__xludf.DUMMYFUNCTION("""COMPUTED_VALUE"""),89.96)</f>
        <v>89.96</v>
      </c>
      <c r="AG340" s="1">
        <f>IFERROR(__xludf.DUMMYFUNCTION("""COMPUTED_VALUE"""),115.29)</f>
        <v>115.29</v>
      </c>
      <c r="AH340" s="1">
        <f>IFERROR(__xludf.DUMMYFUNCTION("""COMPUTED_VALUE"""),225.78)</f>
        <v>225.78</v>
      </c>
      <c r="AI340" s="1">
        <f>IFERROR(__xludf.DUMMYFUNCTION("""COMPUTED_VALUE"""),470.03)</f>
        <v>470.03</v>
      </c>
      <c r="AJ340" s="1">
        <f>IFERROR(__xludf.DUMMYFUNCTION("""COMPUTED_VALUE"""),325.28)</f>
        <v>325.28</v>
      </c>
      <c r="AK340" s="1">
        <f>IFERROR(__xludf.DUMMYFUNCTION("""COMPUTED_VALUE"""),58.73)</f>
        <v>58.73</v>
      </c>
      <c r="AL340" s="1">
        <f>IFERROR(__xludf.DUMMYFUNCTION("""COMPUTED_VALUE"""),112.26)</f>
        <v>112.26</v>
      </c>
      <c r="AM340" s="1">
        <f>IFERROR(__xludf.DUMMYFUNCTION("""COMPUTED_VALUE"""),794.22)</f>
        <v>794.22</v>
      </c>
      <c r="AN340" s="1">
        <f>IFERROR(__xludf.DUMMYFUNCTION("""COMPUTED_VALUE"""),417.0)</f>
        <v>417</v>
      </c>
      <c r="AO340" s="1">
        <f>IFERROR(__xludf.DUMMYFUNCTION("""COMPUTED_VALUE"""),141.43)</f>
        <v>141.43</v>
      </c>
      <c r="AP340" s="1">
        <f>IFERROR(__xludf.DUMMYFUNCTION("""COMPUTED_VALUE"""),172.25)</f>
        <v>172.25</v>
      </c>
      <c r="AQ340" s="3">
        <f>IFERROR(__xludf.DUMMYFUNCTION("""COMPUTED_VALUE"""),433.66)</f>
        <v>433.66</v>
      </c>
      <c r="AR340" s="3">
        <f>IFERROR(__xludf.DUMMYFUNCTION("""COMPUTED_VALUE"""),311.75)</f>
        <v>311.75</v>
      </c>
      <c r="AS340" s="3">
        <f>IFERROR(__xludf.DUMMYFUNCTION("""COMPUTED_VALUE"""),473.12)</f>
        <v>473.12</v>
      </c>
      <c r="AT340" s="3">
        <f>IFERROR(__xludf.DUMMYFUNCTION("""COMPUTED_VALUE"""),163.48)</f>
        <v>163.48</v>
      </c>
      <c r="AU340" s="1">
        <f>IFERROR(__xludf.DUMMYFUNCTION("""COMPUTED_VALUE"""),31.03)</f>
        <v>31.03</v>
      </c>
      <c r="AV340" s="1">
        <f>IFERROR(__xludf.DUMMYFUNCTION("""COMPUTED_VALUE"""),94.58)</f>
        <v>94.58</v>
      </c>
      <c r="AW340" s="1">
        <f>IFERROR(__xludf.DUMMYFUNCTION("""COMPUTED_VALUE"""),78.68)</f>
        <v>78.68</v>
      </c>
      <c r="AX340" s="3">
        <f>IFERROR(__xludf.DUMMYFUNCTION("""COMPUTED_VALUE"""),66.81)</f>
        <v>66.81</v>
      </c>
      <c r="AY340" s="1">
        <f>IFERROR(__xludf.DUMMYFUNCTION("""COMPUTED_VALUE"""),510.02)</f>
        <v>510.02</v>
      </c>
      <c r="AZ340" s="3">
        <f>IFERROR(__xludf.DUMMYFUNCTION("""COMPUTED_VALUE"""),70.31)</f>
        <v>70.31</v>
      </c>
      <c r="BA340" s="3">
        <f>IFERROR(__xludf.DUMMYFUNCTION("""COMPUTED_VALUE"""),164.58)</f>
        <v>164.58</v>
      </c>
      <c r="BB340" s="3">
        <f>IFERROR(__xludf.DUMMYFUNCTION("""COMPUTED_VALUE"""),170.29)</f>
        <v>170.29</v>
      </c>
      <c r="BC340" s="1">
        <f>IFERROR(__xludf.DUMMYFUNCTION("""COMPUTED_VALUE"""),89.64)</f>
        <v>89.64</v>
      </c>
      <c r="BD340" s="1">
        <f>IFERROR(__xludf.DUMMYFUNCTION("""COMPUTED_VALUE"""),43.84)</f>
        <v>43.84</v>
      </c>
      <c r="BE340" s="3">
        <f>IFERROR(__xludf.DUMMYFUNCTION("""COMPUTED_VALUE"""),168.33)</f>
        <v>168.33</v>
      </c>
      <c r="BF340" s="1">
        <f>IFERROR(__xludf.DUMMYFUNCTION("""COMPUTED_VALUE"""),68.62)</f>
        <v>68.62</v>
      </c>
      <c r="BG340" s="1">
        <f>IFERROR(__xludf.DUMMYFUNCTION("""COMPUTED_VALUE"""),24.05)</f>
        <v>24.05</v>
      </c>
      <c r="BH340" s="1">
        <f>IFERROR(__xludf.DUMMYFUNCTION("""COMPUTED_VALUE"""),158.31)</f>
        <v>158.31</v>
      </c>
      <c r="BI340" s="3">
        <f>IFERROR(__xludf.DUMMYFUNCTION("""COMPUTED_VALUE"""),43.81)</f>
        <v>43.81</v>
      </c>
      <c r="BJ340" s="1">
        <f>IFERROR(__xludf.DUMMYFUNCTION("""COMPUTED_VALUE"""),239.45)</f>
        <v>239.45</v>
      </c>
      <c r="BK340" s="1">
        <f>IFERROR(__xludf.DUMMYFUNCTION("""COMPUTED_VALUE"""),472.64)</f>
        <v>472.64</v>
      </c>
      <c r="BL340" s="1">
        <f>IFERROR(__xludf.DUMMYFUNCTION("""COMPUTED_VALUE"""),201.38)</f>
        <v>201.38</v>
      </c>
      <c r="BM340" s="1">
        <f>IFERROR(__xludf.DUMMYFUNCTION("""COMPUTED_VALUE"""),119.81)</f>
        <v>119.81</v>
      </c>
      <c r="BN340" s="3">
        <f>IFERROR(__xludf.DUMMYFUNCTION("""COMPUTED_VALUE"""),4.86)</f>
        <v>4.86</v>
      </c>
      <c r="BO340" s="1">
        <f>IFERROR(__xludf.DUMMYFUNCTION("""COMPUTED_VALUE"""),217.17)</f>
        <v>217.17</v>
      </c>
      <c r="BP340" s="1">
        <f>IFERROR(__xludf.DUMMYFUNCTION("""COMPUTED_VALUE"""),341.61)</f>
        <v>341.61</v>
      </c>
      <c r="BQ340" s="36">
        <f>IFERROR(__xludf.DUMMYFUNCTION("""COMPUTED_VALUE"""),50.73)</f>
        <v>50.73</v>
      </c>
      <c r="BR340" s="1">
        <f>IFERROR(__xludf.DUMMYFUNCTION("""COMPUTED_VALUE"""),9.62)</f>
        <v>9.62</v>
      </c>
      <c r="BS340" s="3">
        <f>IFERROR(__xludf.DUMMYFUNCTION("""COMPUTED_VALUE"""),215.66)</f>
        <v>215.66</v>
      </c>
      <c r="BT340" s="1">
        <f>IFERROR(__xludf.DUMMYFUNCTION("""COMPUTED_VALUE"""),116.1)</f>
        <v>116.1</v>
      </c>
      <c r="BU340" s="3">
        <v>1.0</v>
      </c>
    </row>
    <row r="341">
      <c r="A341" s="25">
        <f>IFERROR(__xludf.DUMMYFUNCTION("""COMPUTED_VALUE"""),45918.66666666667)</f>
        <v>45918.66667</v>
      </c>
      <c r="B341" s="29">
        <f>'Master Scratch Work'!B340</f>
        <v>1476986.24</v>
      </c>
      <c r="C341" s="15">
        <f>IFERROR(__xludf.DUMMYFUNCTION("""COMPUTED_VALUE"""),6631.96)</f>
        <v>6631.96</v>
      </c>
      <c r="D341" s="15">
        <f>IFERROR(__xludf.DUMMYFUNCTION("""COMPUTED_VALUE"""),22470.73)</f>
        <v>22470.73</v>
      </c>
      <c r="E341" s="15">
        <f>IFERROR(__xludf.DUMMYFUNCTION("""COMPUTED_VALUE"""),46142.42)</f>
        <v>46142.42</v>
      </c>
      <c r="F341" s="15">
        <f>IFERROR(__xludf.DUMMYFUNCTION("""COMPUTED_VALUE"""),2467.7)</f>
        <v>2467.7</v>
      </c>
      <c r="G341" s="3">
        <f>IFERROR(__xludf.DUMMYFUNCTION("""COMPUTED_VALUE"""),662.26)</f>
        <v>662.26</v>
      </c>
      <c r="H341" s="3">
        <f>IFERROR(__xludf.DUMMYFUNCTION("""COMPUTED_VALUE"""),595.32)</f>
        <v>595.32</v>
      </c>
      <c r="I341" s="3">
        <f>IFERROR(__xludf.DUMMYFUNCTION("""COMPUTED_VALUE"""),367.46)</f>
        <v>367.46</v>
      </c>
      <c r="J341" s="3">
        <f>IFERROR(__xludf.DUMMYFUNCTION("""COMPUTED_VALUE"""),231.23)</f>
        <v>231.23</v>
      </c>
      <c r="K341" s="3">
        <f>IFERROR(__xludf.DUMMYFUNCTION("""COMPUTED_VALUE"""),135.39)</f>
        <v>135.39</v>
      </c>
      <c r="L341" s="3">
        <f>IFERROR(__xludf.DUMMYFUNCTION("""COMPUTED_VALUE"""),237.88)</f>
        <v>237.88</v>
      </c>
      <c r="M341" s="3">
        <f>IFERROR(__xludf.DUMMYFUNCTION("""COMPUTED_VALUE"""),189.76)</f>
        <v>189.76</v>
      </c>
      <c r="N341" s="3">
        <f>IFERROR(__xludf.DUMMYFUNCTION("""COMPUTED_VALUE"""),108.52)</f>
        <v>108.52</v>
      </c>
      <c r="O341" s="3">
        <f>IFERROR(__xludf.DUMMYFUNCTION("""COMPUTED_VALUE"""),21.01)</f>
        <v>21.01</v>
      </c>
      <c r="P341" s="3">
        <f>IFERROR(__xludf.DUMMYFUNCTION("""COMPUTED_VALUE"""),490.5)</f>
        <v>490.5</v>
      </c>
      <c r="Q341" s="3">
        <f>IFERROR(__xludf.DUMMYFUNCTION("""COMPUTED_VALUE"""),52.18)</f>
        <v>52.18</v>
      </c>
      <c r="R341" s="3">
        <f>IFERROR(__xludf.DUMMYFUNCTION("""COMPUTED_VALUE"""),143.81)</f>
        <v>143.81</v>
      </c>
      <c r="S341" s="3">
        <f>IFERROR(__xludf.DUMMYFUNCTION("""COMPUTED_VALUE"""),98.23)</f>
        <v>98.23</v>
      </c>
      <c r="T341" s="3">
        <f>IFERROR(__xludf.DUMMYFUNCTION("""COMPUTED_VALUE"""),61.1)</f>
        <v>61.1</v>
      </c>
      <c r="U341" s="3">
        <f>IFERROR(__xludf.DUMMYFUNCTION("""COMPUTED_VALUE"""),466.96)</f>
        <v>466.96</v>
      </c>
      <c r="V341" s="3">
        <f>IFERROR(__xludf.DUMMYFUNCTION("""COMPUTED_VALUE"""),82.61)</f>
        <v>82.61</v>
      </c>
      <c r="W341" s="3">
        <f>IFERROR(__xludf.DUMMYFUNCTION("""COMPUTED_VALUE"""),196.24)</f>
        <v>196.24</v>
      </c>
      <c r="X341" s="3">
        <f>IFERROR(__xludf.DUMMYFUNCTION("""COMPUTED_VALUE"""),158.84)</f>
        <v>158.84</v>
      </c>
      <c r="Y341" s="1">
        <f>IFERROR(__xludf.DUMMYFUNCTION("""COMPUTED_VALUE"""),293.76)</f>
        <v>293.76</v>
      </c>
      <c r="Z341" s="1">
        <f>IFERROR(__xludf.DUMMYFUNCTION("""COMPUTED_VALUE"""),53.64)</f>
        <v>53.64</v>
      </c>
      <c r="AA341" s="1">
        <f>IFERROR(__xludf.DUMMYFUNCTION("""COMPUTED_VALUE"""),66.46)</f>
        <v>66.46</v>
      </c>
      <c r="AB341" s="1">
        <f>IFERROR(__xludf.DUMMYFUNCTION("""COMPUTED_VALUE"""),96.35)</f>
        <v>96.35</v>
      </c>
      <c r="AC341" s="1">
        <f>IFERROR(__xludf.DUMMYFUNCTION("""COMPUTED_VALUE"""),171.36)</f>
        <v>171.36</v>
      </c>
      <c r="AD341" s="3">
        <f>IFERROR(__xludf.DUMMYFUNCTION("""COMPUTED_VALUE"""),98.26)</f>
        <v>98.26</v>
      </c>
      <c r="AE341" s="1">
        <f>IFERROR(__xludf.DUMMYFUNCTION("""COMPUTED_VALUE"""),430.08)</f>
        <v>430.08</v>
      </c>
      <c r="AF341" s="1">
        <f>IFERROR(__xludf.DUMMYFUNCTION("""COMPUTED_VALUE"""),89.6)</f>
        <v>89.6</v>
      </c>
      <c r="AG341" s="1">
        <f>IFERROR(__xludf.DUMMYFUNCTION("""COMPUTED_VALUE"""),113.93)</f>
        <v>113.93</v>
      </c>
      <c r="AH341" s="1">
        <f>IFERROR(__xludf.DUMMYFUNCTION("""COMPUTED_VALUE"""),226.5)</f>
        <v>226.5</v>
      </c>
      <c r="AI341" s="1">
        <f>IFERROR(__xludf.DUMMYFUNCTION("""COMPUTED_VALUE"""),483.77)</f>
        <v>483.77</v>
      </c>
      <c r="AJ341" s="1">
        <f>IFERROR(__xludf.DUMMYFUNCTION("""COMPUTED_VALUE"""),324.57)</f>
        <v>324.57</v>
      </c>
      <c r="AK341" s="1">
        <f>IFERROR(__xludf.DUMMYFUNCTION("""COMPUTED_VALUE"""),59.26)</f>
        <v>59.26</v>
      </c>
      <c r="AL341" s="1">
        <f>IFERROR(__xludf.DUMMYFUNCTION("""COMPUTED_VALUE"""),113.62)</f>
        <v>113.62</v>
      </c>
      <c r="AM341" s="1">
        <f>IFERROR(__xludf.DUMMYFUNCTION("""COMPUTED_VALUE"""),804.31)</f>
        <v>804.31</v>
      </c>
      <c r="AN341" s="1">
        <f>IFERROR(__xludf.DUMMYFUNCTION("""COMPUTED_VALUE"""),417.48)</f>
        <v>417.48</v>
      </c>
      <c r="AO341" s="1">
        <f>IFERROR(__xludf.DUMMYFUNCTION("""COMPUTED_VALUE"""),143.68)</f>
        <v>143.68</v>
      </c>
      <c r="AP341" s="1">
        <f>IFERROR(__xludf.DUMMYFUNCTION("""COMPUTED_VALUE"""),171.13)</f>
        <v>171.13</v>
      </c>
      <c r="AQ341" s="3">
        <f>IFERROR(__xludf.DUMMYFUNCTION("""COMPUTED_VALUE"""),435.83)</f>
        <v>435.83</v>
      </c>
      <c r="AR341" s="3">
        <f>IFERROR(__xludf.DUMMYFUNCTION("""COMPUTED_VALUE"""),313.23)</f>
        <v>313.23</v>
      </c>
      <c r="AS341" s="3">
        <f>IFERROR(__xludf.DUMMYFUNCTION("""COMPUTED_VALUE"""),473.62)</f>
        <v>473.62</v>
      </c>
      <c r="AT341" s="3">
        <f>IFERROR(__xludf.DUMMYFUNCTION("""COMPUTED_VALUE"""),169.76)</f>
        <v>169.76</v>
      </c>
      <c r="AU341" s="1">
        <f>IFERROR(__xludf.DUMMYFUNCTION("""COMPUTED_VALUE"""),31.39)</f>
        <v>31.39</v>
      </c>
      <c r="AV341" s="1">
        <f>IFERROR(__xludf.DUMMYFUNCTION("""COMPUTED_VALUE"""),95.59)</f>
        <v>95.59</v>
      </c>
      <c r="AW341" s="1">
        <f>IFERROR(__xludf.DUMMYFUNCTION("""COMPUTED_VALUE"""),79.07)</f>
        <v>79.07</v>
      </c>
      <c r="AX341" s="3">
        <f>IFERROR(__xludf.DUMMYFUNCTION("""COMPUTED_VALUE"""),72.13)</f>
        <v>72.13</v>
      </c>
      <c r="AY341" s="1">
        <f>IFERROR(__xludf.DUMMYFUNCTION("""COMPUTED_VALUE"""),508.45)</f>
        <v>508.45</v>
      </c>
      <c r="AZ341" s="3">
        <f>IFERROR(__xludf.DUMMYFUNCTION("""COMPUTED_VALUE"""),70.79)</f>
        <v>70.79</v>
      </c>
      <c r="BA341" s="3">
        <f>IFERROR(__xludf.DUMMYFUNCTION("""COMPUTED_VALUE"""),164.19)</f>
        <v>164.19</v>
      </c>
      <c r="BB341" s="3">
        <f>IFERROR(__xludf.DUMMYFUNCTION("""COMPUTED_VALUE"""),176.24)</f>
        <v>176.24</v>
      </c>
      <c r="BC341" s="1">
        <f>IFERROR(__xludf.DUMMYFUNCTION("""COMPUTED_VALUE"""),90.35)</f>
        <v>90.35</v>
      </c>
      <c r="BD341" s="1">
        <f>IFERROR(__xludf.DUMMYFUNCTION("""COMPUTED_VALUE"""),44.99)</f>
        <v>44.99</v>
      </c>
      <c r="BE341" s="3">
        <f>IFERROR(__xludf.DUMMYFUNCTION("""COMPUTED_VALUE"""),176.97)</f>
        <v>176.97</v>
      </c>
      <c r="BF341" s="1">
        <f>IFERROR(__xludf.DUMMYFUNCTION("""COMPUTED_VALUE"""),68.52)</f>
        <v>68.52</v>
      </c>
      <c r="BG341" s="1">
        <f>IFERROR(__xludf.DUMMYFUNCTION("""COMPUTED_VALUE"""),24.15)</f>
        <v>24.15</v>
      </c>
      <c r="BH341" s="1">
        <f>IFERROR(__xludf.DUMMYFUNCTION("""COMPUTED_VALUE"""),158.19)</f>
        <v>158.19</v>
      </c>
      <c r="BI341" s="3">
        <f>IFERROR(__xludf.DUMMYFUNCTION("""COMPUTED_VALUE"""),45.22)</f>
        <v>45.22</v>
      </c>
      <c r="BJ341" s="1">
        <f>IFERROR(__xludf.DUMMYFUNCTION("""COMPUTED_VALUE"""),238.83)</f>
        <v>238.83</v>
      </c>
      <c r="BK341" s="1">
        <f>IFERROR(__xludf.DUMMYFUNCTION("""COMPUTED_VALUE"""),481.1)</f>
        <v>481.1</v>
      </c>
      <c r="BL341" s="1">
        <f>IFERROR(__xludf.DUMMYFUNCTION("""COMPUTED_VALUE"""),200.47)</f>
        <v>200.47</v>
      </c>
      <c r="BM341" s="1">
        <f>IFERROR(__xludf.DUMMYFUNCTION("""COMPUTED_VALUE"""),121.1)</f>
        <v>121.1</v>
      </c>
      <c r="BN341" s="3">
        <f>IFERROR(__xludf.DUMMYFUNCTION("""COMPUTED_VALUE"""),4.95)</f>
        <v>4.95</v>
      </c>
      <c r="BO341" s="1">
        <f>IFERROR(__xludf.DUMMYFUNCTION("""COMPUTED_VALUE"""),220.36)</f>
        <v>220.36</v>
      </c>
      <c r="BP341" s="1">
        <f>IFERROR(__xludf.DUMMYFUNCTION("""COMPUTED_VALUE"""),334.82)</f>
        <v>334.82</v>
      </c>
      <c r="BQ341" s="36">
        <f>IFERROR(__xludf.DUMMYFUNCTION("""COMPUTED_VALUE"""),50.69)</f>
        <v>50.69</v>
      </c>
      <c r="BR341" s="1">
        <f>IFERROR(__xludf.DUMMYFUNCTION("""COMPUTED_VALUE"""),9.86)</f>
        <v>9.86</v>
      </c>
      <c r="BS341" s="3">
        <f>IFERROR(__xludf.DUMMYFUNCTION("""COMPUTED_VALUE"""),215.92)</f>
        <v>215.92</v>
      </c>
      <c r="BT341" s="1">
        <f>IFERROR(__xludf.DUMMYFUNCTION("""COMPUTED_VALUE"""),114.86)</f>
        <v>114.86</v>
      </c>
      <c r="BU341" s="3">
        <v>1.0</v>
      </c>
    </row>
    <row r="342">
      <c r="A342" s="25">
        <f>IFERROR(__xludf.DUMMYFUNCTION("""COMPUTED_VALUE"""),45919.66666666667)</f>
        <v>45919.66667</v>
      </c>
      <c r="B342" s="29">
        <f>'Master Scratch Work'!B341</f>
        <v>1482159.56</v>
      </c>
      <c r="C342" s="15">
        <f>IFERROR(__xludf.DUMMYFUNCTION("""COMPUTED_VALUE"""),6664.36)</f>
        <v>6664.36</v>
      </c>
      <c r="D342" s="15">
        <f>IFERROR(__xludf.DUMMYFUNCTION("""COMPUTED_VALUE"""),22631.48)</f>
        <v>22631.48</v>
      </c>
      <c r="E342" s="15">
        <f>IFERROR(__xludf.DUMMYFUNCTION("""COMPUTED_VALUE"""),46315.27)</f>
        <v>46315.27</v>
      </c>
      <c r="F342" s="15">
        <f>IFERROR(__xludf.DUMMYFUNCTION("""COMPUTED_VALUE"""),2448.77)</f>
        <v>2448.77</v>
      </c>
      <c r="G342" s="3">
        <f>IFERROR(__xludf.DUMMYFUNCTION("""COMPUTED_VALUE"""),663.7)</f>
        <v>663.7</v>
      </c>
      <c r="H342" s="3">
        <f>IFERROR(__xludf.DUMMYFUNCTION("""COMPUTED_VALUE"""),599.35)</f>
        <v>599.35</v>
      </c>
      <c r="I342" s="3">
        <f>IFERROR(__xludf.DUMMYFUNCTION("""COMPUTED_VALUE"""),365.9)</f>
        <v>365.9</v>
      </c>
      <c r="J342" s="3">
        <f>IFERROR(__xludf.DUMMYFUNCTION("""COMPUTED_VALUE"""),231.48)</f>
        <v>231.48</v>
      </c>
      <c r="K342" s="3">
        <f>IFERROR(__xludf.DUMMYFUNCTION("""COMPUTED_VALUE"""),135.06)</f>
        <v>135.06</v>
      </c>
      <c r="L342" s="3">
        <f>IFERROR(__xludf.DUMMYFUNCTION("""COMPUTED_VALUE"""),245.5)</f>
        <v>245.5</v>
      </c>
      <c r="M342" s="3">
        <f>IFERROR(__xludf.DUMMYFUNCTION("""COMPUTED_VALUE"""),190.1)</f>
        <v>190.1</v>
      </c>
      <c r="N342" s="3">
        <f>IFERROR(__xludf.DUMMYFUNCTION("""COMPUTED_VALUE"""),108.71)</f>
        <v>108.71</v>
      </c>
      <c r="O342" s="3">
        <f>IFERROR(__xludf.DUMMYFUNCTION("""COMPUTED_VALUE"""),20.72)</f>
        <v>20.72</v>
      </c>
      <c r="P342" s="3">
        <f>IFERROR(__xludf.DUMMYFUNCTION("""COMPUTED_VALUE"""),492.85)</f>
        <v>492.85</v>
      </c>
      <c r="Q342" s="3">
        <f>IFERROR(__xludf.DUMMYFUNCTION("""COMPUTED_VALUE"""),52.14)</f>
        <v>52.14</v>
      </c>
      <c r="R342" s="3">
        <f>IFERROR(__xludf.DUMMYFUNCTION("""COMPUTED_VALUE"""),142.5)</f>
        <v>142.5</v>
      </c>
      <c r="S342" s="3">
        <f>IFERROR(__xludf.DUMMYFUNCTION("""COMPUTED_VALUE"""),97.83)</f>
        <v>97.83</v>
      </c>
      <c r="T342" s="3">
        <f>IFERROR(__xludf.DUMMYFUNCTION("""COMPUTED_VALUE"""),60.39)</f>
        <v>60.39</v>
      </c>
      <c r="U342" s="3">
        <f>IFERROR(__xludf.DUMMYFUNCTION("""COMPUTED_VALUE"""),466.54)</f>
        <v>466.54</v>
      </c>
      <c r="V342" s="3">
        <f>IFERROR(__xludf.DUMMYFUNCTION("""COMPUTED_VALUE"""),86.18)</f>
        <v>86.18</v>
      </c>
      <c r="W342" s="3">
        <f>IFERROR(__xludf.DUMMYFUNCTION("""COMPUTED_VALUE"""),197.79)</f>
        <v>197.79</v>
      </c>
      <c r="X342" s="3">
        <f>IFERROR(__xludf.DUMMYFUNCTION("""COMPUTED_VALUE"""),156.21)</f>
        <v>156.21</v>
      </c>
      <c r="Y342" s="1">
        <f>IFERROR(__xludf.DUMMYFUNCTION("""COMPUTED_VALUE"""),290.36)</f>
        <v>290.36</v>
      </c>
      <c r="Z342" s="1">
        <f>IFERROR(__xludf.DUMMYFUNCTION("""COMPUTED_VALUE"""),53.55)</f>
        <v>53.55</v>
      </c>
      <c r="AA342" s="1">
        <f>IFERROR(__xludf.DUMMYFUNCTION("""COMPUTED_VALUE"""),66.43)</f>
        <v>66.43</v>
      </c>
      <c r="AB342" s="1">
        <f>IFERROR(__xludf.DUMMYFUNCTION("""COMPUTED_VALUE"""),96.33)</f>
        <v>96.33</v>
      </c>
      <c r="AC342" s="1">
        <f>IFERROR(__xludf.DUMMYFUNCTION("""COMPUTED_VALUE"""),172.08)</f>
        <v>172.08</v>
      </c>
      <c r="AD342" s="3">
        <f>IFERROR(__xludf.DUMMYFUNCTION("""COMPUTED_VALUE"""),95.26)</f>
        <v>95.26</v>
      </c>
      <c r="AE342" s="1">
        <f>IFERROR(__xludf.DUMMYFUNCTION("""COMPUTED_VALUE"""),428.71)</f>
        <v>428.71</v>
      </c>
      <c r="AF342" s="1">
        <f>IFERROR(__xludf.DUMMYFUNCTION("""COMPUTED_VALUE"""),91.11)</f>
        <v>91.11</v>
      </c>
      <c r="AG342" s="1">
        <f>IFERROR(__xludf.DUMMYFUNCTION("""COMPUTED_VALUE"""),112.82)</f>
        <v>112.82</v>
      </c>
      <c r="AH342" s="1">
        <f>IFERROR(__xludf.DUMMYFUNCTION("""COMPUTED_VALUE"""),231.75)</f>
        <v>231.75</v>
      </c>
      <c r="AI342" s="1">
        <f>IFERROR(__xludf.DUMMYFUNCTION("""COMPUTED_VALUE"""),479.59)</f>
        <v>479.59</v>
      </c>
      <c r="AJ342" s="1">
        <f>IFERROR(__xludf.DUMMYFUNCTION("""COMPUTED_VALUE"""),324.08)</f>
        <v>324.08</v>
      </c>
      <c r="AK342" s="1">
        <f>IFERROR(__xludf.DUMMYFUNCTION("""COMPUTED_VALUE"""),58.98)</f>
        <v>58.98</v>
      </c>
      <c r="AL342" s="1">
        <f>IFERROR(__xludf.DUMMYFUNCTION("""COMPUTED_VALUE"""),114.09)</f>
        <v>114.09</v>
      </c>
      <c r="AM342" s="1">
        <f>IFERROR(__xludf.DUMMYFUNCTION("""COMPUTED_VALUE"""),805.0)</f>
        <v>805</v>
      </c>
      <c r="AN342" s="1">
        <f>IFERROR(__xludf.DUMMYFUNCTION("""COMPUTED_VALUE"""),415.69)</f>
        <v>415.69</v>
      </c>
      <c r="AO342" s="1">
        <f>IFERROR(__xludf.DUMMYFUNCTION("""COMPUTED_VALUE"""),141.84)</f>
        <v>141.84</v>
      </c>
      <c r="AP342" s="1">
        <f>IFERROR(__xludf.DUMMYFUNCTION("""COMPUTED_VALUE"""),169.77)</f>
        <v>169.77</v>
      </c>
      <c r="AQ342" s="3">
        <f>IFERROR(__xludf.DUMMYFUNCTION("""COMPUTED_VALUE"""),438.72)</f>
        <v>438.72</v>
      </c>
      <c r="AR342" s="3">
        <f>IFERROR(__xludf.DUMMYFUNCTION("""COMPUTED_VALUE"""),314.78)</f>
        <v>314.78</v>
      </c>
      <c r="AS342" s="3">
        <f>IFERROR(__xludf.DUMMYFUNCTION("""COMPUTED_VALUE"""),472.94)</f>
        <v>472.94</v>
      </c>
      <c r="AT342" s="3">
        <f>IFERROR(__xludf.DUMMYFUNCTION("""COMPUTED_VALUE"""),169.62)</f>
        <v>169.62</v>
      </c>
      <c r="AU342" s="1">
        <f>IFERROR(__xludf.DUMMYFUNCTION("""COMPUTED_VALUE"""),31.58)</f>
        <v>31.58</v>
      </c>
      <c r="AV342" s="1">
        <f>IFERROR(__xludf.DUMMYFUNCTION("""COMPUTED_VALUE"""),95.08)</f>
        <v>95.08</v>
      </c>
      <c r="AW342" s="1">
        <f>IFERROR(__xludf.DUMMYFUNCTION("""COMPUTED_VALUE"""),79.16)</f>
        <v>79.16</v>
      </c>
      <c r="AX342" s="3">
        <f>IFERROR(__xludf.DUMMYFUNCTION("""COMPUTED_VALUE"""),73.22)</f>
        <v>73.22</v>
      </c>
      <c r="AY342" s="1">
        <f>IFERROR(__xludf.DUMMYFUNCTION("""COMPUTED_VALUE"""),517.93)</f>
        <v>517.93</v>
      </c>
      <c r="AZ342" s="3">
        <f>IFERROR(__xludf.DUMMYFUNCTION("""COMPUTED_VALUE"""),71.08)</f>
        <v>71.08</v>
      </c>
      <c r="BA342" s="3">
        <f>IFERROR(__xludf.DUMMYFUNCTION("""COMPUTED_VALUE"""),164.36)</f>
        <v>164.36</v>
      </c>
      <c r="BB342" s="3">
        <f>IFERROR(__xludf.DUMMYFUNCTION("""COMPUTED_VALUE"""),176.67)</f>
        <v>176.67</v>
      </c>
      <c r="BC342" s="1">
        <f>IFERROR(__xludf.DUMMYFUNCTION("""COMPUTED_VALUE"""),89.16)</f>
        <v>89.16</v>
      </c>
      <c r="BD342" s="1">
        <f>IFERROR(__xludf.DUMMYFUNCTION("""COMPUTED_VALUE"""),45.23)</f>
        <v>45.23</v>
      </c>
      <c r="BE342" s="3">
        <f>IFERROR(__xludf.DUMMYFUNCTION("""COMPUTED_VALUE"""),182.39)</f>
        <v>182.39</v>
      </c>
      <c r="BF342" s="1">
        <f>IFERROR(__xludf.DUMMYFUNCTION("""COMPUTED_VALUE"""),68.22)</f>
        <v>68.22</v>
      </c>
      <c r="BG342" s="1">
        <f>IFERROR(__xludf.DUMMYFUNCTION("""COMPUTED_VALUE"""),24.03)</f>
        <v>24.03</v>
      </c>
      <c r="BH342" s="1">
        <f>IFERROR(__xludf.DUMMYFUNCTION("""COMPUTED_VALUE"""),158.24)</f>
        <v>158.24</v>
      </c>
      <c r="BI342" s="3">
        <f>IFERROR(__xludf.DUMMYFUNCTION("""COMPUTED_VALUE"""),43.54)</f>
        <v>43.54</v>
      </c>
      <c r="BJ342" s="1">
        <f>IFERROR(__xludf.DUMMYFUNCTION("""COMPUTED_VALUE"""),238.17)</f>
        <v>238.17</v>
      </c>
      <c r="BK342" s="1">
        <f>IFERROR(__xludf.DUMMYFUNCTION("""COMPUTED_VALUE"""),479.58)</f>
        <v>479.58</v>
      </c>
      <c r="BL342" s="1">
        <f>IFERROR(__xludf.DUMMYFUNCTION("""COMPUTED_VALUE"""),198.95)</f>
        <v>198.95</v>
      </c>
      <c r="BM342" s="1">
        <f>IFERROR(__xludf.DUMMYFUNCTION("""COMPUTED_VALUE"""),122.29)</f>
        <v>122.29</v>
      </c>
      <c r="BN342" s="3">
        <f>IFERROR(__xludf.DUMMYFUNCTION("""COMPUTED_VALUE"""),4.83)</f>
        <v>4.83</v>
      </c>
      <c r="BO342" s="1">
        <f>IFERROR(__xludf.DUMMYFUNCTION("""COMPUTED_VALUE"""),220.61)</f>
        <v>220.61</v>
      </c>
      <c r="BP342" s="1">
        <f>IFERROR(__xludf.DUMMYFUNCTION("""COMPUTED_VALUE"""),336.69)</f>
        <v>336.69</v>
      </c>
      <c r="BQ342" s="36">
        <f>IFERROR(__xludf.DUMMYFUNCTION("""COMPUTED_VALUE"""),50.69)</f>
        <v>50.69</v>
      </c>
      <c r="BR342" s="1">
        <f>IFERROR(__xludf.DUMMYFUNCTION("""COMPUTED_VALUE"""),9.9)</f>
        <v>9.9</v>
      </c>
      <c r="BS342" s="3">
        <f>IFERROR(__xludf.DUMMYFUNCTION("""COMPUTED_VALUE"""),216.4)</f>
        <v>216.4</v>
      </c>
      <c r="BT342" s="1">
        <f>IFERROR(__xludf.DUMMYFUNCTION("""COMPUTED_VALUE"""),113.76)</f>
        <v>113.76</v>
      </c>
      <c r="BU342" s="3">
        <v>1.0</v>
      </c>
    </row>
    <row r="343">
      <c r="A343" s="25">
        <f>IFERROR(__xludf.DUMMYFUNCTION("""COMPUTED_VALUE"""),45922.66666666667)</f>
        <v>45922.66667</v>
      </c>
      <c r="B343" s="29">
        <f>'Master Scratch Work'!B342</f>
        <v>1487943.98</v>
      </c>
      <c r="C343" s="15">
        <f>IFERROR(__xludf.DUMMYFUNCTION("""COMPUTED_VALUE"""),6693.75)</f>
        <v>6693.75</v>
      </c>
      <c r="D343" s="15">
        <f>IFERROR(__xludf.DUMMYFUNCTION("""COMPUTED_VALUE"""),22788.98)</f>
        <v>22788.98</v>
      </c>
      <c r="E343" s="15">
        <f>IFERROR(__xludf.DUMMYFUNCTION("""COMPUTED_VALUE"""),46381.54)</f>
        <v>46381.54</v>
      </c>
      <c r="F343" s="15">
        <f>IFERROR(__xludf.DUMMYFUNCTION("""COMPUTED_VALUE"""),2463.34)</f>
        <v>2463.34</v>
      </c>
      <c r="G343" s="3">
        <f>IFERROR(__xludf.DUMMYFUNCTION("""COMPUTED_VALUE"""),666.84)</f>
        <v>666.84</v>
      </c>
      <c r="H343" s="3">
        <f>IFERROR(__xludf.DUMMYFUNCTION("""COMPUTED_VALUE"""),602.2)</f>
        <v>602.2</v>
      </c>
      <c r="I343" s="3">
        <f>IFERROR(__xludf.DUMMYFUNCTION("""COMPUTED_VALUE"""),364.08)</f>
        <v>364.08</v>
      </c>
      <c r="J343" s="3">
        <f>IFERROR(__xludf.DUMMYFUNCTION("""COMPUTED_VALUE"""),227.63)</f>
        <v>227.63</v>
      </c>
      <c r="K343" s="3">
        <f>IFERROR(__xludf.DUMMYFUNCTION("""COMPUTED_VALUE"""),135.05)</f>
        <v>135.05</v>
      </c>
      <c r="L343" s="3">
        <f>IFERROR(__xludf.DUMMYFUNCTION("""COMPUTED_VALUE"""),256.08)</f>
        <v>256.08</v>
      </c>
      <c r="M343" s="3">
        <f>IFERROR(__xludf.DUMMYFUNCTION("""COMPUTED_VALUE"""),200.52)</f>
        <v>200.52</v>
      </c>
      <c r="N343" s="3">
        <f>IFERROR(__xludf.DUMMYFUNCTION("""COMPUTED_VALUE"""),109.46)</f>
        <v>109.46</v>
      </c>
      <c r="O343" s="3">
        <f>IFERROR(__xludf.DUMMYFUNCTION("""COMPUTED_VALUE"""),20.93)</f>
        <v>20.93</v>
      </c>
      <c r="P343" s="3">
        <f>IFERROR(__xludf.DUMMYFUNCTION("""COMPUTED_VALUE"""),493.71)</f>
        <v>493.71</v>
      </c>
      <c r="Q343" s="3">
        <f>IFERROR(__xludf.DUMMYFUNCTION("""COMPUTED_VALUE"""),53.15)</f>
        <v>53.15</v>
      </c>
      <c r="R343" s="3">
        <f>IFERROR(__xludf.DUMMYFUNCTION("""COMPUTED_VALUE"""),140.66)</f>
        <v>140.66</v>
      </c>
      <c r="S343" s="3">
        <f>IFERROR(__xludf.DUMMYFUNCTION("""COMPUTED_VALUE"""),97.03)</f>
        <v>97.03</v>
      </c>
      <c r="T343" s="3">
        <f>IFERROR(__xludf.DUMMYFUNCTION("""COMPUTED_VALUE"""),60.31)</f>
        <v>60.31</v>
      </c>
      <c r="U343" s="3">
        <f>IFERROR(__xludf.DUMMYFUNCTION("""COMPUTED_VALUE"""),472.1)</f>
        <v>472.1</v>
      </c>
      <c r="V343" s="3">
        <f>IFERROR(__xludf.DUMMYFUNCTION("""COMPUTED_VALUE"""),86.31)</f>
        <v>86.31</v>
      </c>
      <c r="W343" s="3">
        <f>IFERROR(__xludf.DUMMYFUNCTION("""COMPUTED_VALUE"""),201.09)</f>
        <v>201.09</v>
      </c>
      <c r="X343" s="3">
        <f>IFERROR(__xludf.DUMMYFUNCTION("""COMPUTED_VALUE"""),156.05)</f>
        <v>156.05</v>
      </c>
      <c r="Y343" s="1">
        <f>IFERROR(__xludf.DUMMYFUNCTION("""COMPUTED_VALUE"""),288.62)</f>
        <v>288.62</v>
      </c>
      <c r="Z343" s="1">
        <f>IFERROR(__xludf.DUMMYFUNCTION("""COMPUTED_VALUE"""),52.55)</f>
        <v>52.55</v>
      </c>
      <c r="AA343" s="1">
        <f>IFERROR(__xludf.DUMMYFUNCTION("""COMPUTED_VALUE"""),66.21)</f>
        <v>66.21</v>
      </c>
      <c r="AB343" s="1">
        <f>IFERROR(__xludf.DUMMYFUNCTION("""COMPUTED_VALUE"""),96.62)</f>
        <v>96.62</v>
      </c>
      <c r="AC343" s="1">
        <f>IFERROR(__xludf.DUMMYFUNCTION("""COMPUTED_VALUE"""),174.69)</f>
        <v>174.69</v>
      </c>
      <c r="AD343" s="3">
        <f>IFERROR(__xludf.DUMMYFUNCTION("""COMPUTED_VALUE"""),94.48)</f>
        <v>94.48</v>
      </c>
      <c r="AE343" s="1">
        <f>IFERROR(__xludf.DUMMYFUNCTION("""COMPUTED_VALUE"""),424.96)</f>
        <v>424.96</v>
      </c>
      <c r="AF343" s="1">
        <f>IFERROR(__xludf.DUMMYFUNCTION("""COMPUTED_VALUE"""),90.59)</f>
        <v>90.59</v>
      </c>
      <c r="AG343" s="1">
        <f>IFERROR(__xludf.DUMMYFUNCTION("""COMPUTED_VALUE"""),112.02)</f>
        <v>112.02</v>
      </c>
      <c r="AH343" s="1">
        <f>IFERROR(__xludf.DUMMYFUNCTION("""COMPUTED_VALUE"""),230.12)</f>
        <v>230.12</v>
      </c>
      <c r="AI343" s="1">
        <f>IFERROR(__xludf.DUMMYFUNCTION("""COMPUTED_VALUE"""),477.74)</f>
        <v>477.74</v>
      </c>
      <c r="AJ343" s="1">
        <f>IFERROR(__xludf.DUMMYFUNCTION("""COMPUTED_VALUE"""),322.66)</f>
        <v>322.66</v>
      </c>
      <c r="AK343" s="1">
        <f>IFERROR(__xludf.DUMMYFUNCTION("""COMPUTED_VALUE"""),58.88)</f>
        <v>58.88</v>
      </c>
      <c r="AL343" s="1">
        <f>IFERROR(__xludf.DUMMYFUNCTION("""COMPUTED_VALUE"""),112.49)</f>
        <v>112.49</v>
      </c>
      <c r="AM343" s="1">
        <f>IFERROR(__xludf.DUMMYFUNCTION("""COMPUTED_VALUE"""),805.56)</f>
        <v>805.56</v>
      </c>
      <c r="AN343" s="1">
        <f>IFERROR(__xludf.DUMMYFUNCTION("""COMPUTED_VALUE"""),412.0)</f>
        <v>412</v>
      </c>
      <c r="AO343" s="1">
        <f>IFERROR(__xludf.DUMMYFUNCTION("""COMPUTED_VALUE"""),143.27)</f>
        <v>143.27</v>
      </c>
      <c r="AP343" s="1">
        <f>IFERROR(__xludf.DUMMYFUNCTION("""COMPUTED_VALUE"""),170.12)</f>
        <v>170.12</v>
      </c>
      <c r="AQ343" s="3">
        <f>IFERROR(__xludf.DUMMYFUNCTION("""COMPUTED_VALUE"""),444.55)</f>
        <v>444.55</v>
      </c>
      <c r="AR343" s="3">
        <f>IFERROR(__xludf.DUMMYFUNCTION("""COMPUTED_VALUE"""),312.44)</f>
        <v>312.44</v>
      </c>
      <c r="AS343" s="3">
        <f>IFERROR(__xludf.DUMMYFUNCTION("""COMPUTED_VALUE"""),480.39)</f>
        <v>480.39</v>
      </c>
      <c r="AT343" s="3">
        <f>IFERROR(__xludf.DUMMYFUNCTION("""COMPUTED_VALUE"""),173.41)</f>
        <v>173.41</v>
      </c>
      <c r="AU343" s="1">
        <f>IFERROR(__xludf.DUMMYFUNCTION("""COMPUTED_VALUE"""),31.73)</f>
        <v>31.73</v>
      </c>
      <c r="AV343" s="1">
        <f>IFERROR(__xludf.DUMMYFUNCTION("""COMPUTED_VALUE"""),94.62)</f>
        <v>94.62</v>
      </c>
      <c r="AW343" s="1">
        <f>IFERROR(__xludf.DUMMYFUNCTION("""COMPUTED_VALUE"""),80.98)</f>
        <v>80.98</v>
      </c>
      <c r="AX343" s="3">
        <f>IFERROR(__xludf.DUMMYFUNCTION("""COMPUTED_VALUE"""),73.22)</f>
        <v>73.22</v>
      </c>
      <c r="AY343" s="1">
        <f>IFERROR(__xludf.DUMMYFUNCTION("""COMPUTED_VALUE"""),514.45)</f>
        <v>514.45</v>
      </c>
      <c r="AZ343" s="3">
        <f>IFERROR(__xludf.DUMMYFUNCTION("""COMPUTED_VALUE"""),72.35)</f>
        <v>72.35</v>
      </c>
      <c r="BA343" s="3">
        <f>IFERROR(__xludf.DUMMYFUNCTION("""COMPUTED_VALUE"""),170.97)</f>
        <v>170.97</v>
      </c>
      <c r="BB343" s="3">
        <f>IFERROR(__xludf.DUMMYFUNCTION("""COMPUTED_VALUE"""),183.61)</f>
        <v>183.61</v>
      </c>
      <c r="BC343" s="1">
        <f>IFERROR(__xludf.DUMMYFUNCTION("""COMPUTED_VALUE"""),89.33)</f>
        <v>89.33</v>
      </c>
      <c r="BD343" s="1">
        <f>IFERROR(__xludf.DUMMYFUNCTION("""COMPUTED_VALUE"""),45.59)</f>
        <v>45.59</v>
      </c>
      <c r="BE343" s="3">
        <f>IFERROR(__xludf.DUMMYFUNCTION("""COMPUTED_VALUE"""),179.33)</f>
        <v>179.33</v>
      </c>
      <c r="BF343" s="1">
        <f>IFERROR(__xludf.DUMMYFUNCTION("""COMPUTED_VALUE"""),67.68)</f>
        <v>67.68</v>
      </c>
      <c r="BG343" s="1">
        <f>IFERROR(__xludf.DUMMYFUNCTION("""COMPUTED_VALUE"""),24.04)</f>
        <v>24.04</v>
      </c>
      <c r="BH343" s="1">
        <f>IFERROR(__xludf.DUMMYFUNCTION("""COMPUTED_VALUE"""),159.43)</f>
        <v>159.43</v>
      </c>
      <c r="BI343" s="3">
        <f>IFERROR(__xludf.DUMMYFUNCTION("""COMPUTED_VALUE"""),44.41)</f>
        <v>44.41</v>
      </c>
      <c r="BJ343" s="1">
        <f>IFERROR(__xludf.DUMMYFUNCTION("""COMPUTED_VALUE"""),237.44)</f>
        <v>237.44</v>
      </c>
      <c r="BK343" s="1">
        <f>IFERROR(__xludf.DUMMYFUNCTION("""COMPUTED_VALUE"""),474.99)</f>
        <v>474.99</v>
      </c>
      <c r="BL343" s="1">
        <f>IFERROR(__xludf.DUMMYFUNCTION("""COMPUTED_VALUE"""),200.68)</f>
        <v>200.68</v>
      </c>
      <c r="BM343" s="1">
        <f>IFERROR(__xludf.DUMMYFUNCTION("""COMPUTED_VALUE"""),125.15)</f>
        <v>125.15</v>
      </c>
      <c r="BN343" s="3">
        <f>IFERROR(__xludf.DUMMYFUNCTION("""COMPUTED_VALUE"""),4.78)</f>
        <v>4.78</v>
      </c>
      <c r="BO343" s="1">
        <f>IFERROR(__xludf.DUMMYFUNCTION("""COMPUTED_VALUE"""),225.85)</f>
        <v>225.85</v>
      </c>
      <c r="BP343" s="1">
        <f>IFERROR(__xludf.DUMMYFUNCTION("""COMPUTED_VALUE"""),341.3)</f>
        <v>341.3</v>
      </c>
      <c r="BQ343" s="36">
        <f>IFERROR(__xludf.DUMMYFUNCTION("""COMPUTED_VALUE"""),50.64)</f>
        <v>50.64</v>
      </c>
      <c r="BR343" s="1">
        <f>IFERROR(__xludf.DUMMYFUNCTION("""COMPUTED_VALUE"""),9.79)</f>
        <v>9.79</v>
      </c>
      <c r="BS343" s="3">
        <f>IFERROR(__xludf.DUMMYFUNCTION("""COMPUTED_VALUE"""),216.99)</f>
        <v>216.99</v>
      </c>
      <c r="BT343" s="1">
        <f>IFERROR(__xludf.DUMMYFUNCTION("""COMPUTED_VALUE"""),112.56)</f>
        <v>112.56</v>
      </c>
      <c r="BU343" s="3">
        <v>1.0</v>
      </c>
    </row>
    <row r="344">
      <c r="A344" s="25">
        <f>IFERROR(__xludf.DUMMYFUNCTION("""COMPUTED_VALUE"""),45923.66666666667)</f>
        <v>45923.66667</v>
      </c>
      <c r="B344" s="29">
        <f>'Master Scratch Work'!B343</f>
        <v>1487579</v>
      </c>
      <c r="C344" s="15">
        <f>IFERROR(__xludf.DUMMYFUNCTION("""COMPUTED_VALUE"""),6656.92)</f>
        <v>6656.92</v>
      </c>
      <c r="D344" s="15">
        <f>IFERROR(__xludf.DUMMYFUNCTION("""COMPUTED_VALUE"""),22573.47)</f>
        <v>22573.47</v>
      </c>
      <c r="E344" s="15">
        <f>IFERROR(__xludf.DUMMYFUNCTION("""COMPUTED_VALUE"""),46292.78)</f>
        <v>46292.78</v>
      </c>
      <c r="F344" s="15">
        <f>IFERROR(__xludf.DUMMYFUNCTION("""COMPUTED_VALUE"""),2457.51)</f>
        <v>2457.51</v>
      </c>
      <c r="G344" s="3">
        <f>IFERROR(__xludf.DUMMYFUNCTION("""COMPUTED_VALUE"""),663.21)</f>
        <v>663.21</v>
      </c>
      <c r="H344" s="3">
        <f>IFERROR(__xludf.DUMMYFUNCTION("""COMPUTED_VALUE"""),598.2)</f>
        <v>598.2</v>
      </c>
      <c r="I344" s="3">
        <f>IFERROR(__xludf.DUMMYFUNCTION("""COMPUTED_VALUE"""),361.78)</f>
        <v>361.78</v>
      </c>
      <c r="J344" s="3">
        <f>IFERROR(__xludf.DUMMYFUNCTION("""COMPUTED_VALUE"""),220.71)</f>
        <v>220.71</v>
      </c>
      <c r="K344" s="3">
        <f>IFERROR(__xludf.DUMMYFUNCTION("""COMPUTED_VALUE"""),137.18)</f>
        <v>137.18</v>
      </c>
      <c r="L344" s="3">
        <f>IFERROR(__xludf.DUMMYFUNCTION("""COMPUTED_VALUE"""),254.43)</f>
        <v>254.43</v>
      </c>
      <c r="M344" s="3">
        <f>IFERROR(__xludf.DUMMYFUNCTION("""COMPUTED_VALUE"""),200.87)</f>
        <v>200.87</v>
      </c>
      <c r="N344" s="3">
        <f>IFERROR(__xludf.DUMMYFUNCTION("""COMPUTED_VALUE"""),108.66)</f>
        <v>108.66</v>
      </c>
      <c r="O344" s="3">
        <f>IFERROR(__xludf.DUMMYFUNCTION("""COMPUTED_VALUE"""),20.97)</f>
        <v>20.97</v>
      </c>
      <c r="P344" s="3">
        <f>IFERROR(__xludf.DUMMYFUNCTION("""COMPUTED_VALUE"""),494.1)</f>
        <v>494.1</v>
      </c>
      <c r="Q344" s="3">
        <f>IFERROR(__xludf.DUMMYFUNCTION("""COMPUTED_VALUE"""),53.29)</f>
        <v>53.29</v>
      </c>
      <c r="R344" s="3">
        <f>IFERROR(__xludf.DUMMYFUNCTION("""COMPUTED_VALUE"""),139.31)</f>
        <v>139.31</v>
      </c>
      <c r="S344" s="3">
        <f>IFERROR(__xludf.DUMMYFUNCTION("""COMPUTED_VALUE"""),97.69)</f>
        <v>97.69</v>
      </c>
      <c r="T344" s="3">
        <f>IFERROR(__xludf.DUMMYFUNCTION("""COMPUTED_VALUE"""),59.74)</f>
        <v>59.74</v>
      </c>
      <c r="U344" s="3">
        <f>IFERROR(__xludf.DUMMYFUNCTION("""COMPUTED_VALUE"""),471.26)</f>
        <v>471.26</v>
      </c>
      <c r="V344" s="3">
        <f>IFERROR(__xludf.DUMMYFUNCTION("""COMPUTED_VALUE"""),86.89)</f>
        <v>86.89</v>
      </c>
      <c r="W344" s="3">
        <f>IFERROR(__xludf.DUMMYFUNCTION("""COMPUTED_VALUE"""),201.1)</f>
        <v>201.1</v>
      </c>
      <c r="X344" s="3">
        <f>IFERROR(__xludf.DUMMYFUNCTION("""COMPUTED_VALUE"""),157.42)</f>
        <v>157.42</v>
      </c>
      <c r="Y344" s="1">
        <f>IFERROR(__xludf.DUMMYFUNCTION("""COMPUTED_VALUE"""),290.08)</f>
        <v>290.08</v>
      </c>
      <c r="Z344" s="1">
        <f>IFERROR(__xludf.DUMMYFUNCTION("""COMPUTED_VALUE"""),53.11)</f>
        <v>53.11</v>
      </c>
      <c r="AA344" s="1">
        <f>IFERROR(__xludf.DUMMYFUNCTION("""COMPUTED_VALUE"""),66.71)</f>
        <v>66.71</v>
      </c>
      <c r="AB344" s="1">
        <f>IFERROR(__xludf.DUMMYFUNCTION("""COMPUTED_VALUE"""),98.55)</f>
        <v>98.55</v>
      </c>
      <c r="AC344" s="1">
        <f>IFERROR(__xludf.DUMMYFUNCTION("""COMPUTED_VALUE"""),174.12)</f>
        <v>174.12</v>
      </c>
      <c r="AD344" s="3">
        <f>IFERROR(__xludf.DUMMYFUNCTION("""COMPUTED_VALUE"""),94.65)</f>
        <v>94.65</v>
      </c>
      <c r="AE344" s="1">
        <f>IFERROR(__xludf.DUMMYFUNCTION("""COMPUTED_VALUE"""),423.89)</f>
        <v>423.89</v>
      </c>
      <c r="AF344" s="1">
        <f>IFERROR(__xludf.DUMMYFUNCTION("""COMPUTED_VALUE"""),91.06)</f>
        <v>91.06</v>
      </c>
      <c r="AG344" s="1">
        <f>IFERROR(__xludf.DUMMYFUNCTION("""COMPUTED_VALUE"""),113.95)</f>
        <v>113.95</v>
      </c>
      <c r="AH344" s="1">
        <f>IFERROR(__xludf.DUMMYFUNCTION("""COMPUTED_VALUE"""),233.7)</f>
        <v>233.7</v>
      </c>
      <c r="AI344" s="1">
        <f>IFERROR(__xludf.DUMMYFUNCTION("""COMPUTED_VALUE"""),486.5)</f>
        <v>486.5</v>
      </c>
      <c r="AJ344" s="1">
        <f>IFERROR(__xludf.DUMMYFUNCTION("""COMPUTED_VALUE"""),323.2)</f>
        <v>323.2</v>
      </c>
      <c r="AK344" s="1">
        <f>IFERROR(__xludf.DUMMYFUNCTION("""COMPUTED_VALUE"""),58.58)</f>
        <v>58.58</v>
      </c>
      <c r="AL344" s="1">
        <f>IFERROR(__xludf.DUMMYFUNCTION("""COMPUTED_VALUE"""),114.4)</f>
        <v>114.4</v>
      </c>
      <c r="AM344" s="1">
        <f>IFERROR(__xludf.DUMMYFUNCTION("""COMPUTED_VALUE"""),806.32)</f>
        <v>806.32</v>
      </c>
      <c r="AN344" s="1">
        <f>IFERROR(__xludf.DUMMYFUNCTION("""COMPUTED_VALUE"""),410.91)</f>
        <v>410.91</v>
      </c>
      <c r="AO344" s="1">
        <f>IFERROR(__xludf.DUMMYFUNCTION("""COMPUTED_VALUE"""),142.8)</f>
        <v>142.8</v>
      </c>
      <c r="AP344" s="1">
        <f>IFERROR(__xludf.DUMMYFUNCTION("""COMPUTED_VALUE"""),168.09)</f>
        <v>168.09</v>
      </c>
      <c r="AQ344" s="3">
        <f>IFERROR(__xludf.DUMMYFUNCTION("""COMPUTED_VALUE"""),447.75)</f>
        <v>447.75</v>
      </c>
      <c r="AR344" s="3">
        <f>IFERROR(__xludf.DUMMYFUNCTION("""COMPUTED_VALUE"""),312.74)</f>
        <v>312.74</v>
      </c>
      <c r="AS344" s="3">
        <f>IFERROR(__xludf.DUMMYFUNCTION("""COMPUTED_VALUE"""),486.67)</f>
        <v>486.67</v>
      </c>
      <c r="AT344" s="3">
        <f>IFERROR(__xludf.DUMMYFUNCTION("""COMPUTED_VALUE"""),173.33)</f>
        <v>173.33</v>
      </c>
      <c r="AU344" s="1">
        <f>IFERROR(__xludf.DUMMYFUNCTION("""COMPUTED_VALUE"""),31.09)</f>
        <v>31.09</v>
      </c>
      <c r="AV344" s="1">
        <f>IFERROR(__xludf.DUMMYFUNCTION("""COMPUTED_VALUE"""),94.96)</f>
        <v>94.96</v>
      </c>
      <c r="AW344" s="1">
        <f>IFERROR(__xludf.DUMMYFUNCTION("""COMPUTED_VALUE"""),80.32)</f>
        <v>80.32</v>
      </c>
      <c r="AX344" s="3">
        <f>IFERROR(__xludf.DUMMYFUNCTION("""COMPUTED_VALUE"""),74.7)</f>
        <v>74.7</v>
      </c>
      <c r="AY344" s="1">
        <f>IFERROR(__xludf.DUMMYFUNCTION("""COMPUTED_VALUE"""),509.23)</f>
        <v>509.23</v>
      </c>
      <c r="AZ344" s="3">
        <f>IFERROR(__xludf.DUMMYFUNCTION("""COMPUTED_VALUE"""),72.32)</f>
        <v>72.32</v>
      </c>
      <c r="BA344" s="3">
        <f>IFERROR(__xludf.DUMMYFUNCTION("""COMPUTED_VALUE"""),167.43)</f>
        <v>167.43</v>
      </c>
      <c r="BB344" s="3">
        <f>IFERROR(__xludf.DUMMYFUNCTION("""COMPUTED_VALUE"""),178.43)</f>
        <v>178.43</v>
      </c>
      <c r="BC344" s="1">
        <f>IFERROR(__xludf.DUMMYFUNCTION("""COMPUTED_VALUE"""),89.12)</f>
        <v>89.12</v>
      </c>
      <c r="BD344" s="1">
        <f>IFERROR(__xludf.DUMMYFUNCTION("""COMPUTED_VALUE"""),45.86)</f>
        <v>45.86</v>
      </c>
      <c r="BE344" s="3">
        <f>IFERROR(__xludf.DUMMYFUNCTION("""COMPUTED_VALUE"""),182.55)</f>
        <v>182.55</v>
      </c>
      <c r="BF344" s="1">
        <f>IFERROR(__xludf.DUMMYFUNCTION("""COMPUTED_VALUE"""),67.31)</f>
        <v>67.31</v>
      </c>
      <c r="BG344" s="1">
        <f>IFERROR(__xludf.DUMMYFUNCTION("""COMPUTED_VALUE"""),24.13)</f>
        <v>24.13</v>
      </c>
      <c r="BH344" s="1">
        <f>IFERROR(__xludf.DUMMYFUNCTION("""COMPUTED_VALUE"""),160.54)</f>
        <v>160.54</v>
      </c>
      <c r="BI344" s="3">
        <f>IFERROR(__xludf.DUMMYFUNCTION("""COMPUTED_VALUE"""),44.21)</f>
        <v>44.21</v>
      </c>
      <c r="BJ344" s="1">
        <f>IFERROR(__xludf.DUMMYFUNCTION("""COMPUTED_VALUE"""),239.49)</f>
        <v>239.49</v>
      </c>
      <c r="BK344" s="1">
        <f>IFERROR(__xludf.DUMMYFUNCTION("""COMPUTED_VALUE"""),469.75)</f>
        <v>469.75</v>
      </c>
      <c r="BL344" s="1">
        <f>IFERROR(__xludf.DUMMYFUNCTION("""COMPUTED_VALUE"""),200.66)</f>
        <v>200.66</v>
      </c>
      <c r="BM344" s="1">
        <f>IFERROR(__xludf.DUMMYFUNCTION("""COMPUTED_VALUE"""),120.53)</f>
        <v>120.53</v>
      </c>
      <c r="BN344" s="3">
        <f>IFERROR(__xludf.DUMMYFUNCTION("""COMPUTED_VALUE"""),4.78)</f>
        <v>4.78</v>
      </c>
      <c r="BO344" s="1">
        <f>IFERROR(__xludf.DUMMYFUNCTION("""COMPUTED_VALUE"""),227.98)</f>
        <v>227.98</v>
      </c>
      <c r="BP344" s="1">
        <f>IFERROR(__xludf.DUMMYFUNCTION("""COMPUTED_VALUE"""),347.69)</f>
        <v>347.69</v>
      </c>
      <c r="BQ344" s="36">
        <f>IFERROR(__xludf.DUMMYFUNCTION("""COMPUTED_VALUE"""),50.69)</f>
        <v>50.69</v>
      </c>
      <c r="BR344" s="1">
        <f>IFERROR(__xludf.DUMMYFUNCTION("""COMPUTED_VALUE"""),9.6)</f>
        <v>9.6</v>
      </c>
      <c r="BS344" s="3">
        <f>IFERROR(__xludf.DUMMYFUNCTION("""COMPUTED_VALUE"""),218.23)</f>
        <v>218.23</v>
      </c>
      <c r="BT344" s="1">
        <f>IFERROR(__xludf.DUMMYFUNCTION("""COMPUTED_VALUE"""),112.25)</f>
        <v>112.25</v>
      </c>
      <c r="BU344" s="3">
        <v>1.0</v>
      </c>
    </row>
    <row r="345">
      <c r="A345" s="25">
        <f>IFERROR(__xludf.DUMMYFUNCTION("""COMPUTED_VALUE"""),45924.66666666667)</f>
        <v>45924.66667</v>
      </c>
      <c r="B345" s="29">
        <f>'Master Scratch Work'!B344</f>
        <v>1483908.88</v>
      </c>
      <c r="C345" s="15">
        <f>IFERROR(__xludf.DUMMYFUNCTION("""COMPUTED_VALUE"""),6637.97)</f>
        <v>6637.97</v>
      </c>
      <c r="D345" s="15">
        <f>IFERROR(__xludf.DUMMYFUNCTION("""COMPUTED_VALUE"""),22497.86)</f>
        <v>22497.86</v>
      </c>
      <c r="E345" s="15">
        <f>IFERROR(__xludf.DUMMYFUNCTION("""COMPUTED_VALUE"""),46121.28)</f>
        <v>46121.28</v>
      </c>
      <c r="F345" s="15">
        <f>IFERROR(__xludf.DUMMYFUNCTION("""COMPUTED_VALUE"""),2434.98)</f>
        <v>2434.98</v>
      </c>
      <c r="G345" s="3">
        <f>IFERROR(__xludf.DUMMYFUNCTION("""COMPUTED_VALUE"""),661.1)</f>
        <v>661.1</v>
      </c>
      <c r="H345" s="3">
        <f>IFERROR(__xludf.DUMMYFUNCTION("""COMPUTED_VALUE"""),596.1)</f>
        <v>596.1</v>
      </c>
      <c r="I345" s="3">
        <f>IFERROR(__xludf.DUMMYFUNCTION("""COMPUTED_VALUE"""),353.27)</f>
        <v>353.27</v>
      </c>
      <c r="J345" s="3">
        <f>IFERROR(__xludf.DUMMYFUNCTION("""COMPUTED_VALUE"""),220.21)</f>
        <v>220.21</v>
      </c>
      <c r="K345" s="3">
        <f>IFERROR(__xludf.DUMMYFUNCTION("""COMPUTED_VALUE"""),137.18)</f>
        <v>137.18</v>
      </c>
      <c r="L345" s="3">
        <f>IFERROR(__xludf.DUMMYFUNCTION("""COMPUTED_VALUE"""),252.31)</f>
        <v>252.31</v>
      </c>
      <c r="M345" s="3">
        <f>IFERROR(__xludf.DUMMYFUNCTION("""COMPUTED_VALUE"""),201.44)</f>
        <v>201.44</v>
      </c>
      <c r="N345" s="3">
        <f>IFERROR(__xludf.DUMMYFUNCTION("""COMPUTED_VALUE"""),108.11)</f>
        <v>108.11</v>
      </c>
      <c r="O345" s="3">
        <f>IFERROR(__xludf.DUMMYFUNCTION("""COMPUTED_VALUE"""),20.97)</f>
        <v>20.97</v>
      </c>
      <c r="P345" s="3">
        <f>IFERROR(__xludf.DUMMYFUNCTION("""COMPUTED_VALUE"""),497.09)</f>
        <v>497.09</v>
      </c>
      <c r="Q345" s="3">
        <f>IFERROR(__xludf.DUMMYFUNCTION("""COMPUTED_VALUE"""),53.5)</f>
        <v>53.5</v>
      </c>
      <c r="R345" s="3">
        <f>IFERROR(__xludf.DUMMYFUNCTION("""COMPUTED_VALUE"""),137.67)</f>
        <v>137.67</v>
      </c>
      <c r="S345" s="3">
        <f>IFERROR(__xludf.DUMMYFUNCTION("""COMPUTED_VALUE"""),98.06)</f>
        <v>98.06</v>
      </c>
      <c r="T345" s="3">
        <f>IFERROR(__xludf.DUMMYFUNCTION("""COMPUTED_VALUE"""),58.99)</f>
        <v>58.99</v>
      </c>
      <c r="U345" s="3">
        <f>IFERROR(__xludf.DUMMYFUNCTION("""COMPUTED_VALUE"""),471.26)</f>
        <v>471.26</v>
      </c>
      <c r="V345" s="3">
        <f>IFERROR(__xludf.DUMMYFUNCTION("""COMPUTED_VALUE"""),86.89)</f>
        <v>86.89</v>
      </c>
      <c r="W345" s="3">
        <f>IFERROR(__xludf.DUMMYFUNCTION("""COMPUTED_VALUE"""),201.1)</f>
        <v>201.1</v>
      </c>
      <c r="X345" s="3">
        <f>IFERROR(__xludf.DUMMYFUNCTION("""COMPUTED_VALUE"""),157.42)</f>
        <v>157.42</v>
      </c>
      <c r="Y345" s="1">
        <f>IFERROR(__xludf.DUMMYFUNCTION("""COMPUTED_VALUE"""),291.43)</f>
        <v>291.43</v>
      </c>
      <c r="Z345" s="1">
        <f>IFERROR(__xludf.DUMMYFUNCTION("""COMPUTED_VALUE"""),53.15)</f>
        <v>53.15</v>
      </c>
      <c r="AA345" s="1">
        <f>IFERROR(__xludf.DUMMYFUNCTION("""COMPUTED_VALUE"""),66.45)</f>
        <v>66.45</v>
      </c>
      <c r="AB345" s="1">
        <f>IFERROR(__xludf.DUMMYFUNCTION("""COMPUTED_VALUE"""),98.81)</f>
        <v>98.81</v>
      </c>
      <c r="AC345" s="1">
        <f>IFERROR(__xludf.DUMMYFUNCTION("""COMPUTED_VALUE"""),172.0)</f>
        <v>172</v>
      </c>
      <c r="AD345" s="3">
        <f>IFERROR(__xludf.DUMMYFUNCTION("""COMPUTED_VALUE"""),95.9)</f>
        <v>95.9</v>
      </c>
      <c r="AE345" s="1">
        <f>IFERROR(__xludf.DUMMYFUNCTION("""COMPUTED_VALUE"""),423.89)</f>
        <v>423.89</v>
      </c>
      <c r="AF345" s="1">
        <f>IFERROR(__xludf.DUMMYFUNCTION("""COMPUTED_VALUE"""),93.36)</f>
        <v>93.36</v>
      </c>
      <c r="AG345" s="1">
        <f>IFERROR(__xludf.DUMMYFUNCTION("""COMPUTED_VALUE"""),114.56)</f>
        <v>114.56</v>
      </c>
      <c r="AH345" s="1">
        <f>IFERROR(__xludf.DUMMYFUNCTION("""COMPUTED_VALUE"""),233.75)</f>
        <v>233.75</v>
      </c>
      <c r="AI345" s="1">
        <f>IFERROR(__xludf.DUMMYFUNCTION("""COMPUTED_VALUE"""),480.6)</f>
        <v>480.6</v>
      </c>
      <c r="AJ345" s="1">
        <f>IFERROR(__xludf.DUMMYFUNCTION("""COMPUTED_VALUE"""),323.62)</f>
        <v>323.62</v>
      </c>
      <c r="AK345" s="1">
        <f>IFERROR(__xludf.DUMMYFUNCTION("""COMPUTED_VALUE"""),59.92)</f>
        <v>59.92</v>
      </c>
      <c r="AL345" s="1">
        <f>IFERROR(__xludf.DUMMYFUNCTION("""COMPUTED_VALUE"""),113.67)</f>
        <v>113.67</v>
      </c>
      <c r="AM345" s="1">
        <f>IFERROR(__xludf.DUMMYFUNCTION("""COMPUTED_VALUE"""),792.43)</f>
        <v>792.43</v>
      </c>
      <c r="AN345" s="1">
        <f>IFERROR(__xludf.DUMMYFUNCTION("""COMPUTED_VALUE"""),409.77)</f>
        <v>409.77</v>
      </c>
      <c r="AO345" s="1">
        <f>IFERROR(__xludf.DUMMYFUNCTION("""COMPUTED_VALUE"""),143.14)</f>
        <v>143.14</v>
      </c>
      <c r="AP345" s="1">
        <f>IFERROR(__xludf.DUMMYFUNCTION("""COMPUTED_VALUE"""),168.05)</f>
        <v>168.05</v>
      </c>
      <c r="AQ345" s="3">
        <f>IFERROR(__xludf.DUMMYFUNCTION("""COMPUTED_VALUE"""),443.99)</f>
        <v>443.99</v>
      </c>
      <c r="AR345" s="3">
        <f>IFERROR(__xludf.DUMMYFUNCTION("""COMPUTED_VALUE"""),313.42)</f>
        <v>313.42</v>
      </c>
      <c r="AS345" s="3">
        <f>IFERROR(__xludf.DUMMYFUNCTION("""COMPUTED_VALUE"""),486.25)</f>
        <v>486.25</v>
      </c>
      <c r="AT345" s="3">
        <f>IFERROR(__xludf.DUMMYFUNCTION("""COMPUTED_VALUE"""),179.22)</f>
        <v>179.22</v>
      </c>
      <c r="AU345" s="1">
        <f>IFERROR(__xludf.DUMMYFUNCTION("""COMPUTED_VALUE"""),31.09)</f>
        <v>31.09</v>
      </c>
      <c r="AV345" s="1">
        <f>IFERROR(__xludf.DUMMYFUNCTION("""COMPUTED_VALUE"""),95.74)</f>
        <v>95.74</v>
      </c>
      <c r="AW345" s="1">
        <f>IFERROR(__xludf.DUMMYFUNCTION("""COMPUTED_VALUE"""),80.32)</f>
        <v>80.32</v>
      </c>
      <c r="AX345" s="3">
        <f>IFERROR(__xludf.DUMMYFUNCTION("""COMPUTED_VALUE"""),71.23)</f>
        <v>71.23</v>
      </c>
      <c r="AY345" s="1">
        <f>IFERROR(__xludf.DUMMYFUNCTION("""COMPUTED_VALUE"""),509.23)</f>
        <v>509.23</v>
      </c>
      <c r="AZ345" s="3">
        <f>IFERROR(__xludf.DUMMYFUNCTION("""COMPUTED_VALUE"""),73.83)</f>
        <v>73.83</v>
      </c>
      <c r="BA345" s="3">
        <f>IFERROR(__xludf.DUMMYFUNCTION("""COMPUTED_VALUE"""),167.43)</f>
        <v>167.43</v>
      </c>
      <c r="BB345" s="3">
        <f>IFERROR(__xludf.DUMMYFUNCTION("""COMPUTED_VALUE"""),176.97)</f>
        <v>176.97</v>
      </c>
      <c r="BC345" s="1">
        <f>IFERROR(__xludf.DUMMYFUNCTION("""COMPUTED_VALUE"""),88.73)</f>
        <v>88.73</v>
      </c>
      <c r="BD345" s="1">
        <f>IFERROR(__xludf.DUMMYFUNCTION("""COMPUTED_VALUE"""),45.76)</f>
        <v>45.76</v>
      </c>
      <c r="BE345" s="3">
        <f>IFERROR(__xludf.DUMMYFUNCTION("""COMPUTED_VALUE"""),179.56)</f>
        <v>179.56</v>
      </c>
      <c r="BF345" s="1">
        <f>IFERROR(__xludf.DUMMYFUNCTION("""COMPUTED_VALUE"""),67.86)</f>
        <v>67.86</v>
      </c>
      <c r="BG345" s="1">
        <f>IFERROR(__xludf.DUMMYFUNCTION("""COMPUTED_VALUE"""),24.09)</f>
        <v>24.09</v>
      </c>
      <c r="BH345" s="1">
        <f>IFERROR(__xludf.DUMMYFUNCTION("""COMPUTED_VALUE"""),161.38)</f>
        <v>161.38</v>
      </c>
      <c r="BI345" s="3">
        <f>IFERROR(__xludf.DUMMYFUNCTION("""COMPUTED_VALUE"""),44.21)</f>
        <v>44.21</v>
      </c>
      <c r="BJ345" s="1">
        <f>IFERROR(__xludf.DUMMYFUNCTION("""COMPUTED_VALUE"""),238.4)</f>
        <v>238.4</v>
      </c>
      <c r="BK345" s="1">
        <f>IFERROR(__xludf.DUMMYFUNCTION("""COMPUTED_VALUE"""),468.0)</f>
        <v>468</v>
      </c>
      <c r="BL345" s="1">
        <f>IFERROR(__xludf.DUMMYFUNCTION("""COMPUTED_VALUE"""),198.09)</f>
        <v>198.09</v>
      </c>
      <c r="BM345" s="1">
        <f>IFERROR(__xludf.DUMMYFUNCTION("""COMPUTED_VALUE"""),117.43)</f>
        <v>117.43</v>
      </c>
      <c r="BN345" s="3">
        <f>IFERROR(__xludf.DUMMYFUNCTION("""COMPUTED_VALUE"""),4.84)</f>
        <v>4.84</v>
      </c>
      <c r="BO345" s="1">
        <f>IFERROR(__xludf.DUMMYFUNCTION("""COMPUTED_VALUE"""),230.36)</f>
        <v>230.36</v>
      </c>
      <c r="BP345" s="1">
        <f>IFERROR(__xludf.DUMMYFUNCTION("""COMPUTED_VALUE"""),351.81)</f>
        <v>351.81</v>
      </c>
      <c r="BQ345" s="36">
        <f>IFERROR(__xludf.DUMMYFUNCTION("""COMPUTED_VALUE"""),50.67)</f>
        <v>50.67</v>
      </c>
      <c r="BR345" s="1">
        <f>IFERROR(__xludf.DUMMYFUNCTION("""COMPUTED_VALUE"""),9.71)</f>
        <v>9.71</v>
      </c>
      <c r="BS345" s="3">
        <f>IFERROR(__xludf.DUMMYFUNCTION("""COMPUTED_VALUE"""),219.42)</f>
        <v>219.42</v>
      </c>
      <c r="BT345" s="1">
        <f>IFERROR(__xludf.DUMMYFUNCTION("""COMPUTED_VALUE"""),113.43)</f>
        <v>113.43</v>
      </c>
      <c r="BU345" s="3">
        <v>1.0</v>
      </c>
    </row>
    <row r="346">
      <c r="A346" s="25">
        <f>IFERROR(__xludf.DUMMYFUNCTION("""COMPUTED_VALUE"""),45925.66666666667)</f>
        <v>45925.66667</v>
      </c>
      <c r="B346" s="29">
        <f>'Master Scratch Work'!B345</f>
        <v>1479419.76</v>
      </c>
      <c r="C346" s="15">
        <f>IFERROR(__xludf.DUMMYFUNCTION("""COMPUTED_VALUE"""),6604.72)</f>
        <v>6604.72</v>
      </c>
      <c r="D346" s="15">
        <f>IFERROR(__xludf.DUMMYFUNCTION("""COMPUTED_VALUE"""),22384.7)</f>
        <v>22384.7</v>
      </c>
      <c r="E346" s="15">
        <f>IFERROR(__xludf.DUMMYFUNCTION("""COMPUTED_VALUE"""),45947.32)</f>
        <v>45947.32</v>
      </c>
      <c r="F346" s="15">
        <f>IFERROR(__xludf.DUMMYFUNCTION("""COMPUTED_VALUE"""),2411.04)</f>
        <v>2411.04</v>
      </c>
      <c r="G346" s="3">
        <f>IFERROR(__xludf.DUMMYFUNCTION("""COMPUTED_VALUE"""),658.05)</f>
        <v>658.05</v>
      </c>
      <c r="H346" s="3">
        <f>IFERROR(__xludf.DUMMYFUNCTION("""COMPUTED_VALUE"""),593.53)</f>
        <v>593.53</v>
      </c>
      <c r="I346" s="3">
        <f>IFERROR(__xludf.DUMMYFUNCTION("""COMPUTED_VALUE"""),354.16)</f>
        <v>354.16</v>
      </c>
      <c r="J346" s="3">
        <f>IFERROR(__xludf.DUMMYFUNCTION("""COMPUTED_VALUE"""),218.15)</f>
        <v>218.15</v>
      </c>
      <c r="K346" s="3">
        <f>IFERROR(__xludf.DUMMYFUNCTION("""COMPUTED_VALUE"""),135.1)</f>
        <v>135.1</v>
      </c>
      <c r="L346" s="3">
        <f>IFERROR(__xludf.DUMMYFUNCTION("""COMPUTED_VALUE"""),256.87)</f>
        <v>256.87</v>
      </c>
      <c r="M346" s="3">
        <f>IFERROR(__xludf.DUMMYFUNCTION("""COMPUTED_VALUE"""),199.6)</f>
        <v>199.6</v>
      </c>
      <c r="N346" s="3">
        <f>IFERROR(__xludf.DUMMYFUNCTION("""COMPUTED_VALUE"""),109.08)</f>
        <v>109.08</v>
      </c>
      <c r="O346" s="3">
        <f>IFERROR(__xludf.DUMMYFUNCTION("""COMPUTED_VALUE"""),20.31)</f>
        <v>20.31</v>
      </c>
      <c r="P346" s="3">
        <f>IFERROR(__xludf.DUMMYFUNCTION("""COMPUTED_VALUE"""),494.96)</f>
        <v>494.96</v>
      </c>
      <c r="Q346" s="3">
        <f>IFERROR(__xludf.DUMMYFUNCTION("""COMPUTED_VALUE"""),55.69)</f>
        <v>55.69</v>
      </c>
      <c r="R346" s="3">
        <f>IFERROR(__xludf.DUMMYFUNCTION("""COMPUTED_VALUE"""),135.67)</f>
        <v>135.67</v>
      </c>
      <c r="S346" s="3">
        <f>IFERROR(__xludf.DUMMYFUNCTION("""COMPUTED_VALUE"""),98.14)</f>
        <v>98.14</v>
      </c>
      <c r="T346" s="3">
        <f>IFERROR(__xludf.DUMMYFUNCTION("""COMPUTED_VALUE"""),58.75)</f>
        <v>58.75</v>
      </c>
      <c r="U346" s="3">
        <f>IFERROR(__xludf.DUMMYFUNCTION("""COMPUTED_VALUE"""),463.72)</f>
        <v>463.72</v>
      </c>
      <c r="V346" s="3">
        <f>IFERROR(__xludf.DUMMYFUNCTION("""COMPUTED_VALUE"""),85.66)</f>
        <v>85.66</v>
      </c>
      <c r="W346" s="3">
        <f>IFERROR(__xludf.DUMMYFUNCTION("""COMPUTED_VALUE"""),203.62)</f>
        <v>203.62</v>
      </c>
      <c r="X346" s="3">
        <f>IFERROR(__xludf.DUMMYFUNCTION("""COMPUTED_VALUE"""),160.72)</f>
        <v>160.72</v>
      </c>
      <c r="Y346" s="1">
        <f>IFERROR(__xludf.DUMMYFUNCTION("""COMPUTED_VALUE"""),284.06)</f>
        <v>284.06</v>
      </c>
      <c r="Z346" s="1">
        <f>IFERROR(__xludf.DUMMYFUNCTION("""COMPUTED_VALUE"""),52.89)</f>
        <v>52.89</v>
      </c>
      <c r="AA346" s="1">
        <f>IFERROR(__xludf.DUMMYFUNCTION("""COMPUTED_VALUE"""),65.98)</f>
        <v>65.98</v>
      </c>
      <c r="AB346" s="1">
        <f>IFERROR(__xludf.DUMMYFUNCTION("""COMPUTED_VALUE"""),98.35)</f>
        <v>98.35</v>
      </c>
      <c r="AC346" s="1">
        <f>IFERROR(__xludf.DUMMYFUNCTION("""COMPUTED_VALUE"""),171.36)</f>
        <v>171.36</v>
      </c>
      <c r="AD346" s="3">
        <f>IFERROR(__xludf.DUMMYFUNCTION("""COMPUTED_VALUE"""),94.03)</f>
        <v>94.03</v>
      </c>
      <c r="AE346" s="1">
        <f>IFERROR(__xludf.DUMMYFUNCTION("""COMPUTED_VALUE"""),422.75)</f>
        <v>422.75</v>
      </c>
      <c r="AF346" s="1">
        <f>IFERROR(__xludf.DUMMYFUNCTION("""COMPUTED_VALUE"""),93.11)</f>
        <v>93.11</v>
      </c>
      <c r="AG346" s="1">
        <f>IFERROR(__xludf.DUMMYFUNCTION("""COMPUTED_VALUE"""),115.59)</f>
        <v>115.59</v>
      </c>
      <c r="AH346" s="1">
        <f>IFERROR(__xludf.DUMMYFUNCTION("""COMPUTED_VALUE"""),236.42)</f>
        <v>236.42</v>
      </c>
      <c r="AI346" s="1">
        <f>IFERROR(__xludf.DUMMYFUNCTION("""COMPUTED_VALUE"""),473.17)</f>
        <v>473.17</v>
      </c>
      <c r="AJ346" s="1">
        <f>IFERROR(__xludf.DUMMYFUNCTION("""COMPUTED_VALUE"""),324.43)</f>
        <v>324.43</v>
      </c>
      <c r="AK346" s="1">
        <f>IFERROR(__xludf.DUMMYFUNCTION("""COMPUTED_VALUE"""),60.59)</f>
        <v>60.59</v>
      </c>
      <c r="AL346" s="1">
        <f>IFERROR(__xludf.DUMMYFUNCTION("""COMPUTED_VALUE"""),110.99)</f>
        <v>110.99</v>
      </c>
      <c r="AM346" s="1">
        <f>IFERROR(__xludf.DUMMYFUNCTION("""COMPUTED_VALUE"""),794.76)</f>
        <v>794.76</v>
      </c>
      <c r="AN346" s="1">
        <f>IFERROR(__xludf.DUMMYFUNCTION("""COMPUTED_VALUE"""),407.45)</f>
        <v>407.45</v>
      </c>
      <c r="AO346" s="1">
        <f>IFERROR(__xludf.DUMMYFUNCTION("""COMPUTED_VALUE"""),142.85)</f>
        <v>142.85</v>
      </c>
      <c r="AP346" s="1">
        <f>IFERROR(__xludf.DUMMYFUNCTION("""COMPUTED_VALUE"""),167.28)</f>
        <v>167.28</v>
      </c>
      <c r="AQ346" s="3">
        <f>IFERROR(__xludf.DUMMYFUNCTION("""COMPUTED_VALUE"""),438.12)</f>
        <v>438.12</v>
      </c>
      <c r="AR346" s="3">
        <f>IFERROR(__xludf.DUMMYFUNCTION("""COMPUTED_VALUE"""),313.45)</f>
        <v>313.45</v>
      </c>
      <c r="AS346" s="3">
        <f>IFERROR(__xludf.DUMMYFUNCTION("""COMPUTED_VALUE"""),484.34)</f>
        <v>484.34</v>
      </c>
      <c r="AT346" s="3">
        <f>IFERROR(__xludf.DUMMYFUNCTION("""COMPUTED_VALUE"""),172.01)</f>
        <v>172.01</v>
      </c>
      <c r="AU346" s="1">
        <f>IFERROR(__xludf.DUMMYFUNCTION("""COMPUTED_VALUE"""),30.67)</f>
        <v>30.67</v>
      </c>
      <c r="AV346" s="1">
        <f>IFERROR(__xludf.DUMMYFUNCTION("""COMPUTED_VALUE"""),94.3)</f>
        <v>94.3</v>
      </c>
      <c r="AW346" s="1">
        <f>IFERROR(__xludf.DUMMYFUNCTION("""COMPUTED_VALUE"""),80.28)</f>
        <v>80.28</v>
      </c>
      <c r="AX346" s="3">
        <f>IFERROR(__xludf.DUMMYFUNCTION("""COMPUTED_VALUE"""),77.13)</f>
        <v>77.13</v>
      </c>
      <c r="AY346" s="1">
        <f>IFERROR(__xludf.DUMMYFUNCTION("""COMPUTED_VALUE"""),507.03)</f>
        <v>507.03</v>
      </c>
      <c r="AZ346" s="3">
        <f>IFERROR(__xludf.DUMMYFUNCTION("""COMPUTED_VALUE"""),74.65)</f>
        <v>74.65</v>
      </c>
      <c r="BA346" s="3">
        <f>IFERROR(__xludf.DUMMYFUNCTION("""COMPUTED_VALUE"""),162.96)</f>
        <v>162.96</v>
      </c>
      <c r="BB346" s="3">
        <f>IFERROR(__xludf.DUMMYFUNCTION("""COMPUTED_VALUE"""),177.69)</f>
        <v>177.69</v>
      </c>
      <c r="BC346" s="1">
        <f>IFERROR(__xludf.DUMMYFUNCTION("""COMPUTED_VALUE"""),89.44)</f>
        <v>89.44</v>
      </c>
      <c r="BD346" s="1">
        <f>IFERROR(__xludf.DUMMYFUNCTION("""COMPUTED_VALUE"""),43.92)</f>
        <v>43.92</v>
      </c>
      <c r="BE346" s="3">
        <f>IFERROR(__xludf.DUMMYFUNCTION("""COMPUTED_VALUE"""),179.12)</f>
        <v>179.12</v>
      </c>
      <c r="BF346" s="1">
        <f>IFERROR(__xludf.DUMMYFUNCTION("""COMPUTED_VALUE"""),66.74)</f>
        <v>66.74</v>
      </c>
      <c r="BG346" s="1">
        <f>IFERROR(__xludf.DUMMYFUNCTION("""COMPUTED_VALUE"""),23.6)</f>
        <v>23.6</v>
      </c>
      <c r="BH346" s="1">
        <f>IFERROR(__xludf.DUMMYFUNCTION("""COMPUTED_VALUE"""),160.51)</f>
        <v>160.51</v>
      </c>
      <c r="BI346" s="3">
        <f>IFERROR(__xludf.DUMMYFUNCTION("""COMPUTED_VALUE"""),42.51)</f>
        <v>42.51</v>
      </c>
      <c r="BJ346" s="1">
        <f>IFERROR(__xludf.DUMMYFUNCTION("""COMPUTED_VALUE"""),237.94)</f>
        <v>237.94</v>
      </c>
      <c r="BK346" s="1">
        <f>IFERROR(__xludf.DUMMYFUNCTION("""COMPUTED_VALUE"""),459.22)</f>
        <v>459.22</v>
      </c>
      <c r="BL346" s="1">
        <f>IFERROR(__xludf.DUMMYFUNCTION("""COMPUTED_VALUE"""),197.28)</f>
        <v>197.28</v>
      </c>
      <c r="BM346" s="1">
        <f>IFERROR(__xludf.DUMMYFUNCTION("""COMPUTED_VALUE"""),113.9)</f>
        <v>113.9</v>
      </c>
      <c r="BN346" s="3">
        <f>IFERROR(__xludf.DUMMYFUNCTION("""COMPUTED_VALUE"""),4.77)</f>
        <v>4.77</v>
      </c>
      <c r="BO346" s="1">
        <f>IFERROR(__xludf.DUMMYFUNCTION("""COMPUTED_VALUE"""),232.0)</f>
        <v>232</v>
      </c>
      <c r="BP346" s="1">
        <f>IFERROR(__xludf.DUMMYFUNCTION("""COMPUTED_VALUE"""),345.56)</f>
        <v>345.56</v>
      </c>
      <c r="BQ346" s="36">
        <f>IFERROR(__xludf.DUMMYFUNCTION("""COMPUTED_VALUE"""),50.6)</f>
        <v>50.6</v>
      </c>
      <c r="BR346" s="1">
        <f>IFERROR(__xludf.DUMMYFUNCTION("""COMPUTED_VALUE"""),9.49)</f>
        <v>9.49</v>
      </c>
      <c r="BS346" s="3">
        <f>IFERROR(__xludf.DUMMYFUNCTION("""COMPUTED_VALUE"""),217.16)</f>
        <v>217.16</v>
      </c>
      <c r="BT346" s="1">
        <f>IFERROR(__xludf.DUMMYFUNCTION("""COMPUTED_VALUE"""),112.99)</f>
        <v>112.99</v>
      </c>
      <c r="BU346" s="3">
        <v>1.0</v>
      </c>
    </row>
    <row r="347">
      <c r="A347" s="25">
        <f>IFERROR(__xludf.DUMMYFUNCTION("""COMPUTED_VALUE"""),45926.66666666667)</f>
        <v>45926.66667</v>
      </c>
      <c r="B347" s="29">
        <f>'Master Scratch Work'!B346</f>
        <v>1483465.4</v>
      </c>
      <c r="C347" s="15">
        <f>IFERROR(__xludf.DUMMYFUNCTION("""COMPUTED_VALUE"""),6643.7)</f>
        <v>6643.7</v>
      </c>
      <c r="D347" s="15">
        <f>IFERROR(__xludf.DUMMYFUNCTION("""COMPUTED_VALUE"""),22484.07)</f>
        <v>22484.07</v>
      </c>
      <c r="E347" s="15">
        <f>IFERROR(__xludf.DUMMYFUNCTION("""COMPUTED_VALUE"""),46247.29)</f>
        <v>46247.29</v>
      </c>
      <c r="F347" s="15">
        <f>IFERROR(__xludf.DUMMYFUNCTION("""COMPUTED_VALUE"""),2434.32)</f>
        <v>2434.32</v>
      </c>
      <c r="G347" s="3">
        <f>IFERROR(__xludf.DUMMYFUNCTION("""COMPUTED_VALUE"""),661.82)</f>
        <v>661.82</v>
      </c>
      <c r="H347" s="3">
        <f>IFERROR(__xludf.DUMMYFUNCTION("""COMPUTED_VALUE"""),595.97)</f>
        <v>595.97</v>
      </c>
      <c r="I347" s="3">
        <f>IFERROR(__xludf.DUMMYFUNCTION("""COMPUTED_VALUE"""),360.37)</f>
        <v>360.37</v>
      </c>
      <c r="J347" s="3">
        <f>IFERROR(__xludf.DUMMYFUNCTION("""COMPUTED_VALUE"""),219.78)</f>
        <v>219.78</v>
      </c>
      <c r="K347" s="3">
        <f>IFERROR(__xludf.DUMMYFUNCTION("""COMPUTED_VALUE"""),136.36)</f>
        <v>136.36</v>
      </c>
      <c r="L347" s="3">
        <f>IFERROR(__xludf.DUMMYFUNCTION("""COMPUTED_VALUE"""),255.46)</f>
        <v>255.46</v>
      </c>
      <c r="M347" s="3">
        <f>IFERROR(__xludf.DUMMYFUNCTION("""COMPUTED_VALUE"""),203.92)</f>
        <v>203.92</v>
      </c>
      <c r="N347" s="3">
        <f>IFERROR(__xludf.DUMMYFUNCTION("""COMPUTED_VALUE"""),109.53)</f>
        <v>109.53</v>
      </c>
      <c r="O347" s="3">
        <f>IFERROR(__xludf.DUMMYFUNCTION("""COMPUTED_VALUE"""),20.6)</f>
        <v>20.6</v>
      </c>
      <c r="P347" s="3">
        <f>IFERROR(__xludf.DUMMYFUNCTION("""COMPUTED_VALUE"""),500.03)</f>
        <v>500.03</v>
      </c>
      <c r="Q347" s="3">
        <f>IFERROR(__xludf.DUMMYFUNCTION("""COMPUTED_VALUE"""),54.74)</f>
        <v>54.74</v>
      </c>
      <c r="R347" s="3">
        <f>IFERROR(__xludf.DUMMYFUNCTION("""COMPUTED_VALUE"""),137.37)</f>
        <v>137.37</v>
      </c>
      <c r="S347" s="3">
        <f>IFERROR(__xludf.DUMMYFUNCTION("""COMPUTED_VALUE"""),98.18)</f>
        <v>98.18</v>
      </c>
      <c r="T347" s="3">
        <f>IFERROR(__xludf.DUMMYFUNCTION("""COMPUTED_VALUE"""),58.84)</f>
        <v>58.84</v>
      </c>
      <c r="U347" s="3">
        <f>IFERROR(__xludf.DUMMYFUNCTION("""COMPUTED_VALUE"""),465.76)</f>
        <v>465.76</v>
      </c>
      <c r="V347" s="3">
        <f>IFERROR(__xludf.DUMMYFUNCTION("""COMPUTED_VALUE"""),85.58)</f>
        <v>85.58</v>
      </c>
      <c r="W347" s="3">
        <f>IFERROR(__xludf.DUMMYFUNCTION("""COMPUTED_VALUE"""),204.65)</f>
        <v>204.65</v>
      </c>
      <c r="X347" s="3">
        <f>IFERROR(__xludf.DUMMYFUNCTION("""COMPUTED_VALUE"""),160.16)</f>
        <v>160.16</v>
      </c>
      <c r="Y347" s="1">
        <f>IFERROR(__xludf.DUMMYFUNCTION("""COMPUTED_VALUE"""),286.17)</f>
        <v>286.17</v>
      </c>
      <c r="Z347" s="1">
        <f>IFERROR(__xludf.DUMMYFUNCTION("""COMPUTED_VALUE"""),53.38)</f>
        <v>53.38</v>
      </c>
      <c r="AA347" s="1">
        <f>IFERROR(__xludf.DUMMYFUNCTION("""COMPUTED_VALUE"""),65.67)</f>
        <v>65.67</v>
      </c>
      <c r="AB347" s="1">
        <f>IFERROR(__xludf.DUMMYFUNCTION("""COMPUTED_VALUE"""),99.62)</f>
        <v>99.62</v>
      </c>
      <c r="AC347" s="1">
        <f>IFERROR(__xludf.DUMMYFUNCTION("""COMPUTED_VALUE"""),171.46)</f>
        <v>171.46</v>
      </c>
      <c r="AD347" s="3">
        <f>IFERROR(__xludf.DUMMYFUNCTION("""COMPUTED_VALUE"""),95.06)</f>
        <v>95.06</v>
      </c>
      <c r="AE347" s="1">
        <f>IFERROR(__xludf.DUMMYFUNCTION("""COMPUTED_VALUE"""),435.75)</f>
        <v>435.75</v>
      </c>
      <c r="AF347" s="1">
        <f>IFERROR(__xludf.DUMMYFUNCTION("""COMPUTED_VALUE"""),91.14)</f>
        <v>91.14</v>
      </c>
      <c r="AG347" s="1">
        <f>IFERROR(__xludf.DUMMYFUNCTION("""COMPUTED_VALUE"""),117.22)</f>
        <v>117.22</v>
      </c>
      <c r="AH347" s="1">
        <f>IFERROR(__xludf.DUMMYFUNCTION("""COMPUTED_VALUE"""),237.82)</f>
        <v>237.82</v>
      </c>
      <c r="AI347" s="1">
        <f>IFERROR(__xludf.DUMMYFUNCTION("""COMPUTED_VALUE"""),475.36)</f>
        <v>475.36</v>
      </c>
      <c r="AJ347" s="1">
        <f>IFERROR(__xludf.DUMMYFUNCTION("""COMPUTED_VALUE"""),330.34)</f>
        <v>330.34</v>
      </c>
      <c r="AK347" s="1">
        <f>IFERROR(__xludf.DUMMYFUNCTION("""COMPUTED_VALUE"""),61.24)</f>
        <v>61.24</v>
      </c>
      <c r="AL347" s="1">
        <f>IFERROR(__xludf.DUMMYFUNCTION("""COMPUTED_VALUE"""),112.1)</f>
        <v>112.1</v>
      </c>
      <c r="AM347" s="1">
        <f>IFERROR(__xludf.DUMMYFUNCTION("""COMPUTED_VALUE"""),802.51)</f>
        <v>802.51</v>
      </c>
      <c r="AN347" s="1">
        <f>IFERROR(__xludf.DUMMYFUNCTION("""COMPUTED_VALUE"""),410.09)</f>
        <v>410.09</v>
      </c>
      <c r="AO347" s="1">
        <f>IFERROR(__xludf.DUMMYFUNCTION("""COMPUTED_VALUE"""),145.98)</f>
        <v>145.98</v>
      </c>
      <c r="AP347" s="1">
        <f>IFERROR(__xludf.DUMMYFUNCTION("""COMPUTED_VALUE"""),167.73)</f>
        <v>167.73</v>
      </c>
      <c r="AQ347" s="3">
        <f>IFERROR(__xludf.DUMMYFUNCTION("""COMPUTED_VALUE"""),441.12)</f>
        <v>441.12</v>
      </c>
      <c r="AR347" s="3">
        <f>IFERROR(__xludf.DUMMYFUNCTION("""COMPUTED_VALUE"""),316.06)</f>
        <v>316.06</v>
      </c>
      <c r="AS347" s="3">
        <f>IFERROR(__xludf.DUMMYFUNCTION("""COMPUTED_VALUE"""),487.44)</f>
        <v>487.44</v>
      </c>
      <c r="AT347" s="3">
        <f>IFERROR(__xludf.DUMMYFUNCTION("""COMPUTED_VALUE"""),176.3)</f>
        <v>176.3</v>
      </c>
      <c r="AU347" s="1">
        <f>IFERROR(__xludf.DUMMYFUNCTION("""COMPUTED_VALUE"""),30.78)</f>
        <v>30.78</v>
      </c>
      <c r="AV347" s="1">
        <f>IFERROR(__xludf.DUMMYFUNCTION("""COMPUTED_VALUE"""),94.22)</f>
        <v>94.22</v>
      </c>
      <c r="AW347" s="1">
        <f>IFERROR(__xludf.DUMMYFUNCTION("""COMPUTED_VALUE"""),81.62)</f>
        <v>81.62</v>
      </c>
      <c r="AX347" s="3">
        <f>IFERROR(__xludf.DUMMYFUNCTION("""COMPUTED_VALUE"""),68.63)</f>
        <v>68.63</v>
      </c>
      <c r="AY347" s="1">
        <f>IFERROR(__xludf.DUMMYFUNCTION("""COMPUTED_VALUE"""),511.46)</f>
        <v>511.46</v>
      </c>
      <c r="AZ347" s="3">
        <f>IFERROR(__xludf.DUMMYFUNCTION("""COMPUTED_VALUE"""),75.85)</f>
        <v>75.85</v>
      </c>
      <c r="BA347" s="3">
        <f>IFERROR(__xludf.DUMMYFUNCTION("""COMPUTED_VALUE"""),168.57)</f>
        <v>168.57</v>
      </c>
      <c r="BB347" s="3">
        <f>IFERROR(__xludf.DUMMYFUNCTION("""COMPUTED_VALUE"""),178.19)</f>
        <v>178.19</v>
      </c>
      <c r="BC347" s="1">
        <f>IFERROR(__xludf.DUMMYFUNCTION("""COMPUTED_VALUE"""),90.38)</f>
        <v>90.38</v>
      </c>
      <c r="BD347" s="1">
        <f>IFERROR(__xludf.DUMMYFUNCTION("""COMPUTED_VALUE"""),42.47)</f>
        <v>42.47</v>
      </c>
      <c r="BE347" s="3">
        <f>IFERROR(__xludf.DUMMYFUNCTION("""COMPUTED_VALUE"""),177.57)</f>
        <v>177.57</v>
      </c>
      <c r="BF347" s="1">
        <f>IFERROR(__xludf.DUMMYFUNCTION("""COMPUTED_VALUE"""),67.3)</f>
        <v>67.3</v>
      </c>
      <c r="BG347" s="1">
        <f>IFERROR(__xludf.DUMMYFUNCTION("""COMPUTED_VALUE"""),23.76)</f>
        <v>23.76</v>
      </c>
      <c r="BH347" s="1">
        <f>IFERROR(__xludf.DUMMYFUNCTION("""COMPUTED_VALUE"""),163.35)</f>
        <v>163.35</v>
      </c>
      <c r="BI347" s="3">
        <f>IFERROR(__xludf.DUMMYFUNCTION("""COMPUTED_VALUE"""),43.92)</f>
        <v>43.92</v>
      </c>
      <c r="BJ347" s="1">
        <f>IFERROR(__xludf.DUMMYFUNCTION("""COMPUTED_VALUE"""),237.47)</f>
        <v>237.47</v>
      </c>
      <c r="BK347" s="1">
        <f>IFERROR(__xludf.DUMMYFUNCTION("""COMPUTED_VALUE"""),464.24)</f>
        <v>464.24</v>
      </c>
      <c r="BL347" s="1">
        <f>IFERROR(__xludf.DUMMYFUNCTION("""COMPUTED_VALUE"""),198.1)</f>
        <v>198.1</v>
      </c>
      <c r="BM347" s="1">
        <f>IFERROR(__xludf.DUMMYFUNCTION("""COMPUTED_VALUE"""),113.87)</f>
        <v>113.87</v>
      </c>
      <c r="BN347" s="3">
        <f>IFERROR(__xludf.DUMMYFUNCTION("""COMPUTED_VALUE"""),4.97)</f>
        <v>4.97</v>
      </c>
      <c r="BO347" s="1">
        <f>IFERROR(__xludf.DUMMYFUNCTION("""COMPUTED_VALUE"""),235.2)</f>
        <v>235.2</v>
      </c>
      <c r="BP347" s="1">
        <f>IFERROR(__xludf.DUMMYFUNCTION("""COMPUTED_VALUE"""),344.08)</f>
        <v>344.08</v>
      </c>
      <c r="BQ347" s="36">
        <f>IFERROR(__xludf.DUMMYFUNCTION("""COMPUTED_VALUE"""),50.63)</f>
        <v>50.63</v>
      </c>
      <c r="BR347" s="1">
        <f>IFERROR(__xludf.DUMMYFUNCTION("""COMPUTED_VALUE"""),9.52)</f>
        <v>9.52</v>
      </c>
      <c r="BS347" s="3">
        <f>IFERROR(__xludf.DUMMYFUNCTION("""COMPUTED_VALUE"""),218.69)</f>
        <v>218.69</v>
      </c>
      <c r="BT347" s="1">
        <f>IFERROR(__xludf.DUMMYFUNCTION("""COMPUTED_VALUE"""),113.47)</f>
        <v>113.47</v>
      </c>
      <c r="BU347" s="3">
        <v>1.0</v>
      </c>
    </row>
    <row r="348">
      <c r="A348" s="25">
        <f>IFERROR(__xludf.DUMMYFUNCTION("""COMPUTED_VALUE"""),45929.66666666667)</f>
        <v>45929.66667</v>
      </c>
      <c r="B348" s="29">
        <f>'Master Scratch Work'!B347</f>
        <v>1486825.91</v>
      </c>
      <c r="C348" s="15">
        <f>IFERROR(__xludf.DUMMYFUNCTION("""COMPUTED_VALUE"""),6661.21)</f>
        <v>6661.21</v>
      </c>
      <c r="D348" s="15">
        <f>IFERROR(__xludf.DUMMYFUNCTION("""COMPUTED_VALUE"""),22591.15)</f>
        <v>22591.15</v>
      </c>
      <c r="E348" s="15">
        <f>IFERROR(__xludf.DUMMYFUNCTION("""COMPUTED_VALUE"""),46316.07)</f>
        <v>46316.07</v>
      </c>
      <c r="F348" s="15">
        <f>IFERROR(__xludf.DUMMYFUNCTION("""COMPUTED_VALUE"""),2435.25)</f>
        <v>2435.25</v>
      </c>
      <c r="G348" s="3">
        <f>IFERROR(__xludf.DUMMYFUNCTION("""COMPUTED_VALUE"""),663.68)</f>
        <v>663.68</v>
      </c>
      <c r="H348" s="3">
        <f>IFERROR(__xludf.DUMMYFUNCTION("""COMPUTED_VALUE"""),598.73)</f>
        <v>598.73</v>
      </c>
      <c r="I348" s="3">
        <f>IFERROR(__xludf.DUMMYFUNCTION("""COMPUTED_VALUE"""),359.42)</f>
        <v>359.42</v>
      </c>
      <c r="J348" s="3">
        <f>IFERROR(__xludf.DUMMYFUNCTION("""COMPUTED_VALUE"""),222.17)</f>
        <v>222.17</v>
      </c>
      <c r="K348" s="3">
        <f>IFERROR(__xludf.DUMMYFUNCTION("""COMPUTED_VALUE"""),137.04)</f>
        <v>137.04</v>
      </c>
      <c r="L348" s="3">
        <f>IFERROR(__xludf.DUMMYFUNCTION("""COMPUTED_VALUE"""),254.43)</f>
        <v>254.43</v>
      </c>
      <c r="M348" s="3">
        <f>IFERROR(__xludf.DUMMYFUNCTION("""COMPUTED_VALUE"""),204.95)</f>
        <v>204.95</v>
      </c>
      <c r="N348" s="3">
        <f>IFERROR(__xludf.DUMMYFUNCTION("""COMPUTED_VALUE"""),109.75)</f>
        <v>109.75</v>
      </c>
      <c r="O348" s="3">
        <f>IFERROR(__xludf.DUMMYFUNCTION("""COMPUTED_VALUE"""),20.63)</f>
        <v>20.63</v>
      </c>
      <c r="P348" s="3">
        <f>IFERROR(__xludf.DUMMYFUNCTION("""COMPUTED_VALUE"""),499.25)</f>
        <v>499.25</v>
      </c>
      <c r="Q348" s="3">
        <f>IFERROR(__xludf.DUMMYFUNCTION("""COMPUTED_VALUE"""),56.22)</f>
        <v>56.22</v>
      </c>
      <c r="R348" s="3">
        <f>IFERROR(__xludf.DUMMYFUNCTION("""COMPUTED_VALUE"""),138.52)</f>
        <v>138.52</v>
      </c>
      <c r="S348" s="3">
        <f>IFERROR(__xludf.DUMMYFUNCTION("""COMPUTED_VALUE"""),97.04)</f>
        <v>97.04</v>
      </c>
      <c r="T348" s="3">
        <f>IFERROR(__xludf.DUMMYFUNCTION("""COMPUTED_VALUE"""),59.13)</f>
        <v>59.13</v>
      </c>
      <c r="U348" s="3">
        <f>IFERROR(__xludf.DUMMYFUNCTION("""COMPUTED_VALUE"""),471.61)</f>
        <v>471.61</v>
      </c>
      <c r="V348" s="3">
        <f>IFERROR(__xludf.DUMMYFUNCTION("""COMPUTED_VALUE"""),84.46)</f>
        <v>84.46</v>
      </c>
      <c r="W348" s="3">
        <f>IFERROR(__xludf.DUMMYFUNCTION("""COMPUTED_VALUE"""),205.8)</f>
        <v>205.8</v>
      </c>
      <c r="X348" s="3">
        <f>IFERROR(__xludf.DUMMYFUNCTION("""COMPUTED_VALUE"""),156.1)</f>
        <v>156.1</v>
      </c>
      <c r="Y348" s="1">
        <f>IFERROR(__xludf.DUMMYFUNCTION("""COMPUTED_VALUE"""),286.64)</f>
        <v>286.64</v>
      </c>
      <c r="Z348" s="1">
        <f>IFERROR(__xludf.DUMMYFUNCTION("""COMPUTED_VALUE"""),53.65)</f>
        <v>53.65</v>
      </c>
      <c r="AA348" s="1">
        <f>IFERROR(__xludf.DUMMYFUNCTION("""COMPUTED_VALUE"""),66.04)</f>
        <v>66.04</v>
      </c>
      <c r="AB348" s="1">
        <f>IFERROR(__xludf.DUMMYFUNCTION("""COMPUTED_VALUE"""),99.57)</f>
        <v>99.57</v>
      </c>
      <c r="AC348" s="1">
        <f>IFERROR(__xludf.DUMMYFUNCTION("""COMPUTED_VALUE"""),170.11)</f>
        <v>170.11</v>
      </c>
      <c r="AD348" s="3">
        <f>IFERROR(__xludf.DUMMYFUNCTION("""COMPUTED_VALUE"""),94.21)</f>
        <v>94.21</v>
      </c>
      <c r="AE348" s="1">
        <f>IFERROR(__xludf.DUMMYFUNCTION("""COMPUTED_VALUE"""),434.41)</f>
        <v>434.41</v>
      </c>
      <c r="AF348" s="1">
        <f>IFERROR(__xludf.DUMMYFUNCTION("""COMPUTED_VALUE"""),91.17)</f>
        <v>91.17</v>
      </c>
      <c r="AG348" s="1">
        <f>IFERROR(__xludf.DUMMYFUNCTION("""COMPUTED_VALUE"""),114.22)</f>
        <v>114.22</v>
      </c>
      <c r="AH348" s="1">
        <f>IFERROR(__xludf.DUMMYFUNCTION("""COMPUTED_VALUE"""),236.58)</f>
        <v>236.58</v>
      </c>
      <c r="AI348" s="1">
        <f>IFERROR(__xludf.DUMMYFUNCTION("""COMPUTED_VALUE"""),482.04)</f>
        <v>482.04</v>
      </c>
      <c r="AJ348" s="1">
        <f>IFERROR(__xludf.DUMMYFUNCTION("""COMPUTED_VALUE"""),332.17)</f>
        <v>332.17</v>
      </c>
      <c r="AK348" s="1">
        <f>IFERROR(__xludf.DUMMYFUNCTION("""COMPUTED_VALUE"""),61.12)</f>
        <v>61.12</v>
      </c>
      <c r="AL348" s="1">
        <f>IFERROR(__xludf.DUMMYFUNCTION("""COMPUTED_VALUE"""),112.62)</f>
        <v>112.62</v>
      </c>
      <c r="AM348" s="1">
        <f>IFERROR(__xludf.DUMMYFUNCTION("""COMPUTED_VALUE"""),804.12)</f>
        <v>804.12</v>
      </c>
      <c r="AN348" s="1">
        <f>IFERROR(__xludf.DUMMYFUNCTION("""COMPUTED_VALUE"""),406.8)</f>
        <v>406.8</v>
      </c>
      <c r="AO348" s="1">
        <f>IFERROR(__xludf.DUMMYFUNCTION("""COMPUTED_VALUE"""),145.0)</f>
        <v>145</v>
      </c>
      <c r="AP348" s="1">
        <f>IFERROR(__xludf.DUMMYFUNCTION("""COMPUTED_VALUE"""),167.99)</f>
        <v>167.99</v>
      </c>
      <c r="AQ348" s="3">
        <f>IFERROR(__xludf.DUMMYFUNCTION("""COMPUTED_VALUE"""),439.22)</f>
        <v>439.22</v>
      </c>
      <c r="AR348" s="3">
        <f>IFERROR(__xludf.DUMMYFUNCTION("""COMPUTED_VALUE"""),315.69)</f>
        <v>315.69</v>
      </c>
      <c r="AS348" s="3">
        <f>IFERROR(__xludf.DUMMYFUNCTION("""COMPUTED_VALUE"""),491.98)</f>
        <v>491.98</v>
      </c>
      <c r="AT348" s="3">
        <f>IFERROR(__xludf.DUMMYFUNCTION("""COMPUTED_VALUE"""),179.11)</f>
        <v>179.11</v>
      </c>
      <c r="AU348" s="1">
        <f>IFERROR(__xludf.DUMMYFUNCTION("""COMPUTED_VALUE"""),31.0)</f>
        <v>31</v>
      </c>
      <c r="AV348" s="1">
        <f>IFERROR(__xludf.DUMMYFUNCTION("""COMPUTED_VALUE"""),93.97)</f>
        <v>93.97</v>
      </c>
      <c r="AW348" s="1">
        <f>IFERROR(__xludf.DUMMYFUNCTION("""COMPUTED_VALUE"""),82.07)</f>
        <v>82.07</v>
      </c>
      <c r="AX348" s="3">
        <f>IFERROR(__xludf.DUMMYFUNCTION("""COMPUTED_VALUE"""),68.18)</f>
        <v>68.18</v>
      </c>
      <c r="AY348" s="1">
        <f>IFERROR(__xludf.DUMMYFUNCTION("""COMPUTED_VALUE"""),514.6)</f>
        <v>514.6</v>
      </c>
      <c r="AZ348" s="3">
        <f>IFERROR(__xludf.DUMMYFUNCTION("""COMPUTED_VALUE"""),76.21)</f>
        <v>76.21</v>
      </c>
      <c r="BA348" s="3">
        <f>IFERROR(__xludf.DUMMYFUNCTION("""COMPUTED_VALUE"""),165.34)</f>
        <v>165.34</v>
      </c>
      <c r="BB348" s="3">
        <f>IFERROR(__xludf.DUMMYFUNCTION("""COMPUTED_VALUE"""),181.85)</f>
        <v>181.85</v>
      </c>
      <c r="BC348" s="1">
        <f>IFERROR(__xludf.DUMMYFUNCTION("""COMPUTED_VALUE"""),91.29)</f>
        <v>91.29</v>
      </c>
      <c r="BD348" s="1">
        <f>IFERROR(__xludf.DUMMYFUNCTION("""COMPUTED_VALUE"""),43.59)</f>
        <v>43.59</v>
      </c>
      <c r="BE348" s="3">
        <f>IFERROR(__xludf.DUMMYFUNCTION("""COMPUTED_VALUE"""),178.86)</f>
        <v>178.86</v>
      </c>
      <c r="BF348" s="1">
        <f>IFERROR(__xludf.DUMMYFUNCTION("""COMPUTED_VALUE"""),69.68)</f>
        <v>69.68</v>
      </c>
      <c r="BG348" s="1">
        <f>IFERROR(__xludf.DUMMYFUNCTION("""COMPUTED_VALUE"""),23.85)</f>
        <v>23.85</v>
      </c>
      <c r="BH348" s="1">
        <f>IFERROR(__xludf.DUMMYFUNCTION("""COMPUTED_VALUE"""),163.63)</f>
        <v>163.63</v>
      </c>
      <c r="BI348" s="3">
        <f>IFERROR(__xludf.DUMMYFUNCTION("""COMPUTED_VALUE"""),46.07)</f>
        <v>46.07</v>
      </c>
      <c r="BJ348" s="1">
        <f>IFERROR(__xludf.DUMMYFUNCTION("""COMPUTED_VALUE"""),237.96)</f>
        <v>237.96</v>
      </c>
      <c r="BK348" s="1">
        <f>IFERROR(__xludf.DUMMYFUNCTION("""COMPUTED_VALUE"""),462.04)</f>
        <v>462.04</v>
      </c>
      <c r="BL348" s="1">
        <f>IFERROR(__xludf.DUMMYFUNCTION("""COMPUTED_VALUE"""),196.44)</f>
        <v>196.44</v>
      </c>
      <c r="BM348" s="1">
        <f>IFERROR(__xludf.DUMMYFUNCTION("""COMPUTED_VALUE"""),112.64)</f>
        <v>112.64</v>
      </c>
      <c r="BN348" s="3">
        <f>IFERROR(__xludf.DUMMYFUNCTION("""COMPUTED_VALUE"""),5.0)</f>
        <v>5</v>
      </c>
      <c r="BO348" s="1">
        <f>IFERROR(__xludf.DUMMYFUNCTION("""COMPUTED_VALUE"""),236.18)</f>
        <v>236.18</v>
      </c>
      <c r="BP348" s="1">
        <f>IFERROR(__xludf.DUMMYFUNCTION("""COMPUTED_VALUE"""),345.18)</f>
        <v>345.18</v>
      </c>
      <c r="BQ348" s="36">
        <f>IFERROR(__xludf.DUMMYFUNCTION("""COMPUTED_VALUE"""),50.62)</f>
        <v>50.62</v>
      </c>
      <c r="BR348" s="1">
        <f>IFERROR(__xludf.DUMMYFUNCTION("""COMPUTED_VALUE"""),9.62)</f>
        <v>9.62</v>
      </c>
      <c r="BS348" s="3">
        <f>IFERROR(__xludf.DUMMYFUNCTION("""COMPUTED_VALUE"""),219.43)</f>
        <v>219.43</v>
      </c>
      <c r="BT348" s="1">
        <f>IFERROR(__xludf.DUMMYFUNCTION("""COMPUTED_VALUE"""),114.78)</f>
        <v>114.78</v>
      </c>
      <c r="BU348" s="3">
        <v>1.0</v>
      </c>
    </row>
    <row r="349">
      <c r="A349" s="25">
        <f>IFERROR(__xludf.DUMMYFUNCTION("""COMPUTED_VALUE"""),45930.66666666667)</f>
        <v>45930.66667</v>
      </c>
      <c r="B349" s="29">
        <f>'Master Scratch Work'!B348</f>
        <v>1491086.77</v>
      </c>
      <c r="C349" s="15">
        <f>IFERROR(__xludf.DUMMYFUNCTION("""COMPUTED_VALUE"""),6688.46)</f>
        <v>6688.46</v>
      </c>
      <c r="D349" s="15">
        <f>IFERROR(__xludf.DUMMYFUNCTION("""COMPUTED_VALUE"""),22660.01)</f>
        <v>22660.01</v>
      </c>
      <c r="E349" s="15">
        <f>IFERROR(__xludf.DUMMYFUNCTION("""COMPUTED_VALUE"""),46397.89)</f>
        <v>46397.89</v>
      </c>
      <c r="F349" s="15">
        <f>IFERROR(__xludf.DUMMYFUNCTION("""COMPUTED_VALUE"""),2436.48)</f>
        <v>2436.48</v>
      </c>
      <c r="G349" s="3">
        <f>IFERROR(__xludf.DUMMYFUNCTION("""COMPUTED_VALUE"""),666.18)</f>
        <v>666.18</v>
      </c>
      <c r="H349" s="3">
        <f>IFERROR(__xludf.DUMMYFUNCTION("""COMPUTED_VALUE"""),600.37)</f>
        <v>600.37</v>
      </c>
      <c r="I349" s="3">
        <f>IFERROR(__xludf.DUMMYFUNCTION("""COMPUTED_VALUE"""),352.75)</f>
        <v>352.75</v>
      </c>
      <c r="J349" s="3">
        <f>IFERROR(__xludf.DUMMYFUNCTION("""COMPUTED_VALUE"""),219.57)</f>
        <v>219.57</v>
      </c>
      <c r="K349" s="3">
        <f>IFERROR(__xludf.DUMMYFUNCTION("""COMPUTED_VALUE"""),139.19)</f>
        <v>139.19</v>
      </c>
      <c r="L349" s="3">
        <f>IFERROR(__xludf.DUMMYFUNCTION("""COMPUTED_VALUE"""),254.63)</f>
        <v>254.63</v>
      </c>
      <c r="M349" s="3">
        <f>IFERROR(__xludf.DUMMYFUNCTION("""COMPUTED_VALUE"""),204.74)</f>
        <v>204.74</v>
      </c>
      <c r="N349" s="3">
        <f>IFERROR(__xludf.DUMMYFUNCTION("""COMPUTED_VALUE"""),108.96)</f>
        <v>108.96</v>
      </c>
      <c r="O349" s="3">
        <f>IFERROR(__xludf.DUMMYFUNCTION("""COMPUTED_VALUE"""),20.67)</f>
        <v>20.67</v>
      </c>
      <c r="P349" s="3">
        <f>IFERROR(__xludf.DUMMYFUNCTION("""COMPUTED_VALUE"""),502.74)</f>
        <v>502.74</v>
      </c>
      <c r="Q349" s="3">
        <f>IFERROR(__xludf.DUMMYFUNCTION("""COMPUTED_VALUE"""),55.75)</f>
        <v>55.75</v>
      </c>
      <c r="R349" s="3">
        <f>IFERROR(__xludf.DUMMYFUNCTION("""COMPUTED_VALUE"""),140.08)</f>
        <v>140.08</v>
      </c>
      <c r="S349" s="3">
        <f>IFERROR(__xludf.DUMMYFUNCTION("""COMPUTED_VALUE"""),97.63)</f>
        <v>97.63</v>
      </c>
      <c r="T349" s="3">
        <f>IFERROR(__xludf.DUMMYFUNCTION("""COMPUTED_VALUE"""),59.7)</f>
        <v>59.7</v>
      </c>
      <c r="U349" s="3">
        <f>IFERROR(__xludf.DUMMYFUNCTION("""COMPUTED_VALUE"""),477.15)</f>
        <v>477.15</v>
      </c>
      <c r="V349" s="3">
        <f>IFERROR(__xludf.DUMMYFUNCTION("""COMPUTED_VALUE"""),83.86)</f>
        <v>83.86</v>
      </c>
      <c r="W349" s="3">
        <f>IFERROR(__xludf.DUMMYFUNCTION("""COMPUTED_VALUE"""),206.91)</f>
        <v>206.91</v>
      </c>
      <c r="X349" s="3">
        <f>IFERROR(__xludf.DUMMYFUNCTION("""COMPUTED_VALUE"""),155.29)</f>
        <v>155.29</v>
      </c>
      <c r="Y349" s="1">
        <f>IFERROR(__xludf.DUMMYFUNCTION("""COMPUTED_VALUE"""),288.25)</f>
        <v>288.25</v>
      </c>
      <c r="Z349" s="1">
        <f>IFERROR(__xludf.DUMMYFUNCTION("""COMPUTED_VALUE"""),53.16)</f>
        <v>53.16</v>
      </c>
      <c r="AA349" s="1">
        <f>IFERROR(__xludf.DUMMYFUNCTION("""COMPUTED_VALUE"""),66.32)</f>
        <v>66.32</v>
      </c>
      <c r="AB349" s="1">
        <f>IFERROR(__xludf.DUMMYFUNCTION("""COMPUTED_VALUE"""),100.52)</f>
        <v>100.52</v>
      </c>
      <c r="AC349" s="1">
        <f>IFERROR(__xludf.DUMMYFUNCTION("""COMPUTED_VALUE"""),172.88)</f>
        <v>172.88</v>
      </c>
      <c r="AD349" s="3">
        <f>IFERROR(__xludf.DUMMYFUNCTION("""COMPUTED_VALUE"""),94.37)</f>
        <v>94.37</v>
      </c>
      <c r="AE349" s="1">
        <f>IFERROR(__xludf.DUMMYFUNCTION("""COMPUTED_VALUE"""),431.71)</f>
        <v>431.71</v>
      </c>
      <c r="AF349" s="1">
        <f>IFERROR(__xludf.DUMMYFUNCTION("""COMPUTED_VALUE"""),90.95)</f>
        <v>90.95</v>
      </c>
      <c r="AG349" s="1">
        <f>IFERROR(__xludf.DUMMYFUNCTION("""COMPUTED_VALUE"""),112.75)</f>
        <v>112.75</v>
      </c>
      <c r="AH349" s="1">
        <f>IFERROR(__xludf.DUMMYFUNCTION("""COMPUTED_VALUE"""),235.81)</f>
        <v>235.81</v>
      </c>
      <c r="AI349" s="1">
        <f>IFERROR(__xludf.DUMMYFUNCTION("""COMPUTED_VALUE"""),485.22)</f>
        <v>485.22</v>
      </c>
      <c r="AJ349" s="1">
        <f>IFERROR(__xludf.DUMMYFUNCTION("""COMPUTED_VALUE"""),341.0)</f>
        <v>341</v>
      </c>
      <c r="AK349" s="1">
        <f>IFERROR(__xludf.DUMMYFUNCTION("""COMPUTED_VALUE"""),60.97)</f>
        <v>60.97</v>
      </c>
      <c r="AL349" s="1">
        <f>IFERROR(__xludf.DUMMYFUNCTION("""COMPUTED_VALUE"""),111.0)</f>
        <v>111</v>
      </c>
      <c r="AM349" s="1">
        <f>IFERROR(__xludf.DUMMYFUNCTION("""COMPUTED_VALUE"""),796.35)</f>
        <v>796.35</v>
      </c>
      <c r="AN349" s="1">
        <f>IFERROR(__xludf.DUMMYFUNCTION("""COMPUTED_VALUE"""),405.19)</f>
        <v>405.19</v>
      </c>
      <c r="AO349" s="1">
        <f>IFERROR(__xludf.DUMMYFUNCTION("""COMPUTED_VALUE"""),146.77)</f>
        <v>146.77</v>
      </c>
      <c r="AP349" s="1">
        <f>IFERROR(__xludf.DUMMYFUNCTION("""COMPUTED_VALUE"""),168.48)</f>
        <v>168.48</v>
      </c>
      <c r="AQ349" s="3">
        <f>IFERROR(__xludf.DUMMYFUNCTION("""COMPUTED_VALUE"""),447.23)</f>
        <v>447.23</v>
      </c>
      <c r="AR349" s="3">
        <f>IFERROR(__xludf.DUMMYFUNCTION("""COMPUTED_VALUE"""),315.43)</f>
        <v>315.43</v>
      </c>
      <c r="AS349" s="3">
        <f>IFERROR(__xludf.DUMMYFUNCTION("""COMPUTED_VALUE"""),499.21)</f>
        <v>499.21</v>
      </c>
      <c r="AT349" s="3">
        <f>IFERROR(__xludf.DUMMYFUNCTION("""COMPUTED_VALUE"""),177.93)</f>
        <v>177.93</v>
      </c>
      <c r="AU349" s="1">
        <f>IFERROR(__xludf.DUMMYFUNCTION("""COMPUTED_VALUE"""),31.15)</f>
        <v>31.15</v>
      </c>
      <c r="AV349" s="1">
        <f>IFERROR(__xludf.DUMMYFUNCTION("""COMPUTED_VALUE"""),95.24)</f>
        <v>95.24</v>
      </c>
      <c r="AW349" s="1">
        <f>IFERROR(__xludf.DUMMYFUNCTION("""COMPUTED_VALUE"""),82.37)</f>
        <v>82.37</v>
      </c>
      <c r="AX349" s="3">
        <f>IFERROR(__xludf.DUMMYFUNCTION("""COMPUTED_VALUE"""),67.07)</f>
        <v>67.07</v>
      </c>
      <c r="AY349" s="1">
        <f>IFERROR(__xludf.DUMMYFUNCTION("""COMPUTED_VALUE"""),517.95)</f>
        <v>517.95</v>
      </c>
      <c r="AZ349" s="3">
        <f>IFERROR(__xludf.DUMMYFUNCTION("""COMPUTED_VALUE"""),75.49)</f>
        <v>75.49</v>
      </c>
      <c r="BA349" s="3">
        <f>IFERROR(__xludf.DUMMYFUNCTION("""COMPUTED_VALUE"""),161.95)</f>
        <v>161.95</v>
      </c>
      <c r="BB349" s="3">
        <f>IFERROR(__xludf.DUMMYFUNCTION("""COMPUTED_VALUE"""),186.58)</f>
        <v>186.58</v>
      </c>
      <c r="BC349" s="1">
        <f>IFERROR(__xludf.DUMMYFUNCTION("""COMPUTED_VALUE"""),91.43)</f>
        <v>91.43</v>
      </c>
      <c r="BD349" s="1">
        <f>IFERROR(__xludf.DUMMYFUNCTION("""COMPUTED_VALUE"""),42.35)</f>
        <v>42.35</v>
      </c>
      <c r="BE349" s="3">
        <f>IFERROR(__xludf.DUMMYFUNCTION("""COMPUTED_VALUE"""),182.42)</f>
        <v>182.42</v>
      </c>
      <c r="BF349" s="1">
        <f>IFERROR(__xludf.DUMMYFUNCTION("""COMPUTED_VALUE"""),67.06)</f>
        <v>67.06</v>
      </c>
      <c r="BG349" s="1">
        <f>IFERROR(__xludf.DUMMYFUNCTION("""COMPUTED_VALUE"""),25.48)</f>
        <v>25.48</v>
      </c>
      <c r="BH349" s="1">
        <f>IFERROR(__xludf.DUMMYFUNCTION("""COMPUTED_VALUE"""),167.33)</f>
        <v>167.33</v>
      </c>
      <c r="BI349" s="3">
        <f>IFERROR(__xludf.DUMMYFUNCTION("""COMPUTED_VALUE"""),46.7)</f>
        <v>46.7</v>
      </c>
      <c r="BJ349" s="1">
        <f>IFERROR(__xludf.DUMMYFUNCTION("""COMPUTED_VALUE"""),239.38)</f>
        <v>239.38</v>
      </c>
      <c r="BK349" s="1">
        <f>IFERROR(__xludf.DUMMYFUNCTION("""COMPUTED_VALUE"""),485.02)</f>
        <v>485.02</v>
      </c>
      <c r="BL349" s="1">
        <f>IFERROR(__xludf.DUMMYFUNCTION("""COMPUTED_VALUE"""),191.09)</f>
        <v>191.09</v>
      </c>
      <c r="BM349" s="1">
        <f>IFERROR(__xludf.DUMMYFUNCTION("""COMPUTED_VALUE"""),112.2)</f>
        <v>112.2</v>
      </c>
      <c r="BN349" s="3">
        <f>IFERROR(__xludf.DUMMYFUNCTION("""COMPUTED_VALUE"""),4.99)</f>
        <v>4.99</v>
      </c>
      <c r="BO349" s="1">
        <f>IFERROR(__xludf.DUMMYFUNCTION("""COMPUTED_VALUE"""),236.37)</f>
        <v>236.37</v>
      </c>
      <c r="BP349" s="1">
        <f>IFERROR(__xludf.DUMMYFUNCTION("""COMPUTED_VALUE"""),345.3)</f>
        <v>345.3</v>
      </c>
      <c r="BQ349" s="36">
        <f>IFERROR(__xludf.DUMMYFUNCTION("""COMPUTED_VALUE"""),50.63)</f>
        <v>50.63</v>
      </c>
      <c r="BR349" s="1">
        <f>IFERROR(__xludf.DUMMYFUNCTION("""COMPUTED_VALUE"""),9.9)</f>
        <v>9.9</v>
      </c>
      <c r="BS349" s="3">
        <f>IFERROR(__xludf.DUMMYFUNCTION("""COMPUTED_VALUE"""),220.83)</f>
        <v>220.83</v>
      </c>
      <c r="BT349" s="1">
        <f>IFERROR(__xludf.DUMMYFUNCTION("""COMPUTED_VALUE"""),114.5)</f>
        <v>114.5</v>
      </c>
      <c r="BU349" s="3">
        <v>1.0</v>
      </c>
    </row>
    <row r="350">
      <c r="A350" s="25">
        <f>IFERROR(__xludf.DUMMYFUNCTION("""COMPUTED_VALUE"""),45931.66666666667)</f>
        <v>45931.66667</v>
      </c>
      <c r="B350" s="29">
        <f>'Master Scratch Work'!B349</f>
        <v>1476408.23</v>
      </c>
      <c r="C350" s="15">
        <f>IFERROR(__xludf.DUMMYFUNCTION("""COMPUTED_VALUE"""),6711.2)</f>
        <v>6711.2</v>
      </c>
      <c r="D350" s="15">
        <f>IFERROR(__xludf.DUMMYFUNCTION("""COMPUTED_VALUE"""),22755.16)</f>
        <v>22755.16</v>
      </c>
      <c r="E350" s="15">
        <f>IFERROR(__xludf.DUMMYFUNCTION("""COMPUTED_VALUE"""),46441.1)</f>
        <v>46441.1</v>
      </c>
      <c r="F350" s="15">
        <f>IFERROR(__xludf.DUMMYFUNCTION("""COMPUTED_VALUE"""),2442.35)</f>
        <v>2442.35</v>
      </c>
      <c r="G350" s="3">
        <f>IFERROR(__xludf.DUMMYFUNCTION("""COMPUTED_VALUE"""),668.45)</f>
        <v>668.45</v>
      </c>
      <c r="H350" s="3">
        <f>IFERROR(__xludf.DUMMYFUNCTION("""COMPUTED_VALUE"""),603.25)</f>
        <v>603.25</v>
      </c>
      <c r="I350" s="3">
        <f>IFERROR(__xludf.DUMMYFUNCTION("""COMPUTED_VALUE"""),343.72)</f>
        <v>343.72</v>
      </c>
      <c r="J350" s="3">
        <f>IFERROR(__xludf.DUMMYFUNCTION("""COMPUTED_VALUE"""),220.63)</f>
        <v>220.63</v>
      </c>
      <c r="K350" s="3">
        <f>IFERROR(__xludf.DUMMYFUNCTION("""COMPUTED_VALUE"""),136.07)</f>
        <v>136.07</v>
      </c>
      <c r="L350" s="3">
        <f>IFERROR(__xludf.DUMMYFUNCTION("""COMPUTED_VALUE"""),255.45)</f>
        <v>255.45</v>
      </c>
      <c r="M350" s="3">
        <f>IFERROR(__xludf.DUMMYFUNCTION("""COMPUTED_VALUE"""),217.74)</f>
        <v>217.74</v>
      </c>
      <c r="N350" s="3">
        <f>IFERROR(__xludf.DUMMYFUNCTION("""COMPUTED_VALUE"""),106.83)</f>
        <v>106.83</v>
      </c>
      <c r="O350" s="3">
        <f>IFERROR(__xludf.DUMMYFUNCTION("""COMPUTED_VALUE"""),20.6)</f>
        <v>20.6</v>
      </c>
      <c r="P350" s="3">
        <f>IFERROR(__xludf.DUMMYFUNCTION("""COMPUTED_VALUE"""),498.2)</f>
        <v>498.2</v>
      </c>
      <c r="Q350" s="3">
        <f>IFERROR(__xludf.DUMMYFUNCTION("""COMPUTED_VALUE"""),55.75)</f>
        <v>55.75</v>
      </c>
      <c r="R350" s="3">
        <f>IFERROR(__xludf.DUMMYFUNCTION("""COMPUTED_VALUE"""),154.22)</f>
        <v>154.22</v>
      </c>
      <c r="S350" s="3">
        <f>IFERROR(__xludf.DUMMYFUNCTION("""COMPUTED_VALUE"""),95.85)</f>
        <v>95.85</v>
      </c>
      <c r="T350" s="3">
        <f>IFERROR(__xludf.DUMMYFUNCTION("""COMPUTED_VALUE"""),59.46)</f>
        <v>59.46</v>
      </c>
      <c r="U350" s="3">
        <f>IFERROR(__xludf.DUMMYFUNCTION("""COMPUTED_VALUE"""),480.82)</f>
        <v>480.82</v>
      </c>
      <c r="V350" s="3">
        <f>IFERROR(__xludf.DUMMYFUNCTION("""COMPUTED_VALUE"""),83.49)</f>
        <v>83.49</v>
      </c>
      <c r="W350" s="3">
        <f>IFERROR(__xludf.DUMMYFUNCTION("""COMPUTED_VALUE"""),204.13)</f>
        <v>204.13</v>
      </c>
      <c r="X350" s="3">
        <f>IFERROR(__xludf.DUMMYFUNCTION("""COMPUTED_VALUE"""),154.58)</f>
        <v>154.58</v>
      </c>
      <c r="Y350" s="1">
        <f>IFERROR(__xludf.DUMMYFUNCTION("""COMPUTED_VALUE"""),291.65)</f>
        <v>291.65</v>
      </c>
      <c r="Z350" s="1">
        <f>IFERROR(__xludf.DUMMYFUNCTION("""COMPUTED_VALUE"""),52.74)</f>
        <v>52.74</v>
      </c>
      <c r="AA350" s="1">
        <f>IFERROR(__xludf.DUMMYFUNCTION("""COMPUTED_VALUE"""),66.78)</f>
        <v>66.78</v>
      </c>
      <c r="AB350" s="1">
        <f>IFERROR(__xludf.DUMMYFUNCTION("""COMPUTED_VALUE"""),98.17)</f>
        <v>98.17</v>
      </c>
      <c r="AC350" s="1">
        <f>IFERROR(__xludf.DUMMYFUNCTION("""COMPUTED_VALUE"""),171.45)</f>
        <v>171.45</v>
      </c>
      <c r="AD350" s="3">
        <f>IFERROR(__xludf.DUMMYFUNCTION("""COMPUTED_VALUE"""),90.32)</f>
        <v>90.32</v>
      </c>
      <c r="AE350" s="1">
        <f>IFERROR(__xludf.DUMMYFUNCTION("""COMPUTED_VALUE"""),428.16)</f>
        <v>428.16</v>
      </c>
      <c r="AF350" s="1">
        <f>IFERROR(__xludf.DUMMYFUNCTION("""COMPUTED_VALUE"""),87.58)</f>
        <v>87.58</v>
      </c>
      <c r="AG350" s="1">
        <f>IFERROR(__xludf.DUMMYFUNCTION("""COMPUTED_VALUE"""),111.99)</f>
        <v>111.99</v>
      </c>
      <c r="AH350" s="1">
        <f>IFERROR(__xludf.DUMMYFUNCTION("""COMPUTED_VALUE"""),239.55)</f>
        <v>239.55</v>
      </c>
      <c r="AI350" s="1">
        <f>IFERROR(__xludf.DUMMYFUNCTION("""COMPUTED_VALUE"""),490.24)</f>
        <v>490.24</v>
      </c>
      <c r="AJ350" s="1">
        <f>IFERROR(__xludf.DUMMYFUNCTION("""COMPUTED_VALUE"""),340.75)</f>
        <v>340.75</v>
      </c>
      <c r="AK350" s="1">
        <f>IFERROR(__xludf.DUMMYFUNCTION("""COMPUTED_VALUE"""),61.34)</f>
        <v>61.34</v>
      </c>
      <c r="AL350" s="1">
        <f>IFERROR(__xludf.DUMMYFUNCTION("""COMPUTED_VALUE"""),111.15)</f>
        <v>111.15</v>
      </c>
      <c r="AM350" s="1">
        <f>IFERROR(__xludf.DUMMYFUNCTION("""COMPUTED_VALUE"""),785.51)</f>
        <v>785.51</v>
      </c>
      <c r="AN350" s="1">
        <f>IFERROR(__xludf.DUMMYFUNCTION("""COMPUTED_VALUE"""),397.02)</f>
        <v>397.02</v>
      </c>
      <c r="AO350" s="1">
        <f>IFERROR(__xludf.DUMMYFUNCTION("""COMPUTED_VALUE"""),147.62)</f>
        <v>147.62</v>
      </c>
      <c r="AP350" s="1">
        <f>IFERROR(__xludf.DUMMYFUNCTION("""COMPUTED_VALUE"""),162.64)</f>
        <v>162.64</v>
      </c>
      <c r="AQ350" s="3">
        <f>IFERROR(__xludf.DUMMYFUNCTION("""COMPUTED_VALUE"""),438.04)</f>
        <v>438.04</v>
      </c>
      <c r="AR350" s="3">
        <f>IFERROR(__xludf.DUMMYFUNCTION("""COMPUTED_VALUE"""),310.71)</f>
        <v>310.71</v>
      </c>
      <c r="AS350" s="3">
        <f>IFERROR(__xludf.DUMMYFUNCTION("""COMPUTED_VALUE"""),499.0)</f>
        <v>499</v>
      </c>
      <c r="AT350" s="3">
        <f>IFERROR(__xludf.DUMMYFUNCTION("""COMPUTED_VALUE"""),177.57)</f>
        <v>177.57</v>
      </c>
      <c r="AU350" s="1">
        <f>IFERROR(__xludf.DUMMYFUNCTION("""COMPUTED_VALUE"""),31.45)</f>
        <v>31.45</v>
      </c>
      <c r="AV350" s="1">
        <f>IFERROR(__xludf.DUMMYFUNCTION("""COMPUTED_VALUE"""),94.81)</f>
        <v>94.81</v>
      </c>
      <c r="AW350" s="1">
        <f>IFERROR(__xludf.DUMMYFUNCTION("""COMPUTED_VALUE"""),81.93)</f>
        <v>81.93</v>
      </c>
      <c r="AX350" s="3">
        <f>IFERROR(__xludf.DUMMYFUNCTION("""COMPUTED_VALUE"""),67.63)</f>
        <v>67.63</v>
      </c>
      <c r="AY350" s="1">
        <f>IFERROR(__xludf.DUMMYFUNCTION("""COMPUTED_VALUE"""),519.71)</f>
        <v>519.71</v>
      </c>
      <c r="AZ350" s="3">
        <f>IFERROR(__xludf.DUMMYFUNCTION("""COMPUTED_VALUE"""),78.67)</f>
        <v>78.67</v>
      </c>
      <c r="BA350" s="3">
        <f>IFERROR(__xludf.DUMMYFUNCTION("""COMPUTED_VALUE"""),161.91)</f>
        <v>161.91</v>
      </c>
      <c r="BB350" s="3">
        <f>IFERROR(__xludf.DUMMYFUNCTION("""COMPUTED_VALUE"""),187.24)</f>
        <v>187.24</v>
      </c>
      <c r="BC350" s="1">
        <f>IFERROR(__xludf.DUMMYFUNCTION("""COMPUTED_VALUE"""),92.36)</f>
        <v>92.36</v>
      </c>
      <c r="BD350" s="1">
        <f>IFERROR(__xludf.DUMMYFUNCTION("""COMPUTED_VALUE"""),40.96)</f>
        <v>40.96</v>
      </c>
      <c r="BE350" s="3">
        <f>IFERROR(__xludf.DUMMYFUNCTION("""COMPUTED_VALUE"""),184.95)</f>
        <v>184.95</v>
      </c>
      <c r="BF350" s="1">
        <f>IFERROR(__xludf.DUMMYFUNCTION("""COMPUTED_VALUE"""),66.66)</f>
        <v>66.66</v>
      </c>
      <c r="BG350" s="1">
        <f>IFERROR(__xludf.DUMMYFUNCTION("""COMPUTED_VALUE"""),27.21)</f>
        <v>27.21</v>
      </c>
      <c r="BH350" s="1">
        <f>IFERROR(__xludf.DUMMYFUNCTION("""COMPUTED_VALUE"""),167.2)</f>
        <v>167.2</v>
      </c>
      <c r="BI350" s="3">
        <f>IFERROR(__xludf.DUMMYFUNCTION("""COMPUTED_VALUE"""),45.86)</f>
        <v>45.86</v>
      </c>
      <c r="BJ350" s="1">
        <f>IFERROR(__xludf.DUMMYFUNCTION("""COMPUTED_VALUE"""),233.26)</f>
        <v>233.26</v>
      </c>
      <c r="BK350" s="1">
        <f>IFERROR(__xludf.DUMMYFUNCTION("""COMPUTED_VALUE"""),530.73)</f>
        <v>530.73</v>
      </c>
      <c r="BL350" s="1">
        <f>IFERROR(__xludf.DUMMYFUNCTION("""COMPUTED_VALUE"""),191.83)</f>
        <v>191.83</v>
      </c>
      <c r="BM350" s="1">
        <f>IFERROR(__xludf.DUMMYFUNCTION("""COMPUTED_VALUE"""),114.89)</f>
        <v>114.89</v>
      </c>
      <c r="BN350" s="3">
        <f>IFERROR(__xludf.DUMMYFUNCTION("""COMPUTED_VALUE"""),5.03)</f>
        <v>5.03</v>
      </c>
      <c r="BO350" s="1">
        <f>IFERROR(__xludf.DUMMYFUNCTION("""COMPUTED_VALUE"""),234.74)</f>
        <v>234.74</v>
      </c>
      <c r="BP350" s="1">
        <f>IFERROR(__xludf.DUMMYFUNCTION("""COMPUTED_VALUE"""),348.3)</f>
        <v>348.3</v>
      </c>
      <c r="BQ350" s="36">
        <f>IFERROR(__xludf.DUMMYFUNCTION("""COMPUTED_VALUE"""),50.04)</f>
        <v>50.04</v>
      </c>
      <c r="BR350" s="1">
        <f>IFERROR(__xludf.DUMMYFUNCTION("""COMPUTED_VALUE"""),10.09)</f>
        <v>10.09</v>
      </c>
      <c r="BS350" s="3">
        <f>IFERROR(__xludf.DUMMYFUNCTION("""COMPUTED_VALUE"""),219.87)</f>
        <v>219.87</v>
      </c>
      <c r="BT350" s="1">
        <f>IFERROR(__xludf.DUMMYFUNCTION("""COMPUTED_VALUE"""),112.95)</f>
        <v>112.95</v>
      </c>
      <c r="BU350" s="3">
        <v>1.0</v>
      </c>
    </row>
    <row r="351">
      <c r="A351" s="25">
        <f>IFERROR(__xludf.DUMMYFUNCTION("""COMPUTED_VALUE"""),45932.66666666667)</f>
        <v>45932.66667</v>
      </c>
      <c r="B351" s="29">
        <f>'Master Scratch Work'!B350</f>
        <v>1480062.75</v>
      </c>
      <c r="C351" s="15">
        <f>IFERROR(__xludf.DUMMYFUNCTION("""COMPUTED_VALUE"""),6715.35)</f>
        <v>6715.35</v>
      </c>
      <c r="D351" s="15">
        <f>IFERROR(__xludf.DUMMYFUNCTION("""COMPUTED_VALUE"""),22844.05)</f>
        <v>22844.05</v>
      </c>
      <c r="E351" s="15">
        <f>IFERROR(__xludf.DUMMYFUNCTION("""COMPUTED_VALUE"""),46519.72)</f>
        <v>46519.72</v>
      </c>
      <c r="F351" s="15">
        <f>IFERROR(__xludf.DUMMYFUNCTION("""COMPUTED_VALUE"""),2458.49)</f>
        <v>2458.49</v>
      </c>
      <c r="G351" s="3">
        <f>IFERROR(__xludf.DUMMYFUNCTION("""COMPUTED_VALUE"""),669.22)</f>
        <v>669.22</v>
      </c>
      <c r="H351" s="3">
        <f>IFERROR(__xludf.DUMMYFUNCTION("""COMPUTED_VALUE"""),605.73)</f>
        <v>605.73</v>
      </c>
      <c r="I351" s="3">
        <f>IFERROR(__xludf.DUMMYFUNCTION("""COMPUTED_VALUE"""),351.48)</f>
        <v>351.48</v>
      </c>
      <c r="J351" s="3">
        <f>IFERROR(__xludf.DUMMYFUNCTION("""COMPUTED_VALUE"""),222.41)</f>
        <v>222.41</v>
      </c>
      <c r="K351" s="3">
        <f>IFERROR(__xludf.DUMMYFUNCTION("""COMPUTED_VALUE"""),135.59)</f>
        <v>135.59</v>
      </c>
      <c r="L351" s="3">
        <f>IFERROR(__xludf.DUMMYFUNCTION("""COMPUTED_VALUE"""),257.13)</f>
        <v>257.13</v>
      </c>
      <c r="M351" s="3">
        <f>IFERROR(__xludf.DUMMYFUNCTION("""COMPUTED_VALUE"""),223.59)</f>
        <v>223.59</v>
      </c>
      <c r="N351" s="3">
        <f>IFERROR(__xludf.DUMMYFUNCTION("""COMPUTED_VALUE"""),106.38)</f>
        <v>106.38</v>
      </c>
      <c r="O351" s="3">
        <f>IFERROR(__xludf.DUMMYFUNCTION("""COMPUTED_VALUE"""),20.63)</f>
        <v>20.63</v>
      </c>
      <c r="P351" s="3">
        <f>IFERROR(__xludf.DUMMYFUNCTION("""COMPUTED_VALUE"""),495.92)</f>
        <v>495.92</v>
      </c>
      <c r="Q351" s="3">
        <f>IFERROR(__xludf.DUMMYFUNCTION("""COMPUTED_VALUE"""),55.5)</f>
        <v>55.5</v>
      </c>
      <c r="R351" s="3">
        <f>IFERROR(__xludf.DUMMYFUNCTION("""COMPUTED_VALUE"""),155.25)</f>
        <v>155.25</v>
      </c>
      <c r="S351" s="3">
        <f>IFERROR(__xludf.DUMMYFUNCTION("""COMPUTED_VALUE"""),96.22)</f>
        <v>96.22</v>
      </c>
      <c r="T351" s="3">
        <f>IFERROR(__xludf.DUMMYFUNCTION("""COMPUTED_VALUE"""),58.9)</f>
        <v>58.9</v>
      </c>
      <c r="U351" s="3">
        <f>IFERROR(__xludf.DUMMYFUNCTION("""COMPUTED_VALUE"""),490.57)</f>
        <v>490.57</v>
      </c>
      <c r="V351" s="3">
        <f>IFERROR(__xludf.DUMMYFUNCTION("""COMPUTED_VALUE"""),84.2)</f>
        <v>84.2</v>
      </c>
      <c r="W351" s="3">
        <f>IFERROR(__xludf.DUMMYFUNCTION("""COMPUTED_VALUE"""),204.97)</f>
        <v>204.97</v>
      </c>
      <c r="X351" s="3">
        <f>IFERROR(__xludf.DUMMYFUNCTION("""COMPUTED_VALUE"""),153.37)</f>
        <v>153.37</v>
      </c>
      <c r="Y351" s="1">
        <f>IFERROR(__xludf.DUMMYFUNCTION("""COMPUTED_VALUE"""),296.98)</f>
        <v>296.98</v>
      </c>
      <c r="Z351" s="1">
        <f>IFERROR(__xludf.DUMMYFUNCTION("""COMPUTED_VALUE"""),52.98)</f>
        <v>52.98</v>
      </c>
      <c r="AA351" s="1">
        <f>IFERROR(__xludf.DUMMYFUNCTION("""COMPUTED_VALUE"""),66.1)</f>
        <v>66.1</v>
      </c>
      <c r="AB351" s="1">
        <f>IFERROR(__xludf.DUMMYFUNCTION("""COMPUTED_VALUE"""),97.64)</f>
        <v>97.64</v>
      </c>
      <c r="AC351" s="1">
        <f>IFERROR(__xludf.DUMMYFUNCTION("""COMPUTED_VALUE"""),173.75)</f>
        <v>173.75</v>
      </c>
      <c r="AD351" s="3">
        <f>IFERROR(__xludf.DUMMYFUNCTION("""COMPUTED_VALUE"""),90.24)</f>
        <v>90.24</v>
      </c>
      <c r="AE351" s="1">
        <f>IFERROR(__xludf.DUMMYFUNCTION("""COMPUTED_VALUE"""),431.24)</f>
        <v>431.24</v>
      </c>
      <c r="AF351" s="1">
        <f>IFERROR(__xludf.DUMMYFUNCTION("""COMPUTED_VALUE"""),88.4)</f>
        <v>88.4</v>
      </c>
      <c r="AG351" s="1">
        <f>IFERROR(__xludf.DUMMYFUNCTION("""COMPUTED_VALUE"""),111.29)</f>
        <v>111.29</v>
      </c>
      <c r="AH351" s="1">
        <f>IFERROR(__xludf.DUMMYFUNCTION("""COMPUTED_VALUE"""),242.32)</f>
        <v>242.32</v>
      </c>
      <c r="AI351" s="1">
        <f>IFERROR(__xludf.DUMMYFUNCTION("""COMPUTED_VALUE"""),504.09)</f>
        <v>504.09</v>
      </c>
      <c r="AJ351" s="1">
        <f>IFERROR(__xludf.DUMMYFUNCTION("""COMPUTED_VALUE"""),341.05)</f>
        <v>341.05</v>
      </c>
      <c r="AK351" s="1">
        <f>IFERROR(__xludf.DUMMYFUNCTION("""COMPUTED_VALUE"""),59.36)</f>
        <v>59.36</v>
      </c>
      <c r="AL351" s="1">
        <f>IFERROR(__xludf.DUMMYFUNCTION("""COMPUTED_VALUE"""),110.56)</f>
        <v>110.56</v>
      </c>
      <c r="AM351" s="1">
        <f>IFERROR(__xludf.DUMMYFUNCTION("""COMPUTED_VALUE"""),779.38)</f>
        <v>779.38</v>
      </c>
      <c r="AN351" s="1">
        <f>IFERROR(__xludf.DUMMYFUNCTION("""COMPUTED_VALUE"""),395.01)</f>
        <v>395.01</v>
      </c>
      <c r="AO351" s="1">
        <f>IFERROR(__xludf.DUMMYFUNCTION("""COMPUTED_VALUE"""),147.58)</f>
        <v>147.58</v>
      </c>
      <c r="AP351" s="1">
        <f>IFERROR(__xludf.DUMMYFUNCTION("""COMPUTED_VALUE"""),160.98)</f>
        <v>160.98</v>
      </c>
      <c r="AQ351" s="3">
        <f>IFERROR(__xludf.DUMMYFUNCTION("""COMPUTED_VALUE"""),443.01)</f>
        <v>443.01</v>
      </c>
      <c r="AR351" s="3">
        <f>IFERROR(__xludf.DUMMYFUNCTION("""COMPUTED_VALUE"""),307.55)</f>
        <v>307.55</v>
      </c>
      <c r="AS351" s="3">
        <f>IFERROR(__xludf.DUMMYFUNCTION("""COMPUTED_VALUE"""),499.36)</f>
        <v>499.36</v>
      </c>
      <c r="AT351" s="3">
        <f>IFERROR(__xludf.DUMMYFUNCTION("""COMPUTED_VALUE"""),178.2)</f>
        <v>178.2</v>
      </c>
      <c r="AU351" s="1">
        <f>IFERROR(__xludf.DUMMYFUNCTION("""COMPUTED_VALUE"""),31.41)</f>
        <v>31.41</v>
      </c>
      <c r="AV351" s="1">
        <f>IFERROR(__xludf.DUMMYFUNCTION("""COMPUTED_VALUE"""),95.48)</f>
        <v>95.48</v>
      </c>
      <c r="AW351" s="1">
        <f>IFERROR(__xludf.DUMMYFUNCTION("""COMPUTED_VALUE"""),81.33)</f>
        <v>81.33</v>
      </c>
      <c r="AX351" s="3">
        <f>IFERROR(__xludf.DUMMYFUNCTION("""COMPUTED_VALUE"""),70.96)</f>
        <v>70.96</v>
      </c>
      <c r="AY351" s="1">
        <f>IFERROR(__xludf.DUMMYFUNCTION("""COMPUTED_VALUE"""),515.74)</f>
        <v>515.74</v>
      </c>
      <c r="AZ351" s="3">
        <f>IFERROR(__xludf.DUMMYFUNCTION("""COMPUTED_VALUE"""),78.18)</f>
        <v>78.18</v>
      </c>
      <c r="BA351" s="3">
        <f>IFERROR(__xludf.DUMMYFUNCTION("""COMPUTED_VALUE"""),167.3)</f>
        <v>167.3</v>
      </c>
      <c r="BB351" s="3">
        <f>IFERROR(__xludf.DUMMYFUNCTION("""COMPUTED_VALUE"""),188.89)</f>
        <v>188.89</v>
      </c>
      <c r="BC351" s="1">
        <f>IFERROR(__xludf.DUMMYFUNCTION("""COMPUTED_VALUE"""),92.24)</f>
        <v>92.24</v>
      </c>
      <c r="BD351" s="1">
        <f>IFERROR(__xludf.DUMMYFUNCTION("""COMPUTED_VALUE"""),42.36)</f>
        <v>42.36</v>
      </c>
      <c r="BE351" s="3">
        <f>IFERROR(__xludf.DUMMYFUNCTION("""COMPUTED_VALUE"""),187.05)</f>
        <v>187.05</v>
      </c>
      <c r="BF351" s="1">
        <f>IFERROR(__xludf.DUMMYFUNCTION("""COMPUTED_VALUE"""),68.93)</f>
        <v>68.93</v>
      </c>
      <c r="BG351" s="1">
        <f>IFERROR(__xludf.DUMMYFUNCTION("""COMPUTED_VALUE"""),27.08)</f>
        <v>27.08</v>
      </c>
      <c r="BH351" s="1">
        <f>IFERROR(__xludf.DUMMYFUNCTION("""COMPUTED_VALUE"""),166.63)</f>
        <v>166.63</v>
      </c>
      <c r="BI351" s="3">
        <f>IFERROR(__xludf.DUMMYFUNCTION("""COMPUTED_VALUE"""),45.7)</f>
        <v>45.7</v>
      </c>
      <c r="BJ351" s="1">
        <f>IFERROR(__xludf.DUMMYFUNCTION("""COMPUTED_VALUE"""),230.14)</f>
        <v>230.14</v>
      </c>
      <c r="BK351" s="1">
        <f>IFERROR(__xludf.DUMMYFUNCTION("""COMPUTED_VALUE"""),524.96)</f>
        <v>524.96</v>
      </c>
      <c r="BL351" s="1">
        <f>IFERROR(__xludf.DUMMYFUNCTION("""COMPUTED_VALUE"""),190.52)</f>
        <v>190.52</v>
      </c>
      <c r="BM351" s="1">
        <f>IFERROR(__xludf.DUMMYFUNCTION("""COMPUTED_VALUE"""),116.07)</f>
        <v>116.07</v>
      </c>
      <c r="BN351" s="3">
        <f>IFERROR(__xludf.DUMMYFUNCTION("""COMPUTED_VALUE"""),5.09)</f>
        <v>5.09</v>
      </c>
      <c r="BO351" s="1">
        <f>IFERROR(__xludf.DUMMYFUNCTION("""COMPUTED_VALUE"""),234.52)</f>
        <v>234.52</v>
      </c>
      <c r="BP351" s="1">
        <f>IFERROR(__xludf.DUMMYFUNCTION("""COMPUTED_VALUE"""),353.72)</f>
        <v>353.72</v>
      </c>
      <c r="BQ351" s="36">
        <f>IFERROR(__xludf.DUMMYFUNCTION("""COMPUTED_VALUE"""),50.03)</f>
        <v>50.03</v>
      </c>
      <c r="BR351" s="1">
        <f>IFERROR(__xludf.DUMMYFUNCTION("""COMPUTED_VALUE"""),10.11)</f>
        <v>10.11</v>
      </c>
      <c r="BS351" s="3">
        <f>IFERROR(__xludf.DUMMYFUNCTION("""COMPUTED_VALUE"""),216.91)</f>
        <v>216.91</v>
      </c>
      <c r="BT351" s="1">
        <f>IFERROR(__xludf.DUMMYFUNCTION("""COMPUTED_VALUE"""),112.14)</f>
        <v>112.14</v>
      </c>
      <c r="BU351" s="3">
        <v>1.0</v>
      </c>
    </row>
    <row r="352">
      <c r="A352" s="25">
        <f>IFERROR(__xludf.DUMMYFUNCTION("""COMPUTED_VALUE"""),45933.66666666667)</f>
        <v>45933.66667</v>
      </c>
      <c r="B352" s="29">
        <f>'Master Scratch Work'!B351</f>
        <v>1487747.36</v>
      </c>
      <c r="C352" s="15">
        <f>IFERROR(__xludf.DUMMYFUNCTION("""COMPUTED_VALUE"""),6715.79)</f>
        <v>6715.79</v>
      </c>
      <c r="D352" s="15">
        <f>IFERROR(__xludf.DUMMYFUNCTION("""COMPUTED_VALUE"""),22780.51)</f>
        <v>22780.51</v>
      </c>
      <c r="E352" s="15">
        <f>IFERROR(__xludf.DUMMYFUNCTION("""COMPUTED_VALUE"""),46758.28)</f>
        <v>46758.28</v>
      </c>
      <c r="F352" s="15">
        <f>IFERROR(__xludf.DUMMYFUNCTION("""COMPUTED_VALUE"""),2476.18)</f>
        <v>2476.18</v>
      </c>
      <c r="G352" s="3">
        <f>IFERROR(__xludf.DUMMYFUNCTION("""COMPUTED_VALUE"""),669.21)</f>
        <v>669.21</v>
      </c>
      <c r="H352" s="3">
        <f>IFERROR(__xludf.DUMMYFUNCTION("""COMPUTED_VALUE"""),603.18)</f>
        <v>603.18</v>
      </c>
      <c r="I352" s="3">
        <f>IFERROR(__xludf.DUMMYFUNCTION("""COMPUTED_VALUE"""),346.74)</f>
        <v>346.74</v>
      </c>
      <c r="J352" s="3">
        <f>IFERROR(__xludf.DUMMYFUNCTION("""COMPUTED_VALUE"""),219.51)</f>
        <v>219.51</v>
      </c>
      <c r="K352" s="3">
        <f>IFERROR(__xludf.DUMMYFUNCTION("""COMPUTED_VALUE"""),137.75)</f>
        <v>137.75</v>
      </c>
      <c r="L352" s="3">
        <f>IFERROR(__xludf.DUMMYFUNCTION("""COMPUTED_VALUE"""),258.02)</f>
        <v>258.02</v>
      </c>
      <c r="M352" s="3">
        <f>IFERROR(__xludf.DUMMYFUNCTION("""COMPUTED_VALUE"""),217.53)</f>
        <v>217.53</v>
      </c>
      <c r="N352" s="3">
        <f>IFERROR(__xludf.DUMMYFUNCTION("""COMPUTED_VALUE"""),106.6)</f>
        <v>106.6</v>
      </c>
      <c r="O352" s="3">
        <f>IFERROR(__xludf.DUMMYFUNCTION("""COMPUTED_VALUE"""),20.97)</f>
        <v>20.97</v>
      </c>
      <c r="P352" s="3">
        <f>IFERROR(__xludf.DUMMYFUNCTION("""COMPUTED_VALUE"""),498.75)</f>
        <v>498.75</v>
      </c>
      <c r="Q352" s="3">
        <f>IFERROR(__xludf.DUMMYFUNCTION("""COMPUTED_VALUE"""),55.47)</f>
        <v>55.47</v>
      </c>
      <c r="R352" s="3">
        <f>IFERROR(__xludf.DUMMYFUNCTION("""COMPUTED_VALUE"""),159.88)</f>
        <v>159.88</v>
      </c>
      <c r="S352" s="3">
        <f>IFERROR(__xludf.DUMMYFUNCTION("""COMPUTED_VALUE"""),97.32)</f>
        <v>97.32</v>
      </c>
      <c r="T352" s="3">
        <f>IFERROR(__xludf.DUMMYFUNCTION("""COMPUTED_VALUE"""),59.65)</f>
        <v>59.65</v>
      </c>
      <c r="U352" s="3">
        <f>IFERROR(__xludf.DUMMYFUNCTION("""COMPUTED_VALUE"""),497.85)</f>
        <v>497.85</v>
      </c>
      <c r="V352" s="3">
        <f>IFERROR(__xludf.DUMMYFUNCTION("""COMPUTED_VALUE"""),84.17)</f>
        <v>84.17</v>
      </c>
      <c r="W352" s="3">
        <f>IFERROR(__xludf.DUMMYFUNCTION("""COMPUTED_VALUE"""),201.57)</f>
        <v>201.57</v>
      </c>
      <c r="X352" s="3">
        <f>IFERROR(__xludf.DUMMYFUNCTION("""COMPUTED_VALUE"""),153.55)</f>
        <v>153.55</v>
      </c>
      <c r="Y352" s="1">
        <f>IFERROR(__xludf.DUMMYFUNCTION("""COMPUTED_VALUE"""),311.0)</f>
        <v>311</v>
      </c>
      <c r="Z352" s="1">
        <f>IFERROR(__xludf.DUMMYFUNCTION("""COMPUTED_VALUE"""),53.82)</f>
        <v>53.82</v>
      </c>
      <c r="AA352" s="1">
        <f>IFERROR(__xludf.DUMMYFUNCTION("""COMPUTED_VALUE"""),66.65)</f>
        <v>66.65</v>
      </c>
      <c r="AB352" s="1">
        <f>IFERROR(__xludf.DUMMYFUNCTION("""COMPUTED_VALUE"""),98.81)</f>
        <v>98.81</v>
      </c>
      <c r="AC352" s="1">
        <f>IFERROR(__xludf.DUMMYFUNCTION("""COMPUTED_VALUE"""),176.35)</f>
        <v>176.35</v>
      </c>
      <c r="AD352" s="3">
        <f>IFERROR(__xludf.DUMMYFUNCTION("""COMPUTED_VALUE"""),89.98)</f>
        <v>89.98</v>
      </c>
      <c r="AE352" s="1">
        <f>IFERROR(__xludf.DUMMYFUNCTION("""COMPUTED_VALUE"""),426.71)</f>
        <v>426.71</v>
      </c>
      <c r="AF352" s="1">
        <f>IFERROR(__xludf.DUMMYFUNCTION("""COMPUTED_VALUE"""),92.17)</f>
        <v>92.17</v>
      </c>
      <c r="AG352" s="1">
        <f>IFERROR(__xludf.DUMMYFUNCTION("""COMPUTED_VALUE"""),113.26)</f>
        <v>113.26</v>
      </c>
      <c r="AH352" s="1">
        <f>IFERROR(__xludf.DUMMYFUNCTION("""COMPUTED_VALUE"""),244.61)</f>
        <v>244.61</v>
      </c>
      <c r="AI352" s="1">
        <f>IFERROR(__xludf.DUMMYFUNCTION("""COMPUTED_VALUE"""),501.15)</f>
        <v>501.15</v>
      </c>
      <c r="AJ352" s="1">
        <f>IFERROR(__xludf.DUMMYFUNCTION("""COMPUTED_VALUE"""),343.62)</f>
        <v>343.62</v>
      </c>
      <c r="AK352" s="1">
        <f>IFERROR(__xludf.DUMMYFUNCTION("""COMPUTED_VALUE"""),60.13)</f>
        <v>60.13</v>
      </c>
      <c r="AL352" s="1">
        <f>IFERROR(__xludf.DUMMYFUNCTION("""COMPUTED_VALUE"""),112.69)</f>
        <v>112.69</v>
      </c>
      <c r="AM352" s="1">
        <f>IFERROR(__xludf.DUMMYFUNCTION("""COMPUTED_VALUE"""),789.98)</f>
        <v>789.98</v>
      </c>
      <c r="AN352" s="1">
        <f>IFERROR(__xludf.DUMMYFUNCTION("""COMPUTED_VALUE"""),395.06)</f>
        <v>395.06</v>
      </c>
      <c r="AO352" s="1">
        <f>IFERROR(__xludf.DUMMYFUNCTION("""COMPUTED_VALUE"""),150.32)</f>
        <v>150.32</v>
      </c>
      <c r="AP352" s="1">
        <f>IFERROR(__xludf.DUMMYFUNCTION("""COMPUTED_VALUE"""),162.62)</f>
        <v>162.62</v>
      </c>
      <c r="AQ352" s="3">
        <f>IFERROR(__xludf.DUMMYFUNCTION("""COMPUTED_VALUE"""),452.35)</f>
        <v>452.35</v>
      </c>
      <c r="AR352" s="3">
        <f>IFERROR(__xludf.DUMMYFUNCTION("""COMPUTED_VALUE"""),310.03)</f>
        <v>310.03</v>
      </c>
      <c r="AS352" s="3">
        <f>IFERROR(__xludf.DUMMYFUNCTION("""COMPUTED_VALUE"""),504.49)</f>
        <v>504.49</v>
      </c>
      <c r="AT352" s="3">
        <f>IFERROR(__xludf.DUMMYFUNCTION("""COMPUTED_VALUE"""),175.59)</f>
        <v>175.59</v>
      </c>
      <c r="AU352" s="1">
        <f>IFERROR(__xludf.DUMMYFUNCTION("""COMPUTED_VALUE"""),31.96)</f>
        <v>31.96</v>
      </c>
      <c r="AV352" s="1">
        <f>IFERROR(__xludf.DUMMYFUNCTION("""COMPUTED_VALUE"""),97.7)</f>
        <v>97.7</v>
      </c>
      <c r="AW352" s="1">
        <f>IFERROR(__xludf.DUMMYFUNCTION("""COMPUTED_VALUE"""),82.37)</f>
        <v>82.37</v>
      </c>
      <c r="AX352" s="3">
        <f>IFERROR(__xludf.DUMMYFUNCTION("""COMPUTED_VALUE"""),71.5)</f>
        <v>71.5</v>
      </c>
      <c r="AY352" s="1">
        <f>IFERROR(__xludf.DUMMYFUNCTION("""COMPUTED_VALUE"""),517.35)</f>
        <v>517.35</v>
      </c>
      <c r="AZ352" s="3">
        <f>IFERROR(__xludf.DUMMYFUNCTION("""COMPUTED_VALUE"""),80.06)</f>
        <v>80.06</v>
      </c>
      <c r="BA352" s="3">
        <f>IFERROR(__xludf.DUMMYFUNCTION("""COMPUTED_VALUE"""),166.28)</f>
        <v>166.28</v>
      </c>
      <c r="BB352" s="3">
        <f>IFERROR(__xludf.DUMMYFUNCTION("""COMPUTED_VALUE"""),187.62)</f>
        <v>187.62</v>
      </c>
      <c r="BC352" s="1">
        <f>IFERROR(__xludf.DUMMYFUNCTION("""COMPUTED_VALUE"""),91.54)</f>
        <v>91.54</v>
      </c>
      <c r="BD352" s="1">
        <f>IFERROR(__xludf.DUMMYFUNCTION("""COMPUTED_VALUE"""),42.1)</f>
        <v>42.1</v>
      </c>
      <c r="BE352" s="3">
        <f>IFERROR(__xludf.DUMMYFUNCTION("""COMPUTED_VALUE"""),173.07)</f>
        <v>173.07</v>
      </c>
      <c r="BF352" s="1">
        <f>IFERROR(__xludf.DUMMYFUNCTION("""COMPUTED_VALUE"""),69.25)</f>
        <v>69.25</v>
      </c>
      <c r="BG352" s="1">
        <f>IFERROR(__xludf.DUMMYFUNCTION("""COMPUTED_VALUE"""),27.37)</f>
        <v>27.37</v>
      </c>
      <c r="BH352" s="1">
        <f>IFERROR(__xludf.DUMMYFUNCTION("""COMPUTED_VALUE"""),166.58)</f>
        <v>166.58</v>
      </c>
      <c r="BI352" s="3">
        <f>IFERROR(__xludf.DUMMYFUNCTION("""COMPUTED_VALUE"""),46.71)</f>
        <v>46.71</v>
      </c>
      <c r="BJ352" s="1">
        <f>IFERROR(__xludf.DUMMYFUNCTION("""COMPUTED_VALUE"""),230.27)</f>
        <v>230.27</v>
      </c>
      <c r="BK352" s="1">
        <f>IFERROR(__xludf.DUMMYFUNCTION("""COMPUTED_VALUE"""),543.32)</f>
        <v>543.32</v>
      </c>
      <c r="BL352" s="1">
        <f>IFERROR(__xludf.DUMMYFUNCTION("""COMPUTED_VALUE"""),194.59)</f>
        <v>194.59</v>
      </c>
      <c r="BM352" s="1">
        <f>IFERROR(__xludf.DUMMYFUNCTION("""COMPUTED_VALUE"""),115.69)</f>
        <v>115.69</v>
      </c>
      <c r="BN352" s="3">
        <f>IFERROR(__xludf.DUMMYFUNCTION("""COMPUTED_VALUE"""),5.05)</f>
        <v>5.05</v>
      </c>
      <c r="BO352" s="1">
        <f>IFERROR(__xludf.DUMMYFUNCTION("""COMPUTED_VALUE"""),236.8)</f>
        <v>236.8</v>
      </c>
      <c r="BP352" s="1">
        <f>IFERROR(__xludf.DUMMYFUNCTION("""COMPUTED_VALUE"""),360.2)</f>
        <v>360.2</v>
      </c>
      <c r="BQ352" s="36">
        <f>IFERROR(__xludf.DUMMYFUNCTION("""COMPUTED_VALUE"""),49.99)</f>
        <v>49.99</v>
      </c>
      <c r="BR352" s="1">
        <f>IFERROR(__xludf.DUMMYFUNCTION("""COMPUTED_VALUE"""),10.19)</f>
        <v>10.19</v>
      </c>
      <c r="BS352" s="3">
        <f>IFERROR(__xludf.DUMMYFUNCTION("""COMPUTED_VALUE"""),219.76)</f>
        <v>219.76</v>
      </c>
      <c r="BT352" s="1">
        <f>IFERROR(__xludf.DUMMYFUNCTION("""COMPUTED_VALUE"""),112.47)</f>
        <v>112.47</v>
      </c>
      <c r="BU352" s="3">
        <v>1.0</v>
      </c>
    </row>
    <row r="353">
      <c r="A353" s="25">
        <f>IFERROR(__xludf.DUMMYFUNCTION("""COMPUTED_VALUE"""),45936.66666666667)</f>
        <v>45936.66667</v>
      </c>
      <c r="B353" s="29">
        <f>'Master Scratch Work'!B352</f>
        <v>1489635.57</v>
      </c>
      <c r="C353" s="15">
        <f>IFERROR(__xludf.DUMMYFUNCTION("""COMPUTED_VALUE"""),6740.28)</f>
        <v>6740.28</v>
      </c>
      <c r="D353" s="15">
        <f>IFERROR(__xludf.DUMMYFUNCTION("""COMPUTED_VALUE"""),22941.67)</f>
        <v>22941.67</v>
      </c>
      <c r="E353" s="15">
        <f>IFERROR(__xludf.DUMMYFUNCTION("""COMPUTED_VALUE"""),46694.97)</f>
        <v>46694.97</v>
      </c>
      <c r="F353" s="15">
        <f>IFERROR(__xludf.DUMMYFUNCTION("""COMPUTED_VALUE"""),2486.35)</f>
        <v>2486.35</v>
      </c>
      <c r="G353" s="3">
        <f>IFERROR(__xludf.DUMMYFUNCTION("""COMPUTED_VALUE"""),671.61)</f>
        <v>671.61</v>
      </c>
      <c r="H353" s="3">
        <f>IFERROR(__xludf.DUMMYFUNCTION("""COMPUTED_VALUE"""),607.71)</f>
        <v>607.71</v>
      </c>
      <c r="I353" s="3">
        <f>IFERROR(__xludf.DUMMYFUNCTION("""COMPUTED_VALUE"""),350.14)</f>
        <v>350.14</v>
      </c>
      <c r="J353" s="3">
        <f>IFERROR(__xludf.DUMMYFUNCTION("""COMPUTED_VALUE"""),220.9)</f>
        <v>220.9</v>
      </c>
      <c r="K353" s="3">
        <f>IFERROR(__xludf.DUMMYFUNCTION("""COMPUTED_VALUE"""),138.94)</f>
        <v>138.94</v>
      </c>
      <c r="L353" s="3">
        <f>IFERROR(__xludf.DUMMYFUNCTION("""COMPUTED_VALUE"""),256.69)</f>
        <v>256.69</v>
      </c>
      <c r="M353" s="3">
        <f>IFERROR(__xludf.DUMMYFUNCTION("""COMPUTED_VALUE"""),223.91)</f>
        <v>223.91</v>
      </c>
      <c r="N353" s="3">
        <f>IFERROR(__xludf.DUMMYFUNCTION("""COMPUTED_VALUE"""),106.43)</f>
        <v>106.43</v>
      </c>
      <c r="O353" s="3">
        <f>IFERROR(__xludf.DUMMYFUNCTION("""COMPUTED_VALUE"""),20.63)</f>
        <v>20.63</v>
      </c>
      <c r="P353" s="3">
        <f>IFERROR(__xludf.DUMMYFUNCTION("""COMPUTED_VALUE"""),500.02)</f>
        <v>500.02</v>
      </c>
      <c r="Q353" s="3">
        <f>IFERROR(__xludf.DUMMYFUNCTION("""COMPUTED_VALUE"""),55.97)</f>
        <v>55.97</v>
      </c>
      <c r="R353" s="3">
        <f>IFERROR(__xludf.DUMMYFUNCTION("""COMPUTED_VALUE"""),154.05)</f>
        <v>154.05</v>
      </c>
      <c r="S353" s="3">
        <f>IFERROR(__xludf.DUMMYFUNCTION("""COMPUTED_VALUE"""),96.7)</f>
        <v>96.7</v>
      </c>
      <c r="T353" s="3">
        <f>IFERROR(__xludf.DUMMYFUNCTION("""COMPUTED_VALUE"""),59.81)</f>
        <v>59.81</v>
      </c>
      <c r="U353" s="3">
        <f>IFERROR(__xludf.DUMMYFUNCTION("""COMPUTED_VALUE"""),495.38)</f>
        <v>495.38</v>
      </c>
      <c r="V353" s="3">
        <f>IFERROR(__xludf.DUMMYFUNCTION("""COMPUTED_VALUE"""),85.31)</f>
        <v>85.31</v>
      </c>
      <c r="W353" s="3">
        <f>IFERROR(__xludf.DUMMYFUNCTION("""COMPUTED_VALUE"""),200.96)</f>
        <v>200.96</v>
      </c>
      <c r="X353" s="3">
        <f>IFERROR(__xludf.DUMMYFUNCTION("""COMPUTED_VALUE"""),154.02)</f>
        <v>154.02</v>
      </c>
      <c r="Y353" s="1">
        <f>IFERROR(__xludf.DUMMYFUNCTION("""COMPUTED_VALUE"""),302.99)</f>
        <v>302.99</v>
      </c>
      <c r="Z353" s="1">
        <f>IFERROR(__xludf.DUMMYFUNCTION("""COMPUTED_VALUE"""),54.0)</f>
        <v>54</v>
      </c>
      <c r="AA353" s="1">
        <f>IFERROR(__xludf.DUMMYFUNCTION("""COMPUTED_VALUE"""),66.1)</f>
        <v>66.1</v>
      </c>
      <c r="AB353" s="1">
        <f>IFERROR(__xludf.DUMMYFUNCTION("""COMPUTED_VALUE"""),99.33)</f>
        <v>99.33</v>
      </c>
      <c r="AC353" s="1">
        <f>IFERROR(__xludf.DUMMYFUNCTION("""COMPUTED_VALUE"""),176.96)</f>
        <v>176.96</v>
      </c>
      <c r="AD353" s="3">
        <f>IFERROR(__xludf.DUMMYFUNCTION("""COMPUTED_VALUE"""),87.68)</f>
        <v>87.68</v>
      </c>
      <c r="AE353" s="1">
        <f>IFERROR(__xludf.DUMMYFUNCTION("""COMPUTED_VALUE"""),422.91)</f>
        <v>422.91</v>
      </c>
      <c r="AF353" s="1">
        <f>IFERROR(__xludf.DUMMYFUNCTION("""COMPUTED_VALUE"""),91.77)</f>
        <v>91.77</v>
      </c>
      <c r="AG353" s="1">
        <f>IFERROR(__xludf.DUMMYFUNCTION("""COMPUTED_VALUE"""),114.2)</f>
        <v>114.2</v>
      </c>
      <c r="AH353" s="1">
        <f>IFERROR(__xludf.DUMMYFUNCTION("""COMPUTED_VALUE"""),247.03)</f>
        <v>247.03</v>
      </c>
      <c r="AI353" s="1">
        <f>IFERROR(__xludf.DUMMYFUNCTION("""COMPUTED_VALUE"""),491.53)</f>
        <v>491.53</v>
      </c>
      <c r="AJ353" s="1">
        <f>IFERROR(__xludf.DUMMYFUNCTION("""COMPUTED_VALUE"""),346.5)</f>
        <v>346.5</v>
      </c>
      <c r="AK353" s="1">
        <f>IFERROR(__xludf.DUMMYFUNCTION("""COMPUTED_VALUE"""),58.19)</f>
        <v>58.19</v>
      </c>
      <c r="AL353" s="1">
        <f>IFERROR(__xludf.DUMMYFUNCTION("""COMPUTED_VALUE"""),113.58)</f>
        <v>113.58</v>
      </c>
      <c r="AM353" s="1">
        <f>IFERROR(__xludf.DUMMYFUNCTION("""COMPUTED_VALUE"""),796.78)</f>
        <v>796.78</v>
      </c>
      <c r="AN353" s="1">
        <f>IFERROR(__xludf.DUMMYFUNCTION("""COMPUTED_VALUE"""),389.33)</f>
        <v>389.33</v>
      </c>
      <c r="AO353" s="1">
        <f>IFERROR(__xludf.DUMMYFUNCTION("""COMPUTED_VALUE"""),150.2)</f>
        <v>150.2</v>
      </c>
      <c r="AP353" s="1">
        <f>IFERROR(__xludf.DUMMYFUNCTION("""COMPUTED_VALUE"""),159.06)</f>
        <v>159.06</v>
      </c>
      <c r="AQ353" s="3">
        <f>IFERROR(__xludf.DUMMYFUNCTION("""COMPUTED_VALUE"""),449.69)</f>
        <v>449.69</v>
      </c>
      <c r="AR353" s="3">
        <f>IFERROR(__xludf.DUMMYFUNCTION("""COMPUTED_VALUE"""),309.18)</f>
        <v>309.18</v>
      </c>
      <c r="AS353" s="3">
        <f>IFERROR(__xludf.DUMMYFUNCTION("""COMPUTED_VALUE"""),514.24)</f>
        <v>514.24</v>
      </c>
      <c r="AT353" s="3">
        <f>IFERROR(__xludf.DUMMYFUNCTION("""COMPUTED_VALUE"""),174.12)</f>
        <v>174.12</v>
      </c>
      <c r="AU353" s="1">
        <f>IFERROR(__xludf.DUMMYFUNCTION("""COMPUTED_VALUE"""),32.3)</f>
        <v>32.3</v>
      </c>
      <c r="AV353" s="1">
        <f>IFERROR(__xludf.DUMMYFUNCTION("""COMPUTED_VALUE"""),98.43)</f>
        <v>98.43</v>
      </c>
      <c r="AW353" s="1">
        <f>IFERROR(__xludf.DUMMYFUNCTION("""COMPUTED_VALUE"""),82.35)</f>
        <v>82.35</v>
      </c>
      <c r="AX353" s="3">
        <f>IFERROR(__xludf.DUMMYFUNCTION("""COMPUTED_VALUE"""),74.33)</f>
        <v>74.33</v>
      </c>
      <c r="AY353" s="1">
        <f>IFERROR(__xludf.DUMMYFUNCTION("""COMPUTED_VALUE"""),528.57)</f>
        <v>528.57</v>
      </c>
      <c r="AZ353" s="3">
        <f>IFERROR(__xludf.DUMMYFUNCTION("""COMPUTED_VALUE"""),82.11)</f>
        <v>82.11</v>
      </c>
      <c r="BA353" s="3">
        <f>IFERROR(__xludf.DUMMYFUNCTION("""COMPUTED_VALUE"""),163.95)</f>
        <v>163.95</v>
      </c>
      <c r="BB353" s="3">
        <f>IFERROR(__xludf.DUMMYFUNCTION("""COMPUTED_VALUE"""),185.54)</f>
        <v>185.54</v>
      </c>
      <c r="BC353" s="1">
        <f>IFERROR(__xludf.DUMMYFUNCTION("""COMPUTED_VALUE"""),90.83)</f>
        <v>90.83</v>
      </c>
      <c r="BD353" s="1">
        <f>IFERROR(__xludf.DUMMYFUNCTION("""COMPUTED_VALUE"""),42.57)</f>
        <v>42.57</v>
      </c>
      <c r="BE353" s="3">
        <f>IFERROR(__xludf.DUMMYFUNCTION("""COMPUTED_VALUE"""),179.53)</f>
        <v>179.53</v>
      </c>
      <c r="BF353" s="1">
        <f>IFERROR(__xludf.DUMMYFUNCTION("""COMPUTED_VALUE"""),71.29)</f>
        <v>71.29</v>
      </c>
      <c r="BG353" s="1">
        <f>IFERROR(__xludf.DUMMYFUNCTION("""COMPUTED_VALUE"""),26.43)</f>
        <v>26.43</v>
      </c>
      <c r="BH353" s="1">
        <f>IFERROR(__xludf.DUMMYFUNCTION("""COMPUTED_VALUE"""),168.8)</f>
        <v>168.8</v>
      </c>
      <c r="BI353" s="3">
        <f>IFERROR(__xludf.DUMMYFUNCTION("""COMPUTED_VALUE"""),46.58)</f>
        <v>46.58</v>
      </c>
      <c r="BJ353" s="1">
        <f>IFERROR(__xludf.DUMMYFUNCTION("""COMPUTED_VALUE"""),224.96)</f>
        <v>224.96</v>
      </c>
      <c r="BK353" s="1">
        <f>IFERROR(__xludf.DUMMYFUNCTION("""COMPUTED_VALUE"""),543.95)</f>
        <v>543.95</v>
      </c>
      <c r="BL353" s="1">
        <f>IFERROR(__xludf.DUMMYFUNCTION("""COMPUTED_VALUE"""),199.18)</f>
        <v>199.18</v>
      </c>
      <c r="BM353" s="1">
        <f>IFERROR(__xludf.DUMMYFUNCTION("""COMPUTED_VALUE"""),113.93)</f>
        <v>113.93</v>
      </c>
      <c r="BN353" s="3">
        <f>IFERROR(__xludf.DUMMYFUNCTION("""COMPUTED_VALUE"""),5.0)</f>
        <v>5</v>
      </c>
      <c r="BO353" s="1">
        <f>IFERROR(__xludf.DUMMYFUNCTION("""COMPUTED_VALUE"""),237.41)</f>
        <v>237.41</v>
      </c>
      <c r="BP353" s="1">
        <f>IFERROR(__xludf.DUMMYFUNCTION("""COMPUTED_VALUE"""),358.77)</f>
        <v>358.77</v>
      </c>
      <c r="BQ353" s="36">
        <f>IFERROR(__xludf.DUMMYFUNCTION("""COMPUTED_VALUE"""),50.01)</f>
        <v>50.01</v>
      </c>
      <c r="BR353" s="1">
        <f>IFERROR(__xludf.DUMMYFUNCTION("""COMPUTED_VALUE"""),10.13)</f>
        <v>10.13</v>
      </c>
      <c r="BS353" s="3">
        <f>IFERROR(__xludf.DUMMYFUNCTION("""COMPUTED_VALUE"""),217.69)</f>
        <v>217.69</v>
      </c>
      <c r="BT353" s="1">
        <f>IFERROR(__xludf.DUMMYFUNCTION("""COMPUTED_VALUE"""),112.75)</f>
        <v>112.75</v>
      </c>
      <c r="BU353" s="3">
        <v>1.0</v>
      </c>
    </row>
    <row r="354">
      <c r="A354" s="25">
        <f>IFERROR(__xludf.DUMMYFUNCTION("""COMPUTED_VALUE"""),45937.66666666667)</f>
        <v>45937.66667</v>
      </c>
      <c r="B354" s="29">
        <f>'Master Scratch Work'!B353</f>
        <v>1488105.41</v>
      </c>
      <c r="C354" s="15">
        <f>IFERROR(__xludf.DUMMYFUNCTION("""COMPUTED_VALUE"""),6714.59)</f>
        <v>6714.59</v>
      </c>
      <c r="D354" s="15">
        <f>IFERROR(__xludf.DUMMYFUNCTION("""COMPUTED_VALUE"""),22788.36)</f>
        <v>22788.36</v>
      </c>
      <c r="E354" s="15">
        <f>IFERROR(__xludf.DUMMYFUNCTION("""COMPUTED_VALUE"""),46602.98)</f>
        <v>46602.98</v>
      </c>
      <c r="F354" s="15">
        <f>IFERROR(__xludf.DUMMYFUNCTION("""COMPUTED_VALUE"""),2458.42)</f>
        <v>2458.42</v>
      </c>
      <c r="G354" s="3">
        <f>IFERROR(__xludf.DUMMYFUNCTION("""COMPUTED_VALUE"""),669.12)</f>
        <v>669.12</v>
      </c>
      <c r="H354" s="3">
        <f>IFERROR(__xludf.DUMMYFUNCTION("""COMPUTED_VALUE"""),604.51)</f>
        <v>604.51</v>
      </c>
      <c r="I354" s="3">
        <f>IFERROR(__xludf.DUMMYFUNCTION("""COMPUTED_VALUE"""),348.31)</f>
        <v>348.31</v>
      </c>
      <c r="J354" s="3">
        <f>IFERROR(__xludf.DUMMYFUNCTION("""COMPUTED_VALUE"""),221.78)</f>
        <v>221.78</v>
      </c>
      <c r="K354" s="3">
        <f>IFERROR(__xludf.DUMMYFUNCTION("""COMPUTED_VALUE"""),142.51)</f>
        <v>142.51</v>
      </c>
      <c r="L354" s="3">
        <f>IFERROR(__xludf.DUMMYFUNCTION("""COMPUTED_VALUE"""),256.48)</f>
        <v>256.48</v>
      </c>
      <c r="M354" s="3">
        <f>IFERROR(__xludf.DUMMYFUNCTION("""COMPUTED_VALUE"""),211.56)</f>
        <v>211.56</v>
      </c>
      <c r="N354" s="3">
        <f>IFERROR(__xludf.DUMMYFUNCTION("""COMPUTED_VALUE"""),106.93)</f>
        <v>106.93</v>
      </c>
      <c r="O354" s="3">
        <f>IFERROR(__xludf.DUMMYFUNCTION("""COMPUTED_VALUE"""),20.44)</f>
        <v>20.44</v>
      </c>
      <c r="P354" s="3">
        <f>IFERROR(__xludf.DUMMYFUNCTION("""COMPUTED_VALUE"""),502.3)</f>
        <v>502.3</v>
      </c>
      <c r="Q354" s="3">
        <f>IFERROR(__xludf.DUMMYFUNCTION("""COMPUTED_VALUE"""),55.2)</f>
        <v>55.2</v>
      </c>
      <c r="R354" s="3">
        <f>IFERROR(__xludf.DUMMYFUNCTION("""COMPUTED_VALUE"""),152.21)</f>
        <v>152.21</v>
      </c>
      <c r="S354" s="3">
        <f>IFERROR(__xludf.DUMMYFUNCTION("""COMPUTED_VALUE"""),95.9)</f>
        <v>95.9</v>
      </c>
      <c r="T354" s="3">
        <f>IFERROR(__xludf.DUMMYFUNCTION("""COMPUTED_VALUE"""),59.18)</f>
        <v>59.18</v>
      </c>
      <c r="U354" s="3">
        <f>IFERROR(__xludf.DUMMYFUNCTION("""COMPUTED_VALUE"""),486.71)</f>
        <v>486.71</v>
      </c>
      <c r="V354" s="3">
        <f>IFERROR(__xludf.DUMMYFUNCTION("""COMPUTED_VALUE"""),86.45)</f>
        <v>86.45</v>
      </c>
      <c r="W354" s="3">
        <f>IFERROR(__xludf.DUMMYFUNCTION("""COMPUTED_VALUE"""),200.44)</f>
        <v>200.44</v>
      </c>
      <c r="X354" s="3">
        <f>IFERROR(__xludf.DUMMYFUNCTION("""COMPUTED_VALUE"""),154.91)</f>
        <v>154.91</v>
      </c>
      <c r="Y354" s="1">
        <f>IFERROR(__xludf.DUMMYFUNCTION("""COMPUTED_VALUE"""),307.14)</f>
        <v>307.14</v>
      </c>
      <c r="Z354" s="1">
        <f>IFERROR(__xludf.DUMMYFUNCTION("""COMPUTED_VALUE"""),53.13)</f>
        <v>53.13</v>
      </c>
      <c r="AA354" s="1">
        <f>IFERROR(__xludf.DUMMYFUNCTION("""COMPUTED_VALUE"""),66.79)</f>
        <v>66.79</v>
      </c>
      <c r="AB354" s="1">
        <f>IFERROR(__xludf.DUMMYFUNCTION("""COMPUTED_VALUE"""),100.04)</f>
        <v>100.04</v>
      </c>
      <c r="AC354" s="1">
        <f>IFERROR(__xludf.DUMMYFUNCTION("""COMPUTED_VALUE"""),175.14)</f>
        <v>175.14</v>
      </c>
      <c r="AD354" s="3">
        <f>IFERROR(__xludf.DUMMYFUNCTION("""COMPUTED_VALUE"""),85.04)</f>
        <v>85.04</v>
      </c>
      <c r="AE354" s="1">
        <f>IFERROR(__xludf.DUMMYFUNCTION("""COMPUTED_VALUE"""),411.43)</f>
        <v>411.43</v>
      </c>
      <c r="AF354" s="1">
        <f>IFERROR(__xludf.DUMMYFUNCTION("""COMPUTED_VALUE"""),93.04)</f>
        <v>93.04</v>
      </c>
      <c r="AG354" s="1">
        <f>IFERROR(__xludf.DUMMYFUNCTION("""COMPUTED_VALUE"""),114.26)</f>
        <v>114.26</v>
      </c>
      <c r="AH354" s="1">
        <f>IFERROR(__xludf.DUMMYFUNCTION("""COMPUTED_VALUE"""),242.33)</f>
        <v>242.33</v>
      </c>
      <c r="AI354" s="1">
        <f>IFERROR(__xludf.DUMMYFUNCTION("""COMPUTED_VALUE"""),490.86)</f>
        <v>490.86</v>
      </c>
      <c r="AJ354" s="1">
        <f>IFERROR(__xludf.DUMMYFUNCTION("""COMPUTED_VALUE"""),343.43)</f>
        <v>343.43</v>
      </c>
      <c r="AK354" s="1">
        <f>IFERROR(__xludf.DUMMYFUNCTION("""COMPUTED_VALUE"""),57.26)</f>
        <v>57.26</v>
      </c>
      <c r="AL354" s="1">
        <f>IFERROR(__xludf.DUMMYFUNCTION("""COMPUTED_VALUE"""),116.78)</f>
        <v>116.78</v>
      </c>
      <c r="AM354" s="1">
        <f>IFERROR(__xludf.DUMMYFUNCTION("""COMPUTED_VALUE"""),789.65)</f>
        <v>789.65</v>
      </c>
      <c r="AN354" s="1">
        <f>IFERROR(__xludf.DUMMYFUNCTION("""COMPUTED_VALUE"""),386.81)</f>
        <v>386.81</v>
      </c>
      <c r="AO354" s="1">
        <f>IFERROR(__xludf.DUMMYFUNCTION("""COMPUTED_VALUE"""),149.91)</f>
        <v>149.91</v>
      </c>
      <c r="AP354" s="1">
        <f>IFERROR(__xludf.DUMMYFUNCTION("""COMPUTED_VALUE"""),161.98)</f>
        <v>161.98</v>
      </c>
      <c r="AQ354" s="3">
        <f>IFERROR(__xludf.DUMMYFUNCTION("""COMPUTED_VALUE"""),440.94)</f>
        <v>440.94</v>
      </c>
      <c r="AR354" s="3">
        <f>IFERROR(__xludf.DUMMYFUNCTION("""COMPUTED_VALUE"""),307.69)</f>
        <v>307.69</v>
      </c>
      <c r="AS354" s="3">
        <f>IFERROR(__xludf.DUMMYFUNCTION("""COMPUTED_VALUE"""),511.07)</f>
        <v>511.07</v>
      </c>
      <c r="AT354" s="3">
        <f>IFERROR(__xludf.DUMMYFUNCTION("""COMPUTED_VALUE"""),173.17)</f>
        <v>173.17</v>
      </c>
      <c r="AU354" s="1">
        <f>IFERROR(__xludf.DUMMYFUNCTION("""COMPUTED_VALUE"""),32.15)</f>
        <v>32.15</v>
      </c>
      <c r="AV354" s="1">
        <f>IFERROR(__xludf.DUMMYFUNCTION("""COMPUTED_VALUE"""),98.33)</f>
        <v>98.33</v>
      </c>
      <c r="AW354" s="1">
        <f>IFERROR(__xludf.DUMMYFUNCTION("""COMPUTED_VALUE"""),82.75)</f>
        <v>82.75</v>
      </c>
      <c r="AX354" s="3">
        <f>IFERROR(__xludf.DUMMYFUNCTION("""COMPUTED_VALUE"""),73.77)</f>
        <v>73.77</v>
      </c>
      <c r="AY354" s="1">
        <f>IFERROR(__xludf.DUMMYFUNCTION("""COMPUTED_VALUE"""),523.98)</f>
        <v>523.98</v>
      </c>
      <c r="AZ354" s="3">
        <f>IFERROR(__xludf.DUMMYFUNCTION("""COMPUTED_VALUE"""),83.21)</f>
        <v>83.21</v>
      </c>
      <c r="BA354" s="3">
        <f>IFERROR(__xludf.DUMMYFUNCTION("""COMPUTED_VALUE"""),162.61)</f>
        <v>162.61</v>
      </c>
      <c r="BB354" s="3">
        <f>IFERROR(__xludf.DUMMYFUNCTION("""COMPUTED_VALUE"""),185.04)</f>
        <v>185.04</v>
      </c>
      <c r="BC354" s="1">
        <f>IFERROR(__xludf.DUMMYFUNCTION("""COMPUTED_VALUE"""),90.4)</f>
        <v>90.4</v>
      </c>
      <c r="BD354" s="1">
        <f>IFERROR(__xludf.DUMMYFUNCTION("""COMPUTED_VALUE"""),41.71)</f>
        <v>41.71</v>
      </c>
      <c r="BE354" s="3">
        <f>IFERROR(__xludf.DUMMYFUNCTION("""COMPUTED_VALUE"""),182.17)</f>
        <v>182.17</v>
      </c>
      <c r="BF354" s="1">
        <f>IFERROR(__xludf.DUMMYFUNCTION("""COMPUTED_VALUE"""),74.61)</f>
        <v>74.61</v>
      </c>
      <c r="BG354" s="1">
        <f>IFERROR(__xludf.DUMMYFUNCTION("""COMPUTED_VALUE"""),26.27)</f>
        <v>26.27</v>
      </c>
      <c r="BH354" s="1">
        <f>IFERROR(__xludf.DUMMYFUNCTION("""COMPUTED_VALUE"""),169.27)</f>
        <v>169.27</v>
      </c>
      <c r="BI354" s="3">
        <f>IFERROR(__xludf.DUMMYFUNCTION("""COMPUTED_VALUE"""),46.57)</f>
        <v>46.57</v>
      </c>
      <c r="BJ354" s="1">
        <f>IFERROR(__xludf.DUMMYFUNCTION("""COMPUTED_VALUE"""),227.68)</f>
        <v>227.68</v>
      </c>
      <c r="BK354" s="1">
        <f>IFERROR(__xludf.DUMMYFUNCTION("""COMPUTED_VALUE"""),539.17)</f>
        <v>539.17</v>
      </c>
      <c r="BL354" s="1">
        <f>IFERROR(__xludf.DUMMYFUNCTION("""COMPUTED_VALUE"""),199.89)</f>
        <v>199.89</v>
      </c>
      <c r="BM354" s="1">
        <f>IFERROR(__xludf.DUMMYFUNCTION("""COMPUTED_VALUE"""),115.18)</f>
        <v>115.18</v>
      </c>
      <c r="BN354" s="3">
        <f>IFERROR(__xludf.DUMMYFUNCTION("""COMPUTED_VALUE"""),4.85)</f>
        <v>4.85</v>
      </c>
      <c r="BO354" s="1">
        <f>IFERROR(__xludf.DUMMYFUNCTION("""COMPUTED_VALUE"""),231.86)</f>
        <v>231.86</v>
      </c>
      <c r="BP354" s="1">
        <f>IFERROR(__xludf.DUMMYFUNCTION("""COMPUTED_VALUE"""),363.66)</f>
        <v>363.66</v>
      </c>
      <c r="BQ354" s="36">
        <f>IFERROR(__xludf.DUMMYFUNCTION("""COMPUTED_VALUE"""),50.04)</f>
        <v>50.04</v>
      </c>
      <c r="BR354" s="1">
        <f>IFERROR(__xludf.DUMMYFUNCTION("""COMPUTED_VALUE"""),10.14)</f>
        <v>10.14</v>
      </c>
      <c r="BS354" s="3">
        <f>IFERROR(__xludf.DUMMYFUNCTION("""COMPUTED_VALUE"""),217.56)</f>
        <v>217.56</v>
      </c>
      <c r="BT354" s="1">
        <f>IFERROR(__xludf.DUMMYFUNCTION("""COMPUTED_VALUE"""),112.53)</f>
        <v>112.53</v>
      </c>
      <c r="BU354" s="3">
        <v>1.0</v>
      </c>
    </row>
    <row r="355">
      <c r="A355" s="25">
        <f>IFERROR(__xludf.DUMMYFUNCTION("""COMPUTED_VALUE"""),45938.66666666667)</f>
        <v>45938.66667</v>
      </c>
      <c r="B355" s="29">
        <f>'Master Scratch Work'!B354</f>
        <v>1492012.42</v>
      </c>
      <c r="C355" s="15">
        <f>IFERROR(__xludf.DUMMYFUNCTION("""COMPUTED_VALUE"""),6753.72)</f>
        <v>6753.72</v>
      </c>
      <c r="D355" s="15">
        <f>IFERROR(__xludf.DUMMYFUNCTION("""COMPUTED_VALUE"""),23043.38)</f>
        <v>23043.38</v>
      </c>
      <c r="E355" s="15">
        <f>IFERROR(__xludf.DUMMYFUNCTION("""COMPUTED_VALUE"""),46601.78)</f>
        <v>46601.78</v>
      </c>
      <c r="F355" s="15">
        <f>IFERROR(__xludf.DUMMYFUNCTION("""COMPUTED_VALUE"""),2483.99)</f>
        <v>2483.99</v>
      </c>
      <c r="G355" s="3">
        <f>IFERROR(__xludf.DUMMYFUNCTION("""COMPUTED_VALUE"""),673.11)</f>
        <v>673.11</v>
      </c>
      <c r="H355" s="3">
        <f>IFERROR(__xludf.DUMMYFUNCTION("""COMPUTED_VALUE"""),611.44)</f>
        <v>611.44</v>
      </c>
      <c r="I355" s="3">
        <f>IFERROR(__xludf.DUMMYFUNCTION("""COMPUTED_VALUE"""),348.77)</f>
        <v>348.77</v>
      </c>
      <c r="J355" s="3">
        <f>IFERROR(__xludf.DUMMYFUNCTION("""COMPUTED_VALUE"""),225.22)</f>
        <v>225.22</v>
      </c>
      <c r="K355" s="3">
        <f>IFERROR(__xludf.DUMMYFUNCTION("""COMPUTED_VALUE"""),141.03)</f>
        <v>141.03</v>
      </c>
      <c r="L355" s="3">
        <f>IFERROR(__xludf.DUMMYFUNCTION("""COMPUTED_VALUE"""),258.06)</f>
        <v>258.06</v>
      </c>
      <c r="M355" s="3">
        <f>IFERROR(__xludf.DUMMYFUNCTION("""COMPUTED_VALUE"""),217.51)</f>
        <v>217.51</v>
      </c>
      <c r="N355" s="3">
        <f>IFERROR(__xludf.DUMMYFUNCTION("""COMPUTED_VALUE"""),106.01)</f>
        <v>106.01</v>
      </c>
      <c r="O355" s="3">
        <f>IFERROR(__xludf.DUMMYFUNCTION("""COMPUTED_VALUE"""),20.48)</f>
        <v>20.48</v>
      </c>
      <c r="P355" s="3">
        <f>IFERROR(__xludf.DUMMYFUNCTION("""COMPUTED_VALUE"""),499.84)</f>
        <v>499.84</v>
      </c>
      <c r="Q355" s="3">
        <f>IFERROR(__xludf.DUMMYFUNCTION("""COMPUTED_VALUE"""),56.06)</f>
        <v>56.06</v>
      </c>
      <c r="R355" s="3">
        <f>IFERROR(__xludf.DUMMYFUNCTION("""COMPUTED_VALUE"""),150.97)</f>
        <v>150.97</v>
      </c>
      <c r="S355" s="3">
        <f>IFERROR(__xludf.DUMMYFUNCTION("""COMPUTED_VALUE"""),96.79)</f>
        <v>96.79</v>
      </c>
      <c r="T355" s="3">
        <f>IFERROR(__xludf.DUMMYFUNCTION("""COMPUTED_VALUE"""),59.8)</f>
        <v>59.8</v>
      </c>
      <c r="U355" s="3">
        <f>IFERROR(__xludf.DUMMYFUNCTION("""COMPUTED_VALUE"""),502.12)</f>
        <v>502.12</v>
      </c>
      <c r="V355" s="3">
        <f>IFERROR(__xludf.DUMMYFUNCTION("""COMPUTED_VALUE"""),86.21)</f>
        <v>86.21</v>
      </c>
      <c r="W355" s="3">
        <f>IFERROR(__xludf.DUMMYFUNCTION("""COMPUTED_VALUE"""),201.0)</f>
        <v>201</v>
      </c>
      <c r="X355" s="3">
        <f>IFERROR(__xludf.DUMMYFUNCTION("""COMPUTED_VALUE"""),153.74)</f>
        <v>153.74</v>
      </c>
      <c r="Y355" s="1">
        <f>IFERROR(__xludf.DUMMYFUNCTION("""COMPUTED_VALUE"""),306.76)</f>
        <v>306.76</v>
      </c>
      <c r="Z355" s="1">
        <f>IFERROR(__xludf.DUMMYFUNCTION("""COMPUTED_VALUE"""),52.01)</f>
        <v>52.01</v>
      </c>
      <c r="AA355" s="1">
        <f>IFERROR(__xludf.DUMMYFUNCTION("""COMPUTED_VALUE"""),66.12)</f>
        <v>66.12</v>
      </c>
      <c r="AB355" s="1">
        <f>IFERROR(__xludf.DUMMYFUNCTION("""COMPUTED_VALUE"""),100.83)</f>
        <v>100.83</v>
      </c>
      <c r="AC355" s="1">
        <f>IFERROR(__xludf.DUMMYFUNCTION("""COMPUTED_VALUE"""),174.2)</f>
        <v>174.2</v>
      </c>
      <c r="AD355" s="3">
        <f>IFERROR(__xludf.DUMMYFUNCTION("""COMPUTED_VALUE"""),87.83)</f>
        <v>87.83</v>
      </c>
      <c r="AE355" s="1">
        <f>IFERROR(__xludf.DUMMYFUNCTION("""COMPUTED_VALUE"""),413.5)</f>
        <v>413.5</v>
      </c>
      <c r="AF355" s="1">
        <f>IFERROR(__xludf.DUMMYFUNCTION("""COMPUTED_VALUE"""),92.08)</f>
        <v>92.08</v>
      </c>
      <c r="AG355" s="1">
        <f>IFERROR(__xludf.DUMMYFUNCTION("""COMPUTED_VALUE"""),114.02)</f>
        <v>114.02</v>
      </c>
      <c r="AH355" s="1">
        <f>IFERROR(__xludf.DUMMYFUNCTION("""COMPUTED_VALUE"""),239.93)</f>
        <v>239.93</v>
      </c>
      <c r="AI355" s="1">
        <f>IFERROR(__xludf.DUMMYFUNCTION("""COMPUTED_VALUE"""),479.21)</f>
        <v>479.21</v>
      </c>
      <c r="AJ355" s="1">
        <f>IFERROR(__xludf.DUMMYFUNCTION("""COMPUTED_VALUE"""),346.44)</f>
        <v>346.44</v>
      </c>
      <c r="AK355" s="1">
        <f>IFERROR(__xludf.DUMMYFUNCTION("""COMPUTED_VALUE"""),56.4)</f>
        <v>56.4</v>
      </c>
      <c r="AL355" s="1">
        <f>IFERROR(__xludf.DUMMYFUNCTION("""COMPUTED_VALUE"""),118.25)</f>
        <v>118.25</v>
      </c>
      <c r="AM355" s="1">
        <f>IFERROR(__xludf.DUMMYFUNCTION("""COMPUTED_VALUE"""),776.51)</f>
        <v>776.51</v>
      </c>
      <c r="AN355" s="1">
        <f>IFERROR(__xludf.DUMMYFUNCTION("""COMPUTED_VALUE"""),383.79)</f>
        <v>383.79</v>
      </c>
      <c r="AO355" s="1">
        <f>IFERROR(__xludf.DUMMYFUNCTION("""COMPUTED_VALUE"""),152.3)</f>
        <v>152.3</v>
      </c>
      <c r="AP355" s="1">
        <f>IFERROR(__xludf.DUMMYFUNCTION("""COMPUTED_VALUE"""),159.37)</f>
        <v>159.37</v>
      </c>
      <c r="AQ355" s="3">
        <f>IFERROR(__xludf.DUMMYFUNCTION("""COMPUTED_VALUE"""),448.09)</f>
        <v>448.09</v>
      </c>
      <c r="AR355" s="3">
        <f>IFERROR(__xludf.DUMMYFUNCTION("""COMPUTED_VALUE"""),304.03)</f>
        <v>304.03</v>
      </c>
      <c r="AS355" s="3">
        <f>IFERROR(__xludf.DUMMYFUNCTION("""COMPUTED_VALUE"""),514.02)</f>
        <v>514.02</v>
      </c>
      <c r="AT355" s="3">
        <f>IFERROR(__xludf.DUMMYFUNCTION("""COMPUTED_VALUE"""),174.82)</f>
        <v>174.82</v>
      </c>
      <c r="AU355" s="1">
        <f>IFERROR(__xludf.DUMMYFUNCTION("""COMPUTED_VALUE"""),32.58)</f>
        <v>32.58</v>
      </c>
      <c r="AV355" s="1">
        <f>IFERROR(__xludf.DUMMYFUNCTION("""COMPUTED_VALUE"""),97.87)</f>
        <v>97.87</v>
      </c>
      <c r="AW355" s="1">
        <f>IFERROR(__xludf.DUMMYFUNCTION("""COMPUTED_VALUE"""),82.03)</f>
        <v>82.03</v>
      </c>
      <c r="AX355" s="3">
        <f>IFERROR(__xludf.DUMMYFUNCTION("""COMPUTED_VALUE"""),70.59)</f>
        <v>70.59</v>
      </c>
      <c r="AY355" s="1">
        <f>IFERROR(__xludf.DUMMYFUNCTION("""COMPUTED_VALUE"""),524.85)</f>
        <v>524.85</v>
      </c>
      <c r="AZ355" s="3">
        <f>IFERROR(__xludf.DUMMYFUNCTION("""COMPUTED_VALUE"""),84.04)</f>
        <v>84.04</v>
      </c>
      <c r="BA355" s="3">
        <f>IFERROR(__xludf.DUMMYFUNCTION("""COMPUTED_VALUE"""),167.52)</f>
        <v>167.52</v>
      </c>
      <c r="BB355" s="3">
        <f>IFERROR(__xludf.DUMMYFUNCTION("""COMPUTED_VALUE"""),189.11)</f>
        <v>189.11</v>
      </c>
      <c r="BC355" s="1">
        <f>IFERROR(__xludf.DUMMYFUNCTION("""COMPUTED_VALUE"""),91.25)</f>
        <v>91.25</v>
      </c>
      <c r="BD355" s="1">
        <f>IFERROR(__xludf.DUMMYFUNCTION("""COMPUTED_VALUE"""),43.62)</f>
        <v>43.62</v>
      </c>
      <c r="BE355" s="3">
        <f>IFERROR(__xludf.DUMMYFUNCTION("""COMPUTED_VALUE"""),183.56)</f>
        <v>183.56</v>
      </c>
      <c r="BF355" s="1">
        <f>IFERROR(__xludf.DUMMYFUNCTION("""COMPUTED_VALUE"""),76.13)</f>
        <v>76.13</v>
      </c>
      <c r="BG355" s="1">
        <f>IFERROR(__xludf.DUMMYFUNCTION("""COMPUTED_VALUE"""),25.68)</f>
        <v>25.68</v>
      </c>
      <c r="BH355" s="1">
        <f>IFERROR(__xludf.DUMMYFUNCTION("""COMPUTED_VALUE"""),168.57)</f>
        <v>168.57</v>
      </c>
      <c r="BI355" s="3">
        <f>IFERROR(__xludf.DUMMYFUNCTION("""COMPUTED_VALUE"""),47.82)</f>
        <v>47.82</v>
      </c>
      <c r="BJ355" s="1">
        <f>IFERROR(__xludf.DUMMYFUNCTION("""COMPUTED_VALUE"""),226.58)</f>
        <v>226.58</v>
      </c>
      <c r="BK355" s="1">
        <f>IFERROR(__xludf.DUMMYFUNCTION("""COMPUTED_VALUE"""),536.19)</f>
        <v>536.19</v>
      </c>
      <c r="BL355" s="1">
        <f>IFERROR(__xludf.DUMMYFUNCTION("""COMPUTED_VALUE"""),198.21)</f>
        <v>198.21</v>
      </c>
      <c r="BM355" s="1">
        <f>IFERROR(__xludf.DUMMYFUNCTION("""COMPUTED_VALUE"""),118.06)</f>
        <v>118.06</v>
      </c>
      <c r="BN355" s="3">
        <f>IFERROR(__xludf.DUMMYFUNCTION("""COMPUTED_VALUE"""),4.95)</f>
        <v>4.95</v>
      </c>
      <c r="BO355" s="1">
        <f>IFERROR(__xludf.DUMMYFUNCTION("""COMPUTED_VALUE"""),232.65)</f>
        <v>232.65</v>
      </c>
      <c r="BP355" s="1">
        <f>IFERROR(__xludf.DUMMYFUNCTION("""COMPUTED_VALUE"""),369.92)</f>
        <v>369.92</v>
      </c>
      <c r="BQ355" s="36">
        <f>IFERROR(__xludf.DUMMYFUNCTION("""COMPUTED_VALUE"""),50.05)</f>
        <v>50.05</v>
      </c>
      <c r="BR355" s="1">
        <f>IFERROR(__xludf.DUMMYFUNCTION("""COMPUTED_VALUE"""),9.97)</f>
        <v>9.97</v>
      </c>
      <c r="BS355" s="3">
        <f>IFERROR(__xludf.DUMMYFUNCTION("""COMPUTED_VALUE"""),219.98)</f>
        <v>219.98</v>
      </c>
      <c r="BT355" s="1">
        <f>IFERROR(__xludf.DUMMYFUNCTION("""COMPUTED_VALUE"""),111.89)</f>
        <v>111.89</v>
      </c>
      <c r="BU355" s="3">
        <v>1.0</v>
      </c>
    </row>
    <row r="356">
      <c r="A356" s="25">
        <f>IFERROR(__xludf.DUMMYFUNCTION("""COMPUTED_VALUE"""),45939.66666666667)</f>
        <v>45939.66667</v>
      </c>
      <c r="B356" s="29">
        <f>'Master Scratch Work'!B355</f>
        <v>1481443.55</v>
      </c>
      <c r="C356" s="15">
        <f>IFERROR(__xludf.DUMMYFUNCTION("""COMPUTED_VALUE"""),6735.11)</f>
        <v>6735.11</v>
      </c>
      <c r="D356" s="15">
        <f>IFERROR(__xludf.DUMMYFUNCTION("""COMPUTED_VALUE"""),23024.63)</f>
        <v>23024.63</v>
      </c>
      <c r="E356" s="15">
        <f>IFERROR(__xludf.DUMMYFUNCTION("""COMPUTED_VALUE"""),46358.42)</f>
        <v>46358.42</v>
      </c>
      <c r="F356" s="15">
        <f>IFERROR(__xludf.DUMMYFUNCTION("""COMPUTED_VALUE"""),2468.85)</f>
        <v>2468.85</v>
      </c>
      <c r="G356" s="3">
        <f>IFERROR(__xludf.DUMMYFUNCTION("""COMPUTED_VALUE"""),671.16)</f>
        <v>671.16</v>
      </c>
      <c r="H356" s="3">
        <f>IFERROR(__xludf.DUMMYFUNCTION("""COMPUTED_VALUE"""),610.7)</f>
        <v>610.7</v>
      </c>
      <c r="I356" s="3">
        <f>IFERROR(__xludf.DUMMYFUNCTION("""COMPUTED_VALUE"""),347.47)</f>
        <v>347.47</v>
      </c>
      <c r="J356" s="3">
        <f>IFERROR(__xludf.DUMMYFUNCTION("""COMPUTED_VALUE"""),227.74)</f>
        <v>227.74</v>
      </c>
      <c r="K356" s="3">
        <f>IFERROR(__xludf.DUMMYFUNCTION("""COMPUTED_VALUE"""),141.05)</f>
        <v>141.05</v>
      </c>
      <c r="L356" s="3">
        <f>IFERROR(__xludf.DUMMYFUNCTION("""COMPUTED_VALUE"""),254.04)</f>
        <v>254.04</v>
      </c>
      <c r="M356" s="3">
        <f>IFERROR(__xludf.DUMMYFUNCTION("""COMPUTED_VALUE"""),220.3)</f>
        <v>220.3</v>
      </c>
      <c r="N356" s="3">
        <f>IFERROR(__xludf.DUMMYFUNCTION("""COMPUTED_VALUE"""),106.82)</f>
        <v>106.82</v>
      </c>
      <c r="O356" s="3">
        <f>IFERROR(__xludf.DUMMYFUNCTION("""COMPUTED_VALUE"""),19.93)</f>
        <v>19.93</v>
      </c>
      <c r="P356" s="3">
        <f>IFERROR(__xludf.DUMMYFUNCTION("""COMPUTED_VALUE"""),496.74)</f>
        <v>496.74</v>
      </c>
      <c r="Q356" s="3">
        <f>IFERROR(__xludf.DUMMYFUNCTION("""COMPUTED_VALUE"""),56.04)</f>
        <v>56.04</v>
      </c>
      <c r="R356" s="3">
        <f>IFERROR(__xludf.DUMMYFUNCTION("""COMPUTED_VALUE"""),149.61)</f>
        <v>149.61</v>
      </c>
      <c r="S356" s="3">
        <f>IFERROR(__xludf.DUMMYFUNCTION("""COMPUTED_VALUE"""),97.28)</f>
        <v>97.28</v>
      </c>
      <c r="T356" s="3">
        <f>IFERROR(__xludf.DUMMYFUNCTION("""COMPUTED_VALUE"""),58.1)</f>
        <v>58.1</v>
      </c>
      <c r="U356" s="3">
        <f>IFERROR(__xludf.DUMMYFUNCTION("""COMPUTED_VALUE"""),500.36)</f>
        <v>500.36</v>
      </c>
      <c r="V356" s="3">
        <f>IFERROR(__xludf.DUMMYFUNCTION("""COMPUTED_VALUE"""),86.73)</f>
        <v>86.73</v>
      </c>
      <c r="W356" s="3">
        <f>IFERROR(__xludf.DUMMYFUNCTION("""COMPUTED_VALUE"""),198.05)</f>
        <v>198.05</v>
      </c>
      <c r="X356" s="3">
        <f>IFERROR(__xludf.DUMMYFUNCTION("""COMPUTED_VALUE"""),151.64)</f>
        <v>151.64</v>
      </c>
      <c r="Y356" s="1">
        <f>IFERROR(__xludf.DUMMYFUNCTION("""COMPUTED_VALUE"""),306.13)</f>
        <v>306.13</v>
      </c>
      <c r="Z356" s="1">
        <f>IFERROR(__xludf.DUMMYFUNCTION("""COMPUTED_VALUE"""),51.85)</f>
        <v>51.85</v>
      </c>
      <c r="AA356" s="1">
        <f>IFERROR(__xludf.DUMMYFUNCTION("""COMPUTED_VALUE"""),66.37)</f>
        <v>66.37</v>
      </c>
      <c r="AB356" s="1">
        <f>IFERROR(__xludf.DUMMYFUNCTION("""COMPUTED_VALUE"""),100.8)</f>
        <v>100.8</v>
      </c>
      <c r="AC356" s="1">
        <f>IFERROR(__xludf.DUMMYFUNCTION("""COMPUTED_VALUE"""),175.21)</f>
        <v>175.21</v>
      </c>
      <c r="AD356" s="3">
        <f>IFERROR(__xludf.DUMMYFUNCTION("""COMPUTED_VALUE"""),89.02)</f>
        <v>89.02</v>
      </c>
      <c r="AE356" s="1">
        <f>IFERROR(__xludf.DUMMYFUNCTION("""COMPUTED_VALUE"""),405.33)</f>
        <v>405.33</v>
      </c>
      <c r="AF356" s="1">
        <f>IFERROR(__xludf.DUMMYFUNCTION("""COMPUTED_VALUE"""),90.13)</f>
        <v>90.13</v>
      </c>
      <c r="AG356" s="1">
        <f>IFERROR(__xludf.DUMMYFUNCTION("""COMPUTED_VALUE"""),112.91)</f>
        <v>112.91</v>
      </c>
      <c r="AH356" s="1">
        <f>IFERROR(__xludf.DUMMYFUNCTION("""COMPUTED_VALUE"""),237.0)</f>
        <v>237</v>
      </c>
      <c r="AI356" s="1">
        <f>IFERROR(__xludf.DUMMYFUNCTION("""COMPUTED_VALUE"""),407.38)</f>
        <v>407.38</v>
      </c>
      <c r="AJ356" s="1">
        <f>IFERROR(__xludf.DUMMYFUNCTION("""COMPUTED_VALUE"""),342.77)</f>
        <v>342.77</v>
      </c>
      <c r="AK356" s="1">
        <f>IFERROR(__xludf.DUMMYFUNCTION("""COMPUTED_VALUE"""),55.92)</f>
        <v>55.92</v>
      </c>
      <c r="AL356" s="1">
        <f>IFERROR(__xludf.DUMMYFUNCTION("""COMPUTED_VALUE"""),116.74)</f>
        <v>116.74</v>
      </c>
      <c r="AM356" s="1">
        <f>IFERROR(__xludf.DUMMYFUNCTION("""COMPUTED_VALUE"""),779.96)</f>
        <v>779.96</v>
      </c>
      <c r="AN356" s="1">
        <f>IFERROR(__xludf.DUMMYFUNCTION("""COMPUTED_VALUE"""),377.69)</f>
        <v>377.69</v>
      </c>
      <c r="AO356" s="1">
        <f>IFERROR(__xludf.DUMMYFUNCTION("""COMPUTED_VALUE"""),147.5)</f>
        <v>147.5</v>
      </c>
      <c r="AP356" s="1">
        <f>IFERROR(__xludf.DUMMYFUNCTION("""COMPUTED_VALUE"""),159.3)</f>
        <v>159.3</v>
      </c>
      <c r="AQ356" s="3">
        <f>IFERROR(__xludf.DUMMYFUNCTION("""COMPUTED_VALUE"""),443.76)</f>
        <v>443.76</v>
      </c>
      <c r="AR356" s="3">
        <f>IFERROR(__xludf.DUMMYFUNCTION("""COMPUTED_VALUE"""),305.53)</f>
        <v>305.53</v>
      </c>
      <c r="AS356" s="3">
        <f>IFERROR(__xludf.DUMMYFUNCTION("""COMPUTED_VALUE"""),507.76)</f>
        <v>507.76</v>
      </c>
      <c r="AT356" s="3">
        <f>IFERROR(__xludf.DUMMYFUNCTION("""COMPUTED_VALUE"""),173.48)</f>
        <v>173.48</v>
      </c>
      <c r="AU356" s="1">
        <f>IFERROR(__xludf.DUMMYFUNCTION("""COMPUTED_VALUE"""),31.94)</f>
        <v>31.94</v>
      </c>
      <c r="AV356" s="1">
        <f>IFERROR(__xludf.DUMMYFUNCTION("""COMPUTED_VALUE"""),96.5)</f>
        <v>96.5</v>
      </c>
      <c r="AW356" s="1">
        <f>IFERROR(__xludf.DUMMYFUNCTION("""COMPUTED_VALUE"""),81.98)</f>
        <v>81.98</v>
      </c>
      <c r="AX356" s="3">
        <f>IFERROR(__xludf.DUMMYFUNCTION("""COMPUTED_VALUE"""),72.29)</f>
        <v>72.29</v>
      </c>
      <c r="AY356" s="1">
        <f>IFERROR(__xludf.DUMMYFUNCTION("""COMPUTED_VALUE"""),522.4)</f>
        <v>522.4</v>
      </c>
      <c r="AZ356" s="3">
        <f>IFERROR(__xludf.DUMMYFUNCTION("""COMPUTED_VALUE"""),83.71)</f>
        <v>83.71</v>
      </c>
      <c r="BA356" s="3">
        <f>IFERROR(__xludf.DUMMYFUNCTION("""COMPUTED_VALUE"""),168.25)</f>
        <v>168.25</v>
      </c>
      <c r="BB356" s="3">
        <f>IFERROR(__xludf.DUMMYFUNCTION("""COMPUTED_VALUE"""),192.57)</f>
        <v>192.57</v>
      </c>
      <c r="BC356" s="1">
        <f>IFERROR(__xludf.DUMMYFUNCTION("""COMPUTED_VALUE"""),89.72)</f>
        <v>89.72</v>
      </c>
      <c r="BD356" s="1">
        <f>IFERROR(__xludf.DUMMYFUNCTION("""COMPUTED_VALUE"""),43.3)</f>
        <v>43.3</v>
      </c>
      <c r="BE356" s="3">
        <f>IFERROR(__xludf.DUMMYFUNCTION("""COMPUTED_VALUE"""),185.47)</f>
        <v>185.47</v>
      </c>
      <c r="BF356" s="1">
        <f>IFERROR(__xludf.DUMMYFUNCTION("""COMPUTED_VALUE"""),75.75)</f>
        <v>75.75</v>
      </c>
      <c r="BG356" s="1">
        <f>IFERROR(__xludf.DUMMYFUNCTION("""COMPUTED_VALUE"""),25.24)</f>
        <v>25.24</v>
      </c>
      <c r="BH356" s="1">
        <f>IFERROR(__xludf.DUMMYFUNCTION("""COMPUTED_VALUE"""),162.18)</f>
        <v>162.18</v>
      </c>
      <c r="BI356" s="3">
        <f>IFERROR(__xludf.DUMMYFUNCTION("""COMPUTED_VALUE"""),47.62)</f>
        <v>47.62</v>
      </c>
      <c r="BJ356" s="1">
        <f>IFERROR(__xludf.DUMMYFUNCTION("""COMPUTED_VALUE"""),226.21)</f>
        <v>226.21</v>
      </c>
      <c r="BK356" s="1">
        <f>IFERROR(__xludf.DUMMYFUNCTION("""COMPUTED_VALUE"""),534.68)</f>
        <v>534.68</v>
      </c>
      <c r="BL356" s="1">
        <f>IFERROR(__xludf.DUMMYFUNCTION("""COMPUTED_VALUE"""),192.33)</f>
        <v>192.33</v>
      </c>
      <c r="BM356" s="1">
        <f>IFERROR(__xludf.DUMMYFUNCTION("""COMPUTED_VALUE"""),112.98)</f>
        <v>112.98</v>
      </c>
      <c r="BN356" s="3">
        <f>IFERROR(__xludf.DUMMYFUNCTION("""COMPUTED_VALUE"""),4.81)</f>
        <v>4.81</v>
      </c>
      <c r="BO356" s="1">
        <f>IFERROR(__xludf.DUMMYFUNCTION("""COMPUTED_VALUE"""),231.54)</f>
        <v>231.54</v>
      </c>
      <c r="BP356" s="1">
        <f>IFERROR(__xludf.DUMMYFUNCTION("""COMPUTED_VALUE"""),367.69)</f>
        <v>367.69</v>
      </c>
      <c r="BQ356" s="36">
        <f>IFERROR(__xludf.DUMMYFUNCTION("""COMPUTED_VALUE"""),50.03)</f>
        <v>50.03</v>
      </c>
      <c r="BR356" s="1">
        <f>IFERROR(__xludf.DUMMYFUNCTION("""COMPUTED_VALUE"""),9.99)</f>
        <v>9.99</v>
      </c>
      <c r="BS356" s="3">
        <f>IFERROR(__xludf.DUMMYFUNCTION("""COMPUTED_VALUE"""),217.53)</f>
        <v>217.53</v>
      </c>
      <c r="BT356" s="1">
        <f>IFERROR(__xludf.DUMMYFUNCTION("""COMPUTED_VALUE"""),110.99)</f>
        <v>110.99</v>
      </c>
      <c r="BU356" s="3">
        <v>1.0</v>
      </c>
    </row>
    <row r="357">
      <c r="A357" s="25">
        <f>IFERROR(__xludf.DUMMYFUNCTION("""COMPUTED_VALUE"""),45940.66666666667)</f>
        <v>45940.66667</v>
      </c>
      <c r="B357" s="29">
        <f>'Master Scratch Work'!B356</f>
        <v>1454763.38</v>
      </c>
      <c r="C357" s="15">
        <f>IFERROR(__xludf.DUMMYFUNCTION("""COMPUTED_VALUE"""),6552.51)</f>
        <v>6552.51</v>
      </c>
      <c r="D357" s="15">
        <f>IFERROR(__xludf.DUMMYFUNCTION("""COMPUTED_VALUE"""),22204.43)</f>
        <v>22204.43</v>
      </c>
      <c r="E357" s="15">
        <f>IFERROR(__xludf.DUMMYFUNCTION("""COMPUTED_VALUE"""),45479.6)</f>
        <v>45479.6</v>
      </c>
      <c r="F357" s="15">
        <f>IFERROR(__xludf.DUMMYFUNCTION("""COMPUTED_VALUE"""),2394.59)</f>
        <v>2394.59</v>
      </c>
      <c r="G357" s="3">
        <f>IFERROR(__xludf.DUMMYFUNCTION("""COMPUTED_VALUE"""),653.02)</f>
        <v>653.02</v>
      </c>
      <c r="H357" s="3">
        <f>IFERROR(__xludf.DUMMYFUNCTION("""COMPUTED_VALUE"""),589.5)</f>
        <v>589.5</v>
      </c>
      <c r="I357" s="3">
        <f>IFERROR(__xludf.DUMMYFUNCTION("""COMPUTED_VALUE"""),337.51)</f>
        <v>337.51</v>
      </c>
      <c r="J357" s="3">
        <f>IFERROR(__xludf.DUMMYFUNCTION("""COMPUTED_VALUE"""),216.37)</f>
        <v>216.37</v>
      </c>
      <c r="K357" s="3">
        <f>IFERROR(__xludf.DUMMYFUNCTION("""COMPUTED_VALUE"""),142.98)</f>
        <v>142.98</v>
      </c>
      <c r="L357" s="3">
        <f>IFERROR(__xludf.DUMMYFUNCTION("""COMPUTED_VALUE"""),245.27)</f>
        <v>245.27</v>
      </c>
      <c r="M357" s="3">
        <f>IFERROR(__xludf.DUMMYFUNCTION("""COMPUTED_VALUE"""),209.95)</f>
        <v>209.95</v>
      </c>
      <c r="N357" s="3">
        <f>IFERROR(__xludf.DUMMYFUNCTION("""COMPUTED_VALUE"""),104.54)</f>
        <v>104.54</v>
      </c>
      <c r="O357" s="3">
        <f>IFERROR(__xludf.DUMMYFUNCTION("""COMPUTED_VALUE"""),19.74)</f>
        <v>19.74</v>
      </c>
      <c r="P357" s="3">
        <f>IFERROR(__xludf.DUMMYFUNCTION("""COMPUTED_VALUE"""),489.13)</f>
        <v>489.13</v>
      </c>
      <c r="Q357" s="3">
        <f>IFERROR(__xludf.DUMMYFUNCTION("""COMPUTED_VALUE"""),53.62)</f>
        <v>53.62</v>
      </c>
      <c r="R357" s="3">
        <f>IFERROR(__xludf.DUMMYFUNCTION("""COMPUTED_VALUE"""),146.57)</f>
        <v>146.57</v>
      </c>
      <c r="S357" s="3">
        <f>IFERROR(__xludf.DUMMYFUNCTION("""COMPUTED_VALUE"""),95.41)</f>
        <v>95.41</v>
      </c>
      <c r="T357" s="3">
        <f>IFERROR(__xludf.DUMMYFUNCTION("""COMPUTED_VALUE"""),56.66)</f>
        <v>56.66</v>
      </c>
      <c r="U357" s="3">
        <f>IFERROR(__xludf.DUMMYFUNCTION("""COMPUTED_VALUE"""),491.3)</f>
        <v>491.3</v>
      </c>
      <c r="V357" s="3">
        <f>IFERROR(__xludf.DUMMYFUNCTION("""COMPUTED_VALUE"""),86.65)</f>
        <v>86.65</v>
      </c>
      <c r="W357" s="3">
        <f>IFERROR(__xludf.DUMMYFUNCTION("""COMPUTED_VALUE"""),195.56)</f>
        <v>195.56</v>
      </c>
      <c r="X357" s="3">
        <f>IFERROR(__xludf.DUMMYFUNCTION("""COMPUTED_VALUE"""),148.9)</f>
        <v>148.9</v>
      </c>
      <c r="Y357" s="1">
        <f>IFERROR(__xludf.DUMMYFUNCTION("""COMPUTED_VALUE"""),300.73)</f>
        <v>300.73</v>
      </c>
      <c r="Z357" s="1">
        <f>IFERROR(__xludf.DUMMYFUNCTION("""COMPUTED_VALUE"""),49.25)</f>
        <v>49.25</v>
      </c>
      <c r="AA357" s="1">
        <f>IFERROR(__xludf.DUMMYFUNCTION("""COMPUTED_VALUE"""),67.04)</f>
        <v>67.04</v>
      </c>
      <c r="AB357" s="1">
        <f>IFERROR(__xludf.DUMMYFUNCTION("""COMPUTED_VALUE"""),102.39)</f>
        <v>102.39</v>
      </c>
      <c r="AC357" s="1">
        <f>IFERROR(__xludf.DUMMYFUNCTION("""COMPUTED_VALUE"""),168.49)</f>
        <v>168.49</v>
      </c>
      <c r="AD357" s="3">
        <f>IFERROR(__xludf.DUMMYFUNCTION("""COMPUTED_VALUE"""),87.61)</f>
        <v>87.61</v>
      </c>
      <c r="AE357" s="1">
        <f>IFERROR(__xludf.DUMMYFUNCTION("""COMPUTED_VALUE"""),406.37)</f>
        <v>406.37</v>
      </c>
      <c r="AF357" s="1">
        <f>IFERROR(__xludf.DUMMYFUNCTION("""COMPUTED_VALUE"""),88.55)</f>
        <v>88.55</v>
      </c>
      <c r="AG357" s="1">
        <f>IFERROR(__xludf.DUMMYFUNCTION("""COMPUTED_VALUE"""),110.73)</f>
        <v>110.73</v>
      </c>
      <c r="AH357" s="1">
        <f>IFERROR(__xludf.DUMMYFUNCTION("""COMPUTED_VALUE"""),224.63)</f>
        <v>224.63</v>
      </c>
      <c r="AI357" s="1">
        <f>IFERROR(__xludf.DUMMYFUNCTION("""COMPUTED_VALUE"""),395.72)</f>
        <v>395.72</v>
      </c>
      <c r="AJ357" s="1">
        <f>IFERROR(__xludf.DUMMYFUNCTION("""COMPUTED_VALUE"""),332.94)</f>
        <v>332.94</v>
      </c>
      <c r="AK357" s="1">
        <f>IFERROR(__xludf.DUMMYFUNCTION("""COMPUTED_VALUE"""),55.35)</f>
        <v>55.35</v>
      </c>
      <c r="AL357" s="1">
        <f>IFERROR(__xludf.DUMMYFUNCTION("""COMPUTED_VALUE"""),117.18)</f>
        <v>117.18</v>
      </c>
      <c r="AM357" s="1">
        <f>IFERROR(__xludf.DUMMYFUNCTION("""COMPUTED_VALUE"""),764.36)</f>
        <v>764.36</v>
      </c>
      <c r="AN357" s="1">
        <f>IFERROR(__xludf.DUMMYFUNCTION("""COMPUTED_VALUE"""),375.75)</f>
        <v>375.75</v>
      </c>
      <c r="AO357" s="1">
        <f>IFERROR(__xludf.DUMMYFUNCTION("""COMPUTED_VALUE"""),145.01)</f>
        <v>145.01</v>
      </c>
      <c r="AP357" s="1">
        <f>IFERROR(__xludf.DUMMYFUNCTION("""COMPUTED_VALUE"""),157.5)</f>
        <v>157.5</v>
      </c>
      <c r="AQ357" s="3">
        <f>IFERROR(__xludf.DUMMYFUNCTION("""COMPUTED_VALUE"""),429.59)</f>
        <v>429.59</v>
      </c>
      <c r="AR357" s="3">
        <f>IFERROR(__xludf.DUMMYFUNCTION("""COMPUTED_VALUE"""),300.89)</f>
        <v>300.89</v>
      </c>
      <c r="AS357" s="3">
        <f>IFERROR(__xludf.DUMMYFUNCTION("""COMPUTED_VALUE"""),505.05)</f>
        <v>505.05</v>
      </c>
      <c r="AT357" s="3">
        <f>IFERROR(__xludf.DUMMYFUNCTION("""COMPUTED_VALUE"""),167.51)</f>
        <v>167.51</v>
      </c>
      <c r="AU357" s="1">
        <f>IFERROR(__xludf.DUMMYFUNCTION("""COMPUTED_VALUE"""),31.7)</f>
        <v>31.7</v>
      </c>
      <c r="AV357" s="1">
        <f>IFERROR(__xludf.DUMMYFUNCTION("""COMPUTED_VALUE"""),95.45)</f>
        <v>95.45</v>
      </c>
      <c r="AW357" s="1">
        <f>IFERROR(__xludf.DUMMYFUNCTION("""COMPUTED_VALUE"""),79.77)</f>
        <v>79.77</v>
      </c>
      <c r="AX357" s="3">
        <f>IFERROR(__xludf.DUMMYFUNCTION("""COMPUTED_VALUE"""),78.34)</f>
        <v>78.34</v>
      </c>
      <c r="AY357" s="1">
        <f>IFERROR(__xludf.DUMMYFUNCTION("""COMPUTED_VALUE"""),510.96)</f>
        <v>510.96</v>
      </c>
      <c r="AZ357" s="3">
        <f>IFERROR(__xludf.DUMMYFUNCTION("""COMPUTED_VALUE"""),83.35)</f>
        <v>83.35</v>
      </c>
      <c r="BA357" s="3">
        <f>IFERROR(__xludf.DUMMYFUNCTION("""COMPUTED_VALUE"""),160.43)</f>
        <v>160.43</v>
      </c>
      <c r="BB357" s="3">
        <f>IFERROR(__xludf.DUMMYFUNCTION("""COMPUTED_VALUE"""),183.16)</f>
        <v>183.16</v>
      </c>
      <c r="BC357" s="1">
        <f>IFERROR(__xludf.DUMMYFUNCTION("""COMPUTED_VALUE"""),89.46)</f>
        <v>89.46</v>
      </c>
      <c r="BD357" s="1">
        <f>IFERROR(__xludf.DUMMYFUNCTION("""COMPUTED_VALUE"""),41.86)</f>
        <v>41.86</v>
      </c>
      <c r="BE357" s="3">
        <f>IFERROR(__xludf.DUMMYFUNCTION("""COMPUTED_VALUE"""),175.44)</f>
        <v>175.44</v>
      </c>
      <c r="BF357" s="1">
        <f>IFERROR(__xludf.DUMMYFUNCTION("""COMPUTED_VALUE"""),69.84)</f>
        <v>69.84</v>
      </c>
      <c r="BG357" s="1">
        <f>IFERROR(__xludf.DUMMYFUNCTION("""COMPUTED_VALUE"""),24.78)</f>
        <v>24.78</v>
      </c>
      <c r="BH357" s="1">
        <f>IFERROR(__xludf.DUMMYFUNCTION("""COMPUTED_VALUE"""),157.7)</f>
        <v>157.7</v>
      </c>
      <c r="BI357" s="3">
        <f>IFERROR(__xludf.DUMMYFUNCTION("""COMPUTED_VALUE"""),48.24)</f>
        <v>48.24</v>
      </c>
      <c r="BJ357" s="1">
        <f>IFERROR(__xludf.DUMMYFUNCTION("""COMPUTED_VALUE"""),228.79)</f>
        <v>228.79</v>
      </c>
      <c r="BK357" s="1">
        <f>IFERROR(__xludf.DUMMYFUNCTION("""COMPUTED_VALUE"""),524.8)</f>
        <v>524.8</v>
      </c>
      <c r="BL357" s="1">
        <f>IFERROR(__xludf.DUMMYFUNCTION("""COMPUTED_VALUE"""),185.22)</f>
        <v>185.22</v>
      </c>
      <c r="BM357" s="1">
        <f>IFERROR(__xludf.DUMMYFUNCTION("""COMPUTED_VALUE"""),107.29)</f>
        <v>107.29</v>
      </c>
      <c r="BN357" s="3">
        <f>IFERROR(__xludf.DUMMYFUNCTION("""COMPUTED_VALUE"""),4.75)</f>
        <v>4.75</v>
      </c>
      <c r="BO357" s="1">
        <f>IFERROR(__xludf.DUMMYFUNCTION("""COMPUTED_VALUE"""),225.45)</f>
        <v>225.45</v>
      </c>
      <c r="BP357" s="1">
        <f>IFERROR(__xludf.DUMMYFUNCTION("""COMPUTED_VALUE"""),354.5)</f>
        <v>354.5</v>
      </c>
      <c r="BQ357" s="36">
        <f>IFERROR(__xludf.DUMMYFUNCTION("""COMPUTED_VALUE"""),50.09)</f>
        <v>50.09</v>
      </c>
      <c r="BR357" s="1">
        <f>IFERROR(__xludf.DUMMYFUNCTION("""COMPUTED_VALUE"""),9.74)</f>
        <v>9.74</v>
      </c>
      <c r="BS357" s="3">
        <f>IFERROR(__xludf.DUMMYFUNCTION("""COMPUTED_VALUE"""),219.25)</f>
        <v>219.25</v>
      </c>
      <c r="BT357" s="1">
        <f>IFERROR(__xludf.DUMMYFUNCTION("""COMPUTED_VALUE"""),109.19)</f>
        <v>109.19</v>
      </c>
      <c r="BU357" s="3">
        <v>1.0</v>
      </c>
    </row>
    <row r="358">
      <c r="A358" s="25">
        <f>IFERROR(__xludf.DUMMYFUNCTION("""COMPUTED_VALUE"""),45943.66666666667)</f>
        <v>45943.66667</v>
      </c>
      <c r="B358" s="29">
        <f>'Master Scratch Work'!B357</f>
        <v>1473230.65</v>
      </c>
      <c r="C358" s="15">
        <f>IFERROR(__xludf.DUMMYFUNCTION("""COMPUTED_VALUE"""),6654.72)</f>
        <v>6654.72</v>
      </c>
      <c r="D358" s="15">
        <f>IFERROR(__xludf.DUMMYFUNCTION("""COMPUTED_VALUE"""),22694.61)</f>
        <v>22694.61</v>
      </c>
      <c r="E358" s="15">
        <f>IFERROR(__xludf.DUMMYFUNCTION("""COMPUTED_VALUE"""),46067.58)</f>
        <v>46067.58</v>
      </c>
      <c r="F358" s="15">
        <f>IFERROR(__xludf.DUMMYFUNCTION("""COMPUTED_VALUE"""),2461.42)</f>
        <v>2461.42</v>
      </c>
      <c r="G358" s="3">
        <f>IFERROR(__xludf.DUMMYFUNCTION("""COMPUTED_VALUE"""),663.04)</f>
        <v>663.04</v>
      </c>
      <c r="H358" s="3">
        <f>IFERROR(__xludf.DUMMYFUNCTION("""COMPUTED_VALUE"""),602.01)</f>
        <v>602.01</v>
      </c>
      <c r="I358" s="3">
        <f>IFERROR(__xludf.DUMMYFUNCTION("""COMPUTED_VALUE"""),339.32)</f>
        <v>339.32</v>
      </c>
      <c r="J358" s="3">
        <f>IFERROR(__xludf.DUMMYFUNCTION("""COMPUTED_VALUE"""),220.07)</f>
        <v>220.07</v>
      </c>
      <c r="K358" s="3">
        <f>IFERROR(__xludf.DUMMYFUNCTION("""COMPUTED_VALUE"""),139.63)</f>
        <v>139.63</v>
      </c>
      <c r="L358" s="3">
        <f>IFERROR(__xludf.DUMMYFUNCTION("""COMPUTED_VALUE"""),247.66)</f>
        <v>247.66</v>
      </c>
      <c r="M358" s="3">
        <f>IFERROR(__xludf.DUMMYFUNCTION("""COMPUTED_VALUE"""),219.48)</f>
        <v>219.48</v>
      </c>
      <c r="N358" s="3">
        <f>IFERROR(__xludf.DUMMYFUNCTION("""COMPUTED_VALUE"""),106.3)</f>
        <v>106.3</v>
      </c>
      <c r="O358" s="3">
        <f>IFERROR(__xludf.DUMMYFUNCTION("""COMPUTED_VALUE"""),20.08)</f>
        <v>20.08</v>
      </c>
      <c r="P358" s="3">
        <f>IFERROR(__xludf.DUMMYFUNCTION("""COMPUTED_VALUE"""),491.93)</f>
        <v>491.93</v>
      </c>
      <c r="Q358" s="3">
        <f>IFERROR(__xludf.DUMMYFUNCTION("""COMPUTED_VALUE"""),55.71)</f>
        <v>55.71</v>
      </c>
      <c r="R358" s="3">
        <f>IFERROR(__xludf.DUMMYFUNCTION("""COMPUTED_VALUE"""),144.69)</f>
        <v>144.69</v>
      </c>
      <c r="S358" s="3">
        <f>IFERROR(__xludf.DUMMYFUNCTION("""COMPUTED_VALUE"""),94.95)</f>
        <v>94.95</v>
      </c>
      <c r="T358" s="3">
        <f>IFERROR(__xludf.DUMMYFUNCTION("""COMPUTED_VALUE"""),56.87)</f>
        <v>56.87</v>
      </c>
      <c r="U358" s="3">
        <f>IFERROR(__xludf.DUMMYFUNCTION("""COMPUTED_VALUE"""),504.76)</f>
        <v>504.76</v>
      </c>
      <c r="V358" s="3">
        <f>IFERROR(__xludf.DUMMYFUNCTION("""COMPUTED_VALUE"""),92.15)</f>
        <v>92.15</v>
      </c>
      <c r="W358" s="3">
        <f>IFERROR(__xludf.DUMMYFUNCTION("""COMPUTED_VALUE"""),194.85)</f>
        <v>194.85</v>
      </c>
      <c r="X358" s="3">
        <f>IFERROR(__xludf.DUMMYFUNCTION("""COMPUTED_VALUE"""),151.94)</f>
        <v>151.94</v>
      </c>
      <c r="Y358" s="1">
        <f>IFERROR(__xludf.DUMMYFUNCTION("""COMPUTED_VALUE"""),295.41)</f>
        <v>295.41</v>
      </c>
      <c r="Z358" s="1">
        <f>IFERROR(__xludf.DUMMYFUNCTION("""COMPUTED_VALUE"""),50.25)</f>
        <v>50.25</v>
      </c>
      <c r="AA358" s="1">
        <f>IFERROR(__xludf.DUMMYFUNCTION("""COMPUTED_VALUE"""),66.8)</f>
        <v>66.8</v>
      </c>
      <c r="AB358" s="1">
        <f>IFERROR(__xludf.DUMMYFUNCTION("""COMPUTED_VALUE"""),100.86)</f>
        <v>100.86</v>
      </c>
      <c r="AC358" s="1">
        <f>IFERROR(__xludf.DUMMYFUNCTION("""COMPUTED_VALUE"""),171.56)</f>
        <v>171.56</v>
      </c>
      <c r="AD358" s="3">
        <f>IFERROR(__xludf.DUMMYFUNCTION("""COMPUTED_VALUE"""),92.59)</f>
        <v>92.59</v>
      </c>
      <c r="AE358" s="1">
        <f>IFERROR(__xludf.DUMMYFUNCTION("""COMPUTED_VALUE"""),408.26)</f>
        <v>408.26</v>
      </c>
      <c r="AF358" s="1">
        <f>IFERROR(__xludf.DUMMYFUNCTION("""COMPUTED_VALUE"""),89.36)</f>
        <v>89.36</v>
      </c>
      <c r="AG358" s="1">
        <f>IFERROR(__xludf.DUMMYFUNCTION("""COMPUTED_VALUE"""),112.24)</f>
        <v>112.24</v>
      </c>
      <c r="AH358" s="1">
        <f>IFERROR(__xludf.DUMMYFUNCTION("""COMPUTED_VALUE"""),229.65)</f>
        <v>229.65</v>
      </c>
      <c r="AI358" s="1">
        <f>IFERROR(__xludf.DUMMYFUNCTION("""COMPUTED_VALUE"""),378.72)</f>
        <v>378.72</v>
      </c>
      <c r="AJ358" s="1">
        <f>IFERROR(__xludf.DUMMYFUNCTION("""COMPUTED_VALUE"""),334.39)</f>
        <v>334.39</v>
      </c>
      <c r="AK358" s="1">
        <f>IFERROR(__xludf.DUMMYFUNCTION("""COMPUTED_VALUE"""),55.62)</f>
        <v>55.62</v>
      </c>
      <c r="AL358" s="1">
        <f>IFERROR(__xludf.DUMMYFUNCTION("""COMPUTED_VALUE"""),118.21)</f>
        <v>118.21</v>
      </c>
      <c r="AM358" s="1">
        <f>IFERROR(__xludf.DUMMYFUNCTION("""COMPUTED_VALUE"""),786.78)</f>
        <v>786.78</v>
      </c>
      <c r="AN358" s="1">
        <f>IFERROR(__xludf.DUMMYFUNCTION("""COMPUTED_VALUE"""),379.37)</f>
        <v>379.37</v>
      </c>
      <c r="AO358" s="1">
        <f>IFERROR(__xludf.DUMMYFUNCTION("""COMPUTED_VALUE"""),147.73)</f>
        <v>147.73</v>
      </c>
      <c r="AP358" s="1">
        <f>IFERROR(__xludf.DUMMYFUNCTION("""COMPUTED_VALUE"""),158.75)</f>
        <v>158.75</v>
      </c>
      <c r="AQ358" s="3">
        <f>IFERROR(__xludf.DUMMYFUNCTION("""COMPUTED_VALUE"""),435.73)</f>
        <v>435.73</v>
      </c>
      <c r="AR358" s="3">
        <f>IFERROR(__xludf.DUMMYFUNCTION("""COMPUTED_VALUE"""),307.97)</f>
        <v>307.97</v>
      </c>
      <c r="AS358" s="3">
        <f>IFERROR(__xludf.DUMMYFUNCTION("""COMPUTED_VALUE"""),503.83)</f>
        <v>503.83</v>
      </c>
      <c r="AT358" s="3">
        <f>IFERROR(__xludf.DUMMYFUNCTION("""COMPUTED_VALUE"""),169.85)</f>
        <v>169.85</v>
      </c>
      <c r="AU358" s="1">
        <f>IFERROR(__xludf.DUMMYFUNCTION("""COMPUTED_VALUE"""),32.11)</f>
        <v>32.11</v>
      </c>
      <c r="AV358" s="1">
        <f>IFERROR(__xludf.DUMMYFUNCTION("""COMPUTED_VALUE"""),95.58)</f>
        <v>95.58</v>
      </c>
      <c r="AW358" s="1">
        <f>IFERROR(__xludf.DUMMYFUNCTION("""COMPUTED_VALUE"""),80.82)</f>
        <v>80.82</v>
      </c>
      <c r="AX358" s="3">
        <f>IFERROR(__xludf.DUMMYFUNCTION("""COMPUTED_VALUE"""),95.06)</f>
        <v>95.06</v>
      </c>
      <c r="AY358" s="1">
        <f>IFERROR(__xludf.DUMMYFUNCTION("""COMPUTED_VALUE"""),514.05)</f>
        <v>514.05</v>
      </c>
      <c r="AZ358" s="3">
        <f>IFERROR(__xludf.DUMMYFUNCTION("""COMPUTED_VALUE"""),84.3)</f>
        <v>84.3</v>
      </c>
      <c r="BA358" s="3">
        <f>IFERROR(__xludf.DUMMYFUNCTION("""COMPUTED_VALUE"""),168.77)</f>
        <v>168.77</v>
      </c>
      <c r="BB358" s="3">
        <f>IFERROR(__xludf.DUMMYFUNCTION("""COMPUTED_VALUE"""),188.32)</f>
        <v>188.32</v>
      </c>
      <c r="BC358" s="1">
        <f>IFERROR(__xludf.DUMMYFUNCTION("""COMPUTED_VALUE"""),89.18)</f>
        <v>89.18</v>
      </c>
      <c r="BD358" s="1">
        <f>IFERROR(__xludf.DUMMYFUNCTION("""COMPUTED_VALUE"""),42.97)</f>
        <v>42.97</v>
      </c>
      <c r="BE358" s="3">
        <f>IFERROR(__xludf.DUMMYFUNCTION("""COMPUTED_VALUE"""),177.21)</f>
        <v>177.21</v>
      </c>
      <c r="BF358" s="1">
        <f>IFERROR(__xludf.DUMMYFUNCTION("""COMPUTED_VALUE"""),68.86)</f>
        <v>68.86</v>
      </c>
      <c r="BG358" s="1">
        <f>IFERROR(__xludf.DUMMYFUNCTION("""COMPUTED_VALUE"""),24.73)</f>
        <v>24.73</v>
      </c>
      <c r="BH358" s="1">
        <f>IFERROR(__xludf.DUMMYFUNCTION("""COMPUTED_VALUE"""),158.85)</f>
        <v>158.85</v>
      </c>
      <c r="BI358" s="3">
        <f>IFERROR(__xludf.DUMMYFUNCTION("""COMPUTED_VALUE"""),48.75)</f>
        <v>48.75</v>
      </c>
      <c r="BJ358" s="1">
        <f>IFERROR(__xludf.DUMMYFUNCTION("""COMPUTED_VALUE"""),225.06)</f>
        <v>225.06</v>
      </c>
      <c r="BK358" s="1">
        <f>IFERROR(__xludf.DUMMYFUNCTION("""COMPUTED_VALUE"""),524.58)</f>
        <v>524.58</v>
      </c>
      <c r="BL358" s="1">
        <f>IFERROR(__xludf.DUMMYFUNCTION("""COMPUTED_VALUE"""),187.88)</f>
        <v>187.88</v>
      </c>
      <c r="BM358" s="1">
        <f>IFERROR(__xludf.DUMMYFUNCTION("""COMPUTED_VALUE"""),111.71)</f>
        <v>111.71</v>
      </c>
      <c r="BN358" s="3">
        <f>IFERROR(__xludf.DUMMYFUNCTION("""COMPUTED_VALUE"""),4.84)</f>
        <v>4.84</v>
      </c>
      <c r="BO358" s="1">
        <f>IFERROR(__xludf.DUMMYFUNCTION("""COMPUTED_VALUE"""),225.85)</f>
        <v>225.85</v>
      </c>
      <c r="BP358" s="1">
        <f>IFERROR(__xludf.DUMMYFUNCTION("""COMPUTED_VALUE"""),358.66)</f>
        <v>358.66</v>
      </c>
      <c r="BQ358" s="36">
        <f>IFERROR(__xludf.DUMMYFUNCTION("""COMPUTED_VALUE"""),50.13)</f>
        <v>50.13</v>
      </c>
      <c r="BR358" s="1">
        <f>IFERROR(__xludf.DUMMYFUNCTION("""COMPUTED_VALUE"""),9.86)</f>
        <v>9.86</v>
      </c>
      <c r="BS358" s="3">
        <f>IFERROR(__xludf.DUMMYFUNCTION("""COMPUTED_VALUE"""),217.09)</f>
        <v>217.09</v>
      </c>
      <c r="BT358" s="1">
        <f>IFERROR(__xludf.DUMMYFUNCTION("""COMPUTED_VALUE"""),110.27)</f>
        <v>110.27</v>
      </c>
      <c r="BU358" s="3">
        <v>1.0</v>
      </c>
    </row>
    <row r="359">
      <c r="A359" s="25">
        <f>IFERROR(__xludf.DUMMYFUNCTION("""COMPUTED_VALUE"""),45944.66666666667)</f>
        <v>45944.66667</v>
      </c>
      <c r="B359" s="29">
        <f>'Master Scratch Work'!B358</f>
        <v>1481323.73</v>
      </c>
      <c r="C359" s="15">
        <f>IFERROR(__xludf.DUMMYFUNCTION("""COMPUTED_VALUE"""),6644.31)</f>
        <v>6644.31</v>
      </c>
      <c r="D359" s="15">
        <f>IFERROR(__xludf.DUMMYFUNCTION("""COMPUTED_VALUE"""),22521.7)</f>
        <v>22521.7</v>
      </c>
      <c r="E359" s="15">
        <f>IFERROR(__xludf.DUMMYFUNCTION("""COMPUTED_VALUE"""),46270.46)</f>
        <v>46270.46</v>
      </c>
      <c r="F359" s="15">
        <f>IFERROR(__xludf.DUMMYFUNCTION("""COMPUTED_VALUE"""),2495.5)</f>
        <v>2495.5</v>
      </c>
      <c r="G359" s="3">
        <f>IFERROR(__xludf.DUMMYFUNCTION("""COMPUTED_VALUE"""),662.23)</f>
        <v>662.23</v>
      </c>
      <c r="H359" s="3">
        <f>IFERROR(__xludf.DUMMYFUNCTION("""COMPUTED_VALUE"""),598.0)</f>
        <v>598</v>
      </c>
      <c r="I359" s="3">
        <f>IFERROR(__xludf.DUMMYFUNCTION("""COMPUTED_VALUE"""),335.94)</f>
        <v>335.94</v>
      </c>
      <c r="J359" s="3">
        <f>IFERROR(__xludf.DUMMYFUNCTION("""COMPUTED_VALUE"""),216.39)</f>
        <v>216.39</v>
      </c>
      <c r="K359" s="3">
        <f>IFERROR(__xludf.DUMMYFUNCTION("""COMPUTED_VALUE"""),141.56)</f>
        <v>141.56</v>
      </c>
      <c r="L359" s="3">
        <f>IFERROR(__xludf.DUMMYFUNCTION("""COMPUTED_VALUE"""),247.77)</f>
        <v>247.77</v>
      </c>
      <c r="M359" s="3">
        <f>IFERROR(__xludf.DUMMYFUNCTION("""COMPUTED_VALUE"""),218.19)</f>
        <v>218.19</v>
      </c>
      <c r="N359" s="3">
        <f>IFERROR(__xludf.DUMMYFUNCTION("""COMPUTED_VALUE"""),107.11)</f>
        <v>107.11</v>
      </c>
      <c r="O359" s="3">
        <f>IFERROR(__xludf.DUMMYFUNCTION("""COMPUTED_VALUE"""),20.44)</f>
        <v>20.44</v>
      </c>
      <c r="P359" s="3">
        <f>IFERROR(__xludf.DUMMYFUNCTION("""COMPUTED_VALUE"""),495.97)</f>
        <v>495.97</v>
      </c>
      <c r="Q359" s="3">
        <f>IFERROR(__xludf.DUMMYFUNCTION("""COMPUTED_VALUE"""),56.42)</f>
        <v>56.42</v>
      </c>
      <c r="R359" s="3">
        <f>IFERROR(__xludf.DUMMYFUNCTION("""COMPUTED_VALUE"""),145.31)</f>
        <v>145.31</v>
      </c>
      <c r="S359" s="3">
        <f>IFERROR(__xludf.DUMMYFUNCTION("""COMPUTED_VALUE"""),96.24)</f>
        <v>96.24</v>
      </c>
      <c r="T359" s="3">
        <f>IFERROR(__xludf.DUMMYFUNCTION("""COMPUTED_VALUE"""),57.5)</f>
        <v>57.5</v>
      </c>
      <c r="U359" s="3">
        <f>IFERROR(__xludf.DUMMYFUNCTION("""COMPUTED_VALUE"""),527.47)</f>
        <v>527.47</v>
      </c>
      <c r="V359" s="3">
        <f>IFERROR(__xludf.DUMMYFUNCTION("""COMPUTED_VALUE"""),93.19)</f>
        <v>93.19</v>
      </c>
      <c r="W359" s="3">
        <f>IFERROR(__xludf.DUMMYFUNCTION("""COMPUTED_VALUE"""),194.08)</f>
        <v>194.08</v>
      </c>
      <c r="X359" s="3">
        <f>IFERROR(__xludf.DUMMYFUNCTION("""COMPUTED_VALUE"""),152.39)</f>
        <v>152.39</v>
      </c>
      <c r="Y359" s="1">
        <f>IFERROR(__xludf.DUMMYFUNCTION("""COMPUTED_VALUE"""),302.13)</f>
        <v>302.13</v>
      </c>
      <c r="Z359" s="1">
        <f>IFERROR(__xludf.DUMMYFUNCTION("""COMPUTED_VALUE"""),51.8)</f>
        <v>51.8</v>
      </c>
      <c r="AA359" s="1">
        <f>IFERROR(__xludf.DUMMYFUNCTION("""COMPUTED_VALUE"""),67.51)</f>
        <v>67.51</v>
      </c>
      <c r="AB359" s="1">
        <f>IFERROR(__xludf.DUMMYFUNCTION("""COMPUTED_VALUE"""),101.89)</f>
        <v>101.89</v>
      </c>
      <c r="AC359" s="1">
        <f>IFERROR(__xludf.DUMMYFUNCTION("""COMPUTED_VALUE"""),171.88)</f>
        <v>171.88</v>
      </c>
      <c r="AD359" s="3">
        <f>IFERROR(__xludf.DUMMYFUNCTION("""COMPUTED_VALUE"""),95.58)</f>
        <v>95.58</v>
      </c>
      <c r="AE359" s="1">
        <f>IFERROR(__xludf.DUMMYFUNCTION("""COMPUTED_VALUE"""),424.23)</f>
        <v>424.23</v>
      </c>
      <c r="AF359" s="1">
        <f>IFERROR(__xludf.DUMMYFUNCTION("""COMPUTED_VALUE"""),91.06)</f>
        <v>91.06</v>
      </c>
      <c r="AG359" s="1">
        <f>IFERROR(__xludf.DUMMYFUNCTION("""COMPUTED_VALUE"""),112.29)</f>
        <v>112.29</v>
      </c>
      <c r="AH359" s="1">
        <f>IFERROR(__xludf.DUMMYFUNCTION("""COMPUTED_VALUE"""),234.67)</f>
        <v>234.67</v>
      </c>
      <c r="AI359" s="1">
        <f>IFERROR(__xludf.DUMMYFUNCTION("""COMPUTED_VALUE"""),382.19)</f>
        <v>382.19</v>
      </c>
      <c r="AJ359" s="1">
        <f>IFERROR(__xludf.DUMMYFUNCTION("""COMPUTED_VALUE"""),335.5)</f>
        <v>335.5</v>
      </c>
      <c r="AK359" s="1">
        <f>IFERROR(__xludf.DUMMYFUNCTION("""COMPUTED_VALUE"""),57.15)</f>
        <v>57.15</v>
      </c>
      <c r="AL359" s="1">
        <f>IFERROR(__xludf.DUMMYFUNCTION("""COMPUTED_VALUE"""),118.48)</f>
        <v>118.48</v>
      </c>
      <c r="AM359" s="1">
        <f>IFERROR(__xludf.DUMMYFUNCTION("""COMPUTED_VALUE"""),770.76)</f>
        <v>770.76</v>
      </c>
      <c r="AN359" s="1">
        <f>IFERROR(__xludf.DUMMYFUNCTION("""COMPUTED_VALUE"""),387.72)</f>
        <v>387.72</v>
      </c>
      <c r="AO359" s="1">
        <f>IFERROR(__xludf.DUMMYFUNCTION("""COMPUTED_VALUE"""),148.69)</f>
        <v>148.69</v>
      </c>
      <c r="AP359" s="1">
        <f>IFERROR(__xludf.DUMMYFUNCTION("""COMPUTED_VALUE"""),158.27)</f>
        <v>158.27</v>
      </c>
      <c r="AQ359" s="3">
        <f>IFERROR(__xludf.DUMMYFUNCTION("""COMPUTED_VALUE"""),436.39)</f>
        <v>436.39</v>
      </c>
      <c r="AR359" s="3">
        <f>IFERROR(__xludf.DUMMYFUNCTION("""COMPUTED_VALUE"""),302.08)</f>
        <v>302.08</v>
      </c>
      <c r="AS359" s="3">
        <f>IFERROR(__xludf.DUMMYFUNCTION("""COMPUTED_VALUE"""),505.18)</f>
        <v>505.18</v>
      </c>
      <c r="AT359" s="3">
        <f>IFERROR(__xludf.DUMMYFUNCTION("""COMPUTED_VALUE"""),169.13)</f>
        <v>169.13</v>
      </c>
      <c r="AU359" s="1">
        <f>IFERROR(__xludf.DUMMYFUNCTION("""COMPUTED_VALUE"""),32.33)</f>
        <v>32.33</v>
      </c>
      <c r="AV359" s="1">
        <f>IFERROR(__xludf.DUMMYFUNCTION("""COMPUTED_VALUE"""),96.54)</f>
        <v>96.54</v>
      </c>
      <c r="AW359" s="1">
        <f>IFERROR(__xludf.DUMMYFUNCTION("""COMPUTED_VALUE"""),82.89)</f>
        <v>82.89</v>
      </c>
      <c r="AX359" s="3">
        <f>IFERROR(__xludf.DUMMYFUNCTION("""COMPUTED_VALUE"""),98.65)</f>
        <v>98.65</v>
      </c>
      <c r="AY359" s="1">
        <f>IFERROR(__xludf.DUMMYFUNCTION("""COMPUTED_VALUE"""),513.57)</f>
        <v>513.57</v>
      </c>
      <c r="AZ359" s="3">
        <f>IFERROR(__xludf.DUMMYFUNCTION("""COMPUTED_VALUE"""),84.64)</f>
        <v>84.64</v>
      </c>
      <c r="BA359" s="3">
        <f>IFERROR(__xludf.DUMMYFUNCTION("""COMPUTED_VALUE"""),165.61)</f>
        <v>165.61</v>
      </c>
      <c r="BB359" s="3">
        <f>IFERROR(__xludf.DUMMYFUNCTION("""COMPUTED_VALUE"""),180.03)</f>
        <v>180.03</v>
      </c>
      <c r="BC359" s="1">
        <f>IFERROR(__xludf.DUMMYFUNCTION("""COMPUTED_VALUE"""),90.82)</f>
        <v>90.82</v>
      </c>
      <c r="BD359" s="1">
        <f>IFERROR(__xludf.DUMMYFUNCTION("""COMPUTED_VALUE"""),42.18)</f>
        <v>42.18</v>
      </c>
      <c r="BE359" s="3">
        <f>IFERROR(__xludf.DUMMYFUNCTION("""COMPUTED_VALUE"""),179.74)</f>
        <v>179.74</v>
      </c>
      <c r="BF359" s="1">
        <f>IFERROR(__xludf.DUMMYFUNCTION("""COMPUTED_VALUE"""),69.15)</f>
        <v>69.15</v>
      </c>
      <c r="BG359" s="1">
        <f>IFERROR(__xludf.DUMMYFUNCTION("""COMPUTED_VALUE"""),24.52)</f>
        <v>24.52</v>
      </c>
      <c r="BH359" s="1">
        <f>IFERROR(__xludf.DUMMYFUNCTION("""COMPUTED_VALUE"""),159.4)</f>
        <v>159.4</v>
      </c>
      <c r="BI359" s="3">
        <f>IFERROR(__xludf.DUMMYFUNCTION("""COMPUTED_VALUE"""),47.5)</f>
        <v>47.5</v>
      </c>
      <c r="BJ359" s="1">
        <f>IFERROR(__xludf.DUMMYFUNCTION("""COMPUTED_VALUE"""),229.42)</f>
        <v>229.42</v>
      </c>
      <c r="BK359" s="1">
        <f>IFERROR(__xludf.DUMMYFUNCTION("""COMPUTED_VALUE"""),525.83)</f>
        <v>525.83</v>
      </c>
      <c r="BL359" s="1">
        <f>IFERROR(__xludf.DUMMYFUNCTION("""COMPUTED_VALUE"""),191.74)</f>
        <v>191.74</v>
      </c>
      <c r="BM359" s="1">
        <f>IFERROR(__xludf.DUMMYFUNCTION("""COMPUTED_VALUE"""),111.23)</f>
        <v>111.23</v>
      </c>
      <c r="BN359" s="3">
        <f>IFERROR(__xludf.DUMMYFUNCTION("""COMPUTED_VALUE"""),4.89)</f>
        <v>4.89</v>
      </c>
      <c r="BO359" s="1">
        <f>IFERROR(__xludf.DUMMYFUNCTION("""COMPUTED_VALUE"""),227.08)</f>
        <v>227.08</v>
      </c>
      <c r="BP359" s="1">
        <f>IFERROR(__xludf.DUMMYFUNCTION("""COMPUTED_VALUE"""),359.93)</f>
        <v>359.93</v>
      </c>
      <c r="BQ359" s="36">
        <f>IFERROR(__xludf.DUMMYFUNCTION("""COMPUTED_VALUE"""),50.12)</f>
        <v>50.12</v>
      </c>
      <c r="BR359" s="1">
        <f>IFERROR(__xludf.DUMMYFUNCTION("""COMPUTED_VALUE"""),9.93)</f>
        <v>9.93</v>
      </c>
      <c r="BS359" s="3">
        <f>IFERROR(__xludf.DUMMYFUNCTION("""COMPUTED_VALUE"""),218.11)</f>
        <v>218.11</v>
      </c>
      <c r="BT359" s="1">
        <f>IFERROR(__xludf.DUMMYFUNCTION("""COMPUTED_VALUE"""),111.17)</f>
        <v>111.17</v>
      </c>
      <c r="BU359" s="3">
        <v>1.0</v>
      </c>
    </row>
    <row r="360">
      <c r="A360" s="25">
        <f>IFERROR(__xludf.DUMMYFUNCTION("""COMPUTED_VALUE"""),45945.66666666667)</f>
        <v>45945.66667</v>
      </c>
      <c r="B360" s="29">
        <f>'Master Scratch Work'!B359</f>
        <v>1480436.83</v>
      </c>
      <c r="C360" s="15">
        <f>IFERROR(__xludf.DUMMYFUNCTION("""COMPUTED_VALUE"""),6671.06)</f>
        <v>6671.06</v>
      </c>
      <c r="D360" s="15">
        <f>IFERROR(__xludf.DUMMYFUNCTION("""COMPUTED_VALUE"""),22670.08)</f>
        <v>22670.08</v>
      </c>
      <c r="E360" s="15">
        <f>IFERROR(__xludf.DUMMYFUNCTION("""COMPUTED_VALUE"""),46253.31)</f>
        <v>46253.31</v>
      </c>
      <c r="F360" s="15">
        <f>IFERROR(__xludf.DUMMYFUNCTION("""COMPUTED_VALUE"""),2519.75)</f>
        <v>2519.75</v>
      </c>
      <c r="G360" s="3">
        <f>IFERROR(__xludf.DUMMYFUNCTION("""COMPUTED_VALUE"""),665.17)</f>
        <v>665.17</v>
      </c>
      <c r="H360" s="3">
        <f>IFERROR(__xludf.DUMMYFUNCTION("""COMPUTED_VALUE"""),602.22)</f>
        <v>602.22</v>
      </c>
      <c r="I360" s="3">
        <f>IFERROR(__xludf.DUMMYFUNCTION("""COMPUTED_VALUE"""),330.63)</f>
        <v>330.63</v>
      </c>
      <c r="J360" s="3">
        <f>IFERROR(__xludf.DUMMYFUNCTION("""COMPUTED_VALUE"""),215.57)</f>
        <v>215.57</v>
      </c>
      <c r="K360" s="3">
        <f>IFERROR(__xludf.DUMMYFUNCTION("""COMPUTED_VALUE"""),142.53)</f>
        <v>142.53</v>
      </c>
      <c r="L360" s="3">
        <f>IFERROR(__xludf.DUMMYFUNCTION("""COMPUTED_VALUE"""),249.34)</f>
        <v>249.34</v>
      </c>
      <c r="M360" s="3">
        <f>IFERROR(__xludf.DUMMYFUNCTION("""COMPUTED_VALUE"""),227.58)</f>
        <v>227.58</v>
      </c>
      <c r="N360" s="3">
        <f>IFERROR(__xludf.DUMMYFUNCTION("""COMPUTED_VALUE"""),108.93)</f>
        <v>108.93</v>
      </c>
      <c r="O360" s="3">
        <f>IFERROR(__xludf.DUMMYFUNCTION("""COMPUTED_VALUE"""),20.33)</f>
        <v>20.33</v>
      </c>
      <c r="P360" s="3">
        <f>IFERROR(__xludf.DUMMYFUNCTION("""COMPUTED_VALUE"""),496.39)</f>
        <v>496.39</v>
      </c>
      <c r="Q360" s="3">
        <f>IFERROR(__xludf.DUMMYFUNCTION("""COMPUTED_VALUE"""),56.69)</f>
        <v>56.69</v>
      </c>
      <c r="R360" s="3">
        <f>IFERROR(__xludf.DUMMYFUNCTION("""COMPUTED_VALUE"""),143.66)</f>
        <v>143.66</v>
      </c>
      <c r="S360" s="3">
        <f>IFERROR(__xludf.DUMMYFUNCTION("""COMPUTED_VALUE"""),97.71)</f>
        <v>97.71</v>
      </c>
      <c r="T360" s="3">
        <f>IFERROR(__xludf.DUMMYFUNCTION("""COMPUTED_VALUE"""),57.21)</f>
        <v>57.21</v>
      </c>
      <c r="U360" s="3">
        <f>IFERROR(__xludf.DUMMYFUNCTION("""COMPUTED_VALUE"""),534.05)</f>
        <v>534.05</v>
      </c>
      <c r="V360" s="3">
        <f>IFERROR(__xludf.DUMMYFUNCTION("""COMPUTED_VALUE"""),93.46)</f>
        <v>93.46</v>
      </c>
      <c r="W360" s="3">
        <f>IFERROR(__xludf.DUMMYFUNCTION("""COMPUTED_VALUE"""),190.24)</f>
        <v>190.24</v>
      </c>
      <c r="X360" s="3">
        <f>IFERROR(__xludf.DUMMYFUNCTION("""COMPUTED_VALUE"""),152.11)</f>
        <v>152.11</v>
      </c>
      <c r="Y360" s="1">
        <f>IFERROR(__xludf.DUMMYFUNCTION("""COMPUTED_VALUE"""),294.57)</f>
        <v>294.57</v>
      </c>
      <c r="Z360" s="1">
        <f>IFERROR(__xludf.DUMMYFUNCTION("""COMPUTED_VALUE"""),51.7)</f>
        <v>51.7</v>
      </c>
      <c r="AA360" s="1">
        <f>IFERROR(__xludf.DUMMYFUNCTION("""COMPUTED_VALUE"""),67.08)</f>
        <v>67.08</v>
      </c>
      <c r="AB360" s="1">
        <f>IFERROR(__xludf.DUMMYFUNCTION("""COMPUTED_VALUE"""),102.29)</f>
        <v>102.29</v>
      </c>
      <c r="AC360" s="1">
        <f>IFERROR(__xludf.DUMMYFUNCTION("""COMPUTED_VALUE"""),175.2)</f>
        <v>175.2</v>
      </c>
      <c r="AD360" s="3">
        <f>IFERROR(__xludf.DUMMYFUNCTION("""COMPUTED_VALUE"""),95.97)</f>
        <v>95.97</v>
      </c>
      <c r="AE360" s="1">
        <f>IFERROR(__xludf.DUMMYFUNCTION("""COMPUTED_VALUE"""),417.46)</f>
        <v>417.46</v>
      </c>
      <c r="AF360" s="1">
        <f>IFERROR(__xludf.DUMMYFUNCTION("""COMPUTED_VALUE"""),90.87)</f>
        <v>90.87</v>
      </c>
      <c r="AG360" s="1">
        <f>IFERROR(__xludf.DUMMYFUNCTION("""COMPUTED_VALUE"""),111.61)</f>
        <v>111.61</v>
      </c>
      <c r="AH360" s="1">
        <f>IFERROR(__xludf.DUMMYFUNCTION("""COMPUTED_VALUE"""),235.8)</f>
        <v>235.8</v>
      </c>
      <c r="AI360" s="1">
        <f>IFERROR(__xludf.DUMMYFUNCTION("""COMPUTED_VALUE"""),389.56)</f>
        <v>389.56</v>
      </c>
      <c r="AJ360" s="1">
        <f>IFERROR(__xludf.DUMMYFUNCTION("""COMPUTED_VALUE"""),332.04)</f>
        <v>332.04</v>
      </c>
      <c r="AK360" s="1">
        <f>IFERROR(__xludf.DUMMYFUNCTION("""COMPUTED_VALUE"""),57.8)</f>
        <v>57.8</v>
      </c>
      <c r="AL360" s="1">
        <f>IFERROR(__xludf.DUMMYFUNCTION("""COMPUTED_VALUE"""),118.3)</f>
        <v>118.3</v>
      </c>
      <c r="AM360" s="1">
        <f>IFERROR(__xludf.DUMMYFUNCTION("""COMPUTED_VALUE"""),767.93)</f>
        <v>767.93</v>
      </c>
      <c r="AN360" s="1">
        <f>IFERROR(__xludf.DUMMYFUNCTION("""COMPUTED_VALUE"""),388.3)</f>
        <v>388.3</v>
      </c>
      <c r="AO360" s="1">
        <f>IFERROR(__xludf.DUMMYFUNCTION("""COMPUTED_VALUE"""),150.84)</f>
        <v>150.84</v>
      </c>
      <c r="AP360" s="1">
        <f>IFERROR(__xludf.DUMMYFUNCTION("""COMPUTED_VALUE"""),157.46)</f>
        <v>157.46</v>
      </c>
      <c r="AQ360" s="3">
        <f>IFERROR(__xludf.DUMMYFUNCTION("""COMPUTED_VALUE"""),435.61)</f>
        <v>435.61</v>
      </c>
      <c r="AR360" s="3">
        <f>IFERROR(__xludf.DUMMYFUNCTION("""COMPUTED_VALUE"""),305.69)</f>
        <v>305.69</v>
      </c>
      <c r="AS360" s="3">
        <f>IFERROR(__xludf.DUMMYFUNCTION("""COMPUTED_VALUE"""),499.41)</f>
        <v>499.41</v>
      </c>
      <c r="AT360" s="3">
        <f>IFERROR(__xludf.DUMMYFUNCTION("""COMPUTED_VALUE"""),167.1)</f>
        <v>167.1</v>
      </c>
      <c r="AU360" s="1">
        <f>IFERROR(__xludf.DUMMYFUNCTION("""COMPUTED_VALUE"""),32.13)</f>
        <v>32.13</v>
      </c>
      <c r="AV360" s="1">
        <f>IFERROR(__xludf.DUMMYFUNCTION("""COMPUTED_VALUE"""),95.34)</f>
        <v>95.34</v>
      </c>
      <c r="AW360" s="1">
        <f>IFERROR(__xludf.DUMMYFUNCTION("""COMPUTED_VALUE"""),81.62)</f>
        <v>81.62</v>
      </c>
      <c r="AX360" s="3">
        <f>IFERROR(__xludf.DUMMYFUNCTION("""COMPUTED_VALUE"""),89.85)</f>
        <v>89.85</v>
      </c>
      <c r="AY360" s="1">
        <f>IFERROR(__xludf.DUMMYFUNCTION("""COMPUTED_VALUE"""),513.43)</f>
        <v>513.43</v>
      </c>
      <c r="AZ360" s="3">
        <f>IFERROR(__xludf.DUMMYFUNCTION("""COMPUTED_VALUE"""),85.79)</f>
        <v>85.79</v>
      </c>
      <c r="BA360" s="3">
        <f>IFERROR(__xludf.DUMMYFUNCTION("""COMPUTED_VALUE"""),171.33)</f>
        <v>171.33</v>
      </c>
      <c r="BB360" s="3">
        <f>IFERROR(__xludf.DUMMYFUNCTION("""COMPUTED_VALUE"""),179.83)</f>
        <v>179.83</v>
      </c>
      <c r="BC360" s="1">
        <f>IFERROR(__xludf.DUMMYFUNCTION("""COMPUTED_VALUE"""),91.47)</f>
        <v>91.47</v>
      </c>
      <c r="BD360" s="1">
        <f>IFERROR(__xludf.DUMMYFUNCTION("""COMPUTED_VALUE"""),41.44)</f>
        <v>41.44</v>
      </c>
      <c r="BE360" s="3">
        <f>IFERROR(__xludf.DUMMYFUNCTION("""COMPUTED_VALUE"""),179.62)</f>
        <v>179.62</v>
      </c>
      <c r="BF360" s="1">
        <f>IFERROR(__xludf.DUMMYFUNCTION("""COMPUTED_VALUE"""),67.98)</f>
        <v>67.98</v>
      </c>
      <c r="BG360" s="1">
        <f>IFERROR(__xludf.DUMMYFUNCTION("""COMPUTED_VALUE"""),24.39)</f>
        <v>24.39</v>
      </c>
      <c r="BH360" s="1">
        <f>IFERROR(__xludf.DUMMYFUNCTION("""COMPUTED_VALUE"""),157.0)</f>
        <v>157</v>
      </c>
      <c r="BI360" s="3">
        <f>IFERROR(__xludf.DUMMYFUNCTION("""COMPUTED_VALUE"""),49.56)</f>
        <v>49.56</v>
      </c>
      <c r="BJ360" s="1">
        <f>IFERROR(__xludf.DUMMYFUNCTION("""COMPUTED_VALUE"""),226.65)</f>
        <v>226.65</v>
      </c>
      <c r="BK360" s="1">
        <f>IFERROR(__xludf.DUMMYFUNCTION("""COMPUTED_VALUE"""),527.87)</f>
        <v>527.87</v>
      </c>
      <c r="BL360" s="1">
        <f>IFERROR(__xludf.DUMMYFUNCTION("""COMPUTED_VALUE"""),194.33)</f>
        <v>194.33</v>
      </c>
      <c r="BM360" s="1">
        <f>IFERROR(__xludf.DUMMYFUNCTION("""COMPUTED_VALUE"""),112.61)</f>
        <v>112.61</v>
      </c>
      <c r="BN360" s="3">
        <f>IFERROR(__xludf.DUMMYFUNCTION("""COMPUTED_VALUE"""),4.8)</f>
        <v>4.8</v>
      </c>
      <c r="BO360" s="1">
        <f>IFERROR(__xludf.DUMMYFUNCTION("""COMPUTED_VALUE"""),225.72)</f>
        <v>225.72</v>
      </c>
      <c r="BP360" s="1">
        <f>IFERROR(__xludf.DUMMYFUNCTION("""COMPUTED_VALUE"""),361.15)</f>
        <v>361.15</v>
      </c>
      <c r="BQ360" s="36">
        <f>IFERROR(__xludf.DUMMYFUNCTION("""COMPUTED_VALUE"""),50.11)</f>
        <v>50.11</v>
      </c>
      <c r="BR360" s="1">
        <f>IFERROR(__xludf.DUMMYFUNCTION("""COMPUTED_VALUE"""),9.98)</f>
        <v>9.98</v>
      </c>
      <c r="BS360" s="3">
        <f>IFERROR(__xludf.DUMMYFUNCTION("""COMPUTED_VALUE"""),213.69)</f>
        <v>213.69</v>
      </c>
      <c r="BT360" s="1">
        <f>IFERROR(__xludf.DUMMYFUNCTION("""COMPUTED_VALUE"""),111.71)</f>
        <v>111.71</v>
      </c>
      <c r="BU360" s="3">
        <v>1.0</v>
      </c>
    </row>
    <row r="361">
      <c r="A361" s="25">
        <f>IFERROR(__xludf.DUMMYFUNCTION("""COMPUTED_VALUE"""),45946.66666666667)</f>
        <v>45946.66667</v>
      </c>
      <c r="B361" s="29">
        <f>'Master Scratch Work'!B360</f>
        <v>1469661.91</v>
      </c>
      <c r="C361" s="15">
        <f>IFERROR(__xludf.DUMMYFUNCTION("""COMPUTED_VALUE"""),6629.07)</f>
        <v>6629.07</v>
      </c>
      <c r="D361" s="15">
        <f>IFERROR(__xludf.DUMMYFUNCTION("""COMPUTED_VALUE"""),22562.54)</f>
        <v>22562.54</v>
      </c>
      <c r="E361" s="15">
        <f>IFERROR(__xludf.DUMMYFUNCTION("""COMPUTED_VALUE"""),45952.24)</f>
        <v>45952.24</v>
      </c>
      <c r="F361" s="15">
        <f>IFERROR(__xludf.DUMMYFUNCTION("""COMPUTED_VALUE"""),2467.01)</f>
        <v>2467.01</v>
      </c>
      <c r="G361" s="3">
        <f>IFERROR(__xludf.DUMMYFUNCTION("""COMPUTED_VALUE"""),660.64)</f>
        <v>660.64</v>
      </c>
      <c r="H361" s="3">
        <f>IFERROR(__xludf.DUMMYFUNCTION("""COMPUTED_VALUE"""),599.99)</f>
        <v>599.99</v>
      </c>
      <c r="I361" s="3">
        <f>IFERROR(__xludf.DUMMYFUNCTION("""COMPUTED_VALUE"""),329.23)</f>
        <v>329.23</v>
      </c>
      <c r="J361" s="3">
        <f>IFERROR(__xludf.DUMMYFUNCTION("""COMPUTED_VALUE"""),214.47)</f>
        <v>214.47</v>
      </c>
      <c r="K361" s="3">
        <f>IFERROR(__xludf.DUMMYFUNCTION("""COMPUTED_VALUE"""),143.21)</f>
        <v>143.21</v>
      </c>
      <c r="L361" s="3">
        <f>IFERROR(__xludf.DUMMYFUNCTION("""COMPUTED_VALUE"""),247.45)</f>
        <v>247.45</v>
      </c>
      <c r="M361" s="3">
        <f>IFERROR(__xludf.DUMMYFUNCTION("""COMPUTED_VALUE"""),227.72)</f>
        <v>227.72</v>
      </c>
      <c r="N361" s="3">
        <f>IFERROR(__xludf.DUMMYFUNCTION("""COMPUTED_VALUE"""),106.72)</f>
        <v>106.72</v>
      </c>
      <c r="O361" s="3">
        <f>IFERROR(__xludf.DUMMYFUNCTION("""COMPUTED_VALUE"""),19.95)</f>
        <v>19.95</v>
      </c>
      <c r="P361" s="3">
        <f>IFERROR(__xludf.DUMMYFUNCTION("""COMPUTED_VALUE"""),488.81)</f>
        <v>488.81</v>
      </c>
      <c r="Q361" s="3">
        <f>IFERROR(__xludf.DUMMYFUNCTION("""COMPUTED_VALUE"""),56.28)</f>
        <v>56.28</v>
      </c>
      <c r="R361" s="3">
        <f>IFERROR(__xludf.DUMMYFUNCTION("""COMPUTED_VALUE"""),142.26)</f>
        <v>142.26</v>
      </c>
      <c r="S361" s="3">
        <f>IFERROR(__xludf.DUMMYFUNCTION("""COMPUTED_VALUE"""),97.78)</f>
        <v>97.78</v>
      </c>
      <c r="T361" s="3">
        <f>IFERROR(__xludf.DUMMYFUNCTION("""COMPUTED_VALUE"""),56.75)</f>
        <v>56.75</v>
      </c>
      <c r="U361" s="3">
        <f>IFERROR(__xludf.DUMMYFUNCTION("""COMPUTED_VALUE"""),540.96)</f>
        <v>540.96</v>
      </c>
      <c r="V361" s="3">
        <f>IFERROR(__xludf.DUMMYFUNCTION("""COMPUTED_VALUE"""),91.13)</f>
        <v>91.13</v>
      </c>
      <c r="W361" s="3">
        <f>IFERROR(__xludf.DUMMYFUNCTION("""COMPUTED_VALUE"""),188.36)</f>
        <v>188.36</v>
      </c>
      <c r="X361" s="3">
        <f>IFERROR(__xludf.DUMMYFUNCTION("""COMPUTED_VALUE"""),151.71)</f>
        <v>151.71</v>
      </c>
      <c r="Y361" s="1">
        <f>IFERROR(__xludf.DUMMYFUNCTION("""COMPUTED_VALUE"""),291.07)</f>
        <v>291.07</v>
      </c>
      <c r="Z361" s="1">
        <f>IFERROR(__xludf.DUMMYFUNCTION("""COMPUTED_VALUE"""),48.39)</f>
        <v>48.39</v>
      </c>
      <c r="AA361" s="1">
        <f>IFERROR(__xludf.DUMMYFUNCTION("""COMPUTED_VALUE"""),67.59)</f>
        <v>67.59</v>
      </c>
      <c r="AB361" s="1">
        <f>IFERROR(__xludf.DUMMYFUNCTION("""COMPUTED_VALUE"""),101.07)</f>
        <v>101.07</v>
      </c>
      <c r="AC361" s="1">
        <f>IFERROR(__xludf.DUMMYFUNCTION("""COMPUTED_VALUE"""),173.96)</f>
        <v>173.96</v>
      </c>
      <c r="AD361" s="3">
        <f>IFERROR(__xludf.DUMMYFUNCTION("""COMPUTED_VALUE"""),94.03)</f>
        <v>94.03</v>
      </c>
      <c r="AE361" s="1">
        <f>IFERROR(__xludf.DUMMYFUNCTION("""COMPUTED_VALUE"""),416.95)</f>
        <v>416.95</v>
      </c>
      <c r="AF361" s="1">
        <f>IFERROR(__xludf.DUMMYFUNCTION("""COMPUTED_VALUE"""),91.18)</f>
        <v>91.18</v>
      </c>
      <c r="AG361" s="1">
        <f>IFERROR(__xludf.DUMMYFUNCTION("""COMPUTED_VALUE"""),110.64)</f>
        <v>110.64</v>
      </c>
      <c r="AH361" s="1">
        <f>IFERROR(__xludf.DUMMYFUNCTION("""COMPUTED_VALUE"""),236.91)</f>
        <v>236.91</v>
      </c>
      <c r="AI361" s="1">
        <f>IFERROR(__xludf.DUMMYFUNCTION("""COMPUTED_VALUE"""),392.46)</f>
        <v>392.46</v>
      </c>
      <c r="AJ361" s="1">
        <f>IFERROR(__xludf.DUMMYFUNCTION("""COMPUTED_VALUE"""),330.59)</f>
        <v>330.59</v>
      </c>
      <c r="AK361" s="1">
        <f>IFERROR(__xludf.DUMMYFUNCTION("""COMPUTED_VALUE"""),57.34)</f>
        <v>57.34</v>
      </c>
      <c r="AL361" s="1">
        <f>IFERROR(__xludf.DUMMYFUNCTION("""COMPUTED_VALUE"""),117.85)</f>
        <v>117.85</v>
      </c>
      <c r="AM361" s="1">
        <f>IFERROR(__xludf.DUMMYFUNCTION("""COMPUTED_VALUE"""),758.09)</f>
        <v>758.09</v>
      </c>
      <c r="AN361" s="1">
        <f>IFERROR(__xludf.DUMMYFUNCTION("""COMPUTED_VALUE"""),387.39)</f>
        <v>387.39</v>
      </c>
      <c r="AO361" s="1">
        <f>IFERROR(__xludf.DUMMYFUNCTION("""COMPUTED_VALUE"""),147.23)</f>
        <v>147.23</v>
      </c>
      <c r="AP361" s="1">
        <f>IFERROR(__xludf.DUMMYFUNCTION("""COMPUTED_VALUE"""),153.36)</f>
        <v>153.36</v>
      </c>
      <c r="AQ361" s="3">
        <f>IFERROR(__xludf.DUMMYFUNCTION("""COMPUTED_VALUE"""),434.62)</f>
        <v>434.62</v>
      </c>
      <c r="AR361" s="3">
        <f>IFERROR(__xludf.DUMMYFUNCTION("""COMPUTED_VALUE"""),298.54)</f>
        <v>298.54</v>
      </c>
      <c r="AS361" s="3">
        <f>IFERROR(__xludf.DUMMYFUNCTION("""COMPUTED_VALUE"""),493.25)</f>
        <v>493.25</v>
      </c>
      <c r="AT361" s="3">
        <f>IFERROR(__xludf.DUMMYFUNCTION("""COMPUTED_VALUE"""),164.62)</f>
        <v>164.62</v>
      </c>
      <c r="AU361" s="1">
        <f>IFERROR(__xludf.DUMMYFUNCTION("""COMPUTED_VALUE"""),31.65)</f>
        <v>31.65</v>
      </c>
      <c r="AV361" s="1">
        <f>IFERROR(__xludf.DUMMYFUNCTION("""COMPUTED_VALUE"""),95.04)</f>
        <v>95.04</v>
      </c>
      <c r="AW361" s="1">
        <f>IFERROR(__xludf.DUMMYFUNCTION("""COMPUTED_VALUE"""),77.84)</f>
        <v>77.84</v>
      </c>
      <c r="AX361" s="3">
        <f>IFERROR(__xludf.DUMMYFUNCTION("""COMPUTED_VALUE"""),83.84)</f>
        <v>83.84</v>
      </c>
      <c r="AY361" s="1">
        <f>IFERROR(__xludf.DUMMYFUNCTION("""COMPUTED_VALUE"""),511.61)</f>
        <v>511.61</v>
      </c>
      <c r="AZ361" s="3">
        <f>IFERROR(__xludf.DUMMYFUNCTION("""COMPUTED_VALUE"""),85.05)</f>
        <v>85.05</v>
      </c>
      <c r="BA361" s="3">
        <f>IFERROR(__xludf.DUMMYFUNCTION("""COMPUTED_VALUE"""),169.93)</f>
        <v>169.93</v>
      </c>
      <c r="BB361" s="3">
        <f>IFERROR(__xludf.DUMMYFUNCTION("""COMPUTED_VALUE"""),181.81)</f>
        <v>181.81</v>
      </c>
      <c r="BC361" s="1">
        <f>IFERROR(__xludf.DUMMYFUNCTION("""COMPUTED_VALUE"""),90.67)</f>
        <v>90.67</v>
      </c>
      <c r="BD361" s="1">
        <f>IFERROR(__xludf.DUMMYFUNCTION("""COMPUTED_VALUE"""),41.98)</f>
        <v>41.98</v>
      </c>
      <c r="BE361" s="3">
        <f>IFERROR(__xludf.DUMMYFUNCTION("""COMPUTED_VALUE"""),178.12)</f>
        <v>178.12</v>
      </c>
      <c r="BF361" s="1">
        <f>IFERROR(__xludf.DUMMYFUNCTION("""COMPUTED_VALUE"""),66.05)</f>
        <v>66.05</v>
      </c>
      <c r="BG361" s="1">
        <f>IFERROR(__xludf.DUMMYFUNCTION("""COMPUTED_VALUE"""),24.23)</f>
        <v>24.23</v>
      </c>
      <c r="BH361" s="1">
        <f>IFERROR(__xludf.DUMMYFUNCTION("""COMPUTED_VALUE"""),157.05)</f>
        <v>157.05</v>
      </c>
      <c r="BI361" s="3">
        <f>IFERROR(__xludf.DUMMYFUNCTION("""COMPUTED_VALUE"""),49.68)</f>
        <v>49.68</v>
      </c>
      <c r="BJ361" s="1">
        <f>IFERROR(__xludf.DUMMYFUNCTION("""COMPUTED_VALUE"""),226.45)</f>
        <v>226.45</v>
      </c>
      <c r="BK361" s="1">
        <f>IFERROR(__xludf.DUMMYFUNCTION("""COMPUTED_VALUE"""),536.78)</f>
        <v>536.78</v>
      </c>
      <c r="BL361" s="1">
        <f>IFERROR(__xludf.DUMMYFUNCTION("""COMPUTED_VALUE"""),195.41)</f>
        <v>195.41</v>
      </c>
      <c r="BM361" s="1">
        <f>IFERROR(__xludf.DUMMYFUNCTION("""COMPUTED_VALUE"""),115.68)</f>
        <v>115.68</v>
      </c>
      <c r="BN361" s="3">
        <f>IFERROR(__xludf.DUMMYFUNCTION("""COMPUTED_VALUE"""),4.76)</f>
        <v>4.76</v>
      </c>
      <c r="BO361" s="1">
        <f>IFERROR(__xludf.DUMMYFUNCTION("""COMPUTED_VALUE"""),224.04)</f>
        <v>224.04</v>
      </c>
      <c r="BP361" s="1">
        <f>IFERROR(__xludf.DUMMYFUNCTION("""COMPUTED_VALUE"""),356.67)</f>
        <v>356.67</v>
      </c>
      <c r="BQ361" s="36">
        <f>IFERROR(__xludf.DUMMYFUNCTION("""COMPUTED_VALUE"""),50.17)</f>
        <v>50.17</v>
      </c>
      <c r="BR361" s="1">
        <f>IFERROR(__xludf.DUMMYFUNCTION("""COMPUTED_VALUE"""),10.1)</f>
        <v>10.1</v>
      </c>
      <c r="BS361" s="3">
        <f>IFERROR(__xludf.DUMMYFUNCTION("""COMPUTED_VALUE"""),213.29)</f>
        <v>213.29</v>
      </c>
      <c r="BT361" s="1">
        <f>IFERROR(__xludf.DUMMYFUNCTION("""COMPUTED_VALUE"""),109.88)</f>
        <v>109.88</v>
      </c>
      <c r="BU361" s="3">
        <v>1.0</v>
      </c>
    </row>
    <row r="362">
      <c r="A362" s="25">
        <f>IFERROR(__xludf.DUMMYFUNCTION("""COMPUTED_VALUE"""),45947.66666666667)</f>
        <v>45947.66667</v>
      </c>
      <c r="B362" s="29">
        <f>'Master Scratch Work'!B361</f>
        <v>1473728.82</v>
      </c>
      <c r="C362" s="15">
        <f>IFERROR(__xludf.DUMMYFUNCTION("""COMPUTED_VALUE"""),6664.01)</f>
        <v>6664.01</v>
      </c>
      <c r="D362" s="15">
        <f>IFERROR(__xludf.DUMMYFUNCTION("""COMPUTED_VALUE"""),22679.98)</f>
        <v>22679.98</v>
      </c>
      <c r="E362" s="15">
        <f>IFERROR(__xludf.DUMMYFUNCTION("""COMPUTED_VALUE"""),46190.61)</f>
        <v>46190.61</v>
      </c>
      <c r="F362" s="15">
        <f>IFERROR(__xludf.DUMMYFUNCTION("""COMPUTED_VALUE"""),2452.17)</f>
        <v>2452.17</v>
      </c>
      <c r="G362" s="3">
        <f>IFERROR(__xludf.DUMMYFUNCTION("""COMPUTED_VALUE"""),664.39)</f>
        <v>664.39</v>
      </c>
      <c r="H362" s="3">
        <f>IFERROR(__xludf.DUMMYFUNCTION("""COMPUTED_VALUE"""),603.93)</f>
        <v>603.93</v>
      </c>
      <c r="I362" s="3">
        <f>IFERROR(__xludf.DUMMYFUNCTION("""COMPUTED_VALUE"""),333.26)</f>
        <v>333.26</v>
      </c>
      <c r="J362" s="3">
        <f>IFERROR(__xludf.DUMMYFUNCTION("""COMPUTED_VALUE"""),213.04)</f>
        <v>213.04</v>
      </c>
      <c r="K362" s="3">
        <f>IFERROR(__xludf.DUMMYFUNCTION("""COMPUTED_VALUE"""),143.81)</f>
        <v>143.81</v>
      </c>
      <c r="L362" s="3">
        <f>IFERROR(__xludf.DUMMYFUNCTION("""COMPUTED_VALUE"""),252.29)</f>
        <v>252.29</v>
      </c>
      <c r="M362" s="3">
        <f>IFERROR(__xludf.DUMMYFUNCTION("""COMPUTED_VALUE"""),224.99)</f>
        <v>224.99</v>
      </c>
      <c r="N362" s="3">
        <f>IFERROR(__xludf.DUMMYFUNCTION("""COMPUTED_VALUE"""),105.98)</f>
        <v>105.98</v>
      </c>
      <c r="O362" s="3">
        <f>IFERROR(__xludf.DUMMYFUNCTION("""COMPUTED_VALUE"""),19.36)</f>
        <v>19.36</v>
      </c>
      <c r="P362" s="3">
        <f>IFERROR(__xludf.DUMMYFUNCTION("""COMPUTED_VALUE"""),492.42)</f>
        <v>492.42</v>
      </c>
      <c r="Q362" s="3">
        <f>IFERROR(__xludf.DUMMYFUNCTION("""COMPUTED_VALUE"""),55.59)</f>
        <v>55.59</v>
      </c>
      <c r="R362" s="3">
        <f>IFERROR(__xludf.DUMMYFUNCTION("""COMPUTED_VALUE"""),143.0)</f>
        <v>143</v>
      </c>
      <c r="S362" s="3">
        <f>IFERROR(__xludf.DUMMYFUNCTION("""COMPUTED_VALUE"""),99.24)</f>
        <v>99.24</v>
      </c>
      <c r="T362" s="3">
        <f>IFERROR(__xludf.DUMMYFUNCTION("""COMPUTED_VALUE"""),56.2)</f>
        <v>56.2</v>
      </c>
      <c r="U362" s="3">
        <f>IFERROR(__xludf.DUMMYFUNCTION("""COMPUTED_VALUE"""),527.08)</f>
        <v>527.08</v>
      </c>
      <c r="V362" s="3">
        <f>IFERROR(__xludf.DUMMYFUNCTION("""COMPUTED_VALUE"""),86.59)</f>
        <v>86.59</v>
      </c>
      <c r="W362" s="3">
        <f>IFERROR(__xludf.DUMMYFUNCTION("""COMPUTED_VALUE"""),190.65)</f>
        <v>190.65</v>
      </c>
      <c r="X362" s="3">
        <f>IFERROR(__xludf.DUMMYFUNCTION("""COMPUTED_VALUE"""),153.08)</f>
        <v>153.08</v>
      </c>
      <c r="Y362" s="1">
        <f>IFERROR(__xludf.DUMMYFUNCTION("""COMPUTED_VALUE"""),299.27)</f>
        <v>299.27</v>
      </c>
      <c r="Z362" s="1">
        <f>IFERROR(__xludf.DUMMYFUNCTION("""COMPUTED_VALUE"""),49.31)</f>
        <v>49.31</v>
      </c>
      <c r="AA362" s="1">
        <f>IFERROR(__xludf.DUMMYFUNCTION("""COMPUTED_VALUE"""),68.44)</f>
        <v>68.44</v>
      </c>
      <c r="AB362" s="1">
        <f>IFERROR(__xludf.DUMMYFUNCTION("""COMPUTED_VALUE"""),101.19)</f>
        <v>101.19</v>
      </c>
      <c r="AC362" s="1">
        <f>IFERROR(__xludf.DUMMYFUNCTION("""COMPUTED_VALUE"""),172.73)</f>
        <v>172.73</v>
      </c>
      <c r="AD362" s="3">
        <f>IFERROR(__xludf.DUMMYFUNCTION("""COMPUTED_VALUE"""),96.44)</f>
        <v>96.44</v>
      </c>
      <c r="AE362" s="1">
        <f>IFERROR(__xludf.DUMMYFUNCTION("""COMPUTED_VALUE"""),416.26)</f>
        <v>416.26</v>
      </c>
      <c r="AF362" s="1">
        <f>IFERROR(__xludf.DUMMYFUNCTION("""COMPUTED_VALUE"""),92.01)</f>
        <v>92.01</v>
      </c>
      <c r="AG362" s="1">
        <f>IFERROR(__xludf.DUMMYFUNCTION("""COMPUTED_VALUE"""),112.24)</f>
        <v>112.24</v>
      </c>
      <c r="AH362" s="1">
        <f>IFERROR(__xludf.DUMMYFUNCTION("""COMPUTED_VALUE"""),237.8)</f>
        <v>237.8</v>
      </c>
      <c r="AI362" s="1">
        <f>IFERROR(__xludf.DUMMYFUNCTION("""COMPUTED_VALUE"""),399.08)</f>
        <v>399.08</v>
      </c>
      <c r="AJ362" s="1">
        <f>IFERROR(__xludf.DUMMYFUNCTION("""COMPUTED_VALUE"""),331.15)</f>
        <v>331.15</v>
      </c>
      <c r="AK362" s="1">
        <f>IFERROR(__xludf.DUMMYFUNCTION("""COMPUTED_VALUE"""),58.38)</f>
        <v>58.38</v>
      </c>
      <c r="AL362" s="1">
        <f>IFERROR(__xludf.DUMMYFUNCTION("""COMPUTED_VALUE"""),122.81)</f>
        <v>122.81</v>
      </c>
      <c r="AM362" s="1">
        <f>IFERROR(__xludf.DUMMYFUNCTION("""COMPUTED_VALUE"""),750.77)</f>
        <v>750.77</v>
      </c>
      <c r="AN362" s="1">
        <f>IFERROR(__xludf.DUMMYFUNCTION("""COMPUTED_VALUE"""),391.9)</f>
        <v>391.9</v>
      </c>
      <c r="AO362" s="1">
        <f>IFERROR(__xludf.DUMMYFUNCTION("""COMPUTED_VALUE"""),148.05)</f>
        <v>148.05</v>
      </c>
      <c r="AP362" s="1">
        <f>IFERROR(__xludf.DUMMYFUNCTION("""COMPUTED_VALUE"""),153.6)</f>
        <v>153.6</v>
      </c>
      <c r="AQ362" s="3">
        <f>IFERROR(__xludf.DUMMYFUNCTION("""COMPUTED_VALUE"""),446.13)</f>
        <v>446.13</v>
      </c>
      <c r="AR362" s="3">
        <f>IFERROR(__xludf.DUMMYFUNCTION("""COMPUTED_VALUE"""),297.56)</f>
        <v>297.56</v>
      </c>
      <c r="AS362" s="3">
        <f>IFERROR(__xludf.DUMMYFUNCTION("""COMPUTED_VALUE"""),495.15)</f>
        <v>495.15</v>
      </c>
      <c r="AT362" s="3">
        <f>IFERROR(__xludf.DUMMYFUNCTION("""COMPUTED_VALUE"""),167.41)</f>
        <v>167.41</v>
      </c>
      <c r="AU362" s="1">
        <f>IFERROR(__xludf.DUMMYFUNCTION("""COMPUTED_VALUE"""),31.64)</f>
        <v>31.64</v>
      </c>
      <c r="AV362" s="1">
        <f>IFERROR(__xludf.DUMMYFUNCTION("""COMPUTED_VALUE"""),95.78)</f>
        <v>95.78</v>
      </c>
      <c r="AW362" s="1">
        <f>IFERROR(__xludf.DUMMYFUNCTION("""COMPUTED_VALUE"""),78.46)</f>
        <v>78.46</v>
      </c>
      <c r="AX362" s="3">
        <f>IFERROR(__xludf.DUMMYFUNCTION("""COMPUTED_VALUE"""),80.79)</f>
        <v>80.79</v>
      </c>
      <c r="AY362" s="1">
        <f>IFERROR(__xludf.DUMMYFUNCTION("""COMPUTED_VALUE"""),513.58)</f>
        <v>513.58</v>
      </c>
      <c r="AZ362" s="3">
        <f>IFERROR(__xludf.DUMMYFUNCTION("""COMPUTED_VALUE"""),84.53)</f>
        <v>84.53</v>
      </c>
      <c r="BA362" s="3">
        <f>IFERROR(__xludf.DUMMYFUNCTION("""COMPUTED_VALUE"""),168.74)</f>
        <v>168.74</v>
      </c>
      <c r="BB362" s="3">
        <f>IFERROR(__xludf.DUMMYFUNCTION("""COMPUTED_VALUE"""),183.22)</f>
        <v>183.22</v>
      </c>
      <c r="BC362" s="1">
        <f>IFERROR(__xludf.DUMMYFUNCTION("""COMPUTED_VALUE"""),91.29)</f>
        <v>91.29</v>
      </c>
      <c r="BD362" s="1">
        <f>IFERROR(__xludf.DUMMYFUNCTION("""COMPUTED_VALUE"""),41.82)</f>
        <v>41.82</v>
      </c>
      <c r="BE362" s="3">
        <f>IFERROR(__xludf.DUMMYFUNCTION("""COMPUTED_VALUE"""),178.15)</f>
        <v>178.15</v>
      </c>
      <c r="BF362" s="1">
        <f>IFERROR(__xludf.DUMMYFUNCTION("""COMPUTED_VALUE"""),67.41)</f>
        <v>67.41</v>
      </c>
      <c r="BG362" s="1">
        <f>IFERROR(__xludf.DUMMYFUNCTION("""COMPUTED_VALUE"""),24.51)</f>
        <v>24.51</v>
      </c>
      <c r="BH362" s="1">
        <f>IFERROR(__xludf.DUMMYFUNCTION("""COMPUTED_VALUE"""),157.95)</f>
        <v>157.95</v>
      </c>
      <c r="BI362" s="3">
        <f>IFERROR(__xludf.DUMMYFUNCTION("""COMPUTED_VALUE"""),54.1)</f>
        <v>54.1</v>
      </c>
      <c r="BJ362" s="1">
        <f>IFERROR(__xludf.DUMMYFUNCTION("""COMPUTED_VALUE"""),229.33)</f>
        <v>229.33</v>
      </c>
      <c r="BK362" s="1">
        <f>IFERROR(__xludf.DUMMYFUNCTION("""COMPUTED_VALUE"""),538.92)</f>
        <v>538.92</v>
      </c>
      <c r="BL362" s="1">
        <f>IFERROR(__xludf.DUMMYFUNCTION("""COMPUTED_VALUE"""),197.83)</f>
        <v>197.83</v>
      </c>
      <c r="BM362" s="1">
        <f>IFERROR(__xludf.DUMMYFUNCTION("""COMPUTED_VALUE"""),117.63)</f>
        <v>117.63</v>
      </c>
      <c r="BN362" s="3">
        <f>IFERROR(__xludf.DUMMYFUNCTION("""COMPUTED_VALUE"""),4.78)</f>
        <v>4.78</v>
      </c>
      <c r="BO362" s="1">
        <f>IFERROR(__xludf.DUMMYFUNCTION("""COMPUTED_VALUE"""),226.04)</f>
        <v>226.04</v>
      </c>
      <c r="BP362" s="1">
        <f>IFERROR(__xludf.DUMMYFUNCTION("""COMPUTED_VALUE"""),356.6)</f>
        <v>356.6</v>
      </c>
      <c r="BQ362" s="36">
        <f>IFERROR(__xludf.DUMMYFUNCTION("""COMPUTED_VALUE"""),50.13)</f>
        <v>50.13</v>
      </c>
      <c r="BR362" s="1">
        <f>IFERROR(__xludf.DUMMYFUNCTION("""COMPUTED_VALUE"""),10.17)</f>
        <v>10.17</v>
      </c>
      <c r="BS362" s="3">
        <f>IFERROR(__xludf.DUMMYFUNCTION("""COMPUTED_VALUE"""),215.48)</f>
        <v>215.48</v>
      </c>
      <c r="BT362" s="1">
        <f>IFERROR(__xludf.DUMMYFUNCTION("""COMPUTED_VALUE"""),110.67)</f>
        <v>110.67</v>
      </c>
      <c r="BU362" s="3">
        <v>1.0</v>
      </c>
    </row>
    <row r="363">
      <c r="A363" s="25">
        <f>IFERROR(__xludf.DUMMYFUNCTION("""COMPUTED_VALUE"""),45950.66666666667)</f>
        <v>45950.66667</v>
      </c>
      <c r="B363" s="29">
        <f>'Master Scratch Work'!B362</f>
        <v>1524760.04</v>
      </c>
      <c r="C363" s="15">
        <f>IFERROR(__xludf.DUMMYFUNCTION("""COMPUTED_VALUE"""),6735.13)</f>
        <v>6735.13</v>
      </c>
      <c r="D363" s="15">
        <f>IFERROR(__xludf.DUMMYFUNCTION("""COMPUTED_VALUE"""),22990.54)</f>
        <v>22990.54</v>
      </c>
      <c r="E363" s="15">
        <f>IFERROR(__xludf.DUMMYFUNCTION("""COMPUTED_VALUE"""),46706.58)</f>
        <v>46706.58</v>
      </c>
      <c r="F363" s="15">
        <f>IFERROR(__xludf.DUMMYFUNCTION("""COMPUTED_VALUE"""),2499.91)</f>
        <v>2499.91</v>
      </c>
      <c r="G363" s="3">
        <f>IFERROR(__xludf.DUMMYFUNCTION("""COMPUTED_VALUE"""),671.3)</f>
        <v>671.3</v>
      </c>
      <c r="H363" s="3">
        <f>IFERROR(__xludf.DUMMYFUNCTION("""COMPUTED_VALUE"""),611.54)</f>
        <v>611.54</v>
      </c>
      <c r="I363" s="3">
        <f>IFERROR(__xludf.DUMMYFUNCTION("""COMPUTED_VALUE"""),343.4)</f>
        <v>343.4</v>
      </c>
      <c r="J363" s="3">
        <f>IFERROR(__xludf.DUMMYFUNCTION("""COMPUTED_VALUE"""),216.48)</f>
        <v>216.48</v>
      </c>
      <c r="K363" s="3">
        <f>IFERROR(__xludf.DUMMYFUNCTION("""COMPUTED_VALUE"""),145.43)</f>
        <v>145.43</v>
      </c>
      <c r="L363" s="3">
        <f>IFERROR(__xludf.DUMMYFUNCTION("""COMPUTED_VALUE"""),262.24)</f>
        <v>262.24</v>
      </c>
      <c r="M363" s="3">
        <f>IFERROR(__xludf.DUMMYFUNCTION("""COMPUTED_VALUE"""),228.13)</f>
        <v>228.13</v>
      </c>
      <c r="N363" s="3">
        <f>IFERROR(__xludf.DUMMYFUNCTION("""COMPUTED_VALUE"""),108.5)</f>
        <v>108.5</v>
      </c>
      <c r="O363" s="3">
        <f>IFERROR(__xludf.DUMMYFUNCTION("""COMPUTED_VALUE"""),19.62)</f>
        <v>19.62</v>
      </c>
      <c r="P363" s="3">
        <f>IFERROR(__xludf.DUMMYFUNCTION("""COMPUTED_VALUE"""),494.08)</f>
        <v>494.08</v>
      </c>
      <c r="Q363" s="3">
        <f>IFERROR(__xludf.DUMMYFUNCTION("""COMPUTED_VALUE"""),56.8)</f>
        <v>56.8</v>
      </c>
      <c r="R363" s="3">
        <f>IFERROR(__xludf.DUMMYFUNCTION("""COMPUTED_VALUE"""),146.63)</f>
        <v>146.63</v>
      </c>
      <c r="S363" s="3">
        <f>IFERROR(__xludf.DUMMYFUNCTION("""COMPUTED_VALUE"""),100.53)</f>
        <v>100.53</v>
      </c>
      <c r="T363" s="3">
        <f>IFERROR(__xludf.DUMMYFUNCTION("""COMPUTED_VALUE"""),57.67)</f>
        <v>57.67</v>
      </c>
      <c r="U363" s="3">
        <f>IFERROR(__xludf.DUMMYFUNCTION("""COMPUTED_VALUE"""),531.18)</f>
        <v>531.18</v>
      </c>
      <c r="V363" s="3">
        <f>IFERROR(__xludf.DUMMYFUNCTION("""COMPUTED_VALUE"""),85.9)</f>
        <v>85.9</v>
      </c>
      <c r="W363" s="3">
        <f>IFERROR(__xludf.DUMMYFUNCTION("""COMPUTED_VALUE"""),193.15)</f>
        <v>193.15</v>
      </c>
      <c r="X363" s="3">
        <f>IFERROR(__xludf.DUMMYFUNCTION("""COMPUTED_VALUE"""),154.48)</f>
        <v>154.48</v>
      </c>
      <c r="Y363" s="1">
        <f>IFERROR(__xludf.DUMMYFUNCTION("""COMPUTED_VALUE"""),306.84)</f>
        <v>306.84</v>
      </c>
      <c r="Z363" s="1">
        <f>IFERROR(__xludf.DUMMYFUNCTION("""COMPUTED_VALUE"""),50.29)</f>
        <v>50.29</v>
      </c>
      <c r="AA363" s="1">
        <f>IFERROR(__xludf.DUMMYFUNCTION("""COMPUTED_VALUE"""),68.44)</f>
        <v>68.44</v>
      </c>
      <c r="AB363" s="1">
        <f>IFERROR(__xludf.DUMMYFUNCTION("""COMPUTED_VALUE"""),101.72)</f>
        <v>101.72</v>
      </c>
      <c r="AC363" s="1">
        <f>IFERROR(__xludf.DUMMYFUNCTION("""COMPUTED_VALUE"""),172.92)</f>
        <v>172.92</v>
      </c>
      <c r="AD363" s="3">
        <f>IFERROR(__xludf.DUMMYFUNCTION("""COMPUTED_VALUE"""),99.02)</f>
        <v>99.02</v>
      </c>
      <c r="AE363" s="1">
        <f>IFERROR(__xludf.DUMMYFUNCTION("""COMPUTED_VALUE"""),422.94)</f>
        <v>422.94</v>
      </c>
      <c r="AF363" s="1">
        <f>IFERROR(__xludf.DUMMYFUNCTION("""COMPUTED_VALUE"""),95.65)</f>
        <v>95.65</v>
      </c>
      <c r="AG363" s="1">
        <f>IFERROR(__xludf.DUMMYFUNCTION("""COMPUTED_VALUE"""),112.7)</f>
        <v>112.7</v>
      </c>
      <c r="AH363" s="1">
        <f>IFERROR(__xludf.DUMMYFUNCTION("""COMPUTED_VALUE"""),239.81)</f>
        <v>239.81</v>
      </c>
      <c r="AI363" s="1">
        <f>IFERROR(__xludf.DUMMYFUNCTION("""COMPUTED_VALUE"""),398.31)</f>
        <v>398.31</v>
      </c>
      <c r="AJ363" s="1">
        <f>IFERROR(__xludf.DUMMYFUNCTION("""COMPUTED_VALUE"""),337.19)</f>
        <v>337.19</v>
      </c>
      <c r="AK363" s="1">
        <f>IFERROR(__xludf.DUMMYFUNCTION("""COMPUTED_VALUE"""),58.0)</f>
        <v>58</v>
      </c>
      <c r="AL363" s="1">
        <f>IFERROR(__xludf.DUMMYFUNCTION("""COMPUTED_VALUE"""),123.11)</f>
        <v>123.11</v>
      </c>
      <c r="AM363" s="1">
        <f>IFERROR(__xludf.DUMMYFUNCTION("""COMPUTED_VALUE"""),763.32)</f>
        <v>763.32</v>
      </c>
      <c r="AN363" s="1">
        <f>IFERROR(__xludf.DUMMYFUNCTION("""COMPUTED_VALUE"""),388.89)</f>
        <v>388.89</v>
      </c>
      <c r="AO363" s="1">
        <f>IFERROR(__xludf.DUMMYFUNCTION("""COMPUTED_VALUE"""),151.8)</f>
        <v>151.8</v>
      </c>
      <c r="AP363" s="1">
        <f>IFERROR(__xludf.DUMMYFUNCTION("""COMPUTED_VALUE"""),155.29)</f>
        <v>155.29</v>
      </c>
      <c r="AQ363" s="3">
        <f>IFERROR(__xludf.DUMMYFUNCTION("""COMPUTED_VALUE"""),458.47)</f>
        <v>458.47</v>
      </c>
      <c r="AR363" s="3">
        <f>IFERROR(__xludf.DUMMYFUNCTION("""COMPUTED_VALUE"""),302.36)</f>
        <v>302.36</v>
      </c>
      <c r="AS363" s="3">
        <f>IFERROR(__xludf.DUMMYFUNCTION("""COMPUTED_VALUE"""),505.9)</f>
        <v>505.9</v>
      </c>
      <c r="AT363" s="3">
        <f>IFERROR(__xludf.DUMMYFUNCTION("""COMPUTED_VALUE"""),172.43)</f>
        <v>172.43</v>
      </c>
      <c r="AU363" s="1">
        <f>IFERROR(__xludf.DUMMYFUNCTION("""COMPUTED_VALUE"""),31.85)</f>
        <v>31.85</v>
      </c>
      <c r="AV363" s="1">
        <f>IFERROR(__xludf.DUMMYFUNCTION("""COMPUTED_VALUE"""),95.92)</f>
        <v>95.92</v>
      </c>
      <c r="AW363" s="1">
        <f>IFERROR(__xludf.DUMMYFUNCTION("""COMPUTED_VALUE"""),78.74)</f>
        <v>78.74</v>
      </c>
      <c r="AX363" s="3">
        <f>IFERROR(__xludf.DUMMYFUNCTION("""COMPUTED_VALUE"""),82.9)</f>
        <v>82.9</v>
      </c>
      <c r="AY363" s="1">
        <f>IFERROR(__xludf.DUMMYFUNCTION("""COMPUTED_VALUE"""),516.79)</f>
        <v>516.79</v>
      </c>
      <c r="AZ363" s="3">
        <f>IFERROR(__xludf.DUMMYFUNCTION("""COMPUTED_VALUE"""),84.77)</f>
        <v>84.77</v>
      </c>
      <c r="BA363" s="3">
        <f>IFERROR(__xludf.DUMMYFUNCTION("""COMPUTED_VALUE"""),167.01)</f>
        <v>167.01</v>
      </c>
      <c r="BB363" s="3">
        <f>IFERROR(__xludf.DUMMYFUNCTION("""COMPUTED_VALUE"""),182.64)</f>
        <v>182.64</v>
      </c>
      <c r="BC363" s="1">
        <f>IFERROR(__xludf.DUMMYFUNCTION("""COMPUTED_VALUE"""),91.51)</f>
        <v>91.51</v>
      </c>
      <c r="BD363" s="1">
        <f>IFERROR(__xludf.DUMMYFUNCTION("""COMPUTED_VALUE"""),41.47)</f>
        <v>41.47</v>
      </c>
      <c r="BE363" s="3">
        <f>IFERROR(__xludf.DUMMYFUNCTION("""COMPUTED_VALUE"""),181.59)</f>
        <v>181.59</v>
      </c>
      <c r="BF363" s="1">
        <f>IFERROR(__xludf.DUMMYFUNCTION("""COMPUTED_VALUE"""),69.2)</f>
        <v>69.2</v>
      </c>
      <c r="BG363" s="1">
        <f>IFERROR(__xludf.DUMMYFUNCTION("""COMPUTED_VALUE"""),24.69)</f>
        <v>24.69</v>
      </c>
      <c r="BH363" s="1">
        <f>IFERROR(__xludf.DUMMYFUNCTION("""COMPUTED_VALUE"""),160.71)</f>
        <v>160.71</v>
      </c>
      <c r="BI363" s="3">
        <f>IFERROR(__xludf.DUMMYFUNCTION("""COMPUTED_VALUE"""),54.01)</f>
        <v>54.01</v>
      </c>
      <c r="BJ363" s="1">
        <f>IFERROR(__xludf.DUMMYFUNCTION("""COMPUTED_VALUE"""),230.09)</f>
        <v>230.09</v>
      </c>
      <c r="BK363" s="1">
        <f>IFERROR(__xludf.DUMMYFUNCTION("""COMPUTED_VALUE"""),543.84)</f>
        <v>543.84</v>
      </c>
      <c r="BL363" s="1">
        <f>IFERROR(__xludf.DUMMYFUNCTION("""COMPUTED_VALUE"""),200.11)</f>
        <v>200.11</v>
      </c>
      <c r="BM363" s="1">
        <f>IFERROR(__xludf.DUMMYFUNCTION("""COMPUTED_VALUE"""),119.9)</f>
        <v>119.9</v>
      </c>
      <c r="BN363" s="3">
        <f>IFERROR(__xludf.DUMMYFUNCTION("""COMPUTED_VALUE"""),4.73)</f>
        <v>4.73</v>
      </c>
      <c r="BO363" s="1">
        <f>IFERROR(__xludf.DUMMYFUNCTION("""COMPUTED_VALUE"""),227.3)</f>
        <v>227.3</v>
      </c>
      <c r="BP363" s="1">
        <f>IFERROR(__xludf.DUMMYFUNCTION("""COMPUTED_VALUE"""),364.48)</f>
        <v>364.48</v>
      </c>
      <c r="BQ363" s="36">
        <f>IFERROR(__xludf.DUMMYFUNCTION("""COMPUTED_VALUE"""),50.15)</f>
        <v>50.15</v>
      </c>
      <c r="BR363" s="1">
        <f>IFERROR(__xludf.DUMMYFUNCTION("""COMPUTED_VALUE"""),10.31)</f>
        <v>10.31</v>
      </c>
      <c r="BS363" s="3">
        <f>IFERROR(__xludf.DUMMYFUNCTION("""COMPUTED_VALUE"""),215.4)</f>
        <v>215.4</v>
      </c>
      <c r="BT363" s="1">
        <f>IFERROR(__xludf.DUMMYFUNCTION("""COMPUTED_VALUE"""),111.96)</f>
        <v>111.96</v>
      </c>
      <c r="BU363" s="3">
        <v>1.0</v>
      </c>
    </row>
    <row r="364">
      <c r="A364" s="25">
        <f>IFERROR(__xludf.DUMMYFUNCTION("""COMPUTED_VALUE"""),45951.66666666667)</f>
        <v>45951.66667</v>
      </c>
      <c r="B364" s="29">
        <f>'Master Scratch Work'!B363</f>
        <v>1522880.84</v>
      </c>
      <c r="C364" s="15">
        <f>IFERROR(__xludf.DUMMYFUNCTION("""COMPUTED_VALUE"""),6735.35)</f>
        <v>6735.35</v>
      </c>
      <c r="D364" s="15">
        <f>IFERROR(__xludf.DUMMYFUNCTION("""COMPUTED_VALUE"""),22953.67)</f>
        <v>22953.67</v>
      </c>
      <c r="E364" s="15">
        <f>IFERROR(__xludf.DUMMYFUNCTION("""COMPUTED_VALUE"""),46924.74)</f>
        <v>46924.74</v>
      </c>
      <c r="F364" s="15">
        <f>IFERROR(__xludf.DUMMYFUNCTION("""COMPUTED_VALUE"""),2487.69)</f>
        <v>2487.69</v>
      </c>
      <c r="G364" s="3">
        <f>IFERROR(__xludf.DUMMYFUNCTION("""COMPUTED_VALUE"""),671.29)</f>
        <v>671.29</v>
      </c>
      <c r="H364" s="3">
        <f>IFERROR(__xludf.DUMMYFUNCTION("""COMPUTED_VALUE"""),611.38)</f>
        <v>611.38</v>
      </c>
      <c r="I364" s="3">
        <f>IFERROR(__xludf.DUMMYFUNCTION("""COMPUTED_VALUE"""),357.55)</f>
        <v>357.55</v>
      </c>
      <c r="J364" s="3">
        <f>IFERROR(__xludf.DUMMYFUNCTION("""COMPUTED_VALUE"""),222.03)</f>
        <v>222.03</v>
      </c>
      <c r="K364" s="3">
        <f>IFERROR(__xludf.DUMMYFUNCTION("""COMPUTED_VALUE"""),144.16)</f>
        <v>144.16</v>
      </c>
      <c r="L364" s="3">
        <f>IFERROR(__xludf.DUMMYFUNCTION("""COMPUTED_VALUE"""),262.77)</f>
        <v>262.77</v>
      </c>
      <c r="M364" s="3">
        <f>IFERROR(__xludf.DUMMYFUNCTION("""COMPUTED_VALUE"""),226.0)</f>
        <v>226</v>
      </c>
      <c r="N364" s="3">
        <f>IFERROR(__xludf.DUMMYFUNCTION("""COMPUTED_VALUE"""),107.0)</f>
        <v>107</v>
      </c>
      <c r="O364" s="3">
        <f>IFERROR(__xludf.DUMMYFUNCTION("""COMPUTED_VALUE"""),19.49)</f>
        <v>19.49</v>
      </c>
      <c r="P364" s="3">
        <f>IFERROR(__xludf.DUMMYFUNCTION("""COMPUTED_VALUE"""),491.29)</f>
        <v>491.29</v>
      </c>
      <c r="Q364" s="3">
        <f>IFERROR(__xludf.DUMMYFUNCTION("""COMPUTED_VALUE"""),55.97)</f>
        <v>55.97</v>
      </c>
      <c r="R364" s="3">
        <f>IFERROR(__xludf.DUMMYFUNCTION("""COMPUTED_VALUE"""),146.22)</f>
        <v>146.22</v>
      </c>
      <c r="S364" s="3">
        <f>IFERROR(__xludf.DUMMYFUNCTION("""COMPUTED_VALUE"""),99.9)</f>
        <v>99.9</v>
      </c>
      <c r="T364" s="3">
        <f>IFERROR(__xludf.DUMMYFUNCTION("""COMPUTED_VALUE"""),59.82)</f>
        <v>59.82</v>
      </c>
      <c r="U364" s="3">
        <f>IFERROR(__xludf.DUMMYFUNCTION("""COMPUTED_VALUE"""),524.65)</f>
        <v>524.65</v>
      </c>
      <c r="V364" s="3">
        <f>IFERROR(__xludf.DUMMYFUNCTION("""COMPUTED_VALUE"""),82.77)</f>
        <v>82.77</v>
      </c>
      <c r="W364" s="3">
        <f>IFERROR(__xludf.DUMMYFUNCTION("""COMPUTED_VALUE"""),196.75)</f>
        <v>196.75</v>
      </c>
      <c r="X364" s="3">
        <f>IFERROR(__xludf.DUMMYFUNCTION("""COMPUTED_VALUE"""),153.79)</f>
        <v>153.79</v>
      </c>
      <c r="Y364" s="1">
        <f>IFERROR(__xludf.DUMMYFUNCTION("""COMPUTED_VALUE"""),307.5)</f>
        <v>307.5</v>
      </c>
      <c r="Z364" s="1">
        <f>IFERROR(__xludf.DUMMYFUNCTION("""COMPUTED_VALUE"""),50.83)</f>
        <v>50.83</v>
      </c>
      <c r="AA364" s="1">
        <f>IFERROR(__xludf.DUMMYFUNCTION("""COMPUTED_VALUE"""),71.22)</f>
        <v>71.22</v>
      </c>
      <c r="AB364" s="1">
        <f>IFERROR(__xludf.DUMMYFUNCTION("""COMPUTED_VALUE"""),101.56)</f>
        <v>101.56</v>
      </c>
      <c r="AC364" s="1">
        <f>IFERROR(__xludf.DUMMYFUNCTION("""COMPUTED_VALUE"""),171.63)</f>
        <v>171.63</v>
      </c>
      <c r="AD364" s="3">
        <f>IFERROR(__xludf.DUMMYFUNCTION("""COMPUTED_VALUE"""),98.95)</f>
        <v>98.95</v>
      </c>
      <c r="AE364" s="1">
        <f>IFERROR(__xludf.DUMMYFUNCTION("""COMPUTED_VALUE"""),419.88)</f>
        <v>419.88</v>
      </c>
      <c r="AF364" s="1">
        <f>IFERROR(__xludf.DUMMYFUNCTION("""COMPUTED_VALUE"""),94.98)</f>
        <v>94.98</v>
      </c>
      <c r="AG364" s="1">
        <f>IFERROR(__xludf.DUMMYFUNCTION("""COMPUTED_VALUE"""),112.71)</f>
        <v>112.71</v>
      </c>
      <c r="AH364" s="1">
        <f>IFERROR(__xludf.DUMMYFUNCTION("""COMPUTED_VALUE"""),242.84)</f>
        <v>242.84</v>
      </c>
      <c r="AI364" s="1">
        <f>IFERROR(__xludf.DUMMYFUNCTION("""COMPUTED_VALUE"""),400.46)</f>
        <v>400.46</v>
      </c>
      <c r="AJ364" s="1">
        <f>IFERROR(__xludf.DUMMYFUNCTION("""COMPUTED_VALUE"""),340.69)</f>
        <v>340.69</v>
      </c>
      <c r="AK364" s="1">
        <f>IFERROR(__xludf.DUMMYFUNCTION("""COMPUTED_VALUE"""),66.62)</f>
        <v>66.62</v>
      </c>
      <c r="AL364" s="1">
        <f>IFERROR(__xludf.DUMMYFUNCTION("""COMPUTED_VALUE"""),124.08)</f>
        <v>124.08</v>
      </c>
      <c r="AM364" s="1">
        <f>IFERROR(__xludf.DUMMYFUNCTION("""COMPUTED_VALUE"""),758.98)</f>
        <v>758.98</v>
      </c>
      <c r="AN364" s="1">
        <f>IFERROR(__xludf.DUMMYFUNCTION("""COMPUTED_VALUE"""),390.9)</f>
        <v>390.9</v>
      </c>
      <c r="AO364" s="1">
        <f>IFERROR(__xludf.DUMMYFUNCTION("""COMPUTED_VALUE"""),153.57)</f>
        <v>153.57</v>
      </c>
      <c r="AP364" s="1">
        <f>IFERROR(__xludf.DUMMYFUNCTION("""COMPUTED_VALUE"""),156.79)</f>
        <v>156.79</v>
      </c>
      <c r="AQ364" s="3">
        <f>IFERROR(__xludf.DUMMYFUNCTION("""COMPUTED_VALUE"""),462.74)</f>
        <v>462.74</v>
      </c>
      <c r="AR364" s="3">
        <f>IFERROR(__xludf.DUMMYFUNCTION("""COMPUTED_VALUE"""),297.09)</f>
        <v>297.09</v>
      </c>
      <c r="AS364" s="3">
        <f>IFERROR(__xludf.DUMMYFUNCTION("""COMPUTED_VALUE"""),489.5)</f>
        <v>489.5</v>
      </c>
      <c r="AT364" s="3">
        <f>IFERROR(__xludf.DUMMYFUNCTION("""COMPUTED_VALUE"""),181.39)</f>
        <v>181.39</v>
      </c>
      <c r="AU364" s="1">
        <f>IFERROR(__xludf.DUMMYFUNCTION("""COMPUTED_VALUE"""),31.8)</f>
        <v>31.8</v>
      </c>
      <c r="AV364" s="1">
        <f>IFERROR(__xludf.DUMMYFUNCTION("""COMPUTED_VALUE"""),95.83)</f>
        <v>95.83</v>
      </c>
      <c r="AW364" s="1">
        <f>IFERROR(__xludf.DUMMYFUNCTION("""COMPUTED_VALUE"""),79.02)</f>
        <v>79.02</v>
      </c>
      <c r="AX364" s="3">
        <f>IFERROR(__xludf.DUMMYFUNCTION("""COMPUTED_VALUE"""),74.11)</f>
        <v>74.11</v>
      </c>
      <c r="AY364" s="1">
        <f>IFERROR(__xludf.DUMMYFUNCTION("""COMPUTED_VALUE"""),517.66)</f>
        <v>517.66</v>
      </c>
      <c r="AZ364" s="3">
        <f>IFERROR(__xludf.DUMMYFUNCTION("""COMPUTED_VALUE"""),83.99)</f>
        <v>83.99</v>
      </c>
      <c r="BA364" s="3">
        <f>IFERROR(__xludf.DUMMYFUNCTION("""COMPUTED_VALUE"""),163.59)</f>
        <v>163.59</v>
      </c>
      <c r="BB364" s="3">
        <f>IFERROR(__xludf.DUMMYFUNCTION("""COMPUTED_VALUE"""),181.16)</f>
        <v>181.16</v>
      </c>
      <c r="BC364" s="1">
        <f>IFERROR(__xludf.DUMMYFUNCTION("""COMPUTED_VALUE"""),92.7)</f>
        <v>92.7</v>
      </c>
      <c r="BD364" s="1">
        <f>IFERROR(__xludf.DUMMYFUNCTION("""COMPUTED_VALUE"""),42.91)</f>
        <v>42.91</v>
      </c>
      <c r="BE364" s="3">
        <f>IFERROR(__xludf.DUMMYFUNCTION("""COMPUTED_VALUE"""),181.51)</f>
        <v>181.51</v>
      </c>
      <c r="BF364" s="1">
        <f>IFERROR(__xludf.DUMMYFUNCTION("""COMPUTED_VALUE"""),70.05)</f>
        <v>70.05</v>
      </c>
      <c r="BG364" s="1">
        <f>IFERROR(__xludf.DUMMYFUNCTION("""COMPUTED_VALUE"""),24.85)</f>
        <v>24.85</v>
      </c>
      <c r="BH364" s="1">
        <f>IFERROR(__xludf.DUMMYFUNCTION("""COMPUTED_VALUE"""),173.04)</f>
        <v>173.04</v>
      </c>
      <c r="BI364" s="3">
        <f>IFERROR(__xludf.DUMMYFUNCTION("""COMPUTED_VALUE"""),53.49)</f>
        <v>53.49</v>
      </c>
      <c r="BJ364" s="1">
        <f>IFERROR(__xludf.DUMMYFUNCTION("""COMPUTED_VALUE"""),229.08)</f>
        <v>229.08</v>
      </c>
      <c r="BK364" s="1">
        <f>IFERROR(__xludf.DUMMYFUNCTION("""COMPUTED_VALUE"""),557.99)</f>
        <v>557.99</v>
      </c>
      <c r="BL364" s="1">
        <f>IFERROR(__xludf.DUMMYFUNCTION("""COMPUTED_VALUE"""),201.95)</f>
        <v>201.95</v>
      </c>
      <c r="BM364" s="1">
        <f>IFERROR(__xludf.DUMMYFUNCTION("""COMPUTED_VALUE"""),120.13)</f>
        <v>120.13</v>
      </c>
      <c r="BN364" s="3">
        <f>IFERROR(__xludf.DUMMYFUNCTION("""COMPUTED_VALUE"""),4.79)</f>
        <v>4.79</v>
      </c>
      <c r="BO364" s="1">
        <f>IFERROR(__xludf.DUMMYFUNCTION("""COMPUTED_VALUE"""),226.54)</f>
        <v>226.54</v>
      </c>
      <c r="BP364" s="1">
        <f>IFERROR(__xludf.DUMMYFUNCTION("""COMPUTED_VALUE"""),365.37)</f>
        <v>365.37</v>
      </c>
      <c r="BQ364" s="36">
        <f>IFERROR(__xludf.DUMMYFUNCTION("""COMPUTED_VALUE"""),50.19)</f>
        <v>50.19</v>
      </c>
      <c r="BR364" s="1">
        <f>IFERROR(__xludf.DUMMYFUNCTION("""COMPUTED_VALUE"""),10.39)</f>
        <v>10.39</v>
      </c>
      <c r="BS364" s="3">
        <f>IFERROR(__xludf.DUMMYFUNCTION("""COMPUTED_VALUE"""),214.89)</f>
        <v>214.89</v>
      </c>
      <c r="BT364" s="1">
        <f>IFERROR(__xludf.DUMMYFUNCTION("""COMPUTED_VALUE"""),114.3)</f>
        <v>114.3</v>
      </c>
      <c r="BU364" s="3">
        <v>1.0</v>
      </c>
    </row>
    <row r="365">
      <c r="A365" s="25">
        <f>IFERROR(__xludf.DUMMYFUNCTION("""COMPUTED_VALUE"""),45952.66666666667)</f>
        <v>45952.66667</v>
      </c>
      <c r="B365" s="29">
        <f>'Master Scratch Work'!B364</f>
        <v>1517370.41</v>
      </c>
      <c r="C365" s="15">
        <f>IFERROR(__xludf.DUMMYFUNCTION("""COMPUTED_VALUE"""),6699.4)</f>
        <v>6699.4</v>
      </c>
      <c r="D365" s="15">
        <f>IFERROR(__xludf.DUMMYFUNCTION("""COMPUTED_VALUE"""),22740.4)</f>
        <v>22740.4</v>
      </c>
      <c r="E365" s="15">
        <f>IFERROR(__xludf.DUMMYFUNCTION("""COMPUTED_VALUE"""),46590.41)</f>
        <v>46590.41</v>
      </c>
      <c r="F365" s="15">
        <f>IFERROR(__xludf.DUMMYFUNCTION("""COMPUTED_VALUE"""),2451.55)</f>
        <v>2451.55</v>
      </c>
      <c r="G365" s="3">
        <f>IFERROR(__xludf.DUMMYFUNCTION("""COMPUTED_VALUE"""),667.8)</f>
        <v>667.8</v>
      </c>
      <c r="H365" s="3">
        <f>IFERROR(__xludf.DUMMYFUNCTION("""COMPUTED_VALUE"""),605.49)</f>
        <v>605.49</v>
      </c>
      <c r="I365" s="3">
        <f>IFERROR(__xludf.DUMMYFUNCTION("""COMPUTED_VALUE"""),354.09)</f>
        <v>354.09</v>
      </c>
      <c r="J365" s="3">
        <f>IFERROR(__xludf.DUMMYFUNCTION("""COMPUTED_VALUE"""),217.95)</f>
        <v>217.95</v>
      </c>
      <c r="K365" s="3">
        <f>IFERROR(__xludf.DUMMYFUNCTION("""COMPUTED_VALUE"""),143.73)</f>
        <v>143.73</v>
      </c>
      <c r="L365" s="3">
        <f>IFERROR(__xludf.DUMMYFUNCTION("""COMPUTED_VALUE"""),258.45)</f>
        <v>258.45</v>
      </c>
      <c r="M365" s="3">
        <f>IFERROR(__xludf.DUMMYFUNCTION("""COMPUTED_VALUE"""),220.56)</f>
        <v>220.56</v>
      </c>
      <c r="N365" s="3">
        <f>IFERROR(__xludf.DUMMYFUNCTION("""COMPUTED_VALUE"""),107.03)</f>
        <v>107.03</v>
      </c>
      <c r="O365" s="3">
        <f>IFERROR(__xludf.DUMMYFUNCTION("""COMPUTED_VALUE"""),20.35)</f>
        <v>20.35</v>
      </c>
      <c r="P365" s="3">
        <f>IFERROR(__xludf.DUMMYFUNCTION("""COMPUTED_VALUE"""),491.81)</f>
        <v>491.81</v>
      </c>
      <c r="Q365" s="3">
        <f>IFERROR(__xludf.DUMMYFUNCTION("""COMPUTED_VALUE"""),55.79)</f>
        <v>55.79</v>
      </c>
      <c r="R365" s="3">
        <f>IFERROR(__xludf.DUMMYFUNCTION("""COMPUTED_VALUE"""),147.72)</f>
        <v>147.72</v>
      </c>
      <c r="S365" s="3">
        <f>IFERROR(__xludf.DUMMYFUNCTION("""COMPUTED_VALUE"""),103.85)</f>
        <v>103.85</v>
      </c>
      <c r="T365" s="3">
        <f>IFERROR(__xludf.DUMMYFUNCTION("""COMPUTED_VALUE"""),56.74)</f>
        <v>56.74</v>
      </c>
      <c r="U365" s="3">
        <f>IFERROR(__xludf.DUMMYFUNCTION("""COMPUTED_VALUE"""),513.91)</f>
        <v>513.91</v>
      </c>
      <c r="V365" s="3">
        <f>IFERROR(__xludf.DUMMYFUNCTION("""COMPUTED_VALUE"""),83.54)</f>
        <v>83.54</v>
      </c>
      <c r="W365" s="3">
        <f>IFERROR(__xludf.DUMMYFUNCTION("""COMPUTED_VALUE"""),194.9)</f>
        <v>194.9</v>
      </c>
      <c r="X365" s="3">
        <f>IFERROR(__xludf.DUMMYFUNCTION("""COMPUTED_VALUE"""),155.57)</f>
        <v>155.57</v>
      </c>
      <c r="Y365" s="1">
        <f>IFERROR(__xludf.DUMMYFUNCTION("""COMPUTED_VALUE"""),307.87)</f>
        <v>307.87</v>
      </c>
      <c r="Z365" s="1">
        <f>IFERROR(__xludf.DUMMYFUNCTION("""COMPUTED_VALUE"""),50.62)</f>
        <v>50.62</v>
      </c>
      <c r="AA365" s="1">
        <f>IFERROR(__xludf.DUMMYFUNCTION("""COMPUTED_VALUE"""),70.81)</f>
        <v>70.81</v>
      </c>
      <c r="AB365" s="1">
        <f>IFERROR(__xludf.DUMMYFUNCTION("""COMPUTED_VALUE"""),101.94)</f>
        <v>101.94</v>
      </c>
      <c r="AC365" s="1">
        <f>IFERROR(__xludf.DUMMYFUNCTION("""COMPUTED_VALUE"""),172.41)</f>
        <v>172.41</v>
      </c>
      <c r="AD365" s="3">
        <f>IFERROR(__xludf.DUMMYFUNCTION("""COMPUTED_VALUE"""),100.47)</f>
        <v>100.47</v>
      </c>
      <c r="AE365" s="1">
        <f>IFERROR(__xludf.DUMMYFUNCTION("""COMPUTED_VALUE"""),424.82)</f>
        <v>424.82</v>
      </c>
      <c r="AF365" s="1">
        <f>IFERROR(__xludf.DUMMYFUNCTION("""COMPUTED_VALUE"""),95.37)</f>
        <v>95.37</v>
      </c>
      <c r="AG365" s="1">
        <f>IFERROR(__xludf.DUMMYFUNCTION("""COMPUTED_VALUE"""),114.71)</f>
        <v>114.71</v>
      </c>
      <c r="AH365" s="1">
        <f>IFERROR(__xludf.DUMMYFUNCTION("""COMPUTED_VALUE"""),239.41)</f>
        <v>239.41</v>
      </c>
      <c r="AI365" s="1">
        <f>IFERROR(__xludf.DUMMYFUNCTION("""COMPUTED_VALUE"""),394.06)</f>
        <v>394.06</v>
      </c>
      <c r="AJ365" s="1">
        <f>IFERROR(__xludf.DUMMYFUNCTION("""COMPUTED_VALUE"""),338.24)</f>
        <v>338.24</v>
      </c>
      <c r="AK365" s="1">
        <f>IFERROR(__xludf.DUMMYFUNCTION("""COMPUTED_VALUE"""),67.31)</f>
        <v>67.31</v>
      </c>
      <c r="AL365" s="1">
        <f>IFERROR(__xludf.DUMMYFUNCTION("""COMPUTED_VALUE"""),121.46)</f>
        <v>121.46</v>
      </c>
      <c r="AM365" s="1">
        <f>IFERROR(__xludf.DUMMYFUNCTION("""COMPUTED_VALUE"""),744.6)</f>
        <v>744.6</v>
      </c>
      <c r="AN365" s="1">
        <f>IFERROR(__xludf.DUMMYFUNCTION("""COMPUTED_VALUE"""),388.97)</f>
        <v>388.97</v>
      </c>
      <c r="AO365" s="1">
        <f>IFERROR(__xludf.DUMMYFUNCTION("""COMPUTED_VALUE"""),152.45)</f>
        <v>152.45</v>
      </c>
      <c r="AP365" s="1">
        <f>IFERROR(__xludf.DUMMYFUNCTION("""COMPUTED_VALUE"""),156.95)</f>
        <v>156.95</v>
      </c>
      <c r="AQ365" s="3">
        <f>IFERROR(__xludf.DUMMYFUNCTION("""COMPUTED_VALUE"""),527.03)</f>
        <v>527.03</v>
      </c>
      <c r="AR365" s="3">
        <f>IFERROR(__xludf.DUMMYFUNCTION("""COMPUTED_VALUE"""),294.11)</f>
        <v>294.11</v>
      </c>
      <c r="AS365" s="3">
        <f>IFERROR(__xludf.DUMMYFUNCTION("""COMPUTED_VALUE"""),487.14)</f>
        <v>487.14</v>
      </c>
      <c r="AT365" s="3">
        <f>IFERROR(__xludf.DUMMYFUNCTION("""COMPUTED_VALUE"""),178.29)</f>
        <v>178.29</v>
      </c>
      <c r="AU365" s="1">
        <f>IFERROR(__xludf.DUMMYFUNCTION("""COMPUTED_VALUE"""),31.9)</f>
        <v>31.9</v>
      </c>
      <c r="AV365" s="1">
        <f>IFERROR(__xludf.DUMMYFUNCTION("""COMPUTED_VALUE"""),95.9)</f>
        <v>95.9</v>
      </c>
      <c r="AW365" s="1">
        <f>IFERROR(__xludf.DUMMYFUNCTION("""COMPUTED_VALUE"""),78.56)</f>
        <v>78.56</v>
      </c>
      <c r="AX365" s="3">
        <f>IFERROR(__xludf.DUMMYFUNCTION("""COMPUTED_VALUE"""),69.8)</f>
        <v>69.8</v>
      </c>
      <c r="AY365" s="1">
        <f>IFERROR(__xludf.DUMMYFUNCTION("""COMPUTED_VALUE"""),520.54)</f>
        <v>520.54</v>
      </c>
      <c r="AZ365" s="3">
        <f>IFERROR(__xludf.DUMMYFUNCTION("""COMPUTED_VALUE"""),82.84)</f>
        <v>82.84</v>
      </c>
      <c r="BA365" s="3">
        <f>IFERROR(__xludf.DUMMYFUNCTION("""COMPUTED_VALUE"""),160.42)</f>
        <v>160.42</v>
      </c>
      <c r="BB365" s="3">
        <f>IFERROR(__xludf.DUMMYFUNCTION("""COMPUTED_VALUE"""),180.28)</f>
        <v>180.28</v>
      </c>
      <c r="BC365" s="1">
        <f>IFERROR(__xludf.DUMMYFUNCTION("""COMPUTED_VALUE"""),91.42)</f>
        <v>91.42</v>
      </c>
      <c r="BD365" s="1">
        <f>IFERROR(__xludf.DUMMYFUNCTION("""COMPUTED_VALUE"""),42.27)</f>
        <v>42.27</v>
      </c>
      <c r="BE365" s="3">
        <f>IFERROR(__xludf.DUMMYFUNCTION("""COMPUTED_VALUE"""),175.49)</f>
        <v>175.49</v>
      </c>
      <c r="BF365" s="1">
        <f>IFERROR(__xludf.DUMMYFUNCTION("""COMPUTED_VALUE"""),68.07)</f>
        <v>68.07</v>
      </c>
      <c r="BG365" s="1">
        <f>IFERROR(__xludf.DUMMYFUNCTION("""COMPUTED_VALUE"""),24.72)</f>
        <v>24.72</v>
      </c>
      <c r="BH365" s="1">
        <f>IFERROR(__xludf.DUMMYFUNCTION("""COMPUTED_VALUE"""),177.98)</f>
        <v>177.98</v>
      </c>
      <c r="BI365" s="3">
        <f>IFERROR(__xludf.DUMMYFUNCTION("""COMPUTED_VALUE"""),52.98)</f>
        <v>52.98</v>
      </c>
      <c r="BJ365" s="1">
        <f>IFERROR(__xludf.DUMMYFUNCTION("""COMPUTED_VALUE"""),227.4)</f>
        <v>227.4</v>
      </c>
      <c r="BK365" s="1">
        <f>IFERROR(__xludf.DUMMYFUNCTION("""COMPUTED_VALUE"""),567.2)</f>
        <v>567.2</v>
      </c>
      <c r="BL365" s="1">
        <f>IFERROR(__xludf.DUMMYFUNCTION("""COMPUTED_VALUE"""),203.51)</f>
        <v>203.51</v>
      </c>
      <c r="BM365" s="1">
        <f>IFERROR(__xludf.DUMMYFUNCTION("""COMPUTED_VALUE"""),119.54)</f>
        <v>119.54</v>
      </c>
      <c r="BN365" s="3">
        <f>IFERROR(__xludf.DUMMYFUNCTION("""COMPUTED_VALUE"""),4.78)</f>
        <v>4.78</v>
      </c>
      <c r="BO365" s="1">
        <f>IFERROR(__xludf.DUMMYFUNCTION("""COMPUTED_VALUE"""),225.24)</f>
        <v>225.24</v>
      </c>
      <c r="BP365" s="1">
        <f>IFERROR(__xludf.DUMMYFUNCTION("""COMPUTED_VALUE"""),361.49)</f>
        <v>361.49</v>
      </c>
      <c r="BQ365" s="36">
        <f>IFERROR(__xludf.DUMMYFUNCTION("""COMPUTED_VALUE"""),50.22)</f>
        <v>50.22</v>
      </c>
      <c r="BR365" s="1">
        <f>IFERROR(__xludf.DUMMYFUNCTION("""COMPUTED_VALUE"""),10.41)</f>
        <v>10.41</v>
      </c>
      <c r="BS365" s="3">
        <f>IFERROR(__xludf.DUMMYFUNCTION("""COMPUTED_VALUE"""),216.46)</f>
        <v>216.46</v>
      </c>
      <c r="BT365" s="1">
        <f>IFERROR(__xludf.DUMMYFUNCTION("""COMPUTED_VALUE"""),113.08)</f>
        <v>113.08</v>
      </c>
      <c r="BU365" s="3">
        <v>1.0</v>
      </c>
    </row>
    <row r="366">
      <c r="A366" s="25">
        <f>IFERROR(__xludf.DUMMYFUNCTION("""COMPUTED_VALUE"""),45953.66666666667)</f>
        <v>45953.66667</v>
      </c>
      <c r="B366" s="29">
        <f>'Master Scratch Work'!B365</f>
        <v>1524253.38</v>
      </c>
      <c r="C366" s="15">
        <f>IFERROR(__xludf.DUMMYFUNCTION("""COMPUTED_VALUE"""),6738.44)</f>
        <v>6738.44</v>
      </c>
      <c r="D366" s="15">
        <f>IFERROR(__xludf.DUMMYFUNCTION("""COMPUTED_VALUE"""),22941.8)</f>
        <v>22941.8</v>
      </c>
      <c r="E366" s="15">
        <f>IFERROR(__xludf.DUMMYFUNCTION("""COMPUTED_VALUE"""),46734.61)</f>
        <v>46734.61</v>
      </c>
      <c r="F366" s="15">
        <f>IFERROR(__xludf.DUMMYFUNCTION("""COMPUTED_VALUE"""),2482.66)</f>
        <v>2482.66</v>
      </c>
      <c r="G366" s="3">
        <f>IFERROR(__xludf.DUMMYFUNCTION("""COMPUTED_VALUE"""),671.76)</f>
        <v>671.76</v>
      </c>
      <c r="H366" s="3">
        <f>IFERROR(__xludf.DUMMYFUNCTION("""COMPUTED_VALUE"""),610.58)</f>
        <v>610.58</v>
      </c>
      <c r="I366" s="3">
        <f>IFERROR(__xludf.DUMMYFUNCTION("""COMPUTED_VALUE"""),354.12)</f>
        <v>354.12</v>
      </c>
      <c r="J366" s="3">
        <f>IFERROR(__xludf.DUMMYFUNCTION("""COMPUTED_VALUE"""),221.09)</f>
        <v>221.09</v>
      </c>
      <c r="K366" s="3">
        <f>IFERROR(__xludf.DUMMYFUNCTION("""COMPUTED_VALUE"""),142.58)</f>
        <v>142.58</v>
      </c>
      <c r="L366" s="3">
        <f>IFERROR(__xludf.DUMMYFUNCTION("""COMPUTED_VALUE"""),259.58)</f>
        <v>259.58</v>
      </c>
      <c r="M366" s="3">
        <f>IFERROR(__xludf.DUMMYFUNCTION("""COMPUTED_VALUE"""),228.47)</f>
        <v>228.47</v>
      </c>
      <c r="N366" s="3">
        <f>IFERROR(__xludf.DUMMYFUNCTION("""COMPUTED_VALUE"""),106.68)</f>
        <v>106.68</v>
      </c>
      <c r="O366" s="3">
        <f>IFERROR(__xludf.DUMMYFUNCTION("""COMPUTED_VALUE"""),20.61)</f>
        <v>20.61</v>
      </c>
      <c r="P366" s="3">
        <f>IFERROR(__xludf.DUMMYFUNCTION("""COMPUTED_VALUE"""),490.16)</f>
        <v>490.16</v>
      </c>
      <c r="Q366" s="3">
        <f>IFERROR(__xludf.DUMMYFUNCTION("""COMPUTED_VALUE"""),55.29)</f>
        <v>55.29</v>
      </c>
      <c r="R366" s="3">
        <f>IFERROR(__xludf.DUMMYFUNCTION("""COMPUTED_VALUE"""),150.08)</f>
        <v>150.08</v>
      </c>
      <c r="S366" s="3">
        <f>IFERROR(__xludf.DUMMYFUNCTION("""COMPUTED_VALUE"""),102.39)</f>
        <v>102.39</v>
      </c>
      <c r="T366" s="3">
        <f>IFERROR(__xludf.DUMMYFUNCTION("""COMPUTED_VALUE"""),57.12)</f>
        <v>57.12</v>
      </c>
      <c r="U366" s="3">
        <f>IFERROR(__xludf.DUMMYFUNCTION("""COMPUTED_VALUE"""),520.5)</f>
        <v>520.5</v>
      </c>
      <c r="V366" s="3">
        <f>IFERROR(__xludf.DUMMYFUNCTION("""COMPUTED_VALUE"""),86.3)</f>
        <v>86.3</v>
      </c>
      <c r="W366" s="3">
        <f>IFERROR(__xludf.DUMMYFUNCTION("""COMPUTED_VALUE"""),193.56)</f>
        <v>193.56</v>
      </c>
      <c r="X366" s="3">
        <f>IFERROR(__xludf.DUMMYFUNCTION("""COMPUTED_VALUE"""),156.56)</f>
        <v>156.56</v>
      </c>
      <c r="Y366" s="1">
        <f>IFERROR(__xludf.DUMMYFUNCTION("""COMPUTED_VALUE"""),305.07)</f>
        <v>305.07</v>
      </c>
      <c r="Z366" s="1">
        <f>IFERROR(__xludf.DUMMYFUNCTION("""COMPUTED_VALUE"""),50.96)</f>
        <v>50.96</v>
      </c>
      <c r="AA366" s="1">
        <f>IFERROR(__xludf.DUMMYFUNCTION("""COMPUTED_VALUE"""),69.94)</f>
        <v>69.94</v>
      </c>
      <c r="AB366" s="1">
        <f>IFERROR(__xludf.DUMMYFUNCTION("""COMPUTED_VALUE"""),100.77)</f>
        <v>100.77</v>
      </c>
      <c r="AC366" s="1">
        <f>IFERROR(__xludf.DUMMYFUNCTION("""COMPUTED_VALUE"""),175.39)</f>
        <v>175.39</v>
      </c>
      <c r="AD366" s="3">
        <f>IFERROR(__xludf.DUMMYFUNCTION("""COMPUTED_VALUE"""),100.62)</f>
        <v>100.62</v>
      </c>
      <c r="AE366" s="1">
        <f>IFERROR(__xludf.DUMMYFUNCTION("""COMPUTED_VALUE"""),421.76)</f>
        <v>421.76</v>
      </c>
      <c r="AF366" s="1">
        <f>IFERROR(__xludf.DUMMYFUNCTION("""COMPUTED_VALUE"""),95.52)</f>
        <v>95.52</v>
      </c>
      <c r="AG366" s="1">
        <f>IFERROR(__xludf.DUMMYFUNCTION("""COMPUTED_VALUE"""),115.98)</f>
        <v>115.98</v>
      </c>
      <c r="AH366" s="1">
        <f>IFERROR(__xludf.DUMMYFUNCTION("""COMPUTED_VALUE"""),238.17)</f>
        <v>238.17</v>
      </c>
      <c r="AI366" s="1">
        <f>IFERROR(__xludf.DUMMYFUNCTION("""COMPUTED_VALUE"""),402.85)</f>
        <v>402.85</v>
      </c>
      <c r="AJ366" s="1">
        <f>IFERROR(__xludf.DUMMYFUNCTION("""COMPUTED_VALUE"""),341.5)</f>
        <v>341.5</v>
      </c>
      <c r="AK366" s="1">
        <f>IFERROR(__xludf.DUMMYFUNCTION("""COMPUTED_VALUE"""),66.85)</f>
        <v>66.85</v>
      </c>
      <c r="AL366" s="1">
        <f>IFERROR(__xludf.DUMMYFUNCTION("""COMPUTED_VALUE"""),120.74)</f>
        <v>120.74</v>
      </c>
      <c r="AM366" s="1">
        <f>IFERROR(__xludf.DUMMYFUNCTION("""COMPUTED_VALUE"""),750.78)</f>
        <v>750.78</v>
      </c>
      <c r="AN366" s="1">
        <f>IFERROR(__xludf.DUMMYFUNCTION("""COMPUTED_VALUE"""),385.03)</f>
        <v>385.03</v>
      </c>
      <c r="AO366" s="1">
        <f>IFERROR(__xludf.DUMMYFUNCTION("""COMPUTED_VALUE"""),153.14)</f>
        <v>153.14</v>
      </c>
      <c r="AP366" s="1">
        <f>IFERROR(__xludf.DUMMYFUNCTION("""COMPUTED_VALUE"""),157.45)</f>
        <v>157.45</v>
      </c>
      <c r="AQ366" s="3">
        <f>IFERROR(__xludf.DUMMYFUNCTION("""COMPUTED_VALUE"""),551.3)</f>
        <v>551.3</v>
      </c>
      <c r="AR366" s="3">
        <f>IFERROR(__xludf.DUMMYFUNCTION("""COMPUTED_VALUE"""),294.54)</f>
        <v>294.54</v>
      </c>
      <c r="AS366" s="3">
        <f>IFERROR(__xludf.DUMMYFUNCTION("""COMPUTED_VALUE"""),488.05)</f>
        <v>488.05</v>
      </c>
      <c r="AT366" s="3">
        <f>IFERROR(__xludf.DUMMYFUNCTION("""COMPUTED_VALUE"""),179.06)</f>
        <v>179.06</v>
      </c>
      <c r="AU366" s="1">
        <f>IFERROR(__xludf.DUMMYFUNCTION("""COMPUTED_VALUE"""),32.2)</f>
        <v>32.2</v>
      </c>
      <c r="AV366" s="1">
        <f>IFERROR(__xludf.DUMMYFUNCTION("""COMPUTED_VALUE"""),94.21)</f>
        <v>94.21</v>
      </c>
      <c r="AW366" s="1">
        <f>IFERROR(__xludf.DUMMYFUNCTION("""COMPUTED_VALUE"""),78.17)</f>
        <v>78.17</v>
      </c>
      <c r="AX366" s="3">
        <f>IFERROR(__xludf.DUMMYFUNCTION("""COMPUTED_VALUE"""),68.45)</f>
        <v>68.45</v>
      </c>
      <c r="AY366" s="1">
        <f>IFERROR(__xludf.DUMMYFUNCTION("""COMPUTED_VALUE"""),520.56)</f>
        <v>520.56</v>
      </c>
      <c r="AZ366" s="3">
        <f>IFERROR(__xludf.DUMMYFUNCTION("""COMPUTED_VALUE"""),83.25)</f>
        <v>83.25</v>
      </c>
      <c r="BA366" s="3">
        <f>IFERROR(__xludf.DUMMYFUNCTION("""COMPUTED_VALUE"""),163.81)</f>
        <v>163.81</v>
      </c>
      <c r="BB366" s="3">
        <f>IFERROR(__xludf.DUMMYFUNCTION("""COMPUTED_VALUE"""),182.16)</f>
        <v>182.16</v>
      </c>
      <c r="BC366" s="1">
        <f>IFERROR(__xludf.DUMMYFUNCTION("""COMPUTED_VALUE"""),92.97)</f>
        <v>92.97</v>
      </c>
      <c r="BD366" s="1">
        <f>IFERROR(__xludf.DUMMYFUNCTION("""COMPUTED_VALUE"""),43.23)</f>
        <v>43.23</v>
      </c>
      <c r="BE366" s="3">
        <f>IFERROR(__xludf.DUMMYFUNCTION("""COMPUTED_VALUE"""),180.48)</f>
        <v>180.48</v>
      </c>
      <c r="BF366" s="1">
        <f>IFERROR(__xludf.DUMMYFUNCTION("""COMPUTED_VALUE"""),69.66)</f>
        <v>69.66</v>
      </c>
      <c r="BG366" s="1">
        <f>IFERROR(__xludf.DUMMYFUNCTION("""COMPUTED_VALUE"""),24.67)</f>
        <v>24.67</v>
      </c>
      <c r="BH366" s="1">
        <f>IFERROR(__xludf.DUMMYFUNCTION("""COMPUTED_VALUE"""),179.44)</f>
        <v>179.44</v>
      </c>
      <c r="BI366" s="3">
        <f>IFERROR(__xludf.DUMMYFUNCTION("""COMPUTED_VALUE"""),53.44)</f>
        <v>53.44</v>
      </c>
      <c r="BJ366" s="1">
        <f>IFERROR(__xludf.DUMMYFUNCTION("""COMPUTED_VALUE"""),219.99)</f>
        <v>219.99</v>
      </c>
      <c r="BK366" s="1">
        <f>IFERROR(__xludf.DUMMYFUNCTION("""COMPUTED_VALUE"""),571.91)</f>
        <v>571.91</v>
      </c>
      <c r="BL366" s="1">
        <f>IFERROR(__xludf.DUMMYFUNCTION("""COMPUTED_VALUE"""),204.06)</f>
        <v>204.06</v>
      </c>
      <c r="BM366" s="1">
        <f>IFERROR(__xludf.DUMMYFUNCTION("""COMPUTED_VALUE"""),128.91)</f>
        <v>128.91</v>
      </c>
      <c r="BN366" s="3">
        <f>IFERROR(__xludf.DUMMYFUNCTION("""COMPUTED_VALUE"""),4.85)</f>
        <v>4.85</v>
      </c>
      <c r="BO366" s="1">
        <f>IFERROR(__xludf.DUMMYFUNCTION("""COMPUTED_VALUE"""),220.04)</f>
        <v>220.04</v>
      </c>
      <c r="BP366" s="1">
        <f>IFERROR(__xludf.DUMMYFUNCTION("""COMPUTED_VALUE"""),360.45)</f>
        <v>360.45</v>
      </c>
      <c r="BQ366" s="36">
        <f>IFERROR(__xludf.DUMMYFUNCTION("""COMPUTED_VALUE"""),50.18)</f>
        <v>50.18</v>
      </c>
      <c r="BR366" s="1">
        <f>IFERROR(__xludf.DUMMYFUNCTION("""COMPUTED_VALUE"""),10.31)</f>
        <v>10.31</v>
      </c>
      <c r="BS366" s="3">
        <f>IFERROR(__xludf.DUMMYFUNCTION("""COMPUTED_VALUE"""),216.11)</f>
        <v>216.11</v>
      </c>
      <c r="BT366" s="1">
        <f>IFERROR(__xludf.DUMMYFUNCTION("""COMPUTED_VALUE"""),113.03)</f>
        <v>113.03</v>
      </c>
      <c r="BU366" s="3">
        <v>1.0</v>
      </c>
    </row>
    <row r="367">
      <c r="A367" s="25">
        <f>IFERROR(__xludf.DUMMYFUNCTION("""COMPUTED_VALUE"""),45954.66666666667)</f>
        <v>45954.66667</v>
      </c>
      <c r="B367" s="29">
        <f>'Master Scratch Work'!B366</f>
        <v>1533326</v>
      </c>
      <c r="C367" s="15">
        <f>IFERROR(__xludf.DUMMYFUNCTION("""COMPUTED_VALUE"""),6791.69)</f>
        <v>6791.69</v>
      </c>
      <c r="D367" s="15">
        <f>IFERROR(__xludf.DUMMYFUNCTION("""COMPUTED_VALUE"""),23204.87)</f>
        <v>23204.87</v>
      </c>
      <c r="E367" s="15">
        <f>IFERROR(__xludf.DUMMYFUNCTION("""COMPUTED_VALUE"""),47207.12)</f>
        <v>47207.12</v>
      </c>
      <c r="F367" s="15">
        <f>IFERROR(__xludf.DUMMYFUNCTION("""COMPUTED_VALUE"""),2513.47)</f>
        <v>2513.47</v>
      </c>
      <c r="G367" s="3">
        <f>IFERROR(__xludf.DUMMYFUNCTION("""COMPUTED_VALUE"""),677.25)</f>
        <v>677.25</v>
      </c>
      <c r="H367" s="3">
        <f>IFERROR(__xludf.DUMMYFUNCTION("""COMPUTED_VALUE"""),617.1)</f>
        <v>617.1</v>
      </c>
      <c r="I367" s="3">
        <f>IFERROR(__xludf.DUMMYFUNCTION("""COMPUTED_VALUE"""),353.52)</f>
        <v>353.52</v>
      </c>
      <c r="J367" s="3">
        <f>IFERROR(__xludf.DUMMYFUNCTION("""COMPUTED_VALUE"""),224.21)</f>
        <v>224.21</v>
      </c>
      <c r="K367" s="3">
        <f>IFERROR(__xludf.DUMMYFUNCTION("""COMPUTED_VALUE"""),141.59)</f>
        <v>141.59</v>
      </c>
      <c r="L367" s="3">
        <f>IFERROR(__xludf.DUMMYFUNCTION("""COMPUTED_VALUE"""),262.82)</f>
        <v>262.82</v>
      </c>
      <c r="M367" s="3">
        <f>IFERROR(__xludf.DUMMYFUNCTION("""COMPUTED_VALUE"""),228.75)</f>
        <v>228.75</v>
      </c>
      <c r="N367" s="3">
        <f>IFERROR(__xludf.DUMMYFUNCTION("""COMPUTED_VALUE"""),107.99)</f>
        <v>107.99</v>
      </c>
      <c r="O367" s="3">
        <f>IFERROR(__xludf.DUMMYFUNCTION("""COMPUTED_VALUE"""),20.68)</f>
        <v>20.68</v>
      </c>
      <c r="P367" s="3">
        <f>IFERROR(__xludf.DUMMYFUNCTION("""COMPUTED_VALUE"""),492.1)</f>
        <v>492.1</v>
      </c>
      <c r="Q367" s="3">
        <f>IFERROR(__xludf.DUMMYFUNCTION("""COMPUTED_VALUE"""),55.62)</f>
        <v>55.62</v>
      </c>
      <c r="R367" s="3">
        <f>IFERROR(__xludf.DUMMYFUNCTION("""COMPUTED_VALUE"""),149.89)</f>
        <v>149.89</v>
      </c>
      <c r="S367" s="3">
        <f>IFERROR(__xludf.DUMMYFUNCTION("""COMPUTED_VALUE"""),101.11)</f>
        <v>101.11</v>
      </c>
      <c r="T367" s="3">
        <f>IFERROR(__xludf.DUMMYFUNCTION("""COMPUTED_VALUE"""),57.84)</f>
        <v>57.84</v>
      </c>
      <c r="U367" s="3">
        <f>IFERROR(__xludf.DUMMYFUNCTION("""COMPUTED_VALUE"""),522.73)</f>
        <v>522.73</v>
      </c>
      <c r="V367" s="3">
        <f>IFERROR(__xludf.DUMMYFUNCTION("""COMPUTED_VALUE"""),88.13)</f>
        <v>88.13</v>
      </c>
      <c r="W367" s="3">
        <f>IFERROR(__xludf.DUMMYFUNCTION("""COMPUTED_VALUE"""),192.0)</f>
        <v>192</v>
      </c>
      <c r="X367" s="3">
        <f>IFERROR(__xludf.DUMMYFUNCTION("""COMPUTED_VALUE"""),155.56)</f>
        <v>155.56</v>
      </c>
      <c r="Y367" s="1">
        <f>IFERROR(__xludf.DUMMYFUNCTION("""COMPUTED_VALUE"""),301.78)</f>
        <v>301.78</v>
      </c>
      <c r="Z367" s="1">
        <f>IFERROR(__xludf.DUMMYFUNCTION("""COMPUTED_VALUE"""),52.18)</f>
        <v>52.18</v>
      </c>
      <c r="AA367" s="1">
        <f>IFERROR(__xludf.DUMMYFUNCTION("""COMPUTED_VALUE"""),69.71)</f>
        <v>69.71</v>
      </c>
      <c r="AB367" s="1">
        <f>IFERROR(__xludf.DUMMYFUNCTION("""COMPUTED_VALUE"""),100.04)</f>
        <v>100.04</v>
      </c>
      <c r="AC367" s="1">
        <f>IFERROR(__xludf.DUMMYFUNCTION("""COMPUTED_VALUE"""),179.28)</f>
        <v>179.28</v>
      </c>
      <c r="AD367" s="3">
        <f>IFERROR(__xludf.DUMMYFUNCTION("""COMPUTED_VALUE"""),99.05)</f>
        <v>99.05</v>
      </c>
      <c r="AE367" s="1">
        <f>IFERROR(__xludf.DUMMYFUNCTION("""COMPUTED_VALUE"""),414.86)</f>
        <v>414.86</v>
      </c>
      <c r="AF367" s="1">
        <f>IFERROR(__xludf.DUMMYFUNCTION("""COMPUTED_VALUE"""),97.2)</f>
        <v>97.2</v>
      </c>
      <c r="AG367" s="1">
        <f>IFERROR(__xludf.DUMMYFUNCTION("""COMPUTED_VALUE"""),115.39)</f>
        <v>115.39</v>
      </c>
      <c r="AH367" s="1">
        <f>IFERROR(__xludf.DUMMYFUNCTION("""COMPUTED_VALUE"""),241.15)</f>
        <v>241.15</v>
      </c>
      <c r="AI367" s="1">
        <f>IFERROR(__xludf.DUMMYFUNCTION("""COMPUTED_VALUE"""),408.31)</f>
        <v>408.31</v>
      </c>
      <c r="AJ367" s="1">
        <f>IFERROR(__xludf.DUMMYFUNCTION("""COMPUTED_VALUE"""),350.77)</f>
        <v>350.77</v>
      </c>
      <c r="AK367" s="1">
        <f>IFERROR(__xludf.DUMMYFUNCTION("""COMPUTED_VALUE"""),69.66)</f>
        <v>69.66</v>
      </c>
      <c r="AL367" s="1">
        <f>IFERROR(__xludf.DUMMYFUNCTION("""COMPUTED_VALUE"""),120.94)</f>
        <v>120.94</v>
      </c>
      <c r="AM367" s="1">
        <f>IFERROR(__xludf.DUMMYFUNCTION("""COMPUTED_VALUE"""),783.88)</f>
        <v>783.88</v>
      </c>
      <c r="AN367" s="1">
        <f>IFERROR(__xludf.DUMMYFUNCTION("""COMPUTED_VALUE"""),386.68)</f>
        <v>386.68</v>
      </c>
      <c r="AO367" s="1">
        <f>IFERROR(__xludf.DUMMYFUNCTION("""COMPUTED_VALUE"""),153.07)</f>
        <v>153.07</v>
      </c>
      <c r="AP367" s="1">
        <f>IFERROR(__xludf.DUMMYFUNCTION("""COMPUTED_VALUE"""),157.65)</f>
        <v>157.65</v>
      </c>
      <c r="AQ367" s="3">
        <f>IFERROR(__xludf.DUMMYFUNCTION("""COMPUTED_VALUE"""),546.51)</f>
        <v>546.51</v>
      </c>
      <c r="AR367" s="3">
        <f>IFERROR(__xludf.DUMMYFUNCTION("""COMPUTED_VALUE"""),300.44)</f>
        <v>300.44</v>
      </c>
      <c r="AS367" s="3">
        <f>IFERROR(__xludf.DUMMYFUNCTION("""COMPUTED_VALUE"""),485.41)</f>
        <v>485.41</v>
      </c>
      <c r="AT367" s="3">
        <f>IFERROR(__xludf.DUMMYFUNCTION("""COMPUTED_VALUE"""),178.17)</f>
        <v>178.17</v>
      </c>
      <c r="AU367" s="1">
        <f>IFERROR(__xludf.DUMMYFUNCTION("""COMPUTED_VALUE"""),32.59)</f>
        <v>32.59</v>
      </c>
      <c r="AV367" s="1">
        <f>IFERROR(__xludf.DUMMYFUNCTION("""COMPUTED_VALUE"""),93.67)</f>
        <v>93.67</v>
      </c>
      <c r="AW367" s="1">
        <f>IFERROR(__xludf.DUMMYFUNCTION("""COMPUTED_VALUE"""),78.68)</f>
        <v>78.68</v>
      </c>
      <c r="AX367" s="3">
        <f>IFERROR(__xludf.DUMMYFUNCTION("""COMPUTED_VALUE"""),70.81)</f>
        <v>70.81</v>
      </c>
      <c r="AY367" s="1">
        <f>IFERROR(__xludf.DUMMYFUNCTION("""COMPUTED_VALUE"""),523.61)</f>
        <v>523.61</v>
      </c>
      <c r="AZ367" s="3">
        <f>IFERROR(__xludf.DUMMYFUNCTION("""COMPUTED_VALUE"""),84.41)</f>
        <v>84.41</v>
      </c>
      <c r="BA367" s="3">
        <f>IFERROR(__xludf.DUMMYFUNCTION("""COMPUTED_VALUE"""),170.36)</f>
        <v>170.36</v>
      </c>
      <c r="BB367" s="3">
        <f>IFERROR(__xludf.DUMMYFUNCTION("""COMPUTED_VALUE"""),186.26)</f>
        <v>186.26</v>
      </c>
      <c r="BC367" s="1">
        <f>IFERROR(__xludf.DUMMYFUNCTION("""COMPUTED_VALUE"""),91.95)</f>
        <v>91.95</v>
      </c>
      <c r="BD367" s="1">
        <f>IFERROR(__xludf.DUMMYFUNCTION("""COMPUTED_VALUE"""),41.7)</f>
        <v>41.7</v>
      </c>
      <c r="BE367" s="3">
        <f>IFERROR(__xludf.DUMMYFUNCTION("""COMPUTED_VALUE"""),184.63)</f>
        <v>184.63</v>
      </c>
      <c r="BF367" s="1">
        <f>IFERROR(__xludf.DUMMYFUNCTION("""COMPUTED_VALUE"""),69.77)</f>
        <v>69.77</v>
      </c>
      <c r="BG367" s="1">
        <f>IFERROR(__xludf.DUMMYFUNCTION("""COMPUTED_VALUE"""),24.76)</f>
        <v>24.76</v>
      </c>
      <c r="BH367" s="1">
        <f>IFERROR(__xludf.DUMMYFUNCTION("""COMPUTED_VALUE"""),178.65)</f>
        <v>178.65</v>
      </c>
      <c r="BI367" s="3">
        <f>IFERROR(__xludf.DUMMYFUNCTION("""COMPUTED_VALUE"""),54.48)</f>
        <v>54.48</v>
      </c>
      <c r="BJ367" s="1">
        <f>IFERROR(__xludf.DUMMYFUNCTION("""COMPUTED_VALUE"""),217.77)</f>
        <v>217.77</v>
      </c>
      <c r="BK367" s="1">
        <f>IFERROR(__xludf.DUMMYFUNCTION("""COMPUTED_VALUE"""),572.5)</f>
        <v>572.5</v>
      </c>
      <c r="BL367" s="1">
        <f>IFERROR(__xludf.DUMMYFUNCTION("""COMPUTED_VALUE"""),205.37)</f>
        <v>205.37</v>
      </c>
      <c r="BM367" s="1">
        <f>IFERROR(__xludf.DUMMYFUNCTION("""COMPUTED_VALUE"""),130.52)</f>
        <v>130.52</v>
      </c>
      <c r="BN367" s="3">
        <f>IFERROR(__xludf.DUMMYFUNCTION("""COMPUTED_VALUE"""),4.81)</f>
        <v>4.81</v>
      </c>
      <c r="BO367" s="1">
        <f>IFERROR(__xludf.DUMMYFUNCTION("""COMPUTED_VALUE"""),216.61)</f>
        <v>216.61</v>
      </c>
      <c r="BP367" s="1">
        <f>IFERROR(__xludf.DUMMYFUNCTION("""COMPUTED_VALUE"""),362.5)</f>
        <v>362.5</v>
      </c>
      <c r="BQ367" s="36">
        <f>IFERROR(__xludf.DUMMYFUNCTION("""COMPUTED_VALUE"""),50.18)</f>
        <v>50.18</v>
      </c>
      <c r="BR367" s="1">
        <f>IFERROR(__xludf.DUMMYFUNCTION("""COMPUTED_VALUE"""),10.35)</f>
        <v>10.35</v>
      </c>
      <c r="BS367" s="3">
        <f>IFERROR(__xludf.DUMMYFUNCTION("""COMPUTED_VALUE"""),214.66)</f>
        <v>214.66</v>
      </c>
      <c r="BT367" s="1">
        <f>IFERROR(__xludf.DUMMYFUNCTION("""COMPUTED_VALUE"""),111.68)</f>
        <v>111.68</v>
      </c>
      <c r="BU367" s="3">
        <v>1.0</v>
      </c>
    </row>
    <row r="368">
      <c r="A368" s="25">
        <f>IFERROR(__xludf.DUMMYFUNCTION("""COMPUTED_VALUE"""),45957.66666666667)</f>
        <v>45957.66667</v>
      </c>
      <c r="B368" s="29">
        <f>'Master Scratch Work'!B367</f>
        <v>1543887.94</v>
      </c>
      <c r="C368" s="15">
        <f>IFERROR(__xludf.DUMMYFUNCTION("""COMPUTED_VALUE"""),6875.16)</f>
        <v>6875.16</v>
      </c>
      <c r="D368" s="15">
        <f>IFERROR(__xludf.DUMMYFUNCTION("""COMPUTED_VALUE"""),23637.46)</f>
        <v>23637.46</v>
      </c>
      <c r="E368" s="15">
        <f>IFERROR(__xludf.DUMMYFUNCTION("""COMPUTED_VALUE"""),47544.59)</f>
        <v>47544.59</v>
      </c>
      <c r="F368" s="15">
        <f>IFERROR(__xludf.DUMMYFUNCTION("""COMPUTED_VALUE"""),2520.44)</f>
        <v>2520.44</v>
      </c>
      <c r="G368" s="3">
        <f>IFERROR(__xludf.DUMMYFUNCTION("""COMPUTED_VALUE"""),685.24)</f>
        <v>685.24</v>
      </c>
      <c r="H368" s="3">
        <f>IFERROR(__xludf.DUMMYFUNCTION("""COMPUTED_VALUE"""),628.09)</f>
        <v>628.09</v>
      </c>
      <c r="I368" s="3">
        <f>IFERROR(__xludf.DUMMYFUNCTION("""COMPUTED_VALUE"""),357.8)</f>
        <v>357.8</v>
      </c>
      <c r="J368" s="3">
        <f>IFERROR(__xludf.DUMMYFUNCTION("""COMPUTED_VALUE"""),226.97)</f>
        <v>226.97</v>
      </c>
      <c r="K368" s="3">
        <f>IFERROR(__xludf.DUMMYFUNCTION("""COMPUTED_VALUE"""),137.99)</f>
        <v>137.99</v>
      </c>
      <c r="L368" s="3">
        <f>IFERROR(__xludf.DUMMYFUNCTION("""COMPUTED_VALUE"""),268.81)</f>
        <v>268.81</v>
      </c>
      <c r="M368" s="3">
        <f>IFERROR(__xludf.DUMMYFUNCTION("""COMPUTED_VALUE"""),231.33)</f>
        <v>231.33</v>
      </c>
      <c r="N368" s="3">
        <f>IFERROR(__xludf.DUMMYFUNCTION("""COMPUTED_VALUE"""),107.58)</f>
        <v>107.58</v>
      </c>
      <c r="O368" s="3">
        <f>IFERROR(__xludf.DUMMYFUNCTION("""COMPUTED_VALUE"""),21.27)</f>
        <v>21.27</v>
      </c>
      <c r="P368" s="3">
        <f>IFERROR(__xludf.DUMMYFUNCTION("""COMPUTED_VALUE"""),488.07)</f>
        <v>488.07</v>
      </c>
      <c r="Q368" s="3">
        <f>IFERROR(__xludf.DUMMYFUNCTION("""COMPUTED_VALUE"""),56.38)</f>
        <v>56.38</v>
      </c>
      <c r="R368" s="3">
        <f>IFERROR(__xludf.DUMMYFUNCTION("""COMPUTED_VALUE"""),150.43)</f>
        <v>150.43</v>
      </c>
      <c r="S368" s="3">
        <f>IFERROR(__xludf.DUMMYFUNCTION("""COMPUTED_VALUE"""),102.43)</f>
        <v>102.43</v>
      </c>
      <c r="T368" s="3">
        <f>IFERROR(__xludf.DUMMYFUNCTION("""COMPUTED_VALUE"""),58.29)</f>
        <v>58.29</v>
      </c>
      <c r="U368" s="3">
        <f>IFERROR(__xludf.DUMMYFUNCTION("""COMPUTED_VALUE"""),527.07)</f>
        <v>527.07</v>
      </c>
      <c r="V368" s="3">
        <f>IFERROR(__xludf.DUMMYFUNCTION("""COMPUTED_VALUE"""),86.62)</f>
        <v>86.62</v>
      </c>
      <c r="W368" s="3">
        <f>IFERROR(__xludf.DUMMYFUNCTION("""COMPUTED_VALUE"""),191.72)</f>
        <v>191.72</v>
      </c>
      <c r="X368" s="3">
        <f>IFERROR(__xludf.DUMMYFUNCTION("""COMPUTED_VALUE"""),155.28)</f>
        <v>155.28</v>
      </c>
      <c r="Y368" s="1">
        <f>IFERROR(__xludf.DUMMYFUNCTION("""COMPUTED_VALUE"""),309.18)</f>
        <v>309.18</v>
      </c>
      <c r="Z368" s="1">
        <f>IFERROR(__xludf.DUMMYFUNCTION("""COMPUTED_VALUE"""),51.91)</f>
        <v>51.91</v>
      </c>
      <c r="AA368" s="1">
        <f>IFERROR(__xludf.DUMMYFUNCTION("""COMPUTED_VALUE"""),70.06)</f>
        <v>70.06</v>
      </c>
      <c r="AB368" s="1">
        <f>IFERROR(__xludf.DUMMYFUNCTION("""COMPUTED_VALUE"""),100.22)</f>
        <v>100.22</v>
      </c>
      <c r="AC368" s="1">
        <f>IFERROR(__xludf.DUMMYFUNCTION("""COMPUTED_VALUE"""),178.14)</f>
        <v>178.14</v>
      </c>
      <c r="AD368" s="3">
        <f>IFERROR(__xludf.DUMMYFUNCTION("""COMPUTED_VALUE"""),102.59)</f>
        <v>102.59</v>
      </c>
      <c r="AE368" s="1">
        <f>IFERROR(__xludf.DUMMYFUNCTION("""COMPUTED_VALUE"""),412.7)</f>
        <v>412.7</v>
      </c>
      <c r="AF368" s="1">
        <f>IFERROR(__xludf.DUMMYFUNCTION("""COMPUTED_VALUE"""),98.01)</f>
        <v>98.01</v>
      </c>
      <c r="AG368" s="1">
        <f>IFERROR(__xludf.DUMMYFUNCTION("""COMPUTED_VALUE"""),115.94)</f>
        <v>115.94</v>
      </c>
      <c r="AH368" s="1">
        <f>IFERROR(__xludf.DUMMYFUNCTION("""COMPUTED_VALUE"""),247.34)</f>
        <v>247.34</v>
      </c>
      <c r="AI368" s="1">
        <f>IFERROR(__xludf.DUMMYFUNCTION("""COMPUTED_VALUE"""),407.46)</f>
        <v>407.46</v>
      </c>
      <c r="AJ368" s="1">
        <f>IFERROR(__xludf.DUMMYFUNCTION("""COMPUTED_VALUE"""),353.77)</f>
        <v>353.77</v>
      </c>
      <c r="AK368" s="1">
        <f>IFERROR(__xludf.DUMMYFUNCTION("""COMPUTED_VALUE"""),69.38)</f>
        <v>69.38</v>
      </c>
      <c r="AL368" s="1">
        <f>IFERROR(__xludf.DUMMYFUNCTION("""COMPUTED_VALUE"""),120.47)</f>
        <v>120.47</v>
      </c>
      <c r="AM368" s="1">
        <f>IFERROR(__xludf.DUMMYFUNCTION("""COMPUTED_VALUE"""),789.99)</f>
        <v>789.99</v>
      </c>
      <c r="AN368" s="1">
        <f>IFERROR(__xludf.DUMMYFUNCTION("""COMPUTED_VALUE"""),385.27)</f>
        <v>385.27</v>
      </c>
      <c r="AO368" s="1">
        <f>IFERROR(__xludf.DUMMYFUNCTION("""COMPUTED_VALUE"""),153.64)</f>
        <v>153.64</v>
      </c>
      <c r="AP368" s="1">
        <f>IFERROR(__xludf.DUMMYFUNCTION("""COMPUTED_VALUE"""),159.84)</f>
        <v>159.84</v>
      </c>
      <c r="AQ368" s="3">
        <f>IFERROR(__xludf.DUMMYFUNCTION("""COMPUTED_VALUE"""),551.25)</f>
        <v>551.25</v>
      </c>
      <c r="AR368" s="3">
        <f>IFERROR(__xludf.DUMMYFUNCTION("""COMPUTED_VALUE"""),304.15)</f>
        <v>304.15</v>
      </c>
      <c r="AS368" s="3">
        <f>IFERROR(__xludf.DUMMYFUNCTION("""COMPUTED_VALUE"""),486.91)</f>
        <v>486.91</v>
      </c>
      <c r="AT368" s="3">
        <f>IFERROR(__xludf.DUMMYFUNCTION("""COMPUTED_VALUE"""),181.39)</f>
        <v>181.39</v>
      </c>
      <c r="AU368" s="1">
        <f>IFERROR(__xludf.DUMMYFUNCTION("""COMPUTED_VALUE"""),32.89)</f>
        <v>32.89</v>
      </c>
      <c r="AV368" s="1">
        <f>IFERROR(__xludf.DUMMYFUNCTION("""COMPUTED_VALUE"""),94.13)</f>
        <v>94.13</v>
      </c>
      <c r="AW368" s="1">
        <f>IFERROR(__xludf.DUMMYFUNCTION("""COMPUTED_VALUE"""),78.87)</f>
        <v>78.87</v>
      </c>
      <c r="AX368" s="3">
        <f>IFERROR(__xludf.DUMMYFUNCTION("""COMPUTED_VALUE"""),65.57)</f>
        <v>65.57</v>
      </c>
      <c r="AY368" s="1">
        <f>IFERROR(__xludf.DUMMYFUNCTION("""COMPUTED_VALUE"""),531.52)</f>
        <v>531.52</v>
      </c>
      <c r="AZ368" s="3">
        <f>IFERROR(__xludf.DUMMYFUNCTION("""COMPUTED_VALUE"""),86.03)</f>
        <v>86.03</v>
      </c>
      <c r="BA368" s="3">
        <f>IFERROR(__xludf.DUMMYFUNCTION("""COMPUTED_VALUE"""),172.59)</f>
        <v>172.59</v>
      </c>
      <c r="BB368" s="3">
        <f>IFERROR(__xludf.DUMMYFUNCTION("""COMPUTED_VALUE"""),191.49)</f>
        <v>191.49</v>
      </c>
      <c r="BC368" s="1">
        <f>IFERROR(__xludf.DUMMYFUNCTION("""COMPUTED_VALUE"""),92.05)</f>
        <v>92.05</v>
      </c>
      <c r="BD368" s="1">
        <f>IFERROR(__xludf.DUMMYFUNCTION("""COMPUTED_VALUE"""),42.21)</f>
        <v>42.21</v>
      </c>
      <c r="BE368" s="3">
        <f>IFERROR(__xludf.DUMMYFUNCTION("""COMPUTED_VALUE"""),189.18)</f>
        <v>189.18</v>
      </c>
      <c r="BF368" s="1">
        <f>IFERROR(__xludf.DUMMYFUNCTION("""COMPUTED_VALUE"""),70.25)</f>
        <v>70.25</v>
      </c>
      <c r="BG368" s="1">
        <f>IFERROR(__xludf.DUMMYFUNCTION("""COMPUTED_VALUE"""),24.77)</f>
        <v>24.77</v>
      </c>
      <c r="BH368" s="1">
        <f>IFERROR(__xludf.DUMMYFUNCTION("""COMPUTED_VALUE"""),179.24)</f>
        <v>179.24</v>
      </c>
      <c r="BI368" s="3">
        <f>IFERROR(__xludf.DUMMYFUNCTION("""COMPUTED_VALUE"""),57.99)</f>
        <v>57.99</v>
      </c>
      <c r="BJ368" s="1">
        <f>IFERROR(__xludf.DUMMYFUNCTION("""COMPUTED_VALUE"""),220.68)</f>
        <v>220.68</v>
      </c>
      <c r="BK368" s="1">
        <f>IFERROR(__xludf.DUMMYFUNCTION("""COMPUTED_VALUE"""),563.78)</f>
        <v>563.78</v>
      </c>
      <c r="BL368" s="1">
        <f>IFERROR(__xludf.DUMMYFUNCTION("""COMPUTED_VALUE"""),209.22)</f>
        <v>209.22</v>
      </c>
      <c r="BM368" s="1">
        <f>IFERROR(__xludf.DUMMYFUNCTION("""COMPUTED_VALUE"""),132.45)</f>
        <v>132.45</v>
      </c>
      <c r="BN368" s="3">
        <f>IFERROR(__xludf.DUMMYFUNCTION("""COMPUTED_VALUE"""),4.85)</f>
        <v>4.85</v>
      </c>
      <c r="BO368" s="1">
        <f>IFERROR(__xludf.DUMMYFUNCTION("""COMPUTED_VALUE"""),218.23)</f>
        <v>218.23</v>
      </c>
      <c r="BP368" s="1">
        <f>IFERROR(__xludf.DUMMYFUNCTION("""COMPUTED_VALUE"""),365.98)</f>
        <v>365.98</v>
      </c>
      <c r="BQ368" s="36">
        <f>IFERROR(__xludf.DUMMYFUNCTION("""COMPUTED_VALUE"""),50.14)</f>
        <v>50.14</v>
      </c>
      <c r="BR368" s="1">
        <f>IFERROR(__xludf.DUMMYFUNCTION("""COMPUTED_VALUE"""),10.42)</f>
        <v>10.42</v>
      </c>
      <c r="BS368" s="3">
        <f>IFERROR(__xludf.DUMMYFUNCTION("""COMPUTED_VALUE"""),213.77)</f>
        <v>213.77</v>
      </c>
      <c r="BT368" s="1">
        <f>IFERROR(__xludf.DUMMYFUNCTION("""COMPUTED_VALUE"""),112.34)</f>
        <v>112.34</v>
      </c>
      <c r="BU368" s="3">
        <v>1.0</v>
      </c>
    </row>
    <row r="369">
      <c r="A369" s="25">
        <f>IFERROR(__xludf.DUMMYFUNCTION("""COMPUTED_VALUE"""),45958.66666666667)</f>
        <v>45958.66667</v>
      </c>
      <c r="B369" s="29">
        <f>'Master Scratch Work'!B368</f>
        <v>1551349.35</v>
      </c>
      <c r="C369" s="15">
        <f>IFERROR(__xludf.DUMMYFUNCTION("""COMPUTED_VALUE"""),6890.89)</f>
        <v>6890.89</v>
      </c>
      <c r="D369" s="15">
        <f>IFERROR(__xludf.DUMMYFUNCTION("""COMPUTED_VALUE"""),23827.49)</f>
        <v>23827.49</v>
      </c>
      <c r="E369" s="15">
        <f>IFERROR(__xludf.DUMMYFUNCTION("""COMPUTED_VALUE"""),47706.37)</f>
        <v>47706.37</v>
      </c>
      <c r="F369" s="15">
        <f>IFERROR(__xludf.DUMMYFUNCTION("""COMPUTED_VALUE"""),2506.65)</f>
        <v>2506.65</v>
      </c>
      <c r="G369" s="3">
        <f>IFERROR(__xludf.DUMMYFUNCTION("""COMPUTED_VALUE"""),687.06)</f>
        <v>687.06</v>
      </c>
      <c r="H369" s="3">
        <f>IFERROR(__xludf.DUMMYFUNCTION("""COMPUTED_VALUE"""),632.92)</f>
        <v>632.92</v>
      </c>
      <c r="I369" s="3">
        <f>IFERROR(__xludf.DUMMYFUNCTION("""COMPUTED_VALUE"""),359.91)</f>
        <v>359.91</v>
      </c>
      <c r="J369" s="3">
        <f>IFERROR(__xludf.DUMMYFUNCTION("""COMPUTED_VALUE"""),229.25)</f>
        <v>229.25</v>
      </c>
      <c r="K369" s="3">
        <f>IFERROR(__xludf.DUMMYFUNCTION("""COMPUTED_VALUE"""),134.81)</f>
        <v>134.81</v>
      </c>
      <c r="L369" s="3">
        <f>IFERROR(__xludf.DUMMYFUNCTION("""COMPUTED_VALUE"""),269.0)</f>
        <v>269</v>
      </c>
      <c r="M369" s="3">
        <f>IFERROR(__xludf.DUMMYFUNCTION("""COMPUTED_VALUE"""),227.64)</f>
        <v>227.64</v>
      </c>
      <c r="N369" s="3">
        <f>IFERROR(__xludf.DUMMYFUNCTION("""COMPUTED_VALUE"""),108.45)</f>
        <v>108.45</v>
      </c>
      <c r="O369" s="3">
        <f>IFERROR(__xludf.DUMMYFUNCTION("""COMPUTED_VALUE"""),21.57)</f>
        <v>21.57</v>
      </c>
      <c r="P369" s="3">
        <f>IFERROR(__xludf.DUMMYFUNCTION("""COMPUTED_VALUE"""),481.44)</f>
        <v>481.44</v>
      </c>
      <c r="Q369" s="3">
        <f>IFERROR(__xludf.DUMMYFUNCTION("""COMPUTED_VALUE"""),57.13)</f>
        <v>57.13</v>
      </c>
      <c r="R369" s="3">
        <f>IFERROR(__xludf.DUMMYFUNCTION("""COMPUTED_VALUE"""),149.13)</f>
        <v>149.13</v>
      </c>
      <c r="S369" s="3">
        <f>IFERROR(__xludf.DUMMYFUNCTION("""COMPUTED_VALUE"""),100.97)</f>
        <v>100.97</v>
      </c>
      <c r="T369" s="3">
        <f>IFERROR(__xludf.DUMMYFUNCTION("""COMPUTED_VALUE"""),58.74)</f>
        <v>58.74</v>
      </c>
      <c r="U369" s="3">
        <f>IFERROR(__xludf.DUMMYFUNCTION("""COMPUTED_VALUE"""),524.47)</f>
        <v>524.47</v>
      </c>
      <c r="V369" s="3">
        <f>IFERROR(__xludf.DUMMYFUNCTION("""COMPUTED_VALUE"""),106.91)</f>
        <v>106.91</v>
      </c>
      <c r="W369" s="3">
        <f>IFERROR(__xludf.DUMMYFUNCTION("""COMPUTED_VALUE"""),203.56)</f>
        <v>203.56</v>
      </c>
      <c r="X369" s="3">
        <f>IFERROR(__xludf.DUMMYFUNCTION("""COMPUTED_VALUE"""),154.13)</f>
        <v>154.13</v>
      </c>
      <c r="Y369" s="1">
        <f>IFERROR(__xludf.DUMMYFUNCTION("""COMPUTED_VALUE"""),308.41)</f>
        <v>308.41</v>
      </c>
      <c r="Z369" s="1">
        <f>IFERROR(__xludf.DUMMYFUNCTION("""COMPUTED_VALUE"""),51.33)</f>
        <v>51.33</v>
      </c>
      <c r="AA369" s="1">
        <f>IFERROR(__xludf.DUMMYFUNCTION("""COMPUTED_VALUE"""),70.16)</f>
        <v>70.16</v>
      </c>
      <c r="AB369" s="1">
        <f>IFERROR(__xludf.DUMMYFUNCTION("""COMPUTED_VALUE"""),98.55)</f>
        <v>98.55</v>
      </c>
      <c r="AC369" s="1">
        <f>IFERROR(__xludf.DUMMYFUNCTION("""COMPUTED_VALUE"""),174.06)</f>
        <v>174.06</v>
      </c>
      <c r="AD369" s="3">
        <f>IFERROR(__xludf.DUMMYFUNCTION("""COMPUTED_VALUE"""),102.7)</f>
        <v>102.7</v>
      </c>
      <c r="AE369" s="1">
        <f>IFERROR(__xludf.DUMMYFUNCTION("""COMPUTED_VALUE"""),410.97)</f>
        <v>410.97</v>
      </c>
      <c r="AF369" s="1">
        <f>IFERROR(__xludf.DUMMYFUNCTION("""COMPUTED_VALUE"""),99.58)</f>
        <v>99.58</v>
      </c>
      <c r="AG369" s="1">
        <f>IFERROR(__xludf.DUMMYFUNCTION("""COMPUTED_VALUE"""),115.03)</f>
        <v>115.03</v>
      </c>
      <c r="AH369" s="1">
        <f>IFERROR(__xludf.DUMMYFUNCTION("""COMPUTED_VALUE"""),249.55)</f>
        <v>249.55</v>
      </c>
      <c r="AI369" s="1">
        <f>IFERROR(__xludf.DUMMYFUNCTION("""COMPUTED_VALUE"""),402.27)</f>
        <v>402.27</v>
      </c>
      <c r="AJ369" s="1">
        <f>IFERROR(__xludf.DUMMYFUNCTION("""COMPUTED_VALUE"""),346.68)</f>
        <v>346.68</v>
      </c>
      <c r="AK369" s="1">
        <f>IFERROR(__xludf.DUMMYFUNCTION("""COMPUTED_VALUE"""),69.87)</f>
        <v>69.87</v>
      </c>
      <c r="AL369" s="1">
        <f>IFERROR(__xludf.DUMMYFUNCTION("""COMPUTED_VALUE"""),117.88)</f>
        <v>117.88</v>
      </c>
      <c r="AM369" s="1">
        <f>IFERROR(__xludf.DUMMYFUNCTION("""COMPUTED_VALUE"""),792.09)</f>
        <v>792.09</v>
      </c>
      <c r="AN369" s="1">
        <f>IFERROR(__xludf.DUMMYFUNCTION("""COMPUTED_VALUE"""),385.75)</f>
        <v>385.75</v>
      </c>
      <c r="AO369" s="1">
        <f>IFERROR(__xludf.DUMMYFUNCTION("""COMPUTED_VALUE"""),152.48)</f>
        <v>152.48</v>
      </c>
      <c r="AP369" s="1">
        <f>IFERROR(__xludf.DUMMYFUNCTION("""COMPUTED_VALUE"""),157.27)</f>
        <v>157.27</v>
      </c>
      <c r="AQ369" s="3">
        <f>IFERROR(__xludf.DUMMYFUNCTION("""COMPUTED_VALUE"""),545.39)</f>
        <v>545.39</v>
      </c>
      <c r="AR369" s="3">
        <f>IFERROR(__xludf.DUMMYFUNCTION("""COMPUTED_VALUE"""),305.36)</f>
        <v>305.36</v>
      </c>
      <c r="AS369" s="3">
        <f>IFERROR(__xludf.DUMMYFUNCTION("""COMPUTED_VALUE"""),485.77)</f>
        <v>485.77</v>
      </c>
      <c r="AT369" s="3">
        <f>IFERROR(__xludf.DUMMYFUNCTION("""COMPUTED_VALUE"""),179.98)</f>
        <v>179.98</v>
      </c>
      <c r="AU369" s="1">
        <f>IFERROR(__xludf.DUMMYFUNCTION("""COMPUTED_VALUE"""),32.84)</f>
        <v>32.84</v>
      </c>
      <c r="AV369" s="1">
        <f>IFERROR(__xludf.DUMMYFUNCTION("""COMPUTED_VALUE"""),93.23)</f>
        <v>93.23</v>
      </c>
      <c r="AW369" s="1">
        <f>IFERROR(__xludf.DUMMYFUNCTION("""COMPUTED_VALUE"""),78.75)</f>
        <v>78.75</v>
      </c>
      <c r="AX369" s="3">
        <f>IFERROR(__xludf.DUMMYFUNCTION("""COMPUTED_VALUE"""),64.94)</f>
        <v>64.94</v>
      </c>
      <c r="AY369" s="1">
        <f>IFERROR(__xludf.DUMMYFUNCTION("""COMPUTED_VALUE"""),542.07)</f>
        <v>542.07</v>
      </c>
      <c r="AZ369" s="3">
        <f>IFERROR(__xludf.DUMMYFUNCTION("""COMPUTED_VALUE"""),83.57)</f>
        <v>83.57</v>
      </c>
      <c r="BA369" s="3">
        <f>IFERROR(__xludf.DUMMYFUNCTION("""COMPUTED_VALUE"""),172.76)</f>
        <v>172.76</v>
      </c>
      <c r="BB369" s="3">
        <f>IFERROR(__xludf.DUMMYFUNCTION("""COMPUTED_VALUE"""),201.03)</f>
        <v>201.03</v>
      </c>
      <c r="BC369" s="1">
        <f>IFERROR(__xludf.DUMMYFUNCTION("""COMPUTED_VALUE"""),91.3)</f>
        <v>91.3</v>
      </c>
      <c r="BD369" s="1">
        <f>IFERROR(__xludf.DUMMYFUNCTION("""COMPUTED_VALUE"""),41.17)</f>
        <v>41.17</v>
      </c>
      <c r="BE369" s="3">
        <f>IFERROR(__xludf.DUMMYFUNCTION("""COMPUTED_VALUE"""),189.6)</f>
        <v>189.6</v>
      </c>
      <c r="BF369" s="1">
        <f>IFERROR(__xludf.DUMMYFUNCTION("""COMPUTED_VALUE"""),73.02)</f>
        <v>73.02</v>
      </c>
      <c r="BG369" s="1">
        <f>IFERROR(__xludf.DUMMYFUNCTION("""COMPUTED_VALUE"""),24.5)</f>
        <v>24.5</v>
      </c>
      <c r="BH369" s="1">
        <f>IFERROR(__xludf.DUMMYFUNCTION("""COMPUTED_VALUE"""),178.67)</f>
        <v>178.67</v>
      </c>
      <c r="BI369" s="3">
        <f>IFERROR(__xludf.DUMMYFUNCTION("""COMPUTED_VALUE"""),58.17)</f>
        <v>58.17</v>
      </c>
      <c r="BJ369" s="1">
        <f>IFERROR(__xludf.DUMMYFUNCTION("""COMPUTED_VALUE"""),219.99)</f>
        <v>219.99</v>
      </c>
      <c r="BK369" s="1">
        <f>IFERROR(__xludf.DUMMYFUNCTION("""COMPUTED_VALUE"""),557.63)</f>
        <v>557.63</v>
      </c>
      <c r="BL369" s="1">
        <f>IFERROR(__xludf.DUMMYFUNCTION("""COMPUTED_VALUE"""),211.24)</f>
        <v>211.24</v>
      </c>
      <c r="BM369" s="1">
        <f>IFERROR(__xludf.DUMMYFUNCTION("""COMPUTED_VALUE"""),129.71)</f>
        <v>129.71</v>
      </c>
      <c r="BN369" s="3">
        <f>IFERROR(__xludf.DUMMYFUNCTION("""COMPUTED_VALUE"""),4.72)</f>
        <v>4.72</v>
      </c>
      <c r="BO369" s="1">
        <f>IFERROR(__xludf.DUMMYFUNCTION("""COMPUTED_VALUE"""),217.59)</f>
        <v>217.59</v>
      </c>
      <c r="BP369" s="1">
        <f>IFERROR(__xludf.DUMMYFUNCTION("""COMPUTED_VALUE"""),367.84)</f>
        <v>367.84</v>
      </c>
      <c r="BQ369" s="36">
        <f>IFERROR(__xludf.DUMMYFUNCTION("""COMPUTED_VALUE"""),50.12)</f>
        <v>50.12</v>
      </c>
      <c r="BR369" s="1">
        <f>IFERROR(__xludf.DUMMYFUNCTION("""COMPUTED_VALUE"""),10.29)</f>
        <v>10.29</v>
      </c>
      <c r="BS369" s="3">
        <f>IFERROR(__xludf.DUMMYFUNCTION("""COMPUTED_VALUE"""),204.23)</f>
        <v>204.23</v>
      </c>
      <c r="BT369" s="1">
        <f>IFERROR(__xludf.DUMMYFUNCTION("""COMPUTED_VALUE"""),111.65)</f>
        <v>111.65</v>
      </c>
      <c r="BU369" s="3">
        <v>1.0</v>
      </c>
    </row>
    <row r="370">
      <c r="A370" s="25">
        <f>IFERROR(__xludf.DUMMYFUNCTION("""COMPUTED_VALUE"""),45959.66666666667)</f>
        <v>45959.66667</v>
      </c>
      <c r="B370" s="29">
        <f>'Master Scratch Work'!B369</f>
        <v>1556019.96</v>
      </c>
      <c r="C370" s="15">
        <f>IFERROR(__xludf.DUMMYFUNCTION("""COMPUTED_VALUE"""),6890.59)</f>
        <v>6890.59</v>
      </c>
      <c r="D370" s="15">
        <f>IFERROR(__xludf.DUMMYFUNCTION("""COMPUTED_VALUE"""),23958.47)</f>
        <v>23958.47</v>
      </c>
      <c r="E370" s="15">
        <f>IFERROR(__xludf.DUMMYFUNCTION("""COMPUTED_VALUE"""),47632.0)</f>
        <v>47632</v>
      </c>
      <c r="F370" s="15">
        <f>IFERROR(__xludf.DUMMYFUNCTION("""COMPUTED_VALUE"""),2484.81)</f>
        <v>2484.81</v>
      </c>
      <c r="G370" s="3">
        <f>IFERROR(__xludf.DUMMYFUNCTION("""COMPUTED_VALUE"""),687.39)</f>
        <v>687.39</v>
      </c>
      <c r="H370" s="3">
        <f>IFERROR(__xludf.DUMMYFUNCTION("""COMPUTED_VALUE"""),635.77)</f>
        <v>635.77</v>
      </c>
      <c r="I370" s="3">
        <f>IFERROR(__xludf.DUMMYFUNCTION("""COMPUTED_VALUE"""),337.86)</f>
        <v>337.86</v>
      </c>
      <c r="J370" s="3">
        <f>IFERROR(__xludf.DUMMYFUNCTION("""COMPUTED_VALUE"""),230.3)</f>
        <v>230.3</v>
      </c>
      <c r="K370" s="3">
        <f>IFERROR(__xludf.DUMMYFUNCTION("""COMPUTED_VALUE"""),130.06)</f>
        <v>130.06</v>
      </c>
      <c r="L370" s="3">
        <f>IFERROR(__xludf.DUMMYFUNCTION("""COMPUTED_VALUE"""),269.7)</f>
        <v>269.7</v>
      </c>
      <c r="M370" s="3">
        <f>IFERROR(__xludf.DUMMYFUNCTION("""COMPUTED_VALUE"""),235.75)</f>
        <v>235.75</v>
      </c>
      <c r="N370" s="3">
        <f>IFERROR(__xludf.DUMMYFUNCTION("""COMPUTED_VALUE"""),107.05)</f>
        <v>107.05</v>
      </c>
      <c r="O370" s="3">
        <f>IFERROR(__xludf.DUMMYFUNCTION("""COMPUTED_VALUE"""),21.36)</f>
        <v>21.36</v>
      </c>
      <c r="P370" s="3">
        <f>IFERROR(__xludf.DUMMYFUNCTION("""COMPUTED_VALUE"""),475.76)</f>
        <v>475.76</v>
      </c>
      <c r="Q370" s="3">
        <f>IFERROR(__xludf.DUMMYFUNCTION("""COMPUTED_VALUE"""),57.96)</f>
        <v>57.96</v>
      </c>
      <c r="R370" s="3">
        <f>IFERROR(__xludf.DUMMYFUNCTION("""COMPUTED_VALUE"""),147.86)</f>
        <v>147.86</v>
      </c>
      <c r="S370" s="3">
        <f>IFERROR(__xludf.DUMMYFUNCTION("""COMPUTED_VALUE"""),100.3)</f>
        <v>100.3</v>
      </c>
      <c r="T370" s="3">
        <f>IFERROR(__xludf.DUMMYFUNCTION("""COMPUTED_VALUE"""),60.75)</f>
        <v>60.75</v>
      </c>
      <c r="U370" s="3">
        <f>IFERROR(__xludf.DUMMYFUNCTION("""COMPUTED_VALUE"""),585.49)</f>
        <v>585.49</v>
      </c>
      <c r="V370" s="3">
        <f>IFERROR(__xludf.DUMMYFUNCTION("""COMPUTED_VALUE"""),106.67)</f>
        <v>106.67</v>
      </c>
      <c r="W370" s="3">
        <f>IFERROR(__xludf.DUMMYFUNCTION("""COMPUTED_VALUE"""),197.28)</f>
        <v>197.28</v>
      </c>
      <c r="X370" s="3">
        <f>IFERROR(__xludf.DUMMYFUNCTION("""COMPUTED_VALUE"""),155.1)</f>
        <v>155.1</v>
      </c>
      <c r="Y370" s="1">
        <f>IFERROR(__xludf.DUMMYFUNCTION("""COMPUTED_VALUE"""),299.12)</f>
        <v>299.12</v>
      </c>
      <c r="Z370" s="1">
        <f>IFERROR(__xludf.DUMMYFUNCTION("""COMPUTED_VALUE"""),50.43)</f>
        <v>50.43</v>
      </c>
      <c r="AA370" s="1">
        <f>IFERROR(__xludf.DUMMYFUNCTION("""COMPUTED_VALUE"""),68.35)</f>
        <v>68.35</v>
      </c>
      <c r="AB370" s="1">
        <f>IFERROR(__xludf.DUMMYFUNCTION("""COMPUTED_VALUE"""),97.0)</f>
        <v>97</v>
      </c>
      <c r="AC370" s="1">
        <f>IFERROR(__xludf.DUMMYFUNCTION("""COMPUTED_VALUE"""),167.14)</f>
        <v>167.14</v>
      </c>
      <c r="AD370" s="3">
        <f>IFERROR(__xludf.DUMMYFUNCTION("""COMPUTED_VALUE"""),101.33)</f>
        <v>101.33</v>
      </c>
      <c r="AE370" s="1">
        <f>IFERROR(__xludf.DUMMYFUNCTION("""COMPUTED_VALUE"""),405.87)</f>
        <v>405.87</v>
      </c>
      <c r="AF370" s="1">
        <f>IFERROR(__xludf.DUMMYFUNCTION("""COMPUTED_VALUE"""),99.54)</f>
        <v>99.54</v>
      </c>
      <c r="AG370" s="1">
        <f>IFERROR(__xludf.DUMMYFUNCTION("""COMPUTED_VALUE"""),116.45)</f>
        <v>116.45</v>
      </c>
      <c r="AH370" s="1">
        <f>IFERROR(__xludf.DUMMYFUNCTION("""COMPUTED_VALUE"""),249.64)</f>
        <v>249.64</v>
      </c>
      <c r="AI370" s="1">
        <f>IFERROR(__xludf.DUMMYFUNCTION("""COMPUTED_VALUE"""),391.44)</f>
        <v>391.44</v>
      </c>
      <c r="AJ370" s="1">
        <f>IFERROR(__xludf.DUMMYFUNCTION("""COMPUTED_VALUE"""),343.48)</f>
        <v>343.48</v>
      </c>
      <c r="AK370" s="1">
        <f>IFERROR(__xludf.DUMMYFUNCTION("""COMPUTED_VALUE"""),69.13)</f>
        <v>69.13</v>
      </c>
      <c r="AL370" s="1">
        <f>IFERROR(__xludf.DUMMYFUNCTION("""COMPUTED_VALUE"""),118.5)</f>
        <v>118.5</v>
      </c>
      <c r="AM370" s="1">
        <f>IFERROR(__xludf.DUMMYFUNCTION("""COMPUTED_VALUE"""),783.06)</f>
        <v>783.06</v>
      </c>
      <c r="AN370" s="1">
        <f>IFERROR(__xludf.DUMMYFUNCTION("""COMPUTED_VALUE"""),378.04)</f>
        <v>378.04</v>
      </c>
      <c r="AO370" s="1">
        <f>IFERROR(__xludf.DUMMYFUNCTION("""COMPUTED_VALUE"""),169.61)</f>
        <v>169.61</v>
      </c>
      <c r="AP370" s="1">
        <f>IFERROR(__xludf.DUMMYFUNCTION("""COMPUTED_VALUE"""),150.62)</f>
        <v>150.62</v>
      </c>
      <c r="AQ370" s="3">
        <f>IFERROR(__xludf.DUMMYFUNCTION("""COMPUTED_VALUE"""),537.59)</f>
        <v>537.59</v>
      </c>
      <c r="AR370" s="3">
        <f>IFERROR(__xludf.DUMMYFUNCTION("""COMPUTED_VALUE"""),305.51)</f>
        <v>305.51</v>
      </c>
      <c r="AS370" s="3">
        <f>IFERROR(__xludf.DUMMYFUNCTION("""COMPUTED_VALUE"""),485.33)</f>
        <v>485.33</v>
      </c>
      <c r="AT370" s="3">
        <f>IFERROR(__xludf.DUMMYFUNCTION("""COMPUTED_VALUE"""),170.3)</f>
        <v>170.3</v>
      </c>
      <c r="AU370" s="1">
        <f>IFERROR(__xludf.DUMMYFUNCTION("""COMPUTED_VALUE"""),32.54)</f>
        <v>32.54</v>
      </c>
      <c r="AV370" s="1">
        <f>IFERROR(__xludf.DUMMYFUNCTION("""COMPUTED_VALUE"""),91.73)</f>
        <v>91.73</v>
      </c>
      <c r="AW370" s="1">
        <f>IFERROR(__xludf.DUMMYFUNCTION("""COMPUTED_VALUE"""),78.32)</f>
        <v>78.32</v>
      </c>
      <c r="AX370" s="3">
        <f>IFERROR(__xludf.DUMMYFUNCTION("""COMPUTED_VALUE"""),64.29)</f>
        <v>64.29</v>
      </c>
      <c r="AY370" s="1">
        <f>IFERROR(__xludf.DUMMYFUNCTION("""COMPUTED_VALUE"""),541.55)</f>
        <v>541.55</v>
      </c>
      <c r="AZ370" s="3">
        <f>IFERROR(__xludf.DUMMYFUNCTION("""COMPUTED_VALUE"""),81.76)</f>
        <v>81.76</v>
      </c>
      <c r="BA370" s="3">
        <f>IFERROR(__xludf.DUMMYFUNCTION("""COMPUTED_VALUE"""),178.5)</f>
        <v>178.5</v>
      </c>
      <c r="BB370" s="3">
        <f>IFERROR(__xludf.DUMMYFUNCTION("""COMPUTED_VALUE"""),207.04)</f>
        <v>207.04</v>
      </c>
      <c r="BC370" s="1">
        <f>IFERROR(__xludf.DUMMYFUNCTION("""COMPUTED_VALUE"""),93.38)</f>
        <v>93.38</v>
      </c>
      <c r="BD370" s="1">
        <f>IFERROR(__xludf.DUMMYFUNCTION("""COMPUTED_VALUE"""),39.29)</f>
        <v>39.29</v>
      </c>
      <c r="BE370" s="3">
        <f>IFERROR(__xludf.DUMMYFUNCTION("""COMPUTED_VALUE"""),198.81)</f>
        <v>198.81</v>
      </c>
      <c r="BF370" s="1">
        <f>IFERROR(__xludf.DUMMYFUNCTION("""COMPUTED_VALUE"""),69.68)</f>
        <v>69.68</v>
      </c>
      <c r="BG370" s="1">
        <f>IFERROR(__xludf.DUMMYFUNCTION("""COMPUTED_VALUE"""),24.29)</f>
        <v>24.29</v>
      </c>
      <c r="BH370" s="1">
        <f>IFERROR(__xludf.DUMMYFUNCTION("""COMPUTED_VALUE"""),176.36)</f>
        <v>176.36</v>
      </c>
      <c r="BI370" s="3">
        <f>IFERROR(__xludf.DUMMYFUNCTION("""COMPUTED_VALUE"""),58.02)</f>
        <v>58.02</v>
      </c>
      <c r="BJ370" s="1">
        <f>IFERROR(__xludf.DUMMYFUNCTION("""COMPUTED_VALUE"""),215.01)</f>
        <v>215.01</v>
      </c>
      <c r="BK370" s="1">
        <f>IFERROR(__xludf.DUMMYFUNCTION("""COMPUTED_VALUE"""),558.31)</f>
        <v>558.31</v>
      </c>
      <c r="BL370" s="1">
        <f>IFERROR(__xludf.DUMMYFUNCTION("""COMPUTED_VALUE"""),207.09)</f>
        <v>207.09</v>
      </c>
      <c r="BM370" s="1">
        <f>IFERROR(__xludf.DUMMYFUNCTION("""COMPUTED_VALUE"""),134.32)</f>
        <v>134.32</v>
      </c>
      <c r="BN370" s="3">
        <f>IFERROR(__xludf.DUMMYFUNCTION("""COMPUTED_VALUE"""),4.62)</f>
        <v>4.62</v>
      </c>
      <c r="BO370" s="1">
        <f>IFERROR(__xludf.DUMMYFUNCTION("""COMPUTED_VALUE"""),216.37)</f>
        <v>216.37</v>
      </c>
      <c r="BP370" s="1">
        <f>IFERROR(__xludf.DUMMYFUNCTION("""COMPUTED_VALUE"""),355.26)</f>
        <v>355.26</v>
      </c>
      <c r="BQ370" s="36">
        <f>IFERROR(__xludf.DUMMYFUNCTION("""COMPUTED_VALUE"""),49.98)</f>
        <v>49.98</v>
      </c>
      <c r="BR370" s="1">
        <f>IFERROR(__xludf.DUMMYFUNCTION("""COMPUTED_VALUE"""),10.27)</f>
        <v>10.27</v>
      </c>
      <c r="BS370" s="3">
        <f>IFERROR(__xludf.DUMMYFUNCTION("""COMPUTED_VALUE"""),197.53)</f>
        <v>197.53</v>
      </c>
      <c r="BT370" s="1">
        <f>IFERROR(__xludf.DUMMYFUNCTION("""COMPUTED_VALUE"""),110.24)</f>
        <v>110.24</v>
      </c>
      <c r="BU370" s="3">
        <v>1.0</v>
      </c>
    </row>
    <row r="371">
      <c r="A371" s="25">
        <f>IFERROR(__xludf.DUMMYFUNCTION("""COMPUTED_VALUE"""),45960.66666666667)</f>
        <v>45960.66667</v>
      </c>
      <c r="B371" s="29">
        <f>'Master Scratch Work'!B370</f>
        <v>1557869.97</v>
      </c>
      <c r="C371" s="31">
        <f>IFERROR(__xludf.DUMMYFUNCTION("""COMPUTED_VALUE"""),6822.34)</f>
        <v>6822.34</v>
      </c>
      <c r="D371" s="31">
        <f>IFERROR(__xludf.DUMMYFUNCTION("""COMPUTED_VALUE"""),23581.14)</f>
        <v>23581.14</v>
      </c>
      <c r="E371" s="31">
        <f>IFERROR(__xludf.DUMMYFUNCTION("""COMPUTED_VALUE"""),47522.12)</f>
        <v>47522.12</v>
      </c>
      <c r="F371" s="31">
        <f>IFERROR(__xludf.DUMMYFUNCTION("""COMPUTED_VALUE"""),2465.95)</f>
        <v>2465.95</v>
      </c>
      <c r="G371" s="1">
        <f>IFERROR(__xludf.DUMMYFUNCTION("""COMPUTED_VALUE"""),679.83)</f>
        <v>679.83</v>
      </c>
      <c r="H371" s="1">
        <f>IFERROR(__xludf.DUMMYFUNCTION("""COMPUTED_VALUE"""),626.05)</f>
        <v>626.05</v>
      </c>
      <c r="I371" s="1">
        <f>IFERROR(__xludf.DUMMYFUNCTION("""COMPUTED_VALUE"""),339.24)</f>
        <v>339.24</v>
      </c>
      <c r="J371" s="1">
        <f>IFERROR(__xludf.DUMMYFUNCTION("""COMPUTED_VALUE"""),222.86)</f>
        <v>222.86</v>
      </c>
      <c r="K371" s="1">
        <f>IFERROR(__xludf.DUMMYFUNCTION("""COMPUTED_VALUE"""),126.7)</f>
        <v>126.7</v>
      </c>
      <c r="L371" s="1">
        <f>IFERROR(__xludf.DUMMYFUNCTION("""COMPUTED_VALUE"""),271.4)</f>
        <v>271.4</v>
      </c>
      <c r="M371" s="1">
        <f>IFERROR(__xludf.DUMMYFUNCTION("""COMPUTED_VALUE"""),232.55)</f>
        <v>232.55</v>
      </c>
      <c r="N371" s="1">
        <f>IFERROR(__xludf.DUMMYFUNCTION("""COMPUTED_VALUE"""),107.92)</f>
        <v>107.92</v>
      </c>
      <c r="O371" s="1">
        <f>IFERROR(__xludf.DUMMYFUNCTION("""COMPUTED_VALUE"""),21.34)</f>
        <v>21.34</v>
      </c>
      <c r="P371" s="1">
        <f>IFERROR(__xludf.DUMMYFUNCTION("""COMPUTED_VALUE"""),478.52)</f>
        <v>478.52</v>
      </c>
      <c r="Q371" s="1">
        <f>IFERROR(__xludf.DUMMYFUNCTION("""COMPUTED_VALUE"""),57.24)</f>
        <v>57.24</v>
      </c>
      <c r="R371" s="1">
        <f>IFERROR(__xludf.DUMMYFUNCTION("""COMPUTED_VALUE"""),149.61)</f>
        <v>149.61</v>
      </c>
      <c r="S371" s="1">
        <f>IFERROR(__xludf.DUMMYFUNCTION("""COMPUTED_VALUE"""),100.57)</f>
        <v>100.57</v>
      </c>
      <c r="T371" s="1">
        <f>IFERROR(__xludf.DUMMYFUNCTION("""COMPUTED_VALUE"""),58.85)</f>
        <v>58.85</v>
      </c>
      <c r="U371" s="1">
        <f>IFERROR(__xludf.DUMMYFUNCTION("""COMPUTED_VALUE"""),583.15)</f>
        <v>583.15</v>
      </c>
      <c r="V371" s="1">
        <f>IFERROR(__xludf.DUMMYFUNCTION("""COMPUTED_VALUE"""),104.72)</f>
        <v>104.72</v>
      </c>
      <c r="W371" s="1">
        <f>IFERROR(__xludf.DUMMYFUNCTION("""COMPUTED_VALUE"""),199.48)</f>
        <v>199.48</v>
      </c>
      <c r="X371" s="1">
        <f>IFERROR(__xludf.DUMMYFUNCTION("""COMPUTED_VALUE"""),153.52)</f>
        <v>153.52</v>
      </c>
      <c r="Y371" s="1">
        <f>IFERROR(__xludf.DUMMYFUNCTION("""COMPUTED_VALUE"""),247.1)</f>
        <v>247.1</v>
      </c>
      <c r="Z371" s="1">
        <f>IFERROR(__xludf.DUMMYFUNCTION("""COMPUTED_VALUE"""),50.57)</f>
        <v>50.57</v>
      </c>
      <c r="AA371" s="1">
        <f>IFERROR(__xludf.DUMMYFUNCTION("""COMPUTED_VALUE"""),68.98)</f>
        <v>68.98</v>
      </c>
      <c r="AB371" s="1">
        <f>IFERROR(__xludf.DUMMYFUNCTION("""COMPUTED_VALUE"""),98.19)</f>
        <v>98.19</v>
      </c>
      <c r="AC371" s="1">
        <f>IFERROR(__xludf.DUMMYFUNCTION("""COMPUTED_VALUE"""),170.75)</f>
        <v>170.75</v>
      </c>
      <c r="AD371" s="1">
        <f>IFERROR(__xludf.DUMMYFUNCTION("""COMPUTED_VALUE"""),98.8)</f>
        <v>98.8</v>
      </c>
      <c r="AE371" s="1">
        <f>IFERROR(__xludf.DUMMYFUNCTION("""COMPUTED_VALUE"""),403.96)</f>
        <v>403.96</v>
      </c>
      <c r="AF371" s="1">
        <f>IFERROR(__xludf.DUMMYFUNCTION("""COMPUTED_VALUE"""),83.73)</f>
        <v>83.73</v>
      </c>
      <c r="AG371" s="1">
        <f>IFERROR(__xludf.DUMMYFUNCTION("""COMPUTED_VALUE"""),114.69)</f>
        <v>114.69</v>
      </c>
      <c r="AH371" s="1">
        <f>IFERROR(__xludf.DUMMYFUNCTION("""COMPUTED_VALUE"""),248.93)</f>
        <v>248.93</v>
      </c>
      <c r="AI371" s="1">
        <f>IFERROR(__xludf.DUMMYFUNCTION("""COMPUTED_VALUE"""),396.0)</f>
        <v>396</v>
      </c>
      <c r="AJ371" s="1">
        <f>IFERROR(__xludf.DUMMYFUNCTION("""COMPUTED_VALUE"""),344.66)</f>
        <v>344.66</v>
      </c>
      <c r="AK371" s="1">
        <f>IFERROR(__xludf.DUMMYFUNCTION("""COMPUTED_VALUE"""),68.67)</f>
        <v>68.67</v>
      </c>
      <c r="AL371" s="1">
        <f>IFERROR(__xludf.DUMMYFUNCTION("""COMPUTED_VALUE"""),118.44)</f>
        <v>118.44</v>
      </c>
      <c r="AM371" s="1">
        <f>IFERROR(__xludf.DUMMYFUNCTION("""COMPUTED_VALUE"""),790.16)</f>
        <v>790.16</v>
      </c>
      <c r="AN371" s="1">
        <f>IFERROR(__xludf.DUMMYFUNCTION("""COMPUTED_VALUE"""),379.55)</f>
        <v>379.55</v>
      </c>
      <c r="AO371" s="1">
        <f>IFERROR(__xludf.DUMMYFUNCTION("""COMPUTED_VALUE"""),165.4)</f>
        <v>165.4</v>
      </c>
      <c r="AP371" s="1">
        <f>IFERROR(__xludf.DUMMYFUNCTION("""COMPUTED_VALUE"""),148.52)</f>
        <v>148.52</v>
      </c>
      <c r="AQ371" s="1">
        <f>IFERROR(__xludf.DUMMYFUNCTION("""COMPUTED_VALUE"""),530.02)</f>
        <v>530.02</v>
      </c>
      <c r="AR371" s="1">
        <f>IFERROR(__xludf.DUMMYFUNCTION("""COMPUTED_VALUE"""),309.44)</f>
        <v>309.44</v>
      </c>
      <c r="AS371" s="1">
        <f>IFERROR(__xludf.DUMMYFUNCTION("""COMPUTED_VALUE"""),489.72)</f>
        <v>489.72</v>
      </c>
      <c r="AT371" s="1">
        <f>IFERROR(__xludf.DUMMYFUNCTION("""COMPUTED_VALUE"""),168.02)</f>
        <v>168.02</v>
      </c>
      <c r="AU371" s="1">
        <f>IFERROR(__xludf.DUMMYFUNCTION("""COMPUTED_VALUE"""),32.15)</f>
        <v>32.15</v>
      </c>
      <c r="AV371" s="1">
        <f>IFERROR(__xludf.DUMMYFUNCTION("""COMPUTED_VALUE"""),90.97)</f>
        <v>90.97</v>
      </c>
      <c r="AW371" s="1">
        <f>IFERROR(__xludf.DUMMYFUNCTION("""COMPUTED_VALUE"""),79.16)</f>
        <v>79.16</v>
      </c>
      <c r="AX371" s="1">
        <f>IFERROR(__xludf.DUMMYFUNCTION("""COMPUTED_VALUE"""),64.92)</f>
        <v>64.92</v>
      </c>
      <c r="AY371" s="1">
        <f>IFERROR(__xludf.DUMMYFUNCTION("""COMPUTED_VALUE"""),525.76)</f>
        <v>525.76</v>
      </c>
      <c r="AZ371" s="1">
        <f>IFERROR(__xludf.DUMMYFUNCTION("""COMPUTED_VALUE"""),81.64)</f>
        <v>81.64</v>
      </c>
      <c r="BA371" s="1">
        <f>IFERROR(__xludf.DUMMYFUNCTION("""COMPUTED_VALUE"""),173.14)</f>
        <v>173.14</v>
      </c>
      <c r="BB371" s="1">
        <f>IFERROR(__xludf.DUMMYFUNCTION("""COMPUTED_VALUE"""),202.89)</f>
        <v>202.89</v>
      </c>
      <c r="BC371" s="1">
        <f>IFERROR(__xludf.DUMMYFUNCTION("""COMPUTED_VALUE"""),92.49)</f>
        <v>92.49</v>
      </c>
      <c r="BD371" s="1">
        <f>IFERROR(__xludf.DUMMYFUNCTION("""COMPUTED_VALUE"""),37.23)</f>
        <v>37.23</v>
      </c>
      <c r="BE371" s="1">
        <f>IFERROR(__xludf.DUMMYFUNCTION("""COMPUTED_VALUE"""),194.55)</f>
        <v>194.55</v>
      </c>
      <c r="BF371" s="1">
        <f>IFERROR(__xludf.DUMMYFUNCTION("""COMPUTED_VALUE"""),67.93)</f>
        <v>67.93</v>
      </c>
      <c r="BG371" s="1">
        <f>IFERROR(__xludf.DUMMYFUNCTION("""COMPUTED_VALUE"""),24.29)</f>
        <v>24.29</v>
      </c>
      <c r="BH371" s="1">
        <f>IFERROR(__xludf.DUMMYFUNCTION("""COMPUTED_VALUE"""),177.42)</f>
        <v>177.42</v>
      </c>
      <c r="BI371" s="1">
        <f>IFERROR(__xludf.DUMMYFUNCTION("""COMPUTED_VALUE"""),58.87)</f>
        <v>58.87</v>
      </c>
      <c r="BJ371" s="1">
        <f>IFERROR(__xludf.DUMMYFUNCTION("""COMPUTED_VALUE"""),210.65)</f>
        <v>210.65</v>
      </c>
      <c r="BK371" s="1">
        <f>IFERROR(__xludf.DUMMYFUNCTION("""COMPUTED_VALUE"""),556.22)</f>
        <v>556.22</v>
      </c>
      <c r="BL371" s="1">
        <f>IFERROR(__xludf.DUMMYFUNCTION("""COMPUTED_VALUE"""),207.21)</f>
        <v>207.21</v>
      </c>
      <c r="BM371" s="1">
        <f>IFERROR(__xludf.DUMMYFUNCTION("""COMPUTED_VALUE"""),135.79)</f>
        <v>135.79</v>
      </c>
      <c r="BN371" s="1">
        <f>IFERROR(__xludf.DUMMYFUNCTION("""COMPUTED_VALUE"""),4.55)</f>
        <v>4.55</v>
      </c>
      <c r="BO371" s="1">
        <f>IFERROR(__xludf.DUMMYFUNCTION("""COMPUTED_VALUE"""),218.83)</f>
        <v>218.83</v>
      </c>
      <c r="BP371" s="1">
        <f>IFERROR(__xludf.DUMMYFUNCTION("""COMPUTED_VALUE"""),344.75)</f>
        <v>344.75</v>
      </c>
      <c r="BQ371" s="36">
        <f>IFERROR(__xludf.DUMMYFUNCTION("""COMPUTED_VALUE"""),49.98)</f>
        <v>49.98</v>
      </c>
      <c r="BR371" s="1">
        <f>IFERROR(__xludf.DUMMYFUNCTION("""COMPUTED_VALUE"""),10.36)</f>
        <v>10.36</v>
      </c>
      <c r="BS371" s="1">
        <f>IFERROR(__xludf.DUMMYFUNCTION("""COMPUTED_VALUE"""),200.57)</f>
        <v>200.57</v>
      </c>
      <c r="BT371" s="1">
        <f>IFERROR(__xludf.DUMMYFUNCTION("""COMPUTED_VALUE"""),111.84)</f>
        <v>111.84</v>
      </c>
      <c r="BU371" s="3">
        <v>1.0</v>
      </c>
    </row>
    <row r="372">
      <c r="A372" s="25">
        <f>IFERROR(__xludf.DUMMYFUNCTION("""COMPUTED_VALUE"""),45961.66666666667)</f>
        <v>45961.66667</v>
      </c>
      <c r="B372" s="29">
        <f>'Master Scratch Work'!B371</f>
        <v>1561699.46</v>
      </c>
      <c r="C372" s="31">
        <f>IFERROR(__xludf.DUMMYFUNCTION("""COMPUTED_VALUE"""),6840.2)</f>
        <v>6840.2</v>
      </c>
      <c r="D372" s="31">
        <f>IFERROR(__xludf.DUMMYFUNCTION("""COMPUTED_VALUE"""),23724.96)</f>
        <v>23724.96</v>
      </c>
      <c r="E372" s="31">
        <f>IFERROR(__xludf.DUMMYFUNCTION("""COMPUTED_VALUE"""),47562.87)</f>
        <v>47562.87</v>
      </c>
      <c r="F372" s="31">
        <f>IFERROR(__xludf.DUMMYFUNCTION("""COMPUTED_VALUE"""),2479.38)</f>
        <v>2479.38</v>
      </c>
      <c r="G372" s="1">
        <f>IFERROR(__xludf.DUMMYFUNCTION("""COMPUTED_VALUE"""),682.06)</f>
        <v>682.06</v>
      </c>
      <c r="H372" s="1">
        <f>IFERROR(__xludf.DUMMYFUNCTION("""COMPUTED_VALUE"""),629.07)</f>
        <v>629.07</v>
      </c>
      <c r="I372" s="1">
        <f>IFERROR(__xludf.DUMMYFUNCTION("""COMPUTED_VALUE"""),340.31)</f>
        <v>340.31</v>
      </c>
      <c r="J372" s="1">
        <f>IFERROR(__xludf.DUMMYFUNCTION("""COMPUTED_VALUE"""),244.22)</f>
        <v>244.22</v>
      </c>
      <c r="K372" s="1">
        <f>IFERROR(__xludf.DUMMYFUNCTION("""COMPUTED_VALUE"""),128.43)</f>
        <v>128.43</v>
      </c>
      <c r="L372" s="1">
        <f>IFERROR(__xludf.DUMMYFUNCTION("""COMPUTED_VALUE"""),270.37)</f>
        <v>270.37</v>
      </c>
      <c r="M372" s="1">
        <f>IFERROR(__xludf.DUMMYFUNCTION("""COMPUTED_VALUE"""),233.1)</f>
        <v>233.1</v>
      </c>
      <c r="N372" s="1">
        <f>IFERROR(__xludf.DUMMYFUNCTION("""COMPUTED_VALUE"""),107.93)</f>
        <v>107.93</v>
      </c>
      <c r="O372" s="1">
        <f>IFERROR(__xludf.DUMMYFUNCTION("""COMPUTED_VALUE"""),21.49)</f>
        <v>21.49</v>
      </c>
      <c r="P372" s="1">
        <f>IFERROR(__xludf.DUMMYFUNCTION("""COMPUTED_VALUE"""),477.54)</f>
        <v>477.54</v>
      </c>
      <c r="Q372" s="1">
        <f>IFERROR(__xludf.DUMMYFUNCTION("""COMPUTED_VALUE"""),57.05)</f>
        <v>57.05</v>
      </c>
      <c r="R372" s="1">
        <f>IFERROR(__xludf.DUMMYFUNCTION("""COMPUTED_VALUE"""),154.27)</f>
        <v>154.27</v>
      </c>
      <c r="S372" s="1">
        <f>IFERROR(__xludf.DUMMYFUNCTION("""COMPUTED_VALUE"""),100.72)</f>
        <v>100.72</v>
      </c>
      <c r="T372" s="1">
        <f>IFERROR(__xludf.DUMMYFUNCTION("""COMPUTED_VALUE"""),59.49)</f>
        <v>59.49</v>
      </c>
      <c r="U372" s="1">
        <f>IFERROR(__xludf.DUMMYFUNCTION("""COMPUTED_VALUE"""),577.26)</f>
        <v>577.26</v>
      </c>
      <c r="V372" s="1">
        <f>IFERROR(__xludf.DUMMYFUNCTION("""COMPUTED_VALUE"""),102.21)</f>
        <v>102.21</v>
      </c>
      <c r="W372" s="1">
        <f>IFERROR(__xludf.DUMMYFUNCTION("""COMPUTED_VALUE"""),195.68)</f>
        <v>195.68</v>
      </c>
      <c r="X372" s="1">
        <f>IFERROR(__xludf.DUMMYFUNCTION("""COMPUTED_VALUE"""),157.72)</f>
        <v>157.72</v>
      </c>
      <c r="Y372" s="1">
        <f>IFERROR(__xludf.DUMMYFUNCTION("""COMPUTED_VALUE"""),244.41)</f>
        <v>244.41</v>
      </c>
      <c r="Z372" s="1">
        <f>IFERROR(__xludf.DUMMYFUNCTION("""COMPUTED_VALUE"""),50.87)</f>
        <v>50.87</v>
      </c>
      <c r="AA372" s="1">
        <f>IFERROR(__xludf.DUMMYFUNCTION("""COMPUTED_VALUE"""),68.9)</f>
        <v>68.9</v>
      </c>
      <c r="AB372" s="1">
        <f>IFERROR(__xludf.DUMMYFUNCTION("""COMPUTED_VALUE"""),97.41)</f>
        <v>97.41</v>
      </c>
      <c r="AC372" s="1">
        <f>IFERROR(__xludf.DUMMYFUNCTION("""COMPUTED_VALUE"""),170.41)</f>
        <v>170.41</v>
      </c>
      <c r="AD372" s="1">
        <f>IFERROR(__xludf.DUMMYFUNCTION("""COMPUTED_VALUE"""),99.12)</f>
        <v>99.12</v>
      </c>
      <c r="AE372" s="1">
        <f>IFERROR(__xludf.DUMMYFUNCTION("""COMPUTED_VALUE"""),398.46)</f>
        <v>398.46</v>
      </c>
      <c r="AF372" s="1">
        <f>IFERROR(__xludf.DUMMYFUNCTION("""COMPUTED_VALUE"""),81.31)</f>
        <v>81.31</v>
      </c>
      <c r="AG372" s="1">
        <f>IFERROR(__xludf.DUMMYFUNCTION("""COMPUTED_VALUE"""),114.36)</f>
        <v>114.36</v>
      </c>
      <c r="AH372" s="1">
        <f>IFERROR(__xludf.DUMMYFUNCTION("""COMPUTED_VALUE"""),253.82)</f>
        <v>253.82</v>
      </c>
      <c r="AI372" s="1">
        <f>IFERROR(__xludf.DUMMYFUNCTION("""COMPUTED_VALUE"""),403.95)</f>
        <v>403.95</v>
      </c>
      <c r="AJ372" s="1">
        <f>IFERROR(__xludf.DUMMYFUNCTION("""COMPUTED_VALUE"""),344.9)</f>
        <v>344.9</v>
      </c>
      <c r="AK372" s="1">
        <f>IFERROR(__xludf.DUMMYFUNCTION("""COMPUTED_VALUE"""),69.09)</f>
        <v>69.09</v>
      </c>
      <c r="AL372" s="1">
        <f>IFERROR(__xludf.DUMMYFUNCTION("""COMPUTED_VALUE"""),119.79)</f>
        <v>119.79</v>
      </c>
      <c r="AM372" s="1">
        <f>IFERROR(__xludf.DUMMYFUNCTION("""COMPUTED_VALUE"""),789.37)</f>
        <v>789.37</v>
      </c>
      <c r="AN372" s="1">
        <f>IFERROR(__xludf.DUMMYFUNCTION("""COMPUTED_VALUE"""),379.59)</f>
        <v>379.59</v>
      </c>
      <c r="AO372" s="1">
        <f>IFERROR(__xludf.DUMMYFUNCTION("""COMPUTED_VALUE"""),164.44)</f>
        <v>164.44</v>
      </c>
      <c r="AP372" s="1">
        <f>IFERROR(__xludf.DUMMYFUNCTION("""COMPUTED_VALUE"""),146.29)</f>
        <v>146.29</v>
      </c>
      <c r="AQ372" s="1">
        <f>IFERROR(__xludf.DUMMYFUNCTION("""COMPUTED_VALUE"""),534.28)</f>
        <v>534.28</v>
      </c>
      <c r="AR372" s="1">
        <f>IFERROR(__xludf.DUMMYFUNCTION("""COMPUTED_VALUE"""),311.12)</f>
        <v>311.12</v>
      </c>
      <c r="AS372" s="1">
        <f>IFERROR(__xludf.DUMMYFUNCTION("""COMPUTED_VALUE"""),491.88)</f>
        <v>491.88</v>
      </c>
      <c r="AT372" s="1">
        <f>IFERROR(__xludf.DUMMYFUNCTION("""COMPUTED_VALUE"""),170.54)</f>
        <v>170.54</v>
      </c>
      <c r="AU372" s="1">
        <f>IFERROR(__xludf.DUMMYFUNCTION("""COMPUTED_VALUE"""),32.37)</f>
        <v>32.37</v>
      </c>
      <c r="AV372" s="1">
        <f>IFERROR(__xludf.DUMMYFUNCTION("""COMPUTED_VALUE"""),90.7)</f>
        <v>90.7</v>
      </c>
      <c r="AW372" s="1">
        <f>IFERROR(__xludf.DUMMYFUNCTION("""COMPUTED_VALUE"""),79.82)</f>
        <v>79.82</v>
      </c>
      <c r="AX372" s="1">
        <f>IFERROR(__xludf.DUMMYFUNCTION("""COMPUTED_VALUE"""),63.09)</f>
        <v>63.09</v>
      </c>
      <c r="AY372" s="1">
        <f>IFERROR(__xludf.DUMMYFUNCTION("""COMPUTED_VALUE"""),517.81)</f>
        <v>517.81</v>
      </c>
      <c r="AZ372" s="1">
        <f>IFERROR(__xludf.DUMMYFUNCTION("""COMPUTED_VALUE"""),81.4)</f>
        <v>81.4</v>
      </c>
      <c r="BA372" s="1">
        <f>IFERROR(__xludf.DUMMYFUNCTION("""COMPUTED_VALUE"""),171.86)</f>
        <v>171.86</v>
      </c>
      <c r="BB372" s="1">
        <f>IFERROR(__xludf.DUMMYFUNCTION("""COMPUTED_VALUE"""),202.49)</f>
        <v>202.49</v>
      </c>
      <c r="BC372" s="1">
        <f>IFERROR(__xludf.DUMMYFUNCTION("""COMPUTED_VALUE"""),92.76)</f>
        <v>92.76</v>
      </c>
      <c r="BD372" s="1">
        <f>IFERROR(__xludf.DUMMYFUNCTION("""COMPUTED_VALUE"""),37.15)</f>
        <v>37.15</v>
      </c>
      <c r="BE372" s="1">
        <f>IFERROR(__xludf.DUMMYFUNCTION("""COMPUTED_VALUE"""),200.47)</f>
        <v>200.47</v>
      </c>
      <c r="BF372" s="1">
        <f>IFERROR(__xludf.DUMMYFUNCTION("""COMPUTED_VALUE"""),69.27)</f>
        <v>69.27</v>
      </c>
      <c r="BG372" s="1">
        <f>IFERROR(__xludf.DUMMYFUNCTION("""COMPUTED_VALUE"""),24.65)</f>
        <v>24.65</v>
      </c>
      <c r="BH372" s="1">
        <f>IFERROR(__xludf.DUMMYFUNCTION("""COMPUTED_VALUE"""),178.5)</f>
        <v>178.5</v>
      </c>
      <c r="BI372" s="1">
        <f>IFERROR(__xludf.DUMMYFUNCTION("""COMPUTED_VALUE"""),58.84)</f>
        <v>58.84</v>
      </c>
      <c r="BJ372" s="1">
        <f>IFERROR(__xludf.DUMMYFUNCTION("""COMPUTED_VALUE"""),210.05)</f>
        <v>210.05</v>
      </c>
      <c r="BK372" s="1">
        <f>IFERROR(__xludf.DUMMYFUNCTION("""COMPUTED_VALUE"""),567.39)</f>
        <v>567.39</v>
      </c>
      <c r="BL372" s="1">
        <f>IFERROR(__xludf.DUMMYFUNCTION("""COMPUTED_VALUE"""),204.19)</f>
        <v>204.19</v>
      </c>
      <c r="BM372" s="1">
        <f>IFERROR(__xludf.DUMMYFUNCTION("""COMPUTED_VALUE"""),131.54)</f>
        <v>131.54</v>
      </c>
      <c r="BN372" s="1">
        <f>IFERROR(__xludf.DUMMYFUNCTION("""COMPUTED_VALUE"""),4.61)</f>
        <v>4.61</v>
      </c>
      <c r="BO372" s="1">
        <f>IFERROR(__xludf.DUMMYFUNCTION("""COMPUTED_VALUE"""),220.37)</f>
        <v>220.37</v>
      </c>
      <c r="BP372" s="1">
        <f>IFERROR(__xludf.DUMMYFUNCTION("""COMPUTED_VALUE"""),341.56)</f>
        <v>341.56</v>
      </c>
      <c r="BQ372" s="36">
        <f>IFERROR(__xludf.DUMMYFUNCTION("""COMPUTED_VALUE"""),50.04)</f>
        <v>50.04</v>
      </c>
      <c r="BR372" s="1">
        <f>IFERROR(__xludf.DUMMYFUNCTION("""COMPUTED_VALUE"""),10.36)</f>
        <v>10.36</v>
      </c>
      <c r="BS372" s="1">
        <f>IFERROR(__xludf.DUMMYFUNCTION("""COMPUTED_VALUE"""),199.77)</f>
        <v>199.77</v>
      </c>
      <c r="BT372" s="1">
        <f>IFERROR(__xludf.DUMMYFUNCTION("""COMPUTED_VALUE"""),112.62)</f>
        <v>112.62</v>
      </c>
      <c r="BU372" s="3">
        <v>1.0</v>
      </c>
    </row>
    <row r="373">
      <c r="A373" s="25">
        <f>IFERROR(__xludf.DUMMYFUNCTION("""COMPUTED_VALUE"""),45964.66666666667)</f>
        <v>45964.66667</v>
      </c>
      <c r="B373" s="29">
        <f>'Master Scratch Work'!B372</f>
        <v>1558253.69</v>
      </c>
      <c r="C373" s="31">
        <f>IFERROR(__xludf.DUMMYFUNCTION("""COMPUTED_VALUE"""),6851.97)</f>
        <v>6851.97</v>
      </c>
      <c r="D373" s="31">
        <f>IFERROR(__xludf.DUMMYFUNCTION("""COMPUTED_VALUE"""),23834.72)</f>
        <v>23834.72</v>
      </c>
      <c r="E373" s="31">
        <f>IFERROR(__xludf.DUMMYFUNCTION("""COMPUTED_VALUE"""),47336.68)</f>
        <v>47336.68</v>
      </c>
      <c r="F373" s="31">
        <f>IFERROR(__xludf.DUMMYFUNCTION("""COMPUTED_VALUE"""),2471.24)</f>
        <v>2471.24</v>
      </c>
      <c r="G373" s="1">
        <f>IFERROR(__xludf.DUMMYFUNCTION("""COMPUTED_VALUE"""),683.34)</f>
        <v>683.34</v>
      </c>
      <c r="H373" s="1">
        <f>IFERROR(__xludf.DUMMYFUNCTION("""COMPUTED_VALUE"""),632.08)</f>
        <v>632.08</v>
      </c>
      <c r="I373" s="1">
        <f>IFERROR(__xludf.DUMMYFUNCTION("""COMPUTED_VALUE"""),337.47)</f>
        <v>337.47</v>
      </c>
      <c r="J373" s="1">
        <f>IFERROR(__xludf.DUMMYFUNCTION("""COMPUTED_VALUE"""),254.0)</f>
        <v>254</v>
      </c>
      <c r="K373" s="1">
        <f>IFERROR(__xludf.DUMMYFUNCTION("""COMPUTED_VALUE"""),125.97)</f>
        <v>125.97</v>
      </c>
      <c r="L373" s="1">
        <f>IFERROR(__xludf.DUMMYFUNCTION("""COMPUTED_VALUE"""),269.05)</f>
        <v>269.05</v>
      </c>
      <c r="M373" s="1">
        <f>IFERROR(__xludf.DUMMYFUNCTION("""COMPUTED_VALUE"""),237.71)</f>
        <v>237.71</v>
      </c>
      <c r="N373" s="1">
        <f>IFERROR(__xludf.DUMMYFUNCTION("""COMPUTED_VALUE"""),108.06)</f>
        <v>108.06</v>
      </c>
      <c r="O373" s="1">
        <f>IFERROR(__xludf.DUMMYFUNCTION("""COMPUTED_VALUE"""),21.51)</f>
        <v>21.51</v>
      </c>
      <c r="P373" s="1">
        <f>IFERROR(__xludf.DUMMYFUNCTION("""COMPUTED_VALUE"""),475.68)</f>
        <v>475.68</v>
      </c>
      <c r="Q373" s="1">
        <f>IFERROR(__xludf.DUMMYFUNCTION("""COMPUTED_VALUE"""),56.15)</f>
        <v>56.15</v>
      </c>
      <c r="R373" s="1">
        <f>IFERROR(__xludf.DUMMYFUNCTION("""COMPUTED_VALUE"""),151.44)</f>
        <v>151.44</v>
      </c>
      <c r="S373" s="1">
        <f>IFERROR(__xludf.DUMMYFUNCTION("""COMPUTED_VALUE"""),98.59)</f>
        <v>98.59</v>
      </c>
      <c r="T373" s="1">
        <f>IFERROR(__xludf.DUMMYFUNCTION("""COMPUTED_VALUE"""),57.86)</f>
        <v>57.86</v>
      </c>
      <c r="U373" s="1">
        <f>IFERROR(__xludf.DUMMYFUNCTION("""COMPUTED_VALUE"""),570.59)</f>
        <v>570.59</v>
      </c>
      <c r="V373" s="1">
        <f>IFERROR(__xludf.DUMMYFUNCTION("""COMPUTED_VALUE"""),100.85)</f>
        <v>100.85</v>
      </c>
      <c r="W373" s="1">
        <f>IFERROR(__xludf.DUMMYFUNCTION("""COMPUTED_VALUE"""),194.59)</f>
        <v>194.59</v>
      </c>
      <c r="X373" s="1">
        <f>IFERROR(__xludf.DUMMYFUNCTION("""COMPUTED_VALUE"""),154.04)</f>
        <v>154.04</v>
      </c>
      <c r="Y373" s="1">
        <f>IFERROR(__xludf.DUMMYFUNCTION("""COMPUTED_VALUE"""),258.62)</f>
        <v>258.62</v>
      </c>
      <c r="Z373" s="1">
        <f>IFERROR(__xludf.DUMMYFUNCTION("""COMPUTED_VALUE"""),51.01)</f>
        <v>51.01</v>
      </c>
      <c r="AA373" s="1">
        <f>IFERROR(__xludf.DUMMYFUNCTION("""COMPUTED_VALUE"""),67.97)</f>
        <v>67.97</v>
      </c>
      <c r="AB373" s="1">
        <f>IFERROR(__xludf.DUMMYFUNCTION("""COMPUTED_VALUE"""),96.64)</f>
        <v>96.64</v>
      </c>
      <c r="AC373" s="1">
        <f>IFERROR(__xludf.DUMMYFUNCTION("""COMPUTED_VALUE"""),171.96)</f>
        <v>171.96</v>
      </c>
      <c r="AD373" s="1">
        <f>IFERROR(__xludf.DUMMYFUNCTION("""COMPUTED_VALUE"""),100.85)</f>
        <v>100.85</v>
      </c>
      <c r="AE373" s="1">
        <f>IFERROR(__xludf.DUMMYFUNCTION("""COMPUTED_VALUE"""),403.63)</f>
        <v>403.63</v>
      </c>
      <c r="AF373" s="1">
        <f>IFERROR(__xludf.DUMMYFUNCTION("""COMPUTED_VALUE"""),82.77)</f>
        <v>82.77</v>
      </c>
      <c r="AG373" s="1">
        <f>IFERROR(__xludf.DUMMYFUNCTION("""COMPUTED_VALUE"""),113.76)</f>
        <v>113.76</v>
      </c>
      <c r="AH373" s="1">
        <f>IFERROR(__xludf.DUMMYFUNCTION("""COMPUTED_VALUE"""),252.99)</f>
        <v>252.99</v>
      </c>
      <c r="AI373" s="1">
        <f>IFERROR(__xludf.DUMMYFUNCTION("""COMPUTED_VALUE"""),392.03)</f>
        <v>392.03</v>
      </c>
      <c r="AJ373" s="1">
        <f>IFERROR(__xludf.DUMMYFUNCTION("""COMPUTED_VALUE"""),341.87)</f>
        <v>341.87</v>
      </c>
      <c r="AK373" s="1">
        <f>IFERROR(__xludf.DUMMYFUNCTION("""COMPUTED_VALUE"""),68.22)</f>
        <v>68.22</v>
      </c>
      <c r="AL373" s="1">
        <f>IFERROR(__xludf.DUMMYFUNCTION("""COMPUTED_VALUE"""),122.05)</f>
        <v>122.05</v>
      </c>
      <c r="AM373" s="1">
        <f>IFERROR(__xludf.DUMMYFUNCTION("""COMPUTED_VALUE"""),785.52)</f>
        <v>785.52</v>
      </c>
      <c r="AN373" s="1">
        <f>IFERROR(__xludf.DUMMYFUNCTION("""COMPUTED_VALUE"""),378.35)</f>
        <v>378.35</v>
      </c>
      <c r="AO373" s="1">
        <f>IFERROR(__xludf.DUMMYFUNCTION("""COMPUTED_VALUE"""),165.7)</f>
        <v>165.7</v>
      </c>
      <c r="AP373" s="1">
        <f>IFERROR(__xludf.DUMMYFUNCTION("""COMPUTED_VALUE"""),145.59)</f>
        <v>145.59</v>
      </c>
      <c r="AQ373" s="1">
        <f>IFERROR(__xludf.DUMMYFUNCTION("""COMPUTED_VALUE"""),544.21)</f>
        <v>544.21</v>
      </c>
      <c r="AR373" s="1">
        <f>IFERROR(__xludf.DUMMYFUNCTION("""COMPUTED_VALUE"""),309.35)</f>
        <v>309.35</v>
      </c>
      <c r="AS373" s="1">
        <f>IFERROR(__xludf.DUMMYFUNCTION("""COMPUTED_VALUE"""),487.94)</f>
        <v>487.94</v>
      </c>
      <c r="AT373" s="1">
        <f>IFERROR(__xludf.DUMMYFUNCTION("""COMPUTED_VALUE"""),165.47)</f>
        <v>165.47</v>
      </c>
      <c r="AU373" s="1">
        <f>IFERROR(__xludf.DUMMYFUNCTION("""COMPUTED_VALUE"""),33.02)</f>
        <v>33.02</v>
      </c>
      <c r="AV373" s="1">
        <f>IFERROR(__xludf.DUMMYFUNCTION("""COMPUTED_VALUE"""),90.2)</f>
        <v>90.2</v>
      </c>
      <c r="AW373" s="1">
        <f>IFERROR(__xludf.DUMMYFUNCTION("""COMPUTED_VALUE"""),79.21)</f>
        <v>79.21</v>
      </c>
      <c r="AX373" s="1">
        <f>IFERROR(__xludf.DUMMYFUNCTION("""COMPUTED_VALUE"""),57.66)</f>
        <v>57.66</v>
      </c>
      <c r="AY373" s="1">
        <f>IFERROR(__xludf.DUMMYFUNCTION("""COMPUTED_VALUE"""),517.03)</f>
        <v>517.03</v>
      </c>
      <c r="AZ373" s="1">
        <f>IFERROR(__xludf.DUMMYFUNCTION("""COMPUTED_VALUE"""),81.78)</f>
        <v>81.78</v>
      </c>
      <c r="BA373" s="1">
        <f>IFERROR(__xludf.DUMMYFUNCTION("""COMPUTED_VALUE"""),174.48)</f>
        <v>174.48</v>
      </c>
      <c r="BB373" s="1">
        <f>IFERROR(__xludf.DUMMYFUNCTION("""COMPUTED_VALUE"""),206.88)</f>
        <v>206.88</v>
      </c>
      <c r="BC373" s="1">
        <f>IFERROR(__xludf.DUMMYFUNCTION("""COMPUTED_VALUE"""),90.17)</f>
        <v>90.17</v>
      </c>
      <c r="BD373" s="1">
        <f>IFERROR(__xludf.DUMMYFUNCTION("""COMPUTED_VALUE"""),36.46)</f>
        <v>36.46</v>
      </c>
      <c r="BE373" s="1">
        <f>IFERROR(__xludf.DUMMYFUNCTION("""COMPUTED_VALUE"""),207.18)</f>
        <v>207.18</v>
      </c>
      <c r="BF373" s="1">
        <f>IFERROR(__xludf.DUMMYFUNCTION("""COMPUTED_VALUE"""),68.34)</f>
        <v>68.34</v>
      </c>
      <c r="BG373" s="1">
        <f>IFERROR(__xludf.DUMMYFUNCTION("""COMPUTED_VALUE"""),24.66)</f>
        <v>24.66</v>
      </c>
      <c r="BH373" s="1">
        <f>IFERROR(__xludf.DUMMYFUNCTION("""COMPUTED_VALUE"""),177.04)</f>
        <v>177.04</v>
      </c>
      <c r="BI373" s="1">
        <f>IFERROR(__xludf.DUMMYFUNCTION("""COMPUTED_VALUE"""),59.33)</f>
        <v>59.33</v>
      </c>
      <c r="BJ373" s="1">
        <f>IFERROR(__xludf.DUMMYFUNCTION("""COMPUTED_VALUE"""),203.32)</f>
        <v>203.32</v>
      </c>
      <c r="BK373" s="1">
        <f>IFERROR(__xludf.DUMMYFUNCTION("""COMPUTED_VALUE"""),564.88)</f>
        <v>564.88</v>
      </c>
      <c r="BL373" s="1">
        <f>IFERROR(__xludf.DUMMYFUNCTION("""COMPUTED_VALUE"""),205.72)</f>
        <v>205.72</v>
      </c>
      <c r="BM373" s="1">
        <f>IFERROR(__xludf.DUMMYFUNCTION("""COMPUTED_VALUE"""),124.72)</f>
        <v>124.72</v>
      </c>
      <c r="BN373" s="1">
        <f>IFERROR(__xludf.DUMMYFUNCTION("""COMPUTED_VALUE"""),4.57)</f>
        <v>4.57</v>
      </c>
      <c r="BO373" s="1">
        <f>IFERROR(__xludf.DUMMYFUNCTION("""COMPUTED_VALUE"""),218.82)</f>
        <v>218.82</v>
      </c>
      <c r="BP373" s="1">
        <f>IFERROR(__xludf.DUMMYFUNCTION("""COMPUTED_VALUE"""),333.79)</f>
        <v>333.79</v>
      </c>
      <c r="BQ373" s="36">
        <f>IFERROR(__xludf.DUMMYFUNCTION("""COMPUTED_VALUE"""),50.04)</f>
        <v>50.04</v>
      </c>
      <c r="BR373" s="1">
        <f>IFERROR(__xludf.DUMMYFUNCTION("""COMPUTED_VALUE"""),10.53)</f>
        <v>10.53</v>
      </c>
      <c r="BS373" s="1">
        <f>IFERROR(__xludf.DUMMYFUNCTION("""COMPUTED_VALUE"""),196.77)</f>
        <v>196.77</v>
      </c>
      <c r="BT373" s="1">
        <f>IFERROR(__xludf.DUMMYFUNCTION("""COMPUTED_VALUE"""),112.12)</f>
        <v>112.12</v>
      </c>
      <c r="BU373" s="3">
        <v>1.0</v>
      </c>
    </row>
    <row r="374">
      <c r="A374" s="25">
        <f>IFERROR(__xludf.DUMMYFUNCTION("""COMPUTED_VALUE"""),45965.66666666667)</f>
        <v>45965.66667</v>
      </c>
      <c r="B374" s="29">
        <f>'Master Scratch Work'!B373</f>
        <v>1546467.99</v>
      </c>
      <c r="C374" s="31">
        <f>IFERROR(__xludf.DUMMYFUNCTION("""COMPUTED_VALUE"""),6771.55)</f>
        <v>6771.55</v>
      </c>
      <c r="D374" s="31">
        <f>IFERROR(__xludf.DUMMYFUNCTION("""COMPUTED_VALUE"""),23348.64)</f>
        <v>23348.64</v>
      </c>
      <c r="E374" s="31">
        <f>IFERROR(__xludf.DUMMYFUNCTION("""COMPUTED_VALUE"""),47085.24)</f>
        <v>47085.24</v>
      </c>
      <c r="F374" s="31">
        <f>IFERROR(__xludf.DUMMYFUNCTION("""COMPUTED_VALUE"""),2427.34)</f>
        <v>2427.34</v>
      </c>
      <c r="G374" s="1">
        <f>IFERROR(__xludf.DUMMYFUNCTION("""COMPUTED_VALUE"""),675.24)</f>
        <v>675.24</v>
      </c>
      <c r="H374" s="1">
        <f>IFERROR(__xludf.DUMMYFUNCTION("""COMPUTED_VALUE"""),619.25)</f>
        <v>619.25</v>
      </c>
      <c r="I374" s="1">
        <f>IFERROR(__xludf.DUMMYFUNCTION("""COMPUTED_VALUE"""),335.35)</f>
        <v>335.35</v>
      </c>
      <c r="J374" s="1">
        <f>IFERROR(__xludf.DUMMYFUNCTION("""COMPUTED_VALUE"""),249.32)</f>
        <v>249.32</v>
      </c>
      <c r="K374" s="1">
        <f>IFERROR(__xludf.DUMMYFUNCTION("""COMPUTED_VALUE"""),128.08)</f>
        <v>128.08</v>
      </c>
      <c r="L374" s="1">
        <f>IFERROR(__xludf.DUMMYFUNCTION("""COMPUTED_VALUE"""),270.04)</f>
        <v>270.04</v>
      </c>
      <c r="M374" s="1">
        <f>IFERROR(__xludf.DUMMYFUNCTION("""COMPUTED_VALUE"""),230.19)</f>
        <v>230.19</v>
      </c>
      <c r="N374" s="1">
        <f>IFERROR(__xludf.DUMMYFUNCTION("""COMPUTED_VALUE"""),108.0)</f>
        <v>108</v>
      </c>
      <c r="O374" s="1">
        <f>IFERROR(__xludf.DUMMYFUNCTION("""COMPUTED_VALUE"""),21.11)</f>
        <v>21.11</v>
      </c>
      <c r="P374" s="1">
        <f>IFERROR(__xludf.DUMMYFUNCTION("""COMPUTED_VALUE"""),487.66)</f>
        <v>487.66</v>
      </c>
      <c r="Q374" s="1">
        <f>IFERROR(__xludf.DUMMYFUNCTION("""COMPUTED_VALUE"""),54.44)</f>
        <v>54.44</v>
      </c>
      <c r="R374" s="1">
        <f>IFERROR(__xludf.DUMMYFUNCTION("""COMPUTED_VALUE"""),149.33)</f>
        <v>149.33</v>
      </c>
      <c r="S374" s="1">
        <f>IFERROR(__xludf.DUMMYFUNCTION("""COMPUTED_VALUE"""),98.84)</f>
        <v>98.84</v>
      </c>
      <c r="T374" s="1">
        <f>IFERROR(__xludf.DUMMYFUNCTION("""COMPUTED_VALUE"""),57.55)</f>
        <v>57.55</v>
      </c>
      <c r="U374" s="1">
        <f>IFERROR(__xludf.DUMMYFUNCTION("""COMPUTED_VALUE"""),547.58)</f>
        <v>547.58</v>
      </c>
      <c r="V374" s="1">
        <f>IFERROR(__xludf.DUMMYFUNCTION("""COMPUTED_VALUE"""),96.95)</f>
        <v>96.95</v>
      </c>
      <c r="W374" s="1">
        <f>IFERROR(__xludf.DUMMYFUNCTION("""COMPUTED_VALUE"""),191.76)</f>
        <v>191.76</v>
      </c>
      <c r="X374" s="1">
        <f>IFERROR(__xludf.DUMMYFUNCTION("""COMPUTED_VALUE"""),153.39)</f>
        <v>153.39</v>
      </c>
      <c r="Y374" s="1">
        <f>IFERROR(__xludf.DUMMYFUNCTION("""COMPUTED_VALUE"""),264.66)</f>
        <v>264.66</v>
      </c>
      <c r="Z374" s="1">
        <f>IFERROR(__xludf.DUMMYFUNCTION("""COMPUTED_VALUE"""),50.73)</f>
        <v>50.73</v>
      </c>
      <c r="AA374" s="1">
        <f>IFERROR(__xludf.DUMMYFUNCTION("""COMPUTED_VALUE"""),68.66)</f>
        <v>68.66</v>
      </c>
      <c r="AB374" s="1">
        <f>IFERROR(__xludf.DUMMYFUNCTION("""COMPUTED_VALUE"""),97.96)</f>
        <v>97.96</v>
      </c>
      <c r="AC374" s="1">
        <f>IFERROR(__xludf.DUMMYFUNCTION("""COMPUTED_VALUE"""),168.27)</f>
        <v>168.27</v>
      </c>
      <c r="AD374" s="1">
        <f>IFERROR(__xludf.DUMMYFUNCTION("""COMPUTED_VALUE"""),102.07)</f>
        <v>102.07</v>
      </c>
      <c r="AE374" s="1">
        <f>IFERROR(__xludf.DUMMYFUNCTION("""COMPUTED_VALUE"""),406.88)</f>
        <v>406.88</v>
      </c>
      <c r="AF374" s="1">
        <f>IFERROR(__xludf.DUMMYFUNCTION("""COMPUTED_VALUE"""),81.68)</f>
        <v>81.68</v>
      </c>
      <c r="AG374" s="1">
        <f>IFERROR(__xludf.DUMMYFUNCTION("""COMPUTED_VALUE"""),114.14)</f>
        <v>114.14</v>
      </c>
      <c r="AH374" s="1">
        <f>IFERROR(__xludf.DUMMYFUNCTION("""COMPUTED_VALUE"""),251.88)</f>
        <v>251.88</v>
      </c>
      <c r="AI374" s="1">
        <f>IFERROR(__xludf.DUMMYFUNCTION("""COMPUTED_VALUE"""),399.39)</f>
        <v>399.39</v>
      </c>
      <c r="AJ374" s="1">
        <f>IFERROR(__xludf.DUMMYFUNCTION("""COMPUTED_VALUE"""),343.47)</f>
        <v>343.47</v>
      </c>
      <c r="AK374" s="1">
        <f>IFERROR(__xludf.DUMMYFUNCTION("""COMPUTED_VALUE"""),66.87)</f>
        <v>66.87</v>
      </c>
      <c r="AL374" s="1">
        <f>IFERROR(__xludf.DUMMYFUNCTION("""COMPUTED_VALUE"""),123.0)</f>
        <v>123</v>
      </c>
      <c r="AM374" s="1">
        <f>IFERROR(__xludf.DUMMYFUNCTION("""COMPUTED_VALUE"""),790.83)</f>
        <v>790.83</v>
      </c>
      <c r="AN374" s="1">
        <f>IFERROR(__xludf.DUMMYFUNCTION("""COMPUTED_VALUE"""),383.08)</f>
        <v>383.08</v>
      </c>
      <c r="AO374" s="1">
        <f>IFERROR(__xludf.DUMMYFUNCTION("""COMPUTED_VALUE"""),164.92)</f>
        <v>164.92</v>
      </c>
      <c r="AP374" s="1">
        <f>IFERROR(__xludf.DUMMYFUNCTION("""COMPUTED_VALUE"""),146.98)</f>
        <v>146.98</v>
      </c>
      <c r="AQ374" s="1">
        <f>IFERROR(__xludf.DUMMYFUNCTION("""COMPUTED_VALUE"""),538.82)</f>
        <v>538.82</v>
      </c>
      <c r="AR374" s="1">
        <f>IFERROR(__xludf.DUMMYFUNCTION("""COMPUTED_VALUE"""),309.25)</f>
        <v>309.25</v>
      </c>
      <c r="AS374" s="1">
        <f>IFERROR(__xludf.DUMMYFUNCTION("""COMPUTED_VALUE"""),484.98)</f>
        <v>484.98</v>
      </c>
      <c r="AT374" s="1">
        <f>IFERROR(__xludf.DUMMYFUNCTION("""COMPUTED_VALUE"""),160.66)</f>
        <v>160.66</v>
      </c>
      <c r="AU374" s="1">
        <f>IFERROR(__xludf.DUMMYFUNCTION("""COMPUTED_VALUE"""),32.85)</f>
        <v>32.85</v>
      </c>
      <c r="AV374" s="1">
        <f>IFERROR(__xludf.DUMMYFUNCTION("""COMPUTED_VALUE"""),90.42)</f>
        <v>90.42</v>
      </c>
      <c r="AW374" s="1">
        <f>IFERROR(__xludf.DUMMYFUNCTION("""COMPUTED_VALUE"""),79.46)</f>
        <v>79.46</v>
      </c>
      <c r="AX374" s="1">
        <f>IFERROR(__xludf.DUMMYFUNCTION("""COMPUTED_VALUE"""),54.9)</f>
        <v>54.9</v>
      </c>
      <c r="AY374" s="1">
        <f>IFERROR(__xludf.DUMMYFUNCTION("""COMPUTED_VALUE"""),514.33)</f>
        <v>514.33</v>
      </c>
      <c r="AZ374" s="1">
        <f>IFERROR(__xludf.DUMMYFUNCTION("""COMPUTED_VALUE"""),81.69)</f>
        <v>81.69</v>
      </c>
      <c r="BA374" s="1">
        <f>IFERROR(__xludf.DUMMYFUNCTION("""COMPUTED_VALUE"""),167.99)</f>
        <v>167.99</v>
      </c>
      <c r="BB374" s="1">
        <f>IFERROR(__xludf.DUMMYFUNCTION("""COMPUTED_VALUE"""),198.69)</f>
        <v>198.69</v>
      </c>
      <c r="BC374" s="1">
        <f>IFERROR(__xludf.DUMMYFUNCTION("""COMPUTED_VALUE"""),90.7)</f>
        <v>90.7</v>
      </c>
      <c r="BD374" s="1">
        <f>IFERROR(__xludf.DUMMYFUNCTION("""COMPUTED_VALUE"""),36.2)</f>
        <v>36.2</v>
      </c>
      <c r="BE374" s="1">
        <f>IFERROR(__xludf.DUMMYFUNCTION("""COMPUTED_VALUE"""),190.74)</f>
        <v>190.74</v>
      </c>
      <c r="BF374" s="1">
        <f>IFERROR(__xludf.DUMMYFUNCTION("""COMPUTED_VALUE"""),66.08)</f>
        <v>66.08</v>
      </c>
      <c r="BG374" s="1">
        <f>IFERROR(__xludf.DUMMYFUNCTION("""COMPUTED_VALUE"""),24.3)</f>
        <v>24.3</v>
      </c>
      <c r="BH374" s="1">
        <f>IFERROR(__xludf.DUMMYFUNCTION("""COMPUTED_VALUE"""),175.61)</f>
        <v>175.61</v>
      </c>
      <c r="BI374" s="1">
        <f>IFERROR(__xludf.DUMMYFUNCTION("""COMPUTED_VALUE"""),58.57)</f>
        <v>58.57</v>
      </c>
      <c r="BJ374" s="1">
        <f>IFERROR(__xludf.DUMMYFUNCTION("""COMPUTED_VALUE"""),206.29)</f>
        <v>206.29</v>
      </c>
      <c r="BK374" s="1">
        <f>IFERROR(__xludf.DUMMYFUNCTION("""COMPUTED_VALUE"""),565.24)</f>
        <v>565.24</v>
      </c>
      <c r="BL374" s="1">
        <f>IFERROR(__xludf.DUMMYFUNCTION("""COMPUTED_VALUE"""),203.89)</f>
        <v>203.89</v>
      </c>
      <c r="BM374" s="1">
        <f>IFERROR(__xludf.DUMMYFUNCTION("""COMPUTED_VALUE"""),122.21)</f>
        <v>122.21</v>
      </c>
      <c r="BN374" s="1">
        <f>IFERROR(__xludf.DUMMYFUNCTION("""COMPUTED_VALUE"""),4.48)</f>
        <v>4.48</v>
      </c>
      <c r="BO374" s="1">
        <f>IFERROR(__xludf.DUMMYFUNCTION("""COMPUTED_VALUE"""),220.91)</f>
        <v>220.91</v>
      </c>
      <c r="BP374" s="1">
        <f>IFERROR(__xludf.DUMMYFUNCTION("""COMPUTED_VALUE"""),330.83)</f>
        <v>330.83</v>
      </c>
      <c r="BQ374" s="36">
        <f>IFERROR(__xludf.DUMMYFUNCTION("""COMPUTED_VALUE"""),50.05)</f>
        <v>50.05</v>
      </c>
      <c r="BR374" s="1">
        <f>IFERROR(__xludf.DUMMYFUNCTION("""COMPUTED_VALUE"""),10.49)</f>
        <v>10.49</v>
      </c>
      <c r="BS374" s="1">
        <f>IFERROR(__xludf.DUMMYFUNCTION("""COMPUTED_VALUE"""),200.68)</f>
        <v>200.68</v>
      </c>
      <c r="BT374" s="1">
        <f>IFERROR(__xludf.DUMMYFUNCTION("""COMPUTED_VALUE"""),111.47)</f>
        <v>111.47</v>
      </c>
      <c r="BU374" s="3">
        <v>1.0</v>
      </c>
    </row>
    <row r="375">
      <c r="A375" s="25">
        <f>IFERROR(__xludf.DUMMYFUNCTION("""COMPUTED_VALUE"""),45966.66666666667)</f>
        <v>45966.66667</v>
      </c>
      <c r="B375" s="29">
        <f>'Master Scratch Work'!B374</f>
        <v>1549059.66</v>
      </c>
      <c r="C375" s="31">
        <f>IFERROR(__xludf.DUMMYFUNCTION("""COMPUTED_VALUE"""),6796.29)</f>
        <v>6796.29</v>
      </c>
      <c r="D375" s="31">
        <f>IFERROR(__xludf.DUMMYFUNCTION("""COMPUTED_VALUE"""),23499.8)</f>
        <v>23499.8</v>
      </c>
      <c r="E375" s="31">
        <f>IFERROR(__xludf.DUMMYFUNCTION("""COMPUTED_VALUE"""),47311.0)</f>
        <v>47311</v>
      </c>
      <c r="F375" s="31">
        <f>IFERROR(__xludf.DUMMYFUNCTION("""COMPUTED_VALUE"""),2464.78)</f>
        <v>2464.78</v>
      </c>
      <c r="G375" s="1">
        <f>IFERROR(__xludf.DUMMYFUNCTION("""COMPUTED_VALUE"""),677.58)</f>
        <v>677.58</v>
      </c>
      <c r="H375" s="1">
        <f>IFERROR(__xludf.DUMMYFUNCTION("""COMPUTED_VALUE"""),623.28)</f>
        <v>623.28</v>
      </c>
      <c r="I375" s="1">
        <f>IFERROR(__xludf.DUMMYFUNCTION("""COMPUTED_VALUE"""),335.53)</f>
        <v>335.53</v>
      </c>
      <c r="J375" s="1">
        <f>IFERROR(__xludf.DUMMYFUNCTION("""COMPUTED_VALUE"""),250.2)</f>
        <v>250.2</v>
      </c>
      <c r="K375" s="1">
        <f>IFERROR(__xludf.DUMMYFUNCTION("""COMPUTED_VALUE"""),130.97)</f>
        <v>130.97</v>
      </c>
      <c r="L375" s="1">
        <f>IFERROR(__xludf.DUMMYFUNCTION("""COMPUTED_VALUE"""),270.14)</f>
        <v>270.14</v>
      </c>
      <c r="M375" s="1">
        <f>IFERROR(__xludf.DUMMYFUNCTION("""COMPUTED_VALUE"""),240.89)</f>
        <v>240.89</v>
      </c>
      <c r="N375" s="1">
        <f>IFERROR(__xludf.DUMMYFUNCTION("""COMPUTED_VALUE"""),108.69)</f>
        <v>108.69</v>
      </c>
      <c r="O375" s="1">
        <f>IFERROR(__xludf.DUMMYFUNCTION("""COMPUTED_VALUE"""),21.26)</f>
        <v>21.26</v>
      </c>
      <c r="P375" s="1">
        <f>IFERROR(__xludf.DUMMYFUNCTION("""COMPUTED_VALUE"""),488.77)</f>
        <v>488.77</v>
      </c>
      <c r="Q375" s="1">
        <f>IFERROR(__xludf.DUMMYFUNCTION("""COMPUTED_VALUE"""),55.51)</f>
        <v>55.51</v>
      </c>
      <c r="R375" s="1">
        <f>IFERROR(__xludf.DUMMYFUNCTION("""COMPUTED_VALUE"""),153.43)</f>
        <v>153.43</v>
      </c>
      <c r="S375" s="1">
        <f>IFERROR(__xludf.DUMMYFUNCTION("""COMPUTED_VALUE"""),98.9)</f>
        <v>98.9</v>
      </c>
      <c r="T375" s="1">
        <f>IFERROR(__xludf.DUMMYFUNCTION("""COMPUTED_VALUE"""),56.85)</f>
        <v>56.85</v>
      </c>
      <c r="U375" s="1">
        <f>IFERROR(__xludf.DUMMYFUNCTION("""COMPUTED_VALUE"""),569.15)</f>
        <v>569.15</v>
      </c>
      <c r="V375" s="1">
        <f>IFERROR(__xludf.DUMMYFUNCTION("""COMPUTED_VALUE"""),95.24)</f>
        <v>95.24</v>
      </c>
      <c r="W375" s="1">
        <f>IFERROR(__xludf.DUMMYFUNCTION("""COMPUTED_VALUE"""),195.41)</f>
        <v>195.41</v>
      </c>
      <c r="X375" s="1">
        <f>IFERROR(__xludf.DUMMYFUNCTION("""COMPUTED_VALUE"""),152.66)</f>
        <v>152.66</v>
      </c>
      <c r="Y375" s="1">
        <f>IFERROR(__xludf.DUMMYFUNCTION("""COMPUTED_VALUE"""),259.58)</f>
        <v>259.58</v>
      </c>
      <c r="Z375" s="1">
        <f>IFERROR(__xludf.DUMMYFUNCTION("""COMPUTED_VALUE"""),51.44)</f>
        <v>51.44</v>
      </c>
      <c r="AA375" s="1">
        <f>IFERROR(__xludf.DUMMYFUNCTION("""COMPUTED_VALUE"""),68.51)</f>
        <v>68.51</v>
      </c>
      <c r="AB375" s="1">
        <f>IFERROR(__xludf.DUMMYFUNCTION("""COMPUTED_VALUE"""),96.11)</f>
        <v>96.11</v>
      </c>
      <c r="AC375" s="1">
        <f>IFERROR(__xludf.DUMMYFUNCTION("""COMPUTED_VALUE"""),166.52)</f>
        <v>166.52</v>
      </c>
      <c r="AD375" s="1">
        <f>IFERROR(__xludf.DUMMYFUNCTION("""COMPUTED_VALUE"""),104.92)</f>
        <v>104.92</v>
      </c>
      <c r="AE375" s="1">
        <f>IFERROR(__xludf.DUMMYFUNCTION("""COMPUTED_VALUE"""),400.41)</f>
        <v>400.41</v>
      </c>
      <c r="AF375" s="1">
        <f>IFERROR(__xludf.DUMMYFUNCTION("""COMPUTED_VALUE"""),81.01)</f>
        <v>81.01</v>
      </c>
      <c r="AG375" s="1">
        <f>IFERROR(__xludf.DUMMYFUNCTION("""COMPUTED_VALUE"""),113.68)</f>
        <v>113.68</v>
      </c>
      <c r="AH375" s="1">
        <f>IFERROR(__xludf.DUMMYFUNCTION("""COMPUTED_VALUE"""),256.1)</f>
        <v>256.1</v>
      </c>
      <c r="AI375" s="1">
        <f>IFERROR(__xludf.DUMMYFUNCTION("""COMPUTED_VALUE"""),406.67)</f>
        <v>406.67</v>
      </c>
      <c r="AJ375" s="1">
        <f>IFERROR(__xludf.DUMMYFUNCTION("""COMPUTED_VALUE"""),342.91)</f>
        <v>342.91</v>
      </c>
      <c r="AK375" s="1">
        <f>IFERROR(__xludf.DUMMYFUNCTION("""COMPUTED_VALUE"""),68.77)</f>
        <v>68.77</v>
      </c>
      <c r="AL375" s="1">
        <f>IFERROR(__xludf.DUMMYFUNCTION("""COMPUTED_VALUE"""),122.58)</f>
        <v>122.58</v>
      </c>
      <c r="AM375" s="1">
        <f>IFERROR(__xludf.DUMMYFUNCTION("""COMPUTED_VALUE"""),793.09)</f>
        <v>793.09</v>
      </c>
      <c r="AN375" s="1">
        <f>IFERROR(__xludf.DUMMYFUNCTION("""COMPUTED_VALUE"""),373.84)</f>
        <v>373.84</v>
      </c>
      <c r="AO375" s="1">
        <f>IFERROR(__xludf.DUMMYFUNCTION("""COMPUTED_VALUE"""),167.57)</f>
        <v>167.57</v>
      </c>
      <c r="AP375" s="1">
        <f>IFERROR(__xludf.DUMMYFUNCTION("""COMPUTED_VALUE"""),146.21)</f>
        <v>146.21</v>
      </c>
      <c r="AQ375" s="1">
        <f>IFERROR(__xludf.DUMMYFUNCTION("""COMPUTED_VALUE"""),548.55)</f>
        <v>548.55</v>
      </c>
      <c r="AR375" s="1">
        <f>IFERROR(__xludf.DUMMYFUNCTION("""COMPUTED_VALUE"""),311.68)</f>
        <v>311.68</v>
      </c>
      <c r="AS375" s="1">
        <f>IFERROR(__xludf.DUMMYFUNCTION("""COMPUTED_VALUE"""),473.14)</f>
        <v>473.14</v>
      </c>
      <c r="AT375" s="1">
        <f>IFERROR(__xludf.DUMMYFUNCTION("""COMPUTED_VALUE"""),167.59)</f>
        <v>167.59</v>
      </c>
      <c r="AU375" s="1">
        <f>IFERROR(__xludf.DUMMYFUNCTION("""COMPUTED_VALUE"""),33.3)</f>
        <v>33.3</v>
      </c>
      <c r="AV375" s="1">
        <f>IFERROR(__xludf.DUMMYFUNCTION("""COMPUTED_VALUE"""),90.4)</f>
        <v>90.4</v>
      </c>
      <c r="AW375" s="1">
        <f>IFERROR(__xludf.DUMMYFUNCTION("""COMPUTED_VALUE"""),78.68)</f>
        <v>78.68</v>
      </c>
      <c r="AX375" s="1">
        <f>IFERROR(__xludf.DUMMYFUNCTION("""COMPUTED_VALUE"""),54.93)</f>
        <v>54.93</v>
      </c>
      <c r="AY375" s="1">
        <f>IFERROR(__xludf.DUMMYFUNCTION("""COMPUTED_VALUE"""),507.16)</f>
        <v>507.16</v>
      </c>
      <c r="AZ375" s="1">
        <f>IFERROR(__xludf.DUMMYFUNCTION("""COMPUTED_VALUE"""),82.14)</f>
        <v>82.14</v>
      </c>
      <c r="BA375" s="1">
        <f>IFERROR(__xludf.DUMMYFUNCTION("""COMPUTED_VALUE"""),173.19)</f>
        <v>173.19</v>
      </c>
      <c r="BB375" s="1">
        <f>IFERROR(__xludf.DUMMYFUNCTION("""COMPUTED_VALUE"""),195.21)</f>
        <v>195.21</v>
      </c>
      <c r="BC375" s="1">
        <f>IFERROR(__xludf.DUMMYFUNCTION("""COMPUTED_VALUE"""),91.24)</f>
        <v>91.24</v>
      </c>
      <c r="BD375" s="1">
        <f>IFERROR(__xludf.DUMMYFUNCTION("""COMPUTED_VALUE"""),36.08)</f>
        <v>36.08</v>
      </c>
      <c r="BE375" s="1">
        <f>IFERROR(__xludf.DUMMYFUNCTION("""COMPUTED_VALUE"""),187.9)</f>
        <v>187.9</v>
      </c>
      <c r="BF375" s="1">
        <f>IFERROR(__xludf.DUMMYFUNCTION("""COMPUTED_VALUE"""),68.06)</f>
        <v>68.06</v>
      </c>
      <c r="BG375" s="1">
        <f>IFERROR(__xludf.DUMMYFUNCTION("""COMPUTED_VALUE"""),24.61)</f>
        <v>24.61</v>
      </c>
      <c r="BH375" s="1">
        <f>IFERROR(__xludf.DUMMYFUNCTION("""COMPUTED_VALUE"""),174.0)</f>
        <v>174</v>
      </c>
      <c r="BI375" s="1">
        <f>IFERROR(__xludf.DUMMYFUNCTION("""COMPUTED_VALUE"""),59.34)</f>
        <v>59.34</v>
      </c>
      <c r="BJ375" s="1">
        <f>IFERROR(__xludf.DUMMYFUNCTION("""COMPUTED_VALUE"""),204.74)</f>
        <v>204.74</v>
      </c>
      <c r="BK375" s="1">
        <f>IFERROR(__xludf.DUMMYFUNCTION("""COMPUTED_VALUE"""),567.64)</f>
        <v>567.64</v>
      </c>
      <c r="BL375" s="1">
        <f>IFERROR(__xludf.DUMMYFUNCTION("""COMPUTED_VALUE"""),199.15)</f>
        <v>199.15</v>
      </c>
      <c r="BM375" s="1">
        <f>IFERROR(__xludf.DUMMYFUNCTION("""COMPUTED_VALUE"""),124.46)</f>
        <v>124.46</v>
      </c>
      <c r="BN375" s="1">
        <f>IFERROR(__xludf.DUMMYFUNCTION("""COMPUTED_VALUE"""),4.61)</f>
        <v>4.61</v>
      </c>
      <c r="BO375" s="1">
        <f>IFERROR(__xludf.DUMMYFUNCTION("""COMPUTED_VALUE"""),217.38)</f>
        <v>217.38</v>
      </c>
      <c r="BP375" s="1">
        <f>IFERROR(__xludf.DUMMYFUNCTION("""COMPUTED_VALUE"""),327.74)</f>
        <v>327.74</v>
      </c>
      <c r="BQ375" s="36">
        <f>IFERROR(__xludf.DUMMYFUNCTION("""COMPUTED_VALUE"""),49.99)</f>
        <v>49.99</v>
      </c>
      <c r="BR375" s="1">
        <f>IFERROR(__xludf.DUMMYFUNCTION("""COMPUTED_VALUE"""),10.75)</f>
        <v>10.75</v>
      </c>
      <c r="BS375" s="1">
        <f>IFERROR(__xludf.DUMMYFUNCTION("""COMPUTED_VALUE"""),200.54)</f>
        <v>200.54</v>
      </c>
      <c r="BT375" s="1">
        <f>IFERROR(__xludf.DUMMYFUNCTION("""COMPUTED_VALUE"""),111.36)</f>
        <v>111.36</v>
      </c>
      <c r="BU375" s="3">
        <v>1.0</v>
      </c>
    </row>
    <row r="376">
      <c r="A376" s="25">
        <f>IFERROR(__xludf.DUMMYFUNCTION("""COMPUTED_VALUE"""),45967.66666666667)</f>
        <v>45967.66667</v>
      </c>
      <c r="B376" s="29">
        <f>'Master Scratch Work'!B375</f>
        <v>1537812.74</v>
      </c>
      <c r="C376" s="31">
        <f>IFERROR(__xludf.DUMMYFUNCTION("""COMPUTED_VALUE"""),6720.32)</f>
        <v>6720.32</v>
      </c>
      <c r="D376" s="31">
        <f>IFERROR(__xludf.DUMMYFUNCTION("""COMPUTED_VALUE"""),23053.99)</f>
        <v>23053.99</v>
      </c>
      <c r="E376" s="31">
        <f>IFERROR(__xludf.DUMMYFUNCTION("""COMPUTED_VALUE"""),46912.3)</f>
        <v>46912.3</v>
      </c>
      <c r="F376" s="31">
        <f>IFERROR(__xludf.DUMMYFUNCTION("""COMPUTED_VALUE"""),2418.82)</f>
        <v>2418.82</v>
      </c>
      <c r="G376" s="1">
        <f>IFERROR(__xludf.DUMMYFUNCTION("""COMPUTED_VALUE"""),670.31)</f>
        <v>670.31</v>
      </c>
      <c r="H376" s="1">
        <f>IFERROR(__xludf.DUMMYFUNCTION("""COMPUTED_VALUE"""),611.67)</f>
        <v>611.67</v>
      </c>
      <c r="I376" s="1">
        <f>IFERROR(__xludf.DUMMYFUNCTION("""COMPUTED_VALUE"""),327.35)</f>
        <v>327.35</v>
      </c>
      <c r="J376" s="1">
        <f>IFERROR(__xludf.DUMMYFUNCTION("""COMPUTED_VALUE"""),243.04)</f>
        <v>243.04</v>
      </c>
      <c r="K376" s="1">
        <f>IFERROR(__xludf.DUMMYFUNCTION("""COMPUTED_VALUE"""),129.5)</f>
        <v>129.5</v>
      </c>
      <c r="L376" s="1">
        <f>IFERROR(__xludf.DUMMYFUNCTION("""COMPUTED_VALUE"""),269.77)</f>
        <v>269.77</v>
      </c>
      <c r="M376" s="1">
        <f>IFERROR(__xludf.DUMMYFUNCTION("""COMPUTED_VALUE"""),233.53)</f>
        <v>233.53</v>
      </c>
      <c r="N376" s="1">
        <f>IFERROR(__xludf.DUMMYFUNCTION("""COMPUTED_VALUE"""),108.42)</f>
        <v>108.42</v>
      </c>
      <c r="O376" s="1">
        <f>IFERROR(__xludf.DUMMYFUNCTION("""COMPUTED_VALUE"""),21.59)</f>
        <v>21.59</v>
      </c>
      <c r="P376" s="1">
        <f>IFERROR(__xludf.DUMMYFUNCTION("""COMPUTED_VALUE"""),493.15)</f>
        <v>493.15</v>
      </c>
      <c r="Q376" s="1">
        <f>IFERROR(__xludf.DUMMYFUNCTION("""COMPUTED_VALUE"""),55.61)</f>
        <v>55.61</v>
      </c>
      <c r="R376" s="1">
        <f>IFERROR(__xludf.DUMMYFUNCTION("""COMPUTED_VALUE"""),156.74)</f>
        <v>156.74</v>
      </c>
      <c r="S376" s="1">
        <f>IFERROR(__xludf.DUMMYFUNCTION("""COMPUTED_VALUE"""),99.05)</f>
        <v>99.05</v>
      </c>
      <c r="T376" s="1">
        <f>IFERROR(__xludf.DUMMYFUNCTION("""COMPUTED_VALUE"""),56.57)</f>
        <v>56.57</v>
      </c>
      <c r="U376" s="1">
        <f>IFERROR(__xludf.DUMMYFUNCTION("""COMPUTED_VALUE"""),569.78)</f>
        <v>569.78</v>
      </c>
      <c r="V376" s="1">
        <f>IFERROR(__xludf.DUMMYFUNCTION("""COMPUTED_VALUE"""),90.24)</f>
        <v>90.24</v>
      </c>
      <c r="W376" s="1">
        <f>IFERROR(__xludf.DUMMYFUNCTION("""COMPUTED_VALUE"""),196.52)</f>
        <v>196.52</v>
      </c>
      <c r="X376" s="1">
        <f>IFERROR(__xludf.DUMMYFUNCTION("""COMPUTED_VALUE"""),152.94)</f>
        <v>152.94</v>
      </c>
      <c r="Y376" s="1">
        <f>IFERROR(__xludf.DUMMYFUNCTION("""COMPUTED_VALUE"""),256.38)</f>
        <v>256.38</v>
      </c>
      <c r="Z376" s="1">
        <f>IFERROR(__xludf.DUMMYFUNCTION("""COMPUTED_VALUE"""),50.9)</f>
        <v>50.9</v>
      </c>
      <c r="AA376" s="1">
        <f>IFERROR(__xludf.DUMMYFUNCTION("""COMPUTED_VALUE"""),69.06)</f>
        <v>69.06</v>
      </c>
      <c r="AB376" s="1">
        <f>IFERROR(__xludf.DUMMYFUNCTION("""COMPUTED_VALUE"""),96.99)</f>
        <v>96.99</v>
      </c>
      <c r="AC376" s="1">
        <f>IFERROR(__xludf.DUMMYFUNCTION("""COMPUTED_VALUE"""),168.35)</f>
        <v>168.35</v>
      </c>
      <c r="AD376" s="1">
        <f>IFERROR(__xludf.DUMMYFUNCTION("""COMPUTED_VALUE"""),101.97)</f>
        <v>101.97</v>
      </c>
      <c r="AE376" s="1">
        <f>IFERROR(__xludf.DUMMYFUNCTION("""COMPUTED_VALUE"""),401.46)</f>
        <v>401.46</v>
      </c>
      <c r="AF376" s="1">
        <f>IFERROR(__xludf.DUMMYFUNCTION("""COMPUTED_VALUE"""),80.85)</f>
        <v>80.85</v>
      </c>
      <c r="AG376" s="1">
        <f>IFERROR(__xludf.DUMMYFUNCTION("""COMPUTED_VALUE"""),114.5)</f>
        <v>114.5</v>
      </c>
      <c r="AH376" s="1">
        <f>IFERROR(__xludf.DUMMYFUNCTION("""COMPUTED_VALUE"""),258.86)</f>
        <v>258.86</v>
      </c>
      <c r="AI376" s="1">
        <f>IFERROR(__xludf.DUMMYFUNCTION("""COMPUTED_VALUE"""),405.62)</f>
        <v>405.62</v>
      </c>
      <c r="AJ376" s="1">
        <f>IFERROR(__xludf.DUMMYFUNCTION("""COMPUTED_VALUE"""),340.3)</f>
        <v>340.3</v>
      </c>
      <c r="AK376" s="1">
        <f>IFERROR(__xludf.DUMMYFUNCTION("""COMPUTED_VALUE"""),68.84)</f>
        <v>68.84</v>
      </c>
      <c r="AL376" s="1">
        <f>IFERROR(__xludf.DUMMYFUNCTION("""COMPUTED_VALUE"""),123.4)</f>
        <v>123.4</v>
      </c>
      <c r="AM376" s="1">
        <f>IFERROR(__xludf.DUMMYFUNCTION("""COMPUTED_VALUE"""),787.58)</f>
        <v>787.58</v>
      </c>
      <c r="AN376" s="1">
        <f>IFERROR(__xludf.DUMMYFUNCTION("""COMPUTED_VALUE"""),369.07)</f>
        <v>369.07</v>
      </c>
      <c r="AO376" s="1">
        <f>IFERROR(__xludf.DUMMYFUNCTION("""COMPUTED_VALUE"""),166.54)</f>
        <v>166.54</v>
      </c>
      <c r="AP376" s="1">
        <f>IFERROR(__xludf.DUMMYFUNCTION("""COMPUTED_VALUE"""),147.52)</f>
        <v>147.52</v>
      </c>
      <c r="AQ376" s="1">
        <f>IFERROR(__xludf.DUMMYFUNCTION("""COMPUTED_VALUE"""),547.78)</f>
        <v>547.78</v>
      </c>
      <c r="AR376" s="1">
        <f>IFERROR(__xludf.DUMMYFUNCTION("""COMPUTED_VALUE"""),313.42)</f>
        <v>313.42</v>
      </c>
      <c r="AS376" s="1">
        <f>IFERROR(__xludf.DUMMYFUNCTION("""COMPUTED_VALUE"""),468.92)</f>
        <v>468.92</v>
      </c>
      <c r="AT376" s="1">
        <f>IFERROR(__xludf.DUMMYFUNCTION("""COMPUTED_VALUE"""),163.55)</f>
        <v>163.55</v>
      </c>
      <c r="AU376" s="1">
        <f>IFERROR(__xludf.DUMMYFUNCTION("""COMPUTED_VALUE"""),33.18)</f>
        <v>33.18</v>
      </c>
      <c r="AV376" s="1">
        <f>IFERROR(__xludf.DUMMYFUNCTION("""COMPUTED_VALUE"""),90.06)</f>
        <v>90.06</v>
      </c>
      <c r="AW376" s="1">
        <f>IFERROR(__xludf.DUMMYFUNCTION("""COMPUTED_VALUE"""),75.97)</f>
        <v>75.97</v>
      </c>
      <c r="AX376" s="1">
        <f>IFERROR(__xludf.DUMMYFUNCTION("""COMPUTED_VALUE"""),51.95)</f>
        <v>51.95</v>
      </c>
      <c r="AY376" s="1">
        <f>IFERROR(__xludf.DUMMYFUNCTION("""COMPUTED_VALUE"""),497.1)</f>
        <v>497.1</v>
      </c>
      <c r="AZ376" s="1">
        <f>IFERROR(__xludf.DUMMYFUNCTION("""COMPUTED_VALUE"""),82.0)</f>
        <v>82</v>
      </c>
      <c r="BA376" s="1">
        <f>IFERROR(__xludf.DUMMYFUNCTION("""COMPUTED_VALUE"""),170.1)</f>
        <v>170.1</v>
      </c>
      <c r="BB376" s="1">
        <f>IFERROR(__xludf.DUMMYFUNCTION("""COMPUTED_VALUE"""),188.08)</f>
        <v>188.08</v>
      </c>
      <c r="BC376" s="1">
        <f>IFERROR(__xludf.DUMMYFUNCTION("""COMPUTED_VALUE"""),91.15)</f>
        <v>91.15</v>
      </c>
      <c r="BD376" s="1">
        <f>IFERROR(__xludf.DUMMYFUNCTION("""COMPUTED_VALUE"""),35.51)</f>
        <v>35.51</v>
      </c>
      <c r="BE376" s="1">
        <f>IFERROR(__xludf.DUMMYFUNCTION("""COMPUTED_VALUE"""),175.05)</f>
        <v>175.05</v>
      </c>
      <c r="BF376" s="1">
        <f>IFERROR(__xludf.DUMMYFUNCTION("""COMPUTED_VALUE"""),66.26)</f>
        <v>66.26</v>
      </c>
      <c r="BG376" s="1">
        <f>IFERROR(__xludf.DUMMYFUNCTION("""COMPUTED_VALUE"""),24.85)</f>
        <v>24.85</v>
      </c>
      <c r="BH376" s="1">
        <f>IFERROR(__xludf.DUMMYFUNCTION("""COMPUTED_VALUE"""),175.1)</f>
        <v>175.1</v>
      </c>
      <c r="BI376" s="1">
        <f>IFERROR(__xludf.DUMMYFUNCTION("""COMPUTED_VALUE"""),61.38)</f>
        <v>61.38</v>
      </c>
      <c r="BJ376" s="1">
        <f>IFERROR(__xludf.DUMMYFUNCTION("""COMPUTED_VALUE"""),201.01)</f>
        <v>201.01</v>
      </c>
      <c r="BK376" s="1">
        <f>IFERROR(__xludf.DUMMYFUNCTION("""COMPUTED_VALUE"""),565.98)</f>
        <v>565.98</v>
      </c>
      <c r="BL376" s="1">
        <f>IFERROR(__xludf.DUMMYFUNCTION("""COMPUTED_VALUE"""),202.94)</f>
        <v>202.94</v>
      </c>
      <c r="BM376" s="1">
        <f>IFERROR(__xludf.DUMMYFUNCTION("""COMPUTED_VALUE"""),124.98)</f>
        <v>124.98</v>
      </c>
      <c r="BN376" s="1">
        <f>IFERROR(__xludf.DUMMYFUNCTION("""COMPUTED_VALUE"""),4.55)</f>
        <v>4.55</v>
      </c>
      <c r="BO376" s="1">
        <f>IFERROR(__xludf.DUMMYFUNCTION("""COMPUTED_VALUE"""),217.99)</f>
        <v>217.99</v>
      </c>
      <c r="BP376" s="1">
        <f>IFERROR(__xludf.DUMMYFUNCTION("""COMPUTED_VALUE"""),321.56)</f>
        <v>321.56</v>
      </c>
      <c r="BQ376" s="36">
        <f>IFERROR(__xludf.DUMMYFUNCTION("""COMPUTED_VALUE"""),50.03)</f>
        <v>50.03</v>
      </c>
      <c r="BR376" s="1">
        <f>IFERROR(__xludf.DUMMYFUNCTION("""COMPUTED_VALUE"""),10.11)</f>
        <v>10.11</v>
      </c>
      <c r="BS376" s="1">
        <f>IFERROR(__xludf.DUMMYFUNCTION("""COMPUTED_VALUE"""),199.62)</f>
        <v>199.62</v>
      </c>
      <c r="BT376" s="1">
        <f>IFERROR(__xludf.DUMMYFUNCTION("""COMPUTED_VALUE"""),110.49)</f>
        <v>110.49</v>
      </c>
      <c r="BU376" s="3">
        <v>1.0</v>
      </c>
    </row>
    <row r="377">
      <c r="A377" s="25">
        <f>IFERROR(__xludf.DUMMYFUNCTION("""COMPUTED_VALUE"""),45968.66666666667)</f>
        <v>45968.66667</v>
      </c>
      <c r="B377" s="29">
        <f>'Master Scratch Work'!B376</f>
        <v>1546072.7</v>
      </c>
      <c r="C377" s="31">
        <f>IFERROR(__xludf.DUMMYFUNCTION("""COMPUTED_VALUE"""),6728.8)</f>
        <v>6728.8</v>
      </c>
      <c r="D377" s="31">
        <f>IFERROR(__xludf.DUMMYFUNCTION("""COMPUTED_VALUE"""),23004.54)</f>
        <v>23004.54</v>
      </c>
      <c r="E377" s="31">
        <f>IFERROR(__xludf.DUMMYFUNCTION("""COMPUTED_VALUE"""),46987.1)</f>
        <v>46987.1</v>
      </c>
      <c r="F377" s="31">
        <f>IFERROR(__xludf.DUMMYFUNCTION("""COMPUTED_VALUE"""),2432.82)</f>
        <v>2432.82</v>
      </c>
      <c r="G377" s="1">
        <f>IFERROR(__xludf.DUMMYFUNCTION("""COMPUTED_VALUE"""),670.97)</f>
        <v>670.97</v>
      </c>
      <c r="H377" s="1">
        <f>IFERROR(__xludf.DUMMYFUNCTION("""COMPUTED_VALUE"""),609.74)</f>
        <v>609.74</v>
      </c>
      <c r="I377" s="1">
        <f>IFERROR(__xludf.DUMMYFUNCTION("""COMPUTED_VALUE"""),326.95)</f>
        <v>326.95</v>
      </c>
      <c r="J377" s="1">
        <f>IFERROR(__xludf.DUMMYFUNCTION("""COMPUTED_VALUE"""),244.41)</f>
        <v>244.41</v>
      </c>
      <c r="K377" s="1">
        <f>IFERROR(__xludf.DUMMYFUNCTION("""COMPUTED_VALUE"""),130.84)</f>
        <v>130.84</v>
      </c>
      <c r="L377" s="1">
        <f>IFERROR(__xludf.DUMMYFUNCTION("""COMPUTED_VALUE"""),268.47)</f>
        <v>268.47</v>
      </c>
      <c r="M377" s="1">
        <f>IFERROR(__xludf.DUMMYFUNCTION("""COMPUTED_VALUE"""),230.07)</f>
        <v>230.07</v>
      </c>
      <c r="N377" s="1">
        <f>IFERROR(__xludf.DUMMYFUNCTION("""COMPUTED_VALUE"""),109.64)</f>
        <v>109.64</v>
      </c>
      <c r="O377" s="1">
        <f>IFERROR(__xludf.DUMMYFUNCTION("""COMPUTED_VALUE"""),21.75)</f>
        <v>21.75</v>
      </c>
      <c r="P377" s="1">
        <f>IFERROR(__xludf.DUMMYFUNCTION("""COMPUTED_VALUE"""),499.06)</f>
        <v>499.06</v>
      </c>
      <c r="Q377" s="1">
        <f>IFERROR(__xludf.DUMMYFUNCTION("""COMPUTED_VALUE"""),55.16)</f>
        <v>55.16</v>
      </c>
      <c r="R377" s="1">
        <f>IFERROR(__xludf.DUMMYFUNCTION("""COMPUTED_VALUE"""),155.51)</f>
        <v>155.51</v>
      </c>
      <c r="S377" s="1">
        <f>IFERROR(__xludf.DUMMYFUNCTION("""COMPUTED_VALUE"""),100.02)</f>
        <v>100.02</v>
      </c>
      <c r="T377" s="1">
        <f>IFERROR(__xludf.DUMMYFUNCTION("""COMPUTED_VALUE"""),57.51)</f>
        <v>57.51</v>
      </c>
      <c r="U377" s="1">
        <f>IFERROR(__xludf.DUMMYFUNCTION("""COMPUTED_VALUE"""),563.1)</f>
        <v>563.1</v>
      </c>
      <c r="V377" s="1">
        <f>IFERROR(__xludf.DUMMYFUNCTION("""COMPUTED_VALUE"""),92.26)</f>
        <v>92.26</v>
      </c>
      <c r="W377" s="1">
        <f>IFERROR(__xludf.DUMMYFUNCTION("""COMPUTED_VALUE"""),200.29)</f>
        <v>200.29</v>
      </c>
      <c r="X377" s="1">
        <f>IFERROR(__xludf.DUMMYFUNCTION("""COMPUTED_VALUE"""),155.02)</f>
        <v>155.02</v>
      </c>
      <c r="Y377" s="1">
        <f>IFERROR(__xludf.DUMMYFUNCTION("""COMPUTED_VALUE"""),264.58)</f>
        <v>264.58</v>
      </c>
      <c r="Z377" s="1">
        <f>IFERROR(__xludf.DUMMYFUNCTION("""COMPUTED_VALUE"""),51.7)</f>
        <v>51.7</v>
      </c>
      <c r="AA377" s="1">
        <f>IFERROR(__xludf.DUMMYFUNCTION("""COMPUTED_VALUE"""),70.55)</f>
        <v>70.55</v>
      </c>
      <c r="AB377" s="1">
        <f>IFERROR(__xludf.DUMMYFUNCTION("""COMPUTED_VALUE"""),98.52)</f>
        <v>98.52</v>
      </c>
      <c r="AC377" s="1">
        <f>IFERROR(__xludf.DUMMYFUNCTION("""COMPUTED_VALUE"""),169.89)</f>
        <v>169.89</v>
      </c>
      <c r="AD377" s="1">
        <f>IFERROR(__xludf.DUMMYFUNCTION("""COMPUTED_VALUE"""),105.74)</f>
        <v>105.74</v>
      </c>
      <c r="AE377" s="1">
        <f>IFERROR(__xludf.DUMMYFUNCTION("""COMPUTED_VALUE"""),410.18)</f>
        <v>410.18</v>
      </c>
      <c r="AF377" s="1">
        <f>IFERROR(__xludf.DUMMYFUNCTION("""COMPUTED_VALUE"""),83.8)</f>
        <v>83.8</v>
      </c>
      <c r="AG377" s="1">
        <f>IFERROR(__xludf.DUMMYFUNCTION("""COMPUTED_VALUE"""),117.22)</f>
        <v>117.22</v>
      </c>
      <c r="AH377" s="1">
        <f>IFERROR(__xludf.DUMMYFUNCTION("""COMPUTED_VALUE"""),262.09)</f>
        <v>262.09</v>
      </c>
      <c r="AI377" s="1">
        <f>IFERROR(__xludf.DUMMYFUNCTION("""COMPUTED_VALUE"""),413.26)</f>
        <v>413.26</v>
      </c>
      <c r="AJ377" s="1">
        <f>IFERROR(__xludf.DUMMYFUNCTION("""COMPUTED_VALUE"""),346.34)</f>
        <v>346.34</v>
      </c>
      <c r="AK377" s="1">
        <f>IFERROR(__xludf.DUMMYFUNCTION("""COMPUTED_VALUE"""),70.75)</f>
        <v>70.75</v>
      </c>
      <c r="AL377" s="1">
        <f>IFERROR(__xludf.DUMMYFUNCTION("""COMPUTED_VALUE"""),118.84)</f>
        <v>118.84</v>
      </c>
      <c r="AM377" s="1">
        <f>IFERROR(__xludf.DUMMYFUNCTION("""COMPUTED_VALUE"""),786.34)</f>
        <v>786.34</v>
      </c>
      <c r="AN377" s="1">
        <f>IFERROR(__xludf.DUMMYFUNCTION("""COMPUTED_VALUE"""),371.11)</f>
        <v>371.11</v>
      </c>
      <c r="AO377" s="1">
        <f>IFERROR(__xludf.DUMMYFUNCTION("""COMPUTED_VALUE"""),165.69)</f>
        <v>165.69</v>
      </c>
      <c r="AP377" s="1">
        <f>IFERROR(__xludf.DUMMYFUNCTION("""COMPUTED_VALUE"""),149.0)</f>
        <v>149</v>
      </c>
      <c r="AQ377" s="1">
        <f>IFERROR(__xludf.DUMMYFUNCTION("""COMPUTED_VALUE"""),560.0)</f>
        <v>560</v>
      </c>
      <c r="AR377" s="1">
        <f>IFERROR(__xludf.DUMMYFUNCTION("""COMPUTED_VALUE"""),314.21)</f>
        <v>314.21</v>
      </c>
      <c r="AS377" s="1">
        <f>IFERROR(__xludf.DUMMYFUNCTION("""COMPUTED_VALUE"""),458.35)</f>
        <v>458.35</v>
      </c>
      <c r="AT377" s="1">
        <f>IFERROR(__xludf.DUMMYFUNCTION("""COMPUTED_VALUE"""),166.13)</f>
        <v>166.13</v>
      </c>
      <c r="AU377" s="1">
        <f>IFERROR(__xludf.DUMMYFUNCTION("""COMPUTED_VALUE"""),33.41)</f>
        <v>33.41</v>
      </c>
      <c r="AV377" s="1">
        <f>IFERROR(__xludf.DUMMYFUNCTION("""COMPUTED_VALUE"""),92.2)</f>
        <v>92.2</v>
      </c>
      <c r="AW377" s="1">
        <f>IFERROR(__xludf.DUMMYFUNCTION("""COMPUTED_VALUE"""),76.15)</f>
        <v>76.15</v>
      </c>
      <c r="AX377" s="1">
        <f>IFERROR(__xludf.DUMMYFUNCTION("""COMPUTED_VALUE"""),58.6)</f>
        <v>58.6</v>
      </c>
      <c r="AY377" s="1">
        <f>IFERROR(__xludf.DUMMYFUNCTION("""COMPUTED_VALUE"""),496.82)</f>
        <v>496.82</v>
      </c>
      <c r="AZ377" s="1">
        <f>IFERROR(__xludf.DUMMYFUNCTION("""COMPUTED_VALUE"""),83.93)</f>
        <v>83.93</v>
      </c>
      <c r="BA377" s="1">
        <f>IFERROR(__xludf.DUMMYFUNCTION("""COMPUTED_VALUE"""),172.5)</f>
        <v>172.5</v>
      </c>
      <c r="BB377" s="1">
        <f>IFERROR(__xludf.DUMMYFUNCTION("""COMPUTED_VALUE"""),188.15)</f>
        <v>188.15</v>
      </c>
      <c r="BC377" s="1">
        <f>IFERROR(__xludf.DUMMYFUNCTION("""COMPUTED_VALUE"""),91.02)</f>
        <v>91.02</v>
      </c>
      <c r="BD377" s="1">
        <f>IFERROR(__xludf.DUMMYFUNCTION("""COMPUTED_VALUE"""),35.0)</f>
        <v>35</v>
      </c>
      <c r="BE377" s="1">
        <f>IFERROR(__xludf.DUMMYFUNCTION("""COMPUTED_VALUE"""),177.93)</f>
        <v>177.93</v>
      </c>
      <c r="BF377" s="1">
        <f>IFERROR(__xludf.DUMMYFUNCTION("""COMPUTED_VALUE"""),66.22)</f>
        <v>66.22</v>
      </c>
      <c r="BG377" s="1">
        <f>IFERROR(__xludf.DUMMYFUNCTION("""COMPUTED_VALUE"""),24.43)</f>
        <v>24.43</v>
      </c>
      <c r="BH377" s="1">
        <f>IFERROR(__xludf.DUMMYFUNCTION("""COMPUTED_VALUE"""),176.97)</f>
        <v>176.97</v>
      </c>
      <c r="BI377" s="1">
        <f>IFERROR(__xludf.DUMMYFUNCTION("""COMPUTED_VALUE"""),61.01)</f>
        <v>61.01</v>
      </c>
      <c r="BJ377" s="1">
        <f>IFERROR(__xludf.DUMMYFUNCTION("""COMPUTED_VALUE"""),207.0)</f>
        <v>207</v>
      </c>
      <c r="BK377" s="1">
        <f>IFERROR(__xludf.DUMMYFUNCTION("""COMPUTED_VALUE"""),572.41)</f>
        <v>572.41</v>
      </c>
      <c r="BL377" s="1">
        <f>IFERROR(__xludf.DUMMYFUNCTION("""COMPUTED_VALUE"""),201.98)</f>
        <v>201.98</v>
      </c>
      <c r="BM377" s="1">
        <f>IFERROR(__xludf.DUMMYFUNCTION("""COMPUTED_VALUE"""),119.17)</f>
        <v>119.17</v>
      </c>
      <c r="BN377" s="1">
        <f>IFERROR(__xludf.DUMMYFUNCTION("""COMPUTED_VALUE"""),4.66)</f>
        <v>4.66</v>
      </c>
      <c r="BO377" s="1">
        <f>IFERROR(__xludf.DUMMYFUNCTION("""COMPUTED_VALUE"""),221.48)</f>
        <v>221.48</v>
      </c>
      <c r="BP377" s="1">
        <f>IFERROR(__xludf.DUMMYFUNCTION("""COMPUTED_VALUE"""),324.21)</f>
        <v>324.21</v>
      </c>
      <c r="BQ377" s="36">
        <f>IFERROR(__xludf.DUMMYFUNCTION("""COMPUTED_VALUE"""),50.06)</f>
        <v>50.06</v>
      </c>
      <c r="BR377" s="1">
        <f>IFERROR(__xludf.DUMMYFUNCTION("""COMPUTED_VALUE"""),10.12)</f>
        <v>10.12</v>
      </c>
      <c r="BS377" s="1">
        <f>IFERROR(__xludf.DUMMYFUNCTION("""COMPUTED_VALUE"""),201.92)</f>
        <v>201.92</v>
      </c>
      <c r="BT377" s="1">
        <f>IFERROR(__xludf.DUMMYFUNCTION("""COMPUTED_VALUE"""),110.74)</f>
        <v>110.74</v>
      </c>
      <c r="BU377" s="3">
        <v>1.0</v>
      </c>
    </row>
    <row r="378">
      <c r="A378" s="25">
        <f>IFERROR(__xludf.DUMMYFUNCTION("""COMPUTED_VALUE"""),45971.66666666667)</f>
        <v>45971.66667</v>
      </c>
      <c r="B378" s="29">
        <f>'Master Scratch Work'!B377</f>
        <v>1561440.37</v>
      </c>
      <c r="C378" s="31">
        <f>IFERROR(__xludf.DUMMYFUNCTION("""COMPUTED_VALUE"""),6832.43)</f>
        <v>6832.43</v>
      </c>
      <c r="D378" s="31">
        <f>IFERROR(__xludf.DUMMYFUNCTION("""COMPUTED_VALUE"""),23527.17)</f>
        <v>23527.17</v>
      </c>
      <c r="E378" s="31">
        <f>IFERROR(__xludf.DUMMYFUNCTION("""COMPUTED_VALUE"""),47368.63)</f>
        <v>47368.63</v>
      </c>
      <c r="F378" s="31">
        <f>IFERROR(__xludf.DUMMYFUNCTION("""COMPUTED_VALUE"""),2455.65)</f>
        <v>2455.65</v>
      </c>
      <c r="G378" s="1">
        <f>IFERROR(__xludf.DUMMYFUNCTION("""COMPUTED_VALUE"""),681.44)</f>
        <v>681.44</v>
      </c>
      <c r="H378" s="1">
        <f>IFERROR(__xludf.DUMMYFUNCTION("""COMPUTED_VALUE"""),623.23)</f>
        <v>623.23</v>
      </c>
      <c r="I378" s="1">
        <f>IFERROR(__xludf.DUMMYFUNCTION("""COMPUTED_VALUE"""),328.85)</f>
        <v>328.85</v>
      </c>
      <c r="J378" s="1">
        <f>IFERROR(__xludf.DUMMYFUNCTION("""COMPUTED_VALUE"""),248.4)</f>
        <v>248.4</v>
      </c>
      <c r="K378" s="1">
        <f>IFERROR(__xludf.DUMMYFUNCTION("""COMPUTED_VALUE"""),128.94)</f>
        <v>128.94</v>
      </c>
      <c r="L378" s="1">
        <f>IFERROR(__xludf.DUMMYFUNCTION("""COMPUTED_VALUE"""),269.43)</f>
        <v>269.43</v>
      </c>
      <c r="M378" s="1">
        <f>IFERROR(__xludf.DUMMYFUNCTION("""COMPUTED_VALUE"""),235.08)</f>
        <v>235.08</v>
      </c>
      <c r="N378" s="1">
        <f>IFERROR(__xludf.DUMMYFUNCTION("""COMPUTED_VALUE"""),110.96)</f>
        <v>110.96</v>
      </c>
      <c r="O378" s="1">
        <f>IFERROR(__xludf.DUMMYFUNCTION("""COMPUTED_VALUE"""),22.21)</f>
        <v>22.21</v>
      </c>
      <c r="P378" s="1">
        <f>IFERROR(__xludf.DUMMYFUNCTION("""COMPUTED_VALUE"""),496.98)</f>
        <v>496.98</v>
      </c>
      <c r="Q378" s="1">
        <f>IFERROR(__xludf.DUMMYFUNCTION("""COMPUTED_VALUE"""),55.86)</f>
        <v>55.86</v>
      </c>
      <c r="R378" s="1">
        <f>IFERROR(__xludf.DUMMYFUNCTION("""COMPUTED_VALUE"""),156.26)</f>
        <v>156.26</v>
      </c>
      <c r="S378" s="1">
        <f>IFERROR(__xludf.DUMMYFUNCTION("""COMPUTED_VALUE"""),100.91)</f>
        <v>100.91</v>
      </c>
      <c r="T378" s="1">
        <f>IFERROR(__xludf.DUMMYFUNCTION("""COMPUTED_VALUE"""),57.33)</f>
        <v>57.33</v>
      </c>
      <c r="U378" s="1">
        <f>IFERROR(__xludf.DUMMYFUNCTION("""COMPUTED_VALUE"""),570.85)</f>
        <v>570.85</v>
      </c>
      <c r="V378" s="1">
        <f>IFERROR(__xludf.DUMMYFUNCTION("""COMPUTED_VALUE"""),94.24)</f>
        <v>94.24</v>
      </c>
      <c r="W378" s="1">
        <f>IFERROR(__xludf.DUMMYFUNCTION("""COMPUTED_VALUE"""),202.11)</f>
        <v>202.11</v>
      </c>
      <c r="X378" s="1">
        <f>IFERROR(__xludf.DUMMYFUNCTION("""COMPUTED_VALUE"""),155.65)</f>
        <v>155.65</v>
      </c>
      <c r="Y378" s="1">
        <f>IFERROR(__xludf.DUMMYFUNCTION("""COMPUTED_VALUE"""),258.16)</f>
        <v>258.16</v>
      </c>
      <c r="Z378" s="1">
        <f>IFERROR(__xludf.DUMMYFUNCTION("""COMPUTED_VALUE"""),52.35)</f>
        <v>52.35</v>
      </c>
      <c r="AA378" s="1">
        <f>IFERROR(__xludf.DUMMYFUNCTION("""COMPUTED_VALUE"""),70.52)</f>
        <v>70.52</v>
      </c>
      <c r="AB378" s="1">
        <f>IFERROR(__xludf.DUMMYFUNCTION("""COMPUTED_VALUE"""),98.24)</f>
        <v>98.24</v>
      </c>
      <c r="AC378" s="1">
        <f>IFERROR(__xludf.DUMMYFUNCTION("""COMPUTED_VALUE"""),169.21)</f>
        <v>169.21</v>
      </c>
      <c r="AD378" s="1">
        <f>IFERROR(__xludf.DUMMYFUNCTION("""COMPUTED_VALUE"""),106.29)</f>
        <v>106.29</v>
      </c>
      <c r="AE378" s="1">
        <f>IFERROR(__xludf.DUMMYFUNCTION("""COMPUTED_VALUE"""),407.59)</f>
        <v>407.59</v>
      </c>
      <c r="AF378" s="1">
        <f>IFERROR(__xludf.DUMMYFUNCTION("""COMPUTED_VALUE"""),85.18)</f>
        <v>85.18</v>
      </c>
      <c r="AG378" s="1">
        <f>IFERROR(__xludf.DUMMYFUNCTION("""COMPUTED_VALUE"""),118.22)</f>
        <v>118.22</v>
      </c>
      <c r="AH378" s="1">
        <f>IFERROR(__xludf.DUMMYFUNCTION("""COMPUTED_VALUE"""),253.89)</f>
        <v>253.89</v>
      </c>
      <c r="AI378" s="1">
        <f>IFERROR(__xludf.DUMMYFUNCTION("""COMPUTED_VALUE"""),411.4)</f>
        <v>411.4</v>
      </c>
      <c r="AJ378" s="1">
        <f>IFERROR(__xludf.DUMMYFUNCTION("""COMPUTED_VALUE"""),349.49)</f>
        <v>349.49</v>
      </c>
      <c r="AK378" s="1">
        <f>IFERROR(__xludf.DUMMYFUNCTION("""COMPUTED_VALUE"""),71.05)</f>
        <v>71.05</v>
      </c>
      <c r="AL378" s="1">
        <f>IFERROR(__xludf.DUMMYFUNCTION("""COMPUTED_VALUE"""),118.15)</f>
        <v>118.15</v>
      </c>
      <c r="AM378" s="1">
        <f>IFERROR(__xludf.DUMMYFUNCTION("""COMPUTED_VALUE"""),797.2)</f>
        <v>797.2</v>
      </c>
      <c r="AN378" s="1">
        <f>IFERROR(__xludf.DUMMYFUNCTION("""COMPUTED_VALUE"""),370.43)</f>
        <v>370.43</v>
      </c>
      <c r="AO378" s="1">
        <f>IFERROR(__xludf.DUMMYFUNCTION("""COMPUTED_VALUE"""),166.2)</f>
        <v>166.2</v>
      </c>
      <c r="AP378" s="1">
        <f>IFERROR(__xludf.DUMMYFUNCTION("""COMPUTED_VALUE"""),149.5)</f>
        <v>149.5</v>
      </c>
      <c r="AQ378" s="1">
        <f>IFERROR(__xludf.DUMMYFUNCTION("""COMPUTED_VALUE"""),576.2)</f>
        <v>576.2</v>
      </c>
      <c r="AR378" s="1">
        <f>IFERROR(__xludf.DUMMYFUNCTION("""COMPUTED_VALUE"""),316.89)</f>
        <v>316.89</v>
      </c>
      <c r="AS378" s="1">
        <f>IFERROR(__xludf.DUMMYFUNCTION("""COMPUTED_VALUE"""),452.1)</f>
        <v>452.1</v>
      </c>
      <c r="AT378" s="1">
        <f>IFERROR(__xludf.DUMMYFUNCTION("""COMPUTED_VALUE"""),170.35)</f>
        <v>170.35</v>
      </c>
      <c r="AU378" s="1">
        <f>IFERROR(__xludf.DUMMYFUNCTION("""COMPUTED_VALUE"""),33.41)</f>
        <v>33.41</v>
      </c>
      <c r="AV378" s="1">
        <f>IFERROR(__xludf.DUMMYFUNCTION("""COMPUTED_VALUE"""),92.66)</f>
        <v>92.66</v>
      </c>
      <c r="AW378" s="1">
        <f>IFERROR(__xludf.DUMMYFUNCTION("""COMPUTED_VALUE"""),77.18)</f>
        <v>77.18</v>
      </c>
      <c r="AX378" s="1">
        <f>IFERROR(__xludf.DUMMYFUNCTION("""COMPUTED_VALUE"""),64.18)</f>
        <v>64.18</v>
      </c>
      <c r="AY378" s="1">
        <f>IFERROR(__xludf.DUMMYFUNCTION("""COMPUTED_VALUE"""),506.0)</f>
        <v>506</v>
      </c>
      <c r="AZ378" s="1">
        <f>IFERROR(__xludf.DUMMYFUNCTION("""COMPUTED_VALUE"""),84.77)</f>
        <v>84.77</v>
      </c>
      <c r="BA378" s="1">
        <f>IFERROR(__xludf.DUMMYFUNCTION("""COMPUTED_VALUE"""),166.72)</f>
        <v>166.72</v>
      </c>
      <c r="BB378" s="1">
        <f>IFERROR(__xludf.DUMMYFUNCTION("""COMPUTED_VALUE"""),199.05)</f>
        <v>199.05</v>
      </c>
      <c r="BC378" s="1">
        <f>IFERROR(__xludf.DUMMYFUNCTION("""COMPUTED_VALUE"""),90.26)</f>
        <v>90.26</v>
      </c>
      <c r="BD378" s="1">
        <f>IFERROR(__xludf.DUMMYFUNCTION("""COMPUTED_VALUE"""),34.96)</f>
        <v>34.96</v>
      </c>
      <c r="BE378" s="1">
        <f>IFERROR(__xludf.DUMMYFUNCTION("""COMPUTED_VALUE"""),193.61)</f>
        <v>193.61</v>
      </c>
      <c r="BF378" s="1">
        <f>IFERROR(__xludf.DUMMYFUNCTION("""COMPUTED_VALUE"""),66.25)</f>
        <v>66.25</v>
      </c>
      <c r="BG378" s="1">
        <f>IFERROR(__xludf.DUMMYFUNCTION("""COMPUTED_VALUE"""),24.39)</f>
        <v>24.39</v>
      </c>
      <c r="BH378" s="1">
        <f>IFERROR(__xludf.DUMMYFUNCTION("""COMPUTED_VALUE"""),179.03)</f>
        <v>179.03</v>
      </c>
      <c r="BI378" s="1">
        <f>IFERROR(__xludf.DUMMYFUNCTION("""COMPUTED_VALUE"""),62.73)</f>
        <v>62.73</v>
      </c>
      <c r="BJ378" s="1">
        <f>IFERROR(__xludf.DUMMYFUNCTION("""COMPUTED_VALUE"""),205.87)</f>
        <v>205.87</v>
      </c>
      <c r="BK378" s="1">
        <f>IFERROR(__xludf.DUMMYFUNCTION("""COMPUTED_VALUE"""),576.35)</f>
        <v>576.35</v>
      </c>
      <c r="BL378" s="1">
        <f>IFERROR(__xludf.DUMMYFUNCTION("""COMPUTED_VALUE"""),203.94)</f>
        <v>203.94</v>
      </c>
      <c r="BM378" s="1">
        <f>IFERROR(__xludf.DUMMYFUNCTION("""COMPUTED_VALUE"""),122.39)</f>
        <v>122.39</v>
      </c>
      <c r="BN378" s="1">
        <f>IFERROR(__xludf.DUMMYFUNCTION("""COMPUTED_VALUE"""),4.48)</f>
        <v>4.48</v>
      </c>
      <c r="BO378" s="1">
        <f>IFERROR(__xludf.DUMMYFUNCTION("""COMPUTED_VALUE"""),223.88)</f>
        <v>223.88</v>
      </c>
      <c r="BP378" s="1">
        <f>IFERROR(__xludf.DUMMYFUNCTION("""COMPUTED_VALUE"""),321.58)</f>
        <v>321.58</v>
      </c>
      <c r="BQ378" s="36">
        <f>IFERROR(__xludf.DUMMYFUNCTION("""COMPUTED_VALUE"""),50.05)</f>
        <v>50.05</v>
      </c>
      <c r="BR378" s="1">
        <f>IFERROR(__xludf.DUMMYFUNCTION("""COMPUTED_VALUE"""),10.17)</f>
        <v>10.17</v>
      </c>
      <c r="BS378" s="1">
        <f>IFERROR(__xludf.DUMMYFUNCTION("""COMPUTED_VALUE"""),200.47)</f>
        <v>200.47</v>
      </c>
      <c r="BT378" s="1">
        <f>IFERROR(__xludf.DUMMYFUNCTION("""COMPUTED_VALUE"""),112.24)</f>
        <v>112.24</v>
      </c>
      <c r="BU378" s="3">
        <v>1.0</v>
      </c>
    </row>
    <row r="379">
      <c r="A379" s="25">
        <f>IFERROR(__xludf.DUMMYFUNCTION("""COMPUTED_VALUE"""),45972.66666666667)</f>
        <v>45972.66667</v>
      </c>
      <c r="B379" s="29">
        <f>'Master Scratch Work'!B378</f>
        <v>1571855.76</v>
      </c>
      <c r="C379" s="31">
        <f>IFERROR(__xludf.DUMMYFUNCTION("""COMPUTED_VALUE"""),6846.61)</f>
        <v>6846.61</v>
      </c>
      <c r="D379" s="31">
        <f>IFERROR(__xludf.DUMMYFUNCTION("""COMPUTED_VALUE"""),23468.3)</f>
        <v>23468.3</v>
      </c>
      <c r="E379" s="31">
        <f>IFERROR(__xludf.DUMMYFUNCTION("""COMPUTED_VALUE"""),47927.96)</f>
        <v>47927.96</v>
      </c>
      <c r="F379" s="31">
        <f>IFERROR(__xludf.DUMMYFUNCTION("""COMPUTED_VALUE"""),2458.28)</f>
        <v>2458.28</v>
      </c>
      <c r="G379" s="1">
        <f>IFERROR(__xludf.DUMMYFUNCTION("""COMPUTED_VALUE"""),683.0)</f>
        <v>683</v>
      </c>
      <c r="H379" s="1">
        <f>IFERROR(__xludf.DUMMYFUNCTION("""COMPUTED_VALUE"""),621.57)</f>
        <v>621.57</v>
      </c>
      <c r="I379" s="1">
        <f>IFERROR(__xludf.DUMMYFUNCTION("""COMPUTED_VALUE"""),333.22)</f>
        <v>333.22</v>
      </c>
      <c r="J379" s="1">
        <f>IFERROR(__xludf.DUMMYFUNCTION("""COMPUTED_VALUE"""),249.1)</f>
        <v>249.1</v>
      </c>
      <c r="K379" s="1">
        <f>IFERROR(__xludf.DUMMYFUNCTION("""COMPUTED_VALUE"""),130.01)</f>
        <v>130.01</v>
      </c>
      <c r="L379" s="1">
        <f>IFERROR(__xludf.DUMMYFUNCTION("""COMPUTED_VALUE"""),275.25)</f>
        <v>275.25</v>
      </c>
      <c r="M379" s="1">
        <f>IFERROR(__xludf.DUMMYFUNCTION("""COMPUTED_VALUE"""),228.67)</f>
        <v>228.67</v>
      </c>
      <c r="N379" s="1">
        <f>IFERROR(__xludf.DUMMYFUNCTION("""COMPUTED_VALUE"""),111.25)</f>
        <v>111.25</v>
      </c>
      <c r="O379" s="1">
        <f>IFERROR(__xludf.DUMMYFUNCTION("""COMPUTED_VALUE"""),22.18)</f>
        <v>22.18</v>
      </c>
      <c r="P379" s="1">
        <f>IFERROR(__xludf.DUMMYFUNCTION("""COMPUTED_VALUE"""),497.07)</f>
        <v>497.07</v>
      </c>
      <c r="Q379" s="1">
        <f>IFERROR(__xludf.DUMMYFUNCTION("""COMPUTED_VALUE"""),55.77)</f>
        <v>55.77</v>
      </c>
      <c r="R379" s="1">
        <f>IFERROR(__xludf.DUMMYFUNCTION("""COMPUTED_VALUE"""),159.56)</f>
        <v>159.56</v>
      </c>
      <c r="S379" s="1">
        <f>IFERROR(__xludf.DUMMYFUNCTION("""COMPUTED_VALUE"""),102.5)</f>
        <v>102.5</v>
      </c>
      <c r="T379" s="1">
        <f>IFERROR(__xludf.DUMMYFUNCTION("""COMPUTED_VALUE"""),56.97)</f>
        <v>56.97</v>
      </c>
      <c r="U379" s="1">
        <f>IFERROR(__xludf.DUMMYFUNCTION("""COMPUTED_VALUE"""),567.93)</f>
        <v>567.93</v>
      </c>
      <c r="V379" s="1">
        <f>IFERROR(__xludf.DUMMYFUNCTION("""COMPUTED_VALUE"""),92.52)</f>
        <v>92.52</v>
      </c>
      <c r="W379" s="1">
        <f>IFERROR(__xludf.DUMMYFUNCTION("""COMPUTED_VALUE"""),204.39)</f>
        <v>204.39</v>
      </c>
      <c r="X379" s="1">
        <f>IFERROR(__xludf.DUMMYFUNCTION("""COMPUTED_VALUE"""),156.24)</f>
        <v>156.24</v>
      </c>
      <c r="Y379" s="1">
        <f>IFERROR(__xludf.DUMMYFUNCTION("""COMPUTED_VALUE"""),268.0)</f>
        <v>268</v>
      </c>
      <c r="Z379" s="1">
        <f>IFERROR(__xludf.DUMMYFUNCTION("""COMPUTED_VALUE"""),52.24)</f>
        <v>52.24</v>
      </c>
      <c r="AA379" s="1">
        <f>IFERROR(__xludf.DUMMYFUNCTION("""COMPUTED_VALUE"""),71.61)</f>
        <v>71.61</v>
      </c>
      <c r="AB379" s="1">
        <f>IFERROR(__xludf.DUMMYFUNCTION("""COMPUTED_VALUE"""),99.59)</f>
        <v>99.59</v>
      </c>
      <c r="AC379" s="1">
        <f>IFERROR(__xludf.DUMMYFUNCTION("""COMPUTED_VALUE"""),168.57)</f>
        <v>168.57</v>
      </c>
      <c r="AD379" s="1">
        <f>IFERROR(__xludf.DUMMYFUNCTION("""COMPUTED_VALUE"""),105.98)</f>
        <v>105.98</v>
      </c>
      <c r="AE379" s="1">
        <f>IFERROR(__xludf.DUMMYFUNCTION("""COMPUTED_VALUE"""),409.23)</f>
        <v>409.23</v>
      </c>
      <c r="AF379" s="1">
        <f>IFERROR(__xludf.DUMMYFUNCTION("""COMPUTED_VALUE"""),87.26)</f>
        <v>87.26</v>
      </c>
      <c r="AG379" s="1">
        <f>IFERROR(__xludf.DUMMYFUNCTION("""COMPUTED_VALUE"""),119.78)</f>
        <v>119.78</v>
      </c>
      <c r="AH379" s="1">
        <f>IFERROR(__xludf.DUMMYFUNCTION("""COMPUTED_VALUE"""),267.72)</f>
        <v>267.72</v>
      </c>
      <c r="AI379" s="1">
        <f>IFERROR(__xludf.DUMMYFUNCTION("""COMPUTED_VALUE"""),422.46)</f>
        <v>422.46</v>
      </c>
      <c r="AJ379" s="1">
        <f>IFERROR(__xludf.DUMMYFUNCTION("""COMPUTED_VALUE"""),352.42)</f>
        <v>352.42</v>
      </c>
      <c r="AK379" s="1">
        <f>IFERROR(__xludf.DUMMYFUNCTION("""COMPUTED_VALUE"""),71.22)</f>
        <v>71.22</v>
      </c>
      <c r="AL379" s="1">
        <f>IFERROR(__xludf.DUMMYFUNCTION("""COMPUTED_VALUE"""),122.56)</f>
        <v>122.56</v>
      </c>
      <c r="AM379" s="1">
        <f>IFERROR(__xludf.DUMMYFUNCTION("""COMPUTED_VALUE"""),810.31)</f>
        <v>810.31</v>
      </c>
      <c r="AN379" s="1">
        <f>IFERROR(__xludf.DUMMYFUNCTION("""COMPUTED_VALUE"""),374.24)</f>
        <v>374.24</v>
      </c>
      <c r="AO379" s="1">
        <f>IFERROR(__xludf.DUMMYFUNCTION("""COMPUTED_VALUE"""),167.14)</f>
        <v>167.14</v>
      </c>
      <c r="AP379" s="1">
        <f>IFERROR(__xludf.DUMMYFUNCTION("""COMPUTED_VALUE"""),151.99)</f>
        <v>151.99</v>
      </c>
      <c r="AQ379" s="1">
        <f>IFERROR(__xludf.DUMMYFUNCTION("""COMPUTED_VALUE"""),572.17)</f>
        <v>572.17</v>
      </c>
      <c r="AR379" s="1">
        <f>IFERROR(__xludf.DUMMYFUNCTION("""COMPUTED_VALUE"""),315.62)</f>
        <v>315.62</v>
      </c>
      <c r="AS379" s="1">
        <f>IFERROR(__xludf.DUMMYFUNCTION("""COMPUTED_VALUE"""),457.07)</f>
        <v>457.07</v>
      </c>
      <c r="AT379" s="1">
        <f>IFERROR(__xludf.DUMMYFUNCTION("""COMPUTED_VALUE"""),169.81)</f>
        <v>169.81</v>
      </c>
      <c r="AU379" s="1">
        <f>IFERROR(__xludf.DUMMYFUNCTION("""COMPUTED_VALUE"""),33.54)</f>
        <v>33.54</v>
      </c>
      <c r="AV379" s="1">
        <f>IFERROR(__xludf.DUMMYFUNCTION("""COMPUTED_VALUE"""),95.4)</f>
        <v>95.4</v>
      </c>
      <c r="AW379" s="1">
        <f>IFERROR(__xludf.DUMMYFUNCTION("""COMPUTED_VALUE"""),77.79)</f>
        <v>77.79</v>
      </c>
      <c r="AX379" s="1">
        <f>IFERROR(__xludf.DUMMYFUNCTION("""COMPUTED_VALUE"""),61.95)</f>
        <v>61.95</v>
      </c>
      <c r="AY379" s="1">
        <f>IFERROR(__xludf.DUMMYFUNCTION("""COMPUTED_VALUE"""),508.68)</f>
        <v>508.68</v>
      </c>
      <c r="AZ379" s="1">
        <f>IFERROR(__xludf.DUMMYFUNCTION("""COMPUTED_VALUE"""),85.76)</f>
        <v>85.76</v>
      </c>
      <c r="BA379" s="1">
        <f>IFERROR(__xludf.DUMMYFUNCTION("""COMPUTED_VALUE"""),162.84)</f>
        <v>162.84</v>
      </c>
      <c r="BB379" s="1">
        <f>IFERROR(__xludf.DUMMYFUNCTION("""COMPUTED_VALUE"""),193.16)</f>
        <v>193.16</v>
      </c>
      <c r="BC379" s="1">
        <f>IFERROR(__xludf.DUMMYFUNCTION("""COMPUTED_VALUE"""),90.32)</f>
        <v>90.32</v>
      </c>
      <c r="BD379" s="1">
        <f>IFERROR(__xludf.DUMMYFUNCTION("""COMPUTED_VALUE"""),35.18)</f>
        <v>35.18</v>
      </c>
      <c r="BE379" s="1">
        <f>IFERROR(__xludf.DUMMYFUNCTION("""COMPUTED_VALUE"""),190.96)</f>
        <v>190.96</v>
      </c>
      <c r="BF379" s="1">
        <f>IFERROR(__xludf.DUMMYFUNCTION("""COMPUTED_VALUE"""),67.4)</f>
        <v>67.4</v>
      </c>
      <c r="BG379" s="1">
        <f>IFERROR(__xludf.DUMMYFUNCTION("""COMPUTED_VALUE"""),25.51)</f>
        <v>25.51</v>
      </c>
      <c r="BH379" s="1">
        <f>IFERROR(__xludf.DUMMYFUNCTION("""COMPUTED_VALUE"""),179.22)</f>
        <v>179.22</v>
      </c>
      <c r="BI379" s="1">
        <f>IFERROR(__xludf.DUMMYFUNCTION("""COMPUTED_VALUE"""),64.08)</f>
        <v>64.08</v>
      </c>
      <c r="BJ379" s="1">
        <f>IFERROR(__xludf.DUMMYFUNCTION("""COMPUTED_VALUE"""),211.98)</f>
        <v>211.98</v>
      </c>
      <c r="BK379" s="1">
        <f>IFERROR(__xludf.DUMMYFUNCTION("""COMPUTED_VALUE"""),586.49)</f>
        <v>586.49</v>
      </c>
      <c r="BL379" s="1">
        <f>IFERROR(__xludf.DUMMYFUNCTION("""COMPUTED_VALUE"""),205.99)</f>
        <v>205.99</v>
      </c>
      <c r="BM379" s="1">
        <f>IFERROR(__xludf.DUMMYFUNCTION("""COMPUTED_VALUE"""),122.14)</f>
        <v>122.14</v>
      </c>
      <c r="BN379" s="1">
        <f>IFERROR(__xludf.DUMMYFUNCTION("""COMPUTED_VALUE"""),4.63)</f>
        <v>4.63</v>
      </c>
      <c r="BO379" s="1">
        <f>IFERROR(__xludf.DUMMYFUNCTION("""COMPUTED_VALUE"""),224.8)</f>
        <v>224.8</v>
      </c>
      <c r="BP379" s="1">
        <f>IFERROR(__xludf.DUMMYFUNCTION("""COMPUTED_VALUE"""),327.45)</f>
        <v>327.45</v>
      </c>
      <c r="BQ379" s="36">
        <f>IFERROR(__xludf.DUMMYFUNCTION("""COMPUTED_VALUE"""),50.13)</f>
        <v>50.13</v>
      </c>
      <c r="BR379" s="1">
        <f>IFERROR(__xludf.DUMMYFUNCTION("""COMPUTED_VALUE"""),11.2)</f>
        <v>11.2</v>
      </c>
      <c r="BS379" s="1">
        <f>IFERROR(__xludf.DUMMYFUNCTION("""COMPUTED_VALUE"""),203.27)</f>
        <v>203.27</v>
      </c>
      <c r="BT379" s="1">
        <f>IFERROR(__xludf.DUMMYFUNCTION("""COMPUTED_VALUE"""),114.85)</f>
        <v>114.85</v>
      </c>
      <c r="BU379" s="3">
        <v>1.0</v>
      </c>
    </row>
    <row r="380">
      <c r="A380" s="25">
        <f>IFERROR(__xludf.DUMMYFUNCTION("""COMPUTED_VALUE"""),45973.66666666667)</f>
        <v>45973.66667</v>
      </c>
      <c r="B380" s="29">
        <f>'Master Scratch Work'!B379</f>
        <v>1574843.88</v>
      </c>
      <c r="C380" s="31">
        <f>IFERROR(__xludf.DUMMYFUNCTION("""COMPUTED_VALUE"""),6850.92)</f>
        <v>6850.92</v>
      </c>
      <c r="D380" s="31">
        <f>IFERROR(__xludf.DUMMYFUNCTION("""COMPUTED_VALUE"""),23406.46)</f>
        <v>23406.46</v>
      </c>
      <c r="E380" s="31">
        <f>IFERROR(__xludf.DUMMYFUNCTION("""COMPUTED_VALUE"""),48254.82)</f>
        <v>48254.82</v>
      </c>
      <c r="F380" s="31">
        <f>IFERROR(__xludf.DUMMYFUNCTION("""COMPUTED_VALUE"""),2450.8)</f>
        <v>2450.8</v>
      </c>
      <c r="G380" s="1">
        <f>IFERROR(__xludf.DUMMYFUNCTION("""COMPUTED_VALUE"""),683.38)</f>
        <v>683.38</v>
      </c>
      <c r="H380" s="1">
        <f>IFERROR(__xludf.DUMMYFUNCTION("""COMPUTED_VALUE"""),621.08)</f>
        <v>621.08</v>
      </c>
      <c r="I380" s="1">
        <f>IFERROR(__xludf.DUMMYFUNCTION("""COMPUTED_VALUE"""),337.05)</f>
        <v>337.05</v>
      </c>
      <c r="J380" s="1">
        <f>IFERROR(__xludf.DUMMYFUNCTION("""COMPUTED_VALUE"""),244.2)</f>
        <v>244.2</v>
      </c>
      <c r="K380" s="1">
        <f>IFERROR(__xludf.DUMMYFUNCTION("""COMPUTED_VALUE"""),129.77)</f>
        <v>129.77</v>
      </c>
      <c r="L380" s="1">
        <f>IFERROR(__xludf.DUMMYFUNCTION("""COMPUTED_VALUE"""),273.47)</f>
        <v>273.47</v>
      </c>
      <c r="M380" s="1">
        <f>IFERROR(__xludf.DUMMYFUNCTION("""COMPUTED_VALUE"""),230.73)</f>
        <v>230.73</v>
      </c>
      <c r="N380" s="1">
        <f>IFERROR(__xludf.DUMMYFUNCTION("""COMPUTED_VALUE"""),112.64)</f>
        <v>112.64</v>
      </c>
      <c r="O380" s="1">
        <f>IFERROR(__xludf.DUMMYFUNCTION("""COMPUTED_VALUE"""),22.51)</f>
        <v>22.51</v>
      </c>
      <c r="P380" s="1">
        <f>IFERROR(__xludf.DUMMYFUNCTION("""COMPUTED_VALUE"""),502.4)</f>
        <v>502.4</v>
      </c>
      <c r="Q380" s="1">
        <f>IFERROR(__xludf.DUMMYFUNCTION("""COMPUTED_VALUE"""),56.32)</f>
        <v>56.32</v>
      </c>
      <c r="R380" s="1">
        <f>IFERROR(__xludf.DUMMYFUNCTION("""COMPUTED_VALUE"""),161.48)</f>
        <v>161.48</v>
      </c>
      <c r="S380" s="1">
        <f>IFERROR(__xludf.DUMMYFUNCTION("""COMPUTED_VALUE"""),104.13)</f>
        <v>104.13</v>
      </c>
      <c r="T380" s="1">
        <f>IFERROR(__xludf.DUMMYFUNCTION("""COMPUTED_VALUE"""),55.99)</f>
        <v>55.99</v>
      </c>
      <c r="U380" s="1">
        <f>IFERROR(__xludf.DUMMYFUNCTION("""COMPUTED_VALUE"""),573.02)</f>
        <v>573.02</v>
      </c>
      <c r="V380" s="1">
        <f>IFERROR(__xludf.DUMMYFUNCTION("""COMPUTED_VALUE"""),92.57)</f>
        <v>92.57</v>
      </c>
      <c r="W380" s="1">
        <f>IFERROR(__xludf.DUMMYFUNCTION("""COMPUTED_VALUE"""),202.31)</f>
        <v>202.31</v>
      </c>
      <c r="X380" s="1">
        <f>IFERROR(__xludf.DUMMYFUNCTION("""COMPUTED_VALUE"""),153.32)</f>
        <v>153.32</v>
      </c>
      <c r="Y380" s="1">
        <f>IFERROR(__xludf.DUMMYFUNCTION("""COMPUTED_VALUE"""),270.61)</f>
        <v>270.61</v>
      </c>
      <c r="Z380" s="1">
        <f>IFERROR(__xludf.DUMMYFUNCTION("""COMPUTED_VALUE"""),52.66)</f>
        <v>52.66</v>
      </c>
      <c r="AA380" s="1">
        <f>IFERROR(__xludf.DUMMYFUNCTION("""COMPUTED_VALUE"""),71.51)</f>
        <v>71.51</v>
      </c>
      <c r="AB380" s="1">
        <f>IFERROR(__xludf.DUMMYFUNCTION("""COMPUTED_VALUE"""),100.19)</f>
        <v>100.19</v>
      </c>
      <c r="AC380" s="1">
        <f>IFERROR(__xludf.DUMMYFUNCTION("""COMPUTED_VALUE"""),163.9)</f>
        <v>163.9</v>
      </c>
      <c r="AD380" s="1">
        <f>IFERROR(__xludf.DUMMYFUNCTION("""COMPUTED_VALUE"""),106.18)</f>
        <v>106.18</v>
      </c>
      <c r="AE380" s="1">
        <f>IFERROR(__xludf.DUMMYFUNCTION("""COMPUTED_VALUE"""),403.76)</f>
        <v>403.76</v>
      </c>
      <c r="AF380" s="1">
        <f>IFERROR(__xludf.DUMMYFUNCTION("""COMPUTED_VALUE"""),87.79)</f>
        <v>87.79</v>
      </c>
      <c r="AG380" s="1">
        <f>IFERROR(__xludf.DUMMYFUNCTION("""COMPUTED_VALUE"""),118.12)</f>
        <v>118.12</v>
      </c>
      <c r="AH380" s="1">
        <f>IFERROR(__xludf.DUMMYFUNCTION("""COMPUTED_VALUE"""),268.67)</f>
        <v>268.67</v>
      </c>
      <c r="AI380" s="1">
        <f>IFERROR(__xludf.DUMMYFUNCTION("""COMPUTED_VALUE"""),419.52)</f>
        <v>419.52</v>
      </c>
      <c r="AJ380" s="1">
        <f>IFERROR(__xludf.DUMMYFUNCTION("""COMPUTED_VALUE"""),349.45)</f>
        <v>349.45</v>
      </c>
      <c r="AK380" s="1">
        <f>IFERROR(__xludf.DUMMYFUNCTION("""COMPUTED_VALUE"""),71.84)</f>
        <v>71.84</v>
      </c>
      <c r="AL380" s="1">
        <f>IFERROR(__xludf.DUMMYFUNCTION("""COMPUTED_VALUE"""),123.4)</f>
        <v>123.4</v>
      </c>
      <c r="AM380" s="1">
        <f>IFERROR(__xludf.DUMMYFUNCTION("""COMPUTED_VALUE"""),838.97)</f>
        <v>838.97</v>
      </c>
      <c r="AN380" s="1">
        <f>IFERROR(__xludf.DUMMYFUNCTION("""COMPUTED_VALUE"""),371.13)</f>
        <v>371.13</v>
      </c>
      <c r="AO380" s="1">
        <f>IFERROR(__xludf.DUMMYFUNCTION("""COMPUTED_VALUE"""),165.48)</f>
        <v>165.48</v>
      </c>
      <c r="AP380" s="1">
        <f>IFERROR(__xludf.DUMMYFUNCTION("""COMPUTED_VALUE"""),154.05)</f>
        <v>154.05</v>
      </c>
      <c r="AQ380" s="1">
        <f>IFERROR(__xludf.DUMMYFUNCTION("""COMPUTED_VALUE"""),572.45)</f>
        <v>572.45</v>
      </c>
      <c r="AR380" s="1">
        <f>IFERROR(__xludf.DUMMYFUNCTION("""COMPUTED_VALUE"""),320.41)</f>
        <v>320.41</v>
      </c>
      <c r="AS380" s="1">
        <f>IFERROR(__xludf.DUMMYFUNCTION("""COMPUTED_VALUE"""),457.04)</f>
        <v>457.04</v>
      </c>
      <c r="AT380" s="1">
        <f>IFERROR(__xludf.DUMMYFUNCTION("""COMPUTED_VALUE"""),170.9)</f>
        <v>170.9</v>
      </c>
      <c r="AU380" s="1">
        <f>IFERROR(__xludf.DUMMYFUNCTION("""COMPUTED_VALUE"""),34.43)</f>
        <v>34.43</v>
      </c>
      <c r="AV380" s="1">
        <f>IFERROR(__xludf.DUMMYFUNCTION("""COMPUTED_VALUE"""),95.81)</f>
        <v>95.81</v>
      </c>
      <c r="AW380" s="1">
        <f>IFERROR(__xludf.DUMMYFUNCTION("""COMPUTED_VALUE"""),80.21)</f>
        <v>80.21</v>
      </c>
      <c r="AX380" s="1">
        <f>IFERROR(__xludf.DUMMYFUNCTION("""COMPUTED_VALUE"""),59.72)</f>
        <v>59.72</v>
      </c>
      <c r="AY380" s="1">
        <f>IFERROR(__xludf.DUMMYFUNCTION("""COMPUTED_VALUE"""),511.14)</f>
        <v>511.14</v>
      </c>
      <c r="AZ380" s="1">
        <f>IFERROR(__xludf.DUMMYFUNCTION("""COMPUTED_VALUE"""),85.89)</f>
        <v>85.89</v>
      </c>
      <c r="BA380" s="1">
        <f>IFERROR(__xludf.DUMMYFUNCTION("""COMPUTED_VALUE"""),168.84)</f>
        <v>168.84</v>
      </c>
      <c r="BB380" s="1">
        <f>IFERROR(__xludf.DUMMYFUNCTION("""COMPUTED_VALUE"""),193.8)</f>
        <v>193.8</v>
      </c>
      <c r="BC380" s="1">
        <f>IFERROR(__xludf.DUMMYFUNCTION("""COMPUTED_VALUE"""),90.98)</f>
        <v>90.98</v>
      </c>
      <c r="BD380" s="1">
        <f>IFERROR(__xludf.DUMMYFUNCTION("""COMPUTED_VALUE"""),41.51)</f>
        <v>41.51</v>
      </c>
      <c r="BE380" s="1">
        <f>IFERROR(__xludf.DUMMYFUNCTION("""COMPUTED_VALUE"""),184.17)</f>
        <v>184.17</v>
      </c>
      <c r="BF380" s="1">
        <f>IFERROR(__xludf.DUMMYFUNCTION("""COMPUTED_VALUE"""),67.2)</f>
        <v>67.2</v>
      </c>
      <c r="BG380" s="1">
        <f>IFERROR(__xludf.DUMMYFUNCTION("""COMPUTED_VALUE"""),25.87)</f>
        <v>25.87</v>
      </c>
      <c r="BH380" s="1">
        <f>IFERROR(__xludf.DUMMYFUNCTION("""COMPUTED_VALUE"""),177.69)</f>
        <v>177.69</v>
      </c>
      <c r="BI380" s="1">
        <f>IFERROR(__xludf.DUMMYFUNCTION("""COMPUTED_VALUE"""),65.83)</f>
        <v>65.83</v>
      </c>
      <c r="BJ380" s="1">
        <f>IFERROR(__xludf.DUMMYFUNCTION("""COMPUTED_VALUE"""),212.68)</f>
        <v>212.68</v>
      </c>
      <c r="BK380" s="1">
        <f>IFERROR(__xludf.DUMMYFUNCTION("""COMPUTED_VALUE"""),588.02)</f>
        <v>588.02</v>
      </c>
      <c r="BL380" s="1">
        <f>IFERROR(__xludf.DUMMYFUNCTION("""COMPUTED_VALUE"""),207.29)</f>
        <v>207.29</v>
      </c>
      <c r="BM380" s="1">
        <f>IFERROR(__xludf.DUMMYFUNCTION("""COMPUTED_VALUE"""),119.18)</f>
        <v>119.18</v>
      </c>
      <c r="BN380" s="1">
        <f>IFERROR(__xludf.DUMMYFUNCTION("""COMPUTED_VALUE"""),4.81)</f>
        <v>4.81</v>
      </c>
      <c r="BO380" s="1">
        <f>IFERROR(__xludf.DUMMYFUNCTION("""COMPUTED_VALUE"""),223.55)</f>
        <v>223.55</v>
      </c>
      <c r="BP380" s="1">
        <f>IFERROR(__xludf.DUMMYFUNCTION("""COMPUTED_VALUE"""),339.06)</f>
        <v>339.06</v>
      </c>
      <c r="BQ380" s="36">
        <f>IFERROR(__xludf.DUMMYFUNCTION("""COMPUTED_VALUE"""),50.06)</f>
        <v>50.06</v>
      </c>
      <c r="BR380" s="1">
        <f>IFERROR(__xludf.DUMMYFUNCTION("""COMPUTED_VALUE"""),11.01)</f>
        <v>11.01</v>
      </c>
      <c r="BS380" s="1">
        <f>IFERROR(__xludf.DUMMYFUNCTION("""COMPUTED_VALUE"""),203.8)</f>
        <v>203.8</v>
      </c>
      <c r="BT380" s="1">
        <f>IFERROR(__xludf.DUMMYFUNCTION("""COMPUTED_VALUE"""),116.65)</f>
        <v>116.65</v>
      </c>
      <c r="BU380" s="3">
        <v>1.0</v>
      </c>
    </row>
    <row r="381">
      <c r="A381" s="25">
        <f>IFERROR(__xludf.DUMMYFUNCTION("""COMPUTED_VALUE"""),45974.66666666667)</f>
        <v>45974.66667</v>
      </c>
      <c r="B381" s="29">
        <f>'Master Scratch Work'!B380</f>
        <v>1550782.99</v>
      </c>
      <c r="C381" s="31">
        <f>IFERROR(__xludf.DUMMYFUNCTION("""COMPUTED_VALUE"""),6737.49)</f>
        <v>6737.49</v>
      </c>
      <c r="D381" s="31">
        <f>IFERROR(__xludf.DUMMYFUNCTION("""COMPUTED_VALUE"""),22870.36)</f>
        <v>22870.36</v>
      </c>
      <c r="E381" s="31">
        <f>IFERROR(__xludf.DUMMYFUNCTION("""COMPUTED_VALUE"""),47457.22)</f>
        <v>47457.22</v>
      </c>
      <c r="F381" s="31">
        <f>IFERROR(__xludf.DUMMYFUNCTION("""COMPUTED_VALUE"""),2382.98)</f>
        <v>2382.98</v>
      </c>
      <c r="G381" s="1">
        <f>IFERROR(__xludf.DUMMYFUNCTION("""COMPUTED_VALUE"""),672.04)</f>
        <v>672.04</v>
      </c>
      <c r="H381" s="1">
        <f>IFERROR(__xludf.DUMMYFUNCTION("""COMPUTED_VALUE"""),608.4)</f>
        <v>608.4</v>
      </c>
      <c r="I381" s="1">
        <f>IFERROR(__xludf.DUMMYFUNCTION("""COMPUTED_VALUE"""),333.6)</f>
        <v>333.6</v>
      </c>
      <c r="J381" s="1">
        <f>IFERROR(__xludf.DUMMYFUNCTION("""COMPUTED_VALUE"""),237.58)</f>
        <v>237.58</v>
      </c>
      <c r="K381" s="1">
        <f>IFERROR(__xludf.DUMMYFUNCTION("""COMPUTED_VALUE"""),131.46)</f>
        <v>131.46</v>
      </c>
      <c r="L381" s="1">
        <f>IFERROR(__xludf.DUMMYFUNCTION("""COMPUTED_VALUE"""),272.95)</f>
        <v>272.95</v>
      </c>
      <c r="M381" s="1">
        <f>IFERROR(__xludf.DUMMYFUNCTION("""COMPUTED_VALUE"""),223.23)</f>
        <v>223.23</v>
      </c>
      <c r="N381" s="1">
        <f>IFERROR(__xludf.DUMMYFUNCTION("""COMPUTED_VALUE"""),111.04)</f>
        <v>111.04</v>
      </c>
      <c r="O381" s="1">
        <f>IFERROR(__xludf.DUMMYFUNCTION("""COMPUTED_VALUE"""),22.25)</f>
        <v>22.25</v>
      </c>
      <c r="P381" s="1">
        <f>IFERROR(__xludf.DUMMYFUNCTION("""COMPUTED_VALUE"""),513.11)</f>
        <v>513.11</v>
      </c>
      <c r="Q381" s="1">
        <f>IFERROR(__xludf.DUMMYFUNCTION("""COMPUTED_VALUE"""),55.95)</f>
        <v>55.95</v>
      </c>
      <c r="R381" s="1">
        <f>IFERROR(__xludf.DUMMYFUNCTION("""COMPUTED_VALUE"""),164.73)</f>
        <v>164.73</v>
      </c>
      <c r="S381" s="1">
        <f>IFERROR(__xludf.DUMMYFUNCTION("""COMPUTED_VALUE"""),104.98)</f>
        <v>104.98</v>
      </c>
      <c r="T381" s="1">
        <f>IFERROR(__xludf.DUMMYFUNCTION("""COMPUTED_VALUE"""),55.16)</f>
        <v>55.16</v>
      </c>
      <c r="U381" s="1">
        <f>IFERROR(__xludf.DUMMYFUNCTION("""COMPUTED_VALUE"""),553.55)</f>
        <v>553.55</v>
      </c>
      <c r="V381" s="1">
        <f>IFERROR(__xludf.DUMMYFUNCTION("""COMPUTED_VALUE"""),85.98)</f>
        <v>85.98</v>
      </c>
      <c r="W381" s="1">
        <f>IFERROR(__xludf.DUMMYFUNCTION("""COMPUTED_VALUE"""),198.81)</f>
        <v>198.81</v>
      </c>
      <c r="X381" s="1">
        <f>IFERROR(__xludf.DUMMYFUNCTION("""COMPUTED_VALUE"""),155.58)</f>
        <v>155.58</v>
      </c>
      <c r="Y381" s="1">
        <f>IFERROR(__xludf.DUMMYFUNCTION("""COMPUTED_VALUE"""),270.89)</f>
        <v>270.89</v>
      </c>
      <c r="Z381" s="1">
        <f>IFERROR(__xludf.DUMMYFUNCTION("""COMPUTED_VALUE"""),51.71)</f>
        <v>51.71</v>
      </c>
      <c r="AA381" s="1">
        <f>IFERROR(__xludf.DUMMYFUNCTION("""COMPUTED_VALUE"""),71.07)</f>
        <v>71.07</v>
      </c>
      <c r="AB381" s="1">
        <f>IFERROR(__xludf.DUMMYFUNCTION("""COMPUTED_VALUE"""),100.95)</f>
        <v>100.95</v>
      </c>
      <c r="AC381" s="1">
        <f>IFERROR(__xludf.DUMMYFUNCTION("""COMPUTED_VALUE"""),158.11)</f>
        <v>158.11</v>
      </c>
      <c r="AD381" s="1">
        <f>IFERROR(__xludf.DUMMYFUNCTION("""COMPUTED_VALUE"""),103.15)</f>
        <v>103.15</v>
      </c>
      <c r="AE381" s="1">
        <f>IFERROR(__xludf.DUMMYFUNCTION("""COMPUTED_VALUE"""),408.68)</f>
        <v>408.68</v>
      </c>
      <c r="AF381" s="1">
        <f>IFERROR(__xludf.DUMMYFUNCTION("""COMPUTED_VALUE"""),84.43)</f>
        <v>84.43</v>
      </c>
      <c r="AG381" s="1">
        <f>IFERROR(__xludf.DUMMYFUNCTION("""COMPUTED_VALUE"""),118.79)</f>
        <v>118.79</v>
      </c>
      <c r="AH381" s="1">
        <f>IFERROR(__xludf.DUMMYFUNCTION("""COMPUTED_VALUE"""),267.34)</f>
        <v>267.34</v>
      </c>
      <c r="AI381" s="1">
        <f>IFERROR(__xludf.DUMMYFUNCTION("""COMPUTED_VALUE"""),417.81)</f>
        <v>417.81</v>
      </c>
      <c r="AJ381" s="1">
        <f>IFERROR(__xludf.DUMMYFUNCTION("""COMPUTED_VALUE"""),344.06)</f>
        <v>344.06</v>
      </c>
      <c r="AK381" s="1">
        <f>IFERROR(__xludf.DUMMYFUNCTION("""COMPUTED_VALUE"""),71.89)</f>
        <v>71.89</v>
      </c>
      <c r="AL381" s="1">
        <f>IFERROR(__xludf.DUMMYFUNCTION("""COMPUTED_VALUE"""),125.2)</f>
        <v>125.2</v>
      </c>
      <c r="AM381" s="1">
        <f>IFERROR(__xludf.DUMMYFUNCTION("""COMPUTED_VALUE"""),805.5)</f>
        <v>805.5</v>
      </c>
      <c r="AN381" s="1">
        <f>IFERROR(__xludf.DUMMYFUNCTION("""COMPUTED_VALUE"""),368.07)</f>
        <v>368.07</v>
      </c>
      <c r="AO381" s="1">
        <f>IFERROR(__xludf.DUMMYFUNCTION("""COMPUTED_VALUE"""),161.77)</f>
        <v>161.77</v>
      </c>
      <c r="AP381" s="1">
        <f>IFERROR(__xludf.DUMMYFUNCTION("""COMPUTED_VALUE"""),152.7)</f>
        <v>152.7</v>
      </c>
      <c r="AQ381" s="1">
        <f>IFERROR(__xludf.DUMMYFUNCTION("""COMPUTED_VALUE"""),565.51)</f>
        <v>565.51</v>
      </c>
      <c r="AR381" s="1">
        <f>IFERROR(__xludf.DUMMYFUNCTION("""COMPUTED_VALUE"""),309.48)</f>
        <v>309.48</v>
      </c>
      <c r="AS381" s="1">
        <f>IFERROR(__xludf.DUMMYFUNCTION("""COMPUTED_VALUE"""),455.85)</f>
        <v>455.85</v>
      </c>
      <c r="AT381" s="1">
        <f>IFERROR(__xludf.DUMMYFUNCTION("""COMPUTED_VALUE"""),169.66)</f>
        <v>169.66</v>
      </c>
      <c r="AU381" s="1">
        <f>IFERROR(__xludf.DUMMYFUNCTION("""COMPUTED_VALUE"""),34.43)</f>
        <v>34.43</v>
      </c>
      <c r="AV381" s="1">
        <f>IFERROR(__xludf.DUMMYFUNCTION("""COMPUTED_VALUE"""),96.14)</f>
        <v>96.14</v>
      </c>
      <c r="AW381" s="1">
        <f>IFERROR(__xludf.DUMMYFUNCTION("""COMPUTED_VALUE"""),79.47)</f>
        <v>79.47</v>
      </c>
      <c r="AX381" s="1">
        <f>IFERROR(__xludf.DUMMYFUNCTION("""COMPUTED_VALUE"""),57.54)</f>
        <v>57.54</v>
      </c>
      <c r="AY381" s="1">
        <f>IFERROR(__xludf.DUMMYFUNCTION("""COMPUTED_VALUE"""),503.29)</f>
        <v>503.29</v>
      </c>
      <c r="AZ381" s="1">
        <f>IFERROR(__xludf.DUMMYFUNCTION("""COMPUTED_VALUE"""),83.99)</f>
        <v>83.99</v>
      </c>
      <c r="BA381" s="1">
        <f>IFERROR(__xludf.DUMMYFUNCTION("""COMPUTED_VALUE"""),166.15)</f>
        <v>166.15</v>
      </c>
      <c r="BB381" s="1">
        <f>IFERROR(__xludf.DUMMYFUNCTION("""COMPUTED_VALUE"""),186.86)</f>
        <v>186.86</v>
      </c>
      <c r="BC381" s="1">
        <f>IFERROR(__xludf.DUMMYFUNCTION("""COMPUTED_VALUE"""),90.59)</f>
        <v>90.59</v>
      </c>
      <c r="BD381" s="1">
        <f>IFERROR(__xludf.DUMMYFUNCTION("""COMPUTED_VALUE"""),42.4)</f>
        <v>42.4</v>
      </c>
      <c r="BE381" s="1">
        <f>IFERROR(__xludf.DUMMYFUNCTION("""COMPUTED_VALUE"""),172.14)</f>
        <v>172.14</v>
      </c>
      <c r="BF381" s="1">
        <f>IFERROR(__xludf.DUMMYFUNCTION("""COMPUTED_VALUE"""),65.33)</f>
        <v>65.33</v>
      </c>
      <c r="BG381" s="1">
        <f>IFERROR(__xludf.DUMMYFUNCTION("""COMPUTED_VALUE"""),25.79)</f>
        <v>25.79</v>
      </c>
      <c r="BH381" s="1">
        <f>IFERROR(__xludf.DUMMYFUNCTION("""COMPUTED_VALUE"""),173.96)</f>
        <v>173.96</v>
      </c>
      <c r="BI381" s="1">
        <f>IFERROR(__xludf.DUMMYFUNCTION("""COMPUTED_VALUE"""),64.38)</f>
        <v>64.38</v>
      </c>
      <c r="BJ381" s="1">
        <f>IFERROR(__xludf.DUMMYFUNCTION("""COMPUTED_VALUE"""),214.57)</f>
        <v>214.57</v>
      </c>
      <c r="BK381" s="1">
        <f>IFERROR(__xludf.DUMMYFUNCTION("""COMPUTED_VALUE"""),580.13)</f>
        <v>580.13</v>
      </c>
      <c r="BL381" s="1">
        <f>IFERROR(__xludf.DUMMYFUNCTION("""COMPUTED_VALUE"""),203.26)</f>
        <v>203.26</v>
      </c>
      <c r="BM381" s="1">
        <f>IFERROR(__xludf.DUMMYFUNCTION("""COMPUTED_VALUE"""),115.55)</f>
        <v>115.55</v>
      </c>
      <c r="BN381" s="1">
        <f>IFERROR(__xludf.DUMMYFUNCTION("""COMPUTED_VALUE"""),4.66)</f>
        <v>4.66</v>
      </c>
      <c r="BO381" s="1">
        <f>IFERROR(__xludf.DUMMYFUNCTION("""COMPUTED_VALUE"""),221.48)</f>
        <v>221.48</v>
      </c>
      <c r="BP381" s="1">
        <f>IFERROR(__xludf.DUMMYFUNCTION("""COMPUTED_VALUE"""),332.52)</f>
        <v>332.52</v>
      </c>
      <c r="BQ381" s="36">
        <f>IFERROR(__xludf.DUMMYFUNCTION("""COMPUTED_VALUE"""),50.05)</f>
        <v>50.05</v>
      </c>
      <c r="BR381" s="1">
        <f>IFERROR(__xludf.DUMMYFUNCTION("""COMPUTED_VALUE"""),10.91)</f>
        <v>10.91</v>
      </c>
      <c r="BS381" s="1">
        <f>IFERROR(__xludf.DUMMYFUNCTION("""COMPUTED_VALUE"""),204.51)</f>
        <v>204.51</v>
      </c>
      <c r="BT381" s="1">
        <f>IFERROR(__xludf.DUMMYFUNCTION("""COMPUTED_VALUE"""),107.61)</f>
        <v>107.61</v>
      </c>
      <c r="BU381" s="3">
        <v>1.0</v>
      </c>
    </row>
    <row r="382">
      <c r="A382" s="25">
        <f>IFERROR(__xludf.DUMMYFUNCTION("""COMPUTED_VALUE"""),45975.66666666667)</f>
        <v>45975.66667</v>
      </c>
      <c r="B382" s="29">
        <f>'Master Scratch Work'!B381</f>
        <v>1548242.25</v>
      </c>
      <c r="C382" s="31">
        <f>IFERROR(__xludf.DUMMYFUNCTION("""COMPUTED_VALUE"""),6734.11)</f>
        <v>6734.11</v>
      </c>
      <c r="D382" s="31">
        <f>IFERROR(__xludf.DUMMYFUNCTION("""COMPUTED_VALUE"""),22900.59)</f>
        <v>22900.59</v>
      </c>
      <c r="E382" s="31">
        <f>IFERROR(__xludf.DUMMYFUNCTION("""COMPUTED_VALUE"""),47147.48)</f>
        <v>47147.48</v>
      </c>
      <c r="F382" s="31">
        <f>IFERROR(__xludf.DUMMYFUNCTION("""COMPUTED_VALUE"""),2388.23)</f>
        <v>2388.23</v>
      </c>
      <c r="G382" s="1">
        <f>IFERROR(__xludf.DUMMYFUNCTION("""COMPUTED_VALUE"""),671.93)</f>
        <v>671.93</v>
      </c>
      <c r="H382" s="1">
        <f>IFERROR(__xludf.DUMMYFUNCTION("""COMPUTED_VALUE"""),608.86)</f>
        <v>608.86</v>
      </c>
      <c r="I382" s="1">
        <f>IFERROR(__xludf.DUMMYFUNCTION("""COMPUTED_VALUE"""),331.11)</f>
        <v>331.11</v>
      </c>
      <c r="J382" s="1">
        <f>IFERROR(__xludf.DUMMYFUNCTION("""COMPUTED_VALUE"""),234.69)</f>
        <v>234.69</v>
      </c>
      <c r="K382" s="1">
        <f>IFERROR(__xludf.DUMMYFUNCTION("""COMPUTED_VALUE"""),131.62)</f>
        <v>131.62</v>
      </c>
      <c r="L382" s="1">
        <f>IFERROR(__xludf.DUMMYFUNCTION("""COMPUTED_VALUE"""),272.41)</f>
        <v>272.41</v>
      </c>
      <c r="M382" s="1">
        <f>IFERROR(__xludf.DUMMYFUNCTION("""COMPUTED_VALUE"""),226.01)</f>
        <v>226.01</v>
      </c>
      <c r="N382" s="1">
        <f>IFERROR(__xludf.DUMMYFUNCTION("""COMPUTED_VALUE"""),110.48)</f>
        <v>110.48</v>
      </c>
      <c r="O382" s="1">
        <f>IFERROR(__xludf.DUMMYFUNCTION("""COMPUTED_VALUE"""),21.7)</f>
        <v>21.7</v>
      </c>
      <c r="P382" s="1">
        <f>IFERROR(__xludf.DUMMYFUNCTION("""COMPUTED_VALUE"""),508.94)</f>
        <v>508.94</v>
      </c>
      <c r="Q382" s="1">
        <f>IFERROR(__xludf.DUMMYFUNCTION("""COMPUTED_VALUE"""),55.23)</f>
        <v>55.23</v>
      </c>
      <c r="R382" s="1">
        <f>IFERROR(__xludf.DUMMYFUNCTION("""COMPUTED_VALUE"""),167.55)</f>
        <v>167.55</v>
      </c>
      <c r="S382" s="1">
        <f>IFERROR(__xludf.DUMMYFUNCTION("""COMPUTED_VALUE"""),102.69)</f>
        <v>102.69</v>
      </c>
      <c r="T382" s="1">
        <f>IFERROR(__xludf.DUMMYFUNCTION("""COMPUTED_VALUE"""),54.1)</f>
        <v>54.1</v>
      </c>
      <c r="U382" s="1">
        <f>IFERROR(__xludf.DUMMYFUNCTION("""COMPUTED_VALUE"""),554.03)</f>
        <v>554.03</v>
      </c>
      <c r="V382" s="1">
        <f>IFERROR(__xludf.DUMMYFUNCTION("""COMPUTED_VALUE"""),84.76)</f>
        <v>84.76</v>
      </c>
      <c r="W382" s="1">
        <f>IFERROR(__xludf.DUMMYFUNCTION("""COMPUTED_VALUE"""),197.52)</f>
        <v>197.52</v>
      </c>
      <c r="X382" s="1">
        <f>IFERROR(__xludf.DUMMYFUNCTION("""COMPUTED_VALUE"""),157.62)</f>
        <v>157.62</v>
      </c>
      <c r="Y382" s="1">
        <f>IFERROR(__xludf.DUMMYFUNCTION("""COMPUTED_VALUE"""),269.66)</f>
        <v>269.66</v>
      </c>
      <c r="Z382" s="1">
        <f>IFERROR(__xludf.DUMMYFUNCTION("""COMPUTED_VALUE"""),51.69)</f>
        <v>51.69</v>
      </c>
      <c r="AA382" s="1">
        <f>IFERROR(__xludf.DUMMYFUNCTION("""COMPUTED_VALUE"""),71.16)</f>
        <v>71.16</v>
      </c>
      <c r="AB382" s="1">
        <f>IFERROR(__xludf.DUMMYFUNCTION("""COMPUTED_VALUE"""),101.66)</f>
        <v>101.66</v>
      </c>
      <c r="AC382" s="1">
        <f>IFERROR(__xludf.DUMMYFUNCTION("""COMPUTED_VALUE"""),158.18)</f>
        <v>158.18</v>
      </c>
      <c r="AD382" s="1">
        <f>IFERROR(__xludf.DUMMYFUNCTION("""COMPUTED_VALUE"""),104.75)</f>
        <v>104.75</v>
      </c>
      <c r="AE382" s="1">
        <f>IFERROR(__xludf.DUMMYFUNCTION("""COMPUTED_VALUE"""),410.16)</f>
        <v>410.16</v>
      </c>
      <c r="AF382" s="1">
        <f>IFERROR(__xludf.DUMMYFUNCTION("""COMPUTED_VALUE"""),83.85)</f>
        <v>83.85</v>
      </c>
      <c r="AG382" s="1">
        <f>IFERROR(__xludf.DUMMYFUNCTION("""COMPUTED_VALUE"""),119.29)</f>
        <v>119.29</v>
      </c>
      <c r="AH382" s="1">
        <f>IFERROR(__xludf.DUMMYFUNCTION("""COMPUTED_VALUE"""),267.56)</f>
        <v>267.56</v>
      </c>
      <c r="AI382" s="1">
        <f>IFERROR(__xludf.DUMMYFUNCTION("""COMPUTED_VALUE"""),417.16)</f>
        <v>417.16</v>
      </c>
      <c r="AJ382" s="1">
        <f>IFERROR(__xludf.DUMMYFUNCTION("""COMPUTED_VALUE"""),344.25)</f>
        <v>344.25</v>
      </c>
      <c r="AK382" s="1">
        <f>IFERROR(__xludf.DUMMYFUNCTION("""COMPUTED_VALUE"""),70.52)</f>
        <v>70.52</v>
      </c>
      <c r="AL382" s="1">
        <f>IFERROR(__xludf.DUMMYFUNCTION("""COMPUTED_VALUE"""),125.02)</f>
        <v>125.02</v>
      </c>
      <c r="AM382" s="1">
        <f>IFERROR(__xludf.DUMMYFUNCTION("""COMPUTED_VALUE"""),790.91)</f>
        <v>790.91</v>
      </c>
      <c r="AN382" s="1">
        <f>IFERROR(__xludf.DUMMYFUNCTION("""COMPUTED_VALUE"""),362.36)</f>
        <v>362.36</v>
      </c>
      <c r="AO382" s="1">
        <f>IFERROR(__xludf.DUMMYFUNCTION("""COMPUTED_VALUE"""),165.5)</f>
        <v>165.5</v>
      </c>
      <c r="AP382" s="1">
        <f>IFERROR(__xludf.DUMMYFUNCTION("""COMPUTED_VALUE"""),152.07)</f>
        <v>152.07</v>
      </c>
      <c r="AQ382" s="1">
        <f>IFERROR(__xludf.DUMMYFUNCTION("""COMPUTED_VALUE"""),549.51)</f>
        <v>549.51</v>
      </c>
      <c r="AR382" s="1">
        <f>IFERROR(__xludf.DUMMYFUNCTION("""COMPUTED_VALUE"""),303.61)</f>
        <v>303.61</v>
      </c>
      <c r="AS382" s="1">
        <f>IFERROR(__xludf.DUMMYFUNCTION("""COMPUTED_VALUE"""),465.77)</f>
        <v>465.77</v>
      </c>
      <c r="AT382" s="1">
        <f>IFERROR(__xludf.DUMMYFUNCTION("""COMPUTED_VALUE"""),170.68)</f>
        <v>170.68</v>
      </c>
      <c r="AU382" s="1">
        <f>IFERROR(__xludf.DUMMYFUNCTION("""COMPUTED_VALUE"""),34.36)</f>
        <v>34.36</v>
      </c>
      <c r="AV382" s="1">
        <f>IFERROR(__xludf.DUMMYFUNCTION("""COMPUTED_VALUE"""),95.87)</f>
        <v>95.87</v>
      </c>
      <c r="AW382" s="1">
        <f>IFERROR(__xludf.DUMMYFUNCTION("""COMPUTED_VALUE"""),78.64)</f>
        <v>78.64</v>
      </c>
      <c r="AX382" s="1">
        <f>IFERROR(__xludf.DUMMYFUNCTION("""COMPUTED_VALUE"""),58.64)</f>
        <v>58.64</v>
      </c>
      <c r="AY382" s="1">
        <f>IFERROR(__xludf.DUMMYFUNCTION("""COMPUTED_VALUE"""),510.18)</f>
        <v>510.18</v>
      </c>
      <c r="AZ382" s="1">
        <f>IFERROR(__xludf.DUMMYFUNCTION("""COMPUTED_VALUE"""),83.88)</f>
        <v>83.88</v>
      </c>
      <c r="BA382" s="1">
        <f>IFERROR(__xludf.DUMMYFUNCTION("""COMPUTED_VALUE"""),165.19)</f>
        <v>165.19</v>
      </c>
      <c r="BB382" s="1">
        <f>IFERROR(__xludf.DUMMYFUNCTION("""COMPUTED_VALUE"""),190.17)</f>
        <v>190.17</v>
      </c>
      <c r="BC382" s="1">
        <f>IFERROR(__xludf.DUMMYFUNCTION("""COMPUTED_VALUE"""),88.77)</f>
        <v>88.77</v>
      </c>
      <c r="BD382" s="1">
        <f>IFERROR(__xludf.DUMMYFUNCTION("""COMPUTED_VALUE"""),42.4)</f>
        <v>42.4</v>
      </c>
      <c r="BE382" s="1">
        <f>IFERROR(__xludf.DUMMYFUNCTION("""COMPUTED_VALUE"""),174.01)</f>
        <v>174.01</v>
      </c>
      <c r="BF382" s="1">
        <f>IFERROR(__xludf.DUMMYFUNCTION("""COMPUTED_VALUE"""),62.81)</f>
        <v>62.81</v>
      </c>
      <c r="BG382" s="1">
        <f>IFERROR(__xludf.DUMMYFUNCTION("""COMPUTED_VALUE"""),25.06)</f>
        <v>25.06</v>
      </c>
      <c r="BH382" s="1">
        <f>IFERROR(__xludf.DUMMYFUNCTION("""COMPUTED_VALUE"""),175.57)</f>
        <v>175.57</v>
      </c>
      <c r="BI382" s="1">
        <f>IFERROR(__xludf.DUMMYFUNCTION("""COMPUTED_VALUE"""),67.75)</f>
        <v>67.75</v>
      </c>
      <c r="BJ382" s="1">
        <f>IFERROR(__xludf.DUMMYFUNCTION("""COMPUTED_VALUE"""),216.08)</f>
        <v>216.08</v>
      </c>
      <c r="BK382" s="1">
        <f>IFERROR(__xludf.DUMMYFUNCTION("""COMPUTED_VALUE"""),578.71)</f>
        <v>578.71</v>
      </c>
      <c r="BL382" s="1">
        <f>IFERROR(__xludf.DUMMYFUNCTION("""COMPUTED_VALUE"""),204.08)</f>
        <v>204.08</v>
      </c>
      <c r="BM382" s="1">
        <f>IFERROR(__xludf.DUMMYFUNCTION("""COMPUTED_VALUE"""),115.01)</f>
        <v>115.01</v>
      </c>
      <c r="BN382" s="1">
        <f>IFERROR(__xludf.DUMMYFUNCTION("""COMPUTED_VALUE"""),4.53)</f>
        <v>4.53</v>
      </c>
      <c r="BO382" s="1">
        <f>IFERROR(__xludf.DUMMYFUNCTION("""COMPUTED_VALUE"""),223.02)</f>
        <v>223.02</v>
      </c>
      <c r="BP382" s="1">
        <f>IFERROR(__xludf.DUMMYFUNCTION("""COMPUTED_VALUE"""),321.86)</f>
        <v>321.86</v>
      </c>
      <c r="BQ382" s="36">
        <f>IFERROR(__xludf.DUMMYFUNCTION("""COMPUTED_VALUE"""),50.04)</f>
        <v>50.04</v>
      </c>
      <c r="BR382" s="1">
        <f>IFERROR(__xludf.DUMMYFUNCTION("""COMPUTED_VALUE"""),10.72)</f>
        <v>10.72</v>
      </c>
      <c r="BS382" s="1">
        <f>IFERROR(__xludf.DUMMYFUNCTION("""COMPUTED_VALUE"""),209.17)</f>
        <v>209.17</v>
      </c>
      <c r="BT382" s="1">
        <f>IFERROR(__xludf.DUMMYFUNCTION("""COMPUTED_VALUE"""),105.8)</f>
        <v>105.8</v>
      </c>
      <c r="BU382" s="3">
        <v>1.0</v>
      </c>
    </row>
    <row r="383">
      <c r="A383" s="25">
        <f>IFERROR(__xludf.DUMMYFUNCTION("""COMPUTED_VALUE"""),45978.66666666667)</f>
        <v>45978.66667</v>
      </c>
      <c r="B383" s="29">
        <f>'Master Scratch Work'!B382</f>
        <v>1534574.15</v>
      </c>
      <c r="C383" s="31">
        <f>IFERROR(__xludf.DUMMYFUNCTION("""COMPUTED_VALUE"""),6672.41)</f>
        <v>6672.41</v>
      </c>
      <c r="D383" s="31">
        <f>IFERROR(__xludf.DUMMYFUNCTION("""COMPUTED_VALUE"""),22708.08)</f>
        <v>22708.08</v>
      </c>
      <c r="E383" s="31">
        <f>IFERROR(__xludf.DUMMYFUNCTION("""COMPUTED_VALUE"""),46590.24)</f>
        <v>46590.24</v>
      </c>
      <c r="F383" s="31">
        <f>IFERROR(__xludf.DUMMYFUNCTION("""COMPUTED_VALUE"""),2341.38)</f>
        <v>2341.38</v>
      </c>
      <c r="G383" s="1">
        <f>IFERROR(__xludf.DUMMYFUNCTION("""COMPUTED_VALUE"""),665.67)</f>
        <v>665.67</v>
      </c>
      <c r="H383" s="1">
        <f>IFERROR(__xludf.DUMMYFUNCTION("""COMPUTED_VALUE"""),603.66)</f>
        <v>603.66</v>
      </c>
      <c r="I383" s="1">
        <f>IFERROR(__xludf.DUMMYFUNCTION("""COMPUTED_VALUE"""),325.07)</f>
        <v>325.07</v>
      </c>
      <c r="J383" s="1">
        <f>IFERROR(__xludf.DUMMYFUNCTION("""COMPUTED_VALUE"""),232.87)</f>
        <v>232.87</v>
      </c>
      <c r="K383" s="1">
        <f>IFERROR(__xludf.DUMMYFUNCTION("""COMPUTED_VALUE"""),132.68)</f>
        <v>132.68</v>
      </c>
      <c r="L383" s="1">
        <f>IFERROR(__xludf.DUMMYFUNCTION("""COMPUTED_VALUE"""),267.46)</f>
        <v>267.46</v>
      </c>
      <c r="M383" s="1">
        <f>IFERROR(__xludf.DUMMYFUNCTION("""COMPUTED_VALUE"""),228.71)</f>
        <v>228.71</v>
      </c>
      <c r="N383" s="1">
        <f>IFERROR(__xludf.DUMMYFUNCTION("""COMPUTED_VALUE"""),106.77)</f>
        <v>106.77</v>
      </c>
      <c r="O383" s="1">
        <f>IFERROR(__xludf.DUMMYFUNCTION("""COMPUTED_VALUE"""),21.16)</f>
        <v>21.16</v>
      </c>
      <c r="P383" s="1">
        <f>IFERROR(__xludf.DUMMYFUNCTION("""COMPUTED_VALUE"""),503.26)</f>
        <v>503.26</v>
      </c>
      <c r="Q383" s="1">
        <f>IFERROR(__xludf.DUMMYFUNCTION("""COMPUTED_VALUE"""),54.59)</f>
        <v>54.59</v>
      </c>
      <c r="R383" s="1">
        <f>IFERROR(__xludf.DUMMYFUNCTION("""COMPUTED_VALUE"""),164.68)</f>
        <v>164.68</v>
      </c>
      <c r="S383" s="1">
        <f>IFERROR(__xludf.DUMMYFUNCTION("""COMPUTED_VALUE"""),101.76)</f>
        <v>101.76</v>
      </c>
      <c r="T383" s="1">
        <f>IFERROR(__xludf.DUMMYFUNCTION("""COMPUTED_VALUE"""),53.13)</f>
        <v>53.13</v>
      </c>
      <c r="U383" s="1">
        <f>IFERROR(__xludf.DUMMYFUNCTION("""COMPUTED_VALUE"""),552.05)</f>
        <v>552.05</v>
      </c>
      <c r="V383" s="1">
        <f>IFERROR(__xludf.DUMMYFUNCTION("""COMPUTED_VALUE"""),83.03)</f>
        <v>83.03</v>
      </c>
      <c r="W383" s="1">
        <f>IFERROR(__xludf.DUMMYFUNCTION("""COMPUTED_VALUE"""),192.1)</f>
        <v>192.1</v>
      </c>
      <c r="X383" s="1">
        <f>IFERROR(__xludf.DUMMYFUNCTION("""COMPUTED_VALUE"""),154.82)</f>
        <v>154.82</v>
      </c>
      <c r="Y383" s="1">
        <f>IFERROR(__xludf.DUMMYFUNCTION("""COMPUTED_VALUE"""),271.33)</f>
        <v>271.33</v>
      </c>
      <c r="Z383" s="1">
        <f>IFERROR(__xludf.DUMMYFUNCTION("""COMPUTED_VALUE"""),49.71)</f>
        <v>49.71</v>
      </c>
      <c r="AA383" s="1">
        <f>IFERROR(__xludf.DUMMYFUNCTION("""COMPUTED_VALUE"""),70.68)</f>
        <v>70.68</v>
      </c>
      <c r="AB383" s="1">
        <f>IFERROR(__xludf.DUMMYFUNCTION("""COMPUTED_VALUE"""),103.85)</f>
        <v>103.85</v>
      </c>
      <c r="AC383" s="1">
        <f>IFERROR(__xludf.DUMMYFUNCTION("""COMPUTED_VALUE"""),157.7)</f>
        <v>157.7</v>
      </c>
      <c r="AD383" s="1">
        <f>IFERROR(__xludf.DUMMYFUNCTION("""COMPUTED_VALUE"""),103.67)</f>
        <v>103.67</v>
      </c>
      <c r="AE383" s="1">
        <f>IFERROR(__xludf.DUMMYFUNCTION("""COMPUTED_VALUE"""),404.63)</f>
        <v>404.63</v>
      </c>
      <c r="AF383" s="1">
        <f>IFERROR(__xludf.DUMMYFUNCTION("""COMPUTED_VALUE"""),82.16)</f>
        <v>82.16</v>
      </c>
      <c r="AG383" s="1">
        <f>IFERROR(__xludf.DUMMYFUNCTION("""COMPUTED_VALUE"""),117.68)</f>
        <v>117.68</v>
      </c>
      <c r="AH383" s="1">
        <f>IFERROR(__xludf.DUMMYFUNCTION("""COMPUTED_VALUE"""),264.73)</f>
        <v>264.73</v>
      </c>
      <c r="AI383" s="1">
        <f>IFERROR(__xludf.DUMMYFUNCTION("""COMPUTED_VALUE"""),405.38)</f>
        <v>405.38</v>
      </c>
      <c r="AJ383" s="1">
        <f>IFERROR(__xludf.DUMMYFUNCTION("""COMPUTED_VALUE"""),341.78)</f>
        <v>341.78</v>
      </c>
      <c r="AK383" s="1">
        <f>IFERROR(__xludf.DUMMYFUNCTION("""COMPUTED_VALUE"""),67.91)</f>
        <v>67.91</v>
      </c>
      <c r="AL383" s="1">
        <f>IFERROR(__xludf.DUMMYFUNCTION("""COMPUTED_VALUE"""),124.09)</f>
        <v>124.09</v>
      </c>
      <c r="AM383" s="1">
        <f>IFERROR(__xludf.DUMMYFUNCTION("""COMPUTED_VALUE"""),775.56)</f>
        <v>775.56</v>
      </c>
      <c r="AN383" s="1">
        <f>IFERROR(__xludf.DUMMYFUNCTION("""COMPUTED_VALUE"""),358.03)</f>
        <v>358.03</v>
      </c>
      <c r="AO383" s="1">
        <f>IFERROR(__xludf.DUMMYFUNCTION("""COMPUTED_VALUE"""),160.53)</f>
        <v>160.53</v>
      </c>
      <c r="AP383" s="1">
        <f>IFERROR(__xludf.DUMMYFUNCTION("""COMPUTED_VALUE"""),150.33)</f>
        <v>150.33</v>
      </c>
      <c r="AQ383" s="1">
        <f>IFERROR(__xludf.DUMMYFUNCTION("""COMPUTED_VALUE"""),546.71)</f>
        <v>546.71</v>
      </c>
      <c r="AR383" s="1">
        <f>IFERROR(__xludf.DUMMYFUNCTION("""COMPUTED_VALUE"""),300.37)</f>
        <v>300.37</v>
      </c>
      <c r="AS383" s="1">
        <f>IFERROR(__xludf.DUMMYFUNCTION("""COMPUTED_VALUE"""),470.78)</f>
        <v>470.78</v>
      </c>
      <c r="AT383" s="1">
        <f>IFERROR(__xludf.DUMMYFUNCTION("""COMPUTED_VALUE"""),164.16)</f>
        <v>164.16</v>
      </c>
      <c r="AU383" s="1">
        <f>IFERROR(__xludf.DUMMYFUNCTION("""COMPUTED_VALUE"""),33.79)</f>
        <v>33.79</v>
      </c>
      <c r="AV383" s="1">
        <f>IFERROR(__xludf.DUMMYFUNCTION("""COMPUTED_VALUE"""),96.28)</f>
        <v>96.28</v>
      </c>
      <c r="AW383" s="1">
        <f>IFERROR(__xludf.DUMMYFUNCTION("""COMPUTED_VALUE"""),75.53)</f>
        <v>75.53</v>
      </c>
      <c r="AX383" s="1">
        <f>IFERROR(__xludf.DUMMYFUNCTION("""COMPUTED_VALUE"""),56.98)</f>
        <v>56.98</v>
      </c>
      <c r="AY383" s="1">
        <f>IFERROR(__xludf.DUMMYFUNCTION("""COMPUTED_VALUE"""),507.49)</f>
        <v>507.49</v>
      </c>
      <c r="AZ383" s="1">
        <f>IFERROR(__xludf.DUMMYFUNCTION("""COMPUTED_VALUE"""),85.75)</f>
        <v>85.75</v>
      </c>
      <c r="BA383" s="1">
        <f>IFERROR(__xludf.DUMMYFUNCTION("""COMPUTED_VALUE"""),163.21)</f>
        <v>163.21</v>
      </c>
      <c r="BB383" s="1">
        <f>IFERROR(__xludf.DUMMYFUNCTION("""COMPUTED_VALUE"""),186.6)</f>
        <v>186.6</v>
      </c>
      <c r="BC383" s="1">
        <f>IFERROR(__xludf.DUMMYFUNCTION("""COMPUTED_VALUE"""),88.07)</f>
        <v>88.07</v>
      </c>
      <c r="BD383" s="1">
        <f>IFERROR(__xludf.DUMMYFUNCTION("""COMPUTED_VALUE"""),41.4)</f>
        <v>41.4</v>
      </c>
      <c r="BE383" s="1">
        <f>IFERROR(__xludf.DUMMYFUNCTION("""COMPUTED_VALUE"""),171.25)</f>
        <v>171.25</v>
      </c>
      <c r="BF383" s="1">
        <f>IFERROR(__xludf.DUMMYFUNCTION("""COMPUTED_VALUE"""),61.89)</f>
        <v>61.89</v>
      </c>
      <c r="BG383" s="1">
        <f>IFERROR(__xludf.DUMMYFUNCTION("""COMPUTED_VALUE"""),25.08)</f>
        <v>25.08</v>
      </c>
      <c r="BH383" s="1">
        <f>IFERROR(__xludf.DUMMYFUNCTION("""COMPUTED_VALUE"""),175.63)</f>
        <v>175.63</v>
      </c>
      <c r="BI383" s="1">
        <f>IFERROR(__xludf.DUMMYFUNCTION("""COMPUTED_VALUE"""),69.14)</f>
        <v>69.14</v>
      </c>
      <c r="BJ383" s="1">
        <f>IFERROR(__xludf.DUMMYFUNCTION("""COMPUTED_VALUE"""),215.84)</f>
        <v>215.84</v>
      </c>
      <c r="BK383" s="1">
        <f>IFERROR(__xludf.DUMMYFUNCTION("""COMPUTED_VALUE"""),567.16)</f>
        <v>567.16</v>
      </c>
      <c r="BL383" s="1">
        <f>IFERROR(__xludf.DUMMYFUNCTION("""COMPUTED_VALUE"""),199.0)</f>
        <v>199</v>
      </c>
      <c r="BM383" s="1">
        <f>IFERROR(__xludf.DUMMYFUNCTION("""COMPUTED_VALUE"""),113.4)</f>
        <v>113.4</v>
      </c>
      <c r="BN383" s="1">
        <f>IFERROR(__xludf.DUMMYFUNCTION("""COMPUTED_VALUE"""),4.26)</f>
        <v>4.26</v>
      </c>
      <c r="BO383" s="1">
        <f>IFERROR(__xludf.DUMMYFUNCTION("""COMPUTED_VALUE"""),221.0)</f>
        <v>221</v>
      </c>
      <c r="BP383" s="1">
        <f>IFERROR(__xludf.DUMMYFUNCTION("""COMPUTED_VALUE"""),320.52)</f>
        <v>320.52</v>
      </c>
      <c r="BQ383" s="36">
        <f>IFERROR(__xludf.DUMMYFUNCTION("""COMPUTED_VALUE"""),50.04)</f>
        <v>50.04</v>
      </c>
      <c r="BR383" s="1">
        <f>IFERROR(__xludf.DUMMYFUNCTION("""COMPUTED_VALUE"""),10.66)</f>
        <v>10.66</v>
      </c>
      <c r="BS383" s="1">
        <f>IFERROR(__xludf.DUMMYFUNCTION("""COMPUTED_VALUE"""),207.97)</f>
        <v>207.97</v>
      </c>
      <c r="BT383" s="1">
        <f>IFERROR(__xludf.DUMMYFUNCTION("""COMPUTED_VALUE"""),105.69)</f>
        <v>105.69</v>
      </c>
      <c r="BU383" s="3">
        <v>1.0</v>
      </c>
    </row>
    <row r="384">
      <c r="A384" s="25">
        <f>IFERROR(__xludf.DUMMYFUNCTION("""COMPUTED_VALUE"""),45979.66666666667)</f>
        <v>45979.66667</v>
      </c>
      <c r="B384" s="29">
        <f>'Master Scratch Work'!B383</f>
        <v>1527694.17</v>
      </c>
      <c r="C384" s="31">
        <f>IFERROR(__xludf.DUMMYFUNCTION("""COMPUTED_VALUE"""),6617.32)</f>
        <v>6617.32</v>
      </c>
      <c r="D384" s="31">
        <f>IFERROR(__xludf.DUMMYFUNCTION("""COMPUTED_VALUE"""),22432.85)</f>
        <v>22432.85</v>
      </c>
      <c r="E384" s="31">
        <f>IFERROR(__xludf.DUMMYFUNCTION("""COMPUTED_VALUE"""),46091.74)</f>
        <v>46091.74</v>
      </c>
      <c r="F384" s="31">
        <f>IFERROR(__xludf.DUMMYFUNCTION("""COMPUTED_VALUE"""),2348.74)</f>
        <v>2348.74</v>
      </c>
      <c r="G384" s="1">
        <f>IFERROR(__xludf.DUMMYFUNCTION("""COMPUTED_VALUE"""),660.08)</f>
        <v>660.08</v>
      </c>
      <c r="H384" s="1">
        <f>IFERROR(__xludf.DUMMYFUNCTION("""COMPUTED_VALUE"""),596.31)</f>
        <v>596.31</v>
      </c>
      <c r="I384" s="1">
        <f>IFERROR(__xludf.DUMMYFUNCTION("""COMPUTED_VALUE"""),324.47)</f>
        <v>324.47</v>
      </c>
      <c r="J384" s="1">
        <f>IFERROR(__xludf.DUMMYFUNCTION("""COMPUTED_VALUE"""),222.55)</f>
        <v>222.55</v>
      </c>
      <c r="K384" s="1">
        <f>IFERROR(__xludf.DUMMYFUNCTION("""COMPUTED_VALUE"""),129.91)</f>
        <v>129.91</v>
      </c>
      <c r="L384" s="1">
        <f>IFERROR(__xludf.DUMMYFUNCTION("""COMPUTED_VALUE"""),267.44)</f>
        <v>267.44</v>
      </c>
      <c r="M384" s="1">
        <f>IFERROR(__xludf.DUMMYFUNCTION("""COMPUTED_VALUE"""),225.12)</f>
        <v>225.12</v>
      </c>
      <c r="N384" s="1">
        <f>IFERROR(__xludf.DUMMYFUNCTION("""COMPUTED_VALUE"""),107.5)</f>
        <v>107.5</v>
      </c>
      <c r="O384" s="1">
        <f>IFERROR(__xludf.DUMMYFUNCTION("""COMPUTED_VALUE"""),21.09)</f>
        <v>21.09</v>
      </c>
      <c r="P384" s="1">
        <f>IFERROR(__xludf.DUMMYFUNCTION("""COMPUTED_VALUE"""),504.37)</f>
        <v>504.37</v>
      </c>
      <c r="Q384" s="1">
        <f>IFERROR(__xludf.DUMMYFUNCTION("""COMPUTED_VALUE"""),53.71)</f>
        <v>53.71</v>
      </c>
      <c r="R384" s="1">
        <f>IFERROR(__xludf.DUMMYFUNCTION("""COMPUTED_VALUE"""),168.83)</f>
        <v>168.83</v>
      </c>
      <c r="S384" s="1">
        <f>IFERROR(__xludf.DUMMYFUNCTION("""COMPUTED_VALUE"""),99.22)</f>
        <v>99.22</v>
      </c>
      <c r="T384" s="1">
        <f>IFERROR(__xludf.DUMMYFUNCTION("""COMPUTED_VALUE"""),52.01)</f>
        <v>52.01</v>
      </c>
      <c r="U384" s="1">
        <f>IFERROR(__xludf.DUMMYFUNCTION("""COMPUTED_VALUE"""),546.88)</f>
        <v>546.88</v>
      </c>
      <c r="V384" s="1">
        <f>IFERROR(__xludf.DUMMYFUNCTION("""COMPUTED_VALUE"""),83.3)</f>
        <v>83.3</v>
      </c>
      <c r="W384" s="1">
        <f>IFERROR(__xludf.DUMMYFUNCTION("""COMPUTED_VALUE"""),190.7)</f>
        <v>190.7</v>
      </c>
      <c r="X384" s="1">
        <f>IFERROR(__xludf.DUMMYFUNCTION("""COMPUTED_VALUE"""),153.62)</f>
        <v>153.62</v>
      </c>
      <c r="Y384" s="1">
        <f>IFERROR(__xludf.DUMMYFUNCTION("""COMPUTED_VALUE"""),272.61)</f>
        <v>272.61</v>
      </c>
      <c r="Z384" s="1">
        <f>IFERROR(__xludf.DUMMYFUNCTION("""COMPUTED_VALUE"""),50.43)</f>
        <v>50.43</v>
      </c>
      <c r="AA384" s="1">
        <f>IFERROR(__xludf.DUMMYFUNCTION("""COMPUTED_VALUE"""),71.22)</f>
        <v>71.22</v>
      </c>
      <c r="AB384" s="1">
        <f>IFERROR(__xludf.DUMMYFUNCTION("""COMPUTED_VALUE"""),102.91)</f>
        <v>102.91</v>
      </c>
      <c r="AC384" s="1">
        <f>IFERROR(__xludf.DUMMYFUNCTION("""COMPUTED_VALUE"""),159.62)</f>
        <v>159.62</v>
      </c>
      <c r="AD384" s="1">
        <f>IFERROR(__xludf.DUMMYFUNCTION("""COMPUTED_VALUE"""),101.57)</f>
        <v>101.57</v>
      </c>
      <c r="AE384" s="1">
        <f>IFERROR(__xludf.DUMMYFUNCTION("""COMPUTED_VALUE"""),403.34)</f>
        <v>403.34</v>
      </c>
      <c r="AF384" s="1">
        <f>IFERROR(__xludf.DUMMYFUNCTION("""COMPUTED_VALUE"""),81.83)</f>
        <v>81.83</v>
      </c>
      <c r="AG384" s="1">
        <f>IFERROR(__xludf.DUMMYFUNCTION("""COMPUTED_VALUE"""),119.03)</f>
        <v>119.03</v>
      </c>
      <c r="AH384" s="1">
        <f>IFERROR(__xludf.DUMMYFUNCTION("""COMPUTED_VALUE"""),263.08)</f>
        <v>263.08</v>
      </c>
      <c r="AI384" s="1">
        <f>IFERROR(__xludf.DUMMYFUNCTION("""COMPUTED_VALUE"""),397.83)</f>
        <v>397.83</v>
      </c>
      <c r="AJ384" s="1">
        <f>IFERROR(__xludf.DUMMYFUNCTION("""COMPUTED_VALUE"""),341.29)</f>
        <v>341.29</v>
      </c>
      <c r="AK384" s="1">
        <f>IFERROR(__xludf.DUMMYFUNCTION("""COMPUTED_VALUE"""),67.93)</f>
        <v>67.93</v>
      </c>
      <c r="AL384" s="1">
        <f>IFERROR(__xludf.DUMMYFUNCTION("""COMPUTED_VALUE"""),127.18)</f>
        <v>127.18</v>
      </c>
      <c r="AM384" s="1">
        <f>IFERROR(__xludf.DUMMYFUNCTION("""COMPUTED_VALUE"""),776.3)</f>
        <v>776.3</v>
      </c>
      <c r="AN384" s="1">
        <f>IFERROR(__xludf.DUMMYFUNCTION("""COMPUTED_VALUE"""),336.48)</f>
        <v>336.48</v>
      </c>
      <c r="AO384" s="1">
        <f>IFERROR(__xludf.DUMMYFUNCTION("""COMPUTED_VALUE"""),161.0)</f>
        <v>161</v>
      </c>
      <c r="AP384" s="1">
        <f>IFERROR(__xludf.DUMMYFUNCTION("""COMPUTED_VALUE"""),152.78)</f>
        <v>152.78</v>
      </c>
      <c r="AQ384" s="1">
        <f>IFERROR(__xludf.DUMMYFUNCTION("""COMPUTED_VALUE"""),546.77)</f>
        <v>546.77</v>
      </c>
      <c r="AR384" s="1">
        <f>IFERROR(__xludf.DUMMYFUNCTION("""COMPUTED_VALUE"""),299.41)</f>
        <v>299.41</v>
      </c>
      <c r="AS384" s="1">
        <f>IFERROR(__xludf.DUMMYFUNCTION("""COMPUTED_VALUE"""),474.72)</f>
        <v>474.72</v>
      </c>
      <c r="AT384" s="1">
        <f>IFERROR(__xludf.DUMMYFUNCTION("""COMPUTED_VALUE"""),163.97)</f>
        <v>163.97</v>
      </c>
      <c r="AU384" s="1">
        <f>IFERROR(__xludf.DUMMYFUNCTION("""COMPUTED_VALUE"""),33.56)</f>
        <v>33.56</v>
      </c>
      <c r="AV384" s="1">
        <f>IFERROR(__xludf.DUMMYFUNCTION("""COMPUTED_VALUE"""),100.8)</f>
        <v>100.8</v>
      </c>
      <c r="AW384" s="1">
        <f>IFERROR(__xludf.DUMMYFUNCTION("""COMPUTED_VALUE"""),75.37)</f>
        <v>75.37</v>
      </c>
      <c r="AX384" s="1">
        <f>IFERROR(__xludf.DUMMYFUNCTION("""COMPUTED_VALUE"""),58.51)</f>
        <v>58.51</v>
      </c>
      <c r="AY384" s="1">
        <f>IFERROR(__xludf.DUMMYFUNCTION("""COMPUTED_VALUE"""),493.79)</f>
        <v>493.79</v>
      </c>
      <c r="AZ384" s="1">
        <f>IFERROR(__xludf.DUMMYFUNCTION("""COMPUTED_VALUE"""),84.64)</f>
        <v>84.64</v>
      </c>
      <c r="BA384" s="1">
        <f>IFERROR(__xludf.DUMMYFUNCTION("""COMPUTED_VALUE"""),166.45)</f>
        <v>166.45</v>
      </c>
      <c r="BB384" s="1">
        <f>IFERROR(__xludf.DUMMYFUNCTION("""COMPUTED_VALUE"""),181.36)</f>
        <v>181.36</v>
      </c>
      <c r="BC384" s="1">
        <f>IFERROR(__xludf.DUMMYFUNCTION("""COMPUTED_VALUE"""),87.7)</f>
        <v>87.7</v>
      </c>
      <c r="BD384" s="1">
        <f>IFERROR(__xludf.DUMMYFUNCTION("""COMPUTED_VALUE"""),42.66)</f>
        <v>42.66</v>
      </c>
      <c r="BE384" s="1">
        <f>IFERROR(__xludf.DUMMYFUNCTION("""COMPUTED_VALUE"""),167.33)</f>
        <v>167.33</v>
      </c>
      <c r="BF384" s="1">
        <f>IFERROR(__xludf.DUMMYFUNCTION("""COMPUTED_VALUE"""),60.7)</f>
        <v>60.7</v>
      </c>
      <c r="BG384" s="1">
        <f>IFERROR(__xludf.DUMMYFUNCTION("""COMPUTED_VALUE"""),25.45)</f>
        <v>25.45</v>
      </c>
      <c r="BH384" s="1">
        <f>IFERROR(__xludf.DUMMYFUNCTION("""COMPUTED_VALUE"""),174.72)</f>
        <v>174.72</v>
      </c>
      <c r="BI384" s="1">
        <f>IFERROR(__xludf.DUMMYFUNCTION("""COMPUTED_VALUE"""),70.58)</f>
        <v>70.58</v>
      </c>
      <c r="BJ384" s="1">
        <f>IFERROR(__xludf.DUMMYFUNCTION("""COMPUTED_VALUE"""),213.08)</f>
        <v>213.08</v>
      </c>
      <c r="BK384" s="1">
        <f>IFERROR(__xludf.DUMMYFUNCTION("""COMPUTED_VALUE"""),576.03)</f>
        <v>576.03</v>
      </c>
      <c r="BL384" s="1">
        <f>IFERROR(__xludf.DUMMYFUNCTION("""COMPUTED_VALUE"""),195.96)</f>
        <v>195.96</v>
      </c>
      <c r="BM384" s="1">
        <f>IFERROR(__xludf.DUMMYFUNCTION("""COMPUTED_VALUE"""),117.07)</f>
        <v>117.07</v>
      </c>
      <c r="BN384" s="1">
        <f>IFERROR(__xludf.DUMMYFUNCTION("""COMPUTED_VALUE"""),4.27)</f>
        <v>4.27</v>
      </c>
      <c r="BO384" s="1">
        <f>IFERROR(__xludf.DUMMYFUNCTION("""COMPUTED_VALUE"""),220.82)</f>
        <v>220.82</v>
      </c>
      <c r="BP384" s="1">
        <f>IFERROR(__xludf.DUMMYFUNCTION("""COMPUTED_VALUE"""),313.58)</f>
        <v>313.58</v>
      </c>
      <c r="BQ384" s="36">
        <f>IFERROR(__xludf.DUMMYFUNCTION("""COMPUTED_VALUE"""),50.06)</f>
        <v>50.06</v>
      </c>
      <c r="BR384" s="1">
        <f>IFERROR(__xludf.DUMMYFUNCTION("""COMPUTED_VALUE"""),10.71)</f>
        <v>10.71</v>
      </c>
      <c r="BS384" s="1">
        <f>IFERROR(__xludf.DUMMYFUNCTION("""COMPUTED_VALUE"""),211.3)</f>
        <v>211.3</v>
      </c>
      <c r="BT384" s="1">
        <f>IFERROR(__xludf.DUMMYFUNCTION("""COMPUTED_VALUE"""),106.28)</f>
        <v>106.28</v>
      </c>
      <c r="BU384" s="3">
        <v>1.0</v>
      </c>
    </row>
    <row r="385">
      <c r="A385" s="25">
        <f>IFERROR(__xludf.DUMMYFUNCTION("""COMPUTED_VALUE"""),45980.66666666667)</f>
        <v>45980.66667</v>
      </c>
      <c r="B385" s="29">
        <f>'Master Scratch Work'!B384</f>
        <v>1533938.37</v>
      </c>
      <c r="C385" s="31">
        <f>IFERROR(__xludf.DUMMYFUNCTION("""COMPUTED_VALUE"""),6642.16)</f>
        <v>6642.16</v>
      </c>
      <c r="D385" s="31">
        <f>IFERROR(__xludf.DUMMYFUNCTION("""COMPUTED_VALUE"""),22564.23)</f>
        <v>22564.23</v>
      </c>
      <c r="E385" s="31">
        <f>IFERROR(__xludf.DUMMYFUNCTION("""COMPUTED_VALUE"""),46138.77)</f>
        <v>46138.77</v>
      </c>
      <c r="F385" s="31">
        <f>IFERROR(__xludf.DUMMYFUNCTION("""COMPUTED_VALUE"""),2347.89)</f>
        <v>2347.89</v>
      </c>
      <c r="G385" s="1">
        <f>IFERROR(__xludf.DUMMYFUNCTION("""COMPUTED_VALUE"""),662.63)</f>
        <v>662.63</v>
      </c>
      <c r="H385" s="1">
        <f>IFERROR(__xludf.DUMMYFUNCTION("""COMPUTED_VALUE"""),599.87)</f>
        <v>599.87</v>
      </c>
      <c r="I385" s="1">
        <f>IFERROR(__xludf.DUMMYFUNCTION("""COMPUTED_VALUE"""),318.11)</f>
        <v>318.11</v>
      </c>
      <c r="J385" s="1">
        <f>IFERROR(__xludf.DUMMYFUNCTION("""COMPUTED_VALUE"""),222.69)</f>
        <v>222.69</v>
      </c>
      <c r="K385" s="1">
        <f>IFERROR(__xludf.DUMMYFUNCTION("""COMPUTED_VALUE"""),127.12)</f>
        <v>127.12</v>
      </c>
      <c r="L385" s="1">
        <f>IFERROR(__xludf.DUMMYFUNCTION("""COMPUTED_VALUE"""),268.56)</f>
        <v>268.56</v>
      </c>
      <c r="M385" s="1">
        <f>IFERROR(__xludf.DUMMYFUNCTION("""COMPUTED_VALUE"""),235.13)</f>
        <v>235.13</v>
      </c>
      <c r="N385" s="1">
        <f>IFERROR(__xludf.DUMMYFUNCTION("""COMPUTED_VALUE"""),107.51)</f>
        <v>107.51</v>
      </c>
      <c r="O385" s="1">
        <f>IFERROR(__xludf.DUMMYFUNCTION("""COMPUTED_VALUE"""),21.12)</f>
        <v>21.12</v>
      </c>
      <c r="P385" s="1">
        <f>IFERROR(__xludf.DUMMYFUNCTION("""COMPUTED_VALUE"""),501.26)</f>
        <v>501.26</v>
      </c>
      <c r="Q385" s="1">
        <f>IFERROR(__xludf.DUMMYFUNCTION("""COMPUTED_VALUE"""),53.47)</f>
        <v>53.47</v>
      </c>
      <c r="R385" s="1">
        <f>IFERROR(__xludf.DUMMYFUNCTION("""COMPUTED_VALUE"""),167.93)</f>
        <v>167.93</v>
      </c>
      <c r="S385" s="1">
        <f>IFERROR(__xludf.DUMMYFUNCTION("""COMPUTED_VALUE"""),97.01)</f>
        <v>97.01</v>
      </c>
      <c r="T385" s="1">
        <f>IFERROR(__xludf.DUMMYFUNCTION("""COMPUTED_VALUE"""),51.25)</f>
        <v>51.25</v>
      </c>
      <c r="U385" s="1">
        <f>IFERROR(__xludf.DUMMYFUNCTION("""COMPUTED_VALUE"""),553.11)</f>
        <v>553.11</v>
      </c>
      <c r="V385" s="1">
        <f>IFERROR(__xludf.DUMMYFUNCTION("""COMPUTED_VALUE"""),86.24)</f>
        <v>86.24</v>
      </c>
      <c r="W385" s="1">
        <f>IFERROR(__xludf.DUMMYFUNCTION("""COMPUTED_VALUE"""),185.64)</f>
        <v>185.64</v>
      </c>
      <c r="X385" s="1">
        <f>IFERROR(__xludf.DUMMYFUNCTION("""COMPUTED_VALUE"""),151.7)</f>
        <v>151.7</v>
      </c>
      <c r="Y385" s="1">
        <f>IFERROR(__xludf.DUMMYFUNCTION("""COMPUTED_VALUE"""),271.99)</f>
        <v>271.99</v>
      </c>
      <c r="Z385" s="1">
        <f>IFERROR(__xludf.DUMMYFUNCTION("""COMPUTED_VALUE"""),51.16)</f>
        <v>51.16</v>
      </c>
      <c r="AA385" s="1">
        <f>IFERROR(__xludf.DUMMYFUNCTION("""COMPUTED_VALUE"""),71.11)</f>
        <v>71.11</v>
      </c>
      <c r="AB385" s="1">
        <f>IFERROR(__xludf.DUMMYFUNCTION("""COMPUTED_VALUE"""),100.38)</f>
        <v>100.38</v>
      </c>
      <c r="AC385" s="1">
        <f>IFERROR(__xludf.DUMMYFUNCTION("""COMPUTED_VALUE"""),159.3)</f>
        <v>159.3</v>
      </c>
      <c r="AD385" s="1">
        <f>IFERROR(__xludf.DUMMYFUNCTION("""COMPUTED_VALUE"""),99.95)</f>
        <v>99.95</v>
      </c>
      <c r="AE385" s="1">
        <f>IFERROR(__xludf.DUMMYFUNCTION("""COMPUTED_VALUE"""),399.67)</f>
        <v>399.67</v>
      </c>
      <c r="AF385" s="1">
        <f>IFERROR(__xludf.DUMMYFUNCTION("""COMPUTED_VALUE"""),81.28)</f>
        <v>81.28</v>
      </c>
      <c r="AG385" s="1">
        <f>IFERROR(__xludf.DUMMYFUNCTION("""COMPUTED_VALUE"""),117.35)</f>
        <v>117.35</v>
      </c>
      <c r="AH385" s="1">
        <f>IFERROR(__xludf.DUMMYFUNCTION("""COMPUTED_VALUE"""),262.57)</f>
        <v>262.57</v>
      </c>
      <c r="AI385" s="1">
        <f>IFERROR(__xludf.DUMMYFUNCTION("""COMPUTED_VALUE"""),389.83)</f>
        <v>389.83</v>
      </c>
      <c r="AJ385" s="1">
        <f>IFERROR(__xludf.DUMMYFUNCTION("""COMPUTED_VALUE"""),343.06)</f>
        <v>343.06</v>
      </c>
      <c r="AK385" s="1">
        <f>IFERROR(__xludf.DUMMYFUNCTION("""COMPUTED_VALUE"""),68.5)</f>
        <v>68.5</v>
      </c>
      <c r="AL385" s="1">
        <f>IFERROR(__xludf.DUMMYFUNCTION("""COMPUTED_VALUE"""),128.07)</f>
        <v>128.07</v>
      </c>
      <c r="AM385" s="1">
        <f>IFERROR(__xludf.DUMMYFUNCTION("""COMPUTED_VALUE"""),785.99)</f>
        <v>785.99</v>
      </c>
      <c r="AN385" s="1">
        <f>IFERROR(__xludf.DUMMYFUNCTION("""COMPUTED_VALUE"""),334.5)</f>
        <v>334.5</v>
      </c>
      <c r="AO385" s="1">
        <f>IFERROR(__xludf.DUMMYFUNCTION("""COMPUTED_VALUE"""),162.38)</f>
        <v>162.38</v>
      </c>
      <c r="AP385" s="1">
        <f>IFERROR(__xludf.DUMMYFUNCTION("""COMPUTED_VALUE"""),153.65)</f>
        <v>153.65</v>
      </c>
      <c r="AQ385" s="1">
        <f>IFERROR(__xludf.DUMMYFUNCTION("""COMPUTED_VALUE"""),564.64)</f>
        <v>564.64</v>
      </c>
      <c r="AR385" s="1">
        <f>IFERROR(__xludf.DUMMYFUNCTION("""COMPUTED_VALUE"""),303.27)</f>
        <v>303.27</v>
      </c>
      <c r="AS385" s="1">
        <f>IFERROR(__xludf.DUMMYFUNCTION("""COMPUTED_VALUE"""),469.91)</f>
        <v>469.91</v>
      </c>
      <c r="AT385" s="1">
        <f>IFERROR(__xludf.DUMMYFUNCTION("""COMPUTED_VALUE"""),166.06)</f>
        <v>166.06</v>
      </c>
      <c r="AU385" s="1">
        <f>IFERROR(__xludf.DUMMYFUNCTION("""COMPUTED_VALUE"""),33.85)</f>
        <v>33.85</v>
      </c>
      <c r="AV385" s="1">
        <f>IFERROR(__xludf.DUMMYFUNCTION("""COMPUTED_VALUE"""),100.34)</f>
        <v>100.34</v>
      </c>
      <c r="AW385" s="1">
        <f>IFERROR(__xludf.DUMMYFUNCTION("""COMPUTED_VALUE"""),74.76)</f>
        <v>74.76</v>
      </c>
      <c r="AX385" s="1">
        <f>IFERROR(__xludf.DUMMYFUNCTION("""COMPUTED_VALUE"""),63.55)</f>
        <v>63.55</v>
      </c>
      <c r="AY385" s="1">
        <f>IFERROR(__xludf.DUMMYFUNCTION("""COMPUTED_VALUE"""),487.12)</f>
        <v>487.12</v>
      </c>
      <c r="AZ385" s="1">
        <f>IFERROR(__xludf.DUMMYFUNCTION("""COMPUTED_VALUE"""),84.27)</f>
        <v>84.27</v>
      </c>
      <c r="BA385" s="1">
        <f>IFERROR(__xludf.DUMMYFUNCTION("""COMPUTED_VALUE"""),168.8)</f>
        <v>168.8</v>
      </c>
      <c r="BB385" s="1">
        <f>IFERROR(__xludf.DUMMYFUNCTION("""COMPUTED_VALUE"""),186.52)</f>
        <v>186.52</v>
      </c>
      <c r="BC385" s="1">
        <f>IFERROR(__xludf.DUMMYFUNCTION("""COMPUTED_VALUE"""),86.58)</f>
        <v>86.58</v>
      </c>
      <c r="BD385" s="1">
        <f>IFERROR(__xludf.DUMMYFUNCTION("""COMPUTED_VALUE"""),43.3)</f>
        <v>43.3</v>
      </c>
      <c r="BE385" s="1">
        <f>IFERROR(__xludf.DUMMYFUNCTION("""COMPUTED_VALUE"""),165.42)</f>
        <v>165.42</v>
      </c>
      <c r="BF385" s="1">
        <f>IFERROR(__xludf.DUMMYFUNCTION("""COMPUTED_VALUE"""),60.11)</f>
        <v>60.11</v>
      </c>
      <c r="BG385" s="1">
        <f>IFERROR(__xludf.DUMMYFUNCTION("""COMPUTED_VALUE"""),24.88)</f>
        <v>24.88</v>
      </c>
      <c r="BH385" s="1">
        <f>IFERROR(__xludf.DUMMYFUNCTION("""COMPUTED_VALUE"""),173.77)</f>
        <v>173.77</v>
      </c>
      <c r="BI385" s="1">
        <f>IFERROR(__xludf.DUMMYFUNCTION("""COMPUTED_VALUE"""),70.53)</f>
        <v>70.53</v>
      </c>
      <c r="BJ385" s="1">
        <f>IFERROR(__xludf.DUMMYFUNCTION("""COMPUTED_VALUE"""),211.27)</f>
        <v>211.27</v>
      </c>
      <c r="BK385" s="1">
        <f>IFERROR(__xludf.DUMMYFUNCTION("""COMPUTED_VALUE"""),573.79)</f>
        <v>573.79</v>
      </c>
      <c r="BL385" s="1">
        <f>IFERROR(__xludf.DUMMYFUNCTION("""COMPUTED_VALUE"""),196.78)</f>
        <v>196.78</v>
      </c>
      <c r="BM385" s="1">
        <f>IFERROR(__xludf.DUMMYFUNCTION("""COMPUTED_VALUE"""),133.47)</f>
        <v>133.47</v>
      </c>
      <c r="BN385" s="1">
        <f>IFERROR(__xludf.DUMMYFUNCTION("""COMPUTED_VALUE"""),4.23)</f>
        <v>4.23</v>
      </c>
      <c r="BO385" s="1">
        <f>IFERROR(__xludf.DUMMYFUNCTION("""COMPUTED_VALUE"""),221.17)</f>
        <v>221.17</v>
      </c>
      <c r="BP385" s="1">
        <f>IFERROR(__xludf.DUMMYFUNCTION("""COMPUTED_VALUE"""),309.09)</f>
        <v>309.09</v>
      </c>
      <c r="BQ385" s="36">
        <f>IFERROR(__xludf.DUMMYFUNCTION("""COMPUTED_VALUE"""),50.04)</f>
        <v>50.04</v>
      </c>
      <c r="BR385" s="1">
        <f>IFERROR(__xludf.DUMMYFUNCTION("""COMPUTED_VALUE"""),10.46)</f>
        <v>10.46</v>
      </c>
      <c r="BS385" s="1">
        <f>IFERROR(__xludf.DUMMYFUNCTION("""COMPUTED_VALUE"""),215.66)</f>
        <v>215.66</v>
      </c>
      <c r="BT385" s="1">
        <f>IFERROR(__xludf.DUMMYFUNCTION("""COMPUTED_VALUE"""),104.67)</f>
        <v>104.67</v>
      </c>
      <c r="BU385" s="3">
        <v>1.0</v>
      </c>
    </row>
    <row r="386">
      <c r="A386" s="25">
        <f>IFERROR(__xludf.DUMMYFUNCTION("""COMPUTED_VALUE"""),45981.66666666667)</f>
        <v>45981.66667</v>
      </c>
      <c r="B386" s="29">
        <f>'Master Scratch Work'!B385</f>
        <v>1512420.47</v>
      </c>
      <c r="C386" s="31">
        <f>IFERROR(__xludf.DUMMYFUNCTION("""COMPUTED_VALUE"""),6538.76)</f>
        <v>6538.76</v>
      </c>
      <c r="D386" s="31">
        <f>IFERROR(__xludf.DUMMYFUNCTION("""COMPUTED_VALUE"""),22078.05)</f>
        <v>22078.05</v>
      </c>
      <c r="E386" s="31">
        <f>IFERROR(__xludf.DUMMYFUNCTION("""COMPUTED_VALUE"""),45752.26)</f>
        <v>45752.26</v>
      </c>
      <c r="F386" s="31">
        <f>IFERROR(__xludf.DUMMYFUNCTION("""COMPUTED_VALUE"""),2305.11)</f>
        <v>2305.11</v>
      </c>
      <c r="G386" s="1">
        <f>IFERROR(__xludf.DUMMYFUNCTION("""COMPUTED_VALUE"""),652.53)</f>
        <v>652.53</v>
      </c>
      <c r="H386" s="1">
        <f>IFERROR(__xludf.DUMMYFUNCTION("""COMPUTED_VALUE"""),585.67)</f>
        <v>585.67</v>
      </c>
      <c r="I386" s="1">
        <f>IFERROR(__xludf.DUMMYFUNCTION("""COMPUTED_VALUE"""),312.4)</f>
        <v>312.4</v>
      </c>
      <c r="J386" s="1">
        <f>IFERROR(__xludf.DUMMYFUNCTION("""COMPUTED_VALUE"""),217.14)</f>
        <v>217.14</v>
      </c>
      <c r="K386" s="1">
        <f>IFERROR(__xludf.DUMMYFUNCTION("""COMPUTED_VALUE"""),128.13)</f>
        <v>128.13</v>
      </c>
      <c r="L386" s="1">
        <f>IFERROR(__xludf.DUMMYFUNCTION("""COMPUTED_VALUE"""),266.25)</f>
        <v>266.25</v>
      </c>
      <c r="M386" s="1">
        <f>IFERROR(__xludf.DUMMYFUNCTION("""COMPUTED_VALUE"""),220.23)</f>
        <v>220.23</v>
      </c>
      <c r="N386" s="1">
        <f>IFERROR(__xludf.DUMMYFUNCTION("""COMPUTED_VALUE"""),106.46)</f>
        <v>106.46</v>
      </c>
      <c r="O386" s="1">
        <f>IFERROR(__xludf.DUMMYFUNCTION("""COMPUTED_VALUE"""),20.53)</f>
        <v>20.53</v>
      </c>
      <c r="P386" s="1">
        <f>IFERROR(__xludf.DUMMYFUNCTION("""COMPUTED_VALUE"""),501.12)</f>
        <v>501.12</v>
      </c>
      <c r="Q386" s="1">
        <f>IFERROR(__xludf.DUMMYFUNCTION("""COMPUTED_VALUE"""),52.58)</f>
        <v>52.58</v>
      </c>
      <c r="R386" s="1">
        <f>IFERROR(__xludf.DUMMYFUNCTION("""COMPUTED_VALUE"""),168.18)</f>
        <v>168.18</v>
      </c>
      <c r="S386" s="1">
        <f>IFERROR(__xludf.DUMMYFUNCTION("""COMPUTED_VALUE"""),96.6)</f>
        <v>96.6</v>
      </c>
      <c r="T386" s="1">
        <f>IFERROR(__xludf.DUMMYFUNCTION("""COMPUTED_VALUE"""),50.36)</f>
        <v>50.36</v>
      </c>
      <c r="U386" s="1">
        <f>IFERROR(__xludf.DUMMYFUNCTION("""COMPUTED_VALUE"""),546.13)</f>
        <v>546.13</v>
      </c>
      <c r="V386" s="1">
        <f>IFERROR(__xludf.DUMMYFUNCTION("""COMPUTED_VALUE"""),81.98)</f>
        <v>81.98</v>
      </c>
      <c r="W386" s="1">
        <f>IFERROR(__xludf.DUMMYFUNCTION("""COMPUTED_VALUE"""),183.93)</f>
        <v>183.93</v>
      </c>
      <c r="X386" s="1">
        <f>IFERROR(__xludf.DUMMYFUNCTION("""COMPUTED_VALUE"""),150.31)</f>
        <v>150.31</v>
      </c>
      <c r="Y386" s="1">
        <f>IFERROR(__xludf.DUMMYFUNCTION("""COMPUTED_VALUE"""),269.6)</f>
        <v>269.6</v>
      </c>
      <c r="Z386" s="1">
        <f>IFERROR(__xludf.DUMMYFUNCTION("""COMPUTED_VALUE"""),50.7)</f>
        <v>50.7</v>
      </c>
      <c r="AA386" s="1">
        <f>IFERROR(__xludf.DUMMYFUNCTION("""COMPUTED_VALUE"""),71.21)</f>
        <v>71.21</v>
      </c>
      <c r="AB386" s="1">
        <f>IFERROR(__xludf.DUMMYFUNCTION("""COMPUTED_VALUE"""),100.95)</f>
        <v>100.95</v>
      </c>
      <c r="AC386" s="1">
        <f>IFERROR(__xludf.DUMMYFUNCTION("""COMPUTED_VALUE"""),157.59)</f>
        <v>157.59</v>
      </c>
      <c r="AD386" s="1">
        <f>IFERROR(__xludf.DUMMYFUNCTION("""COMPUTED_VALUE"""),98.56)</f>
        <v>98.56</v>
      </c>
      <c r="AE386" s="1">
        <f>IFERROR(__xludf.DUMMYFUNCTION("""COMPUTED_VALUE"""),397.21)</f>
        <v>397.21</v>
      </c>
      <c r="AF386" s="1">
        <f>IFERROR(__xludf.DUMMYFUNCTION("""COMPUTED_VALUE"""),80.05)</f>
        <v>80.05</v>
      </c>
      <c r="AG386" s="1">
        <f>IFERROR(__xludf.DUMMYFUNCTION("""COMPUTED_VALUE"""),117.02)</f>
        <v>117.02</v>
      </c>
      <c r="AH386" s="1">
        <f>IFERROR(__xludf.DUMMYFUNCTION("""COMPUTED_VALUE"""),263.1)</f>
        <v>263.1</v>
      </c>
      <c r="AI386" s="1">
        <f>IFERROR(__xludf.DUMMYFUNCTION("""COMPUTED_VALUE"""),383.15)</f>
        <v>383.15</v>
      </c>
      <c r="AJ386" s="1">
        <f>IFERROR(__xludf.DUMMYFUNCTION("""COMPUTED_VALUE"""),339.44)</f>
        <v>339.44</v>
      </c>
      <c r="AK386" s="1">
        <f>IFERROR(__xludf.DUMMYFUNCTION("""COMPUTED_VALUE"""),68.04)</f>
        <v>68.04</v>
      </c>
      <c r="AL386" s="1">
        <f>IFERROR(__xludf.DUMMYFUNCTION("""COMPUTED_VALUE"""),124.99)</f>
        <v>124.99</v>
      </c>
      <c r="AM386" s="1">
        <f>IFERROR(__xludf.DUMMYFUNCTION("""COMPUTED_VALUE"""),773.7)</f>
        <v>773.7</v>
      </c>
      <c r="AN386" s="1">
        <f>IFERROR(__xludf.DUMMYFUNCTION("""COMPUTED_VALUE"""),332.38)</f>
        <v>332.38</v>
      </c>
      <c r="AO386" s="1">
        <f>IFERROR(__xludf.DUMMYFUNCTION("""COMPUTED_VALUE"""),162.96)</f>
        <v>162.96</v>
      </c>
      <c r="AP386" s="1">
        <f>IFERROR(__xludf.DUMMYFUNCTION("""COMPUTED_VALUE"""),151.66)</f>
        <v>151.66</v>
      </c>
      <c r="AQ386" s="1">
        <f>IFERROR(__xludf.DUMMYFUNCTION("""COMPUTED_VALUE"""),552.23)</f>
        <v>552.23</v>
      </c>
      <c r="AR386" s="1">
        <f>IFERROR(__xludf.DUMMYFUNCTION("""COMPUTED_VALUE"""),298.38)</f>
        <v>298.38</v>
      </c>
      <c r="AS386" s="1">
        <f>IFERROR(__xludf.DUMMYFUNCTION("""COMPUTED_VALUE"""),468.26)</f>
        <v>468.26</v>
      </c>
      <c r="AT386" s="1">
        <f>IFERROR(__xludf.DUMMYFUNCTION("""COMPUTED_VALUE"""),164.69)</f>
        <v>164.69</v>
      </c>
      <c r="AU386" s="1">
        <f>IFERROR(__xludf.DUMMYFUNCTION("""COMPUTED_VALUE"""),33.86)</f>
        <v>33.86</v>
      </c>
      <c r="AV386" s="1">
        <f>IFERROR(__xludf.DUMMYFUNCTION("""COMPUTED_VALUE"""),99.35)</f>
        <v>99.35</v>
      </c>
      <c r="AW386" s="1">
        <f>IFERROR(__xludf.DUMMYFUNCTION("""COMPUTED_VALUE"""),73.92)</f>
        <v>73.92</v>
      </c>
      <c r="AX386" s="1">
        <f>IFERROR(__xludf.DUMMYFUNCTION("""COMPUTED_VALUE"""),56.68)</f>
        <v>56.68</v>
      </c>
      <c r="AY386" s="1">
        <f>IFERROR(__xludf.DUMMYFUNCTION("""COMPUTED_VALUE"""),478.43)</f>
        <v>478.43</v>
      </c>
      <c r="AZ386" s="1">
        <f>IFERROR(__xludf.DUMMYFUNCTION("""COMPUTED_VALUE"""),84.3)</f>
        <v>84.3</v>
      </c>
      <c r="BA386" s="1">
        <f>IFERROR(__xludf.DUMMYFUNCTION("""COMPUTED_VALUE"""),160.46)</f>
        <v>160.46</v>
      </c>
      <c r="BB386" s="1">
        <f>IFERROR(__xludf.DUMMYFUNCTION("""COMPUTED_VALUE"""),180.64)</f>
        <v>180.64</v>
      </c>
      <c r="BC386" s="1">
        <f>IFERROR(__xludf.DUMMYFUNCTION("""COMPUTED_VALUE"""),86.86)</f>
        <v>86.86</v>
      </c>
      <c r="BD386" s="1">
        <f>IFERROR(__xludf.DUMMYFUNCTION("""COMPUTED_VALUE"""),41.42)</f>
        <v>41.42</v>
      </c>
      <c r="BE386" s="1">
        <f>IFERROR(__xludf.DUMMYFUNCTION("""COMPUTED_VALUE"""),155.75)</f>
        <v>155.75</v>
      </c>
      <c r="BF386" s="1">
        <f>IFERROR(__xludf.DUMMYFUNCTION("""COMPUTED_VALUE"""),58.11)</f>
        <v>58.11</v>
      </c>
      <c r="BG386" s="1">
        <f>IFERROR(__xludf.DUMMYFUNCTION("""COMPUTED_VALUE"""),24.4)</f>
        <v>24.4</v>
      </c>
      <c r="BH386" s="1">
        <f>IFERROR(__xludf.DUMMYFUNCTION("""COMPUTED_VALUE"""),172.73)</f>
        <v>172.73</v>
      </c>
      <c r="BI386" s="1">
        <f>IFERROR(__xludf.DUMMYFUNCTION("""COMPUTED_VALUE"""),69.88)</f>
        <v>69.88</v>
      </c>
      <c r="BJ386" s="1">
        <f>IFERROR(__xludf.DUMMYFUNCTION("""COMPUTED_VALUE"""),210.51)</f>
        <v>210.51</v>
      </c>
      <c r="BK386" s="1">
        <f>IFERROR(__xludf.DUMMYFUNCTION("""COMPUTED_VALUE"""),572.74)</f>
        <v>572.74</v>
      </c>
      <c r="BL386" s="1">
        <f>IFERROR(__xludf.DUMMYFUNCTION("""COMPUTED_VALUE"""),191.25)</f>
        <v>191.25</v>
      </c>
      <c r="BM386" s="1">
        <f>IFERROR(__xludf.DUMMYFUNCTION("""COMPUTED_VALUE"""),123.82)</f>
        <v>123.82</v>
      </c>
      <c r="BN386" s="1">
        <f>IFERROR(__xludf.DUMMYFUNCTION("""COMPUTED_VALUE"""),4.17)</f>
        <v>4.17</v>
      </c>
      <c r="BO386" s="1">
        <f>IFERROR(__xludf.DUMMYFUNCTION("""COMPUTED_VALUE"""),221.21)</f>
        <v>221.21</v>
      </c>
      <c r="BP386" s="1">
        <f>IFERROR(__xludf.DUMMYFUNCTION("""COMPUTED_VALUE"""),311.54)</f>
        <v>311.54</v>
      </c>
      <c r="BQ386" s="36">
        <f>IFERROR(__xludf.DUMMYFUNCTION("""COMPUTED_VALUE"""),50.07)</f>
        <v>50.07</v>
      </c>
      <c r="BR386" s="1">
        <f>IFERROR(__xludf.DUMMYFUNCTION("""COMPUTED_VALUE"""),10.19)</f>
        <v>10.19</v>
      </c>
      <c r="BS386" s="1">
        <f>IFERROR(__xludf.DUMMYFUNCTION("""COMPUTED_VALUE"""),216.8)</f>
        <v>216.8</v>
      </c>
      <c r="BT386" s="1">
        <f>IFERROR(__xludf.DUMMYFUNCTION("""COMPUTED_VALUE"""),102.7)</f>
        <v>102.7</v>
      </c>
      <c r="BU386" s="3">
        <v>1.0</v>
      </c>
    </row>
    <row r="387">
      <c r="A387" s="25">
        <f>IFERROR(__xludf.DUMMYFUNCTION("""COMPUTED_VALUE"""),45982.66666666667)</f>
        <v>45982.66667</v>
      </c>
      <c r="B387" s="29">
        <f>'Master Scratch Work'!B386</f>
        <v>1525731.83</v>
      </c>
      <c r="C387" s="31">
        <f>IFERROR(__xludf.DUMMYFUNCTION("""COMPUTED_VALUE"""),6602.99)</f>
        <v>6602.99</v>
      </c>
      <c r="D387" s="31">
        <f>IFERROR(__xludf.DUMMYFUNCTION("""COMPUTED_VALUE"""),22273.08)</f>
        <v>22273.08</v>
      </c>
      <c r="E387" s="31">
        <f>IFERROR(__xludf.DUMMYFUNCTION("""COMPUTED_VALUE"""),46245.41)</f>
        <v>46245.41</v>
      </c>
      <c r="F387" s="31">
        <f>IFERROR(__xludf.DUMMYFUNCTION("""COMPUTED_VALUE"""),2369.59)</f>
        <v>2369.59</v>
      </c>
      <c r="G387" s="1">
        <f>IFERROR(__xludf.DUMMYFUNCTION("""COMPUTED_VALUE"""),659.03)</f>
        <v>659.03</v>
      </c>
      <c r="H387" s="1">
        <f>IFERROR(__xludf.DUMMYFUNCTION("""COMPUTED_VALUE"""),590.07)</f>
        <v>590.07</v>
      </c>
      <c r="I387" s="1">
        <f>IFERROR(__xludf.DUMMYFUNCTION("""COMPUTED_VALUE"""),324.19)</f>
        <v>324.19</v>
      </c>
      <c r="J387" s="1">
        <f>IFERROR(__xludf.DUMMYFUNCTION("""COMPUTED_VALUE"""),220.69)</f>
        <v>220.69</v>
      </c>
      <c r="K387" s="1">
        <f>IFERROR(__xludf.DUMMYFUNCTION("""COMPUTED_VALUE"""),132.74)</f>
        <v>132.74</v>
      </c>
      <c r="L387" s="1">
        <f>IFERROR(__xludf.DUMMYFUNCTION("""COMPUTED_VALUE"""),271.49)</f>
        <v>271.49</v>
      </c>
      <c r="M387" s="1">
        <f>IFERROR(__xludf.DUMMYFUNCTION("""COMPUTED_VALUE"""),224.01)</f>
        <v>224.01</v>
      </c>
      <c r="N387" s="1">
        <f>IFERROR(__xludf.DUMMYFUNCTION("""COMPUTED_VALUE"""),106.43)</f>
        <v>106.43</v>
      </c>
      <c r="O387" s="1">
        <f>IFERROR(__xludf.DUMMYFUNCTION("""COMPUTED_VALUE"""),20.84)</f>
        <v>20.84</v>
      </c>
      <c r="P387" s="1">
        <f>IFERROR(__xludf.DUMMYFUNCTION("""COMPUTED_VALUE"""),504.04)</f>
        <v>504.04</v>
      </c>
      <c r="Q387" s="1">
        <f>IFERROR(__xludf.DUMMYFUNCTION("""COMPUTED_VALUE"""),53.08)</f>
        <v>53.08</v>
      </c>
      <c r="R387" s="1">
        <f>IFERROR(__xludf.DUMMYFUNCTION("""COMPUTED_VALUE"""),175.3)</f>
        <v>175.3</v>
      </c>
      <c r="S387" s="1">
        <f>IFERROR(__xludf.DUMMYFUNCTION("""COMPUTED_VALUE"""),96.88)</f>
        <v>96.88</v>
      </c>
      <c r="T387" s="1">
        <f>IFERROR(__xludf.DUMMYFUNCTION("""COMPUTED_VALUE"""),52.41)</f>
        <v>52.41</v>
      </c>
      <c r="U387" s="1">
        <f>IFERROR(__xludf.DUMMYFUNCTION("""COMPUTED_VALUE"""),550.43)</f>
        <v>550.43</v>
      </c>
      <c r="V387" s="1">
        <f>IFERROR(__xludf.DUMMYFUNCTION("""COMPUTED_VALUE"""),79.44)</f>
        <v>79.44</v>
      </c>
      <c r="W387" s="1">
        <f>IFERROR(__xludf.DUMMYFUNCTION("""COMPUTED_VALUE"""),187.08)</f>
        <v>187.08</v>
      </c>
      <c r="X387" s="1">
        <f>IFERROR(__xludf.DUMMYFUNCTION("""COMPUTED_VALUE"""),149.98)</f>
        <v>149.98</v>
      </c>
      <c r="Y387" s="1">
        <f>IFERROR(__xludf.DUMMYFUNCTION("""COMPUTED_VALUE"""),278.09)</f>
        <v>278.09</v>
      </c>
      <c r="Z387" s="1">
        <f>IFERROR(__xludf.DUMMYFUNCTION("""COMPUTED_VALUE"""),52.3)</f>
        <v>52.3</v>
      </c>
      <c r="AA387" s="1">
        <f>IFERROR(__xludf.DUMMYFUNCTION("""COMPUTED_VALUE"""),72.95)</f>
        <v>72.95</v>
      </c>
      <c r="AB387" s="1">
        <f>IFERROR(__xludf.DUMMYFUNCTION("""COMPUTED_VALUE"""),100.16)</f>
        <v>100.16</v>
      </c>
      <c r="AC387" s="1">
        <f>IFERROR(__xludf.DUMMYFUNCTION("""COMPUTED_VALUE"""),157.18)</f>
        <v>157.18</v>
      </c>
      <c r="AD387" s="1">
        <f>IFERROR(__xludf.DUMMYFUNCTION("""COMPUTED_VALUE"""),101.82)</f>
        <v>101.82</v>
      </c>
      <c r="AE387" s="1">
        <f>IFERROR(__xludf.DUMMYFUNCTION("""COMPUTED_VALUE"""),407.4)</f>
        <v>407.4</v>
      </c>
      <c r="AF387" s="1">
        <f>IFERROR(__xludf.DUMMYFUNCTION("""COMPUTED_VALUE"""),80.84)</f>
        <v>80.84</v>
      </c>
      <c r="AG387" s="1">
        <f>IFERROR(__xludf.DUMMYFUNCTION("""COMPUTED_VALUE"""),117.08)</f>
        <v>117.08</v>
      </c>
      <c r="AH387" s="1">
        <f>IFERROR(__xludf.DUMMYFUNCTION("""COMPUTED_VALUE"""),269.43)</f>
        <v>269.43</v>
      </c>
      <c r="AI387" s="1">
        <f>IFERROR(__xludf.DUMMYFUNCTION("""COMPUTED_VALUE"""),389.19)</f>
        <v>389.19</v>
      </c>
      <c r="AJ387" s="1">
        <f>IFERROR(__xludf.DUMMYFUNCTION("""COMPUTED_VALUE"""),340.34)</f>
        <v>340.34</v>
      </c>
      <c r="AK387" s="1">
        <f>IFERROR(__xludf.DUMMYFUNCTION("""COMPUTED_VALUE"""),70.33)</f>
        <v>70.33</v>
      </c>
      <c r="AL387" s="1">
        <f>IFERROR(__xludf.DUMMYFUNCTION("""COMPUTED_VALUE"""),126.64)</f>
        <v>126.64</v>
      </c>
      <c r="AM387" s="1">
        <f>IFERROR(__xludf.DUMMYFUNCTION("""COMPUTED_VALUE"""),774.03)</f>
        <v>774.03</v>
      </c>
      <c r="AN387" s="1">
        <f>IFERROR(__xludf.DUMMYFUNCTION("""COMPUTED_VALUE"""),343.32)</f>
        <v>343.32</v>
      </c>
      <c r="AO387" s="1">
        <f>IFERROR(__xludf.DUMMYFUNCTION("""COMPUTED_VALUE"""),163.35)</f>
        <v>163.35</v>
      </c>
      <c r="AP387" s="1">
        <f>IFERROR(__xludf.DUMMYFUNCTION("""COMPUTED_VALUE"""),154.43)</f>
        <v>154.43</v>
      </c>
      <c r="AQ387" s="1">
        <f>IFERROR(__xludf.DUMMYFUNCTION("""COMPUTED_VALUE"""),561.61)</f>
        <v>561.61</v>
      </c>
      <c r="AR387" s="1">
        <f>IFERROR(__xludf.DUMMYFUNCTION("""COMPUTED_VALUE"""),298.02)</f>
        <v>298.02</v>
      </c>
      <c r="AS387" s="1">
        <f>IFERROR(__xludf.DUMMYFUNCTION("""COMPUTED_VALUE"""),460.78)</f>
        <v>460.78</v>
      </c>
      <c r="AT387" s="1">
        <f>IFERROR(__xludf.DUMMYFUNCTION("""COMPUTED_VALUE"""),168.18)</f>
        <v>168.18</v>
      </c>
      <c r="AU387" s="1">
        <f>IFERROR(__xludf.DUMMYFUNCTION("""COMPUTED_VALUE"""),34.54)</f>
        <v>34.54</v>
      </c>
      <c r="AV387" s="1">
        <f>IFERROR(__xludf.DUMMYFUNCTION("""COMPUTED_VALUE"""),101.2)</f>
        <v>101.2</v>
      </c>
      <c r="AW387" s="1">
        <f>IFERROR(__xludf.DUMMYFUNCTION("""COMPUTED_VALUE"""),75.07)</f>
        <v>75.07</v>
      </c>
      <c r="AX387" s="1">
        <f>IFERROR(__xludf.DUMMYFUNCTION("""COMPUTED_VALUE"""),55.27)</f>
        <v>55.27</v>
      </c>
      <c r="AY387" s="1">
        <f>IFERROR(__xludf.DUMMYFUNCTION("""COMPUTED_VALUE"""),472.12)</f>
        <v>472.12</v>
      </c>
      <c r="AZ387" s="1">
        <f>IFERROR(__xludf.DUMMYFUNCTION("""COMPUTED_VALUE"""),83.48)</f>
        <v>83.48</v>
      </c>
      <c r="BA387" s="1">
        <f>IFERROR(__xludf.DUMMYFUNCTION("""COMPUTED_VALUE"""),159.2)</f>
        <v>159.2</v>
      </c>
      <c r="BB387" s="1">
        <f>IFERROR(__xludf.DUMMYFUNCTION("""COMPUTED_VALUE"""),178.88)</f>
        <v>178.88</v>
      </c>
      <c r="BC387" s="1">
        <f>IFERROR(__xludf.DUMMYFUNCTION("""COMPUTED_VALUE"""),88.06)</f>
        <v>88.06</v>
      </c>
      <c r="BD387" s="1">
        <f>IFERROR(__xludf.DUMMYFUNCTION("""COMPUTED_VALUE"""),41.28)</f>
        <v>41.28</v>
      </c>
      <c r="BE387" s="1">
        <f>IFERROR(__xludf.DUMMYFUNCTION("""COMPUTED_VALUE"""),154.85)</f>
        <v>154.85</v>
      </c>
      <c r="BF387" s="1">
        <f>IFERROR(__xludf.DUMMYFUNCTION("""COMPUTED_VALUE"""),60.57)</f>
        <v>60.57</v>
      </c>
      <c r="BG387" s="1">
        <f>IFERROR(__xludf.DUMMYFUNCTION("""COMPUTED_VALUE"""),25.04)</f>
        <v>25.04</v>
      </c>
      <c r="BH387" s="1">
        <f>IFERROR(__xludf.DUMMYFUNCTION("""COMPUTED_VALUE"""),169.68)</f>
        <v>169.68</v>
      </c>
      <c r="BI387" s="1">
        <f>IFERROR(__xludf.DUMMYFUNCTION("""COMPUTED_VALUE"""),70.87)</f>
        <v>70.87</v>
      </c>
      <c r="BJ387" s="1">
        <f>IFERROR(__xludf.DUMMYFUNCTION("""COMPUTED_VALUE"""),209.48)</f>
        <v>209.48</v>
      </c>
      <c r="BK387" s="1">
        <f>IFERROR(__xludf.DUMMYFUNCTION("""COMPUTED_VALUE"""),587.48)</f>
        <v>587.48</v>
      </c>
      <c r="BL387" s="1">
        <f>IFERROR(__xludf.DUMMYFUNCTION("""COMPUTED_VALUE"""),197.62)</f>
        <v>197.62</v>
      </c>
      <c r="BM387" s="1">
        <f>IFERROR(__xludf.DUMMYFUNCTION("""COMPUTED_VALUE"""),130.93)</f>
        <v>130.93</v>
      </c>
      <c r="BN387" s="1">
        <f>IFERROR(__xludf.DUMMYFUNCTION("""COMPUTED_VALUE"""),4.28)</f>
        <v>4.28</v>
      </c>
      <c r="BO387" s="1">
        <f>IFERROR(__xludf.DUMMYFUNCTION("""COMPUTED_VALUE"""),226.22)</f>
        <v>226.22</v>
      </c>
      <c r="BP387" s="1">
        <f>IFERROR(__xludf.DUMMYFUNCTION("""COMPUTED_VALUE"""),319.97)</f>
        <v>319.97</v>
      </c>
      <c r="BQ387" s="36">
        <f>IFERROR(__xludf.DUMMYFUNCTION("""COMPUTED_VALUE"""),50.12)</f>
        <v>50.12</v>
      </c>
      <c r="BR387" s="1">
        <f>IFERROR(__xludf.DUMMYFUNCTION("""COMPUTED_VALUE"""),10.46)</f>
        <v>10.46</v>
      </c>
      <c r="BS387" s="1">
        <f>IFERROR(__xludf.DUMMYFUNCTION("""COMPUTED_VALUE"""),216.62)</f>
        <v>216.62</v>
      </c>
      <c r="BT387" s="1">
        <f>IFERROR(__xludf.DUMMYFUNCTION("""COMPUTED_VALUE"""),104.28)</f>
        <v>104.28</v>
      </c>
      <c r="BU387" s="3">
        <v>1.0</v>
      </c>
    </row>
    <row r="388">
      <c r="A388" s="25">
        <f>IFERROR(__xludf.DUMMYFUNCTION("""COMPUTED_VALUE"""),45985.66666666667)</f>
        <v>45985.66667</v>
      </c>
      <c r="B388" s="29">
        <f>'Master Scratch Work'!B387</f>
        <v>1536822.37</v>
      </c>
      <c r="C388" s="31">
        <f>IFERROR(__xludf.DUMMYFUNCTION("""COMPUTED_VALUE"""),6705.12)</f>
        <v>6705.12</v>
      </c>
      <c r="D388" s="31">
        <f>IFERROR(__xludf.DUMMYFUNCTION("""COMPUTED_VALUE"""),22872.01)</f>
        <v>22872.01</v>
      </c>
      <c r="E388" s="31">
        <f>IFERROR(__xludf.DUMMYFUNCTION("""COMPUTED_VALUE"""),46448.27)</f>
        <v>46448.27</v>
      </c>
      <c r="F388" s="31">
        <f>IFERROR(__xludf.DUMMYFUNCTION("""COMPUTED_VALUE"""),2414.28)</f>
        <v>2414.28</v>
      </c>
      <c r="G388" s="1">
        <f>IFERROR(__xludf.DUMMYFUNCTION("""COMPUTED_VALUE"""),668.73)</f>
        <v>668.73</v>
      </c>
      <c r="H388" s="1">
        <f>IFERROR(__xludf.DUMMYFUNCTION("""COMPUTED_VALUE"""),605.16)</f>
        <v>605.16</v>
      </c>
      <c r="I388" s="1">
        <f>IFERROR(__xludf.DUMMYFUNCTION("""COMPUTED_VALUE"""),318.73)</f>
        <v>318.73</v>
      </c>
      <c r="J388" s="1">
        <f>IFERROR(__xludf.DUMMYFUNCTION("""COMPUTED_VALUE"""),226.28)</f>
        <v>226.28</v>
      </c>
      <c r="K388" s="1">
        <f>IFERROR(__xludf.DUMMYFUNCTION("""COMPUTED_VALUE"""),131.51)</f>
        <v>131.51</v>
      </c>
      <c r="L388" s="1">
        <f>IFERROR(__xludf.DUMMYFUNCTION("""COMPUTED_VALUE"""),275.92)</f>
        <v>275.92</v>
      </c>
      <c r="M388" s="1">
        <f>IFERROR(__xludf.DUMMYFUNCTION("""COMPUTED_VALUE"""),230.91)</f>
        <v>230.91</v>
      </c>
      <c r="N388" s="1">
        <f>IFERROR(__xludf.DUMMYFUNCTION("""COMPUTED_VALUE"""),108.07)</f>
        <v>108.07</v>
      </c>
      <c r="O388" s="1">
        <f>IFERROR(__xludf.DUMMYFUNCTION("""COMPUTED_VALUE"""),21.12)</f>
        <v>21.12</v>
      </c>
      <c r="P388" s="1">
        <f>IFERROR(__xludf.DUMMYFUNCTION("""COMPUTED_VALUE"""),507.81)</f>
        <v>507.81</v>
      </c>
      <c r="Q388" s="1">
        <f>IFERROR(__xludf.DUMMYFUNCTION("""COMPUTED_VALUE"""),52.93)</f>
        <v>52.93</v>
      </c>
      <c r="R388" s="1">
        <f>IFERROR(__xludf.DUMMYFUNCTION("""COMPUTED_VALUE"""),176.82)</f>
        <v>176.82</v>
      </c>
      <c r="S388" s="1">
        <f>IFERROR(__xludf.DUMMYFUNCTION("""COMPUTED_VALUE"""),98.04)</f>
        <v>98.04</v>
      </c>
      <c r="T388" s="1">
        <f>IFERROR(__xludf.DUMMYFUNCTION("""COMPUTED_VALUE"""),51.75)</f>
        <v>51.75</v>
      </c>
      <c r="U388" s="1">
        <f>IFERROR(__xludf.DUMMYFUNCTION("""COMPUTED_VALUE"""),559.6)</f>
        <v>559.6</v>
      </c>
      <c r="V388" s="1">
        <f>IFERROR(__xludf.DUMMYFUNCTION("""COMPUTED_VALUE"""),83.34)</f>
        <v>83.34</v>
      </c>
      <c r="W388" s="1">
        <f>IFERROR(__xludf.DUMMYFUNCTION("""COMPUTED_VALUE"""),183.55)</f>
        <v>183.55</v>
      </c>
      <c r="X388" s="1">
        <f>IFERROR(__xludf.DUMMYFUNCTION("""COMPUTED_VALUE"""),149.75)</f>
        <v>149.75</v>
      </c>
      <c r="Y388" s="1">
        <f>IFERROR(__xludf.DUMMYFUNCTION("""COMPUTED_VALUE"""),271.47)</f>
        <v>271.47</v>
      </c>
      <c r="Z388" s="1">
        <f>IFERROR(__xludf.DUMMYFUNCTION("""COMPUTED_VALUE"""),52.79)</f>
        <v>52.79</v>
      </c>
      <c r="AA388" s="1">
        <f>IFERROR(__xludf.DUMMYFUNCTION("""COMPUTED_VALUE"""),72.59)</f>
        <v>72.59</v>
      </c>
      <c r="AB388" s="1">
        <f>IFERROR(__xludf.DUMMYFUNCTION("""COMPUTED_VALUE"""),98.92)</f>
        <v>98.92</v>
      </c>
      <c r="AC388" s="1">
        <f>IFERROR(__xludf.DUMMYFUNCTION("""COMPUTED_VALUE"""),159.01)</f>
        <v>159.01</v>
      </c>
      <c r="AD388" s="1">
        <f>IFERROR(__xludf.DUMMYFUNCTION("""COMPUTED_VALUE"""),100.25)</f>
        <v>100.25</v>
      </c>
      <c r="AE388" s="1">
        <f>IFERROR(__xludf.DUMMYFUNCTION("""COMPUTED_VALUE"""),402.67)</f>
        <v>402.67</v>
      </c>
      <c r="AF388" s="1">
        <f>IFERROR(__xludf.DUMMYFUNCTION("""COMPUTED_VALUE"""),80.89)</f>
        <v>80.89</v>
      </c>
      <c r="AG388" s="1">
        <f>IFERROR(__xludf.DUMMYFUNCTION("""COMPUTED_VALUE"""),115.97)</f>
        <v>115.97</v>
      </c>
      <c r="AH388" s="1">
        <f>IFERROR(__xludf.DUMMYFUNCTION("""COMPUTED_VALUE"""),266.98)</f>
        <v>266.98</v>
      </c>
      <c r="AI388" s="1">
        <f>IFERROR(__xludf.DUMMYFUNCTION("""COMPUTED_VALUE"""),381.58)</f>
        <v>381.58</v>
      </c>
      <c r="AJ388" s="1">
        <f>IFERROR(__xludf.DUMMYFUNCTION("""COMPUTED_VALUE"""),338.13)</f>
        <v>338.13</v>
      </c>
      <c r="AK388" s="1">
        <f>IFERROR(__xludf.DUMMYFUNCTION("""COMPUTED_VALUE"""),71.0)</f>
        <v>71</v>
      </c>
      <c r="AL388" s="1">
        <f>IFERROR(__xludf.DUMMYFUNCTION("""COMPUTED_VALUE"""),125.27)</f>
        <v>125.27</v>
      </c>
      <c r="AM388" s="1">
        <f>IFERROR(__xludf.DUMMYFUNCTION("""COMPUTED_VALUE"""),790.71)</f>
        <v>790.71</v>
      </c>
      <c r="AN388" s="1">
        <f>IFERROR(__xludf.DUMMYFUNCTION("""COMPUTED_VALUE"""),336.58)</f>
        <v>336.58</v>
      </c>
      <c r="AO388" s="1">
        <f>IFERROR(__xludf.DUMMYFUNCTION("""COMPUTED_VALUE"""),161.13)</f>
        <v>161.13</v>
      </c>
      <c r="AP388" s="1">
        <f>IFERROR(__xludf.DUMMYFUNCTION("""COMPUTED_VALUE"""),152.9)</f>
        <v>152.9</v>
      </c>
      <c r="AQ388" s="1">
        <f>IFERROR(__xludf.DUMMYFUNCTION("""COMPUTED_VALUE"""),568.48)</f>
        <v>568.48</v>
      </c>
      <c r="AR388" s="1">
        <f>IFERROR(__xludf.DUMMYFUNCTION("""COMPUTED_VALUE"""),298.0)</f>
        <v>298</v>
      </c>
      <c r="AS388" s="1">
        <f>IFERROR(__xludf.DUMMYFUNCTION("""COMPUTED_VALUE"""),451.06)</f>
        <v>451.06</v>
      </c>
      <c r="AT388" s="1">
        <f>IFERROR(__xludf.DUMMYFUNCTION("""COMPUTED_VALUE"""),169.67)</f>
        <v>169.67</v>
      </c>
      <c r="AU388" s="1">
        <f>IFERROR(__xludf.DUMMYFUNCTION("""COMPUTED_VALUE"""),34.87)</f>
        <v>34.87</v>
      </c>
      <c r="AV388" s="1">
        <f>IFERROR(__xludf.DUMMYFUNCTION("""COMPUTED_VALUE"""),103.2)</f>
        <v>103.2</v>
      </c>
      <c r="AW388" s="1">
        <f>IFERROR(__xludf.DUMMYFUNCTION("""COMPUTED_VALUE"""),75.19)</f>
        <v>75.19</v>
      </c>
      <c r="AX388" s="1">
        <f>IFERROR(__xludf.DUMMYFUNCTION("""COMPUTED_VALUE"""),59.04)</f>
        <v>59.04</v>
      </c>
      <c r="AY388" s="1">
        <f>IFERROR(__xludf.DUMMYFUNCTION("""COMPUTED_VALUE"""),474.0)</f>
        <v>474</v>
      </c>
      <c r="AZ388" s="1">
        <f>IFERROR(__xludf.DUMMYFUNCTION("""COMPUTED_VALUE"""),84.23)</f>
        <v>84.23</v>
      </c>
      <c r="BA388" s="1">
        <f>IFERROR(__xludf.DUMMYFUNCTION("""COMPUTED_VALUE"""),166.85)</f>
        <v>166.85</v>
      </c>
      <c r="BB388" s="1">
        <f>IFERROR(__xludf.DUMMYFUNCTION("""COMPUTED_VALUE"""),182.55)</f>
        <v>182.55</v>
      </c>
      <c r="BC388" s="1">
        <f>IFERROR(__xludf.DUMMYFUNCTION("""COMPUTED_VALUE"""),86.96)</f>
        <v>86.96</v>
      </c>
      <c r="BD388" s="1">
        <f>IFERROR(__xludf.DUMMYFUNCTION("""COMPUTED_VALUE"""),40.79)</f>
        <v>40.79</v>
      </c>
      <c r="BE388" s="1">
        <f>IFERROR(__xludf.DUMMYFUNCTION("""COMPUTED_VALUE"""),162.25)</f>
        <v>162.25</v>
      </c>
      <c r="BF388" s="1">
        <f>IFERROR(__xludf.DUMMYFUNCTION("""COMPUTED_VALUE"""),60.56)</f>
        <v>60.56</v>
      </c>
      <c r="BG388" s="1">
        <f>IFERROR(__xludf.DUMMYFUNCTION("""COMPUTED_VALUE"""),25.22)</f>
        <v>25.22</v>
      </c>
      <c r="BH388" s="1">
        <f>IFERROR(__xludf.DUMMYFUNCTION("""COMPUTED_VALUE"""),173.21)</f>
        <v>173.21</v>
      </c>
      <c r="BI388" s="1">
        <f>IFERROR(__xludf.DUMMYFUNCTION("""COMPUTED_VALUE"""),73.66)</f>
        <v>73.66</v>
      </c>
      <c r="BJ388" s="1">
        <f>IFERROR(__xludf.DUMMYFUNCTION("""COMPUTED_VALUE"""),207.34)</f>
        <v>207.34</v>
      </c>
      <c r="BK388" s="1">
        <f>IFERROR(__xludf.DUMMYFUNCTION("""COMPUTED_VALUE"""),586.07)</f>
        <v>586.07</v>
      </c>
      <c r="BL388" s="1">
        <f>IFERROR(__xludf.DUMMYFUNCTION("""COMPUTED_VALUE"""),199.06)</f>
        <v>199.06</v>
      </c>
      <c r="BM388" s="1">
        <f>IFERROR(__xludf.DUMMYFUNCTION("""COMPUTED_VALUE"""),140.21)</f>
        <v>140.21</v>
      </c>
      <c r="BN388" s="1">
        <f>IFERROR(__xludf.DUMMYFUNCTION("""COMPUTED_VALUE"""),4.4)</f>
        <v>4.4</v>
      </c>
      <c r="BO388" s="1">
        <f>IFERROR(__xludf.DUMMYFUNCTION("""COMPUTED_VALUE"""),224.5)</f>
        <v>224.5</v>
      </c>
      <c r="BP388" s="1">
        <f>IFERROR(__xludf.DUMMYFUNCTION("""COMPUTED_VALUE"""),319.05)</f>
        <v>319.05</v>
      </c>
      <c r="BQ388" s="36">
        <f>IFERROR(__xludf.DUMMYFUNCTION("""COMPUTED_VALUE"""),50.11)</f>
        <v>50.11</v>
      </c>
      <c r="BR388" s="1">
        <f>IFERROR(__xludf.DUMMYFUNCTION("""COMPUTED_VALUE"""),10.57)</f>
        <v>10.57</v>
      </c>
      <c r="BS388" s="1">
        <f>IFERROR(__xludf.DUMMYFUNCTION("""COMPUTED_VALUE"""),211.84)</f>
        <v>211.84</v>
      </c>
      <c r="BT388" s="1">
        <f>IFERROR(__xludf.DUMMYFUNCTION("""COMPUTED_VALUE"""),101.94)</f>
        <v>101.94</v>
      </c>
      <c r="BU388" s="3">
        <v>1.0</v>
      </c>
    </row>
    <row r="389">
      <c r="A389" s="25">
        <f>IFERROR(__xludf.DUMMYFUNCTION("""COMPUTED_VALUE"""),45986.66666666667)</f>
        <v>45986.66667</v>
      </c>
      <c r="B389" s="29">
        <f>'Master Scratch Work'!B388</f>
        <v>1556484.04</v>
      </c>
      <c r="C389" s="31">
        <f>IFERROR(__xludf.DUMMYFUNCTION("""COMPUTED_VALUE"""),6765.88)</f>
        <v>6765.88</v>
      </c>
      <c r="D389" s="31">
        <f>IFERROR(__xludf.DUMMYFUNCTION("""COMPUTED_VALUE"""),23025.59)</f>
        <v>23025.59</v>
      </c>
      <c r="E389" s="31">
        <f>IFERROR(__xludf.DUMMYFUNCTION("""COMPUTED_VALUE"""),47112.45)</f>
        <v>47112.45</v>
      </c>
      <c r="F389" s="31">
        <f>IFERROR(__xludf.DUMMYFUNCTION("""COMPUTED_VALUE"""),2465.98)</f>
        <v>2465.98</v>
      </c>
      <c r="G389" s="1">
        <f>IFERROR(__xludf.DUMMYFUNCTION("""COMPUTED_VALUE"""),675.02)</f>
        <v>675.02</v>
      </c>
      <c r="H389" s="1">
        <f>IFERROR(__xludf.DUMMYFUNCTION("""COMPUTED_VALUE"""),608.89)</f>
        <v>608.89</v>
      </c>
      <c r="I389" s="1">
        <f>IFERROR(__xludf.DUMMYFUNCTION("""COMPUTED_VALUE"""),319.55)</f>
        <v>319.55</v>
      </c>
      <c r="J389" s="1">
        <f>IFERROR(__xludf.DUMMYFUNCTION("""COMPUTED_VALUE"""),229.67)</f>
        <v>229.67</v>
      </c>
      <c r="K389" s="1">
        <f>IFERROR(__xludf.DUMMYFUNCTION("""COMPUTED_VALUE"""),130.39)</f>
        <v>130.39</v>
      </c>
      <c r="L389" s="1">
        <f>IFERROR(__xludf.DUMMYFUNCTION("""COMPUTED_VALUE"""),276.97)</f>
        <v>276.97</v>
      </c>
      <c r="M389" s="1">
        <f>IFERROR(__xludf.DUMMYFUNCTION("""COMPUTED_VALUE"""),242.46)</f>
        <v>242.46</v>
      </c>
      <c r="N389" s="1">
        <f>IFERROR(__xludf.DUMMYFUNCTION("""COMPUTED_VALUE"""),109.13)</f>
        <v>109.13</v>
      </c>
      <c r="O389" s="1">
        <f>IFERROR(__xludf.DUMMYFUNCTION("""COMPUTED_VALUE"""),21.69)</f>
        <v>21.69</v>
      </c>
      <c r="P389" s="1">
        <f>IFERROR(__xludf.DUMMYFUNCTION("""COMPUTED_VALUE"""),508.57)</f>
        <v>508.57</v>
      </c>
      <c r="Q389" s="1">
        <f>IFERROR(__xludf.DUMMYFUNCTION("""COMPUTED_VALUE"""),53.68)</f>
        <v>53.68</v>
      </c>
      <c r="R389" s="1">
        <f>IFERROR(__xludf.DUMMYFUNCTION("""COMPUTED_VALUE"""),181.96)</f>
        <v>181.96</v>
      </c>
      <c r="S389" s="1">
        <f>IFERROR(__xludf.DUMMYFUNCTION("""COMPUTED_VALUE"""),101.36)</f>
        <v>101.36</v>
      </c>
      <c r="T389" s="1">
        <f>IFERROR(__xludf.DUMMYFUNCTION("""COMPUTED_VALUE"""),53.95)</f>
        <v>53.95</v>
      </c>
      <c r="U389" s="1">
        <f>IFERROR(__xludf.DUMMYFUNCTION("""COMPUTED_VALUE"""),566.61)</f>
        <v>566.61</v>
      </c>
      <c r="V389" s="1">
        <f>IFERROR(__xludf.DUMMYFUNCTION("""COMPUTED_VALUE"""),87.35)</f>
        <v>87.35</v>
      </c>
      <c r="W389" s="1">
        <f>IFERROR(__xludf.DUMMYFUNCTION("""COMPUTED_VALUE"""),185.9)</f>
        <v>185.9</v>
      </c>
      <c r="X389" s="1">
        <f>IFERROR(__xludf.DUMMYFUNCTION("""COMPUTED_VALUE"""),148.53)</f>
        <v>148.53</v>
      </c>
      <c r="Y389" s="1">
        <f>IFERROR(__xludf.DUMMYFUNCTION("""COMPUTED_VALUE"""),278.2)</f>
        <v>278.2</v>
      </c>
      <c r="Z389" s="1">
        <f>IFERROR(__xludf.DUMMYFUNCTION("""COMPUTED_VALUE"""),54.19)</f>
        <v>54.19</v>
      </c>
      <c r="AA389" s="1">
        <f>IFERROR(__xludf.DUMMYFUNCTION("""COMPUTED_VALUE"""),72.61)</f>
        <v>72.61</v>
      </c>
      <c r="AB389" s="1">
        <f>IFERROR(__xludf.DUMMYFUNCTION("""COMPUTED_VALUE"""),98.85)</f>
        <v>98.85</v>
      </c>
      <c r="AC389" s="1">
        <f>IFERROR(__xludf.DUMMYFUNCTION("""COMPUTED_VALUE"""),157.37)</f>
        <v>157.37</v>
      </c>
      <c r="AD389" s="1">
        <f>IFERROR(__xludf.DUMMYFUNCTION("""COMPUTED_VALUE"""),105.66)</f>
        <v>105.66</v>
      </c>
      <c r="AE389" s="1">
        <f>IFERROR(__xludf.DUMMYFUNCTION("""COMPUTED_VALUE"""),417.62)</f>
        <v>417.62</v>
      </c>
      <c r="AF389" s="1">
        <f>IFERROR(__xludf.DUMMYFUNCTION("""COMPUTED_VALUE"""),82.79)</f>
        <v>82.79</v>
      </c>
      <c r="AG389" s="1">
        <f>IFERROR(__xludf.DUMMYFUNCTION("""COMPUTED_VALUE"""),114.51)</f>
        <v>114.51</v>
      </c>
      <c r="AH389" s="1">
        <f>IFERROR(__xludf.DUMMYFUNCTION("""COMPUTED_VALUE"""),273.87)</f>
        <v>273.87</v>
      </c>
      <c r="AI389" s="1">
        <f>IFERROR(__xludf.DUMMYFUNCTION("""COMPUTED_VALUE"""),385.14)</f>
        <v>385.14</v>
      </c>
      <c r="AJ389" s="1">
        <f>IFERROR(__xludf.DUMMYFUNCTION("""COMPUTED_VALUE"""),341.07)</f>
        <v>341.07</v>
      </c>
      <c r="AK389" s="1">
        <f>IFERROR(__xludf.DUMMYFUNCTION("""COMPUTED_VALUE"""),72.78)</f>
        <v>72.78</v>
      </c>
      <c r="AL389" s="1">
        <f>IFERROR(__xludf.DUMMYFUNCTION("""COMPUTED_VALUE"""),127.12)</f>
        <v>127.12</v>
      </c>
      <c r="AM389" s="1">
        <f>IFERROR(__xludf.DUMMYFUNCTION("""COMPUTED_VALUE"""),802.32)</f>
        <v>802.32</v>
      </c>
      <c r="AN389" s="1">
        <f>IFERROR(__xludf.DUMMYFUNCTION("""COMPUTED_VALUE"""),351.07)</f>
        <v>351.07</v>
      </c>
      <c r="AO389" s="1">
        <f>IFERROR(__xludf.DUMMYFUNCTION("""COMPUTED_VALUE"""),164.98)</f>
        <v>164.98</v>
      </c>
      <c r="AP389" s="1">
        <f>IFERROR(__xludf.DUMMYFUNCTION("""COMPUTED_VALUE"""),155.96)</f>
        <v>155.96</v>
      </c>
      <c r="AQ389" s="1">
        <f>IFERROR(__xludf.DUMMYFUNCTION("""COMPUTED_VALUE"""),578.87)</f>
        <v>578.87</v>
      </c>
      <c r="AR389" s="1">
        <f>IFERROR(__xludf.DUMMYFUNCTION("""COMPUTED_VALUE"""),303.0)</f>
        <v>303</v>
      </c>
      <c r="AS389" s="1">
        <f>IFERROR(__xludf.DUMMYFUNCTION("""COMPUTED_VALUE"""),452.41)</f>
        <v>452.41</v>
      </c>
      <c r="AT389" s="1">
        <f>IFERROR(__xludf.DUMMYFUNCTION("""COMPUTED_VALUE"""),177.51)</f>
        <v>177.51</v>
      </c>
      <c r="AU389" s="1">
        <f>IFERROR(__xludf.DUMMYFUNCTION("""COMPUTED_VALUE"""),35.31)</f>
        <v>35.31</v>
      </c>
      <c r="AV389" s="1">
        <f>IFERROR(__xludf.DUMMYFUNCTION("""COMPUTED_VALUE"""),105.35)</f>
        <v>105.35</v>
      </c>
      <c r="AW389" s="1">
        <f>IFERROR(__xludf.DUMMYFUNCTION("""COMPUTED_VALUE"""),75.74)</f>
        <v>75.74</v>
      </c>
      <c r="AX389" s="1">
        <f>IFERROR(__xludf.DUMMYFUNCTION("""COMPUTED_VALUE"""),58.21)</f>
        <v>58.21</v>
      </c>
      <c r="AY389" s="1">
        <f>IFERROR(__xludf.DUMMYFUNCTION("""COMPUTED_VALUE"""),476.99)</f>
        <v>476.99</v>
      </c>
      <c r="AZ389" s="1">
        <f>IFERROR(__xludf.DUMMYFUNCTION("""COMPUTED_VALUE"""),84.83)</f>
        <v>84.83</v>
      </c>
      <c r="BA389" s="1">
        <f>IFERROR(__xludf.DUMMYFUNCTION("""COMPUTED_VALUE"""),163.81)</f>
        <v>163.81</v>
      </c>
      <c r="BB389" s="1">
        <f>IFERROR(__xludf.DUMMYFUNCTION("""COMPUTED_VALUE"""),177.82)</f>
        <v>177.82</v>
      </c>
      <c r="BC389" s="1">
        <f>IFERROR(__xludf.DUMMYFUNCTION("""COMPUTED_VALUE"""),88.44)</f>
        <v>88.44</v>
      </c>
      <c r="BD389" s="1">
        <f>IFERROR(__xludf.DUMMYFUNCTION("""COMPUTED_VALUE"""),41.76)</f>
        <v>41.76</v>
      </c>
      <c r="BE389" s="1">
        <f>IFERROR(__xludf.DUMMYFUNCTION("""COMPUTED_VALUE"""),163.55)</f>
        <v>163.55</v>
      </c>
      <c r="BF389" s="1">
        <f>IFERROR(__xludf.DUMMYFUNCTION("""COMPUTED_VALUE"""),61.22)</f>
        <v>61.22</v>
      </c>
      <c r="BG389" s="1">
        <f>IFERROR(__xludf.DUMMYFUNCTION("""COMPUTED_VALUE"""),25.72)</f>
        <v>25.72</v>
      </c>
      <c r="BH389" s="1">
        <f>IFERROR(__xludf.DUMMYFUNCTION("""COMPUTED_VALUE"""),172.15)</f>
        <v>172.15</v>
      </c>
      <c r="BI389" s="1">
        <f>IFERROR(__xludf.DUMMYFUNCTION("""COMPUTED_VALUE"""),76.32)</f>
        <v>76.32</v>
      </c>
      <c r="BJ389" s="1">
        <f>IFERROR(__xludf.DUMMYFUNCTION("""COMPUTED_VALUE"""),206.9)</f>
        <v>206.9</v>
      </c>
      <c r="BK389" s="1">
        <f>IFERROR(__xludf.DUMMYFUNCTION("""COMPUTED_VALUE"""),597.78)</f>
        <v>597.78</v>
      </c>
      <c r="BL389" s="1">
        <f>IFERROR(__xludf.DUMMYFUNCTION("""COMPUTED_VALUE"""),200.26)</f>
        <v>200.26</v>
      </c>
      <c r="BM389" s="1">
        <f>IFERROR(__xludf.DUMMYFUNCTION("""COMPUTED_VALUE"""),146.0)</f>
        <v>146</v>
      </c>
      <c r="BN389" s="1">
        <f>IFERROR(__xludf.DUMMYFUNCTION("""COMPUTED_VALUE"""),4.5)</f>
        <v>4.5</v>
      </c>
      <c r="BO389" s="1">
        <f>IFERROR(__xludf.DUMMYFUNCTION("""COMPUTED_VALUE"""),229.13)</f>
        <v>229.13</v>
      </c>
      <c r="BP389" s="1">
        <f>IFERROR(__xludf.DUMMYFUNCTION("""COMPUTED_VALUE"""),326.28)</f>
        <v>326.28</v>
      </c>
      <c r="BQ389" s="36">
        <f>IFERROR(__xludf.DUMMYFUNCTION("""COMPUTED_VALUE"""),50.15)</f>
        <v>50.15</v>
      </c>
      <c r="BR389" s="1">
        <f>IFERROR(__xludf.DUMMYFUNCTION("""COMPUTED_VALUE"""),10.56)</f>
        <v>10.56</v>
      </c>
      <c r="BS389" s="1">
        <f>IFERROR(__xludf.DUMMYFUNCTION("""COMPUTED_VALUE"""),216.23)</f>
        <v>216.23</v>
      </c>
      <c r="BT389" s="1">
        <f>IFERROR(__xludf.DUMMYFUNCTION("""COMPUTED_VALUE"""),103.31)</f>
        <v>103.31</v>
      </c>
      <c r="BU389" s="3">
        <v>1.0</v>
      </c>
    </row>
    <row r="390">
      <c r="A390" s="25">
        <f>IFERROR(__xludf.DUMMYFUNCTION("""COMPUTED_VALUE"""),45987.66666666667)</f>
        <v>45987.66667</v>
      </c>
      <c r="B390" s="29">
        <f>'Master Scratch Work'!B389</f>
        <v>1565774.1</v>
      </c>
      <c r="C390" s="31">
        <f>IFERROR(__xludf.DUMMYFUNCTION("""COMPUTED_VALUE"""),6812.61)</f>
        <v>6812.61</v>
      </c>
      <c r="D390" s="31">
        <f>IFERROR(__xludf.DUMMYFUNCTION("""COMPUTED_VALUE"""),23214.69)</f>
        <v>23214.69</v>
      </c>
      <c r="E390" s="31">
        <f>IFERROR(__xludf.DUMMYFUNCTION("""COMPUTED_VALUE"""),47427.12)</f>
        <v>47427.12</v>
      </c>
      <c r="F390" s="31">
        <f>IFERROR(__xludf.DUMMYFUNCTION("""COMPUTED_VALUE"""),2486.12)</f>
        <v>2486.12</v>
      </c>
      <c r="G390" s="1">
        <f>IFERROR(__xludf.DUMMYFUNCTION("""COMPUTED_VALUE"""),679.68)</f>
        <v>679.68</v>
      </c>
      <c r="H390" s="1">
        <f>IFERROR(__xludf.DUMMYFUNCTION("""COMPUTED_VALUE"""),614.27)</f>
        <v>614.27</v>
      </c>
      <c r="I390" s="1">
        <f>IFERROR(__xludf.DUMMYFUNCTION("""COMPUTED_VALUE"""),317.52)</f>
        <v>317.52</v>
      </c>
      <c r="J390" s="1">
        <f>IFERROR(__xludf.DUMMYFUNCTION("""COMPUTED_VALUE"""),229.16)</f>
        <v>229.16</v>
      </c>
      <c r="K390" s="1">
        <f>IFERROR(__xludf.DUMMYFUNCTION("""COMPUTED_VALUE"""),129.85)</f>
        <v>129.85</v>
      </c>
      <c r="L390" s="1">
        <f>IFERROR(__xludf.DUMMYFUNCTION("""COMPUTED_VALUE"""),277.55)</f>
        <v>277.55</v>
      </c>
      <c r="M390" s="1">
        <f>IFERROR(__xludf.DUMMYFUNCTION("""COMPUTED_VALUE"""),249.97)</f>
        <v>249.97</v>
      </c>
      <c r="N390" s="1">
        <f>IFERROR(__xludf.DUMMYFUNCTION("""COMPUTED_VALUE"""),111.39)</f>
        <v>111.39</v>
      </c>
      <c r="O390" s="1">
        <f>IFERROR(__xludf.DUMMYFUNCTION("""COMPUTED_VALUE"""),22.38)</f>
        <v>22.38</v>
      </c>
      <c r="P390" s="1">
        <f>IFERROR(__xludf.DUMMYFUNCTION("""COMPUTED_VALUE"""),511.23)</f>
        <v>511.23</v>
      </c>
      <c r="Q390" s="1">
        <f>IFERROR(__xludf.DUMMYFUNCTION("""COMPUTED_VALUE"""),54.88)</f>
        <v>54.88</v>
      </c>
      <c r="R390" s="1">
        <f>IFERROR(__xludf.DUMMYFUNCTION("""COMPUTED_VALUE"""),181.94)</f>
        <v>181.94</v>
      </c>
      <c r="S390" s="1">
        <f>IFERROR(__xludf.DUMMYFUNCTION("""COMPUTED_VALUE"""),100.96)</f>
        <v>100.96</v>
      </c>
      <c r="T390" s="1">
        <f>IFERROR(__xludf.DUMMYFUNCTION("""COMPUTED_VALUE"""),54.36)</f>
        <v>54.36</v>
      </c>
      <c r="U390" s="1">
        <f>IFERROR(__xludf.DUMMYFUNCTION("""COMPUTED_VALUE"""),573.73)</f>
        <v>573.73</v>
      </c>
      <c r="V390" s="1">
        <f>IFERROR(__xludf.DUMMYFUNCTION("""COMPUTED_VALUE"""),88.81)</f>
        <v>88.81</v>
      </c>
      <c r="W390" s="1">
        <f>IFERROR(__xludf.DUMMYFUNCTION("""COMPUTED_VALUE"""),184.34)</f>
        <v>184.34</v>
      </c>
      <c r="X390" s="1">
        <f>IFERROR(__xludf.DUMMYFUNCTION("""COMPUTED_VALUE"""),149.51)</f>
        <v>149.51</v>
      </c>
      <c r="Y390" s="1">
        <f>IFERROR(__xludf.DUMMYFUNCTION("""COMPUTED_VALUE"""),278.35)</f>
        <v>278.35</v>
      </c>
      <c r="Z390" s="1">
        <f>IFERROR(__xludf.DUMMYFUNCTION("""COMPUTED_VALUE"""),53.98)</f>
        <v>53.98</v>
      </c>
      <c r="AA390" s="1">
        <f>IFERROR(__xludf.DUMMYFUNCTION("""COMPUTED_VALUE"""),72.88)</f>
        <v>72.88</v>
      </c>
      <c r="AB390" s="1">
        <f>IFERROR(__xludf.DUMMYFUNCTION("""COMPUTED_VALUE"""),100.14)</f>
        <v>100.14</v>
      </c>
      <c r="AC390" s="1">
        <f>IFERROR(__xludf.DUMMYFUNCTION("""COMPUTED_VALUE"""),158.91)</f>
        <v>158.91</v>
      </c>
      <c r="AD390" s="1">
        <f>IFERROR(__xludf.DUMMYFUNCTION("""COMPUTED_VALUE"""),109.75)</f>
        <v>109.75</v>
      </c>
      <c r="AE390" s="1">
        <f>IFERROR(__xludf.DUMMYFUNCTION("""COMPUTED_VALUE"""),415.59)</f>
        <v>415.59</v>
      </c>
      <c r="AF390" s="1">
        <f>IFERROR(__xludf.DUMMYFUNCTION("""COMPUTED_VALUE"""),82.49)</f>
        <v>82.49</v>
      </c>
      <c r="AG390" s="1">
        <f>IFERROR(__xludf.DUMMYFUNCTION("""COMPUTED_VALUE"""),114.77)</f>
        <v>114.77</v>
      </c>
      <c r="AH390" s="1">
        <f>IFERROR(__xludf.DUMMYFUNCTION("""COMPUTED_VALUE"""),275.83)</f>
        <v>275.83</v>
      </c>
      <c r="AI390" s="1">
        <f>IFERROR(__xludf.DUMMYFUNCTION("""COMPUTED_VALUE"""),382.8)</f>
        <v>382.8</v>
      </c>
      <c r="AJ390" s="1">
        <f>IFERROR(__xludf.DUMMYFUNCTION("""COMPUTED_VALUE"""),340.04)</f>
        <v>340.04</v>
      </c>
      <c r="AK390" s="1">
        <f>IFERROR(__xludf.DUMMYFUNCTION("""COMPUTED_VALUE"""),72.81)</f>
        <v>72.81</v>
      </c>
      <c r="AL390" s="1">
        <f>IFERROR(__xludf.DUMMYFUNCTION("""COMPUTED_VALUE"""),127.51)</f>
        <v>127.51</v>
      </c>
      <c r="AM390" s="1">
        <f>IFERROR(__xludf.DUMMYFUNCTION("""COMPUTED_VALUE"""),816.01)</f>
        <v>816.01</v>
      </c>
      <c r="AN390" s="1">
        <f>IFERROR(__xludf.DUMMYFUNCTION("""COMPUTED_VALUE"""),355.47)</f>
        <v>355.47</v>
      </c>
      <c r="AO390" s="1">
        <f>IFERROR(__xludf.DUMMYFUNCTION("""COMPUTED_VALUE"""),165.01)</f>
        <v>165.01</v>
      </c>
      <c r="AP390" s="1">
        <f>IFERROR(__xludf.DUMMYFUNCTION("""COMPUTED_VALUE"""),156.29)</f>
        <v>156.29</v>
      </c>
      <c r="AQ390" s="1">
        <f>IFERROR(__xludf.DUMMYFUNCTION("""COMPUTED_VALUE"""),574.23)</f>
        <v>574.23</v>
      </c>
      <c r="AR390" s="1">
        <f>IFERROR(__xludf.DUMMYFUNCTION("""COMPUTED_VALUE"""),307.64)</f>
        <v>307.64</v>
      </c>
      <c r="AS390" s="1">
        <f>IFERROR(__xludf.DUMMYFUNCTION("""COMPUTED_VALUE"""),454.16)</f>
        <v>454.16</v>
      </c>
      <c r="AT390" s="1">
        <f>IFERROR(__xludf.DUMMYFUNCTION("""COMPUTED_VALUE"""),181.94)</f>
        <v>181.94</v>
      </c>
      <c r="AU390" s="1">
        <f>IFERROR(__xludf.DUMMYFUNCTION("""COMPUTED_VALUE"""),34.74)</f>
        <v>34.74</v>
      </c>
      <c r="AV390" s="1">
        <f>IFERROR(__xludf.DUMMYFUNCTION("""COMPUTED_VALUE"""),105.02)</f>
        <v>105.02</v>
      </c>
      <c r="AW390" s="1">
        <f>IFERROR(__xludf.DUMMYFUNCTION("""COMPUTED_VALUE"""),76.33)</f>
        <v>76.33</v>
      </c>
      <c r="AX390" s="1">
        <f>IFERROR(__xludf.DUMMYFUNCTION("""COMPUTED_VALUE"""),60.15)</f>
        <v>60.15</v>
      </c>
      <c r="AY390" s="1">
        <f>IFERROR(__xludf.DUMMYFUNCTION("""COMPUTED_VALUE"""),485.5)</f>
        <v>485.5</v>
      </c>
      <c r="AZ390" s="1">
        <f>IFERROR(__xludf.DUMMYFUNCTION("""COMPUTED_VALUE"""),85.54)</f>
        <v>85.54</v>
      </c>
      <c r="BA390" s="1">
        <f>IFERROR(__xludf.DUMMYFUNCTION("""COMPUTED_VALUE"""),168.54)</f>
        <v>168.54</v>
      </c>
      <c r="BB390" s="1">
        <f>IFERROR(__xludf.DUMMYFUNCTION("""COMPUTED_VALUE"""),180.26)</f>
        <v>180.26</v>
      </c>
      <c r="BC390" s="1">
        <f>IFERROR(__xludf.DUMMYFUNCTION("""COMPUTED_VALUE"""),88.57)</f>
        <v>88.57</v>
      </c>
      <c r="BD390" s="1">
        <f>IFERROR(__xludf.DUMMYFUNCTION("""COMPUTED_VALUE"""),43.19)</f>
        <v>43.19</v>
      </c>
      <c r="BE390" s="1">
        <f>IFERROR(__xludf.DUMMYFUNCTION("""COMPUTED_VALUE"""),165.77)</f>
        <v>165.77</v>
      </c>
      <c r="BF390" s="1">
        <f>IFERROR(__xludf.DUMMYFUNCTION("""COMPUTED_VALUE"""),61.83)</f>
        <v>61.83</v>
      </c>
      <c r="BG390" s="1">
        <f>IFERROR(__xludf.DUMMYFUNCTION("""COMPUTED_VALUE"""),25.71)</f>
        <v>25.71</v>
      </c>
      <c r="BH390" s="1">
        <f>IFERROR(__xludf.DUMMYFUNCTION("""COMPUTED_VALUE"""),173.19)</f>
        <v>173.19</v>
      </c>
      <c r="BI390" s="1">
        <f>IFERROR(__xludf.DUMMYFUNCTION("""COMPUTED_VALUE"""),77.58)</f>
        <v>77.58</v>
      </c>
      <c r="BJ390" s="1">
        <f>IFERROR(__xludf.DUMMYFUNCTION("""COMPUTED_VALUE"""),206.73)</f>
        <v>206.73</v>
      </c>
      <c r="BK390" s="1">
        <f>IFERROR(__xludf.DUMMYFUNCTION("""COMPUTED_VALUE"""),593.25)</f>
        <v>593.25</v>
      </c>
      <c r="BL390" s="1">
        <f>IFERROR(__xludf.DUMMYFUNCTION("""COMPUTED_VALUE"""),202.44)</f>
        <v>202.44</v>
      </c>
      <c r="BM390" s="1">
        <f>IFERROR(__xludf.DUMMYFUNCTION("""COMPUTED_VALUE"""),145.75)</f>
        <v>145.75</v>
      </c>
      <c r="BN390" s="1">
        <f>IFERROR(__xludf.DUMMYFUNCTION("""COMPUTED_VALUE"""),4.62)</f>
        <v>4.62</v>
      </c>
      <c r="BO390" s="1">
        <f>IFERROR(__xludf.DUMMYFUNCTION("""COMPUTED_VALUE"""),230.66)</f>
        <v>230.66</v>
      </c>
      <c r="BP390" s="1">
        <f>IFERROR(__xludf.DUMMYFUNCTION("""COMPUTED_VALUE"""),329.71)</f>
        <v>329.71</v>
      </c>
      <c r="BQ390" s="36">
        <f>IFERROR(__xludf.DUMMYFUNCTION("""COMPUTED_VALUE"""),50.18)</f>
        <v>50.18</v>
      </c>
      <c r="BR390" s="1">
        <f>IFERROR(__xludf.DUMMYFUNCTION("""COMPUTED_VALUE"""),10.64)</f>
        <v>10.64</v>
      </c>
      <c r="BS390" s="1">
        <f>IFERROR(__xludf.DUMMYFUNCTION("""COMPUTED_VALUE"""),217.35)</f>
        <v>217.35</v>
      </c>
      <c r="BT390" s="1">
        <f>IFERROR(__xludf.DUMMYFUNCTION("""COMPUTED_VALUE"""),103.43)</f>
        <v>103.43</v>
      </c>
      <c r="BU390" s="3">
        <v>1.0</v>
      </c>
    </row>
    <row r="391">
      <c r="A391" s="25">
        <f>IFERROR(__xludf.DUMMYFUNCTION("""COMPUTED_VALUE"""),45989.54513888889)</f>
        <v>45989.54514</v>
      </c>
      <c r="B391" s="29">
        <f>'Master Scratch Work'!B390</f>
        <v>1574740.99</v>
      </c>
      <c r="C391" s="31">
        <f>IFERROR(__xludf.DUMMYFUNCTION("""COMPUTED_VALUE"""),6849.09)</f>
        <v>6849.09</v>
      </c>
      <c r="D391" s="31">
        <f>IFERROR(__xludf.DUMMYFUNCTION("""COMPUTED_VALUE"""),23365.69)</f>
        <v>23365.69</v>
      </c>
      <c r="E391" s="31">
        <f>IFERROR(__xludf.DUMMYFUNCTION("""COMPUTED_VALUE"""),47716.42)</f>
        <v>47716.42</v>
      </c>
      <c r="F391" s="31">
        <f>IFERROR(__xludf.DUMMYFUNCTION("""COMPUTED_VALUE"""),2500.43)</f>
        <v>2500.43</v>
      </c>
      <c r="G391" s="1">
        <f>IFERROR(__xludf.DUMMYFUNCTION("""COMPUTED_VALUE"""),683.39)</f>
        <v>683.39</v>
      </c>
      <c r="H391" s="1">
        <f>IFERROR(__xludf.DUMMYFUNCTION("""COMPUTED_VALUE"""),619.25)</f>
        <v>619.25</v>
      </c>
      <c r="I391" s="1">
        <f>IFERROR(__xludf.DUMMYFUNCTION("""COMPUTED_VALUE"""),320.13)</f>
        <v>320.13</v>
      </c>
      <c r="J391" s="1">
        <f>IFERROR(__xludf.DUMMYFUNCTION("""COMPUTED_VALUE"""),233.22)</f>
        <v>233.22</v>
      </c>
      <c r="K391" s="1">
        <f>IFERROR(__xludf.DUMMYFUNCTION("""COMPUTED_VALUE"""),130.07)</f>
        <v>130.07</v>
      </c>
      <c r="L391" s="1">
        <f>IFERROR(__xludf.DUMMYFUNCTION("""COMPUTED_VALUE"""),278.85)</f>
        <v>278.85</v>
      </c>
      <c r="M391" s="1">
        <f>IFERROR(__xludf.DUMMYFUNCTION("""COMPUTED_VALUE"""),252.25)</f>
        <v>252.25</v>
      </c>
      <c r="N391" s="1">
        <f>IFERROR(__xludf.DUMMYFUNCTION("""COMPUTED_VALUE"""),112.1)</f>
        <v>112.1</v>
      </c>
      <c r="O391" s="1">
        <f>IFERROR(__xludf.DUMMYFUNCTION("""COMPUTED_VALUE"""),22.79)</f>
        <v>22.79</v>
      </c>
      <c r="P391" s="1">
        <f>IFERROR(__xludf.DUMMYFUNCTION("""COMPUTED_VALUE"""),513.81)</f>
        <v>513.81</v>
      </c>
      <c r="Q391" s="1">
        <f>IFERROR(__xludf.DUMMYFUNCTION("""COMPUTED_VALUE"""),54.73)</f>
        <v>54.73</v>
      </c>
      <c r="R391" s="1">
        <f>IFERROR(__xludf.DUMMYFUNCTION("""COMPUTED_VALUE"""),182.09)</f>
        <v>182.09</v>
      </c>
      <c r="S391" s="1">
        <f>IFERROR(__xludf.DUMMYFUNCTION("""COMPUTED_VALUE"""),101.58)</f>
        <v>101.58</v>
      </c>
      <c r="T391" s="1">
        <f>IFERROR(__xludf.DUMMYFUNCTION("""COMPUTED_VALUE"""),54.88)</f>
        <v>54.88</v>
      </c>
      <c r="U391" s="1">
        <f>IFERROR(__xludf.DUMMYFUNCTION("""COMPUTED_VALUE"""),575.76)</f>
        <v>575.76</v>
      </c>
      <c r="V391" s="1">
        <f>IFERROR(__xludf.DUMMYFUNCTION("""COMPUTED_VALUE"""),88.51)</f>
        <v>88.51</v>
      </c>
      <c r="W391" s="1">
        <f>IFERROR(__xludf.DUMMYFUNCTION("""COMPUTED_VALUE"""),186.77)</f>
        <v>186.77</v>
      </c>
      <c r="X391" s="1">
        <f>IFERROR(__xludf.DUMMYFUNCTION("""COMPUTED_VALUE"""),151.13)</f>
        <v>151.13</v>
      </c>
      <c r="Y391" s="1">
        <f>IFERROR(__xludf.DUMMYFUNCTION("""COMPUTED_VALUE"""),277.28)</f>
        <v>277.28</v>
      </c>
      <c r="Z391" s="1">
        <f>IFERROR(__xludf.DUMMYFUNCTION("""COMPUTED_VALUE"""),54.1)</f>
        <v>54.1</v>
      </c>
      <c r="AA391" s="1">
        <f>IFERROR(__xludf.DUMMYFUNCTION("""COMPUTED_VALUE"""),73.12)</f>
        <v>73.12</v>
      </c>
      <c r="AB391" s="1">
        <f>IFERROR(__xludf.DUMMYFUNCTION("""COMPUTED_VALUE"""),100.36)</f>
        <v>100.36</v>
      </c>
      <c r="AC391" s="1">
        <f>IFERROR(__xludf.DUMMYFUNCTION("""COMPUTED_VALUE"""),160.12)</f>
        <v>160.12</v>
      </c>
      <c r="AD391" s="1">
        <f>IFERROR(__xludf.DUMMYFUNCTION("""COMPUTED_VALUE"""),110.81)</f>
        <v>110.81</v>
      </c>
      <c r="AE391" s="1">
        <f>IFERROR(__xludf.DUMMYFUNCTION("""COMPUTED_VALUE"""),419.63)</f>
        <v>419.63</v>
      </c>
      <c r="AF391" s="1">
        <f>IFERROR(__xludf.DUMMYFUNCTION("""COMPUTED_VALUE"""),82.79)</f>
        <v>82.79</v>
      </c>
      <c r="AG391" s="1">
        <f>IFERROR(__xludf.DUMMYFUNCTION("""COMPUTED_VALUE"""),115.92)</f>
        <v>115.92</v>
      </c>
      <c r="AH391" s="1">
        <f>IFERROR(__xludf.DUMMYFUNCTION("""COMPUTED_VALUE"""),275.68)</f>
        <v>275.68</v>
      </c>
      <c r="AI391" s="1">
        <f>IFERROR(__xludf.DUMMYFUNCTION("""COMPUTED_VALUE"""),391.9)</f>
        <v>391.9</v>
      </c>
      <c r="AJ391" s="1">
        <f>IFERROR(__xludf.DUMMYFUNCTION("""COMPUTED_VALUE"""),341.63)</f>
        <v>341.63</v>
      </c>
      <c r="AK391" s="1">
        <f>IFERROR(__xludf.DUMMYFUNCTION("""COMPUTED_VALUE"""),73.52)</f>
        <v>73.52</v>
      </c>
      <c r="AL391" s="1">
        <f>IFERROR(__xludf.DUMMYFUNCTION("""COMPUTED_VALUE"""),125.84)</f>
        <v>125.84</v>
      </c>
      <c r="AM391" s="1">
        <f>IFERROR(__xludf.DUMMYFUNCTION("""COMPUTED_VALUE"""),826.04)</f>
        <v>826.04</v>
      </c>
      <c r="AN391" s="1">
        <f>IFERROR(__xludf.DUMMYFUNCTION("""COMPUTED_VALUE"""),356.92)</f>
        <v>356.92</v>
      </c>
      <c r="AO391" s="1">
        <f>IFERROR(__xludf.DUMMYFUNCTION("""COMPUTED_VALUE"""),164.61)</f>
        <v>164.61</v>
      </c>
      <c r="AP391" s="1">
        <f>IFERROR(__xludf.DUMMYFUNCTION("""COMPUTED_VALUE"""),157.3)</f>
        <v>157.3</v>
      </c>
      <c r="AQ391" s="1">
        <f>IFERROR(__xludf.DUMMYFUNCTION("""COMPUTED_VALUE"""),573.48)</f>
        <v>573.48</v>
      </c>
      <c r="AR391" s="1">
        <f>IFERROR(__xludf.DUMMYFUNCTION("""COMPUTED_VALUE"""),313.08)</f>
        <v>313.08</v>
      </c>
      <c r="AS391" s="1">
        <f>IFERROR(__xludf.DUMMYFUNCTION("""COMPUTED_VALUE"""),457.86)</f>
        <v>457.86</v>
      </c>
      <c r="AT391" s="1">
        <f>IFERROR(__xludf.DUMMYFUNCTION("""COMPUTED_VALUE"""),184.18)</f>
        <v>184.18</v>
      </c>
      <c r="AU391" s="1">
        <f>IFERROR(__xludf.DUMMYFUNCTION("""COMPUTED_VALUE"""),35.21)</f>
        <v>35.21</v>
      </c>
      <c r="AV391" s="1">
        <f>IFERROR(__xludf.DUMMYFUNCTION("""COMPUTED_VALUE"""),105.33)</f>
        <v>105.33</v>
      </c>
      <c r="AW391" s="1">
        <f>IFERROR(__xludf.DUMMYFUNCTION("""COMPUTED_VALUE"""),76.56)</f>
        <v>76.56</v>
      </c>
      <c r="AX391" s="1">
        <f>IFERROR(__xludf.DUMMYFUNCTION("""COMPUTED_VALUE"""),61.95)</f>
        <v>61.95</v>
      </c>
      <c r="AY391" s="1">
        <f>IFERROR(__xludf.DUMMYFUNCTION("""COMPUTED_VALUE"""),492.01)</f>
        <v>492.01</v>
      </c>
      <c r="AZ391" s="1">
        <f>IFERROR(__xludf.DUMMYFUNCTION("""COMPUTED_VALUE"""),86.29)</f>
        <v>86.29</v>
      </c>
      <c r="BA391" s="1">
        <f>IFERROR(__xludf.DUMMYFUNCTION("""COMPUTED_VALUE"""),169.49)</f>
        <v>169.49</v>
      </c>
      <c r="BB391" s="1">
        <f>IFERROR(__xludf.DUMMYFUNCTION("""COMPUTED_VALUE"""),177.0)</f>
        <v>177</v>
      </c>
      <c r="BC391" s="1">
        <f>IFERROR(__xludf.DUMMYFUNCTION("""COMPUTED_VALUE"""),88.85)</f>
        <v>88.85</v>
      </c>
      <c r="BD391" s="1">
        <f>IFERROR(__xludf.DUMMYFUNCTION("""COMPUTED_VALUE"""),43.99)</f>
        <v>43.99</v>
      </c>
      <c r="BE391" s="1">
        <f>IFERROR(__xludf.DUMMYFUNCTION("""COMPUTED_VALUE"""),168.45)</f>
        <v>168.45</v>
      </c>
      <c r="BF391" s="1">
        <f>IFERROR(__xludf.DUMMYFUNCTION("""COMPUTED_VALUE"""),62.69)</f>
        <v>62.69</v>
      </c>
      <c r="BG391" s="1">
        <f>IFERROR(__xludf.DUMMYFUNCTION("""COMPUTED_VALUE"""),25.74)</f>
        <v>25.74</v>
      </c>
      <c r="BH391" s="1">
        <f>IFERROR(__xludf.DUMMYFUNCTION("""COMPUTED_VALUE"""),174.91)</f>
        <v>174.91</v>
      </c>
      <c r="BI391" s="1">
        <f>IFERROR(__xludf.DUMMYFUNCTION("""COMPUTED_VALUE"""),77.76)</f>
        <v>77.76</v>
      </c>
      <c r="BJ391" s="1">
        <f>IFERROR(__xludf.DUMMYFUNCTION("""COMPUTED_VALUE"""),209.01)</f>
        <v>209.01</v>
      </c>
      <c r="BK391" s="1">
        <f>IFERROR(__xludf.DUMMYFUNCTION("""COMPUTED_VALUE"""),590.83)</f>
        <v>590.83</v>
      </c>
      <c r="BL391" s="1">
        <f>IFERROR(__xludf.DUMMYFUNCTION("""COMPUTED_VALUE"""),201.87)</f>
        <v>201.87</v>
      </c>
      <c r="BM391" s="1">
        <f>IFERROR(__xludf.DUMMYFUNCTION("""COMPUTED_VALUE"""),146.31)</f>
        <v>146.31</v>
      </c>
      <c r="BN391" s="1">
        <f>IFERROR(__xludf.DUMMYFUNCTION("""COMPUTED_VALUE"""),4.62)</f>
        <v>4.62</v>
      </c>
      <c r="BO391" s="1">
        <f>IFERROR(__xludf.DUMMYFUNCTION("""COMPUTED_VALUE"""),231.83)</f>
        <v>231.83</v>
      </c>
      <c r="BP391" s="1">
        <f>IFERROR(__xludf.DUMMYFUNCTION("""COMPUTED_VALUE"""),329.77)</f>
        <v>329.77</v>
      </c>
      <c r="BQ391" s="36">
        <f>IFERROR(__xludf.DUMMYFUNCTION("""COMPUTED_VALUE"""),50.15)</f>
        <v>50.15</v>
      </c>
      <c r="BR391" s="1">
        <f>IFERROR(__xludf.DUMMYFUNCTION("""COMPUTED_VALUE"""),10.69)</f>
        <v>10.69</v>
      </c>
      <c r="BS391" s="1">
        <f>IFERROR(__xludf.DUMMYFUNCTION("""COMPUTED_VALUE"""),217.87)</f>
        <v>217.87</v>
      </c>
      <c r="BT391" s="1">
        <f>IFERROR(__xludf.DUMMYFUNCTION("""COMPUTED_VALUE"""),104.47)</f>
        <v>104.47</v>
      </c>
      <c r="BU391" s="3">
        <v>1.0</v>
      </c>
    </row>
    <row r="392">
      <c r="A392" s="25">
        <f>IFERROR(__xludf.DUMMYFUNCTION("""COMPUTED_VALUE"""),45992.66666666667)</f>
        <v>45992.66667</v>
      </c>
      <c r="B392" s="29">
        <f>'Master Scratch Work'!B391</f>
        <v>1564609.88</v>
      </c>
      <c r="C392" s="31">
        <f>IFERROR(__xludf.DUMMYFUNCTION("""COMPUTED_VALUE"""),6812.63)</f>
        <v>6812.63</v>
      </c>
      <c r="D392" s="31">
        <f>IFERROR(__xludf.DUMMYFUNCTION("""COMPUTED_VALUE"""),23275.92)</f>
        <v>23275.92</v>
      </c>
      <c r="E392" s="31">
        <f>IFERROR(__xludf.DUMMYFUNCTION("""COMPUTED_VALUE"""),47289.33)</f>
        <v>47289.33</v>
      </c>
      <c r="F392" s="31">
        <f>IFERROR(__xludf.DUMMYFUNCTION("""COMPUTED_VALUE"""),2469.13)</f>
        <v>2469.13</v>
      </c>
      <c r="G392" s="1">
        <f>IFERROR(__xludf.DUMMYFUNCTION("""COMPUTED_VALUE"""),680.27)</f>
        <v>680.27</v>
      </c>
      <c r="H392" s="1">
        <f>IFERROR(__xludf.DUMMYFUNCTION("""COMPUTED_VALUE"""),617.17)</f>
        <v>617.17</v>
      </c>
      <c r="I392" s="1">
        <f>IFERROR(__xludf.DUMMYFUNCTION("""COMPUTED_VALUE"""),322.85)</f>
        <v>322.85</v>
      </c>
      <c r="J392" s="1">
        <f>IFERROR(__xludf.DUMMYFUNCTION("""COMPUTED_VALUE"""),233.88)</f>
        <v>233.88</v>
      </c>
      <c r="K392" s="1">
        <f>IFERROR(__xludf.DUMMYFUNCTION("""COMPUTED_VALUE"""),131.0)</f>
        <v>131</v>
      </c>
      <c r="L392" s="1">
        <f>IFERROR(__xludf.DUMMYFUNCTION("""COMPUTED_VALUE"""),283.1)</f>
        <v>283.1</v>
      </c>
      <c r="M392" s="1">
        <f>IFERROR(__xludf.DUMMYFUNCTION("""COMPUTED_VALUE"""),254.75)</f>
        <v>254.75</v>
      </c>
      <c r="N392" s="1">
        <f>IFERROR(__xludf.DUMMYFUNCTION("""COMPUTED_VALUE"""),111.81)</f>
        <v>111.81</v>
      </c>
      <c r="O392" s="1">
        <f>IFERROR(__xludf.DUMMYFUNCTION("""COMPUTED_VALUE"""),22.75)</f>
        <v>22.75</v>
      </c>
      <c r="P392" s="1">
        <f>IFERROR(__xludf.DUMMYFUNCTION("""COMPUTED_VALUE"""),508.55)</f>
        <v>508.55</v>
      </c>
      <c r="Q392" s="1">
        <f>IFERROR(__xludf.DUMMYFUNCTION("""COMPUTED_VALUE"""),55.17)</f>
        <v>55.17</v>
      </c>
      <c r="R392" s="1">
        <f>IFERROR(__xludf.DUMMYFUNCTION("""COMPUTED_VALUE"""),177.78)</f>
        <v>177.78</v>
      </c>
      <c r="S392" s="1">
        <f>IFERROR(__xludf.DUMMYFUNCTION("""COMPUTED_VALUE"""),101.01)</f>
        <v>101.01</v>
      </c>
      <c r="T392" s="1">
        <f>IFERROR(__xludf.DUMMYFUNCTION("""COMPUTED_VALUE"""),54.25)</f>
        <v>54.25</v>
      </c>
      <c r="U392" s="1">
        <f>IFERROR(__xludf.DUMMYFUNCTION("""COMPUTED_VALUE"""),568.06)</f>
        <v>568.06</v>
      </c>
      <c r="V392" s="1">
        <f>IFERROR(__xludf.DUMMYFUNCTION("""COMPUTED_VALUE"""),87.53)</f>
        <v>87.53</v>
      </c>
      <c r="W392" s="1">
        <f>IFERROR(__xludf.DUMMYFUNCTION("""COMPUTED_VALUE"""),187.05)</f>
        <v>187.05</v>
      </c>
      <c r="X392" s="1">
        <f>IFERROR(__xludf.DUMMYFUNCTION("""COMPUTED_VALUE"""),152.54)</f>
        <v>152.54</v>
      </c>
      <c r="Y392" s="1">
        <f>IFERROR(__xludf.DUMMYFUNCTION("""COMPUTED_VALUE"""),273.57)</f>
        <v>273.57</v>
      </c>
      <c r="Z392" s="1">
        <f>IFERROR(__xludf.DUMMYFUNCTION("""COMPUTED_VALUE"""),54.58)</f>
        <v>54.58</v>
      </c>
      <c r="AA392" s="1">
        <f>IFERROR(__xludf.DUMMYFUNCTION("""COMPUTED_VALUE"""),71.95)</f>
        <v>71.95</v>
      </c>
      <c r="AB392" s="1">
        <f>IFERROR(__xludf.DUMMYFUNCTION("""COMPUTED_VALUE"""),97.88)</f>
        <v>97.88</v>
      </c>
      <c r="AC392" s="1">
        <f>IFERROR(__xludf.DUMMYFUNCTION("""COMPUTED_VALUE"""),156.39)</f>
        <v>156.39</v>
      </c>
      <c r="AD392" s="1">
        <f>IFERROR(__xludf.DUMMYFUNCTION("""COMPUTED_VALUE"""),109.89)</f>
        <v>109.89</v>
      </c>
      <c r="AE392" s="1">
        <f>IFERROR(__xludf.DUMMYFUNCTION("""COMPUTED_VALUE"""),423.85)</f>
        <v>423.85</v>
      </c>
      <c r="AF392" s="1">
        <f>IFERROR(__xludf.DUMMYFUNCTION("""COMPUTED_VALUE"""),82.73)</f>
        <v>82.73</v>
      </c>
      <c r="AG392" s="1">
        <f>IFERROR(__xludf.DUMMYFUNCTION("""COMPUTED_VALUE"""),116.63)</f>
        <v>116.63</v>
      </c>
      <c r="AH392" s="1">
        <f>IFERROR(__xludf.DUMMYFUNCTION("""COMPUTED_VALUE"""),273.34)</f>
        <v>273.34</v>
      </c>
      <c r="AI392" s="1">
        <f>IFERROR(__xludf.DUMMYFUNCTION("""COMPUTED_VALUE"""),386.93)</f>
        <v>386.93</v>
      </c>
      <c r="AJ392" s="1">
        <f>IFERROR(__xludf.DUMMYFUNCTION("""COMPUTED_VALUE"""),332.38)</f>
        <v>332.38</v>
      </c>
      <c r="AK392" s="1">
        <f>IFERROR(__xludf.DUMMYFUNCTION("""COMPUTED_VALUE"""),72.95)</f>
        <v>72.95</v>
      </c>
      <c r="AL392" s="1">
        <f>IFERROR(__xludf.DUMMYFUNCTION("""COMPUTED_VALUE"""),124.33)</f>
        <v>124.33</v>
      </c>
      <c r="AM392" s="1">
        <f>IFERROR(__xludf.DUMMYFUNCTION("""COMPUTED_VALUE"""),810.86)</f>
        <v>810.86</v>
      </c>
      <c r="AN392" s="1">
        <f>IFERROR(__xludf.DUMMYFUNCTION("""COMPUTED_VALUE"""),357.33)</f>
        <v>357.33</v>
      </c>
      <c r="AO392" s="1">
        <f>IFERROR(__xludf.DUMMYFUNCTION("""COMPUTED_VALUE"""),163.77)</f>
        <v>163.77</v>
      </c>
      <c r="AP392" s="1">
        <f>IFERROR(__xludf.DUMMYFUNCTION("""COMPUTED_VALUE"""),156.94)</f>
        <v>156.94</v>
      </c>
      <c r="AQ392" s="1">
        <f>IFERROR(__xludf.DUMMYFUNCTION("""COMPUTED_VALUE"""),567.37)</f>
        <v>567.37</v>
      </c>
      <c r="AR392" s="1">
        <f>IFERROR(__xludf.DUMMYFUNCTION("""COMPUTED_VALUE"""),308.92)</f>
        <v>308.92</v>
      </c>
      <c r="AS392" s="1">
        <f>IFERROR(__xludf.DUMMYFUNCTION("""COMPUTED_VALUE"""),439.19)</f>
        <v>439.19</v>
      </c>
      <c r="AT392" s="1">
        <f>IFERROR(__xludf.DUMMYFUNCTION("""COMPUTED_VALUE"""),182.41)</f>
        <v>182.41</v>
      </c>
      <c r="AU392" s="1">
        <f>IFERROR(__xludf.DUMMYFUNCTION("""COMPUTED_VALUE"""),35.14)</f>
        <v>35.14</v>
      </c>
      <c r="AV392" s="1">
        <f>IFERROR(__xludf.DUMMYFUNCTION("""COMPUTED_VALUE"""),103.34)</f>
        <v>103.34</v>
      </c>
      <c r="AW392" s="1">
        <f>IFERROR(__xludf.DUMMYFUNCTION("""COMPUTED_VALUE"""),76.31)</f>
        <v>76.31</v>
      </c>
      <c r="AX392" s="1">
        <f>IFERROR(__xludf.DUMMYFUNCTION("""COMPUTED_VALUE"""),58.1)</f>
        <v>58.1</v>
      </c>
      <c r="AY392" s="1">
        <f>IFERROR(__xludf.DUMMYFUNCTION("""COMPUTED_VALUE"""),486.74)</f>
        <v>486.74</v>
      </c>
      <c r="AZ392" s="1">
        <f>IFERROR(__xludf.DUMMYFUNCTION("""COMPUTED_VALUE"""),84.65)</f>
        <v>84.65</v>
      </c>
      <c r="BA392" s="1">
        <f>IFERROR(__xludf.DUMMYFUNCTION("""COMPUTED_VALUE"""),165.66)</f>
        <v>165.66</v>
      </c>
      <c r="BB392" s="1">
        <f>IFERROR(__xludf.DUMMYFUNCTION("""COMPUTED_VALUE"""),179.92)</f>
        <v>179.92</v>
      </c>
      <c r="BC392" s="1">
        <f>IFERROR(__xludf.DUMMYFUNCTION("""COMPUTED_VALUE"""),88.15)</f>
        <v>88.15</v>
      </c>
      <c r="BD392" s="1">
        <f>IFERROR(__xludf.DUMMYFUNCTION("""COMPUTED_VALUE"""),44.68)</f>
        <v>44.68</v>
      </c>
      <c r="BE392" s="1">
        <f>IFERROR(__xludf.DUMMYFUNCTION("""COMPUTED_VALUE"""),167.49)</f>
        <v>167.49</v>
      </c>
      <c r="BF392" s="1">
        <f>IFERROR(__xludf.DUMMYFUNCTION("""COMPUTED_VALUE"""),62.58)</f>
        <v>62.58</v>
      </c>
      <c r="BG392" s="1">
        <f>IFERROR(__xludf.DUMMYFUNCTION("""COMPUTED_VALUE"""),25.27)</f>
        <v>25.27</v>
      </c>
      <c r="BH392" s="1">
        <f>IFERROR(__xludf.DUMMYFUNCTION("""COMPUTED_VALUE"""),168.02)</f>
        <v>168.02</v>
      </c>
      <c r="BI392" s="1">
        <f>IFERROR(__xludf.DUMMYFUNCTION("""COMPUTED_VALUE"""),75.8)</f>
        <v>75.8</v>
      </c>
      <c r="BJ392" s="1">
        <f>IFERROR(__xludf.DUMMYFUNCTION("""COMPUTED_VALUE"""),206.63)</f>
        <v>206.63</v>
      </c>
      <c r="BK392" s="1">
        <f>IFERROR(__xludf.DUMMYFUNCTION("""COMPUTED_VALUE"""),585.15)</f>
        <v>585.15</v>
      </c>
      <c r="BL392" s="1">
        <f>IFERROR(__xludf.DUMMYFUNCTION("""COMPUTED_VALUE"""),199.22)</f>
        <v>199.22</v>
      </c>
      <c r="BM392" s="1">
        <f>IFERROR(__xludf.DUMMYFUNCTION("""COMPUTED_VALUE"""),150.42)</f>
        <v>150.42</v>
      </c>
      <c r="BN392" s="1">
        <f>IFERROR(__xludf.DUMMYFUNCTION("""COMPUTED_VALUE"""),4.58)</f>
        <v>4.58</v>
      </c>
      <c r="BO392" s="1">
        <f>IFERROR(__xludf.DUMMYFUNCTION("""COMPUTED_VALUE"""),231.36)</f>
        <v>231.36</v>
      </c>
      <c r="BP392" s="1">
        <f>IFERROR(__xludf.DUMMYFUNCTION("""COMPUTED_VALUE"""),323.21)</f>
        <v>323.21</v>
      </c>
      <c r="BQ392" s="36">
        <f>IFERROR(__xludf.DUMMYFUNCTION("""COMPUTED_VALUE"""),50.13)</f>
        <v>50.13</v>
      </c>
      <c r="BR392" s="1">
        <f>IFERROR(__xludf.DUMMYFUNCTION("""COMPUTED_VALUE"""),10.7)</f>
        <v>10.7</v>
      </c>
      <c r="BS392" s="1">
        <f>IFERROR(__xludf.DUMMYFUNCTION("""COMPUTED_VALUE"""),215.93)</f>
        <v>215.93</v>
      </c>
      <c r="BT392" s="1">
        <f>IFERROR(__xludf.DUMMYFUNCTION("""COMPUTED_VALUE"""),106.77)</f>
        <v>106.77</v>
      </c>
      <c r="BU392" s="3">
        <v>1.0</v>
      </c>
    </row>
    <row r="393">
      <c r="A393" s="25">
        <f>IFERROR(__xludf.DUMMYFUNCTION("""COMPUTED_VALUE"""),45993.66666666667)</f>
        <v>45993.66667</v>
      </c>
      <c r="B393" s="29">
        <f>'Master Scratch Work'!B392</f>
        <v>1567549.74</v>
      </c>
      <c r="C393" s="31">
        <f>IFERROR(__xludf.DUMMYFUNCTION("""COMPUTED_VALUE"""),6829.37)</f>
        <v>6829.37</v>
      </c>
      <c r="D393" s="31">
        <f>IFERROR(__xludf.DUMMYFUNCTION("""COMPUTED_VALUE"""),23413.67)</f>
        <v>23413.67</v>
      </c>
      <c r="E393" s="31">
        <f>IFERROR(__xludf.DUMMYFUNCTION("""COMPUTED_VALUE"""),47474.46)</f>
        <v>47474.46</v>
      </c>
      <c r="F393" s="31">
        <f>IFERROR(__xludf.DUMMYFUNCTION("""COMPUTED_VALUE"""),2464.98)</f>
        <v>2464.98</v>
      </c>
      <c r="G393" s="1">
        <f>IFERROR(__xludf.DUMMYFUNCTION("""COMPUTED_VALUE"""),681.53)</f>
        <v>681.53</v>
      </c>
      <c r="H393" s="1">
        <f>IFERROR(__xludf.DUMMYFUNCTION("""COMPUTED_VALUE"""),622.0)</f>
        <v>622</v>
      </c>
      <c r="I393" s="1">
        <f>IFERROR(__xludf.DUMMYFUNCTION("""COMPUTED_VALUE"""),322.81)</f>
        <v>322.81</v>
      </c>
      <c r="J393" s="1">
        <f>IFERROR(__xludf.DUMMYFUNCTION("""COMPUTED_VALUE"""),234.42)</f>
        <v>234.42</v>
      </c>
      <c r="K393" s="1">
        <f>IFERROR(__xludf.DUMMYFUNCTION("""COMPUTED_VALUE"""),130.75)</f>
        <v>130.75</v>
      </c>
      <c r="L393" s="1">
        <f>IFERROR(__xludf.DUMMYFUNCTION("""COMPUTED_VALUE"""),286.19)</f>
        <v>286.19</v>
      </c>
      <c r="M393" s="1">
        <f>IFERROR(__xludf.DUMMYFUNCTION("""COMPUTED_VALUE"""),265.33)</f>
        <v>265.33</v>
      </c>
      <c r="N393" s="1">
        <f>IFERROR(__xludf.DUMMYFUNCTION("""COMPUTED_VALUE"""),112.08)</f>
        <v>112.08</v>
      </c>
      <c r="O393" s="1">
        <f>IFERROR(__xludf.DUMMYFUNCTION("""COMPUTED_VALUE"""),23.09)</f>
        <v>23.09</v>
      </c>
      <c r="P393" s="1">
        <f>IFERROR(__xludf.DUMMYFUNCTION("""COMPUTED_VALUE"""),506.65)</f>
        <v>506.65</v>
      </c>
      <c r="Q393" s="1">
        <f>IFERROR(__xludf.DUMMYFUNCTION("""COMPUTED_VALUE"""),56.27)</f>
        <v>56.27</v>
      </c>
      <c r="R393" s="1">
        <f>IFERROR(__xludf.DUMMYFUNCTION("""COMPUTED_VALUE"""),180.18)</f>
        <v>180.18</v>
      </c>
      <c r="S393" s="1">
        <f>IFERROR(__xludf.DUMMYFUNCTION("""COMPUTED_VALUE"""),99.02)</f>
        <v>99.02</v>
      </c>
      <c r="T393" s="1">
        <f>IFERROR(__xludf.DUMMYFUNCTION("""COMPUTED_VALUE"""),53.82)</f>
        <v>53.82</v>
      </c>
      <c r="U393" s="1">
        <f>IFERROR(__xludf.DUMMYFUNCTION("""COMPUTED_VALUE"""),582.47)</f>
        <v>582.47</v>
      </c>
      <c r="V393" s="1">
        <f>IFERROR(__xludf.DUMMYFUNCTION("""COMPUTED_VALUE"""),88.23)</f>
        <v>88.23</v>
      </c>
      <c r="W393" s="1">
        <f>IFERROR(__xludf.DUMMYFUNCTION("""COMPUTED_VALUE"""),187.25)</f>
        <v>187.25</v>
      </c>
      <c r="X393" s="1">
        <f>IFERROR(__xludf.DUMMYFUNCTION("""COMPUTED_VALUE"""),150.25)</f>
        <v>150.25</v>
      </c>
      <c r="Y393" s="1">
        <f>IFERROR(__xludf.DUMMYFUNCTION("""COMPUTED_VALUE"""),274.1)</f>
        <v>274.1</v>
      </c>
      <c r="Z393" s="1">
        <f>IFERROR(__xludf.DUMMYFUNCTION("""COMPUTED_VALUE"""),54.66)</f>
        <v>54.66</v>
      </c>
      <c r="AA393" s="1">
        <f>IFERROR(__xludf.DUMMYFUNCTION("""COMPUTED_VALUE"""),70.67)</f>
        <v>70.67</v>
      </c>
      <c r="AB393" s="1">
        <f>IFERROR(__xludf.DUMMYFUNCTION("""COMPUTED_VALUE"""),96.87)</f>
        <v>96.87</v>
      </c>
      <c r="AC393" s="1">
        <f>IFERROR(__xludf.DUMMYFUNCTION("""COMPUTED_VALUE"""),156.5)</f>
        <v>156.5</v>
      </c>
      <c r="AD393" s="1">
        <f>IFERROR(__xludf.DUMMYFUNCTION("""COMPUTED_VALUE"""),108.99)</f>
        <v>108.99</v>
      </c>
      <c r="AE393" s="1">
        <f>IFERROR(__xludf.DUMMYFUNCTION("""COMPUTED_VALUE"""),424.64)</f>
        <v>424.64</v>
      </c>
      <c r="AF393" s="1">
        <f>IFERROR(__xludf.DUMMYFUNCTION("""COMPUTED_VALUE"""),82.91)</f>
        <v>82.91</v>
      </c>
      <c r="AG393" s="1">
        <f>IFERROR(__xludf.DUMMYFUNCTION("""COMPUTED_VALUE"""),115.38)</f>
        <v>115.38</v>
      </c>
      <c r="AH393" s="1">
        <f>IFERROR(__xludf.DUMMYFUNCTION("""COMPUTED_VALUE"""),270.37)</f>
        <v>270.37</v>
      </c>
      <c r="AI393" s="1">
        <f>IFERROR(__xludf.DUMMYFUNCTION("""COMPUTED_VALUE"""),386.56)</f>
        <v>386.56</v>
      </c>
      <c r="AJ393" s="1">
        <f>IFERROR(__xludf.DUMMYFUNCTION("""COMPUTED_VALUE"""),335.8)</f>
        <v>335.8</v>
      </c>
      <c r="AK393" s="1">
        <f>IFERROR(__xludf.DUMMYFUNCTION("""COMPUTED_VALUE"""),73.66)</f>
        <v>73.66</v>
      </c>
      <c r="AL393" s="1">
        <f>IFERROR(__xludf.DUMMYFUNCTION("""COMPUTED_VALUE"""),123.91)</f>
        <v>123.91</v>
      </c>
      <c r="AM393" s="1">
        <f>IFERROR(__xludf.DUMMYFUNCTION("""COMPUTED_VALUE"""),815.21)</f>
        <v>815.21</v>
      </c>
      <c r="AN393" s="1">
        <f>IFERROR(__xludf.DUMMYFUNCTION("""COMPUTED_VALUE"""),354.03)</f>
        <v>354.03</v>
      </c>
      <c r="AO393" s="1">
        <f>IFERROR(__xludf.DUMMYFUNCTION("""COMPUTED_VALUE"""),164.81)</f>
        <v>164.81</v>
      </c>
      <c r="AP393" s="1">
        <f>IFERROR(__xludf.DUMMYFUNCTION("""COMPUTED_VALUE"""),155.36)</f>
        <v>155.36</v>
      </c>
      <c r="AQ393" s="1">
        <f>IFERROR(__xludf.DUMMYFUNCTION("""COMPUTED_VALUE"""),567.72)</f>
        <v>567.72</v>
      </c>
      <c r="AR393" s="1">
        <f>IFERROR(__xludf.DUMMYFUNCTION("""COMPUTED_VALUE"""),307.88)</f>
        <v>307.88</v>
      </c>
      <c r="AS393" s="1">
        <f>IFERROR(__xludf.DUMMYFUNCTION("""COMPUTED_VALUE"""),441.82)</f>
        <v>441.82</v>
      </c>
      <c r="AT393" s="1">
        <f>IFERROR(__xludf.DUMMYFUNCTION("""COMPUTED_VALUE"""),182.4)</f>
        <v>182.4</v>
      </c>
      <c r="AU393" s="1">
        <f>IFERROR(__xludf.DUMMYFUNCTION("""COMPUTED_VALUE"""),34.94)</f>
        <v>34.94</v>
      </c>
      <c r="AV393" s="1">
        <f>IFERROR(__xludf.DUMMYFUNCTION("""COMPUTED_VALUE"""),102.03)</f>
        <v>102.03</v>
      </c>
      <c r="AW393" s="1">
        <f>IFERROR(__xludf.DUMMYFUNCTION("""COMPUTED_VALUE"""),76.27)</f>
        <v>76.27</v>
      </c>
      <c r="AX393" s="1">
        <f>IFERROR(__xludf.DUMMYFUNCTION("""COMPUTED_VALUE"""),60.84)</f>
        <v>60.84</v>
      </c>
      <c r="AY393" s="1">
        <f>IFERROR(__xludf.DUMMYFUNCTION("""COMPUTED_VALUE"""),490.0)</f>
        <v>490</v>
      </c>
      <c r="AZ393" s="1">
        <f>IFERROR(__xludf.DUMMYFUNCTION("""COMPUTED_VALUE"""),84.58)</f>
        <v>84.58</v>
      </c>
      <c r="BA393" s="1">
        <f>IFERROR(__xludf.DUMMYFUNCTION("""COMPUTED_VALUE"""),164.08)</f>
        <v>164.08</v>
      </c>
      <c r="BB393" s="1">
        <f>IFERROR(__xludf.DUMMYFUNCTION("""COMPUTED_VALUE"""),181.46)</f>
        <v>181.46</v>
      </c>
      <c r="BC393" s="1">
        <f>IFERROR(__xludf.DUMMYFUNCTION("""COMPUTED_VALUE"""),87.24)</f>
        <v>87.24</v>
      </c>
      <c r="BD393" s="1">
        <f>IFERROR(__xludf.DUMMYFUNCTION("""COMPUTED_VALUE"""),45.15)</f>
        <v>45.15</v>
      </c>
      <c r="BE393" s="1">
        <f>IFERROR(__xludf.DUMMYFUNCTION("""COMPUTED_VALUE"""),170.69)</f>
        <v>170.69</v>
      </c>
      <c r="BF393" s="1">
        <f>IFERROR(__xludf.DUMMYFUNCTION("""COMPUTED_VALUE"""),62.9)</f>
        <v>62.9</v>
      </c>
      <c r="BG393" s="1">
        <f>IFERROR(__xludf.DUMMYFUNCTION("""COMPUTED_VALUE"""),25.15)</f>
        <v>25.15</v>
      </c>
      <c r="BH393" s="1">
        <f>IFERROR(__xludf.DUMMYFUNCTION("""COMPUTED_VALUE"""),168.8)</f>
        <v>168.8</v>
      </c>
      <c r="BI393" s="1">
        <f>IFERROR(__xludf.DUMMYFUNCTION("""COMPUTED_VALUE"""),75.31)</f>
        <v>75.31</v>
      </c>
      <c r="BJ393" s="1">
        <f>IFERROR(__xludf.DUMMYFUNCTION("""COMPUTED_VALUE"""),210.13)</f>
        <v>210.13</v>
      </c>
      <c r="BK393" s="1">
        <f>IFERROR(__xludf.DUMMYFUNCTION("""COMPUTED_VALUE"""),580.37)</f>
        <v>580.37</v>
      </c>
      <c r="BL393" s="1">
        <f>IFERROR(__xludf.DUMMYFUNCTION("""COMPUTED_VALUE"""),196.99)</f>
        <v>196.99</v>
      </c>
      <c r="BM393" s="1">
        <f>IFERROR(__xludf.DUMMYFUNCTION("""COMPUTED_VALUE"""),141.77)</f>
        <v>141.77</v>
      </c>
      <c r="BN393" s="1">
        <f>IFERROR(__xludf.DUMMYFUNCTION("""COMPUTED_VALUE"""),4.56)</f>
        <v>4.56</v>
      </c>
      <c r="BO393" s="1">
        <f>IFERROR(__xludf.DUMMYFUNCTION("""COMPUTED_VALUE"""),232.24)</f>
        <v>232.24</v>
      </c>
      <c r="BP393" s="1">
        <f>IFERROR(__xludf.DUMMYFUNCTION("""COMPUTED_VALUE"""),324.54)</f>
        <v>324.54</v>
      </c>
      <c r="BQ393" s="36">
        <f>IFERROR(__xludf.DUMMYFUNCTION("""COMPUTED_VALUE"""),50.14)</f>
        <v>50.14</v>
      </c>
      <c r="BR393" s="1">
        <f>IFERROR(__xludf.DUMMYFUNCTION("""COMPUTED_VALUE"""),10.71)</f>
        <v>10.71</v>
      </c>
      <c r="BS393" s="1">
        <f>IFERROR(__xludf.DUMMYFUNCTION("""COMPUTED_VALUE"""),214.54)</f>
        <v>214.54</v>
      </c>
      <c r="BT393" s="1">
        <f>IFERROR(__xludf.DUMMYFUNCTION("""COMPUTED_VALUE"""),104.83)</f>
        <v>104.83</v>
      </c>
      <c r="BU393" s="3">
        <v>1.0</v>
      </c>
    </row>
    <row r="394">
      <c r="A394" s="25">
        <f>IFERROR(__xludf.DUMMYFUNCTION("""COMPUTED_VALUE"""),45994.66666666667)</f>
        <v>45994.66667</v>
      </c>
      <c r="B394" s="29">
        <f>'Master Scratch Work'!B393</f>
        <v>1575239.14</v>
      </c>
      <c r="C394" s="31">
        <f>IFERROR(__xludf.DUMMYFUNCTION("""COMPUTED_VALUE"""),6849.72)</f>
        <v>6849.72</v>
      </c>
      <c r="D394" s="31">
        <f>IFERROR(__xludf.DUMMYFUNCTION("""COMPUTED_VALUE"""),23454.09)</f>
        <v>23454.09</v>
      </c>
      <c r="E394" s="31">
        <f>IFERROR(__xludf.DUMMYFUNCTION("""COMPUTED_VALUE"""),47882.9)</f>
        <v>47882.9</v>
      </c>
      <c r="F394" s="31">
        <f>IFERROR(__xludf.DUMMYFUNCTION("""COMPUTED_VALUE"""),2512.14)</f>
        <v>2512.14</v>
      </c>
      <c r="G394" s="1">
        <f>IFERROR(__xludf.DUMMYFUNCTION("""COMPUTED_VALUE"""),683.89)</f>
        <v>683.89</v>
      </c>
      <c r="H394" s="1">
        <f>IFERROR(__xludf.DUMMYFUNCTION("""COMPUTED_VALUE"""),623.52)</f>
        <v>623.52</v>
      </c>
      <c r="I394" s="1">
        <f>IFERROR(__xludf.DUMMYFUNCTION("""COMPUTED_VALUE"""),326.78)</f>
        <v>326.78</v>
      </c>
      <c r="J394" s="1">
        <f>IFERROR(__xludf.DUMMYFUNCTION("""COMPUTED_VALUE"""),232.38)</f>
        <v>232.38</v>
      </c>
      <c r="K394" s="1">
        <f>IFERROR(__xludf.DUMMYFUNCTION("""COMPUTED_VALUE"""),130.97)</f>
        <v>130.97</v>
      </c>
      <c r="L394" s="1">
        <f>IFERROR(__xludf.DUMMYFUNCTION("""COMPUTED_VALUE"""),284.15)</f>
        <v>284.15</v>
      </c>
      <c r="M394" s="1">
        <f>IFERROR(__xludf.DUMMYFUNCTION("""COMPUTED_VALUE"""),268.63)</f>
        <v>268.63</v>
      </c>
      <c r="N394" s="1">
        <f>IFERROR(__xludf.DUMMYFUNCTION("""COMPUTED_VALUE"""),113.09)</f>
        <v>113.09</v>
      </c>
      <c r="O394" s="1">
        <f>IFERROR(__xludf.DUMMYFUNCTION("""COMPUTED_VALUE"""),23.26)</f>
        <v>23.26</v>
      </c>
      <c r="P394" s="1">
        <f>IFERROR(__xludf.DUMMYFUNCTION("""COMPUTED_VALUE"""),503.6)</f>
        <v>503.6</v>
      </c>
      <c r="Q394" s="1">
        <f>IFERROR(__xludf.DUMMYFUNCTION("""COMPUTED_VALUE"""),57.92)</f>
        <v>57.92</v>
      </c>
      <c r="R394" s="1">
        <f>IFERROR(__xludf.DUMMYFUNCTION("""COMPUTED_VALUE"""),180.75)</f>
        <v>180.75</v>
      </c>
      <c r="S394" s="1">
        <f>IFERROR(__xludf.DUMMYFUNCTION("""COMPUTED_VALUE"""),98.57)</f>
        <v>98.57</v>
      </c>
      <c r="T394" s="1">
        <f>IFERROR(__xludf.DUMMYFUNCTION("""COMPUTED_VALUE"""),54.62)</f>
        <v>54.62</v>
      </c>
      <c r="U394" s="1">
        <f>IFERROR(__xludf.DUMMYFUNCTION("""COMPUTED_VALUE"""),591.49)</f>
        <v>591.49</v>
      </c>
      <c r="V394" s="1">
        <f>IFERROR(__xludf.DUMMYFUNCTION("""COMPUTED_VALUE"""),89.45)</f>
        <v>89.45</v>
      </c>
      <c r="W394" s="1">
        <f>IFERROR(__xludf.DUMMYFUNCTION("""COMPUTED_VALUE"""),191.1)</f>
        <v>191.1</v>
      </c>
      <c r="X394" s="1">
        <f>IFERROR(__xludf.DUMMYFUNCTION("""COMPUTED_VALUE"""),151.59)</f>
        <v>151.59</v>
      </c>
      <c r="Y394" s="1">
        <f>IFERROR(__xludf.DUMMYFUNCTION("""COMPUTED_VALUE"""),270.32)</f>
        <v>270.32</v>
      </c>
      <c r="Z394" s="1">
        <f>IFERROR(__xludf.DUMMYFUNCTION("""COMPUTED_VALUE"""),55.68)</f>
        <v>55.68</v>
      </c>
      <c r="AA394" s="1">
        <f>IFERROR(__xludf.DUMMYFUNCTION("""COMPUTED_VALUE"""),70.81)</f>
        <v>70.81</v>
      </c>
      <c r="AB394" s="1">
        <f>IFERROR(__xludf.DUMMYFUNCTION("""COMPUTED_VALUE"""),96.45)</f>
        <v>96.45</v>
      </c>
      <c r="AC394" s="1">
        <f>IFERROR(__xludf.DUMMYFUNCTION("""COMPUTED_VALUE"""),159.69)</f>
        <v>159.69</v>
      </c>
      <c r="AD394" s="1">
        <f>IFERROR(__xludf.DUMMYFUNCTION("""COMPUTED_VALUE"""),112.92)</f>
        <v>112.92</v>
      </c>
      <c r="AE394" s="1">
        <f>IFERROR(__xludf.DUMMYFUNCTION("""COMPUTED_VALUE"""),431.69)</f>
        <v>431.69</v>
      </c>
      <c r="AF394" s="1">
        <f>IFERROR(__xludf.DUMMYFUNCTION("""COMPUTED_VALUE"""),82.0)</f>
        <v>82</v>
      </c>
      <c r="AG394" s="1">
        <f>IFERROR(__xludf.DUMMYFUNCTION("""COMPUTED_VALUE"""),117.8)</f>
        <v>117.8</v>
      </c>
      <c r="AH394" s="1">
        <f>IFERROR(__xludf.DUMMYFUNCTION("""COMPUTED_VALUE"""),270.45)</f>
        <v>270.45</v>
      </c>
      <c r="AI394" s="1">
        <f>IFERROR(__xludf.DUMMYFUNCTION("""COMPUTED_VALUE"""),393.84)</f>
        <v>393.84</v>
      </c>
      <c r="AJ394" s="1">
        <f>IFERROR(__xludf.DUMMYFUNCTION("""COMPUTED_VALUE"""),338.08)</f>
        <v>338.08</v>
      </c>
      <c r="AK394" s="1">
        <f>IFERROR(__xludf.DUMMYFUNCTION("""COMPUTED_VALUE"""),74.69)</f>
        <v>74.69</v>
      </c>
      <c r="AL394" s="1">
        <f>IFERROR(__xludf.DUMMYFUNCTION("""COMPUTED_VALUE"""),125.0)</f>
        <v>125</v>
      </c>
      <c r="AM394" s="1">
        <f>IFERROR(__xludf.DUMMYFUNCTION("""COMPUTED_VALUE"""),836.57)</f>
        <v>836.57</v>
      </c>
      <c r="AN394" s="1">
        <f>IFERROR(__xludf.DUMMYFUNCTION("""COMPUTED_VALUE"""),357.91)</f>
        <v>357.91</v>
      </c>
      <c r="AO394" s="1">
        <f>IFERROR(__xludf.DUMMYFUNCTION("""COMPUTED_VALUE"""),166.23)</f>
        <v>166.23</v>
      </c>
      <c r="AP394" s="1">
        <f>IFERROR(__xludf.DUMMYFUNCTION("""COMPUTED_VALUE"""),156.85)</f>
        <v>156.85</v>
      </c>
      <c r="AQ394" s="1">
        <f>IFERROR(__xludf.DUMMYFUNCTION("""COMPUTED_VALUE"""),569.71)</f>
        <v>569.71</v>
      </c>
      <c r="AR394" s="1">
        <f>IFERROR(__xludf.DUMMYFUNCTION("""COMPUTED_VALUE"""),312.13)</f>
        <v>312.13</v>
      </c>
      <c r="AS394" s="1">
        <f>IFERROR(__xludf.DUMMYFUNCTION("""COMPUTED_VALUE"""),446.8)</f>
        <v>446.8</v>
      </c>
      <c r="AT394" s="1">
        <f>IFERROR(__xludf.DUMMYFUNCTION("""COMPUTED_VALUE"""),182.3)</f>
        <v>182.3</v>
      </c>
      <c r="AU394" s="1">
        <f>IFERROR(__xludf.DUMMYFUNCTION("""COMPUTED_VALUE"""),35.1)</f>
        <v>35.1</v>
      </c>
      <c r="AV394" s="1">
        <f>IFERROR(__xludf.DUMMYFUNCTION("""COMPUTED_VALUE"""),101.97)</f>
        <v>101.97</v>
      </c>
      <c r="AW394" s="1">
        <f>IFERROR(__xludf.DUMMYFUNCTION("""COMPUTED_VALUE"""),77.51)</f>
        <v>77.51</v>
      </c>
      <c r="AX394" s="1">
        <f>IFERROR(__xludf.DUMMYFUNCTION("""COMPUTED_VALUE"""),58.71)</f>
        <v>58.71</v>
      </c>
      <c r="AY394" s="1">
        <f>IFERROR(__xludf.DUMMYFUNCTION("""COMPUTED_VALUE"""),477.73)</f>
        <v>477.73</v>
      </c>
      <c r="AZ394" s="1">
        <f>IFERROR(__xludf.DUMMYFUNCTION("""COMPUTED_VALUE"""),84.95)</f>
        <v>84.95</v>
      </c>
      <c r="BA394" s="1">
        <f>IFERROR(__xludf.DUMMYFUNCTION("""COMPUTED_VALUE"""),166.77)</f>
        <v>166.77</v>
      </c>
      <c r="BB394" s="1">
        <f>IFERROR(__xludf.DUMMYFUNCTION("""COMPUTED_VALUE"""),179.59)</f>
        <v>179.59</v>
      </c>
      <c r="BC394" s="1">
        <f>IFERROR(__xludf.DUMMYFUNCTION("""COMPUTED_VALUE"""),86.94)</f>
        <v>86.94</v>
      </c>
      <c r="BD394" s="1">
        <f>IFERROR(__xludf.DUMMYFUNCTION("""COMPUTED_VALUE"""),47.07)</f>
        <v>47.07</v>
      </c>
      <c r="BE394" s="1">
        <f>IFERROR(__xludf.DUMMYFUNCTION("""COMPUTED_VALUE"""),176.08)</f>
        <v>176.08</v>
      </c>
      <c r="BF394" s="1">
        <f>IFERROR(__xludf.DUMMYFUNCTION("""COMPUTED_VALUE"""),61.24)</f>
        <v>61.24</v>
      </c>
      <c r="BG394" s="1">
        <f>IFERROR(__xludf.DUMMYFUNCTION("""COMPUTED_VALUE"""),25.57)</f>
        <v>25.57</v>
      </c>
      <c r="BH394" s="1">
        <f>IFERROR(__xludf.DUMMYFUNCTION("""COMPUTED_VALUE"""),168.45)</f>
        <v>168.45</v>
      </c>
      <c r="BI394" s="1">
        <f>IFERROR(__xludf.DUMMYFUNCTION("""COMPUTED_VALUE"""),77.69)</f>
        <v>77.69</v>
      </c>
      <c r="BJ394" s="1">
        <f>IFERROR(__xludf.DUMMYFUNCTION("""COMPUTED_VALUE"""),208.51)</f>
        <v>208.51</v>
      </c>
      <c r="BK394" s="1">
        <f>IFERROR(__xludf.DUMMYFUNCTION("""COMPUTED_VALUE"""),580.45)</f>
        <v>580.45</v>
      </c>
      <c r="BL394" s="1">
        <f>IFERROR(__xludf.DUMMYFUNCTION("""COMPUTED_VALUE"""),195.44)</f>
        <v>195.44</v>
      </c>
      <c r="BM394" s="1">
        <f>IFERROR(__xludf.DUMMYFUNCTION("""COMPUTED_VALUE"""),140.1)</f>
        <v>140.1</v>
      </c>
      <c r="BN394" s="1">
        <f>IFERROR(__xludf.DUMMYFUNCTION("""COMPUTED_VALUE"""),4.64)</f>
        <v>4.64</v>
      </c>
      <c r="BO394" s="1">
        <f>IFERROR(__xludf.DUMMYFUNCTION("""COMPUTED_VALUE"""),235.23)</f>
        <v>235.23</v>
      </c>
      <c r="BP394" s="1">
        <f>IFERROR(__xludf.DUMMYFUNCTION("""COMPUTED_VALUE"""),339.71)</f>
        <v>339.71</v>
      </c>
      <c r="BQ394" s="36">
        <f>IFERROR(__xludf.DUMMYFUNCTION("""COMPUTED_VALUE"""),50.18)</f>
        <v>50.18</v>
      </c>
      <c r="BR394" s="1">
        <f>IFERROR(__xludf.DUMMYFUNCTION("""COMPUTED_VALUE"""),10.84)</f>
        <v>10.84</v>
      </c>
      <c r="BS394" s="1">
        <f>IFERROR(__xludf.DUMMYFUNCTION("""COMPUTED_VALUE"""),216.15)</f>
        <v>216.15</v>
      </c>
      <c r="BT394" s="1">
        <f>IFERROR(__xludf.DUMMYFUNCTION("""COMPUTED_VALUE"""),105.74)</f>
        <v>105.74</v>
      </c>
      <c r="BU394" s="3">
        <v>1.0</v>
      </c>
    </row>
    <row r="395">
      <c r="A395" s="25">
        <f>IFERROR(__xludf.DUMMYFUNCTION("""COMPUTED_VALUE"""),45995.66666666667)</f>
        <v>45995.66667</v>
      </c>
      <c r="B395" s="29">
        <f>'Master Scratch Work'!B394</f>
        <v>1579676.54</v>
      </c>
      <c r="C395" s="31">
        <f>IFERROR(__xludf.DUMMYFUNCTION("""COMPUTED_VALUE"""),6857.12)</f>
        <v>6857.12</v>
      </c>
      <c r="D395" s="31">
        <f>IFERROR(__xludf.DUMMYFUNCTION("""COMPUTED_VALUE"""),23505.14)</f>
        <v>23505.14</v>
      </c>
      <c r="E395" s="31">
        <f>IFERROR(__xludf.DUMMYFUNCTION("""COMPUTED_VALUE"""),47850.94)</f>
        <v>47850.94</v>
      </c>
      <c r="F395" s="31">
        <f>IFERROR(__xludf.DUMMYFUNCTION("""COMPUTED_VALUE"""),2531.16)</f>
        <v>2531.16</v>
      </c>
      <c r="G395" s="1">
        <f>IFERROR(__xludf.DUMMYFUNCTION("""COMPUTED_VALUE"""),684.39)</f>
        <v>684.39</v>
      </c>
      <c r="H395" s="1">
        <f>IFERROR(__xludf.DUMMYFUNCTION("""COMPUTED_VALUE"""),622.94)</f>
        <v>622.94</v>
      </c>
      <c r="I395" s="1">
        <f>IFERROR(__xludf.DUMMYFUNCTION("""COMPUTED_VALUE"""),328.73)</f>
        <v>328.73</v>
      </c>
      <c r="J395" s="1">
        <f>IFERROR(__xludf.DUMMYFUNCTION("""COMPUTED_VALUE"""),229.11)</f>
        <v>229.11</v>
      </c>
      <c r="K395" s="1">
        <f>IFERROR(__xludf.DUMMYFUNCTION("""COMPUTED_VALUE"""),128.93)</f>
        <v>128.93</v>
      </c>
      <c r="L395" s="1">
        <f>IFERROR(__xludf.DUMMYFUNCTION("""COMPUTED_VALUE"""),280.7)</f>
        <v>280.7</v>
      </c>
      <c r="M395" s="1">
        <f>IFERROR(__xludf.DUMMYFUNCTION("""COMPUTED_VALUE"""),269.44)</f>
        <v>269.44</v>
      </c>
      <c r="N395" s="1">
        <f>IFERROR(__xludf.DUMMYFUNCTION("""COMPUTED_VALUE"""),113.95)</f>
        <v>113.95</v>
      </c>
      <c r="O395" s="1">
        <f>IFERROR(__xludf.DUMMYFUNCTION("""COMPUTED_VALUE"""),23.4)</f>
        <v>23.4</v>
      </c>
      <c r="P395" s="1">
        <f>IFERROR(__xludf.DUMMYFUNCTION("""COMPUTED_VALUE"""),503.23)</f>
        <v>503.23</v>
      </c>
      <c r="Q395" s="1">
        <f>IFERROR(__xludf.DUMMYFUNCTION("""COMPUTED_VALUE"""),58.97)</f>
        <v>58.97</v>
      </c>
      <c r="R395" s="1">
        <f>IFERROR(__xludf.DUMMYFUNCTION("""COMPUTED_VALUE"""),181.98)</f>
        <v>181.98</v>
      </c>
      <c r="S395" s="1">
        <f>IFERROR(__xludf.DUMMYFUNCTION("""COMPUTED_VALUE"""),97.72)</f>
        <v>97.72</v>
      </c>
      <c r="T395" s="1">
        <f>IFERROR(__xludf.DUMMYFUNCTION("""COMPUTED_VALUE"""),54.5)</f>
        <v>54.5</v>
      </c>
      <c r="U395" s="1">
        <f>IFERROR(__xludf.DUMMYFUNCTION("""COMPUTED_VALUE"""),599.15)</f>
        <v>599.15</v>
      </c>
      <c r="V395" s="1">
        <f>IFERROR(__xludf.DUMMYFUNCTION("""COMPUTED_VALUE"""),94.09)</f>
        <v>94.09</v>
      </c>
      <c r="W395" s="1">
        <f>IFERROR(__xludf.DUMMYFUNCTION("""COMPUTED_VALUE"""),195.83)</f>
        <v>195.83</v>
      </c>
      <c r="X395" s="1">
        <f>IFERROR(__xludf.DUMMYFUNCTION("""COMPUTED_VALUE"""),152.26)</f>
        <v>152.26</v>
      </c>
      <c r="Y395" s="1">
        <f>IFERROR(__xludf.DUMMYFUNCTION("""COMPUTED_VALUE"""),268.42)</f>
        <v>268.42</v>
      </c>
      <c r="Z395" s="1">
        <f>IFERROR(__xludf.DUMMYFUNCTION("""COMPUTED_VALUE"""),55.88)</f>
        <v>55.88</v>
      </c>
      <c r="AA395" s="1">
        <f>IFERROR(__xludf.DUMMYFUNCTION("""COMPUTED_VALUE"""),70.45)</f>
        <v>70.45</v>
      </c>
      <c r="AB395" s="1">
        <f>IFERROR(__xludf.DUMMYFUNCTION("""COMPUTED_VALUE"""),96.22)</f>
        <v>96.22</v>
      </c>
      <c r="AC395" s="1">
        <f>IFERROR(__xludf.DUMMYFUNCTION("""COMPUTED_VALUE"""),161.02)</f>
        <v>161.02</v>
      </c>
      <c r="AD395" s="1">
        <f>IFERROR(__xludf.DUMMYFUNCTION("""COMPUTED_VALUE"""),115.87)</f>
        <v>115.87</v>
      </c>
      <c r="AE395" s="1">
        <f>IFERROR(__xludf.DUMMYFUNCTION("""COMPUTED_VALUE"""),427.07)</f>
        <v>427.07</v>
      </c>
      <c r="AF395" s="1">
        <f>IFERROR(__xludf.DUMMYFUNCTION("""COMPUTED_VALUE"""),82.13)</f>
        <v>82.13</v>
      </c>
      <c r="AG395" s="1">
        <f>IFERROR(__xludf.DUMMYFUNCTION("""COMPUTED_VALUE"""),117.14)</f>
        <v>117.14</v>
      </c>
      <c r="AH395" s="1">
        <f>IFERROR(__xludf.DUMMYFUNCTION("""COMPUTED_VALUE"""),274.05)</f>
        <v>274.05</v>
      </c>
      <c r="AI395" s="1">
        <f>IFERROR(__xludf.DUMMYFUNCTION("""COMPUTED_VALUE"""),393.23)</f>
        <v>393.23</v>
      </c>
      <c r="AJ395" s="1">
        <f>IFERROR(__xludf.DUMMYFUNCTION("""COMPUTED_VALUE"""),341.7)</f>
        <v>341.7</v>
      </c>
      <c r="AK395" s="1">
        <f>IFERROR(__xludf.DUMMYFUNCTION("""COMPUTED_VALUE"""),75.29)</f>
        <v>75.29</v>
      </c>
      <c r="AL395" s="1">
        <f>IFERROR(__xludf.DUMMYFUNCTION("""COMPUTED_VALUE"""),122.62)</f>
        <v>122.62</v>
      </c>
      <c r="AM395" s="1">
        <f>IFERROR(__xludf.DUMMYFUNCTION("""COMPUTED_VALUE"""),837.83)</f>
        <v>837.83</v>
      </c>
      <c r="AN395" s="1">
        <f>IFERROR(__xludf.DUMMYFUNCTION("""COMPUTED_VALUE"""),351.17)</f>
        <v>351.17</v>
      </c>
      <c r="AO395" s="1">
        <f>IFERROR(__xludf.DUMMYFUNCTION("""COMPUTED_VALUE"""),170.52)</f>
        <v>170.52</v>
      </c>
      <c r="AP395" s="1">
        <f>IFERROR(__xludf.DUMMYFUNCTION("""COMPUTED_VALUE"""),159.11)</f>
        <v>159.11</v>
      </c>
      <c r="AQ395" s="1">
        <f>IFERROR(__xludf.DUMMYFUNCTION("""COMPUTED_VALUE"""),568.63)</f>
        <v>568.63</v>
      </c>
      <c r="AR395" s="1">
        <f>IFERROR(__xludf.DUMMYFUNCTION("""COMPUTED_VALUE"""),316.1)</f>
        <v>316.1</v>
      </c>
      <c r="AS395" s="1">
        <f>IFERROR(__xludf.DUMMYFUNCTION("""COMPUTED_VALUE"""),448.35)</f>
        <v>448.35</v>
      </c>
      <c r="AT395" s="1">
        <f>IFERROR(__xludf.DUMMYFUNCTION("""COMPUTED_VALUE"""),183.6)</f>
        <v>183.6</v>
      </c>
      <c r="AU395" s="1">
        <f>IFERROR(__xludf.DUMMYFUNCTION("""COMPUTED_VALUE"""),35.26)</f>
        <v>35.26</v>
      </c>
      <c r="AV395" s="1">
        <f>IFERROR(__xludf.DUMMYFUNCTION("""COMPUTED_VALUE"""),101.99)</f>
        <v>101.99</v>
      </c>
      <c r="AW395" s="1">
        <f>IFERROR(__xludf.DUMMYFUNCTION("""COMPUTED_VALUE"""),78.03)</f>
        <v>78.03</v>
      </c>
      <c r="AX395" s="1">
        <f>IFERROR(__xludf.DUMMYFUNCTION("""COMPUTED_VALUE"""),61.8)</f>
        <v>61.8</v>
      </c>
      <c r="AY395" s="1">
        <f>IFERROR(__xludf.DUMMYFUNCTION("""COMPUTED_VALUE"""),480.84)</f>
        <v>480.84</v>
      </c>
      <c r="AZ395" s="1">
        <f>IFERROR(__xludf.DUMMYFUNCTION("""COMPUTED_VALUE"""),83.39)</f>
        <v>83.39</v>
      </c>
      <c r="BA395" s="1">
        <f>IFERROR(__xludf.DUMMYFUNCTION("""COMPUTED_VALUE"""),169.36)</f>
        <v>169.36</v>
      </c>
      <c r="BB395" s="1">
        <f>IFERROR(__xludf.DUMMYFUNCTION("""COMPUTED_VALUE"""),183.38)</f>
        <v>183.38</v>
      </c>
      <c r="BC395" s="1">
        <f>IFERROR(__xludf.DUMMYFUNCTION("""COMPUTED_VALUE"""),86.91)</f>
        <v>86.91</v>
      </c>
      <c r="BD395" s="1">
        <f>IFERROR(__xludf.DUMMYFUNCTION("""COMPUTED_VALUE"""),46.51)</f>
        <v>46.51</v>
      </c>
      <c r="BE395" s="1">
        <f>IFERROR(__xludf.DUMMYFUNCTION("""COMPUTED_VALUE"""),177.92)</f>
        <v>177.92</v>
      </c>
      <c r="BF395" s="1">
        <f>IFERROR(__xludf.DUMMYFUNCTION("""COMPUTED_VALUE"""),61.73)</f>
        <v>61.73</v>
      </c>
      <c r="BG395" s="1">
        <f>IFERROR(__xludf.DUMMYFUNCTION("""COMPUTED_VALUE"""),25.7)</f>
        <v>25.7</v>
      </c>
      <c r="BH395" s="1">
        <f>IFERROR(__xludf.DUMMYFUNCTION("""COMPUTED_VALUE"""),171.31)</f>
        <v>171.31</v>
      </c>
      <c r="BI395" s="1">
        <f>IFERROR(__xludf.DUMMYFUNCTION("""COMPUTED_VALUE"""),78.48)</f>
        <v>78.48</v>
      </c>
      <c r="BJ395" s="1">
        <f>IFERROR(__xludf.DUMMYFUNCTION("""COMPUTED_VALUE"""),208.01)</f>
        <v>208.01</v>
      </c>
      <c r="BK395" s="1">
        <f>IFERROR(__xludf.DUMMYFUNCTION("""COMPUTED_VALUE"""),575.24)</f>
        <v>575.24</v>
      </c>
      <c r="BL395" s="1">
        <f>IFERROR(__xludf.DUMMYFUNCTION("""COMPUTED_VALUE"""),198.27)</f>
        <v>198.27</v>
      </c>
      <c r="BM395" s="1">
        <f>IFERROR(__xludf.DUMMYFUNCTION("""COMPUTED_VALUE"""),138.63)</f>
        <v>138.63</v>
      </c>
      <c r="BN395" s="1">
        <f>IFERROR(__xludf.DUMMYFUNCTION("""COMPUTED_VALUE"""),4.53)</f>
        <v>4.53</v>
      </c>
      <c r="BO395" s="1">
        <f>IFERROR(__xludf.DUMMYFUNCTION("""COMPUTED_VALUE"""),237.29)</f>
        <v>237.29</v>
      </c>
      <c r="BP395" s="1">
        <f>IFERROR(__xludf.DUMMYFUNCTION("""COMPUTED_VALUE"""),333.49)</f>
        <v>333.49</v>
      </c>
      <c r="BQ395" s="36">
        <f>IFERROR(__xludf.DUMMYFUNCTION("""COMPUTED_VALUE"""),50.16)</f>
        <v>50.16</v>
      </c>
      <c r="BR395" s="1">
        <f>IFERROR(__xludf.DUMMYFUNCTION("""COMPUTED_VALUE"""),10.76)</f>
        <v>10.76</v>
      </c>
      <c r="BS395" s="1">
        <f>IFERROR(__xludf.DUMMYFUNCTION("""COMPUTED_VALUE"""),214.19)</f>
        <v>214.19</v>
      </c>
      <c r="BT395" s="1">
        <f>IFERROR(__xludf.DUMMYFUNCTION("""COMPUTED_VALUE"""),105.47)</f>
        <v>105.47</v>
      </c>
      <c r="BU395" s="3">
        <v>1.0</v>
      </c>
    </row>
    <row r="396">
      <c r="A396" s="25">
        <f>IFERROR(__xludf.DUMMYFUNCTION("""COMPUTED_VALUE"""),45996.66666666667)</f>
        <v>45996.66667</v>
      </c>
      <c r="B396" s="29">
        <f>'Master Scratch Work'!B395</f>
        <v>1579512.65</v>
      </c>
      <c r="C396" s="31">
        <f>IFERROR(__xludf.DUMMYFUNCTION("""COMPUTED_VALUE"""),6870.4)</f>
        <v>6870.4</v>
      </c>
      <c r="D396" s="31">
        <f>IFERROR(__xludf.DUMMYFUNCTION("""COMPUTED_VALUE"""),23578.13)</f>
        <v>23578.13</v>
      </c>
      <c r="E396" s="31">
        <f>IFERROR(__xludf.DUMMYFUNCTION("""COMPUTED_VALUE"""),47954.99)</f>
        <v>47954.99</v>
      </c>
      <c r="F396" s="31">
        <f>IFERROR(__xludf.DUMMYFUNCTION("""COMPUTED_VALUE"""),2521.48)</f>
        <v>2521.48</v>
      </c>
      <c r="G396" s="1">
        <f>IFERROR(__xludf.DUMMYFUNCTION("""COMPUTED_VALUE"""),685.69)</f>
        <v>685.69</v>
      </c>
      <c r="H396" s="1">
        <f>IFERROR(__xludf.DUMMYFUNCTION("""COMPUTED_VALUE"""),625.48)</f>
        <v>625.48</v>
      </c>
      <c r="I396" s="1">
        <f>IFERROR(__xludf.DUMMYFUNCTION("""COMPUTED_VALUE"""),346.26)</f>
        <v>346.26</v>
      </c>
      <c r="J396" s="1">
        <f>IFERROR(__xludf.DUMMYFUNCTION("""COMPUTED_VALUE"""),229.53)</f>
        <v>229.53</v>
      </c>
      <c r="K396" s="1">
        <f>IFERROR(__xludf.DUMMYFUNCTION("""COMPUTED_VALUE"""),129.5)</f>
        <v>129.5</v>
      </c>
      <c r="L396" s="1">
        <f>IFERROR(__xludf.DUMMYFUNCTION("""COMPUTED_VALUE"""),278.78)</f>
        <v>278.78</v>
      </c>
      <c r="M396" s="1">
        <f>IFERROR(__xludf.DUMMYFUNCTION("""COMPUTED_VALUE"""),268.0)</f>
        <v>268</v>
      </c>
      <c r="N396" s="1">
        <f>IFERROR(__xludf.DUMMYFUNCTION("""COMPUTED_VALUE"""),114.02)</f>
        <v>114.02</v>
      </c>
      <c r="O396" s="1">
        <f>IFERROR(__xludf.DUMMYFUNCTION("""COMPUTED_VALUE"""),23.22)</f>
        <v>23.22</v>
      </c>
      <c r="P396" s="1">
        <f>IFERROR(__xludf.DUMMYFUNCTION("""COMPUTED_VALUE"""),504.34)</f>
        <v>504.34</v>
      </c>
      <c r="Q396" s="1">
        <f>IFERROR(__xludf.DUMMYFUNCTION("""COMPUTED_VALUE"""),58.85)</f>
        <v>58.85</v>
      </c>
      <c r="R396" s="1">
        <f>IFERROR(__xludf.DUMMYFUNCTION("""COMPUTED_VALUE"""),181.3)</f>
        <v>181.3</v>
      </c>
      <c r="S396" s="1">
        <f>IFERROR(__xludf.DUMMYFUNCTION("""COMPUTED_VALUE"""),97.52)</f>
        <v>97.52</v>
      </c>
      <c r="T396" s="1">
        <f>IFERROR(__xludf.DUMMYFUNCTION("""COMPUTED_VALUE"""),54.29)</f>
        <v>54.29</v>
      </c>
      <c r="U396" s="1">
        <f>IFERROR(__xludf.DUMMYFUNCTION("""COMPUTED_VALUE"""),603.17)</f>
        <v>603.17</v>
      </c>
      <c r="V396" s="1">
        <f>IFERROR(__xludf.DUMMYFUNCTION("""COMPUTED_VALUE"""),91.27)</f>
        <v>91.27</v>
      </c>
      <c r="W396" s="1">
        <f>IFERROR(__xludf.DUMMYFUNCTION("""COMPUTED_VALUE"""),193.06)</f>
        <v>193.06</v>
      </c>
      <c r="X396" s="1">
        <f>IFERROR(__xludf.DUMMYFUNCTION("""COMPUTED_VALUE"""),150.0)</f>
        <v>150</v>
      </c>
      <c r="Y396" s="1">
        <f>IFERROR(__xludf.DUMMYFUNCTION("""COMPUTED_VALUE"""),265.44)</f>
        <v>265.44</v>
      </c>
      <c r="Z396" s="1">
        <f>IFERROR(__xludf.DUMMYFUNCTION("""COMPUTED_VALUE"""),55.46)</f>
        <v>55.46</v>
      </c>
      <c r="AA396" s="1">
        <f>IFERROR(__xludf.DUMMYFUNCTION("""COMPUTED_VALUE"""),70.0)</f>
        <v>70</v>
      </c>
      <c r="AB396" s="1">
        <f>IFERROR(__xludf.DUMMYFUNCTION("""COMPUTED_VALUE"""),96.6)</f>
        <v>96.6</v>
      </c>
      <c r="AC396" s="1">
        <f>IFERROR(__xludf.DUMMYFUNCTION("""COMPUTED_VALUE"""),164.73)</f>
        <v>164.73</v>
      </c>
      <c r="AD396" s="1">
        <f>IFERROR(__xludf.DUMMYFUNCTION("""COMPUTED_VALUE"""),122.44)</f>
        <v>122.44</v>
      </c>
      <c r="AE396" s="1">
        <f>IFERROR(__xludf.DUMMYFUNCTION("""COMPUTED_VALUE"""),416.55)</f>
        <v>416.55</v>
      </c>
      <c r="AF396" s="1">
        <f>IFERROR(__xludf.DUMMYFUNCTION("""COMPUTED_VALUE"""),82.47)</f>
        <v>82.47</v>
      </c>
      <c r="AG396" s="1">
        <f>IFERROR(__xludf.DUMMYFUNCTION("""COMPUTED_VALUE"""),116.54)</f>
        <v>116.54</v>
      </c>
      <c r="AH396" s="1">
        <f>IFERROR(__xludf.DUMMYFUNCTION("""COMPUTED_VALUE"""),274.29)</f>
        <v>274.29</v>
      </c>
      <c r="AI396" s="1">
        <f>IFERROR(__xludf.DUMMYFUNCTION("""COMPUTED_VALUE"""),393.21)</f>
        <v>393.21</v>
      </c>
      <c r="AJ396" s="1">
        <f>IFERROR(__xludf.DUMMYFUNCTION("""COMPUTED_VALUE"""),337.31)</f>
        <v>337.31</v>
      </c>
      <c r="AK396" s="1">
        <f>IFERROR(__xludf.DUMMYFUNCTION("""COMPUTED_VALUE"""),76.05)</f>
        <v>76.05</v>
      </c>
      <c r="AL396" s="1">
        <f>IFERROR(__xludf.DUMMYFUNCTION("""COMPUTED_VALUE"""),121.22)</f>
        <v>121.22</v>
      </c>
      <c r="AM396" s="1">
        <f>IFERROR(__xludf.DUMMYFUNCTION("""COMPUTED_VALUE"""),854.56)</f>
        <v>854.56</v>
      </c>
      <c r="AN396" s="1">
        <f>IFERROR(__xludf.DUMMYFUNCTION("""COMPUTED_VALUE"""),354.61)</f>
        <v>354.61</v>
      </c>
      <c r="AO396" s="1">
        <f>IFERROR(__xludf.DUMMYFUNCTION("""COMPUTED_VALUE"""),170.84)</f>
        <v>170.84</v>
      </c>
      <c r="AP396" s="1">
        <f>IFERROR(__xludf.DUMMYFUNCTION("""COMPUTED_VALUE"""),157.82)</f>
        <v>157.82</v>
      </c>
      <c r="AQ396" s="1">
        <f>IFERROR(__xludf.DUMMYFUNCTION("""COMPUTED_VALUE"""),575.34)</f>
        <v>575.34</v>
      </c>
      <c r="AR396" s="1">
        <f>IFERROR(__xludf.DUMMYFUNCTION("""COMPUTED_VALUE"""),315.04)</f>
        <v>315.04</v>
      </c>
      <c r="AS396" s="1">
        <f>IFERROR(__xludf.DUMMYFUNCTION("""COMPUTED_VALUE"""),452.2)</f>
        <v>452.2</v>
      </c>
      <c r="AT396" s="1">
        <f>IFERROR(__xludf.DUMMYFUNCTION("""COMPUTED_VALUE"""),190.01)</f>
        <v>190.01</v>
      </c>
      <c r="AU396" s="1">
        <f>IFERROR(__xludf.DUMMYFUNCTION("""COMPUTED_VALUE"""),35.29)</f>
        <v>35.29</v>
      </c>
      <c r="AV396" s="1">
        <f>IFERROR(__xludf.DUMMYFUNCTION("""COMPUTED_VALUE"""),101.36)</f>
        <v>101.36</v>
      </c>
      <c r="AW396" s="1">
        <f>IFERROR(__xludf.DUMMYFUNCTION("""COMPUTED_VALUE"""),78.66)</f>
        <v>78.66</v>
      </c>
      <c r="AX396" s="1">
        <f>IFERROR(__xludf.DUMMYFUNCTION("""COMPUTED_VALUE"""),62.09)</f>
        <v>62.09</v>
      </c>
      <c r="AY396" s="1">
        <f>IFERROR(__xludf.DUMMYFUNCTION("""COMPUTED_VALUE"""),483.16)</f>
        <v>483.16</v>
      </c>
      <c r="AZ396" s="1">
        <f>IFERROR(__xludf.DUMMYFUNCTION("""COMPUTED_VALUE"""),83.13)</f>
        <v>83.13</v>
      </c>
      <c r="BA396" s="1">
        <f>IFERROR(__xludf.DUMMYFUNCTION("""COMPUTED_VALUE"""),163.0)</f>
        <v>163</v>
      </c>
      <c r="BB396" s="1">
        <f>IFERROR(__xludf.DUMMYFUNCTION("""COMPUTED_VALUE"""),182.41)</f>
        <v>182.41</v>
      </c>
      <c r="BC396" s="1">
        <f>IFERROR(__xludf.DUMMYFUNCTION("""COMPUTED_VALUE"""),86.45)</f>
        <v>86.45</v>
      </c>
      <c r="BD396" s="1">
        <f>IFERROR(__xludf.DUMMYFUNCTION("""COMPUTED_VALUE"""),48.14)</f>
        <v>48.14</v>
      </c>
      <c r="BE396" s="1">
        <f>IFERROR(__xludf.DUMMYFUNCTION("""COMPUTED_VALUE"""),181.76)</f>
        <v>181.76</v>
      </c>
      <c r="BF396" s="1">
        <f>IFERROR(__xludf.DUMMYFUNCTION("""COMPUTED_VALUE"""),62.28)</f>
        <v>62.28</v>
      </c>
      <c r="BG396" s="1">
        <f>IFERROR(__xludf.DUMMYFUNCTION("""COMPUTED_VALUE"""),26.03)</f>
        <v>26.03</v>
      </c>
      <c r="BH396" s="1">
        <f>IFERROR(__xludf.DUMMYFUNCTION("""COMPUTED_VALUE"""),171.1)</f>
        <v>171.1</v>
      </c>
      <c r="BI396" s="1">
        <f>IFERROR(__xludf.DUMMYFUNCTION("""COMPUTED_VALUE"""),79.64)</f>
        <v>79.64</v>
      </c>
      <c r="BJ396" s="1">
        <f>IFERROR(__xludf.DUMMYFUNCTION("""COMPUTED_VALUE"""),209.63)</f>
        <v>209.63</v>
      </c>
      <c r="BK396" s="1">
        <f>IFERROR(__xludf.DUMMYFUNCTION("""COMPUTED_VALUE"""),572.77)</f>
        <v>572.77</v>
      </c>
      <c r="BL396" s="1">
        <f>IFERROR(__xludf.DUMMYFUNCTION("""COMPUTED_VALUE"""),196.56)</f>
        <v>196.56</v>
      </c>
      <c r="BM396" s="1">
        <f>IFERROR(__xludf.DUMMYFUNCTION("""COMPUTED_VALUE"""),136.51)</f>
        <v>136.51</v>
      </c>
      <c r="BN396" s="1">
        <f>IFERROR(__xludf.DUMMYFUNCTION("""COMPUTED_VALUE"""),4.55)</f>
        <v>4.55</v>
      </c>
      <c r="BO396" s="1">
        <f>IFERROR(__xludf.DUMMYFUNCTION("""COMPUTED_VALUE"""),235.31)</f>
        <v>235.31</v>
      </c>
      <c r="BP396" s="1">
        <f>IFERROR(__xludf.DUMMYFUNCTION("""COMPUTED_VALUE"""),330.91)</f>
        <v>330.91</v>
      </c>
      <c r="BQ396" s="36">
        <f>IFERROR(__xludf.DUMMYFUNCTION("""COMPUTED_VALUE"""),50.15)</f>
        <v>50.15</v>
      </c>
      <c r="BR396" s="1">
        <f>IFERROR(__xludf.DUMMYFUNCTION("""COMPUTED_VALUE"""),10.93)</f>
        <v>10.93</v>
      </c>
      <c r="BS396" s="1">
        <f>IFERROR(__xludf.DUMMYFUNCTION("""COMPUTED_VALUE"""),213.58)</f>
        <v>213.58</v>
      </c>
      <c r="BT396" s="1">
        <f>IFERROR(__xludf.DUMMYFUNCTION("""COMPUTED_VALUE"""),105.3)</f>
        <v>105.3</v>
      </c>
      <c r="BU396" s="3">
        <v>1.0</v>
      </c>
    </row>
    <row r="397">
      <c r="A397" s="25">
        <f>IFERROR(__xludf.DUMMYFUNCTION("""COMPUTED_VALUE"""),45999.66666666667)</f>
        <v>45999.66667</v>
      </c>
      <c r="B397" s="29">
        <f>'Master Scratch Work'!B396</f>
        <v>1573768.69</v>
      </c>
      <c r="C397" s="31">
        <f>IFERROR(__xludf.DUMMYFUNCTION("""COMPUTED_VALUE"""),6846.51)</f>
        <v>6846.51</v>
      </c>
      <c r="D397" s="31">
        <f>IFERROR(__xludf.DUMMYFUNCTION("""COMPUTED_VALUE"""),23545.9)</f>
        <v>23545.9</v>
      </c>
      <c r="E397" s="31">
        <f>IFERROR(__xludf.DUMMYFUNCTION("""COMPUTED_VALUE"""),47739.32)</f>
        <v>47739.32</v>
      </c>
      <c r="F397" s="31">
        <f>IFERROR(__xludf.DUMMYFUNCTION("""COMPUTED_VALUE"""),2520.98)</f>
        <v>2520.98</v>
      </c>
      <c r="G397" s="1">
        <f>IFERROR(__xludf.DUMMYFUNCTION("""COMPUTED_VALUE"""),683.63)</f>
        <v>683.63</v>
      </c>
      <c r="H397" s="1">
        <f>IFERROR(__xludf.DUMMYFUNCTION("""COMPUTED_VALUE"""),624.28)</f>
        <v>624.28</v>
      </c>
      <c r="I397" s="1">
        <f>IFERROR(__xludf.DUMMYFUNCTION("""COMPUTED_VALUE"""),339.12)</f>
        <v>339.12</v>
      </c>
      <c r="J397" s="1">
        <f>IFERROR(__xludf.DUMMYFUNCTION("""COMPUTED_VALUE"""),226.89)</f>
        <v>226.89</v>
      </c>
      <c r="K397" s="1">
        <f>IFERROR(__xludf.DUMMYFUNCTION("""COMPUTED_VALUE"""),128.46)</f>
        <v>128.46</v>
      </c>
      <c r="L397" s="1">
        <f>IFERROR(__xludf.DUMMYFUNCTION("""COMPUTED_VALUE"""),277.89)</f>
        <v>277.89</v>
      </c>
      <c r="M397" s="1">
        <f>IFERROR(__xludf.DUMMYFUNCTION("""COMPUTED_VALUE"""),268.16)</f>
        <v>268.16</v>
      </c>
      <c r="N397" s="1">
        <f>IFERROR(__xludf.DUMMYFUNCTION("""COMPUTED_VALUE"""),114.44)</f>
        <v>114.44</v>
      </c>
      <c r="O397" s="1">
        <f>IFERROR(__xludf.DUMMYFUNCTION("""COMPUTED_VALUE"""),23.26)</f>
        <v>23.26</v>
      </c>
      <c r="P397" s="1">
        <f>IFERROR(__xludf.DUMMYFUNCTION("""COMPUTED_VALUE"""),497.23)</f>
        <v>497.23</v>
      </c>
      <c r="Q397" s="1">
        <f>IFERROR(__xludf.DUMMYFUNCTION("""COMPUTED_VALUE"""),58.34)</f>
        <v>58.34</v>
      </c>
      <c r="R397" s="1">
        <f>IFERROR(__xludf.DUMMYFUNCTION("""COMPUTED_VALUE"""),180.44)</f>
        <v>180.44</v>
      </c>
      <c r="S397" s="1">
        <f>IFERROR(__xludf.DUMMYFUNCTION("""COMPUTED_VALUE"""),93.84)</f>
        <v>93.84</v>
      </c>
      <c r="T397" s="1">
        <f>IFERROR(__xludf.DUMMYFUNCTION("""COMPUTED_VALUE"""),53.03)</f>
        <v>53.03</v>
      </c>
      <c r="U397" s="1">
        <f>IFERROR(__xludf.DUMMYFUNCTION("""COMPUTED_VALUE"""),596.5)</f>
        <v>596.5</v>
      </c>
      <c r="V397" s="1">
        <f>IFERROR(__xludf.DUMMYFUNCTION("""COMPUTED_VALUE"""),90.9)</f>
        <v>90.9</v>
      </c>
      <c r="W397" s="1">
        <f>IFERROR(__xludf.DUMMYFUNCTION("""COMPUTED_VALUE"""),190.85)</f>
        <v>190.85</v>
      </c>
      <c r="X397" s="1">
        <f>IFERROR(__xludf.DUMMYFUNCTION("""COMPUTED_VALUE"""),148.71)</f>
        <v>148.71</v>
      </c>
      <c r="Y397" s="1">
        <f>IFERROR(__xludf.DUMMYFUNCTION("""COMPUTED_VALUE"""),263.54)</f>
        <v>263.54</v>
      </c>
      <c r="Z397" s="1">
        <f>IFERROR(__xludf.DUMMYFUNCTION("""COMPUTED_VALUE"""),55.76)</f>
        <v>55.76</v>
      </c>
      <c r="AA397" s="1">
        <f>IFERROR(__xludf.DUMMYFUNCTION("""COMPUTED_VALUE"""),70.25)</f>
        <v>70.25</v>
      </c>
      <c r="AB397" s="1">
        <f>IFERROR(__xludf.DUMMYFUNCTION("""COMPUTED_VALUE"""),95.45)</f>
        <v>95.45</v>
      </c>
      <c r="AC397" s="1">
        <f>IFERROR(__xludf.DUMMYFUNCTION("""COMPUTED_VALUE"""),163.78)</f>
        <v>163.78</v>
      </c>
      <c r="AD397" s="1">
        <f>IFERROR(__xludf.DUMMYFUNCTION("""COMPUTED_VALUE"""),120.33)</f>
        <v>120.33</v>
      </c>
      <c r="AE397" s="1">
        <f>IFERROR(__xludf.DUMMYFUNCTION("""COMPUTED_VALUE"""),418.47)</f>
        <v>418.47</v>
      </c>
      <c r="AF397" s="1">
        <f>IFERROR(__xludf.DUMMYFUNCTION("""COMPUTED_VALUE"""),83.85)</f>
        <v>83.85</v>
      </c>
      <c r="AG397" s="1">
        <f>IFERROR(__xludf.DUMMYFUNCTION("""COMPUTED_VALUE"""),115.98)</f>
        <v>115.98</v>
      </c>
      <c r="AH397" s="1">
        <f>IFERROR(__xludf.DUMMYFUNCTION("""COMPUTED_VALUE"""),276.64)</f>
        <v>276.64</v>
      </c>
      <c r="AI397" s="1">
        <f>IFERROR(__xludf.DUMMYFUNCTION("""COMPUTED_VALUE"""),382.98)</f>
        <v>382.98</v>
      </c>
      <c r="AJ397" s="1">
        <f>IFERROR(__xludf.DUMMYFUNCTION("""COMPUTED_VALUE"""),336.01)</f>
        <v>336.01</v>
      </c>
      <c r="AK397" s="1">
        <f>IFERROR(__xludf.DUMMYFUNCTION("""COMPUTED_VALUE"""),75.71)</f>
        <v>75.71</v>
      </c>
      <c r="AL397" s="1">
        <f>IFERROR(__xludf.DUMMYFUNCTION("""COMPUTED_VALUE"""),121.19)</f>
        <v>121.19</v>
      </c>
      <c r="AM397" s="1">
        <f>IFERROR(__xludf.DUMMYFUNCTION("""COMPUTED_VALUE"""),866.69)</f>
        <v>866.69</v>
      </c>
      <c r="AN397" s="1">
        <f>IFERROR(__xludf.DUMMYFUNCTION("""COMPUTED_VALUE"""),349.91)</f>
        <v>349.91</v>
      </c>
      <c r="AO397" s="1">
        <f>IFERROR(__xludf.DUMMYFUNCTION("""COMPUTED_VALUE"""),171.03)</f>
        <v>171.03</v>
      </c>
      <c r="AP397" s="1">
        <f>IFERROR(__xludf.DUMMYFUNCTION("""COMPUTED_VALUE"""),157.03)</f>
        <v>157.03</v>
      </c>
      <c r="AQ397" s="1">
        <f>IFERROR(__xludf.DUMMYFUNCTION("""COMPUTED_VALUE"""),566.89)</f>
        <v>566.89</v>
      </c>
      <c r="AR397" s="1">
        <f>IFERROR(__xludf.DUMMYFUNCTION("""COMPUTED_VALUE"""),315.21)</f>
        <v>315.21</v>
      </c>
      <c r="AS397" s="1">
        <f>IFERROR(__xludf.DUMMYFUNCTION("""COMPUTED_VALUE"""),465.38)</f>
        <v>465.38</v>
      </c>
      <c r="AT397" s="1">
        <f>IFERROR(__xludf.DUMMYFUNCTION("""COMPUTED_VALUE"""),183.04)</f>
        <v>183.04</v>
      </c>
      <c r="AU397" s="1">
        <f>IFERROR(__xludf.DUMMYFUNCTION("""COMPUTED_VALUE"""),34.94)</f>
        <v>34.94</v>
      </c>
      <c r="AV397" s="1">
        <f>IFERROR(__xludf.DUMMYFUNCTION("""COMPUTED_VALUE"""),101.26)</f>
        <v>101.26</v>
      </c>
      <c r="AW397" s="1">
        <f>IFERROR(__xludf.DUMMYFUNCTION("""COMPUTED_VALUE"""),78.08)</f>
        <v>78.08</v>
      </c>
      <c r="AX397" s="1">
        <f>IFERROR(__xludf.DUMMYFUNCTION("""COMPUTED_VALUE"""),61.2)</f>
        <v>61.2</v>
      </c>
      <c r="AY397" s="1">
        <f>IFERROR(__xludf.DUMMYFUNCTION("""COMPUTED_VALUE"""),491.02)</f>
        <v>491.02</v>
      </c>
      <c r="AZ397" s="1">
        <f>IFERROR(__xludf.DUMMYFUNCTION("""COMPUTED_VALUE"""),80.55)</f>
        <v>80.55</v>
      </c>
      <c r="BA397" s="1">
        <f>IFERROR(__xludf.DUMMYFUNCTION("""COMPUTED_VALUE"""),164.11)</f>
        <v>164.11</v>
      </c>
      <c r="BB397" s="1">
        <f>IFERROR(__xludf.DUMMYFUNCTION("""COMPUTED_VALUE"""),185.55)</f>
        <v>185.55</v>
      </c>
      <c r="BC397" s="1">
        <f>IFERROR(__xludf.DUMMYFUNCTION("""COMPUTED_VALUE"""),86.12)</f>
        <v>86.12</v>
      </c>
      <c r="BD397" s="1">
        <f>IFERROR(__xludf.DUMMYFUNCTION("""COMPUTED_VALUE"""),47.02)</f>
        <v>47.02</v>
      </c>
      <c r="BE397" s="1">
        <f>IFERROR(__xludf.DUMMYFUNCTION("""COMPUTED_VALUE"""),181.49)</f>
        <v>181.49</v>
      </c>
      <c r="BF397" s="1">
        <f>IFERROR(__xludf.DUMMYFUNCTION("""COMPUTED_VALUE"""),61.12)</f>
        <v>61.12</v>
      </c>
      <c r="BG397" s="1">
        <f>IFERROR(__xludf.DUMMYFUNCTION("""COMPUTED_VALUE"""),25.77)</f>
        <v>25.77</v>
      </c>
      <c r="BH397" s="1">
        <f>IFERROR(__xludf.DUMMYFUNCTION("""COMPUTED_VALUE"""),171.52)</f>
        <v>171.52</v>
      </c>
      <c r="BI397" s="1">
        <f>IFERROR(__xludf.DUMMYFUNCTION("""COMPUTED_VALUE"""),80.06)</f>
        <v>80.06</v>
      </c>
      <c r="BJ397" s="1">
        <f>IFERROR(__xludf.DUMMYFUNCTION("""COMPUTED_VALUE"""),204.44)</f>
        <v>204.44</v>
      </c>
      <c r="BK397" s="1">
        <f>IFERROR(__xludf.DUMMYFUNCTION("""COMPUTED_VALUE"""),568.21)</f>
        <v>568.21</v>
      </c>
      <c r="BL397" s="1">
        <f>IFERROR(__xludf.DUMMYFUNCTION("""COMPUTED_VALUE"""),195.21)</f>
        <v>195.21</v>
      </c>
      <c r="BM397" s="1">
        <f>IFERROR(__xludf.DUMMYFUNCTION("""COMPUTED_VALUE"""),136.6)</f>
        <v>136.6</v>
      </c>
      <c r="BN397" s="1">
        <f>IFERROR(__xludf.DUMMYFUNCTION("""COMPUTED_VALUE"""),4.36)</f>
        <v>4.36</v>
      </c>
      <c r="BO397" s="1">
        <f>IFERROR(__xludf.DUMMYFUNCTION("""COMPUTED_VALUE"""),235.44)</f>
        <v>235.44</v>
      </c>
      <c r="BP397" s="1">
        <f>IFERROR(__xludf.DUMMYFUNCTION("""COMPUTED_VALUE"""),323.62)</f>
        <v>323.62</v>
      </c>
      <c r="BQ397" s="36">
        <f>IFERROR(__xludf.DUMMYFUNCTION("""COMPUTED_VALUE"""),50.11)</f>
        <v>50.11</v>
      </c>
      <c r="BR397" s="1">
        <f>IFERROR(__xludf.DUMMYFUNCTION("""COMPUTED_VALUE"""),11.09)</f>
        <v>11.09</v>
      </c>
      <c r="BS397" s="1">
        <f>IFERROR(__xludf.DUMMYFUNCTION("""COMPUTED_VALUE"""),210.23)</f>
        <v>210.23</v>
      </c>
      <c r="BT397" s="1">
        <f>IFERROR(__xludf.DUMMYFUNCTION("""COMPUTED_VALUE"""),107.63)</f>
        <v>107.63</v>
      </c>
      <c r="BU397" s="3">
        <v>1.0</v>
      </c>
    </row>
    <row r="398">
      <c r="A398" s="25">
        <f>IFERROR(__xludf.DUMMYFUNCTION("""COMPUTED_VALUE"""),46000.66666666667)</f>
        <v>46000.66667</v>
      </c>
      <c r="B398" s="29">
        <f>'Master Scratch Work'!B397</f>
        <v>1567507.75</v>
      </c>
      <c r="C398" s="31">
        <f>IFERROR(__xludf.DUMMYFUNCTION("""COMPUTED_VALUE"""),6840.51)</f>
        <v>6840.51</v>
      </c>
      <c r="D398" s="31">
        <f>IFERROR(__xludf.DUMMYFUNCTION("""COMPUTED_VALUE"""),23576.49)</f>
        <v>23576.49</v>
      </c>
      <c r="E398" s="31">
        <f>IFERROR(__xludf.DUMMYFUNCTION("""COMPUTED_VALUE"""),47560.29)</f>
        <v>47560.29</v>
      </c>
      <c r="F398" s="31">
        <f>IFERROR(__xludf.DUMMYFUNCTION("""COMPUTED_VALUE"""),2526.24)</f>
        <v>2526.24</v>
      </c>
      <c r="G398" s="1">
        <f>IFERROR(__xludf.DUMMYFUNCTION("""COMPUTED_VALUE"""),683.04)</f>
        <v>683.04</v>
      </c>
      <c r="H398" s="1">
        <f>IFERROR(__xludf.DUMMYFUNCTION("""COMPUTED_VALUE"""),625.05)</f>
        <v>625.05</v>
      </c>
      <c r="I398" s="1">
        <f>IFERROR(__xludf.DUMMYFUNCTION("""COMPUTED_VALUE"""),344.32)</f>
        <v>344.32</v>
      </c>
      <c r="J398" s="1">
        <f>IFERROR(__xludf.DUMMYFUNCTION("""COMPUTED_VALUE"""),227.92)</f>
        <v>227.92</v>
      </c>
      <c r="K398" s="1">
        <f>IFERROR(__xludf.DUMMYFUNCTION("""COMPUTED_VALUE"""),128.15)</f>
        <v>128.15</v>
      </c>
      <c r="L398" s="1">
        <f>IFERROR(__xludf.DUMMYFUNCTION("""COMPUTED_VALUE"""),277.18)</f>
        <v>277.18</v>
      </c>
      <c r="M398" s="1">
        <f>IFERROR(__xludf.DUMMYFUNCTION("""COMPUTED_VALUE"""),267.14)</f>
        <v>267.14</v>
      </c>
      <c r="N398" s="1">
        <f>IFERROR(__xludf.DUMMYFUNCTION("""COMPUTED_VALUE"""),115.93)</f>
        <v>115.93</v>
      </c>
      <c r="O398" s="1">
        <f>IFERROR(__xludf.DUMMYFUNCTION("""COMPUTED_VALUE"""),23.14)</f>
        <v>23.14</v>
      </c>
      <c r="P398" s="1">
        <f>IFERROR(__xludf.DUMMYFUNCTION("""COMPUTED_VALUE"""),491.43)</f>
        <v>491.43</v>
      </c>
      <c r="Q398" s="1">
        <f>IFERROR(__xludf.DUMMYFUNCTION("""COMPUTED_VALUE"""),59.01)</f>
        <v>59.01</v>
      </c>
      <c r="R398" s="1">
        <f>IFERROR(__xludf.DUMMYFUNCTION("""COMPUTED_VALUE"""),175.84)</f>
        <v>175.84</v>
      </c>
      <c r="S398" s="1">
        <f>IFERROR(__xludf.DUMMYFUNCTION("""COMPUTED_VALUE"""),92.53)</f>
        <v>92.53</v>
      </c>
      <c r="T398" s="1">
        <f>IFERROR(__xludf.DUMMYFUNCTION("""COMPUTED_VALUE"""),52.84)</f>
        <v>52.84</v>
      </c>
      <c r="U398" s="1">
        <f>IFERROR(__xludf.DUMMYFUNCTION("""COMPUTED_VALUE"""),594.36)</f>
        <v>594.36</v>
      </c>
      <c r="V398" s="1">
        <f>IFERROR(__xludf.DUMMYFUNCTION("""COMPUTED_VALUE"""),93.36)</f>
        <v>93.36</v>
      </c>
      <c r="W398" s="1">
        <f>IFERROR(__xludf.DUMMYFUNCTION("""COMPUTED_VALUE"""),194.19)</f>
        <v>194.19</v>
      </c>
      <c r="X398" s="1">
        <f>IFERROR(__xludf.DUMMYFUNCTION("""COMPUTED_VALUE"""),148.49)</f>
        <v>148.49</v>
      </c>
      <c r="Y398" s="1">
        <f>IFERROR(__xludf.DUMMYFUNCTION("""COMPUTED_VALUE"""),262.71)</f>
        <v>262.71</v>
      </c>
      <c r="Z398" s="1">
        <f>IFERROR(__xludf.DUMMYFUNCTION("""COMPUTED_VALUE"""),55.94)</f>
        <v>55.94</v>
      </c>
      <c r="AA398" s="1">
        <f>IFERROR(__xludf.DUMMYFUNCTION("""COMPUTED_VALUE"""),70.09)</f>
        <v>70.09</v>
      </c>
      <c r="AB398" s="1">
        <f>IFERROR(__xludf.DUMMYFUNCTION("""COMPUTED_VALUE"""),95.82)</f>
        <v>95.82</v>
      </c>
      <c r="AC398" s="1">
        <f>IFERROR(__xludf.DUMMYFUNCTION("""COMPUTED_VALUE"""),162.76)</f>
        <v>162.76</v>
      </c>
      <c r="AD398" s="1">
        <f>IFERROR(__xludf.DUMMYFUNCTION("""COMPUTED_VALUE"""),119.68)</f>
        <v>119.68</v>
      </c>
      <c r="AE398" s="1">
        <f>IFERROR(__xludf.DUMMYFUNCTION("""COMPUTED_VALUE"""),417.19)</f>
        <v>417.19</v>
      </c>
      <c r="AF398" s="1">
        <f>IFERROR(__xludf.DUMMYFUNCTION("""COMPUTED_VALUE"""),83.89)</f>
        <v>83.89</v>
      </c>
      <c r="AG398" s="1">
        <f>IFERROR(__xludf.DUMMYFUNCTION("""COMPUTED_VALUE"""),118.25)</f>
        <v>118.25</v>
      </c>
      <c r="AH398" s="1">
        <f>IFERROR(__xludf.DUMMYFUNCTION("""COMPUTED_VALUE"""),275.13)</f>
        <v>275.13</v>
      </c>
      <c r="AI398" s="1">
        <f>IFERROR(__xludf.DUMMYFUNCTION("""COMPUTED_VALUE"""),375.35)</f>
        <v>375.35</v>
      </c>
      <c r="AJ398" s="1">
        <f>IFERROR(__xludf.DUMMYFUNCTION("""COMPUTED_VALUE"""),334.27)</f>
        <v>334.27</v>
      </c>
      <c r="AK398" s="1">
        <f>IFERROR(__xludf.DUMMYFUNCTION("""COMPUTED_VALUE"""),77.16)</f>
        <v>77.16</v>
      </c>
      <c r="AL398" s="1">
        <f>IFERROR(__xludf.DUMMYFUNCTION("""COMPUTED_VALUE"""),119.36)</f>
        <v>119.36</v>
      </c>
      <c r="AM398" s="1">
        <f>IFERROR(__xludf.DUMMYFUNCTION("""COMPUTED_VALUE"""),876.58)</f>
        <v>876.58</v>
      </c>
      <c r="AN398" s="1">
        <f>IFERROR(__xludf.DUMMYFUNCTION("""COMPUTED_VALUE"""),345.27)</f>
        <v>345.27</v>
      </c>
      <c r="AO398" s="1">
        <f>IFERROR(__xludf.DUMMYFUNCTION("""COMPUTED_VALUE"""),172.75)</f>
        <v>172.75</v>
      </c>
      <c r="AP398" s="1">
        <f>IFERROR(__xludf.DUMMYFUNCTION("""COMPUTED_VALUE"""),158.01)</f>
        <v>158.01</v>
      </c>
      <c r="AQ398" s="1">
        <f>IFERROR(__xludf.DUMMYFUNCTION("""COMPUTED_VALUE"""),558.13)</f>
        <v>558.13</v>
      </c>
      <c r="AR398" s="1">
        <f>IFERROR(__xludf.DUMMYFUNCTION("""COMPUTED_VALUE"""),300.51)</f>
        <v>300.51</v>
      </c>
      <c r="AS398" s="1">
        <f>IFERROR(__xludf.DUMMYFUNCTION("""COMPUTED_VALUE"""),466.89)</f>
        <v>466.89</v>
      </c>
      <c r="AT398" s="1">
        <f>IFERROR(__xludf.DUMMYFUNCTION("""COMPUTED_VALUE"""),182.28)</f>
        <v>182.28</v>
      </c>
      <c r="AU398" s="1">
        <f>IFERROR(__xludf.DUMMYFUNCTION("""COMPUTED_VALUE"""),35.22)</f>
        <v>35.22</v>
      </c>
      <c r="AV398" s="1">
        <f>IFERROR(__xludf.DUMMYFUNCTION("""COMPUTED_VALUE"""),99.62)</f>
        <v>99.62</v>
      </c>
      <c r="AW398" s="1">
        <f>IFERROR(__xludf.DUMMYFUNCTION("""COMPUTED_VALUE"""),77.82)</f>
        <v>77.82</v>
      </c>
      <c r="AX398" s="1">
        <f>IFERROR(__xludf.DUMMYFUNCTION("""COMPUTED_VALUE"""),59.82)</f>
        <v>59.82</v>
      </c>
      <c r="AY398" s="1">
        <f>IFERROR(__xludf.DUMMYFUNCTION("""COMPUTED_VALUE"""),492.02)</f>
        <v>492.02</v>
      </c>
      <c r="AZ398" s="1">
        <f>IFERROR(__xludf.DUMMYFUNCTION("""COMPUTED_VALUE"""),79.64)</f>
        <v>79.64</v>
      </c>
      <c r="BA398" s="1">
        <f>IFERROR(__xludf.DUMMYFUNCTION("""COMPUTED_VALUE"""),166.75)</f>
        <v>166.75</v>
      </c>
      <c r="BB398" s="1">
        <f>IFERROR(__xludf.DUMMYFUNCTION("""COMPUTED_VALUE"""),184.97)</f>
        <v>184.97</v>
      </c>
      <c r="BC398" s="1">
        <f>IFERROR(__xludf.DUMMYFUNCTION("""COMPUTED_VALUE"""),87.09)</f>
        <v>87.09</v>
      </c>
      <c r="BD398" s="1">
        <f>IFERROR(__xludf.DUMMYFUNCTION("""COMPUTED_VALUE"""),47.31)</f>
        <v>47.31</v>
      </c>
      <c r="BE398" s="1">
        <f>IFERROR(__xludf.DUMMYFUNCTION("""COMPUTED_VALUE"""),181.84)</f>
        <v>181.84</v>
      </c>
      <c r="BF398" s="1">
        <f>IFERROR(__xludf.DUMMYFUNCTION("""COMPUTED_VALUE"""),60.78)</f>
        <v>60.78</v>
      </c>
      <c r="BG398" s="1">
        <f>IFERROR(__xludf.DUMMYFUNCTION("""COMPUTED_VALUE"""),25.33)</f>
        <v>25.33</v>
      </c>
      <c r="BH398" s="1">
        <f>IFERROR(__xludf.DUMMYFUNCTION("""COMPUTED_VALUE"""),171.93)</f>
        <v>171.93</v>
      </c>
      <c r="BI398" s="1">
        <f>IFERROR(__xludf.DUMMYFUNCTION("""COMPUTED_VALUE"""),77.81)</f>
        <v>77.81</v>
      </c>
      <c r="BJ398" s="1">
        <f>IFERROR(__xludf.DUMMYFUNCTION("""COMPUTED_VALUE"""),201.35)</f>
        <v>201.35</v>
      </c>
      <c r="BK398" s="1">
        <f>IFERROR(__xludf.DUMMYFUNCTION("""COMPUTED_VALUE"""),563.07)</f>
        <v>563.07</v>
      </c>
      <c r="BL398" s="1">
        <f>IFERROR(__xludf.DUMMYFUNCTION("""COMPUTED_VALUE"""),196.34)</f>
        <v>196.34</v>
      </c>
      <c r="BM398" s="1">
        <f>IFERROR(__xludf.DUMMYFUNCTION("""COMPUTED_VALUE"""),134.8)</f>
        <v>134.8</v>
      </c>
      <c r="BN398" s="1">
        <f>IFERROR(__xludf.DUMMYFUNCTION("""COMPUTED_VALUE"""),4.31)</f>
        <v>4.31</v>
      </c>
      <c r="BO398" s="1">
        <f>IFERROR(__xludf.DUMMYFUNCTION("""COMPUTED_VALUE"""),231.56)</f>
        <v>231.56</v>
      </c>
      <c r="BP398" s="1">
        <f>IFERROR(__xludf.DUMMYFUNCTION("""COMPUTED_VALUE"""),323.6)</f>
        <v>323.6</v>
      </c>
      <c r="BQ398" s="36">
        <f>IFERROR(__xludf.DUMMYFUNCTION("""COMPUTED_VALUE"""),50.06)</f>
        <v>50.06</v>
      </c>
      <c r="BR398" s="1">
        <f>IFERROR(__xludf.DUMMYFUNCTION("""COMPUTED_VALUE"""),11.19)</f>
        <v>11.19</v>
      </c>
      <c r="BS398" s="1">
        <f>IFERROR(__xludf.DUMMYFUNCTION("""COMPUTED_VALUE"""),209.31)</f>
        <v>209.31</v>
      </c>
      <c r="BT398" s="1">
        <f>IFERROR(__xludf.DUMMYFUNCTION("""COMPUTED_VALUE"""),107.02)</f>
        <v>107.02</v>
      </c>
      <c r="BU398" s="3">
        <v>1.0</v>
      </c>
    </row>
    <row r="399">
      <c r="A399" s="25">
        <f>IFERROR(__xludf.DUMMYFUNCTION("""COMPUTED_VALUE"""),46001.66666666667)</f>
        <v>46001.66667</v>
      </c>
      <c r="B399" s="29">
        <f>'Master Scratch Work'!B398</f>
        <v>1580639.74</v>
      </c>
      <c r="C399" s="31">
        <f>IFERROR(__xludf.DUMMYFUNCTION("""COMPUTED_VALUE"""),6886.68)</f>
        <v>6886.68</v>
      </c>
      <c r="D399" s="31">
        <f>IFERROR(__xludf.DUMMYFUNCTION("""COMPUTED_VALUE"""),23654.16)</f>
        <v>23654.16</v>
      </c>
      <c r="E399" s="31">
        <f>IFERROR(__xludf.DUMMYFUNCTION("""COMPUTED_VALUE"""),48057.75)</f>
        <v>48057.75</v>
      </c>
      <c r="F399" s="31">
        <f>IFERROR(__xludf.DUMMYFUNCTION("""COMPUTED_VALUE"""),2559.61)</f>
        <v>2559.61</v>
      </c>
      <c r="G399" s="1">
        <f>IFERROR(__xludf.DUMMYFUNCTION("""COMPUTED_VALUE"""),687.57)</f>
        <v>687.57</v>
      </c>
      <c r="H399" s="1">
        <f>IFERROR(__xludf.DUMMYFUNCTION("""COMPUTED_VALUE"""),627.61)</f>
        <v>627.61</v>
      </c>
      <c r="I399" s="1">
        <f>IFERROR(__xludf.DUMMYFUNCTION("""COMPUTED_VALUE"""),343.13)</f>
        <v>343.13</v>
      </c>
      <c r="J399" s="1">
        <f>IFERROR(__xludf.DUMMYFUNCTION("""COMPUTED_VALUE"""),231.78)</f>
        <v>231.78</v>
      </c>
      <c r="K399" s="1">
        <f>IFERROR(__xludf.DUMMYFUNCTION("""COMPUTED_VALUE"""),128.72)</f>
        <v>128.72</v>
      </c>
      <c r="L399" s="1">
        <f>IFERROR(__xludf.DUMMYFUNCTION("""COMPUTED_VALUE"""),278.78)</f>
        <v>278.78</v>
      </c>
      <c r="M399" s="1">
        <f>IFERROR(__xludf.DUMMYFUNCTION("""COMPUTED_VALUE"""),275.15)</f>
        <v>275.15</v>
      </c>
      <c r="N399" s="1">
        <f>IFERROR(__xludf.DUMMYFUNCTION("""COMPUTED_VALUE"""),118.38)</f>
        <v>118.38</v>
      </c>
      <c r="O399" s="1">
        <f>IFERROR(__xludf.DUMMYFUNCTION("""COMPUTED_VALUE"""),23.82)</f>
        <v>23.82</v>
      </c>
      <c r="P399" s="1">
        <f>IFERROR(__xludf.DUMMYFUNCTION("""COMPUTED_VALUE"""),490.43)</f>
        <v>490.43</v>
      </c>
      <c r="Q399" s="1">
        <f>IFERROR(__xludf.DUMMYFUNCTION("""COMPUTED_VALUE"""),60.53)</f>
        <v>60.53</v>
      </c>
      <c r="R399" s="1">
        <f>IFERROR(__xludf.DUMMYFUNCTION("""COMPUTED_VALUE"""),177.55)</f>
        <v>177.55</v>
      </c>
      <c r="S399" s="1">
        <f>IFERROR(__xludf.DUMMYFUNCTION("""COMPUTED_VALUE"""),92.7)</f>
        <v>92.7</v>
      </c>
      <c r="T399" s="1">
        <f>IFERROR(__xludf.DUMMYFUNCTION("""COMPUTED_VALUE"""),53.4)</f>
        <v>53.4</v>
      </c>
      <c r="U399" s="1">
        <f>IFERROR(__xludf.DUMMYFUNCTION("""COMPUTED_VALUE"""),615.35)</f>
        <v>615.35</v>
      </c>
      <c r="V399" s="1">
        <f>IFERROR(__xludf.DUMMYFUNCTION("""COMPUTED_VALUE"""),93.76)</f>
        <v>93.76</v>
      </c>
      <c r="W399" s="1">
        <f>IFERROR(__xludf.DUMMYFUNCTION("""COMPUTED_VALUE"""),197.5)</f>
        <v>197.5</v>
      </c>
      <c r="X399" s="1">
        <f>IFERROR(__xludf.DUMMYFUNCTION("""COMPUTED_VALUE"""),151.41)</f>
        <v>151.41</v>
      </c>
      <c r="Y399" s="1">
        <f>IFERROR(__xludf.DUMMYFUNCTION("""COMPUTED_VALUE"""),262.6)</f>
        <v>262.6</v>
      </c>
      <c r="Z399" s="1">
        <f>IFERROR(__xludf.DUMMYFUNCTION("""COMPUTED_VALUE"""),58.46)</f>
        <v>58.46</v>
      </c>
      <c r="AA399" s="1">
        <f>IFERROR(__xludf.DUMMYFUNCTION("""COMPUTED_VALUE"""),70.21)</f>
        <v>70.21</v>
      </c>
      <c r="AB399" s="1">
        <f>IFERROR(__xludf.DUMMYFUNCTION("""COMPUTED_VALUE"""),95.41)</f>
        <v>95.41</v>
      </c>
      <c r="AC399" s="1">
        <f>IFERROR(__xludf.DUMMYFUNCTION("""COMPUTED_VALUE"""),159.51)</f>
        <v>159.51</v>
      </c>
      <c r="AD399" s="1">
        <f>IFERROR(__xludf.DUMMYFUNCTION("""COMPUTED_VALUE"""),124.24)</f>
        <v>124.24</v>
      </c>
      <c r="AE399" s="1">
        <f>IFERROR(__xludf.DUMMYFUNCTION("""COMPUTED_VALUE"""),418.88)</f>
        <v>418.88</v>
      </c>
      <c r="AF399" s="1">
        <f>IFERROR(__xludf.DUMMYFUNCTION("""COMPUTED_VALUE"""),82.63)</f>
        <v>82.63</v>
      </c>
      <c r="AG399" s="1">
        <f>IFERROR(__xludf.DUMMYFUNCTION("""COMPUTED_VALUE"""),119.54)</f>
        <v>119.54</v>
      </c>
      <c r="AH399" s="1">
        <f>IFERROR(__xludf.DUMMYFUNCTION("""COMPUTED_VALUE"""),284.31)</f>
        <v>284.31</v>
      </c>
      <c r="AI399" s="1">
        <f>IFERROR(__xludf.DUMMYFUNCTION("""COMPUTED_VALUE"""),364.04)</f>
        <v>364.04</v>
      </c>
      <c r="AJ399" s="1">
        <f>IFERROR(__xludf.DUMMYFUNCTION("""COMPUTED_VALUE"""),342.23)</f>
        <v>342.23</v>
      </c>
      <c r="AK399" s="1">
        <f>IFERROR(__xludf.DUMMYFUNCTION("""COMPUTED_VALUE"""),80.8)</f>
        <v>80.8</v>
      </c>
      <c r="AL399" s="1">
        <f>IFERROR(__xludf.DUMMYFUNCTION("""COMPUTED_VALUE"""),121.34)</f>
        <v>121.34</v>
      </c>
      <c r="AM399" s="1">
        <f>IFERROR(__xludf.DUMMYFUNCTION("""COMPUTED_VALUE"""),889.24)</f>
        <v>889.24</v>
      </c>
      <c r="AN399" s="1">
        <f>IFERROR(__xludf.DUMMYFUNCTION("""COMPUTED_VALUE"""),351.13)</f>
        <v>351.13</v>
      </c>
      <c r="AO399" s="1">
        <f>IFERROR(__xludf.DUMMYFUNCTION("""COMPUTED_VALUE"""),174.1)</f>
        <v>174.1</v>
      </c>
      <c r="AP399" s="1">
        <f>IFERROR(__xludf.DUMMYFUNCTION("""COMPUTED_VALUE"""),160.38)</f>
        <v>160.38</v>
      </c>
      <c r="AQ399" s="1">
        <f>IFERROR(__xludf.DUMMYFUNCTION("""COMPUTED_VALUE"""),555.92)</f>
        <v>555.92</v>
      </c>
      <c r="AR399" s="1">
        <f>IFERROR(__xludf.DUMMYFUNCTION("""COMPUTED_VALUE"""),310.11)</f>
        <v>310.11</v>
      </c>
      <c r="AS399" s="1">
        <f>IFERROR(__xludf.DUMMYFUNCTION("""COMPUTED_VALUE"""),467.94)</f>
        <v>467.94</v>
      </c>
      <c r="AT399" s="1">
        <f>IFERROR(__xludf.DUMMYFUNCTION("""COMPUTED_VALUE"""),187.62)</f>
        <v>187.62</v>
      </c>
      <c r="AU399" s="1">
        <f>IFERROR(__xludf.DUMMYFUNCTION("""COMPUTED_VALUE"""),35.49)</f>
        <v>35.49</v>
      </c>
      <c r="AV399" s="1">
        <f>IFERROR(__xludf.DUMMYFUNCTION("""COMPUTED_VALUE"""),100.77)</f>
        <v>100.77</v>
      </c>
      <c r="AW399" s="1">
        <f>IFERROR(__xludf.DUMMYFUNCTION("""COMPUTED_VALUE"""),79.82)</f>
        <v>79.82</v>
      </c>
      <c r="AX399" s="1">
        <f>IFERROR(__xludf.DUMMYFUNCTION("""COMPUTED_VALUE"""),58.03)</f>
        <v>58.03</v>
      </c>
      <c r="AY399" s="1">
        <f>IFERROR(__xludf.DUMMYFUNCTION("""COMPUTED_VALUE"""),478.56)</f>
        <v>478.56</v>
      </c>
      <c r="AZ399" s="1">
        <f>IFERROR(__xludf.DUMMYFUNCTION("""COMPUTED_VALUE"""),81.27)</f>
        <v>81.27</v>
      </c>
      <c r="BA399" s="1">
        <f>IFERROR(__xludf.DUMMYFUNCTION("""COMPUTED_VALUE"""),168.16)</f>
        <v>168.16</v>
      </c>
      <c r="BB399" s="1">
        <f>IFERROR(__xludf.DUMMYFUNCTION("""COMPUTED_VALUE"""),183.78)</f>
        <v>183.78</v>
      </c>
      <c r="BC399" s="1">
        <f>IFERROR(__xludf.DUMMYFUNCTION("""COMPUTED_VALUE"""),87.85)</f>
        <v>87.85</v>
      </c>
      <c r="BD399" s="1">
        <f>IFERROR(__xludf.DUMMYFUNCTION("""COMPUTED_VALUE"""),48.72)</f>
        <v>48.72</v>
      </c>
      <c r="BE399" s="1">
        <f>IFERROR(__xludf.DUMMYFUNCTION("""COMPUTED_VALUE"""),187.91)</f>
        <v>187.91</v>
      </c>
      <c r="BF399" s="1">
        <f>IFERROR(__xludf.DUMMYFUNCTION("""COMPUTED_VALUE"""),61.16)</f>
        <v>61.16</v>
      </c>
      <c r="BG399" s="1">
        <f>IFERROR(__xludf.DUMMYFUNCTION("""COMPUTED_VALUE"""),25.78)</f>
        <v>25.78</v>
      </c>
      <c r="BH399" s="1">
        <f>IFERROR(__xludf.DUMMYFUNCTION("""COMPUTED_VALUE"""),174.72)</f>
        <v>174.72</v>
      </c>
      <c r="BI399" s="1">
        <f>IFERROR(__xludf.DUMMYFUNCTION("""COMPUTED_VALUE"""),77.88)</f>
        <v>77.88</v>
      </c>
      <c r="BJ399" s="1">
        <f>IFERROR(__xludf.DUMMYFUNCTION("""COMPUTED_VALUE"""),195.32)</f>
        <v>195.32</v>
      </c>
      <c r="BK399" s="1">
        <f>IFERROR(__xludf.DUMMYFUNCTION("""COMPUTED_VALUE"""),573.81)</f>
        <v>573.81</v>
      </c>
      <c r="BL399" s="1">
        <f>IFERROR(__xludf.DUMMYFUNCTION("""COMPUTED_VALUE"""),200.78)</f>
        <v>200.78</v>
      </c>
      <c r="BM399" s="1">
        <f>IFERROR(__xludf.DUMMYFUNCTION("""COMPUTED_VALUE"""),131.21)</f>
        <v>131.21</v>
      </c>
      <c r="BN399" s="1">
        <f>IFERROR(__xludf.DUMMYFUNCTION("""COMPUTED_VALUE"""),4.38)</f>
        <v>4.38</v>
      </c>
      <c r="BO399" s="1">
        <f>IFERROR(__xludf.DUMMYFUNCTION("""COMPUTED_VALUE"""),235.46)</f>
        <v>235.46</v>
      </c>
      <c r="BP399" s="1">
        <f>IFERROR(__xludf.DUMMYFUNCTION("""COMPUTED_VALUE"""),328.37)</f>
        <v>328.37</v>
      </c>
      <c r="BQ399" s="36">
        <f>IFERROR(__xludf.DUMMYFUNCTION("""COMPUTED_VALUE"""),50.12)</f>
        <v>50.12</v>
      </c>
      <c r="BR399" s="1">
        <f>IFERROR(__xludf.DUMMYFUNCTION("""COMPUTED_VALUE"""),11.6)</f>
        <v>11.6</v>
      </c>
      <c r="BS399" s="1">
        <f>IFERROR(__xludf.DUMMYFUNCTION("""COMPUTED_VALUE"""),209.15)</f>
        <v>209.15</v>
      </c>
      <c r="BT399" s="1">
        <f>IFERROR(__xludf.DUMMYFUNCTION("""COMPUTED_VALUE"""),108.83)</f>
        <v>108.83</v>
      </c>
      <c r="BU399" s="3">
        <v>1.0</v>
      </c>
    </row>
    <row r="400">
      <c r="A400" s="25">
        <f>IFERROR(__xludf.DUMMYFUNCTION("""COMPUTED_VALUE"""),46002.66666666667)</f>
        <v>46002.66667</v>
      </c>
      <c r="B400" s="29">
        <f>'Master Scratch Work'!B399</f>
        <v>1590190.02</v>
      </c>
      <c r="C400" s="31">
        <f>IFERROR(__xludf.DUMMYFUNCTION("""COMPUTED_VALUE"""),6901.0)</f>
        <v>6901</v>
      </c>
      <c r="D400" s="31">
        <f>IFERROR(__xludf.DUMMYFUNCTION("""COMPUTED_VALUE"""),23593.86)</f>
        <v>23593.86</v>
      </c>
      <c r="E400" s="31">
        <f>IFERROR(__xludf.DUMMYFUNCTION("""COMPUTED_VALUE"""),48704.01)</f>
        <v>48704.01</v>
      </c>
      <c r="F400" s="31">
        <f>IFERROR(__xludf.DUMMYFUNCTION("""COMPUTED_VALUE"""),2590.61)</f>
        <v>2590.61</v>
      </c>
      <c r="G400" s="1">
        <f>IFERROR(__xludf.DUMMYFUNCTION("""COMPUTED_VALUE"""),689.17)</f>
        <v>689.17</v>
      </c>
      <c r="H400" s="1">
        <f>IFERROR(__xludf.DUMMYFUNCTION("""COMPUTED_VALUE"""),625.58)</f>
        <v>625.58</v>
      </c>
      <c r="I400" s="1">
        <f>IFERROR(__xludf.DUMMYFUNCTION("""COMPUTED_VALUE"""),350.43)</f>
        <v>350.43</v>
      </c>
      <c r="J400" s="1">
        <f>IFERROR(__xludf.DUMMYFUNCTION("""COMPUTED_VALUE"""),230.28)</f>
        <v>230.28</v>
      </c>
      <c r="K400" s="1">
        <f>IFERROR(__xludf.DUMMYFUNCTION("""COMPUTED_VALUE"""),130.09)</f>
        <v>130.09</v>
      </c>
      <c r="L400" s="1">
        <f>IFERROR(__xludf.DUMMYFUNCTION("""COMPUTED_VALUE"""),278.03)</f>
        <v>278.03</v>
      </c>
      <c r="M400" s="1">
        <f>IFERROR(__xludf.DUMMYFUNCTION("""COMPUTED_VALUE"""),270.11)</f>
        <v>270.11</v>
      </c>
      <c r="N400" s="1">
        <f>IFERROR(__xludf.DUMMYFUNCTION("""COMPUTED_VALUE"""),118.68)</f>
        <v>118.68</v>
      </c>
      <c r="O400" s="1">
        <f>IFERROR(__xludf.DUMMYFUNCTION("""COMPUTED_VALUE"""),24.19)</f>
        <v>24.19</v>
      </c>
      <c r="P400" s="1">
        <f>IFERROR(__xludf.DUMMYFUNCTION("""COMPUTED_VALUE"""),495.85)</f>
        <v>495.85</v>
      </c>
      <c r="Q400" s="1">
        <f>IFERROR(__xludf.DUMMYFUNCTION("""COMPUTED_VALUE"""),60.92)</f>
        <v>60.92</v>
      </c>
      <c r="R400" s="1">
        <f>IFERROR(__xludf.DUMMYFUNCTION("""COMPUTED_VALUE"""),172.5)</f>
        <v>172.5</v>
      </c>
      <c r="S400" s="1">
        <f>IFERROR(__xludf.DUMMYFUNCTION("""COMPUTED_VALUE"""),91.75)</f>
        <v>91.75</v>
      </c>
      <c r="T400" s="1">
        <f>IFERROR(__xludf.DUMMYFUNCTION("""COMPUTED_VALUE"""),54.15)</f>
        <v>54.15</v>
      </c>
      <c r="U400" s="1">
        <f>IFERROR(__xludf.DUMMYFUNCTION("""COMPUTED_VALUE"""),625.61)</f>
        <v>625.61</v>
      </c>
      <c r="V400" s="1">
        <f>IFERROR(__xludf.DUMMYFUNCTION("""COMPUTED_VALUE"""),95.74)</f>
        <v>95.74</v>
      </c>
      <c r="W400" s="1">
        <f>IFERROR(__xludf.DUMMYFUNCTION("""COMPUTED_VALUE"""),198.48)</f>
        <v>198.48</v>
      </c>
      <c r="X400" s="1">
        <f>IFERROR(__xludf.DUMMYFUNCTION("""COMPUTED_VALUE"""),150.72)</f>
        <v>150.72</v>
      </c>
      <c r="Y400" s="1">
        <f>IFERROR(__xludf.DUMMYFUNCTION("""COMPUTED_VALUE"""),272.26)</f>
        <v>272.26</v>
      </c>
      <c r="Z400" s="1">
        <f>IFERROR(__xludf.DUMMYFUNCTION("""COMPUTED_VALUE"""),58.35)</f>
        <v>58.35</v>
      </c>
      <c r="AA400" s="1">
        <f>IFERROR(__xludf.DUMMYFUNCTION("""COMPUTED_VALUE"""),69.11)</f>
        <v>69.11</v>
      </c>
      <c r="AB400" s="1">
        <f>IFERROR(__xludf.DUMMYFUNCTION("""COMPUTED_VALUE"""),95.64)</f>
        <v>95.64</v>
      </c>
      <c r="AC400" s="1">
        <f>IFERROR(__xludf.DUMMYFUNCTION("""COMPUTED_VALUE"""),158.82)</f>
        <v>158.82</v>
      </c>
      <c r="AD400" s="1">
        <f>IFERROR(__xludf.DUMMYFUNCTION("""COMPUTED_VALUE"""),129.97)</f>
        <v>129.97</v>
      </c>
      <c r="AE400" s="1">
        <f>IFERROR(__xludf.DUMMYFUNCTION("""COMPUTED_VALUE"""),433.67)</f>
        <v>433.67</v>
      </c>
      <c r="AF400" s="1">
        <f>IFERROR(__xludf.DUMMYFUNCTION("""COMPUTED_VALUE"""),84.4)</f>
        <v>84.4</v>
      </c>
      <c r="AG400" s="1">
        <f>IFERROR(__xludf.DUMMYFUNCTION("""COMPUTED_VALUE"""),119.54)</f>
        <v>119.54</v>
      </c>
      <c r="AH400" s="1">
        <f>IFERROR(__xludf.DUMMYFUNCTION("""COMPUTED_VALUE"""),284.78)</f>
        <v>284.78</v>
      </c>
      <c r="AI400" s="1">
        <f>IFERROR(__xludf.DUMMYFUNCTION("""COMPUTED_VALUE"""),367.96)</f>
        <v>367.96</v>
      </c>
      <c r="AJ400" s="1">
        <f>IFERROR(__xludf.DUMMYFUNCTION("""COMPUTED_VALUE"""),341.48)</f>
        <v>341.48</v>
      </c>
      <c r="AK400" s="1">
        <f>IFERROR(__xludf.DUMMYFUNCTION("""COMPUTED_VALUE"""),80.85)</f>
        <v>80.85</v>
      </c>
      <c r="AL400" s="1">
        <f>IFERROR(__xludf.DUMMYFUNCTION("""COMPUTED_VALUE"""),123.21)</f>
        <v>123.21</v>
      </c>
      <c r="AM400" s="1">
        <f>IFERROR(__xludf.DUMMYFUNCTION("""COMPUTED_VALUE"""),911.03)</f>
        <v>911.03</v>
      </c>
      <c r="AN400" s="1">
        <f>IFERROR(__xludf.DUMMYFUNCTION("""COMPUTED_VALUE"""),357.46)</f>
        <v>357.46</v>
      </c>
      <c r="AO400" s="1">
        <f>IFERROR(__xludf.DUMMYFUNCTION("""COMPUTED_VALUE"""),176.4)</f>
        <v>176.4</v>
      </c>
      <c r="AP400" s="1">
        <f>IFERROR(__xludf.DUMMYFUNCTION("""COMPUTED_VALUE"""),163.1)</f>
        <v>163.1</v>
      </c>
      <c r="AQ400" s="1">
        <f>IFERROR(__xludf.DUMMYFUNCTION("""COMPUTED_VALUE"""),547.36)</f>
        <v>547.36</v>
      </c>
      <c r="AR400" s="1">
        <f>IFERROR(__xludf.DUMMYFUNCTION("""COMPUTED_VALUE"""),317.38)</f>
        <v>317.38</v>
      </c>
      <c r="AS400" s="1">
        <f>IFERROR(__xludf.DUMMYFUNCTION("""COMPUTED_VALUE"""),474.88)</f>
        <v>474.88</v>
      </c>
      <c r="AT400" s="1">
        <f>IFERROR(__xludf.DUMMYFUNCTION("""COMPUTED_VALUE"""),187.01)</f>
        <v>187.01</v>
      </c>
      <c r="AU400" s="1">
        <f>IFERROR(__xludf.DUMMYFUNCTION("""COMPUTED_VALUE"""),35.65)</f>
        <v>35.65</v>
      </c>
      <c r="AV400" s="1">
        <f>IFERROR(__xludf.DUMMYFUNCTION("""COMPUTED_VALUE"""),99.75)</f>
        <v>99.75</v>
      </c>
      <c r="AW400" s="1">
        <f>IFERROR(__xludf.DUMMYFUNCTION("""COMPUTED_VALUE"""),82.25)</f>
        <v>82.25</v>
      </c>
      <c r="AX400" s="1">
        <f>IFERROR(__xludf.DUMMYFUNCTION("""COMPUTED_VALUE"""),60.01)</f>
        <v>60.01</v>
      </c>
      <c r="AY400" s="1">
        <f>IFERROR(__xludf.DUMMYFUNCTION("""COMPUTED_VALUE"""),483.47)</f>
        <v>483.47</v>
      </c>
      <c r="AZ400" s="1">
        <f>IFERROR(__xludf.DUMMYFUNCTION("""COMPUTED_VALUE"""),81.21)</f>
        <v>81.21</v>
      </c>
      <c r="BA400" s="1">
        <f>IFERROR(__xludf.DUMMYFUNCTION("""COMPUTED_VALUE"""),170.64)</f>
        <v>170.64</v>
      </c>
      <c r="BB400" s="1">
        <f>IFERROR(__xludf.DUMMYFUNCTION("""COMPUTED_VALUE"""),180.93)</f>
        <v>180.93</v>
      </c>
      <c r="BC400" s="1">
        <f>IFERROR(__xludf.DUMMYFUNCTION("""COMPUTED_VALUE"""),87.73)</f>
        <v>87.73</v>
      </c>
      <c r="BD400" s="1">
        <f>IFERROR(__xludf.DUMMYFUNCTION("""COMPUTED_VALUE"""),49.5)</f>
        <v>49.5</v>
      </c>
      <c r="BE400" s="1">
        <f>IFERROR(__xludf.DUMMYFUNCTION("""COMPUTED_VALUE"""),187.54)</f>
        <v>187.54</v>
      </c>
      <c r="BF400" s="1">
        <f>IFERROR(__xludf.DUMMYFUNCTION("""COMPUTED_VALUE"""),61.69)</f>
        <v>61.69</v>
      </c>
      <c r="BG400" s="1">
        <f>IFERROR(__xludf.DUMMYFUNCTION("""COMPUTED_VALUE"""),25.8)</f>
        <v>25.8</v>
      </c>
      <c r="BH400" s="1">
        <f>IFERROR(__xludf.DUMMYFUNCTION("""COMPUTED_VALUE"""),177.42)</f>
        <v>177.42</v>
      </c>
      <c r="BI400" s="1">
        <f>IFERROR(__xludf.DUMMYFUNCTION("""COMPUTED_VALUE"""),78.51)</f>
        <v>78.51</v>
      </c>
      <c r="BJ400" s="1">
        <f>IFERROR(__xludf.DUMMYFUNCTION("""COMPUTED_VALUE"""),195.33)</f>
        <v>195.33</v>
      </c>
      <c r="BK400" s="1">
        <f>IFERROR(__xludf.DUMMYFUNCTION("""COMPUTED_VALUE"""),578.9)</f>
        <v>578.9</v>
      </c>
      <c r="BL400" s="1">
        <f>IFERROR(__xludf.DUMMYFUNCTION("""COMPUTED_VALUE"""),203.56)</f>
        <v>203.56</v>
      </c>
      <c r="BM400" s="1">
        <f>IFERROR(__xludf.DUMMYFUNCTION("""COMPUTED_VALUE"""),127.62)</f>
        <v>127.62</v>
      </c>
      <c r="BN400" s="1">
        <f>IFERROR(__xludf.DUMMYFUNCTION("""COMPUTED_VALUE"""),4.42)</f>
        <v>4.42</v>
      </c>
      <c r="BO400" s="1">
        <f>IFERROR(__xludf.DUMMYFUNCTION("""COMPUTED_VALUE"""),236.12)</f>
        <v>236.12</v>
      </c>
      <c r="BP400" s="1">
        <f>IFERROR(__xludf.DUMMYFUNCTION("""COMPUTED_VALUE"""),336.73)</f>
        <v>336.73</v>
      </c>
      <c r="BQ400" s="36">
        <f>IFERROR(__xludf.DUMMYFUNCTION("""COMPUTED_VALUE"""),50.13)</f>
        <v>50.13</v>
      </c>
      <c r="BR400" s="1">
        <f>IFERROR(__xludf.DUMMYFUNCTION("""COMPUTED_VALUE"""),11.59)</f>
        <v>11.59</v>
      </c>
      <c r="BS400" s="1">
        <f>IFERROR(__xludf.DUMMYFUNCTION("""COMPUTED_VALUE"""),212.05)</f>
        <v>212.05</v>
      </c>
      <c r="BT400" s="1">
        <f>IFERROR(__xludf.DUMMYFUNCTION("""COMPUTED_VALUE"""),111.46)</f>
        <v>111.46</v>
      </c>
      <c r="BU400" s="3">
        <v>1.0</v>
      </c>
    </row>
    <row r="401">
      <c r="A401" s="25">
        <f>IFERROR(__xludf.DUMMYFUNCTION("""COMPUTED_VALUE"""),46003.66666666667)</f>
        <v>46003.66667</v>
      </c>
      <c r="B401" s="29">
        <f>'Master Scratch Work'!B400</f>
        <v>1579045.86</v>
      </c>
      <c r="C401" s="31">
        <f>IFERROR(__xludf.DUMMYFUNCTION("""COMPUTED_VALUE"""),6827.41)</f>
        <v>6827.41</v>
      </c>
      <c r="D401" s="31">
        <f>IFERROR(__xludf.DUMMYFUNCTION("""COMPUTED_VALUE"""),23195.17)</f>
        <v>23195.17</v>
      </c>
      <c r="E401" s="31">
        <f>IFERROR(__xludf.DUMMYFUNCTION("""COMPUTED_VALUE"""),48458.05)</f>
        <v>48458.05</v>
      </c>
      <c r="F401" s="31">
        <f>IFERROR(__xludf.DUMMYFUNCTION("""COMPUTED_VALUE"""),2551.46)</f>
        <v>2551.46</v>
      </c>
      <c r="G401" s="1">
        <f>IFERROR(__xludf.DUMMYFUNCTION("""COMPUTED_VALUE"""),681.76)</f>
        <v>681.76</v>
      </c>
      <c r="H401" s="1">
        <f>IFERROR(__xludf.DUMMYFUNCTION("""COMPUTED_VALUE"""),613.62)</f>
        <v>613.62</v>
      </c>
      <c r="I401" s="1">
        <f>IFERROR(__xludf.DUMMYFUNCTION("""COMPUTED_VALUE"""),356.43)</f>
        <v>356.43</v>
      </c>
      <c r="J401" s="1">
        <f>IFERROR(__xludf.DUMMYFUNCTION("""COMPUTED_VALUE"""),226.19)</f>
        <v>226.19</v>
      </c>
      <c r="K401" s="1">
        <f>IFERROR(__xludf.DUMMYFUNCTION("""COMPUTED_VALUE"""),131.55)</f>
        <v>131.55</v>
      </c>
      <c r="L401" s="1">
        <f>IFERROR(__xludf.DUMMYFUNCTION("""COMPUTED_VALUE"""),278.28)</f>
        <v>278.28</v>
      </c>
      <c r="M401" s="1">
        <f>IFERROR(__xludf.DUMMYFUNCTION("""COMPUTED_VALUE"""),259.21)</f>
        <v>259.21</v>
      </c>
      <c r="N401" s="1">
        <f>IFERROR(__xludf.DUMMYFUNCTION("""COMPUTED_VALUE"""),117.03)</f>
        <v>117.03</v>
      </c>
      <c r="O401" s="1">
        <f>IFERROR(__xludf.DUMMYFUNCTION("""COMPUTED_VALUE"""),23.84)</f>
        <v>23.84</v>
      </c>
      <c r="P401" s="1">
        <f>IFERROR(__xludf.DUMMYFUNCTION("""COMPUTED_VALUE"""),499.52)</f>
        <v>499.52</v>
      </c>
      <c r="Q401" s="1">
        <f>IFERROR(__xludf.DUMMYFUNCTION("""COMPUTED_VALUE"""),59.64)</f>
        <v>59.64</v>
      </c>
      <c r="R401" s="1">
        <f>IFERROR(__xludf.DUMMYFUNCTION("""COMPUTED_VALUE"""),174.1)</f>
        <v>174.1</v>
      </c>
      <c r="S401" s="1">
        <f>IFERROR(__xludf.DUMMYFUNCTION("""COMPUTED_VALUE"""),92.58)</f>
        <v>92.58</v>
      </c>
      <c r="T401" s="1">
        <f>IFERROR(__xludf.DUMMYFUNCTION("""COMPUTED_VALUE"""),52.94)</f>
        <v>52.94</v>
      </c>
      <c r="U401" s="1">
        <f>IFERROR(__xludf.DUMMYFUNCTION("""COMPUTED_VALUE"""),597.89)</f>
        <v>597.89</v>
      </c>
      <c r="V401" s="1">
        <f>IFERROR(__xludf.DUMMYFUNCTION("""COMPUTED_VALUE"""),91.49)</f>
        <v>91.49</v>
      </c>
      <c r="W401" s="1">
        <f>IFERROR(__xludf.DUMMYFUNCTION("""COMPUTED_VALUE"""),192.12)</f>
        <v>192.12</v>
      </c>
      <c r="X401" s="1">
        <f>IFERROR(__xludf.DUMMYFUNCTION("""COMPUTED_VALUE"""),149.99)</f>
        <v>149.99</v>
      </c>
      <c r="Y401" s="1">
        <f>IFERROR(__xludf.DUMMYFUNCTION("""COMPUTED_VALUE"""),274.7)</f>
        <v>274.7</v>
      </c>
      <c r="Z401" s="1">
        <f>IFERROR(__xludf.DUMMYFUNCTION("""COMPUTED_VALUE"""),58.39)</f>
        <v>58.39</v>
      </c>
      <c r="AA401" s="1">
        <f>IFERROR(__xludf.DUMMYFUNCTION("""COMPUTED_VALUE"""),70.52)</f>
        <v>70.52</v>
      </c>
      <c r="AB401" s="1">
        <f>IFERROR(__xludf.DUMMYFUNCTION("""COMPUTED_VALUE"""),97.53)</f>
        <v>97.53</v>
      </c>
      <c r="AC401" s="1">
        <f>IFERROR(__xludf.DUMMYFUNCTION("""COMPUTED_VALUE"""),153.63)</f>
        <v>153.63</v>
      </c>
      <c r="AD401" s="1">
        <f>IFERROR(__xludf.DUMMYFUNCTION("""COMPUTED_VALUE"""),129.87)</f>
        <v>129.87</v>
      </c>
      <c r="AE401" s="1">
        <f>IFERROR(__xludf.DUMMYFUNCTION("""COMPUTED_VALUE"""),431.73)</f>
        <v>431.73</v>
      </c>
      <c r="AF401" s="1">
        <f>IFERROR(__xludf.DUMMYFUNCTION("""COMPUTED_VALUE"""),85.36)</f>
        <v>85.36</v>
      </c>
      <c r="AG401" s="1">
        <f>IFERROR(__xludf.DUMMYFUNCTION("""COMPUTED_VALUE"""),118.82)</f>
        <v>118.82</v>
      </c>
      <c r="AH401" s="1">
        <f>IFERROR(__xludf.DUMMYFUNCTION("""COMPUTED_VALUE"""),284.34)</f>
        <v>284.34</v>
      </c>
      <c r="AI401" s="1">
        <f>IFERROR(__xludf.DUMMYFUNCTION("""COMPUTED_VALUE"""),367.13)</f>
        <v>367.13</v>
      </c>
      <c r="AJ401" s="1">
        <f>IFERROR(__xludf.DUMMYFUNCTION("""COMPUTED_VALUE"""),337.49)</f>
        <v>337.49</v>
      </c>
      <c r="AK401" s="1">
        <f>IFERROR(__xludf.DUMMYFUNCTION("""COMPUTED_VALUE"""),80.89)</f>
        <v>80.89</v>
      </c>
      <c r="AL401" s="1">
        <f>IFERROR(__xludf.DUMMYFUNCTION("""COMPUTED_VALUE"""),120.4)</f>
        <v>120.4</v>
      </c>
      <c r="AM401" s="1">
        <f>IFERROR(__xludf.DUMMYFUNCTION("""COMPUTED_VALUE"""),887.96)</f>
        <v>887.96</v>
      </c>
      <c r="AN401" s="1">
        <f>IFERROR(__xludf.DUMMYFUNCTION("""COMPUTED_VALUE"""),359.65)</f>
        <v>359.65</v>
      </c>
      <c r="AO401" s="1">
        <f>IFERROR(__xludf.DUMMYFUNCTION("""COMPUTED_VALUE"""),179.51)</f>
        <v>179.51</v>
      </c>
      <c r="AP401" s="1">
        <f>IFERROR(__xludf.DUMMYFUNCTION("""COMPUTED_VALUE"""),163.21)</f>
        <v>163.21</v>
      </c>
      <c r="AQ401" s="1">
        <f>IFERROR(__xludf.DUMMYFUNCTION("""COMPUTED_VALUE"""),542.32)</f>
        <v>542.32</v>
      </c>
      <c r="AR401" s="1">
        <f>IFERROR(__xludf.DUMMYFUNCTION("""COMPUTED_VALUE"""),318.52)</f>
        <v>318.52</v>
      </c>
      <c r="AS401" s="1">
        <f>IFERROR(__xludf.DUMMYFUNCTION("""COMPUTED_VALUE"""),480.25)</f>
        <v>480.25</v>
      </c>
      <c r="AT401" s="1">
        <f>IFERROR(__xludf.DUMMYFUNCTION("""COMPUTED_VALUE"""),204.97)</f>
        <v>204.97</v>
      </c>
      <c r="AU401" s="1">
        <f>IFERROR(__xludf.DUMMYFUNCTION("""COMPUTED_VALUE"""),35.48)</f>
        <v>35.48</v>
      </c>
      <c r="AV401" s="1">
        <f>IFERROR(__xludf.DUMMYFUNCTION("""COMPUTED_VALUE"""),99.87)</f>
        <v>99.87</v>
      </c>
      <c r="AW401" s="1">
        <f>IFERROR(__xludf.DUMMYFUNCTION("""COMPUTED_VALUE"""),82.16)</f>
        <v>82.16</v>
      </c>
      <c r="AX401" s="1">
        <f>IFERROR(__xludf.DUMMYFUNCTION("""COMPUTED_VALUE"""),56.66)</f>
        <v>56.66</v>
      </c>
      <c r="AY401" s="1">
        <f>IFERROR(__xludf.DUMMYFUNCTION("""COMPUTED_VALUE"""),478.53)</f>
        <v>478.53</v>
      </c>
      <c r="AZ401" s="1">
        <f>IFERROR(__xludf.DUMMYFUNCTION("""COMPUTED_VALUE"""),81.65)</f>
        <v>81.65</v>
      </c>
      <c r="BA401" s="1">
        <f>IFERROR(__xludf.DUMMYFUNCTION("""COMPUTED_VALUE"""),161.44)</f>
        <v>161.44</v>
      </c>
      <c r="BB401" s="1">
        <f>IFERROR(__xludf.DUMMYFUNCTION("""COMPUTED_VALUE"""),175.02)</f>
        <v>175.02</v>
      </c>
      <c r="BC401" s="1">
        <f>IFERROR(__xludf.DUMMYFUNCTION("""COMPUTED_VALUE"""),88.14)</f>
        <v>88.14</v>
      </c>
      <c r="BD401" s="1">
        <f>IFERROR(__xludf.DUMMYFUNCTION("""COMPUTED_VALUE"""),48.76)</f>
        <v>48.76</v>
      </c>
      <c r="BE401" s="1">
        <f>IFERROR(__xludf.DUMMYFUNCTION("""COMPUTED_VALUE"""),183.57)</f>
        <v>183.57</v>
      </c>
      <c r="BF401" s="1">
        <f>IFERROR(__xludf.DUMMYFUNCTION("""COMPUTED_VALUE"""),61.66)</f>
        <v>61.66</v>
      </c>
      <c r="BG401" s="1">
        <f>IFERROR(__xludf.DUMMYFUNCTION("""COMPUTED_VALUE"""),25.85)</f>
        <v>25.85</v>
      </c>
      <c r="BH401" s="1">
        <f>IFERROR(__xludf.DUMMYFUNCTION("""COMPUTED_VALUE"""),178.66)</f>
        <v>178.66</v>
      </c>
      <c r="BI401" s="1">
        <f>IFERROR(__xludf.DUMMYFUNCTION("""COMPUTED_VALUE"""),78.92)</f>
        <v>78.92</v>
      </c>
      <c r="BJ401" s="1">
        <f>IFERROR(__xludf.DUMMYFUNCTION("""COMPUTED_VALUE"""),195.16)</f>
        <v>195.16</v>
      </c>
      <c r="BK401" s="1">
        <f>IFERROR(__xludf.DUMMYFUNCTION("""COMPUTED_VALUE"""),572.28)</f>
        <v>572.28</v>
      </c>
      <c r="BL401" s="1">
        <f>IFERROR(__xludf.DUMMYFUNCTION("""COMPUTED_VALUE"""),208.12)</f>
        <v>208.12</v>
      </c>
      <c r="BM401" s="1">
        <f>IFERROR(__xludf.DUMMYFUNCTION("""COMPUTED_VALUE"""),126.79)</f>
        <v>126.79</v>
      </c>
      <c r="BN401" s="1">
        <f>IFERROR(__xludf.DUMMYFUNCTION("""COMPUTED_VALUE"""),4.33)</f>
        <v>4.33</v>
      </c>
      <c r="BO401" s="1">
        <f>IFERROR(__xludf.DUMMYFUNCTION("""COMPUTED_VALUE"""),239.95)</f>
        <v>239.95</v>
      </c>
      <c r="BP401" s="1">
        <f>IFERROR(__xludf.DUMMYFUNCTION("""COMPUTED_VALUE"""),341.84)</f>
        <v>341.84</v>
      </c>
      <c r="BQ401" s="36">
        <f>IFERROR(__xludf.DUMMYFUNCTION("""COMPUTED_VALUE"""),50.12)</f>
        <v>50.12</v>
      </c>
      <c r="BR401" s="1">
        <f>IFERROR(__xludf.DUMMYFUNCTION("""COMPUTED_VALUE"""),11.65)</f>
        <v>11.65</v>
      </c>
      <c r="BS401" s="1">
        <f>IFERROR(__xludf.DUMMYFUNCTION("""COMPUTED_VALUE"""),215.61)</f>
        <v>215.61</v>
      </c>
      <c r="BT401" s="1">
        <f>IFERROR(__xludf.DUMMYFUNCTION("""COMPUTED_VALUE"""),111.6)</f>
        <v>111.6</v>
      </c>
      <c r="BU401" s="3">
        <v>1.0</v>
      </c>
    </row>
    <row r="402">
      <c r="A402" s="25">
        <f>IFERROR(__xludf.DUMMYFUNCTION("""COMPUTED_VALUE"""),46006.66666666667)</f>
        <v>46006.66667</v>
      </c>
      <c r="B402" s="29">
        <f>'Master Scratch Work'!B401</f>
        <v>1575497.05</v>
      </c>
      <c r="C402" s="31">
        <f>IFERROR(__xludf.DUMMYFUNCTION("""COMPUTED_VALUE"""),6816.51)</f>
        <v>6816.51</v>
      </c>
      <c r="D402" s="31">
        <f>IFERROR(__xludf.DUMMYFUNCTION("""COMPUTED_VALUE"""),23057.41)</f>
        <v>23057.41</v>
      </c>
      <c r="E402" s="31">
        <f>IFERROR(__xludf.DUMMYFUNCTION("""COMPUTED_VALUE"""),48416.56)</f>
        <v>48416.56</v>
      </c>
      <c r="F402" s="31">
        <f>IFERROR(__xludf.DUMMYFUNCTION("""COMPUTED_VALUE"""),2530.67)</f>
        <v>2530.67</v>
      </c>
      <c r="G402" s="1">
        <f>IFERROR(__xludf.DUMMYFUNCTION("""COMPUTED_VALUE"""),680.73)</f>
        <v>680.73</v>
      </c>
      <c r="H402" s="1">
        <f>IFERROR(__xludf.DUMMYFUNCTION("""COMPUTED_VALUE"""),610.54)</f>
        <v>610.54</v>
      </c>
      <c r="I402" s="1">
        <f>IFERROR(__xludf.DUMMYFUNCTION("""COMPUTED_VALUE"""),351.15)</f>
        <v>351.15</v>
      </c>
      <c r="J402" s="1">
        <f>IFERROR(__xludf.DUMMYFUNCTION("""COMPUTED_VALUE"""),222.54)</f>
        <v>222.54</v>
      </c>
      <c r="K402" s="1">
        <f>IFERROR(__xludf.DUMMYFUNCTION("""COMPUTED_VALUE"""),134.13)</f>
        <v>134.13</v>
      </c>
      <c r="L402" s="1">
        <f>IFERROR(__xludf.DUMMYFUNCTION("""COMPUTED_VALUE"""),274.11)</f>
        <v>274.11</v>
      </c>
      <c r="M402" s="1">
        <f>IFERROR(__xludf.DUMMYFUNCTION("""COMPUTED_VALUE"""),261.27)</f>
        <v>261.27</v>
      </c>
      <c r="N402" s="1">
        <f>IFERROR(__xludf.DUMMYFUNCTION("""COMPUTED_VALUE"""),116.96)</f>
        <v>116.96</v>
      </c>
      <c r="O402" s="1">
        <f>IFERROR(__xludf.DUMMYFUNCTION("""COMPUTED_VALUE"""),24.34)</f>
        <v>24.34</v>
      </c>
      <c r="P402" s="1">
        <f>IFERROR(__xludf.DUMMYFUNCTION("""COMPUTED_VALUE"""),506.38)</f>
        <v>506.38</v>
      </c>
      <c r="Q402" s="1">
        <f>IFERROR(__xludf.DUMMYFUNCTION("""COMPUTED_VALUE"""),59.19)</f>
        <v>59.19</v>
      </c>
      <c r="R402" s="1">
        <f>IFERROR(__xludf.DUMMYFUNCTION("""COMPUTED_VALUE"""),175.74)</f>
        <v>175.74</v>
      </c>
      <c r="S402" s="1">
        <f>IFERROR(__xludf.DUMMYFUNCTION("""COMPUTED_VALUE"""),92.19)</f>
        <v>92.19</v>
      </c>
      <c r="T402" s="1">
        <f>IFERROR(__xludf.DUMMYFUNCTION("""COMPUTED_VALUE"""),52.58)</f>
        <v>52.58</v>
      </c>
      <c r="U402" s="1">
        <f>IFERROR(__xludf.DUMMYFUNCTION("""COMPUTED_VALUE"""),589.76)</f>
        <v>589.76</v>
      </c>
      <c r="V402" s="1">
        <f>IFERROR(__xludf.DUMMYFUNCTION("""COMPUTED_VALUE"""),89.78)</f>
        <v>89.78</v>
      </c>
      <c r="W402" s="1">
        <f>IFERROR(__xludf.DUMMYFUNCTION("""COMPUTED_VALUE"""),187.29)</f>
        <v>187.29</v>
      </c>
      <c r="X402" s="1">
        <f>IFERROR(__xludf.DUMMYFUNCTION("""COMPUTED_VALUE"""),149.8)</f>
        <v>149.8</v>
      </c>
      <c r="Y402" s="1">
        <f>IFERROR(__xludf.DUMMYFUNCTION("""COMPUTED_VALUE"""),277.15)</f>
        <v>277.15</v>
      </c>
      <c r="Z402" s="1">
        <f>IFERROR(__xludf.DUMMYFUNCTION("""COMPUTED_VALUE"""),58.44)</f>
        <v>58.44</v>
      </c>
      <c r="AA402" s="1">
        <f>IFERROR(__xludf.DUMMYFUNCTION("""COMPUTED_VALUE"""),70.97)</f>
        <v>70.97</v>
      </c>
      <c r="AB402" s="1">
        <f>IFERROR(__xludf.DUMMYFUNCTION("""COMPUTED_VALUE"""),99.39)</f>
        <v>99.39</v>
      </c>
      <c r="AC402" s="1">
        <f>IFERROR(__xludf.DUMMYFUNCTION("""COMPUTED_VALUE"""),152.89)</f>
        <v>152.89</v>
      </c>
      <c r="AD402" s="1">
        <f>IFERROR(__xludf.DUMMYFUNCTION("""COMPUTED_VALUE"""),131.17)</f>
        <v>131.17</v>
      </c>
      <c r="AE402" s="1">
        <f>IFERROR(__xludf.DUMMYFUNCTION("""COMPUTED_VALUE"""),437.5)</f>
        <v>437.5</v>
      </c>
      <c r="AF402" s="1">
        <f>IFERROR(__xludf.DUMMYFUNCTION("""COMPUTED_VALUE"""),82.59)</f>
        <v>82.59</v>
      </c>
      <c r="AG402" s="1">
        <f>IFERROR(__xludf.DUMMYFUNCTION("""COMPUTED_VALUE"""),117.76)</f>
        <v>117.76</v>
      </c>
      <c r="AH402" s="1">
        <f>IFERROR(__xludf.DUMMYFUNCTION("""COMPUTED_VALUE"""),281.23)</f>
        <v>281.23</v>
      </c>
      <c r="AI402" s="1">
        <f>IFERROR(__xludf.DUMMYFUNCTION("""COMPUTED_VALUE"""),368.6)</f>
        <v>368.6</v>
      </c>
      <c r="AJ402" s="1">
        <f>IFERROR(__xludf.DUMMYFUNCTION("""COMPUTED_VALUE"""),340.69)</f>
        <v>340.69</v>
      </c>
      <c r="AK402" s="1">
        <f>IFERROR(__xludf.DUMMYFUNCTION("""COMPUTED_VALUE"""),81.98)</f>
        <v>81.98</v>
      </c>
      <c r="AL402" s="1">
        <f>IFERROR(__xludf.DUMMYFUNCTION("""COMPUTED_VALUE"""),119.78)</f>
        <v>119.78</v>
      </c>
      <c r="AM402" s="1">
        <f>IFERROR(__xludf.DUMMYFUNCTION("""COMPUTED_VALUE"""),889.59)</f>
        <v>889.59</v>
      </c>
      <c r="AN402" s="1">
        <f>IFERROR(__xludf.DUMMYFUNCTION("""COMPUTED_VALUE"""),356.99)</f>
        <v>356.99</v>
      </c>
      <c r="AO402" s="1">
        <f>IFERROR(__xludf.DUMMYFUNCTION("""COMPUTED_VALUE"""),178.4)</f>
        <v>178.4</v>
      </c>
      <c r="AP402" s="1">
        <f>IFERROR(__xludf.DUMMYFUNCTION("""COMPUTED_VALUE"""),161.4)</f>
        <v>161.4</v>
      </c>
      <c r="AQ402" s="1">
        <f>IFERROR(__xludf.DUMMYFUNCTION("""COMPUTED_VALUE"""),559.52)</f>
        <v>559.52</v>
      </c>
      <c r="AR402" s="1">
        <f>IFERROR(__xludf.DUMMYFUNCTION("""COMPUTED_VALUE"""),320.02)</f>
        <v>320.02</v>
      </c>
      <c r="AS402" s="1">
        <f>IFERROR(__xludf.DUMMYFUNCTION("""COMPUTED_VALUE"""),484.42)</f>
        <v>484.42</v>
      </c>
      <c r="AT402" s="1">
        <f>IFERROR(__xludf.DUMMYFUNCTION("""COMPUTED_VALUE"""),206.29)</f>
        <v>206.29</v>
      </c>
      <c r="AU402" s="1">
        <f>IFERROR(__xludf.DUMMYFUNCTION("""COMPUTED_VALUE"""),35.76)</f>
        <v>35.76</v>
      </c>
      <c r="AV402" s="1">
        <f>IFERROR(__xludf.DUMMYFUNCTION("""COMPUTED_VALUE"""),98.57)</f>
        <v>98.57</v>
      </c>
      <c r="AW402" s="1">
        <f>IFERROR(__xludf.DUMMYFUNCTION("""COMPUTED_VALUE"""),82.61)</f>
        <v>82.61</v>
      </c>
      <c r="AX402" s="1">
        <f>IFERROR(__xludf.DUMMYFUNCTION("""COMPUTED_VALUE"""),53.26)</f>
        <v>53.26</v>
      </c>
      <c r="AY402" s="1">
        <f>IFERROR(__xludf.DUMMYFUNCTION("""COMPUTED_VALUE"""),474.82)</f>
        <v>474.82</v>
      </c>
      <c r="AZ402" s="1">
        <f>IFERROR(__xludf.DUMMYFUNCTION("""COMPUTED_VALUE"""),81.65)</f>
        <v>81.65</v>
      </c>
      <c r="BA402" s="1">
        <f>IFERROR(__xludf.DUMMYFUNCTION("""COMPUTED_VALUE"""),159.99)</f>
        <v>159.99</v>
      </c>
      <c r="BB402" s="1">
        <f>IFERROR(__xludf.DUMMYFUNCTION("""COMPUTED_VALUE"""),176.29)</f>
        <v>176.29</v>
      </c>
      <c r="BC402" s="1">
        <f>IFERROR(__xludf.DUMMYFUNCTION("""COMPUTED_VALUE"""),88.57)</f>
        <v>88.57</v>
      </c>
      <c r="BD402" s="1">
        <f>IFERROR(__xludf.DUMMYFUNCTION("""COMPUTED_VALUE"""),47.79)</f>
        <v>47.79</v>
      </c>
      <c r="BE402" s="1">
        <f>IFERROR(__xludf.DUMMYFUNCTION("""COMPUTED_VALUE"""),183.25)</f>
        <v>183.25</v>
      </c>
      <c r="BF402" s="1">
        <f>IFERROR(__xludf.DUMMYFUNCTION("""COMPUTED_VALUE"""),60.74)</f>
        <v>60.74</v>
      </c>
      <c r="BG402" s="1">
        <f>IFERROR(__xludf.DUMMYFUNCTION("""COMPUTED_VALUE"""),26.43)</f>
        <v>26.43</v>
      </c>
      <c r="BH402" s="1">
        <f>IFERROR(__xludf.DUMMYFUNCTION("""COMPUTED_VALUE"""),182.11)</f>
        <v>182.11</v>
      </c>
      <c r="BI402" s="1">
        <f>IFERROR(__xludf.DUMMYFUNCTION("""COMPUTED_VALUE"""),79.0)</f>
        <v>79</v>
      </c>
      <c r="BJ402" s="1">
        <f>IFERROR(__xludf.DUMMYFUNCTION("""COMPUTED_VALUE"""),196.16)</f>
        <v>196.16</v>
      </c>
      <c r="BK402" s="1">
        <f>IFERROR(__xludf.DUMMYFUNCTION("""COMPUTED_VALUE"""),575.91)</f>
        <v>575.91</v>
      </c>
      <c r="BL402" s="1">
        <f>IFERROR(__xludf.DUMMYFUNCTION("""COMPUTED_VALUE"""),214.81)</f>
        <v>214.81</v>
      </c>
      <c r="BM402" s="1">
        <f>IFERROR(__xludf.DUMMYFUNCTION("""COMPUTED_VALUE"""),123.15)</f>
        <v>123.15</v>
      </c>
      <c r="BN402" s="1">
        <f>IFERROR(__xludf.DUMMYFUNCTION("""COMPUTED_VALUE"""),4.3)</f>
        <v>4.3</v>
      </c>
      <c r="BO402" s="1">
        <f>IFERROR(__xludf.DUMMYFUNCTION("""COMPUTED_VALUE"""),240.47)</f>
        <v>240.47</v>
      </c>
      <c r="BP402" s="1">
        <f>IFERROR(__xludf.DUMMYFUNCTION("""COMPUTED_VALUE"""),341.1)</f>
        <v>341.1</v>
      </c>
      <c r="BQ402" s="36">
        <f>IFERROR(__xludf.DUMMYFUNCTION("""COMPUTED_VALUE"""),50.11)</f>
        <v>50.11</v>
      </c>
      <c r="BR402" s="1">
        <f>IFERROR(__xludf.DUMMYFUNCTION("""COMPUTED_VALUE"""),11.66)</f>
        <v>11.66</v>
      </c>
      <c r="BS402" s="1">
        <f>IFERROR(__xludf.DUMMYFUNCTION("""COMPUTED_VALUE"""),218.32)</f>
        <v>218.32</v>
      </c>
      <c r="BT402" s="1">
        <f>IFERROR(__xludf.DUMMYFUNCTION("""COMPUTED_VALUE"""),110.49)</f>
        <v>110.49</v>
      </c>
      <c r="BU402" s="3">
        <v>1.0</v>
      </c>
    </row>
    <row r="403">
      <c r="A403" s="25">
        <f>IFERROR(__xludf.DUMMYFUNCTION("""COMPUTED_VALUE"""),46007.66666666667)</f>
        <v>46007.66667</v>
      </c>
      <c r="B403" s="29">
        <f>'Master Scratch Work'!B402</f>
        <v>1568209.72</v>
      </c>
      <c r="C403" s="31">
        <f>IFERROR(__xludf.DUMMYFUNCTION("""COMPUTED_VALUE"""),6800.26)</f>
        <v>6800.26</v>
      </c>
      <c r="D403" s="31">
        <f>IFERROR(__xludf.DUMMYFUNCTION("""COMPUTED_VALUE"""),23111.46)</f>
        <v>23111.46</v>
      </c>
      <c r="E403" s="31">
        <f>IFERROR(__xludf.DUMMYFUNCTION("""COMPUTED_VALUE"""),48114.26)</f>
        <v>48114.26</v>
      </c>
      <c r="F403" s="31">
        <f>IFERROR(__xludf.DUMMYFUNCTION("""COMPUTED_VALUE"""),2519.3)</f>
        <v>2519.3</v>
      </c>
      <c r="G403" s="1">
        <f>IFERROR(__xludf.DUMMYFUNCTION("""COMPUTED_VALUE"""),678.87)</f>
        <v>678.87</v>
      </c>
      <c r="H403" s="1">
        <f>IFERROR(__xludf.DUMMYFUNCTION("""COMPUTED_VALUE"""),611.75)</f>
        <v>611.75</v>
      </c>
      <c r="I403" s="1">
        <f>IFERROR(__xludf.DUMMYFUNCTION("""COMPUTED_VALUE"""),347.89)</f>
        <v>347.89</v>
      </c>
      <c r="J403" s="1">
        <f>IFERROR(__xludf.DUMMYFUNCTION("""COMPUTED_VALUE"""),222.56)</f>
        <v>222.56</v>
      </c>
      <c r="K403" s="1">
        <f>IFERROR(__xludf.DUMMYFUNCTION("""COMPUTED_VALUE"""),132.72)</f>
        <v>132.72</v>
      </c>
      <c r="L403" s="1">
        <f>IFERROR(__xludf.DUMMYFUNCTION("""COMPUTED_VALUE"""),274.61)</f>
        <v>274.61</v>
      </c>
      <c r="M403" s="1">
        <f>IFERROR(__xludf.DUMMYFUNCTION("""COMPUTED_VALUE"""),258.84)</f>
        <v>258.84</v>
      </c>
      <c r="N403" s="1">
        <f>IFERROR(__xludf.DUMMYFUNCTION("""COMPUTED_VALUE"""),114.35)</f>
        <v>114.35</v>
      </c>
      <c r="O403" s="1">
        <f>IFERROR(__xludf.DUMMYFUNCTION("""COMPUTED_VALUE"""),24.26)</f>
        <v>24.26</v>
      </c>
      <c r="P403" s="1">
        <f>IFERROR(__xludf.DUMMYFUNCTION("""COMPUTED_VALUE"""),499.84)</f>
        <v>499.84</v>
      </c>
      <c r="Q403" s="1">
        <f>IFERROR(__xludf.DUMMYFUNCTION("""COMPUTED_VALUE"""),58.62)</f>
        <v>58.62</v>
      </c>
      <c r="R403" s="1">
        <f>IFERROR(__xludf.DUMMYFUNCTION("""COMPUTED_VALUE"""),171.5)</f>
        <v>171.5</v>
      </c>
      <c r="S403" s="1">
        <f>IFERROR(__xludf.DUMMYFUNCTION("""COMPUTED_VALUE"""),92.95)</f>
        <v>92.95</v>
      </c>
      <c r="T403" s="1">
        <f>IFERROR(__xludf.DUMMYFUNCTION("""COMPUTED_VALUE"""),53.44)</f>
        <v>53.44</v>
      </c>
      <c r="U403" s="1">
        <f>IFERROR(__xludf.DUMMYFUNCTION("""COMPUTED_VALUE"""),588.93)</f>
        <v>588.93</v>
      </c>
      <c r="V403" s="1">
        <f>IFERROR(__xludf.DUMMYFUNCTION("""COMPUTED_VALUE"""),87.05)</f>
        <v>87.05</v>
      </c>
      <c r="W403" s="1">
        <f>IFERROR(__xludf.DUMMYFUNCTION("""COMPUTED_VALUE"""),188.19)</f>
        <v>188.19</v>
      </c>
      <c r="X403" s="1">
        <f>IFERROR(__xludf.DUMMYFUNCTION("""COMPUTED_VALUE"""),146.75)</f>
        <v>146.75</v>
      </c>
      <c r="Y403" s="1">
        <f>IFERROR(__xludf.DUMMYFUNCTION("""COMPUTED_VALUE"""),276.11)</f>
        <v>276.11</v>
      </c>
      <c r="Z403" s="1">
        <f>IFERROR(__xludf.DUMMYFUNCTION("""COMPUTED_VALUE"""),58.14)</f>
        <v>58.14</v>
      </c>
      <c r="AA403" s="1">
        <f>IFERROR(__xludf.DUMMYFUNCTION("""COMPUTED_VALUE"""),70.37)</f>
        <v>70.37</v>
      </c>
      <c r="AB403" s="1">
        <f>IFERROR(__xludf.DUMMYFUNCTION("""COMPUTED_VALUE"""),98.9)</f>
        <v>98.9</v>
      </c>
      <c r="AC403" s="1">
        <f>IFERROR(__xludf.DUMMYFUNCTION("""COMPUTED_VALUE"""),150.28)</f>
        <v>150.28</v>
      </c>
      <c r="AD403" s="1">
        <f>IFERROR(__xludf.DUMMYFUNCTION("""COMPUTED_VALUE"""),131.15)</f>
        <v>131.15</v>
      </c>
      <c r="AE403" s="1">
        <f>IFERROR(__xludf.DUMMYFUNCTION("""COMPUTED_VALUE"""),433.9)</f>
        <v>433.9</v>
      </c>
      <c r="AF403" s="1">
        <f>IFERROR(__xludf.DUMMYFUNCTION("""COMPUTED_VALUE"""),81.67)</f>
        <v>81.67</v>
      </c>
      <c r="AG403" s="1">
        <f>IFERROR(__xludf.DUMMYFUNCTION("""COMPUTED_VALUE"""),114.68)</f>
        <v>114.68</v>
      </c>
      <c r="AH403" s="1">
        <f>IFERROR(__xludf.DUMMYFUNCTION("""COMPUTED_VALUE"""),282.46)</f>
        <v>282.46</v>
      </c>
      <c r="AI403" s="1">
        <f>IFERROR(__xludf.DUMMYFUNCTION("""COMPUTED_VALUE"""),370.42)</f>
        <v>370.42</v>
      </c>
      <c r="AJ403" s="1">
        <f>IFERROR(__xludf.DUMMYFUNCTION("""COMPUTED_VALUE"""),337.49)</f>
        <v>337.49</v>
      </c>
      <c r="AK403" s="1">
        <f>IFERROR(__xludf.DUMMYFUNCTION("""COMPUTED_VALUE"""),81.76)</f>
        <v>81.76</v>
      </c>
      <c r="AL403" s="1">
        <f>IFERROR(__xludf.DUMMYFUNCTION("""COMPUTED_VALUE"""),118.78)</f>
        <v>118.78</v>
      </c>
      <c r="AM403" s="1">
        <f>IFERROR(__xludf.DUMMYFUNCTION("""COMPUTED_VALUE"""),879.15)</f>
        <v>879.15</v>
      </c>
      <c r="AN403" s="1">
        <f>IFERROR(__xludf.DUMMYFUNCTION("""COMPUTED_VALUE"""),352.68)</f>
        <v>352.68</v>
      </c>
      <c r="AO403" s="1">
        <f>IFERROR(__xludf.DUMMYFUNCTION("""COMPUTED_VALUE"""),179.14)</f>
        <v>179.14</v>
      </c>
      <c r="AP403" s="1">
        <f>IFERROR(__xludf.DUMMYFUNCTION("""COMPUTED_VALUE"""),160.05)</f>
        <v>160.05</v>
      </c>
      <c r="AQ403" s="1">
        <f>IFERROR(__xludf.DUMMYFUNCTION("""COMPUTED_VALUE"""),554.58)</f>
        <v>554.58</v>
      </c>
      <c r="AR403" s="1">
        <f>IFERROR(__xludf.DUMMYFUNCTION("""COMPUTED_VALUE"""),315.55)</f>
        <v>315.55</v>
      </c>
      <c r="AS403" s="1">
        <f>IFERROR(__xludf.DUMMYFUNCTION("""COMPUTED_VALUE"""),477.06)</f>
        <v>477.06</v>
      </c>
      <c r="AT403" s="1">
        <f>IFERROR(__xludf.DUMMYFUNCTION("""COMPUTED_VALUE"""),206.74)</f>
        <v>206.74</v>
      </c>
      <c r="AU403" s="1">
        <f>IFERROR(__xludf.DUMMYFUNCTION("""COMPUTED_VALUE"""),35.92)</f>
        <v>35.92</v>
      </c>
      <c r="AV403" s="1">
        <f>IFERROR(__xludf.DUMMYFUNCTION("""COMPUTED_VALUE"""),97.72)</f>
        <v>97.72</v>
      </c>
      <c r="AW403" s="1">
        <f>IFERROR(__xludf.DUMMYFUNCTION("""COMPUTED_VALUE"""),82.28)</f>
        <v>82.28</v>
      </c>
      <c r="AX403" s="1">
        <f>IFERROR(__xludf.DUMMYFUNCTION("""COMPUTED_VALUE"""),53.42)</f>
        <v>53.42</v>
      </c>
      <c r="AY403" s="1">
        <f>IFERROR(__xludf.DUMMYFUNCTION("""COMPUTED_VALUE"""),476.39)</f>
        <v>476.39</v>
      </c>
      <c r="AZ403" s="1">
        <f>IFERROR(__xludf.DUMMYFUNCTION("""COMPUTED_VALUE"""),81.32)</f>
        <v>81.32</v>
      </c>
      <c r="BA403" s="1">
        <f>IFERROR(__xludf.DUMMYFUNCTION("""COMPUTED_VALUE"""),160.15)</f>
        <v>160.15</v>
      </c>
      <c r="BB403" s="1">
        <f>IFERROR(__xludf.DUMMYFUNCTION("""COMPUTED_VALUE"""),177.72)</f>
        <v>177.72</v>
      </c>
      <c r="BC403" s="1">
        <f>IFERROR(__xludf.DUMMYFUNCTION("""COMPUTED_VALUE"""),87.96)</f>
        <v>87.96</v>
      </c>
      <c r="BD403" s="1">
        <f>IFERROR(__xludf.DUMMYFUNCTION("""COMPUTED_VALUE"""),48.29)</f>
        <v>48.29</v>
      </c>
      <c r="BE403" s="1">
        <f>IFERROR(__xludf.DUMMYFUNCTION("""COMPUTED_VALUE"""),187.75)</f>
        <v>187.75</v>
      </c>
      <c r="BF403" s="1">
        <f>IFERROR(__xludf.DUMMYFUNCTION("""COMPUTED_VALUE"""),61.33)</f>
        <v>61.33</v>
      </c>
      <c r="BG403" s="1">
        <f>IFERROR(__xludf.DUMMYFUNCTION("""COMPUTED_VALUE"""),25.53)</f>
        <v>25.53</v>
      </c>
      <c r="BH403" s="1">
        <f>IFERROR(__xludf.DUMMYFUNCTION("""COMPUTED_VALUE"""),179.93)</f>
        <v>179.93</v>
      </c>
      <c r="BI403" s="1">
        <f>IFERROR(__xludf.DUMMYFUNCTION("""COMPUTED_VALUE"""),77.56)</f>
        <v>77.56</v>
      </c>
      <c r="BJ403" s="1">
        <f>IFERROR(__xludf.DUMMYFUNCTION("""COMPUTED_VALUE"""),198.0)</f>
        <v>198</v>
      </c>
      <c r="BK403" s="1">
        <f>IFERROR(__xludf.DUMMYFUNCTION("""COMPUTED_VALUE"""),570.16)</f>
        <v>570.16</v>
      </c>
      <c r="BL403" s="1">
        <f>IFERROR(__xludf.DUMMYFUNCTION("""COMPUTED_VALUE"""),214.42)</f>
        <v>214.42</v>
      </c>
      <c r="BM403" s="1">
        <f>IFERROR(__xludf.DUMMYFUNCTION("""COMPUTED_VALUE"""),125.04)</f>
        <v>125.04</v>
      </c>
      <c r="BN403" s="1">
        <f>IFERROR(__xludf.DUMMYFUNCTION("""COMPUTED_VALUE"""),4.35)</f>
        <v>4.35</v>
      </c>
      <c r="BO403" s="1">
        <f>IFERROR(__xludf.DUMMYFUNCTION("""COMPUTED_VALUE"""),235.88)</f>
        <v>235.88</v>
      </c>
      <c r="BP403" s="1">
        <f>IFERROR(__xludf.DUMMYFUNCTION("""COMPUTED_VALUE"""),334.2)</f>
        <v>334.2</v>
      </c>
      <c r="BQ403" s="36">
        <f>IFERROR(__xludf.DUMMYFUNCTION("""COMPUTED_VALUE"""),50.09)</f>
        <v>50.09</v>
      </c>
      <c r="BR403" s="1">
        <f>IFERROR(__xludf.DUMMYFUNCTION("""COMPUTED_VALUE"""),11.46)</f>
        <v>11.46</v>
      </c>
      <c r="BS403" s="1">
        <f>IFERROR(__xludf.DUMMYFUNCTION("""COMPUTED_VALUE"""),218.9)</f>
        <v>218.9</v>
      </c>
      <c r="BT403" s="1">
        <f>IFERROR(__xludf.DUMMYFUNCTION("""COMPUTED_VALUE"""),111.62)</f>
        <v>111.62</v>
      </c>
      <c r="BU403" s="3">
        <v>1.0</v>
      </c>
    </row>
    <row r="404">
      <c r="A404" s="25">
        <f>IFERROR(__xludf.DUMMYFUNCTION("""COMPUTED_VALUE"""),46008.66666666667)</f>
        <v>46008.66667</v>
      </c>
      <c r="B404" s="29">
        <f>'Master Scratch Work'!B403</f>
        <v>1557759.5</v>
      </c>
      <c r="C404" s="31">
        <f>IFERROR(__xludf.DUMMYFUNCTION("""COMPUTED_VALUE"""),6721.43)</f>
        <v>6721.43</v>
      </c>
      <c r="D404" s="31">
        <f>IFERROR(__xludf.DUMMYFUNCTION("""COMPUTED_VALUE"""),22693.32)</f>
        <v>22693.32</v>
      </c>
      <c r="E404" s="31">
        <f>IFERROR(__xludf.DUMMYFUNCTION("""COMPUTED_VALUE"""),47885.97)</f>
        <v>47885.97</v>
      </c>
      <c r="F404" s="31">
        <f>IFERROR(__xludf.DUMMYFUNCTION("""COMPUTED_VALUE"""),2492.29)</f>
        <v>2492.29</v>
      </c>
      <c r="G404" s="1">
        <f>IFERROR(__xludf.DUMMYFUNCTION("""COMPUTED_VALUE"""),671.4)</f>
        <v>671.4</v>
      </c>
      <c r="H404" s="1">
        <f>IFERROR(__xludf.DUMMYFUNCTION("""COMPUTED_VALUE"""),600.41)</f>
        <v>600.41</v>
      </c>
      <c r="I404" s="1">
        <f>IFERROR(__xludf.DUMMYFUNCTION("""COMPUTED_VALUE"""),354.66)</f>
        <v>354.66</v>
      </c>
      <c r="J404" s="1">
        <f>IFERROR(__xludf.DUMMYFUNCTION("""COMPUTED_VALUE"""),221.27)</f>
        <v>221.27</v>
      </c>
      <c r="K404" s="1">
        <f>IFERROR(__xludf.DUMMYFUNCTION("""COMPUTED_VALUE"""),134.01)</f>
        <v>134.01</v>
      </c>
      <c r="L404" s="1">
        <f>IFERROR(__xludf.DUMMYFUNCTION("""COMPUTED_VALUE"""),271.84)</f>
        <v>271.84</v>
      </c>
      <c r="M404" s="1">
        <f>IFERROR(__xludf.DUMMYFUNCTION("""COMPUTED_VALUE"""),248.27)</f>
        <v>248.27</v>
      </c>
      <c r="N404" s="1">
        <f>IFERROR(__xludf.DUMMYFUNCTION("""COMPUTED_VALUE"""),113.56)</f>
        <v>113.56</v>
      </c>
      <c r="O404" s="1">
        <f>IFERROR(__xludf.DUMMYFUNCTION("""COMPUTED_VALUE"""),24.37)</f>
        <v>24.37</v>
      </c>
      <c r="P404" s="1">
        <f>IFERROR(__xludf.DUMMYFUNCTION("""COMPUTED_VALUE"""),504.27)</f>
        <v>504.27</v>
      </c>
      <c r="Q404" s="1">
        <f>IFERROR(__xludf.DUMMYFUNCTION("""COMPUTED_VALUE"""),59.05)</f>
        <v>59.05</v>
      </c>
      <c r="R404" s="1">
        <f>IFERROR(__xludf.DUMMYFUNCTION("""COMPUTED_VALUE"""),172.1)</f>
        <v>172.1</v>
      </c>
      <c r="S404" s="1">
        <f>IFERROR(__xludf.DUMMYFUNCTION("""COMPUTED_VALUE"""),94.48)</f>
        <v>94.48</v>
      </c>
      <c r="T404" s="1">
        <f>IFERROR(__xludf.DUMMYFUNCTION("""COMPUTED_VALUE"""),52.4)</f>
        <v>52.4</v>
      </c>
      <c r="U404" s="1">
        <f>IFERROR(__xludf.DUMMYFUNCTION("""COMPUTED_VALUE"""),561.89)</f>
        <v>561.89</v>
      </c>
      <c r="V404" s="1">
        <f>IFERROR(__xludf.DUMMYFUNCTION("""COMPUTED_VALUE"""),84.85)</f>
        <v>84.85</v>
      </c>
      <c r="W404" s="1">
        <f>IFERROR(__xludf.DUMMYFUNCTION("""COMPUTED_VALUE"""),187.34)</f>
        <v>187.34</v>
      </c>
      <c r="X404" s="1">
        <f>IFERROR(__xludf.DUMMYFUNCTION("""COMPUTED_VALUE"""),149.52)</f>
        <v>149.52</v>
      </c>
      <c r="Y404" s="1">
        <f>IFERROR(__xludf.DUMMYFUNCTION("""COMPUTED_VALUE"""),273.84)</f>
        <v>273.84</v>
      </c>
      <c r="Z404" s="1">
        <f>IFERROR(__xludf.DUMMYFUNCTION("""COMPUTED_VALUE"""),58.61)</f>
        <v>58.61</v>
      </c>
      <c r="AA404" s="1">
        <f>IFERROR(__xludf.DUMMYFUNCTION("""COMPUTED_VALUE"""),70.67)</f>
        <v>70.67</v>
      </c>
      <c r="AB404" s="1">
        <f>IFERROR(__xludf.DUMMYFUNCTION("""COMPUTED_VALUE"""),100.21)</f>
        <v>100.21</v>
      </c>
      <c r="AC404" s="1">
        <f>IFERROR(__xludf.DUMMYFUNCTION("""COMPUTED_VALUE"""),148.39)</f>
        <v>148.39</v>
      </c>
      <c r="AD404" s="1">
        <f>IFERROR(__xludf.DUMMYFUNCTION("""COMPUTED_VALUE"""),128.35)</f>
        <v>128.35</v>
      </c>
      <c r="AE404" s="1">
        <f>IFERROR(__xludf.DUMMYFUNCTION("""COMPUTED_VALUE"""),438.42)</f>
        <v>438.42</v>
      </c>
      <c r="AF404" s="1">
        <f>IFERROR(__xludf.DUMMYFUNCTION("""COMPUTED_VALUE"""),82.71)</f>
        <v>82.71</v>
      </c>
      <c r="AG404" s="1">
        <f>IFERROR(__xludf.DUMMYFUNCTION("""COMPUTED_VALUE"""),117.41)</f>
        <v>117.41</v>
      </c>
      <c r="AH404" s="1">
        <f>IFERROR(__xludf.DUMMYFUNCTION("""COMPUTED_VALUE"""),282.21)</f>
        <v>282.21</v>
      </c>
      <c r="AI404" s="1">
        <f>IFERROR(__xludf.DUMMYFUNCTION("""COMPUTED_VALUE"""),365.51)</f>
        <v>365.51</v>
      </c>
      <c r="AJ404" s="1">
        <f>IFERROR(__xludf.DUMMYFUNCTION("""COMPUTED_VALUE"""),336.41)</f>
        <v>336.41</v>
      </c>
      <c r="AK404" s="1">
        <f>IFERROR(__xludf.DUMMYFUNCTION("""COMPUTED_VALUE"""),80.51)</f>
        <v>80.51</v>
      </c>
      <c r="AL404" s="1">
        <f>IFERROR(__xludf.DUMMYFUNCTION("""COMPUTED_VALUE"""),121.36)</f>
        <v>121.36</v>
      </c>
      <c r="AM404" s="1">
        <f>IFERROR(__xludf.DUMMYFUNCTION("""COMPUTED_VALUE"""),872.33)</f>
        <v>872.33</v>
      </c>
      <c r="AN404" s="1">
        <f>IFERROR(__xludf.DUMMYFUNCTION("""COMPUTED_VALUE"""),356.75)</f>
        <v>356.75</v>
      </c>
      <c r="AO404" s="1">
        <f>IFERROR(__xludf.DUMMYFUNCTION("""COMPUTED_VALUE"""),179.7)</f>
        <v>179.7</v>
      </c>
      <c r="AP404" s="1">
        <f>IFERROR(__xludf.DUMMYFUNCTION("""COMPUTED_VALUE"""),160.86)</f>
        <v>160.86</v>
      </c>
      <c r="AQ404" s="1">
        <f>IFERROR(__xludf.DUMMYFUNCTION("""COMPUTED_VALUE"""),556.86)</f>
        <v>556.86</v>
      </c>
      <c r="AR404" s="1">
        <f>IFERROR(__xludf.DUMMYFUNCTION("""COMPUTED_VALUE"""),314.98)</f>
        <v>314.98</v>
      </c>
      <c r="AS404" s="1">
        <f>IFERROR(__xludf.DUMMYFUNCTION("""COMPUTED_VALUE"""),474.79)</f>
        <v>474.79</v>
      </c>
      <c r="AT404" s="1">
        <f>IFERROR(__xludf.DUMMYFUNCTION("""COMPUTED_VALUE"""),207.87)</f>
        <v>207.87</v>
      </c>
      <c r="AU404" s="1">
        <f>IFERROR(__xludf.DUMMYFUNCTION("""COMPUTED_VALUE"""),35.63)</f>
        <v>35.63</v>
      </c>
      <c r="AV404" s="1">
        <f>IFERROR(__xludf.DUMMYFUNCTION("""COMPUTED_VALUE"""),98.3)</f>
        <v>98.3</v>
      </c>
      <c r="AW404" s="1">
        <f>IFERROR(__xludf.DUMMYFUNCTION("""COMPUTED_VALUE"""),82.53)</f>
        <v>82.53</v>
      </c>
      <c r="AX404" s="1">
        <f>IFERROR(__xludf.DUMMYFUNCTION("""COMPUTED_VALUE"""),52.03)</f>
        <v>52.03</v>
      </c>
      <c r="AY404" s="1">
        <f>IFERROR(__xludf.DUMMYFUNCTION("""COMPUTED_VALUE"""),476.12)</f>
        <v>476.12</v>
      </c>
      <c r="AZ404" s="1">
        <f>IFERROR(__xludf.DUMMYFUNCTION("""COMPUTED_VALUE"""),80.29)</f>
        <v>80.29</v>
      </c>
      <c r="BA404" s="1">
        <f>IFERROR(__xludf.DUMMYFUNCTION("""COMPUTED_VALUE"""),149.48)</f>
        <v>149.48</v>
      </c>
      <c r="BB404" s="1">
        <f>IFERROR(__xludf.DUMMYFUNCTION("""COMPUTED_VALUE"""),170.94)</f>
        <v>170.94</v>
      </c>
      <c r="BC404" s="1">
        <f>IFERROR(__xludf.DUMMYFUNCTION("""COMPUTED_VALUE"""),89.0)</f>
        <v>89</v>
      </c>
      <c r="BD404" s="1">
        <f>IFERROR(__xludf.DUMMYFUNCTION("""COMPUTED_VALUE"""),48.1)</f>
        <v>48.1</v>
      </c>
      <c r="BE404" s="1">
        <f>IFERROR(__xludf.DUMMYFUNCTION("""COMPUTED_VALUE"""),177.29)</f>
        <v>177.29</v>
      </c>
      <c r="BF404" s="1">
        <f>IFERROR(__xludf.DUMMYFUNCTION("""COMPUTED_VALUE"""),60.18)</f>
        <v>60.18</v>
      </c>
      <c r="BG404" s="1">
        <f>IFERROR(__xludf.DUMMYFUNCTION("""COMPUTED_VALUE"""),25.04)</f>
        <v>25.04</v>
      </c>
      <c r="BH404" s="1">
        <f>IFERROR(__xludf.DUMMYFUNCTION("""COMPUTED_VALUE"""),177.2)</f>
        <v>177.2</v>
      </c>
      <c r="BI404" s="1">
        <f>IFERROR(__xludf.DUMMYFUNCTION("""COMPUTED_VALUE"""),76.74)</f>
        <v>76.74</v>
      </c>
      <c r="BJ404" s="1">
        <f>IFERROR(__xludf.DUMMYFUNCTION("""COMPUTED_VALUE"""),199.38)</f>
        <v>199.38</v>
      </c>
      <c r="BK404" s="1">
        <f>IFERROR(__xludf.DUMMYFUNCTION("""COMPUTED_VALUE"""),562.56)</f>
        <v>562.56</v>
      </c>
      <c r="BL404" s="1">
        <f>IFERROR(__xludf.DUMMYFUNCTION("""COMPUTED_VALUE"""),214.24)</f>
        <v>214.24</v>
      </c>
      <c r="BM404" s="1">
        <f>IFERROR(__xludf.DUMMYFUNCTION("""COMPUTED_VALUE"""),121.93)</f>
        <v>121.93</v>
      </c>
      <c r="BN404" s="1">
        <f>IFERROR(__xludf.DUMMYFUNCTION("""COMPUTED_VALUE"""),4.37)</f>
        <v>4.37</v>
      </c>
      <c r="BO404" s="1">
        <f>IFERROR(__xludf.DUMMYFUNCTION("""COMPUTED_VALUE"""),236.74)</f>
        <v>236.74</v>
      </c>
      <c r="BP404" s="1">
        <f>IFERROR(__xludf.DUMMYFUNCTION("""COMPUTED_VALUE"""),331.63)</f>
        <v>331.63</v>
      </c>
      <c r="BQ404" s="36">
        <f>IFERROR(__xludf.DUMMYFUNCTION("""COMPUTED_VALUE"""),50.12)</f>
        <v>50.12</v>
      </c>
      <c r="BR404" s="1">
        <f>IFERROR(__xludf.DUMMYFUNCTION("""COMPUTED_VALUE"""),11.7)</f>
        <v>11.7</v>
      </c>
      <c r="BS404" s="1">
        <f>IFERROR(__xludf.DUMMYFUNCTION("""COMPUTED_VALUE"""),219.77)</f>
        <v>219.77</v>
      </c>
      <c r="BT404" s="1">
        <f>IFERROR(__xludf.DUMMYFUNCTION("""COMPUTED_VALUE"""),110.63)</f>
        <v>110.63</v>
      </c>
      <c r="BU404" s="3">
        <v>1.0</v>
      </c>
    </row>
    <row r="405">
      <c r="A405" s="25">
        <f>IFERROR(__xludf.DUMMYFUNCTION("""COMPUTED_VALUE"""),46009.66666666667)</f>
        <v>46009.66667</v>
      </c>
      <c r="B405" s="29">
        <f>'Master Scratch Work'!B404</f>
        <v>1563402.28</v>
      </c>
      <c r="C405" s="31">
        <f>IFERROR(__xludf.DUMMYFUNCTION("""COMPUTED_VALUE"""),6774.76)</f>
        <v>6774.76</v>
      </c>
      <c r="D405" s="31">
        <f>IFERROR(__xludf.DUMMYFUNCTION("""COMPUTED_VALUE"""),23006.36)</f>
        <v>23006.36</v>
      </c>
      <c r="E405" s="31">
        <f>IFERROR(__xludf.DUMMYFUNCTION("""COMPUTED_VALUE"""),47951.85)</f>
        <v>47951.85</v>
      </c>
      <c r="F405" s="31">
        <f>IFERROR(__xludf.DUMMYFUNCTION("""COMPUTED_VALUE"""),2507.87)</f>
        <v>2507.87</v>
      </c>
      <c r="G405" s="1">
        <f>IFERROR(__xludf.DUMMYFUNCTION("""COMPUTED_VALUE"""),676.47)</f>
        <v>676.47</v>
      </c>
      <c r="H405" s="1">
        <f>IFERROR(__xludf.DUMMYFUNCTION("""COMPUTED_VALUE"""),609.11)</f>
        <v>609.11</v>
      </c>
      <c r="I405" s="1">
        <f>IFERROR(__xludf.DUMMYFUNCTION("""COMPUTED_VALUE"""),355.81)</f>
        <v>355.81</v>
      </c>
      <c r="J405" s="1">
        <f>IFERROR(__xludf.DUMMYFUNCTION("""COMPUTED_VALUE"""),226.76)</f>
        <v>226.76</v>
      </c>
      <c r="K405" s="1">
        <f>IFERROR(__xludf.DUMMYFUNCTION("""COMPUTED_VALUE"""),133.02)</f>
        <v>133.02</v>
      </c>
      <c r="L405" s="1">
        <f>IFERROR(__xludf.DUMMYFUNCTION("""COMPUTED_VALUE"""),272.19)</f>
        <v>272.19</v>
      </c>
      <c r="M405" s="1">
        <f>IFERROR(__xludf.DUMMYFUNCTION("""COMPUTED_VALUE"""),253.5)</f>
        <v>253.5</v>
      </c>
      <c r="N405" s="1">
        <f>IFERROR(__xludf.DUMMYFUNCTION("""COMPUTED_VALUE"""),114.45)</f>
        <v>114.45</v>
      </c>
      <c r="O405" s="1">
        <f>IFERROR(__xludf.DUMMYFUNCTION("""COMPUTED_VALUE"""),24.79)</f>
        <v>24.79</v>
      </c>
      <c r="P405" s="1">
        <f>IFERROR(__xludf.DUMMYFUNCTION("""COMPUTED_VALUE"""),503.39)</f>
        <v>503.39</v>
      </c>
      <c r="Q405" s="1">
        <f>IFERROR(__xludf.DUMMYFUNCTION("""COMPUTED_VALUE"""),59.27)</f>
        <v>59.27</v>
      </c>
      <c r="R405" s="1">
        <f>IFERROR(__xludf.DUMMYFUNCTION("""COMPUTED_VALUE"""),169.91)</f>
        <v>169.91</v>
      </c>
      <c r="S405" s="1">
        <f>IFERROR(__xludf.DUMMYFUNCTION("""COMPUTED_VALUE"""),96.11)</f>
        <v>96.11</v>
      </c>
      <c r="T405" s="1">
        <f>IFERROR(__xludf.DUMMYFUNCTION("""COMPUTED_VALUE"""),53.2)</f>
        <v>53.2</v>
      </c>
      <c r="U405" s="1">
        <f>IFERROR(__xludf.DUMMYFUNCTION("""COMPUTED_VALUE"""),565.83)</f>
        <v>565.83</v>
      </c>
      <c r="V405" s="1">
        <f>IFERROR(__xludf.DUMMYFUNCTION("""COMPUTED_VALUE"""),87.58)</f>
        <v>87.58</v>
      </c>
      <c r="W405" s="1">
        <f>IFERROR(__xludf.DUMMYFUNCTION("""COMPUTED_VALUE"""),188.0)</f>
        <v>188</v>
      </c>
      <c r="X405" s="1">
        <f>IFERROR(__xludf.DUMMYFUNCTION("""COMPUTED_VALUE"""),147.69)</f>
        <v>147.69</v>
      </c>
      <c r="Y405" s="1">
        <f>IFERROR(__xludf.DUMMYFUNCTION("""COMPUTED_VALUE"""),274.0)</f>
        <v>274</v>
      </c>
      <c r="Z405" s="1">
        <f>IFERROR(__xludf.DUMMYFUNCTION("""COMPUTED_VALUE"""),58.41)</f>
        <v>58.41</v>
      </c>
      <c r="AA405" s="1">
        <f>IFERROR(__xludf.DUMMYFUNCTION("""COMPUTED_VALUE"""),70.36)</f>
        <v>70.36</v>
      </c>
      <c r="AB405" s="1">
        <f>IFERROR(__xludf.DUMMYFUNCTION("""COMPUTED_VALUE"""),99.99)</f>
        <v>99.99</v>
      </c>
      <c r="AC405" s="1">
        <f>IFERROR(__xludf.DUMMYFUNCTION("""COMPUTED_VALUE"""),147.93)</f>
        <v>147.93</v>
      </c>
      <c r="AD405" s="1">
        <f>IFERROR(__xludf.DUMMYFUNCTION("""COMPUTED_VALUE"""),126.9)</f>
        <v>126.9</v>
      </c>
      <c r="AE405" s="1">
        <f>IFERROR(__xludf.DUMMYFUNCTION("""COMPUTED_VALUE"""),431.37)</f>
        <v>431.37</v>
      </c>
      <c r="AF405" s="1">
        <f>IFERROR(__xludf.DUMMYFUNCTION("""COMPUTED_VALUE"""),83.66)</f>
        <v>83.66</v>
      </c>
      <c r="AG405" s="1">
        <f>IFERROR(__xludf.DUMMYFUNCTION("""COMPUTED_VALUE"""),116.54)</f>
        <v>116.54</v>
      </c>
      <c r="AH405" s="1">
        <f>IFERROR(__xludf.DUMMYFUNCTION("""COMPUTED_VALUE"""),287.12)</f>
        <v>287.12</v>
      </c>
      <c r="AI405" s="1">
        <f>IFERROR(__xludf.DUMMYFUNCTION("""COMPUTED_VALUE"""),372.65)</f>
        <v>372.65</v>
      </c>
      <c r="AJ405" s="1">
        <f>IFERROR(__xludf.DUMMYFUNCTION("""COMPUTED_VALUE"""),337.34)</f>
        <v>337.34</v>
      </c>
      <c r="AK405" s="1">
        <f>IFERROR(__xludf.DUMMYFUNCTION("""COMPUTED_VALUE"""),81.17)</f>
        <v>81.17</v>
      </c>
      <c r="AL405" s="1">
        <f>IFERROR(__xludf.DUMMYFUNCTION("""COMPUTED_VALUE"""),121.47)</f>
        <v>121.47</v>
      </c>
      <c r="AM405" s="1">
        <f>IFERROR(__xludf.DUMMYFUNCTION("""COMPUTED_VALUE"""),876.3)</f>
        <v>876.3</v>
      </c>
      <c r="AN405" s="1">
        <f>IFERROR(__xludf.DUMMYFUNCTION("""COMPUTED_VALUE"""),354.99)</f>
        <v>354.99</v>
      </c>
      <c r="AO405" s="1">
        <f>IFERROR(__xludf.DUMMYFUNCTION("""COMPUTED_VALUE"""),178.7)</f>
        <v>178.7</v>
      </c>
      <c r="AP405" s="1">
        <f>IFERROR(__xludf.DUMMYFUNCTION("""COMPUTED_VALUE"""),160.07)</f>
        <v>160.07</v>
      </c>
      <c r="AQ405" s="1">
        <f>IFERROR(__xludf.DUMMYFUNCTION("""COMPUTED_VALUE"""),561.89)</f>
        <v>561.89</v>
      </c>
      <c r="AR405" s="1">
        <f>IFERROR(__xludf.DUMMYFUNCTION("""COMPUTED_VALUE"""),313.0)</f>
        <v>313</v>
      </c>
      <c r="AS405" s="1">
        <f>IFERROR(__xludf.DUMMYFUNCTION("""COMPUTED_VALUE"""),470.14)</f>
        <v>470.14</v>
      </c>
      <c r="AT405" s="1">
        <f>IFERROR(__xludf.DUMMYFUNCTION("""COMPUTED_VALUE"""),215.11)</f>
        <v>215.11</v>
      </c>
      <c r="AU405" s="1">
        <f>IFERROR(__xludf.DUMMYFUNCTION("""COMPUTED_VALUE"""),36.17)</f>
        <v>36.17</v>
      </c>
      <c r="AV405" s="1">
        <f>IFERROR(__xludf.DUMMYFUNCTION("""COMPUTED_VALUE"""),98.48)</f>
        <v>98.48</v>
      </c>
      <c r="AW405" s="1">
        <f>IFERROR(__xludf.DUMMYFUNCTION("""COMPUTED_VALUE"""),81.71)</f>
        <v>81.71</v>
      </c>
      <c r="AX405" s="1">
        <f>IFERROR(__xludf.DUMMYFUNCTION("""COMPUTED_VALUE"""),52.04)</f>
        <v>52.04</v>
      </c>
      <c r="AY405" s="1">
        <f>IFERROR(__xludf.DUMMYFUNCTION("""COMPUTED_VALUE"""),483.98)</f>
        <v>483.98</v>
      </c>
      <c r="AZ405" s="1">
        <f>IFERROR(__xludf.DUMMYFUNCTION("""COMPUTED_VALUE"""),80.85)</f>
        <v>80.85</v>
      </c>
      <c r="BA405" s="1">
        <f>IFERROR(__xludf.DUMMYFUNCTION("""COMPUTED_VALUE"""),154.64)</f>
        <v>154.64</v>
      </c>
      <c r="BB405" s="1">
        <f>IFERROR(__xludf.DUMMYFUNCTION("""COMPUTED_VALUE"""),174.14)</f>
        <v>174.14</v>
      </c>
      <c r="BC405" s="1">
        <f>IFERROR(__xludf.DUMMYFUNCTION("""COMPUTED_VALUE"""),87.35)</f>
        <v>87.35</v>
      </c>
      <c r="BD405" s="1">
        <f>IFERROR(__xludf.DUMMYFUNCTION("""COMPUTED_VALUE"""),48.46)</f>
        <v>48.46</v>
      </c>
      <c r="BE405" s="1">
        <f>IFERROR(__xludf.DUMMYFUNCTION("""COMPUTED_VALUE"""),185.69)</f>
        <v>185.69</v>
      </c>
      <c r="BF405" s="1">
        <f>IFERROR(__xludf.DUMMYFUNCTION("""COMPUTED_VALUE"""),59.44)</f>
        <v>59.44</v>
      </c>
      <c r="BG405" s="1">
        <f>IFERROR(__xludf.DUMMYFUNCTION("""COMPUTED_VALUE"""),25.04)</f>
        <v>25.04</v>
      </c>
      <c r="BH405" s="1">
        <f>IFERROR(__xludf.DUMMYFUNCTION("""COMPUTED_VALUE"""),178.29)</f>
        <v>178.29</v>
      </c>
      <c r="BI405" s="1">
        <f>IFERROR(__xludf.DUMMYFUNCTION("""COMPUTED_VALUE"""),75.96)</f>
        <v>75.96</v>
      </c>
      <c r="BJ405" s="1">
        <f>IFERROR(__xludf.DUMMYFUNCTION("""COMPUTED_VALUE"""),200.27)</f>
        <v>200.27</v>
      </c>
      <c r="BK405" s="1">
        <f>IFERROR(__xludf.DUMMYFUNCTION("""COMPUTED_VALUE"""),562.39)</f>
        <v>562.39</v>
      </c>
      <c r="BL405" s="1">
        <f>IFERROR(__xludf.DUMMYFUNCTION("""COMPUTED_VALUE"""),216.08)</f>
        <v>216.08</v>
      </c>
      <c r="BM405" s="1">
        <f>IFERROR(__xludf.DUMMYFUNCTION("""COMPUTED_VALUE"""),121.07)</f>
        <v>121.07</v>
      </c>
      <c r="BN405" s="1">
        <f>IFERROR(__xludf.DUMMYFUNCTION("""COMPUTED_VALUE"""),4.54)</f>
        <v>4.54</v>
      </c>
      <c r="BO405" s="1">
        <f>IFERROR(__xludf.DUMMYFUNCTION("""COMPUTED_VALUE"""),234.42)</f>
        <v>234.42</v>
      </c>
      <c r="BP405" s="1">
        <f>IFERROR(__xludf.DUMMYFUNCTION("""COMPUTED_VALUE"""),328.14)</f>
        <v>328.14</v>
      </c>
      <c r="BQ405" s="36">
        <f>IFERROR(__xludf.DUMMYFUNCTION("""COMPUTED_VALUE"""),49.43)</f>
        <v>49.43</v>
      </c>
      <c r="BR405" s="1">
        <f>IFERROR(__xludf.DUMMYFUNCTION("""COMPUTED_VALUE"""),11.94)</f>
        <v>11.94</v>
      </c>
      <c r="BS405" s="1">
        <f>IFERROR(__xludf.DUMMYFUNCTION("""COMPUTED_VALUE"""),218.32)</f>
        <v>218.32</v>
      </c>
      <c r="BT405" s="1">
        <f>IFERROR(__xludf.DUMMYFUNCTION("""COMPUTED_VALUE"""),111.87)</f>
        <v>111.87</v>
      </c>
      <c r="BU405" s="3">
        <v>1.0</v>
      </c>
    </row>
    <row r="406">
      <c r="A406" s="25">
        <f>IFERROR(__xludf.DUMMYFUNCTION("""COMPUTED_VALUE"""),46010.66666666667)</f>
        <v>46010.66667</v>
      </c>
      <c r="B406" s="29">
        <f>'Master Scratch Work'!B405</f>
        <v>1574819.41</v>
      </c>
      <c r="C406" s="31">
        <f>IFERROR(__xludf.DUMMYFUNCTION("""COMPUTED_VALUE"""),6834.5)</f>
        <v>6834.5</v>
      </c>
      <c r="D406" s="31">
        <f>IFERROR(__xludf.DUMMYFUNCTION("""COMPUTED_VALUE"""),23307.62)</f>
        <v>23307.62</v>
      </c>
      <c r="E406" s="31">
        <f>IFERROR(__xludf.DUMMYFUNCTION("""COMPUTED_VALUE"""),48134.89)</f>
        <v>48134.89</v>
      </c>
      <c r="F406" s="31">
        <f>IFERROR(__xludf.DUMMYFUNCTION("""COMPUTED_VALUE"""),2529.42)</f>
        <v>2529.42</v>
      </c>
      <c r="G406" s="1">
        <f>IFERROR(__xludf.DUMMYFUNCTION("""COMPUTED_VALUE"""),680.59)</f>
        <v>680.59</v>
      </c>
      <c r="H406" s="1">
        <f>IFERROR(__xludf.DUMMYFUNCTION("""COMPUTED_VALUE"""),617.05)</f>
        <v>617.05</v>
      </c>
      <c r="I406" s="1">
        <f>IFERROR(__xludf.DUMMYFUNCTION("""COMPUTED_VALUE"""),355.86)</f>
        <v>355.86</v>
      </c>
      <c r="J406" s="1">
        <f>IFERROR(__xludf.DUMMYFUNCTION("""COMPUTED_VALUE"""),227.35)</f>
        <v>227.35</v>
      </c>
      <c r="K406" s="1">
        <f>IFERROR(__xludf.DUMMYFUNCTION("""COMPUTED_VALUE"""),130.25)</f>
        <v>130.25</v>
      </c>
      <c r="L406" s="1">
        <f>IFERROR(__xludf.DUMMYFUNCTION("""COMPUTED_VALUE"""),273.67)</f>
        <v>273.67</v>
      </c>
      <c r="M406" s="1">
        <f>IFERROR(__xludf.DUMMYFUNCTION("""COMPUTED_VALUE"""),256.41)</f>
        <v>256.41</v>
      </c>
      <c r="N406" s="1">
        <f>IFERROR(__xludf.DUMMYFUNCTION("""COMPUTED_VALUE"""),115.84)</f>
        <v>115.84</v>
      </c>
      <c r="O406" s="1">
        <f>IFERROR(__xludf.DUMMYFUNCTION("""COMPUTED_VALUE"""),25.14)</f>
        <v>25.14</v>
      </c>
      <c r="P406" s="1">
        <f>IFERROR(__xludf.DUMMYFUNCTION("""COMPUTED_VALUE"""),494.53)</f>
        <v>494.53</v>
      </c>
      <c r="Q406" s="1">
        <f>IFERROR(__xludf.DUMMYFUNCTION("""COMPUTED_VALUE"""),59.32)</f>
        <v>59.32</v>
      </c>
      <c r="R406" s="1">
        <f>IFERROR(__xludf.DUMMYFUNCTION("""COMPUTED_VALUE"""),174.8)</f>
        <v>174.8</v>
      </c>
      <c r="S406" s="1">
        <f>IFERROR(__xludf.DUMMYFUNCTION("""COMPUTED_VALUE"""),95.61)</f>
        <v>95.61</v>
      </c>
      <c r="T406" s="1">
        <f>IFERROR(__xludf.DUMMYFUNCTION("""COMPUTED_VALUE"""),53.77)</f>
        <v>53.77</v>
      </c>
      <c r="U406" s="1">
        <f>IFERROR(__xludf.DUMMYFUNCTION("""COMPUTED_VALUE"""),576.22)</f>
        <v>576.22</v>
      </c>
      <c r="V406" s="1">
        <f>IFERROR(__xludf.DUMMYFUNCTION("""COMPUTED_VALUE"""),89.99)</f>
        <v>89.99</v>
      </c>
      <c r="W406" s="1">
        <f>IFERROR(__xludf.DUMMYFUNCTION("""COMPUTED_VALUE"""),189.14)</f>
        <v>189.14</v>
      </c>
      <c r="X406" s="1">
        <f>IFERROR(__xludf.DUMMYFUNCTION("""COMPUTED_VALUE"""),147.75)</f>
        <v>147.75</v>
      </c>
      <c r="Y406" s="1">
        <f>IFERROR(__xludf.DUMMYFUNCTION("""COMPUTED_VALUE"""),271.89)</f>
        <v>271.89</v>
      </c>
      <c r="Z406" s="1">
        <f>IFERROR(__xludf.DUMMYFUNCTION("""COMPUTED_VALUE"""),59.19)</f>
        <v>59.19</v>
      </c>
      <c r="AA406" s="1">
        <f>IFERROR(__xludf.DUMMYFUNCTION("""COMPUTED_VALUE"""),70.06)</f>
        <v>70.06</v>
      </c>
      <c r="AB406" s="1">
        <f>IFERROR(__xludf.DUMMYFUNCTION("""COMPUTED_VALUE"""),98.06)</f>
        <v>98.06</v>
      </c>
      <c r="AC406" s="1">
        <f>IFERROR(__xludf.DUMMYFUNCTION("""COMPUTED_VALUE"""),149.99)</f>
        <v>149.99</v>
      </c>
      <c r="AD406" s="1">
        <f>IFERROR(__xludf.DUMMYFUNCTION("""COMPUTED_VALUE"""),127.84)</f>
        <v>127.84</v>
      </c>
      <c r="AE406" s="1">
        <f>IFERROR(__xludf.DUMMYFUNCTION("""COMPUTED_VALUE"""),431.51)</f>
        <v>431.51</v>
      </c>
      <c r="AF406" s="1">
        <f>IFERROR(__xludf.DUMMYFUNCTION("""COMPUTED_VALUE"""),84.66)</f>
        <v>84.66</v>
      </c>
      <c r="AG406" s="1">
        <f>IFERROR(__xludf.DUMMYFUNCTION("""COMPUTED_VALUE"""),116.69)</f>
        <v>116.69</v>
      </c>
      <c r="AH406" s="1">
        <f>IFERROR(__xludf.DUMMYFUNCTION("""COMPUTED_VALUE"""),288.78)</f>
        <v>288.78</v>
      </c>
      <c r="AI406" s="1">
        <f>IFERROR(__xludf.DUMMYFUNCTION("""COMPUTED_VALUE"""),378.29)</f>
        <v>378.29</v>
      </c>
      <c r="AJ406" s="1">
        <f>IFERROR(__xludf.DUMMYFUNCTION("""COMPUTED_VALUE"""),339.36)</f>
        <v>339.36</v>
      </c>
      <c r="AK406" s="1">
        <f>IFERROR(__xludf.DUMMYFUNCTION("""COMPUTED_VALUE"""),82.35)</f>
        <v>82.35</v>
      </c>
      <c r="AL406" s="1">
        <f>IFERROR(__xludf.DUMMYFUNCTION("""COMPUTED_VALUE"""),124.29)</f>
        <v>124.29</v>
      </c>
      <c r="AM406" s="1">
        <f>IFERROR(__xludf.DUMMYFUNCTION("""COMPUTED_VALUE"""),893.48)</f>
        <v>893.48</v>
      </c>
      <c r="AN406" s="1">
        <f>IFERROR(__xludf.DUMMYFUNCTION("""COMPUTED_VALUE"""),345.0)</f>
        <v>345</v>
      </c>
      <c r="AO406" s="1">
        <f>IFERROR(__xludf.DUMMYFUNCTION("""COMPUTED_VALUE"""),180.63)</f>
        <v>180.63</v>
      </c>
      <c r="AP406" s="1">
        <f>IFERROR(__xludf.DUMMYFUNCTION("""COMPUTED_VALUE"""),160.3)</f>
        <v>160.3</v>
      </c>
      <c r="AQ406" s="1">
        <f>IFERROR(__xludf.DUMMYFUNCTION("""COMPUTED_VALUE"""),572.47)</f>
        <v>572.47</v>
      </c>
      <c r="AR406" s="1">
        <f>IFERROR(__xludf.DUMMYFUNCTION("""COMPUTED_VALUE"""),317.21)</f>
        <v>317.21</v>
      </c>
      <c r="AS406" s="1">
        <f>IFERROR(__xludf.DUMMYFUNCTION("""COMPUTED_VALUE"""),474.13)</f>
        <v>474.13</v>
      </c>
      <c r="AT406" s="1">
        <f>IFERROR(__xludf.DUMMYFUNCTION("""COMPUTED_VALUE"""),209.45)</f>
        <v>209.45</v>
      </c>
      <c r="AU406" s="1">
        <f>IFERROR(__xludf.DUMMYFUNCTION("""COMPUTED_VALUE"""),36.16)</f>
        <v>36.16</v>
      </c>
      <c r="AV406" s="1">
        <f>IFERROR(__xludf.DUMMYFUNCTION("""COMPUTED_VALUE"""),98.63)</f>
        <v>98.63</v>
      </c>
      <c r="AW406" s="1">
        <f>IFERROR(__xludf.DUMMYFUNCTION("""COMPUTED_VALUE"""),81.57)</f>
        <v>81.57</v>
      </c>
      <c r="AX406" s="1">
        <f>IFERROR(__xludf.DUMMYFUNCTION("""COMPUTED_VALUE"""),53.97)</f>
        <v>53.97</v>
      </c>
      <c r="AY406" s="1">
        <f>IFERROR(__xludf.DUMMYFUNCTION("""COMPUTED_VALUE"""),485.92)</f>
        <v>485.92</v>
      </c>
      <c r="AZ406" s="1">
        <f>IFERROR(__xludf.DUMMYFUNCTION("""COMPUTED_VALUE"""),79.54)</f>
        <v>79.54</v>
      </c>
      <c r="BA406" s="1">
        <f>IFERROR(__xludf.DUMMYFUNCTION("""COMPUTED_VALUE"""),156.2)</f>
        <v>156.2</v>
      </c>
      <c r="BB406" s="1">
        <f>IFERROR(__xludf.DUMMYFUNCTION("""COMPUTED_VALUE"""),180.99)</f>
        <v>180.99</v>
      </c>
      <c r="BC406" s="1">
        <f>IFERROR(__xludf.DUMMYFUNCTION("""COMPUTED_VALUE"""),87.06)</f>
        <v>87.06</v>
      </c>
      <c r="BD406" s="1">
        <f>IFERROR(__xludf.DUMMYFUNCTION("""COMPUTED_VALUE"""),48.57)</f>
        <v>48.57</v>
      </c>
      <c r="BE406" s="1">
        <f>IFERROR(__xludf.DUMMYFUNCTION("""COMPUTED_VALUE"""),193.38)</f>
        <v>193.38</v>
      </c>
      <c r="BF406" s="1">
        <f>IFERROR(__xludf.DUMMYFUNCTION("""COMPUTED_VALUE"""),59.81)</f>
        <v>59.81</v>
      </c>
      <c r="BG406" s="1">
        <f>IFERROR(__xludf.DUMMYFUNCTION("""COMPUTED_VALUE"""),25.19)</f>
        <v>25.19</v>
      </c>
      <c r="BH406" s="1">
        <f>IFERROR(__xludf.DUMMYFUNCTION("""COMPUTED_VALUE"""),182.01)</f>
        <v>182.01</v>
      </c>
      <c r="BI406" s="1">
        <f>IFERROR(__xludf.DUMMYFUNCTION("""COMPUTED_VALUE"""),78.78)</f>
        <v>78.78</v>
      </c>
      <c r="BJ406" s="1">
        <f>IFERROR(__xludf.DUMMYFUNCTION("""COMPUTED_VALUE"""),196.73)</f>
        <v>196.73</v>
      </c>
      <c r="BK406" s="1">
        <f>IFERROR(__xludf.DUMMYFUNCTION("""COMPUTED_VALUE"""),567.83)</f>
        <v>567.83</v>
      </c>
      <c r="BL406" s="1">
        <f>IFERROR(__xludf.DUMMYFUNCTION("""COMPUTED_VALUE"""),219.38)</f>
        <v>219.38</v>
      </c>
      <c r="BM406" s="1">
        <f>IFERROR(__xludf.DUMMYFUNCTION("""COMPUTED_VALUE"""),127.67)</f>
        <v>127.67</v>
      </c>
      <c r="BN406" s="1">
        <f>IFERROR(__xludf.DUMMYFUNCTION("""COMPUTED_VALUE"""),4.53)</f>
        <v>4.53</v>
      </c>
      <c r="BO406" s="1">
        <f>IFERROR(__xludf.DUMMYFUNCTION("""COMPUTED_VALUE"""),234.23)</f>
        <v>234.23</v>
      </c>
      <c r="BP406" s="1">
        <f>IFERROR(__xludf.DUMMYFUNCTION("""COMPUTED_VALUE"""),327.42)</f>
        <v>327.42</v>
      </c>
      <c r="BQ406" s="36">
        <f>IFERROR(__xludf.DUMMYFUNCTION("""COMPUTED_VALUE"""),49.42)</f>
        <v>49.42</v>
      </c>
      <c r="BR406" s="1">
        <f>IFERROR(__xludf.DUMMYFUNCTION("""COMPUTED_VALUE"""),11.93)</f>
        <v>11.93</v>
      </c>
      <c r="BS406" s="1">
        <f>IFERROR(__xludf.DUMMYFUNCTION("""COMPUTED_VALUE"""),216.34)</f>
        <v>216.34</v>
      </c>
      <c r="BT406" s="1">
        <f>IFERROR(__xludf.DUMMYFUNCTION("""COMPUTED_VALUE"""),111.24)</f>
        <v>111.24</v>
      </c>
      <c r="BU406" s="3">
        <v>1.0</v>
      </c>
    </row>
    <row r="407">
      <c r="A407" s="25">
        <f>IFERROR(__xludf.DUMMYFUNCTION("""COMPUTED_VALUE"""),46013.66666666667)</f>
        <v>46013.66667</v>
      </c>
      <c r="B407" s="29">
        <f>'Master Scratch Work'!B406</f>
        <v>1584070.34</v>
      </c>
      <c r="C407" s="31">
        <f>IFERROR(__xludf.DUMMYFUNCTION("""COMPUTED_VALUE"""),6878.49)</f>
        <v>6878.49</v>
      </c>
      <c r="D407" s="31">
        <f>IFERROR(__xludf.DUMMYFUNCTION("""COMPUTED_VALUE"""),23428.83)</f>
        <v>23428.83</v>
      </c>
      <c r="E407" s="31">
        <f>IFERROR(__xludf.DUMMYFUNCTION("""COMPUTED_VALUE"""),48362.68)</f>
        <v>48362.68</v>
      </c>
      <c r="F407" s="31">
        <f>IFERROR(__xludf.DUMMYFUNCTION("""COMPUTED_VALUE"""),2558.78)</f>
        <v>2558.78</v>
      </c>
      <c r="G407" s="1">
        <f>IFERROR(__xludf.DUMMYFUNCTION("""COMPUTED_VALUE"""),684.83)</f>
        <v>684.83</v>
      </c>
      <c r="H407" s="1">
        <f>IFERROR(__xludf.DUMMYFUNCTION("""COMPUTED_VALUE"""),619.21)</f>
        <v>619.21</v>
      </c>
      <c r="I407" s="1">
        <f>IFERROR(__xludf.DUMMYFUNCTION("""COMPUTED_VALUE"""),357.53)</f>
        <v>357.53</v>
      </c>
      <c r="J407" s="1">
        <f>IFERROR(__xludf.DUMMYFUNCTION("""COMPUTED_VALUE"""),228.43)</f>
        <v>228.43</v>
      </c>
      <c r="K407" s="1">
        <f>IFERROR(__xludf.DUMMYFUNCTION("""COMPUTED_VALUE"""),131.67)</f>
        <v>131.67</v>
      </c>
      <c r="L407" s="1">
        <f>IFERROR(__xludf.DUMMYFUNCTION("""COMPUTED_VALUE"""),270.97)</f>
        <v>270.97</v>
      </c>
      <c r="M407" s="1">
        <f>IFERROR(__xludf.DUMMYFUNCTION("""COMPUTED_VALUE"""),259.01)</f>
        <v>259.01</v>
      </c>
      <c r="N407" s="1">
        <f>IFERROR(__xludf.DUMMYFUNCTION("""COMPUTED_VALUE"""),117.26)</f>
        <v>117.26</v>
      </c>
      <c r="O407" s="1">
        <f>IFERROR(__xludf.DUMMYFUNCTION("""COMPUTED_VALUE"""),25.33)</f>
        <v>25.33</v>
      </c>
      <c r="P407" s="1">
        <f>IFERROR(__xludf.DUMMYFUNCTION("""COMPUTED_VALUE"""),499.95)</f>
        <v>499.95</v>
      </c>
      <c r="Q407" s="1">
        <f>IFERROR(__xludf.DUMMYFUNCTION("""COMPUTED_VALUE"""),60.77)</f>
        <v>60.77</v>
      </c>
      <c r="R407" s="1">
        <f>IFERROR(__xludf.DUMMYFUNCTION("""COMPUTED_VALUE"""),174.7)</f>
        <v>174.7</v>
      </c>
      <c r="S407" s="1">
        <f>IFERROR(__xludf.DUMMYFUNCTION("""COMPUTED_VALUE"""),96.43)</f>
        <v>96.43</v>
      </c>
      <c r="T407" s="1">
        <f>IFERROR(__xludf.DUMMYFUNCTION("""COMPUTED_VALUE"""),53.2)</f>
        <v>53.2</v>
      </c>
      <c r="U407" s="1">
        <f>IFERROR(__xludf.DUMMYFUNCTION("""COMPUTED_VALUE"""),582.41)</f>
        <v>582.41</v>
      </c>
      <c r="V407" s="1">
        <f>IFERROR(__xludf.DUMMYFUNCTION("""COMPUTED_VALUE"""),91.71)</f>
        <v>91.71</v>
      </c>
      <c r="W407" s="1">
        <f>IFERROR(__xludf.DUMMYFUNCTION("""COMPUTED_VALUE"""),190.73)</f>
        <v>190.73</v>
      </c>
      <c r="X407" s="1">
        <f>IFERROR(__xludf.DUMMYFUNCTION("""COMPUTED_VALUE"""),149.8)</f>
        <v>149.8</v>
      </c>
      <c r="Y407" s="1">
        <f>IFERROR(__xludf.DUMMYFUNCTION("""COMPUTED_VALUE"""),275.6)</f>
        <v>275.6</v>
      </c>
      <c r="Z407" s="1">
        <f>IFERROR(__xludf.DUMMYFUNCTION("""COMPUTED_VALUE"""),59.88)</f>
        <v>59.88</v>
      </c>
      <c r="AA407" s="1">
        <f>IFERROR(__xludf.DUMMYFUNCTION("""COMPUTED_VALUE"""),70.21)</f>
        <v>70.21</v>
      </c>
      <c r="AB407" s="1">
        <f>IFERROR(__xludf.DUMMYFUNCTION("""COMPUTED_VALUE"""),98.57)</f>
        <v>98.57</v>
      </c>
      <c r="AC407" s="1">
        <f>IFERROR(__xludf.DUMMYFUNCTION("""COMPUTED_VALUE"""),153.51)</f>
        <v>153.51</v>
      </c>
      <c r="AD407" s="1">
        <f>IFERROR(__xludf.DUMMYFUNCTION("""COMPUTED_VALUE"""),122.49)</f>
        <v>122.49</v>
      </c>
      <c r="AE407" s="1">
        <f>IFERROR(__xludf.DUMMYFUNCTION("""COMPUTED_VALUE"""),427.89)</f>
        <v>427.89</v>
      </c>
      <c r="AF407" s="1">
        <f>IFERROR(__xludf.DUMMYFUNCTION("""COMPUTED_VALUE"""),84.0)</f>
        <v>84</v>
      </c>
      <c r="AG407" s="1">
        <f>IFERROR(__xludf.DUMMYFUNCTION("""COMPUTED_VALUE"""),118.15)</f>
        <v>118.15</v>
      </c>
      <c r="AH407" s="1">
        <f>IFERROR(__xludf.DUMMYFUNCTION("""COMPUTED_VALUE"""),292.78)</f>
        <v>292.78</v>
      </c>
      <c r="AI407" s="1">
        <f>IFERROR(__xludf.DUMMYFUNCTION("""COMPUTED_VALUE"""),375.25)</f>
        <v>375.25</v>
      </c>
      <c r="AJ407" s="1">
        <f>IFERROR(__xludf.DUMMYFUNCTION("""COMPUTED_VALUE"""),345.19)</f>
        <v>345.19</v>
      </c>
      <c r="AK407" s="1">
        <f>IFERROR(__xludf.DUMMYFUNCTION("""COMPUTED_VALUE"""),83.03)</f>
        <v>83.03</v>
      </c>
      <c r="AL407" s="1">
        <f>IFERROR(__xludf.DUMMYFUNCTION("""COMPUTED_VALUE"""),124.16)</f>
        <v>124.16</v>
      </c>
      <c r="AM407" s="1">
        <f>IFERROR(__xludf.DUMMYFUNCTION("""COMPUTED_VALUE"""),899.0)</f>
        <v>899</v>
      </c>
      <c r="AN407" s="1">
        <f>IFERROR(__xludf.DUMMYFUNCTION("""COMPUTED_VALUE"""),346.39)</f>
        <v>346.39</v>
      </c>
      <c r="AO407" s="1">
        <f>IFERROR(__xludf.DUMMYFUNCTION("""COMPUTED_VALUE"""),179.0)</f>
        <v>179</v>
      </c>
      <c r="AP407" s="1">
        <f>IFERROR(__xludf.DUMMYFUNCTION("""COMPUTED_VALUE"""),161.45)</f>
        <v>161.45</v>
      </c>
      <c r="AQ407" s="1">
        <f>IFERROR(__xludf.DUMMYFUNCTION("""COMPUTED_VALUE"""),579.83)</f>
        <v>579.83</v>
      </c>
      <c r="AR407" s="1">
        <f>IFERROR(__xludf.DUMMYFUNCTION("""COMPUTED_VALUE"""),323.09)</f>
        <v>323.09</v>
      </c>
      <c r="AS407" s="1">
        <f>IFERROR(__xludf.DUMMYFUNCTION("""COMPUTED_VALUE"""),483.57)</f>
        <v>483.57</v>
      </c>
      <c r="AT407" s="1">
        <f>IFERROR(__xludf.DUMMYFUNCTION("""COMPUTED_VALUE"""),212.37)</f>
        <v>212.37</v>
      </c>
      <c r="AU407" s="1">
        <f>IFERROR(__xludf.DUMMYFUNCTION("""COMPUTED_VALUE"""),36.53)</f>
        <v>36.53</v>
      </c>
      <c r="AV407" s="1">
        <f>IFERROR(__xludf.DUMMYFUNCTION("""COMPUTED_VALUE"""),97.71)</f>
        <v>97.71</v>
      </c>
      <c r="AW407" s="1">
        <f>IFERROR(__xludf.DUMMYFUNCTION("""COMPUTED_VALUE"""),81.35)</f>
        <v>81.35</v>
      </c>
      <c r="AX407" s="1">
        <f>IFERROR(__xludf.DUMMYFUNCTION("""COMPUTED_VALUE"""),54.39)</f>
        <v>54.39</v>
      </c>
      <c r="AY407" s="1">
        <f>IFERROR(__xludf.DUMMYFUNCTION("""COMPUTED_VALUE"""),484.92)</f>
        <v>484.92</v>
      </c>
      <c r="AZ407" s="1">
        <f>IFERROR(__xludf.DUMMYFUNCTION("""COMPUTED_VALUE"""),80.04)</f>
        <v>80.04</v>
      </c>
      <c r="BA407" s="1">
        <f>IFERROR(__xludf.DUMMYFUNCTION("""COMPUTED_VALUE"""),156.96)</f>
        <v>156.96</v>
      </c>
      <c r="BB407" s="1">
        <f>IFERROR(__xludf.DUMMYFUNCTION("""COMPUTED_VALUE"""),183.69)</f>
        <v>183.69</v>
      </c>
      <c r="BC407" s="1">
        <f>IFERROR(__xludf.DUMMYFUNCTION("""COMPUTED_VALUE"""),87.24)</f>
        <v>87.24</v>
      </c>
      <c r="BD407" s="1">
        <f>IFERROR(__xludf.DUMMYFUNCTION("""COMPUTED_VALUE"""),48.14)</f>
        <v>48.14</v>
      </c>
      <c r="BE407" s="1">
        <f>IFERROR(__xludf.DUMMYFUNCTION("""COMPUTED_VALUE"""),193.98)</f>
        <v>193.98</v>
      </c>
      <c r="BF407" s="1">
        <f>IFERROR(__xludf.DUMMYFUNCTION("""COMPUTED_VALUE"""),59.86)</f>
        <v>59.86</v>
      </c>
      <c r="BG407" s="1">
        <f>IFERROR(__xludf.DUMMYFUNCTION("""COMPUTED_VALUE"""),25.21)</f>
        <v>25.21</v>
      </c>
      <c r="BH407" s="1">
        <f>IFERROR(__xludf.DUMMYFUNCTION("""COMPUTED_VALUE"""),185.68)</f>
        <v>185.68</v>
      </c>
      <c r="BI407" s="1">
        <f>IFERROR(__xludf.DUMMYFUNCTION("""COMPUTED_VALUE"""),80.58)</f>
        <v>80.58</v>
      </c>
      <c r="BJ407" s="1">
        <f>IFERROR(__xludf.DUMMYFUNCTION("""COMPUTED_VALUE"""),195.76)</f>
        <v>195.76</v>
      </c>
      <c r="BK407" s="1">
        <f>IFERROR(__xludf.DUMMYFUNCTION("""COMPUTED_VALUE"""),575.7)</f>
        <v>575.7</v>
      </c>
      <c r="BL407" s="1">
        <f>IFERROR(__xludf.DUMMYFUNCTION("""COMPUTED_VALUE"""),219.51)</f>
        <v>219.51</v>
      </c>
      <c r="BM407" s="1">
        <f>IFERROR(__xludf.DUMMYFUNCTION("""COMPUTED_VALUE"""),129.35)</f>
        <v>129.35</v>
      </c>
      <c r="BN407" s="1">
        <f>IFERROR(__xludf.DUMMYFUNCTION("""COMPUTED_VALUE"""),4.55)</f>
        <v>4.55</v>
      </c>
      <c r="BO407" s="1">
        <f>IFERROR(__xludf.DUMMYFUNCTION("""COMPUTED_VALUE"""),234.61)</f>
        <v>234.61</v>
      </c>
      <c r="BP407" s="1">
        <f>IFERROR(__xludf.DUMMYFUNCTION("""COMPUTED_VALUE"""),325.16)</f>
        <v>325.16</v>
      </c>
      <c r="BQ407" s="36">
        <f>IFERROR(__xludf.DUMMYFUNCTION("""COMPUTED_VALUE"""),49.4)</f>
        <v>49.4</v>
      </c>
      <c r="BR407" s="1">
        <f>IFERROR(__xludf.DUMMYFUNCTION("""COMPUTED_VALUE"""),12.01)</f>
        <v>12.01</v>
      </c>
      <c r="BS407" s="1">
        <f>IFERROR(__xludf.DUMMYFUNCTION("""COMPUTED_VALUE"""),219.66)</f>
        <v>219.66</v>
      </c>
      <c r="BT407" s="1">
        <f>IFERROR(__xludf.DUMMYFUNCTION("""COMPUTED_VALUE"""),112.38)</f>
        <v>112.38</v>
      </c>
      <c r="BU407" s="3">
        <v>1.0</v>
      </c>
    </row>
    <row r="408">
      <c r="A408" s="25">
        <f>IFERROR(__xludf.DUMMYFUNCTION("""COMPUTED_VALUE"""),46014.66666666667)</f>
        <v>46014.66667</v>
      </c>
      <c r="B408" s="29">
        <f>'Master Scratch Work'!B407</f>
        <v>1587639.99</v>
      </c>
      <c r="C408" s="31">
        <f>IFERROR(__xludf.DUMMYFUNCTION("""COMPUTED_VALUE"""),6909.79)</f>
        <v>6909.79</v>
      </c>
      <c r="D408" s="31">
        <f>IFERROR(__xludf.DUMMYFUNCTION("""COMPUTED_VALUE"""),23561.84)</f>
        <v>23561.84</v>
      </c>
      <c r="E408" s="31">
        <f>IFERROR(__xludf.DUMMYFUNCTION("""COMPUTED_VALUE"""),48442.41)</f>
        <v>48442.41</v>
      </c>
      <c r="F408" s="31">
        <f>IFERROR(__xludf.DUMMYFUNCTION("""COMPUTED_VALUE"""),2541.12)</f>
        <v>2541.12</v>
      </c>
      <c r="G408" s="1">
        <f>IFERROR(__xludf.DUMMYFUNCTION("""COMPUTED_VALUE"""),687.96)</f>
        <v>687.96</v>
      </c>
      <c r="H408" s="1">
        <f>IFERROR(__xludf.DUMMYFUNCTION("""COMPUTED_VALUE"""),622.11)</f>
        <v>622.11</v>
      </c>
      <c r="I408" s="1">
        <f>IFERROR(__xludf.DUMMYFUNCTION("""COMPUTED_VALUE"""),352.42)</f>
        <v>352.42</v>
      </c>
      <c r="J408" s="1">
        <f>IFERROR(__xludf.DUMMYFUNCTION("""COMPUTED_VALUE"""),232.14)</f>
        <v>232.14</v>
      </c>
      <c r="K408" s="1">
        <f>IFERROR(__xludf.DUMMYFUNCTION("""COMPUTED_VALUE"""),130.75)</f>
        <v>130.75</v>
      </c>
      <c r="L408" s="1">
        <f>IFERROR(__xludf.DUMMYFUNCTION("""COMPUTED_VALUE"""),272.36)</f>
        <v>272.36</v>
      </c>
      <c r="M408" s="1">
        <f>IFERROR(__xludf.DUMMYFUNCTION("""COMPUTED_VALUE"""),260.23)</f>
        <v>260.23</v>
      </c>
      <c r="N408" s="1">
        <f>IFERROR(__xludf.DUMMYFUNCTION("""COMPUTED_VALUE"""),117.22)</f>
        <v>117.22</v>
      </c>
      <c r="O408" s="1">
        <f>IFERROR(__xludf.DUMMYFUNCTION("""COMPUTED_VALUE"""),25.48)</f>
        <v>25.48</v>
      </c>
      <c r="P408" s="1">
        <f>IFERROR(__xludf.DUMMYFUNCTION("""COMPUTED_VALUE"""),500.51)</f>
        <v>500.51</v>
      </c>
      <c r="Q408" s="1">
        <f>IFERROR(__xludf.DUMMYFUNCTION("""COMPUTED_VALUE"""),61.08)</f>
        <v>61.08</v>
      </c>
      <c r="R408" s="1">
        <f>IFERROR(__xludf.DUMMYFUNCTION("""COMPUTED_VALUE"""),174.82)</f>
        <v>174.82</v>
      </c>
      <c r="S408" s="1">
        <f>IFERROR(__xludf.DUMMYFUNCTION("""COMPUTED_VALUE"""),96.09)</f>
        <v>96.09</v>
      </c>
      <c r="T408" s="1">
        <f>IFERROR(__xludf.DUMMYFUNCTION("""COMPUTED_VALUE"""),53.34)</f>
        <v>53.34</v>
      </c>
      <c r="U408" s="1">
        <f>IFERROR(__xludf.DUMMYFUNCTION("""COMPUTED_VALUE"""),582.42)</f>
        <v>582.42</v>
      </c>
      <c r="V408" s="1">
        <f>IFERROR(__xludf.DUMMYFUNCTION("""COMPUTED_VALUE"""),93.41)</f>
        <v>93.41</v>
      </c>
      <c r="W408" s="1">
        <f>IFERROR(__xludf.DUMMYFUNCTION("""COMPUTED_VALUE"""),189.44)</f>
        <v>189.44</v>
      </c>
      <c r="X408" s="1">
        <f>IFERROR(__xludf.DUMMYFUNCTION("""COMPUTED_VALUE"""),150.51)</f>
        <v>150.51</v>
      </c>
      <c r="Y408" s="1">
        <f>IFERROR(__xludf.DUMMYFUNCTION("""COMPUTED_VALUE"""),273.75)</f>
        <v>273.75</v>
      </c>
      <c r="Z408" s="1">
        <f>IFERROR(__xludf.DUMMYFUNCTION("""COMPUTED_VALUE"""),59.51)</f>
        <v>59.51</v>
      </c>
      <c r="AA408" s="1">
        <f>IFERROR(__xludf.DUMMYFUNCTION("""COMPUTED_VALUE"""),69.87)</f>
        <v>69.87</v>
      </c>
      <c r="AB408" s="1">
        <f>IFERROR(__xludf.DUMMYFUNCTION("""COMPUTED_VALUE"""),98.95)</f>
        <v>98.95</v>
      </c>
      <c r="AC408" s="1">
        <f>IFERROR(__xludf.DUMMYFUNCTION("""COMPUTED_VALUE"""),153.88)</f>
        <v>153.88</v>
      </c>
      <c r="AD408" s="1">
        <f>IFERROR(__xludf.DUMMYFUNCTION("""COMPUTED_VALUE"""),119.53)</f>
        <v>119.53</v>
      </c>
      <c r="AE408" s="1">
        <f>IFERROR(__xludf.DUMMYFUNCTION("""COMPUTED_VALUE"""),426.18)</f>
        <v>426.18</v>
      </c>
      <c r="AF408" s="1">
        <f>IFERROR(__xludf.DUMMYFUNCTION("""COMPUTED_VALUE"""),84.05)</f>
        <v>84.05</v>
      </c>
      <c r="AG408" s="1">
        <f>IFERROR(__xludf.DUMMYFUNCTION("""COMPUTED_VALUE"""),119.42)</f>
        <v>119.42</v>
      </c>
      <c r="AH408" s="1">
        <f>IFERROR(__xludf.DUMMYFUNCTION("""COMPUTED_VALUE"""),295.21)</f>
        <v>295.21</v>
      </c>
      <c r="AI408" s="1">
        <f>IFERROR(__xludf.DUMMYFUNCTION("""COMPUTED_VALUE"""),375.91)</f>
        <v>375.91</v>
      </c>
      <c r="AJ408" s="1">
        <f>IFERROR(__xludf.DUMMYFUNCTION("""COMPUTED_VALUE"""),343.84)</f>
        <v>343.84</v>
      </c>
      <c r="AK408" s="1">
        <f>IFERROR(__xludf.DUMMYFUNCTION("""COMPUTED_VALUE"""),82.75)</f>
        <v>82.75</v>
      </c>
      <c r="AL408" s="1">
        <f>IFERROR(__xludf.DUMMYFUNCTION("""COMPUTED_VALUE"""),125.19)</f>
        <v>125.19</v>
      </c>
      <c r="AM408" s="1">
        <f>IFERROR(__xludf.DUMMYFUNCTION("""COMPUTED_VALUE"""),901.71)</f>
        <v>901.71</v>
      </c>
      <c r="AN408" s="1">
        <f>IFERROR(__xludf.DUMMYFUNCTION("""COMPUTED_VALUE"""),344.97)</f>
        <v>344.97</v>
      </c>
      <c r="AO408" s="1">
        <f>IFERROR(__xludf.DUMMYFUNCTION("""COMPUTED_VALUE"""),178.2)</f>
        <v>178.2</v>
      </c>
      <c r="AP408" s="1">
        <f>IFERROR(__xludf.DUMMYFUNCTION("""COMPUTED_VALUE"""),161.95)</f>
        <v>161.95</v>
      </c>
      <c r="AQ408" s="1">
        <f>IFERROR(__xludf.DUMMYFUNCTION("""COMPUTED_VALUE"""),577.34)</f>
        <v>577.34</v>
      </c>
      <c r="AR408" s="1">
        <f>IFERROR(__xludf.DUMMYFUNCTION("""COMPUTED_VALUE"""),325.93)</f>
        <v>325.93</v>
      </c>
      <c r="AS408" s="1">
        <f>IFERROR(__xludf.DUMMYFUNCTION("""COMPUTED_VALUE"""),482.55)</f>
        <v>482.55</v>
      </c>
      <c r="AT408" s="1">
        <f>IFERROR(__xludf.DUMMYFUNCTION("""COMPUTED_VALUE"""),212.68)</f>
        <v>212.68</v>
      </c>
      <c r="AU408" s="1">
        <f>IFERROR(__xludf.DUMMYFUNCTION("""COMPUTED_VALUE"""),36.75)</f>
        <v>36.75</v>
      </c>
      <c r="AV408" s="1">
        <f>IFERROR(__xludf.DUMMYFUNCTION("""COMPUTED_VALUE"""),97.47)</f>
        <v>97.47</v>
      </c>
      <c r="AW408" s="1">
        <f>IFERROR(__xludf.DUMMYFUNCTION("""COMPUTED_VALUE"""),80.91)</f>
        <v>80.91</v>
      </c>
      <c r="AX408" s="1">
        <f>IFERROR(__xludf.DUMMYFUNCTION("""COMPUTED_VALUE"""),54.21)</f>
        <v>54.21</v>
      </c>
      <c r="AY408" s="1">
        <f>IFERROR(__xludf.DUMMYFUNCTION("""COMPUTED_VALUE"""),486.85)</f>
        <v>486.85</v>
      </c>
      <c r="AZ408" s="1">
        <f>IFERROR(__xludf.DUMMYFUNCTION("""COMPUTED_VALUE"""),79.79)</f>
        <v>79.79</v>
      </c>
      <c r="BA408" s="1">
        <f>IFERROR(__xludf.DUMMYFUNCTION("""COMPUTED_VALUE"""),158.11)</f>
        <v>158.11</v>
      </c>
      <c r="BB408" s="1">
        <f>IFERROR(__xludf.DUMMYFUNCTION("""COMPUTED_VALUE"""),189.21)</f>
        <v>189.21</v>
      </c>
      <c r="BC408" s="1">
        <f>IFERROR(__xludf.DUMMYFUNCTION("""COMPUTED_VALUE"""),87.83)</f>
        <v>87.83</v>
      </c>
      <c r="BD408" s="1">
        <f>IFERROR(__xludf.DUMMYFUNCTION("""COMPUTED_VALUE"""),47.89)</f>
        <v>47.89</v>
      </c>
      <c r="BE408" s="1">
        <f>IFERROR(__xludf.DUMMYFUNCTION("""COMPUTED_VALUE"""),194.13)</f>
        <v>194.13</v>
      </c>
      <c r="BF408" s="1">
        <f>IFERROR(__xludf.DUMMYFUNCTION("""COMPUTED_VALUE"""),59.41)</f>
        <v>59.41</v>
      </c>
      <c r="BG408" s="1">
        <f>IFERROR(__xludf.DUMMYFUNCTION("""COMPUTED_VALUE"""),24.88)</f>
        <v>24.88</v>
      </c>
      <c r="BH408" s="1">
        <f>IFERROR(__xludf.DUMMYFUNCTION("""COMPUTED_VALUE"""),185.76)</f>
        <v>185.76</v>
      </c>
      <c r="BI408" s="1">
        <f>IFERROR(__xludf.DUMMYFUNCTION("""COMPUTED_VALUE"""),80.27)</f>
        <v>80.27</v>
      </c>
      <c r="BJ408" s="1">
        <f>IFERROR(__xludf.DUMMYFUNCTION("""COMPUTED_VALUE"""),197.67)</f>
        <v>197.67</v>
      </c>
      <c r="BK408" s="1">
        <f>IFERROR(__xludf.DUMMYFUNCTION("""COMPUTED_VALUE"""),579.94)</f>
        <v>579.94</v>
      </c>
      <c r="BL408" s="1">
        <f>IFERROR(__xludf.DUMMYFUNCTION("""COMPUTED_VALUE"""),219.24)</f>
        <v>219.24</v>
      </c>
      <c r="BM408" s="1">
        <f>IFERROR(__xludf.DUMMYFUNCTION("""COMPUTED_VALUE"""),128.2)</f>
        <v>128.2</v>
      </c>
      <c r="BN408" s="1">
        <f>IFERROR(__xludf.DUMMYFUNCTION("""COMPUTED_VALUE"""),4.56)</f>
        <v>4.56</v>
      </c>
      <c r="BO408" s="1">
        <f>IFERROR(__xludf.DUMMYFUNCTION("""COMPUTED_VALUE"""),234.15)</f>
        <v>234.15</v>
      </c>
      <c r="BP408" s="1">
        <f>IFERROR(__xludf.DUMMYFUNCTION("""COMPUTED_VALUE"""),324.8)</f>
        <v>324.8</v>
      </c>
      <c r="BQ408" s="36">
        <f>IFERROR(__xludf.DUMMYFUNCTION("""COMPUTED_VALUE"""),49.39)</f>
        <v>49.39</v>
      </c>
      <c r="BR408" s="1">
        <f>IFERROR(__xludf.DUMMYFUNCTION("""COMPUTED_VALUE"""),12.02)</f>
        <v>12.02</v>
      </c>
      <c r="BS408" s="1">
        <f>IFERROR(__xludf.DUMMYFUNCTION("""COMPUTED_VALUE"""),220.34)</f>
        <v>220.34</v>
      </c>
      <c r="BT408" s="1">
        <f>IFERROR(__xludf.DUMMYFUNCTION("""COMPUTED_VALUE"""),113.22)</f>
        <v>113.22</v>
      </c>
      <c r="BU408" s="3">
        <v>1.0</v>
      </c>
    </row>
    <row r="409">
      <c r="A409" s="25">
        <f>IFERROR(__xludf.DUMMYFUNCTION("""COMPUTED_VALUE"""),46015.54513888889)</f>
        <v>46015.54514</v>
      </c>
      <c r="B409" s="29">
        <f>'Master Scratch Work'!B408</f>
        <v>1592760.8</v>
      </c>
      <c r="C409" s="31">
        <f>IFERROR(__xludf.DUMMYFUNCTION("""COMPUTED_VALUE"""),6932.05)</f>
        <v>6932.05</v>
      </c>
      <c r="D409" s="31">
        <f>IFERROR(__xludf.DUMMYFUNCTION("""COMPUTED_VALUE"""),23613.31)</f>
        <v>23613.31</v>
      </c>
      <c r="E409" s="31">
        <f>IFERROR(__xludf.DUMMYFUNCTION("""COMPUTED_VALUE"""),48731.16)</f>
        <v>48731.16</v>
      </c>
      <c r="F409" s="31">
        <f>IFERROR(__xludf.DUMMYFUNCTION("""COMPUTED_VALUE"""),2548.08)</f>
        <v>2548.08</v>
      </c>
      <c r="G409" s="1">
        <f>IFERROR(__xludf.DUMMYFUNCTION("""COMPUTED_VALUE"""),690.38)</f>
        <v>690.38</v>
      </c>
      <c r="H409" s="1">
        <f>IFERROR(__xludf.DUMMYFUNCTION("""COMPUTED_VALUE"""),623.93)</f>
        <v>623.93</v>
      </c>
      <c r="I409" s="1">
        <f>IFERROR(__xludf.DUMMYFUNCTION("""COMPUTED_VALUE"""),352.98)</f>
        <v>352.98</v>
      </c>
      <c r="J409" s="1">
        <f>IFERROR(__xludf.DUMMYFUNCTION("""COMPUTED_VALUE"""),232.38)</f>
        <v>232.38</v>
      </c>
      <c r="K409" s="1">
        <f>IFERROR(__xludf.DUMMYFUNCTION("""COMPUTED_VALUE"""),131.28)</f>
        <v>131.28</v>
      </c>
      <c r="L409" s="1">
        <f>IFERROR(__xludf.DUMMYFUNCTION("""COMPUTED_VALUE"""),273.81)</f>
        <v>273.81</v>
      </c>
      <c r="M409" s="1">
        <f>IFERROR(__xludf.DUMMYFUNCTION("""COMPUTED_VALUE"""),260.78)</f>
        <v>260.78</v>
      </c>
      <c r="N409" s="1">
        <f>IFERROR(__xludf.DUMMYFUNCTION("""COMPUTED_VALUE"""),118.22)</f>
        <v>118.22</v>
      </c>
      <c r="O409" s="1">
        <f>IFERROR(__xludf.DUMMYFUNCTION("""COMPUTED_VALUE"""),25.63)</f>
        <v>25.63</v>
      </c>
      <c r="P409" s="1">
        <f>IFERROR(__xludf.DUMMYFUNCTION("""COMPUTED_VALUE"""),501.34)</f>
        <v>501.34</v>
      </c>
      <c r="Q409" s="1">
        <f>IFERROR(__xludf.DUMMYFUNCTION("""COMPUTED_VALUE"""),60.87)</f>
        <v>60.87</v>
      </c>
      <c r="R409" s="1">
        <f>IFERROR(__xludf.DUMMYFUNCTION("""COMPUTED_VALUE"""),176.33)</f>
        <v>176.33</v>
      </c>
      <c r="S409" s="1">
        <f>IFERROR(__xludf.DUMMYFUNCTION("""COMPUTED_VALUE"""),96.13)</f>
        <v>96.13</v>
      </c>
      <c r="T409" s="1">
        <f>IFERROR(__xludf.DUMMYFUNCTION("""COMPUTED_VALUE"""),53.5)</f>
        <v>53.5</v>
      </c>
      <c r="U409" s="1">
        <f>IFERROR(__xludf.DUMMYFUNCTION("""COMPUTED_VALUE"""),583.76)</f>
        <v>583.76</v>
      </c>
      <c r="V409" s="1">
        <f>IFERROR(__xludf.DUMMYFUNCTION("""COMPUTED_VALUE"""),93.34)</f>
        <v>93.34</v>
      </c>
      <c r="W409" s="1">
        <f>IFERROR(__xludf.DUMMYFUNCTION("""COMPUTED_VALUE"""),188.52)</f>
        <v>188.52</v>
      </c>
      <c r="X409" s="1">
        <f>IFERROR(__xludf.DUMMYFUNCTION("""COMPUTED_VALUE"""),150.5)</f>
        <v>150.5</v>
      </c>
      <c r="Y409" s="1">
        <f>IFERROR(__xludf.DUMMYFUNCTION("""COMPUTED_VALUE"""),274.86)</f>
        <v>274.86</v>
      </c>
      <c r="Z409" s="1">
        <f>IFERROR(__xludf.DUMMYFUNCTION("""COMPUTED_VALUE"""),59.86)</f>
        <v>59.86</v>
      </c>
      <c r="AA409" s="1">
        <f>IFERROR(__xludf.DUMMYFUNCTION("""COMPUTED_VALUE"""),70.11)</f>
        <v>70.11</v>
      </c>
      <c r="AB409" s="1">
        <f>IFERROR(__xludf.DUMMYFUNCTION("""COMPUTED_VALUE"""),99.53)</f>
        <v>99.53</v>
      </c>
      <c r="AC409" s="1">
        <f>IFERROR(__xludf.DUMMYFUNCTION("""COMPUTED_VALUE"""),155.19)</f>
        <v>155.19</v>
      </c>
      <c r="AD409" s="1">
        <f>IFERROR(__xludf.DUMMYFUNCTION("""COMPUTED_VALUE"""),122.01)</f>
        <v>122.01</v>
      </c>
      <c r="AE409" s="1">
        <f>IFERROR(__xludf.DUMMYFUNCTION("""COMPUTED_VALUE"""),425.43)</f>
        <v>425.43</v>
      </c>
      <c r="AF409" s="1">
        <f>IFERROR(__xludf.DUMMYFUNCTION("""COMPUTED_VALUE"""),84.6)</f>
        <v>84.6</v>
      </c>
      <c r="AG409" s="1">
        <f>IFERROR(__xludf.DUMMYFUNCTION("""COMPUTED_VALUE"""),119.22)</f>
        <v>119.22</v>
      </c>
      <c r="AH409" s="1">
        <f>IFERROR(__xludf.DUMMYFUNCTION("""COMPUTED_VALUE"""),295.9)</f>
        <v>295.9</v>
      </c>
      <c r="AI409" s="1">
        <f>IFERROR(__xludf.DUMMYFUNCTION("""COMPUTED_VALUE"""),376.34)</f>
        <v>376.34</v>
      </c>
      <c r="AJ409" s="1">
        <f>IFERROR(__xludf.DUMMYFUNCTION("""COMPUTED_VALUE"""),345.39)</f>
        <v>345.39</v>
      </c>
      <c r="AK409" s="1">
        <f>IFERROR(__xludf.DUMMYFUNCTION("""COMPUTED_VALUE"""),82.88)</f>
        <v>82.88</v>
      </c>
      <c r="AL409" s="1">
        <f>IFERROR(__xludf.DUMMYFUNCTION("""COMPUTED_VALUE"""),125.67)</f>
        <v>125.67</v>
      </c>
      <c r="AM409" s="1">
        <f>IFERROR(__xludf.DUMMYFUNCTION("""COMPUTED_VALUE"""),910.78)</f>
        <v>910.78</v>
      </c>
      <c r="AN409" s="1">
        <f>IFERROR(__xludf.DUMMYFUNCTION("""COMPUTED_VALUE"""),347.34)</f>
        <v>347.34</v>
      </c>
      <c r="AO409" s="1">
        <f>IFERROR(__xludf.DUMMYFUNCTION("""COMPUTED_VALUE"""),180.06)</f>
        <v>180.06</v>
      </c>
      <c r="AP409" s="1">
        <f>IFERROR(__xludf.DUMMYFUNCTION("""COMPUTED_VALUE"""),162.63)</f>
        <v>162.63</v>
      </c>
      <c r="AQ409" s="1">
        <f>IFERROR(__xludf.DUMMYFUNCTION("""COMPUTED_VALUE"""),577.15)</f>
        <v>577.15</v>
      </c>
      <c r="AR409" s="1">
        <f>IFERROR(__xludf.DUMMYFUNCTION("""COMPUTED_VALUE"""),329.17)</f>
        <v>329.17</v>
      </c>
      <c r="AS409" s="1">
        <f>IFERROR(__xludf.DUMMYFUNCTION("""COMPUTED_VALUE"""),485.75)</f>
        <v>485.75</v>
      </c>
      <c r="AT409" s="1">
        <f>IFERROR(__xludf.DUMMYFUNCTION("""COMPUTED_VALUE"""),210.4)</f>
        <v>210.4</v>
      </c>
      <c r="AU409" s="1">
        <f>IFERROR(__xludf.DUMMYFUNCTION("""COMPUTED_VALUE"""),36.66)</f>
        <v>36.66</v>
      </c>
      <c r="AV409" s="1">
        <f>IFERROR(__xludf.DUMMYFUNCTION("""COMPUTED_VALUE"""),97.27)</f>
        <v>97.27</v>
      </c>
      <c r="AW409" s="1">
        <f>IFERROR(__xludf.DUMMYFUNCTION("""COMPUTED_VALUE"""),81.05)</f>
        <v>81.05</v>
      </c>
      <c r="AX409" s="1">
        <f>IFERROR(__xludf.DUMMYFUNCTION("""COMPUTED_VALUE"""),54.54)</f>
        <v>54.54</v>
      </c>
      <c r="AY409" s="1">
        <f>IFERROR(__xludf.DUMMYFUNCTION("""COMPUTED_VALUE"""),488.02)</f>
        <v>488.02</v>
      </c>
      <c r="AZ409" s="1">
        <f>IFERROR(__xludf.DUMMYFUNCTION("""COMPUTED_VALUE"""),80.45)</f>
        <v>80.45</v>
      </c>
      <c r="BA409" s="1">
        <f>IFERROR(__xludf.DUMMYFUNCTION("""COMPUTED_VALUE"""),160.56)</f>
        <v>160.56</v>
      </c>
      <c r="BB409" s="1">
        <f>IFERROR(__xludf.DUMMYFUNCTION("""COMPUTED_VALUE"""),188.61)</f>
        <v>188.61</v>
      </c>
      <c r="BC409" s="1">
        <f>IFERROR(__xludf.DUMMYFUNCTION("""COMPUTED_VALUE"""),87.9)</f>
        <v>87.9</v>
      </c>
      <c r="BD409" s="1">
        <f>IFERROR(__xludf.DUMMYFUNCTION("""COMPUTED_VALUE"""),46.49)</f>
        <v>46.49</v>
      </c>
      <c r="BE409" s="1">
        <f>IFERROR(__xludf.DUMMYFUNCTION("""COMPUTED_VALUE"""),194.17)</f>
        <v>194.17</v>
      </c>
      <c r="BF409" s="1">
        <f>IFERROR(__xludf.DUMMYFUNCTION("""COMPUTED_VALUE"""),60.04)</f>
        <v>60.04</v>
      </c>
      <c r="BG409" s="1">
        <f>IFERROR(__xludf.DUMMYFUNCTION("""COMPUTED_VALUE"""),25.03)</f>
        <v>25.03</v>
      </c>
      <c r="BH409" s="1">
        <f>IFERROR(__xludf.DUMMYFUNCTION("""COMPUTED_VALUE"""),186.38)</f>
        <v>186.38</v>
      </c>
      <c r="BI409" s="1">
        <f>IFERROR(__xludf.DUMMYFUNCTION("""COMPUTED_VALUE"""),81.19)</f>
        <v>81.19</v>
      </c>
      <c r="BJ409" s="1">
        <f>IFERROR(__xludf.DUMMYFUNCTION("""COMPUTED_VALUE"""),199.02)</f>
        <v>199.02</v>
      </c>
      <c r="BK409" s="1">
        <f>IFERROR(__xludf.DUMMYFUNCTION("""COMPUTED_VALUE"""),579.12)</f>
        <v>579.12</v>
      </c>
      <c r="BL409" s="1">
        <f>IFERROR(__xludf.DUMMYFUNCTION("""COMPUTED_VALUE"""),216.73)</f>
        <v>216.73</v>
      </c>
      <c r="BM409" s="1">
        <f>IFERROR(__xludf.DUMMYFUNCTION("""COMPUTED_VALUE"""),126.99)</f>
        <v>126.99</v>
      </c>
      <c r="BN409" s="1">
        <f>IFERROR(__xludf.DUMMYFUNCTION("""COMPUTED_VALUE"""),4.62)</f>
        <v>4.62</v>
      </c>
      <c r="BO409" s="1">
        <f>IFERROR(__xludf.DUMMYFUNCTION("""COMPUTED_VALUE"""),235.05)</f>
        <v>235.05</v>
      </c>
      <c r="BP409" s="1">
        <f>IFERROR(__xludf.DUMMYFUNCTION("""COMPUTED_VALUE"""),327.58)</f>
        <v>327.58</v>
      </c>
      <c r="BQ409" s="36">
        <f>IFERROR(__xludf.DUMMYFUNCTION("""COMPUTED_VALUE"""),49.42)</f>
        <v>49.42</v>
      </c>
      <c r="BR409" s="1">
        <f>IFERROR(__xludf.DUMMYFUNCTION("""COMPUTED_VALUE"""),12.24)</f>
        <v>12.24</v>
      </c>
      <c r="BS409" s="1">
        <f>IFERROR(__xludf.DUMMYFUNCTION("""COMPUTED_VALUE"""),221.36)</f>
        <v>221.36</v>
      </c>
      <c r="BT409" s="1">
        <f>IFERROR(__xludf.DUMMYFUNCTION("""COMPUTED_VALUE"""),114.48)</f>
        <v>114.48</v>
      </c>
      <c r="BU409" s="3">
        <v>1.0</v>
      </c>
    </row>
    <row r="410">
      <c r="A410" s="25">
        <f>IFERROR(__xludf.DUMMYFUNCTION("""COMPUTED_VALUE"""),46017.66666666667)</f>
        <v>46017.66667</v>
      </c>
      <c r="B410" s="29">
        <f>'Master Scratch Work'!B409</f>
        <v>1589828.56</v>
      </c>
      <c r="C410" s="31">
        <f>IFERROR(__xludf.DUMMYFUNCTION("""COMPUTED_VALUE"""),6929.94)</f>
        <v>6929.94</v>
      </c>
      <c r="D410" s="31">
        <f>IFERROR(__xludf.DUMMYFUNCTION("""COMPUTED_VALUE"""),23593.1)</f>
        <v>23593.1</v>
      </c>
      <c r="E410" s="31">
        <f>IFERROR(__xludf.DUMMYFUNCTION("""COMPUTED_VALUE"""),48710.97)</f>
        <v>48710.97</v>
      </c>
      <c r="F410" s="31">
        <f>IFERROR(__xludf.DUMMYFUNCTION("""COMPUTED_VALUE"""),2534.35)</f>
        <v>2534.35</v>
      </c>
      <c r="G410" s="1">
        <f>IFERROR(__xludf.DUMMYFUNCTION("""COMPUTED_VALUE"""),690.31)</f>
        <v>690.31</v>
      </c>
      <c r="H410" s="1">
        <f>IFERROR(__xludf.DUMMYFUNCTION("""COMPUTED_VALUE"""),623.89)</f>
        <v>623.89</v>
      </c>
      <c r="I410" s="1">
        <f>IFERROR(__xludf.DUMMYFUNCTION("""COMPUTED_VALUE"""),353.8)</f>
        <v>353.8</v>
      </c>
      <c r="J410" s="1">
        <f>IFERROR(__xludf.DUMMYFUNCTION("""COMPUTED_VALUE"""),232.52)</f>
        <v>232.52</v>
      </c>
      <c r="K410" s="1">
        <f>IFERROR(__xludf.DUMMYFUNCTION("""COMPUTED_VALUE"""),130.55)</f>
        <v>130.55</v>
      </c>
      <c r="L410" s="1">
        <f>IFERROR(__xludf.DUMMYFUNCTION("""COMPUTED_VALUE"""),273.4)</f>
        <v>273.4</v>
      </c>
      <c r="M410" s="1">
        <f>IFERROR(__xludf.DUMMYFUNCTION("""COMPUTED_VALUE"""),261.9)</f>
        <v>261.9</v>
      </c>
      <c r="N410" s="1">
        <f>IFERROR(__xludf.DUMMYFUNCTION("""COMPUTED_VALUE"""),117.47)</f>
        <v>117.47</v>
      </c>
      <c r="O410" s="1">
        <f>IFERROR(__xludf.DUMMYFUNCTION("""COMPUTED_VALUE"""),25.74)</f>
        <v>25.74</v>
      </c>
      <c r="P410" s="1">
        <f>IFERROR(__xludf.DUMMYFUNCTION("""COMPUTED_VALUE"""),498.3)</f>
        <v>498.3</v>
      </c>
      <c r="Q410" s="1">
        <f>IFERROR(__xludf.DUMMYFUNCTION("""COMPUTED_VALUE"""),61.89)</f>
        <v>61.89</v>
      </c>
      <c r="R410" s="1">
        <f>IFERROR(__xludf.DUMMYFUNCTION("""COMPUTED_VALUE"""),177.08)</f>
        <v>177.08</v>
      </c>
      <c r="S410" s="1">
        <f>IFERROR(__xludf.DUMMYFUNCTION("""COMPUTED_VALUE"""),96.06)</f>
        <v>96.06</v>
      </c>
      <c r="T410" s="1">
        <f>IFERROR(__xludf.DUMMYFUNCTION("""COMPUTED_VALUE"""),53.59)</f>
        <v>53.59</v>
      </c>
      <c r="U410" s="1">
        <f>IFERROR(__xludf.DUMMYFUNCTION("""COMPUTED_VALUE"""),583.0)</f>
        <v>583</v>
      </c>
      <c r="V410" s="1">
        <f>IFERROR(__xludf.DUMMYFUNCTION("""COMPUTED_VALUE"""),92.84)</f>
        <v>92.84</v>
      </c>
      <c r="W410" s="1">
        <f>IFERROR(__xludf.DUMMYFUNCTION("""COMPUTED_VALUE"""),189.64)</f>
        <v>189.64</v>
      </c>
      <c r="X410" s="1">
        <f>IFERROR(__xludf.DUMMYFUNCTION("""COMPUTED_VALUE"""),150.02)</f>
        <v>150.02</v>
      </c>
      <c r="Y410" s="1">
        <f>IFERROR(__xludf.DUMMYFUNCTION("""COMPUTED_VALUE"""),276.51)</f>
        <v>276.51</v>
      </c>
      <c r="Z410" s="1">
        <f>IFERROR(__xludf.DUMMYFUNCTION("""COMPUTED_VALUE"""),59.83)</f>
        <v>59.83</v>
      </c>
      <c r="AA410" s="1">
        <f>IFERROR(__xludf.DUMMYFUNCTION("""COMPUTED_VALUE"""),69.87)</f>
        <v>69.87</v>
      </c>
      <c r="AB410" s="1">
        <f>IFERROR(__xludf.DUMMYFUNCTION("""COMPUTED_VALUE"""),99.3)</f>
        <v>99.3</v>
      </c>
      <c r="AC410" s="1">
        <f>IFERROR(__xludf.DUMMYFUNCTION("""COMPUTED_VALUE"""),155.01)</f>
        <v>155.01</v>
      </c>
      <c r="AD410" s="1">
        <f>IFERROR(__xludf.DUMMYFUNCTION("""COMPUTED_VALUE"""),123.95)</f>
        <v>123.95</v>
      </c>
      <c r="AE410" s="1">
        <f>IFERROR(__xludf.DUMMYFUNCTION("""COMPUTED_VALUE"""),425.56)</f>
        <v>425.56</v>
      </c>
      <c r="AF410" s="1">
        <f>IFERROR(__xludf.DUMMYFUNCTION("""COMPUTED_VALUE"""),85.21)</f>
        <v>85.21</v>
      </c>
      <c r="AG410" s="1">
        <f>IFERROR(__xludf.DUMMYFUNCTION("""COMPUTED_VALUE"""),119.11)</f>
        <v>119.11</v>
      </c>
      <c r="AH410" s="1">
        <f>IFERROR(__xludf.DUMMYFUNCTION("""COMPUTED_VALUE"""),296.33)</f>
        <v>296.33</v>
      </c>
      <c r="AI410" s="1">
        <f>IFERROR(__xludf.DUMMYFUNCTION("""COMPUTED_VALUE"""),378.13)</f>
        <v>378.13</v>
      </c>
      <c r="AJ410" s="1">
        <f>IFERROR(__xludf.DUMMYFUNCTION("""COMPUTED_VALUE"""),342.2)</f>
        <v>342.2</v>
      </c>
      <c r="AK410" s="1">
        <f>IFERROR(__xludf.DUMMYFUNCTION("""COMPUTED_VALUE"""),83.06)</f>
        <v>83.06</v>
      </c>
      <c r="AL410" s="1">
        <f>IFERROR(__xludf.DUMMYFUNCTION("""COMPUTED_VALUE"""),124.7)</f>
        <v>124.7</v>
      </c>
      <c r="AM410" s="1">
        <f>IFERROR(__xludf.DUMMYFUNCTION("""COMPUTED_VALUE"""),907.04)</f>
        <v>907.04</v>
      </c>
      <c r="AN410" s="1">
        <f>IFERROR(__xludf.DUMMYFUNCTION("""COMPUTED_VALUE"""),349.78)</f>
        <v>349.78</v>
      </c>
      <c r="AO410" s="1">
        <f>IFERROR(__xludf.DUMMYFUNCTION("""COMPUTED_VALUE"""),180.66)</f>
        <v>180.66</v>
      </c>
      <c r="AP410" s="1">
        <f>IFERROR(__xludf.DUMMYFUNCTION("""COMPUTED_VALUE"""),163.52)</f>
        <v>163.52</v>
      </c>
      <c r="AQ410" s="1">
        <f>IFERROR(__xludf.DUMMYFUNCTION("""COMPUTED_VALUE"""),577.81)</f>
        <v>577.81</v>
      </c>
      <c r="AR410" s="1">
        <f>IFERROR(__xludf.DUMMYFUNCTION("""COMPUTED_VALUE"""),327.91)</f>
        <v>327.91</v>
      </c>
      <c r="AS410" s="1">
        <f>IFERROR(__xludf.DUMMYFUNCTION("""COMPUTED_VALUE"""),483.03)</f>
        <v>483.03</v>
      </c>
      <c r="AT410" s="1">
        <f>IFERROR(__xludf.DUMMYFUNCTION("""COMPUTED_VALUE"""),208.97)</f>
        <v>208.97</v>
      </c>
      <c r="AU410" s="1">
        <f>IFERROR(__xludf.DUMMYFUNCTION("""COMPUTED_VALUE"""),36.58)</f>
        <v>36.58</v>
      </c>
      <c r="AV410" s="1">
        <f>IFERROR(__xludf.DUMMYFUNCTION("""COMPUTED_VALUE"""),96.52)</f>
        <v>96.52</v>
      </c>
      <c r="AW410" s="1">
        <f>IFERROR(__xludf.DUMMYFUNCTION("""COMPUTED_VALUE"""),80.3)</f>
        <v>80.3</v>
      </c>
      <c r="AX410" s="1">
        <f>IFERROR(__xludf.DUMMYFUNCTION("""COMPUTED_VALUE"""),53.38)</f>
        <v>53.38</v>
      </c>
      <c r="AY410" s="1">
        <f>IFERROR(__xludf.DUMMYFUNCTION("""COMPUTED_VALUE"""),487.71)</f>
        <v>487.71</v>
      </c>
      <c r="AZ410" s="1">
        <f>IFERROR(__xludf.DUMMYFUNCTION("""COMPUTED_VALUE"""),80.41)</f>
        <v>80.41</v>
      </c>
      <c r="BA410" s="1">
        <f>IFERROR(__xludf.DUMMYFUNCTION("""COMPUTED_VALUE"""),160.88)</f>
        <v>160.88</v>
      </c>
      <c r="BB410" s="1">
        <f>IFERROR(__xludf.DUMMYFUNCTION("""COMPUTED_VALUE"""),190.53)</f>
        <v>190.53</v>
      </c>
      <c r="BC410" s="1">
        <f>IFERROR(__xludf.DUMMYFUNCTION("""COMPUTED_VALUE"""),87.62)</f>
        <v>87.62</v>
      </c>
      <c r="BD410" s="1">
        <f>IFERROR(__xludf.DUMMYFUNCTION("""COMPUTED_VALUE"""),46.78)</f>
        <v>46.78</v>
      </c>
      <c r="BE410" s="1">
        <f>IFERROR(__xludf.DUMMYFUNCTION("""COMPUTED_VALUE"""),188.71)</f>
        <v>188.71</v>
      </c>
      <c r="BF410" s="1">
        <f>IFERROR(__xludf.DUMMYFUNCTION("""COMPUTED_VALUE"""),59.97)</f>
        <v>59.97</v>
      </c>
      <c r="BG410" s="1">
        <f>IFERROR(__xludf.DUMMYFUNCTION("""COMPUTED_VALUE"""),25.09)</f>
        <v>25.09</v>
      </c>
      <c r="BH410" s="1">
        <f>IFERROR(__xludf.DUMMYFUNCTION("""COMPUTED_VALUE"""),185.17)</f>
        <v>185.17</v>
      </c>
      <c r="BI410" s="1">
        <f>IFERROR(__xludf.DUMMYFUNCTION("""COMPUTED_VALUE"""),80.75)</f>
        <v>80.75</v>
      </c>
      <c r="BJ410" s="1">
        <f>IFERROR(__xludf.DUMMYFUNCTION("""COMPUTED_VALUE"""),201.0)</f>
        <v>201</v>
      </c>
      <c r="BK410" s="1">
        <f>IFERROR(__xludf.DUMMYFUNCTION("""COMPUTED_VALUE"""),580.74)</f>
        <v>580.74</v>
      </c>
      <c r="BL410" s="1">
        <f>IFERROR(__xludf.DUMMYFUNCTION("""COMPUTED_VALUE"""),216.62)</f>
        <v>216.62</v>
      </c>
      <c r="BM410" s="1">
        <f>IFERROR(__xludf.DUMMYFUNCTION("""COMPUTED_VALUE"""),124.2)</f>
        <v>124.2</v>
      </c>
      <c r="BN410" s="1">
        <f>IFERROR(__xludf.DUMMYFUNCTION("""COMPUTED_VALUE"""),4.65)</f>
        <v>4.65</v>
      </c>
      <c r="BO410" s="1">
        <f>IFERROR(__xludf.DUMMYFUNCTION("""COMPUTED_VALUE"""),233.44)</f>
        <v>233.44</v>
      </c>
      <c r="BP410" s="1">
        <f>IFERROR(__xludf.DUMMYFUNCTION("""COMPUTED_VALUE"""),331.83)</f>
        <v>331.83</v>
      </c>
      <c r="BQ410" s="36">
        <f>IFERROR(__xludf.DUMMYFUNCTION("""COMPUTED_VALUE"""),49.44)</f>
        <v>49.44</v>
      </c>
      <c r="BR410" s="1">
        <f>IFERROR(__xludf.DUMMYFUNCTION("""COMPUTED_VALUE"""),12.32)</f>
        <v>12.32</v>
      </c>
      <c r="BS410" s="1">
        <f>IFERROR(__xludf.DUMMYFUNCTION("""COMPUTED_VALUE"""),221.1)</f>
        <v>221.1</v>
      </c>
      <c r="BT410" s="1">
        <f>IFERROR(__xludf.DUMMYFUNCTION("""COMPUTED_VALUE"""),113.56)</f>
        <v>113.56</v>
      </c>
      <c r="BU410" s="3">
        <v>1.0</v>
      </c>
    </row>
    <row r="411">
      <c r="A411" s="25">
        <f>IFERROR(__xludf.DUMMYFUNCTION("""COMPUTED_VALUE"""),46020.66666666667)</f>
        <v>46020.66667</v>
      </c>
      <c r="B411" s="29">
        <f>'Master Scratch Work'!B410</f>
        <v>1585684.43</v>
      </c>
      <c r="C411" s="31">
        <f>IFERROR(__xludf.DUMMYFUNCTION("""COMPUTED_VALUE"""),6905.74)</f>
        <v>6905.74</v>
      </c>
      <c r="D411" s="31">
        <f>IFERROR(__xludf.DUMMYFUNCTION("""COMPUTED_VALUE"""),23474.35)</f>
        <v>23474.35</v>
      </c>
      <c r="E411" s="31">
        <f>IFERROR(__xludf.DUMMYFUNCTION("""COMPUTED_VALUE"""),48461.93)</f>
        <v>48461.93</v>
      </c>
      <c r="F411" s="31">
        <f>IFERROR(__xludf.DUMMYFUNCTION("""COMPUTED_VALUE"""),2519.8)</f>
        <v>2519.8</v>
      </c>
      <c r="G411" s="1">
        <f>IFERROR(__xludf.DUMMYFUNCTION("""COMPUTED_VALUE"""),687.85)</f>
        <v>687.85</v>
      </c>
      <c r="H411" s="1">
        <f>IFERROR(__xludf.DUMMYFUNCTION("""COMPUTED_VALUE"""),620.87)</f>
        <v>620.87</v>
      </c>
      <c r="I411" s="1">
        <f>IFERROR(__xludf.DUMMYFUNCTION("""COMPUTED_VALUE"""),353.16)</f>
        <v>353.16</v>
      </c>
      <c r="J411" s="1">
        <f>IFERROR(__xludf.DUMMYFUNCTION("""COMPUTED_VALUE"""),232.07)</f>
        <v>232.07</v>
      </c>
      <c r="K411" s="1">
        <f>IFERROR(__xludf.DUMMYFUNCTION("""COMPUTED_VALUE"""),130.95)</f>
        <v>130.95</v>
      </c>
      <c r="L411" s="1">
        <f>IFERROR(__xludf.DUMMYFUNCTION("""COMPUTED_VALUE"""),273.76)</f>
        <v>273.76</v>
      </c>
      <c r="M411" s="1">
        <f>IFERROR(__xludf.DUMMYFUNCTION("""COMPUTED_VALUE"""),263.05)</f>
        <v>263.05</v>
      </c>
      <c r="N411" s="1">
        <f>IFERROR(__xludf.DUMMYFUNCTION("""COMPUTED_VALUE"""),117.47)</f>
        <v>117.47</v>
      </c>
      <c r="O411" s="1">
        <f>IFERROR(__xludf.DUMMYFUNCTION("""COMPUTED_VALUE"""),25.48)</f>
        <v>25.48</v>
      </c>
      <c r="P411" s="1">
        <f>IFERROR(__xludf.DUMMYFUNCTION("""COMPUTED_VALUE"""),501.05)</f>
        <v>501.05</v>
      </c>
      <c r="Q411" s="1">
        <f>IFERROR(__xludf.DUMMYFUNCTION("""COMPUTED_VALUE"""),60.39)</f>
        <v>60.39</v>
      </c>
      <c r="R411" s="1">
        <f>IFERROR(__xludf.DUMMYFUNCTION("""COMPUTED_VALUE"""),176.83)</f>
        <v>176.83</v>
      </c>
      <c r="S411" s="1">
        <f>IFERROR(__xludf.DUMMYFUNCTION("""COMPUTED_VALUE"""),95.76)</f>
        <v>95.76</v>
      </c>
      <c r="T411" s="1">
        <f>IFERROR(__xludf.DUMMYFUNCTION("""COMPUTED_VALUE"""),53.61)</f>
        <v>53.61</v>
      </c>
      <c r="U411" s="1">
        <f>IFERROR(__xludf.DUMMYFUNCTION("""COMPUTED_VALUE"""),578.61)</f>
        <v>578.61</v>
      </c>
      <c r="V411" s="1">
        <f>IFERROR(__xludf.DUMMYFUNCTION("""COMPUTED_VALUE"""),92.84)</f>
        <v>92.84</v>
      </c>
      <c r="W411" s="1">
        <f>IFERROR(__xludf.DUMMYFUNCTION("""COMPUTED_VALUE"""),188.58)</f>
        <v>188.58</v>
      </c>
      <c r="X411" s="1">
        <f>IFERROR(__xludf.DUMMYFUNCTION("""COMPUTED_VALUE"""),150.99)</f>
        <v>150.99</v>
      </c>
      <c r="Y411" s="1">
        <f>IFERROR(__xludf.DUMMYFUNCTION("""COMPUTED_VALUE"""),276.01)</f>
        <v>276.01</v>
      </c>
      <c r="Z411" s="1">
        <f>IFERROR(__xludf.DUMMYFUNCTION("""COMPUTED_VALUE"""),59.14)</f>
        <v>59.14</v>
      </c>
      <c r="AA411" s="1">
        <f>IFERROR(__xludf.DUMMYFUNCTION("""COMPUTED_VALUE"""),70.16)</f>
        <v>70.16</v>
      </c>
      <c r="AB411" s="1">
        <f>IFERROR(__xludf.DUMMYFUNCTION("""COMPUTED_VALUE"""),99.54)</f>
        <v>99.54</v>
      </c>
      <c r="AC411" s="1">
        <f>IFERROR(__xludf.DUMMYFUNCTION("""COMPUTED_VALUE"""),155.65)</f>
        <v>155.65</v>
      </c>
      <c r="AD411" s="1">
        <f>IFERROR(__xludf.DUMMYFUNCTION("""COMPUTED_VALUE"""),123.93)</f>
        <v>123.93</v>
      </c>
      <c r="AE411" s="1">
        <f>IFERROR(__xludf.DUMMYFUNCTION("""COMPUTED_VALUE"""),421.25)</f>
        <v>421.25</v>
      </c>
      <c r="AF411" s="1">
        <f>IFERROR(__xludf.DUMMYFUNCTION("""COMPUTED_VALUE"""),87.74)</f>
        <v>87.74</v>
      </c>
      <c r="AG411" s="1">
        <f>IFERROR(__xludf.DUMMYFUNCTION("""COMPUTED_VALUE"""),120.53)</f>
        <v>120.53</v>
      </c>
      <c r="AH411" s="1">
        <f>IFERROR(__xludf.DUMMYFUNCTION("""COMPUTED_VALUE"""),292.89)</f>
        <v>292.89</v>
      </c>
      <c r="AI411" s="1">
        <f>IFERROR(__xludf.DUMMYFUNCTION("""COMPUTED_VALUE"""),375.75)</f>
        <v>375.75</v>
      </c>
      <c r="AJ411" s="1">
        <f>IFERROR(__xludf.DUMMYFUNCTION("""COMPUTED_VALUE"""),340.48)</f>
        <v>340.48</v>
      </c>
      <c r="AK411" s="1">
        <f>IFERROR(__xludf.DUMMYFUNCTION("""COMPUTED_VALUE"""),82.93)</f>
        <v>82.93</v>
      </c>
      <c r="AL411" s="1">
        <f>IFERROR(__xludf.DUMMYFUNCTION("""COMPUTED_VALUE"""),124.91)</f>
        <v>124.91</v>
      </c>
      <c r="AM411" s="1">
        <f>IFERROR(__xludf.DUMMYFUNCTION("""COMPUTED_VALUE"""),892.18)</f>
        <v>892.18</v>
      </c>
      <c r="AN411" s="1">
        <f>IFERROR(__xludf.DUMMYFUNCTION("""COMPUTED_VALUE"""),347.45)</f>
        <v>347.45</v>
      </c>
      <c r="AO411" s="1">
        <f>IFERROR(__xludf.DUMMYFUNCTION("""COMPUTED_VALUE"""),179.34)</f>
        <v>179.34</v>
      </c>
      <c r="AP411" s="1">
        <f>IFERROR(__xludf.DUMMYFUNCTION("""COMPUTED_VALUE"""),163.98)</f>
        <v>163.98</v>
      </c>
      <c r="AQ411" s="1">
        <f>IFERROR(__xludf.DUMMYFUNCTION("""COMPUTED_VALUE"""),575.4)</f>
        <v>575.4</v>
      </c>
      <c r="AR411" s="1">
        <f>IFERROR(__xludf.DUMMYFUNCTION("""COMPUTED_VALUE"""),323.75)</f>
        <v>323.75</v>
      </c>
      <c r="AS411" s="1">
        <f>IFERROR(__xludf.DUMMYFUNCTION("""COMPUTED_VALUE"""),488.87)</f>
        <v>488.87</v>
      </c>
      <c r="AT411" s="1">
        <f>IFERROR(__xludf.DUMMYFUNCTION("""COMPUTED_VALUE"""),212.54)</f>
        <v>212.54</v>
      </c>
      <c r="AU411" s="1">
        <f>IFERROR(__xludf.DUMMYFUNCTION("""COMPUTED_VALUE"""),36.66)</f>
        <v>36.66</v>
      </c>
      <c r="AV411" s="1">
        <f>IFERROR(__xludf.DUMMYFUNCTION("""COMPUTED_VALUE"""),96.15)</f>
        <v>96.15</v>
      </c>
      <c r="AW411" s="1">
        <f>IFERROR(__xludf.DUMMYFUNCTION("""COMPUTED_VALUE"""),79.99)</f>
        <v>79.99</v>
      </c>
      <c r="AX411" s="1">
        <f>IFERROR(__xludf.DUMMYFUNCTION("""COMPUTED_VALUE"""),51.93)</f>
        <v>51.93</v>
      </c>
      <c r="AY411" s="1">
        <f>IFERROR(__xludf.DUMMYFUNCTION("""COMPUTED_VALUE"""),487.1)</f>
        <v>487.1</v>
      </c>
      <c r="AZ411" s="1">
        <f>IFERROR(__xludf.DUMMYFUNCTION("""COMPUTED_VALUE"""),80.27)</f>
        <v>80.27</v>
      </c>
      <c r="BA411" s="1">
        <f>IFERROR(__xludf.DUMMYFUNCTION("""COMPUTED_VALUE"""),160.96)</f>
        <v>160.96</v>
      </c>
      <c r="BB411" s="1">
        <f>IFERROR(__xludf.DUMMYFUNCTION("""COMPUTED_VALUE"""),188.22)</f>
        <v>188.22</v>
      </c>
      <c r="BC411" s="1">
        <f>IFERROR(__xludf.DUMMYFUNCTION("""COMPUTED_VALUE"""),87.95)</f>
        <v>87.95</v>
      </c>
      <c r="BD411" s="1">
        <f>IFERROR(__xludf.DUMMYFUNCTION("""COMPUTED_VALUE"""),47.46)</f>
        <v>47.46</v>
      </c>
      <c r="BE411" s="1">
        <f>IFERROR(__xludf.DUMMYFUNCTION("""COMPUTED_VALUE"""),184.18)</f>
        <v>184.18</v>
      </c>
      <c r="BF411" s="1">
        <f>IFERROR(__xludf.DUMMYFUNCTION("""COMPUTED_VALUE"""),59.49)</f>
        <v>59.49</v>
      </c>
      <c r="BG411" s="1">
        <f>IFERROR(__xludf.DUMMYFUNCTION("""COMPUTED_VALUE"""),25.0)</f>
        <v>25</v>
      </c>
      <c r="BH411" s="1">
        <f>IFERROR(__xludf.DUMMYFUNCTION("""COMPUTED_VALUE"""),184.42)</f>
        <v>184.42</v>
      </c>
      <c r="BI411" s="1">
        <f>IFERROR(__xludf.DUMMYFUNCTION("""COMPUTED_VALUE"""),80.52)</f>
        <v>80.52</v>
      </c>
      <c r="BJ411" s="1">
        <f>IFERROR(__xludf.DUMMYFUNCTION("""COMPUTED_VALUE"""),203.15)</f>
        <v>203.15</v>
      </c>
      <c r="BK411" s="1">
        <f>IFERROR(__xludf.DUMMYFUNCTION("""COMPUTED_VALUE"""),585.07)</f>
        <v>585.07</v>
      </c>
      <c r="BL411" s="1">
        <f>IFERROR(__xludf.DUMMYFUNCTION("""COMPUTED_VALUE"""),216.44)</f>
        <v>216.44</v>
      </c>
      <c r="BM411" s="1">
        <f>IFERROR(__xludf.DUMMYFUNCTION("""COMPUTED_VALUE"""),123.06)</f>
        <v>123.06</v>
      </c>
      <c r="BN411" s="1">
        <f>IFERROR(__xludf.DUMMYFUNCTION("""COMPUTED_VALUE"""),4.78)</f>
        <v>4.78</v>
      </c>
      <c r="BO411" s="1">
        <f>IFERROR(__xludf.DUMMYFUNCTION("""COMPUTED_VALUE"""),234.53)</f>
        <v>234.53</v>
      </c>
      <c r="BP411" s="1">
        <f>IFERROR(__xludf.DUMMYFUNCTION("""COMPUTED_VALUE"""),328.94)</f>
        <v>328.94</v>
      </c>
      <c r="BQ411" s="36">
        <f>IFERROR(__xludf.DUMMYFUNCTION("""COMPUTED_VALUE"""),49.46)</f>
        <v>49.46</v>
      </c>
      <c r="BR411" s="1">
        <f>IFERROR(__xludf.DUMMYFUNCTION("""COMPUTED_VALUE"""),12.37)</f>
        <v>12.37</v>
      </c>
      <c r="BS411" s="1">
        <f>IFERROR(__xludf.DUMMYFUNCTION("""COMPUTED_VALUE"""),222.29)</f>
        <v>222.29</v>
      </c>
      <c r="BT411" s="1">
        <f>IFERROR(__xludf.DUMMYFUNCTION("""COMPUTED_VALUE"""),114.19)</f>
        <v>114.19</v>
      </c>
      <c r="BU411" s="3">
        <v>1.0</v>
      </c>
    </row>
    <row r="412">
      <c r="A412" s="25">
        <f>IFERROR(__xludf.DUMMYFUNCTION("""COMPUTED_VALUE"""),46021.66666666667)</f>
        <v>46021.66667</v>
      </c>
      <c r="B412" s="29">
        <f>'Master Scratch Work'!B411</f>
        <v>1581132.25</v>
      </c>
      <c r="C412" s="31">
        <f>IFERROR(__xludf.DUMMYFUNCTION("""COMPUTED_VALUE"""),6896.24)</f>
        <v>6896.24</v>
      </c>
      <c r="D412" s="31">
        <f>IFERROR(__xludf.DUMMYFUNCTION("""COMPUTED_VALUE"""),23419.08)</f>
        <v>23419.08</v>
      </c>
      <c r="E412" s="31">
        <f>IFERROR(__xludf.DUMMYFUNCTION("""COMPUTED_VALUE"""),48367.06)</f>
        <v>48367.06</v>
      </c>
      <c r="F412" s="31">
        <f>IFERROR(__xludf.DUMMYFUNCTION("""COMPUTED_VALUE"""),2500.59)</f>
        <v>2500.59</v>
      </c>
      <c r="G412" s="1">
        <f>IFERROR(__xludf.DUMMYFUNCTION("""COMPUTED_VALUE"""),687.01)</f>
        <v>687.01</v>
      </c>
      <c r="H412" s="1">
        <f>IFERROR(__xludf.DUMMYFUNCTION("""COMPUTED_VALUE"""),619.43)</f>
        <v>619.43</v>
      </c>
      <c r="I412" s="1">
        <f>IFERROR(__xludf.DUMMYFUNCTION("""COMPUTED_VALUE"""),352.51)</f>
        <v>352.51</v>
      </c>
      <c r="J412" s="1">
        <f>IFERROR(__xludf.DUMMYFUNCTION("""COMPUTED_VALUE"""),232.53)</f>
        <v>232.53</v>
      </c>
      <c r="K412" s="1">
        <f>IFERROR(__xludf.DUMMYFUNCTION("""COMPUTED_VALUE"""),131.13)</f>
        <v>131.13</v>
      </c>
      <c r="L412" s="1">
        <f>IFERROR(__xludf.DUMMYFUNCTION("""COMPUTED_VALUE"""),273.08)</f>
        <v>273.08</v>
      </c>
      <c r="M412" s="1">
        <f>IFERROR(__xludf.DUMMYFUNCTION("""COMPUTED_VALUE"""),259.97)</f>
        <v>259.97</v>
      </c>
      <c r="N412" s="1">
        <f>IFERROR(__xludf.DUMMYFUNCTION("""COMPUTED_VALUE"""),116.87)</f>
        <v>116.87</v>
      </c>
      <c r="O412" s="1">
        <f>IFERROR(__xludf.DUMMYFUNCTION("""COMPUTED_VALUE"""),25.59)</f>
        <v>25.59</v>
      </c>
      <c r="P412" s="1">
        <f>IFERROR(__xludf.DUMMYFUNCTION("""COMPUTED_VALUE"""),503.71)</f>
        <v>503.71</v>
      </c>
      <c r="Q412" s="1">
        <f>IFERROR(__xludf.DUMMYFUNCTION("""COMPUTED_VALUE"""),60.92)</f>
        <v>60.92</v>
      </c>
      <c r="R412" s="1">
        <f>IFERROR(__xludf.DUMMYFUNCTION("""COMPUTED_VALUE"""),176.4)</f>
        <v>176.4</v>
      </c>
      <c r="S412" s="1">
        <f>IFERROR(__xludf.DUMMYFUNCTION("""COMPUTED_VALUE"""),96.01)</f>
        <v>96.01</v>
      </c>
      <c r="T412" s="1">
        <f>IFERROR(__xludf.DUMMYFUNCTION("""COMPUTED_VALUE"""),53.43)</f>
        <v>53.43</v>
      </c>
      <c r="U412" s="1">
        <f>IFERROR(__xludf.DUMMYFUNCTION("""COMPUTED_VALUE"""),577.39)</f>
        <v>577.39</v>
      </c>
      <c r="V412" s="1">
        <f>IFERROR(__xludf.DUMMYFUNCTION("""COMPUTED_VALUE"""),91.37)</f>
        <v>91.37</v>
      </c>
      <c r="W412" s="1">
        <f>IFERROR(__xludf.DUMMYFUNCTION("""COMPUTED_VALUE"""),187.46)</f>
        <v>187.46</v>
      </c>
      <c r="X412" s="1">
        <f>IFERROR(__xludf.DUMMYFUNCTION("""COMPUTED_VALUE"""),152.31)</f>
        <v>152.31</v>
      </c>
      <c r="Y412" s="1">
        <f>IFERROR(__xludf.DUMMYFUNCTION("""COMPUTED_VALUE"""),276.48)</f>
        <v>276.48</v>
      </c>
      <c r="Z412" s="1">
        <f>IFERROR(__xludf.DUMMYFUNCTION("""COMPUTED_VALUE"""),58.95)</f>
        <v>58.95</v>
      </c>
      <c r="AA412" s="1">
        <f>IFERROR(__xludf.DUMMYFUNCTION("""COMPUTED_VALUE"""),70.07)</f>
        <v>70.07</v>
      </c>
      <c r="AB412" s="1">
        <f>IFERROR(__xludf.DUMMYFUNCTION("""COMPUTED_VALUE"""),99.89)</f>
        <v>99.89</v>
      </c>
      <c r="AC412" s="1">
        <f>IFERROR(__xludf.DUMMYFUNCTION("""COMPUTED_VALUE"""),156.39)</f>
        <v>156.39</v>
      </c>
      <c r="AD412" s="1">
        <f>IFERROR(__xludf.DUMMYFUNCTION("""COMPUTED_VALUE"""),124.02)</f>
        <v>124.02</v>
      </c>
      <c r="AE412" s="1">
        <f>IFERROR(__xludf.DUMMYFUNCTION("""COMPUTED_VALUE"""),421.92)</f>
        <v>421.92</v>
      </c>
      <c r="AF412" s="1">
        <f>IFERROR(__xludf.DUMMYFUNCTION("""COMPUTED_VALUE"""),87.1)</f>
        <v>87.1</v>
      </c>
      <c r="AG412" s="1">
        <f>IFERROR(__xludf.DUMMYFUNCTION("""COMPUTED_VALUE"""),120.99)</f>
        <v>120.99</v>
      </c>
      <c r="AH412" s="1">
        <f>IFERROR(__xludf.DUMMYFUNCTION("""COMPUTED_VALUE"""),291.06)</f>
        <v>291.06</v>
      </c>
      <c r="AI412" s="1">
        <f>IFERROR(__xludf.DUMMYFUNCTION("""COMPUTED_VALUE"""),372.48)</f>
        <v>372.48</v>
      </c>
      <c r="AJ412" s="1">
        <f>IFERROR(__xludf.DUMMYFUNCTION("""COMPUTED_VALUE"""),339.47)</f>
        <v>339.47</v>
      </c>
      <c r="AK412" s="1">
        <f>IFERROR(__xludf.DUMMYFUNCTION("""COMPUTED_VALUE"""),82.33)</f>
        <v>82.33</v>
      </c>
      <c r="AL412" s="1">
        <f>IFERROR(__xludf.DUMMYFUNCTION("""COMPUTED_VALUE"""),123.18)</f>
        <v>123.18</v>
      </c>
      <c r="AM412" s="1">
        <f>IFERROR(__xludf.DUMMYFUNCTION("""COMPUTED_VALUE"""),884.42)</f>
        <v>884.42</v>
      </c>
      <c r="AN412" s="1">
        <f>IFERROR(__xludf.DUMMYFUNCTION("""COMPUTED_VALUE"""),346.35)</f>
        <v>346.35</v>
      </c>
      <c r="AO412" s="1">
        <f>IFERROR(__xludf.DUMMYFUNCTION("""COMPUTED_VALUE"""),175.35)</f>
        <v>175.35</v>
      </c>
      <c r="AP412" s="1">
        <f>IFERROR(__xludf.DUMMYFUNCTION("""COMPUTED_VALUE"""),163.16)</f>
        <v>163.16</v>
      </c>
      <c r="AQ412" s="1">
        <f>IFERROR(__xludf.DUMMYFUNCTION("""COMPUTED_VALUE"""),572.63)</f>
        <v>572.63</v>
      </c>
      <c r="AR412" s="1">
        <f>IFERROR(__xludf.DUMMYFUNCTION("""COMPUTED_VALUE"""),323.42)</f>
        <v>323.42</v>
      </c>
      <c r="AS412" s="1">
        <f>IFERROR(__xludf.DUMMYFUNCTION("""COMPUTED_VALUE"""),488.0)</f>
        <v>488</v>
      </c>
      <c r="AT412" s="1">
        <f>IFERROR(__xludf.DUMMYFUNCTION("""COMPUTED_VALUE"""),210.67)</f>
        <v>210.67</v>
      </c>
      <c r="AU412" s="1">
        <f>IFERROR(__xludf.DUMMYFUNCTION("""COMPUTED_VALUE"""),36.53)</f>
        <v>36.53</v>
      </c>
      <c r="AV412" s="1">
        <f>IFERROR(__xludf.DUMMYFUNCTION("""COMPUTED_VALUE"""),96.66)</f>
        <v>96.66</v>
      </c>
      <c r="AW412" s="1">
        <f>IFERROR(__xludf.DUMMYFUNCTION("""COMPUTED_VALUE"""),79.78)</f>
        <v>79.78</v>
      </c>
      <c r="AX412" s="1">
        <f>IFERROR(__xludf.DUMMYFUNCTION("""COMPUTED_VALUE"""),50.44)</f>
        <v>50.44</v>
      </c>
      <c r="AY412" s="1">
        <f>IFERROR(__xludf.DUMMYFUNCTION("""COMPUTED_VALUE"""),487.48)</f>
        <v>487.48</v>
      </c>
      <c r="AZ412" s="1">
        <f>IFERROR(__xludf.DUMMYFUNCTION("""COMPUTED_VALUE"""),80.53)</f>
        <v>80.53</v>
      </c>
      <c r="BA412" s="1">
        <f>IFERROR(__xludf.DUMMYFUNCTION("""COMPUTED_VALUE"""),160.43)</f>
        <v>160.43</v>
      </c>
      <c r="BB412" s="1">
        <f>IFERROR(__xludf.DUMMYFUNCTION("""COMPUTED_VALUE"""),187.54)</f>
        <v>187.54</v>
      </c>
      <c r="BC412" s="1">
        <f>IFERROR(__xludf.DUMMYFUNCTION("""COMPUTED_VALUE"""),88.01)</f>
        <v>88.01</v>
      </c>
      <c r="BD412" s="1">
        <f>IFERROR(__xludf.DUMMYFUNCTION("""COMPUTED_VALUE"""),47.45)</f>
        <v>47.45</v>
      </c>
      <c r="BE412" s="1">
        <f>IFERROR(__xludf.DUMMYFUNCTION("""COMPUTED_VALUE"""),180.84)</f>
        <v>180.84</v>
      </c>
      <c r="BF412" s="1">
        <f>IFERROR(__xludf.DUMMYFUNCTION("""COMPUTED_VALUE"""),59.1)</f>
        <v>59.1</v>
      </c>
      <c r="BG412" s="1">
        <f>IFERROR(__xludf.DUMMYFUNCTION("""COMPUTED_VALUE"""),24.99)</f>
        <v>24.99</v>
      </c>
      <c r="BH412" s="1">
        <f>IFERROR(__xludf.DUMMYFUNCTION("""COMPUTED_VALUE"""),184.01)</f>
        <v>184.01</v>
      </c>
      <c r="BI412" s="1">
        <f>IFERROR(__xludf.DUMMYFUNCTION("""COMPUTED_VALUE"""),79.67)</f>
        <v>79.67</v>
      </c>
      <c r="BJ412" s="1">
        <f>IFERROR(__xludf.DUMMYFUNCTION("""COMPUTED_VALUE"""),203.8)</f>
        <v>203.8</v>
      </c>
      <c r="BK412" s="1">
        <f>IFERROR(__xludf.DUMMYFUNCTION("""COMPUTED_VALUE"""),583.45)</f>
        <v>583.45</v>
      </c>
      <c r="BL412" s="1">
        <f>IFERROR(__xludf.DUMMYFUNCTION("""COMPUTED_VALUE"""),214.85)</f>
        <v>214.85</v>
      </c>
      <c r="BM412" s="1">
        <f>IFERROR(__xludf.DUMMYFUNCTION("""COMPUTED_VALUE"""),121.92)</f>
        <v>121.92</v>
      </c>
      <c r="BN412" s="1">
        <f>IFERROR(__xludf.DUMMYFUNCTION("""COMPUTED_VALUE"""),5.14)</f>
        <v>5.14</v>
      </c>
      <c r="BO412" s="1">
        <f>IFERROR(__xludf.DUMMYFUNCTION("""COMPUTED_VALUE"""),233.06)</f>
        <v>233.06</v>
      </c>
      <c r="BP412" s="1">
        <f>IFERROR(__xludf.DUMMYFUNCTION("""COMPUTED_VALUE"""),332.16)</f>
        <v>332.16</v>
      </c>
      <c r="BQ412" s="36">
        <f>IFERROR(__xludf.DUMMYFUNCTION("""COMPUTED_VALUE"""),49.47)</f>
        <v>49.47</v>
      </c>
      <c r="BR412" s="1">
        <f>IFERROR(__xludf.DUMMYFUNCTION("""COMPUTED_VALUE"""),12.54)</f>
        <v>12.54</v>
      </c>
      <c r="BS412" s="1">
        <f>IFERROR(__xludf.DUMMYFUNCTION("""COMPUTED_VALUE"""),222.12)</f>
        <v>222.12</v>
      </c>
      <c r="BT412" s="1">
        <f>IFERROR(__xludf.DUMMYFUNCTION("""COMPUTED_VALUE"""),114.79)</f>
        <v>114.79</v>
      </c>
      <c r="BU412" s="3">
        <v>1.0</v>
      </c>
    </row>
    <row r="413">
      <c r="A413" s="25">
        <f>IFERROR(__xludf.DUMMYFUNCTION("""COMPUTED_VALUE"""),46022.66666666667)</f>
        <v>46022.66667</v>
      </c>
      <c r="B413" s="29">
        <f>'Master Scratch Work'!B412</f>
        <v>1572158.04</v>
      </c>
      <c r="C413" s="31">
        <f>IFERROR(__xludf.DUMMYFUNCTION("""COMPUTED_VALUE"""),6845.5)</f>
        <v>6845.5</v>
      </c>
      <c r="D413" s="31">
        <f>IFERROR(__xludf.DUMMYFUNCTION("""COMPUTED_VALUE"""),23241.99)</f>
        <v>23241.99</v>
      </c>
      <c r="E413" s="31">
        <f>IFERROR(__xludf.DUMMYFUNCTION("""COMPUTED_VALUE"""),48063.29)</f>
        <v>48063.29</v>
      </c>
      <c r="F413" s="31">
        <f>IFERROR(__xludf.DUMMYFUNCTION("""COMPUTED_VALUE"""),2481.91)</f>
        <v>2481.91</v>
      </c>
      <c r="G413" s="1">
        <f>IFERROR(__xludf.DUMMYFUNCTION("""COMPUTED_VALUE"""),681.92)</f>
        <v>681.92</v>
      </c>
      <c r="H413" s="1">
        <f>IFERROR(__xludf.DUMMYFUNCTION("""COMPUTED_VALUE"""),614.31)</f>
        <v>614.31</v>
      </c>
      <c r="I413" s="1">
        <f>IFERROR(__xludf.DUMMYFUNCTION("""COMPUTED_VALUE"""),349.99)</f>
        <v>349.99</v>
      </c>
      <c r="J413" s="1">
        <f>IFERROR(__xludf.DUMMYFUNCTION("""COMPUTED_VALUE"""),230.82)</f>
        <v>230.82</v>
      </c>
      <c r="K413" s="1">
        <f>IFERROR(__xludf.DUMMYFUNCTION("""COMPUTED_VALUE"""),130.5)</f>
        <v>130.5</v>
      </c>
      <c r="L413" s="1">
        <f>IFERROR(__xludf.DUMMYFUNCTION("""COMPUTED_VALUE"""),271.86)</f>
        <v>271.86</v>
      </c>
      <c r="M413" s="1">
        <f>IFERROR(__xludf.DUMMYFUNCTION("""COMPUTED_VALUE"""),256.99)</f>
        <v>256.99</v>
      </c>
      <c r="N413" s="1">
        <f>IFERROR(__xludf.DUMMYFUNCTION("""COMPUTED_VALUE"""),116.09)</f>
        <v>116.09</v>
      </c>
      <c r="O413" s="1">
        <f>IFERROR(__xludf.DUMMYFUNCTION("""COMPUTED_VALUE"""),25.45)</f>
        <v>25.45</v>
      </c>
      <c r="P413" s="1">
        <f>IFERROR(__xludf.DUMMYFUNCTION("""COMPUTED_VALUE"""),502.65)</f>
        <v>502.65</v>
      </c>
      <c r="Q413" s="1">
        <f>IFERROR(__xludf.DUMMYFUNCTION("""COMPUTED_VALUE"""),60.37)</f>
        <v>60.37</v>
      </c>
      <c r="R413" s="1">
        <f>IFERROR(__xludf.DUMMYFUNCTION("""COMPUTED_VALUE"""),175.99)</f>
        <v>175.99</v>
      </c>
      <c r="S413" s="1">
        <f>IFERROR(__xludf.DUMMYFUNCTION("""COMPUTED_VALUE"""),95.35)</f>
        <v>95.35</v>
      </c>
      <c r="T413" s="1">
        <f>IFERROR(__xludf.DUMMYFUNCTION("""COMPUTED_VALUE"""),52.84)</f>
        <v>52.84</v>
      </c>
      <c r="U413" s="1">
        <f>IFERROR(__xludf.DUMMYFUNCTION("""COMPUTED_VALUE"""),572.87)</f>
        <v>572.87</v>
      </c>
      <c r="V413" s="1">
        <f>IFERROR(__xludf.DUMMYFUNCTION("""COMPUTED_VALUE"""),91.49)</f>
        <v>91.49</v>
      </c>
      <c r="W413" s="1">
        <f>IFERROR(__xludf.DUMMYFUNCTION("""COMPUTED_VALUE"""),185.56)</f>
        <v>185.56</v>
      </c>
      <c r="X413" s="1">
        <f>IFERROR(__xludf.DUMMYFUNCTION("""COMPUTED_VALUE"""),152.41)</f>
        <v>152.41</v>
      </c>
      <c r="Y413" s="1">
        <f>IFERROR(__xludf.DUMMYFUNCTION("""COMPUTED_VALUE"""),275.23)</f>
        <v>275.23</v>
      </c>
      <c r="Z413" s="1">
        <f>IFERROR(__xludf.DUMMYFUNCTION("""COMPUTED_VALUE"""),58.41)</f>
        <v>58.41</v>
      </c>
      <c r="AA413" s="1">
        <f>IFERROR(__xludf.DUMMYFUNCTION("""COMPUTED_VALUE"""),69.91)</f>
        <v>69.91</v>
      </c>
      <c r="AB413" s="1">
        <f>IFERROR(__xludf.DUMMYFUNCTION("""COMPUTED_VALUE"""),99.32)</f>
        <v>99.32</v>
      </c>
      <c r="AC413" s="1">
        <f>IFERROR(__xludf.DUMMYFUNCTION("""COMPUTED_VALUE"""),154.71)</f>
        <v>154.71</v>
      </c>
      <c r="AD413" s="1">
        <f>IFERROR(__xludf.DUMMYFUNCTION("""COMPUTED_VALUE"""),123.01)</f>
        <v>123.01</v>
      </c>
      <c r="AE413" s="1">
        <f>IFERROR(__xludf.DUMMYFUNCTION("""COMPUTED_VALUE"""),416.82)</f>
        <v>416.82</v>
      </c>
      <c r="AF413" s="1">
        <f>IFERROR(__xludf.DUMMYFUNCTION("""COMPUTED_VALUE"""),87.1)</f>
        <v>87.1</v>
      </c>
      <c r="AG413" s="1">
        <f>IFERROR(__xludf.DUMMYFUNCTION("""COMPUTED_VALUE"""),120.34)</f>
        <v>120.34</v>
      </c>
      <c r="AH413" s="1">
        <f>IFERROR(__xludf.DUMMYFUNCTION("""COMPUTED_VALUE"""),288.86)</f>
        <v>288.86</v>
      </c>
      <c r="AI413" s="1">
        <f>IFERROR(__xludf.DUMMYFUNCTION("""COMPUTED_VALUE"""),369.56)</f>
        <v>369.56</v>
      </c>
      <c r="AJ413" s="1">
        <f>IFERROR(__xludf.DUMMYFUNCTION("""COMPUTED_VALUE"""),336.66)</f>
        <v>336.66</v>
      </c>
      <c r="AK413" s="1">
        <f>IFERROR(__xludf.DUMMYFUNCTION("""COMPUTED_VALUE"""),81.32)</f>
        <v>81.32</v>
      </c>
      <c r="AL413" s="1">
        <f>IFERROR(__xludf.DUMMYFUNCTION("""COMPUTED_VALUE"""),122.74)</f>
        <v>122.74</v>
      </c>
      <c r="AM413" s="1">
        <f>IFERROR(__xludf.DUMMYFUNCTION("""COMPUTED_VALUE"""),879.0)</f>
        <v>879</v>
      </c>
      <c r="AN413" s="1">
        <f>IFERROR(__xludf.DUMMYFUNCTION("""COMPUTED_VALUE"""),344.1)</f>
        <v>344.1</v>
      </c>
      <c r="AO413" s="1">
        <f>IFERROR(__xludf.DUMMYFUNCTION("""COMPUTED_VALUE"""),172.91)</f>
        <v>172.91</v>
      </c>
      <c r="AP413" s="1">
        <f>IFERROR(__xludf.DUMMYFUNCTION("""COMPUTED_VALUE"""),161.96)</f>
        <v>161.96</v>
      </c>
      <c r="AQ413" s="1">
        <f>IFERROR(__xludf.DUMMYFUNCTION("""COMPUTED_VALUE"""),566.36)</f>
        <v>566.36</v>
      </c>
      <c r="AR413" s="1">
        <f>IFERROR(__xludf.DUMMYFUNCTION("""COMPUTED_VALUE"""),322.22)</f>
        <v>322.22</v>
      </c>
      <c r="AS413" s="1">
        <f>IFERROR(__xludf.DUMMYFUNCTION("""COMPUTED_VALUE"""),483.67)</f>
        <v>483.67</v>
      </c>
      <c r="AT413" s="1">
        <f>IFERROR(__xludf.DUMMYFUNCTION("""COMPUTED_VALUE"""),207.81)</f>
        <v>207.81</v>
      </c>
      <c r="AU413" s="1">
        <f>IFERROR(__xludf.DUMMYFUNCTION("""COMPUTED_VALUE"""),36.28)</f>
        <v>36.28</v>
      </c>
      <c r="AV413" s="1">
        <f>IFERROR(__xludf.DUMMYFUNCTION("""COMPUTED_VALUE"""),96.06)</f>
        <v>96.06</v>
      </c>
      <c r="AW413" s="1">
        <f>IFERROR(__xludf.DUMMYFUNCTION("""COMPUTED_VALUE"""),78.94)</f>
        <v>78.94</v>
      </c>
      <c r="AX413" s="1">
        <f>IFERROR(__xludf.DUMMYFUNCTION("""COMPUTED_VALUE"""),50.52)</f>
        <v>50.52</v>
      </c>
      <c r="AY413" s="1">
        <f>IFERROR(__xludf.DUMMYFUNCTION("""COMPUTED_VALUE"""),483.62)</f>
        <v>483.62</v>
      </c>
      <c r="AZ413" s="1">
        <f>IFERROR(__xludf.DUMMYFUNCTION("""COMPUTED_VALUE"""),80.28)</f>
        <v>80.28</v>
      </c>
      <c r="BA413" s="1">
        <f>IFERROR(__xludf.DUMMYFUNCTION("""COMPUTED_VALUE"""),159.24)</f>
        <v>159.24</v>
      </c>
      <c r="BB413" s="1">
        <f>IFERROR(__xludf.DUMMYFUNCTION("""COMPUTED_VALUE"""),186.5)</f>
        <v>186.5</v>
      </c>
      <c r="BC413" s="1">
        <f>IFERROR(__xludf.DUMMYFUNCTION("""COMPUTED_VALUE"""),87.35)</f>
        <v>87.35</v>
      </c>
      <c r="BD413" s="1">
        <f>IFERROR(__xludf.DUMMYFUNCTION("""COMPUTED_VALUE"""),46.48)</f>
        <v>46.48</v>
      </c>
      <c r="BE413" s="1">
        <f>IFERROR(__xludf.DUMMYFUNCTION("""COMPUTED_VALUE"""),177.75)</f>
        <v>177.75</v>
      </c>
      <c r="BF413" s="1">
        <f>IFERROR(__xludf.DUMMYFUNCTION("""COMPUTED_VALUE"""),58.38)</f>
        <v>58.38</v>
      </c>
      <c r="BG413" s="1">
        <f>IFERROR(__xludf.DUMMYFUNCTION("""COMPUTED_VALUE"""),24.9)</f>
        <v>24.9</v>
      </c>
      <c r="BH413" s="1">
        <f>IFERROR(__xludf.DUMMYFUNCTION("""COMPUTED_VALUE"""),183.4)</f>
        <v>183.4</v>
      </c>
      <c r="BI413" s="1">
        <f>IFERROR(__xludf.DUMMYFUNCTION("""COMPUTED_VALUE"""),79.65)</f>
        <v>79.65</v>
      </c>
      <c r="BJ413" s="1">
        <f>IFERROR(__xludf.DUMMYFUNCTION("""COMPUTED_VALUE"""),203.04)</f>
        <v>203.04</v>
      </c>
      <c r="BK413" s="1">
        <f>IFERROR(__xludf.DUMMYFUNCTION("""COMPUTED_VALUE"""),579.45)</f>
        <v>579.45</v>
      </c>
      <c r="BL413" s="1">
        <f>IFERROR(__xludf.DUMMYFUNCTION("""COMPUTED_VALUE"""),214.06)</f>
        <v>214.06</v>
      </c>
      <c r="BM413" s="1">
        <f>IFERROR(__xludf.DUMMYFUNCTION("""COMPUTED_VALUE"""),121.65)</f>
        <v>121.65</v>
      </c>
      <c r="BN413" s="1">
        <f>IFERROR(__xludf.DUMMYFUNCTION("""COMPUTED_VALUE"""),4.97)</f>
        <v>4.97</v>
      </c>
      <c r="BO413" s="1">
        <f>IFERROR(__xludf.DUMMYFUNCTION("""COMPUTED_VALUE"""),231.32)</f>
        <v>231.32</v>
      </c>
      <c r="BP413" s="1">
        <f>IFERROR(__xludf.DUMMYFUNCTION("""COMPUTED_VALUE"""),330.11)</f>
        <v>330.11</v>
      </c>
      <c r="BQ413" s="36">
        <f>IFERROR(__xludf.DUMMYFUNCTION("""COMPUTED_VALUE"""),49.46)</f>
        <v>49.46</v>
      </c>
      <c r="BR413" s="1">
        <f>IFERROR(__xludf.DUMMYFUNCTION("""COMPUTED_VALUE"""),12.45)</f>
        <v>12.45</v>
      </c>
      <c r="BS413" s="1">
        <f>IFERROR(__xludf.DUMMYFUNCTION("""COMPUTED_VALUE"""),219.71)</f>
        <v>219.71</v>
      </c>
      <c r="BT413" s="1">
        <f>IFERROR(__xludf.DUMMYFUNCTION("""COMPUTED_VALUE"""),113.77)</f>
        <v>113.77</v>
      </c>
      <c r="BU413" s="3">
        <v>1.0</v>
      </c>
    </row>
    <row r="414">
      <c r="A414" s="25">
        <f>IFERROR(__xludf.DUMMYFUNCTION("""COMPUTED_VALUE"""),46024.66666666667)</f>
        <v>46024.66667</v>
      </c>
      <c r="B414" s="29">
        <f>'Master Scratch Work'!B413</f>
        <v>1581741.2</v>
      </c>
      <c r="C414" s="31">
        <f>IFERROR(__xludf.DUMMYFUNCTION("""COMPUTED_VALUE"""),6858.47)</f>
        <v>6858.47</v>
      </c>
      <c r="D414" s="31">
        <f>IFERROR(__xludf.DUMMYFUNCTION("""COMPUTED_VALUE"""),23235.63)</f>
        <v>23235.63</v>
      </c>
      <c r="E414" s="31">
        <f>IFERROR(__xludf.DUMMYFUNCTION("""COMPUTED_VALUE"""),48382.39)</f>
        <v>48382.39</v>
      </c>
      <c r="F414" s="31">
        <f>IFERROR(__xludf.DUMMYFUNCTION("""COMPUTED_VALUE"""),2508.22)</f>
        <v>2508.22</v>
      </c>
      <c r="G414" s="1">
        <f>IFERROR(__xludf.DUMMYFUNCTION("""COMPUTED_VALUE"""),683.17)</f>
        <v>683.17</v>
      </c>
      <c r="H414" s="1">
        <f>IFERROR(__xludf.DUMMYFUNCTION("""COMPUTED_VALUE"""),613.12)</f>
        <v>613.12</v>
      </c>
      <c r="I414" s="1">
        <f>IFERROR(__xludf.DUMMYFUNCTION("""COMPUTED_VALUE"""),333.3)</f>
        <v>333.3</v>
      </c>
      <c r="J414" s="1">
        <f>IFERROR(__xludf.DUMMYFUNCTION("""COMPUTED_VALUE"""),226.5)</f>
        <v>226.5</v>
      </c>
      <c r="K414" s="1">
        <f>IFERROR(__xludf.DUMMYFUNCTION("""COMPUTED_VALUE"""),130.32)</f>
        <v>130.32</v>
      </c>
      <c r="L414" s="1">
        <f>IFERROR(__xludf.DUMMYFUNCTION("""COMPUTED_VALUE"""),271.01)</f>
        <v>271.01</v>
      </c>
      <c r="M414" s="1">
        <f>IFERROR(__xludf.DUMMYFUNCTION("""COMPUTED_VALUE"""),268.87)</f>
        <v>268.87</v>
      </c>
      <c r="N414" s="1">
        <f>IFERROR(__xludf.DUMMYFUNCTION("""COMPUTED_VALUE"""),117.04)</f>
        <v>117.04</v>
      </c>
      <c r="O414" s="1">
        <f>IFERROR(__xludf.DUMMYFUNCTION("""COMPUTED_VALUE"""),26.05)</f>
        <v>26.05</v>
      </c>
      <c r="P414" s="1">
        <f>IFERROR(__xludf.DUMMYFUNCTION("""COMPUTED_VALUE"""),496.85)</f>
        <v>496.85</v>
      </c>
      <c r="Q414" s="1">
        <f>IFERROR(__xludf.DUMMYFUNCTION("""COMPUTED_VALUE"""),61.76)</f>
        <v>61.76</v>
      </c>
      <c r="R414" s="1">
        <f>IFERROR(__xludf.DUMMYFUNCTION("""COMPUTED_VALUE"""),177.82)</f>
        <v>177.82</v>
      </c>
      <c r="S414" s="1">
        <f>IFERROR(__xludf.DUMMYFUNCTION("""COMPUTED_VALUE"""),94.71)</f>
        <v>94.71</v>
      </c>
      <c r="T414" s="1">
        <f>IFERROR(__xludf.DUMMYFUNCTION("""COMPUTED_VALUE"""),53.52)</f>
        <v>53.52</v>
      </c>
      <c r="U414" s="1">
        <f>IFERROR(__xludf.DUMMYFUNCTION("""COMPUTED_VALUE"""),598.41)</f>
        <v>598.41</v>
      </c>
      <c r="V414" s="1">
        <f>IFERROR(__xludf.DUMMYFUNCTION("""COMPUTED_VALUE"""),98.56)</f>
        <v>98.56</v>
      </c>
      <c r="W414" s="1">
        <f>IFERROR(__xludf.DUMMYFUNCTION("""COMPUTED_VALUE"""),181.03)</f>
        <v>181.03</v>
      </c>
      <c r="X414" s="1">
        <f>IFERROR(__xludf.DUMMYFUNCTION("""COMPUTED_VALUE"""),155.9)</f>
        <v>155.9</v>
      </c>
      <c r="Y414" s="1">
        <f>IFERROR(__xludf.DUMMYFUNCTION("""COMPUTED_VALUE"""),279.12)</f>
        <v>279.12</v>
      </c>
      <c r="Z414" s="1">
        <f>IFERROR(__xludf.DUMMYFUNCTION("""COMPUTED_VALUE"""),59.39)</f>
        <v>59.39</v>
      </c>
      <c r="AA414" s="1">
        <f>IFERROR(__xludf.DUMMYFUNCTION("""COMPUTED_VALUE"""),69.12)</f>
        <v>69.12</v>
      </c>
      <c r="AB414" s="1">
        <f>IFERROR(__xludf.DUMMYFUNCTION("""COMPUTED_VALUE"""),99.99)</f>
        <v>99.99</v>
      </c>
      <c r="AC414" s="1">
        <f>IFERROR(__xludf.DUMMYFUNCTION("""COMPUTED_VALUE"""),155.03)</f>
        <v>155.03</v>
      </c>
      <c r="AD414" s="1">
        <f>IFERROR(__xludf.DUMMYFUNCTION("""COMPUTED_VALUE"""),127.7)</f>
        <v>127.7</v>
      </c>
      <c r="AE414" s="1">
        <f>IFERROR(__xludf.DUMMYFUNCTION("""COMPUTED_VALUE"""),425.28)</f>
        <v>425.28</v>
      </c>
      <c r="AF414" s="1">
        <f>IFERROR(__xludf.DUMMYFUNCTION("""COMPUTED_VALUE"""),87.06)</f>
        <v>87.06</v>
      </c>
      <c r="AG414" s="1">
        <f>IFERROR(__xludf.DUMMYFUNCTION("""COMPUTED_VALUE"""),122.65)</f>
        <v>122.65</v>
      </c>
      <c r="AH414" s="1">
        <f>IFERROR(__xludf.DUMMYFUNCTION("""COMPUTED_VALUE"""),293.13)</f>
        <v>293.13</v>
      </c>
      <c r="AI414" s="1">
        <f>IFERROR(__xludf.DUMMYFUNCTION("""COMPUTED_VALUE"""),371.89)</f>
        <v>371.89</v>
      </c>
      <c r="AJ414" s="1">
        <f>IFERROR(__xludf.DUMMYFUNCTION("""COMPUTED_VALUE"""),343.4)</f>
        <v>343.4</v>
      </c>
      <c r="AK414" s="1">
        <f>IFERROR(__xludf.DUMMYFUNCTION("""COMPUTED_VALUE"""),80.98)</f>
        <v>80.98</v>
      </c>
      <c r="AL414" s="1">
        <f>IFERROR(__xludf.DUMMYFUNCTION("""COMPUTED_VALUE"""),121.6)</f>
        <v>121.6</v>
      </c>
      <c r="AM414" s="1">
        <f>IFERROR(__xludf.DUMMYFUNCTION("""COMPUTED_VALUE"""),914.34)</f>
        <v>914.34</v>
      </c>
      <c r="AN414" s="1">
        <f>IFERROR(__xludf.DUMMYFUNCTION("""COMPUTED_VALUE"""),345.82)</f>
        <v>345.82</v>
      </c>
      <c r="AO414" s="1">
        <f>IFERROR(__xludf.DUMMYFUNCTION("""COMPUTED_VALUE"""),171.05)</f>
        <v>171.05</v>
      </c>
      <c r="AP414" s="1">
        <f>IFERROR(__xludf.DUMMYFUNCTION("""COMPUTED_VALUE"""),159.99)</f>
        <v>159.99</v>
      </c>
      <c r="AQ414" s="1">
        <f>IFERROR(__xludf.DUMMYFUNCTION("""COMPUTED_VALUE"""),561.98)</f>
        <v>561.98</v>
      </c>
      <c r="AR414" s="1">
        <f>IFERROR(__xludf.DUMMYFUNCTION("""COMPUTED_VALUE"""),325.48)</f>
        <v>325.48</v>
      </c>
      <c r="AS414" s="1">
        <f>IFERROR(__xludf.DUMMYFUNCTION("""COMPUTED_VALUE"""),497.07)</f>
        <v>497.07</v>
      </c>
      <c r="AT414" s="1">
        <f>IFERROR(__xludf.DUMMYFUNCTION("""COMPUTED_VALUE"""),210.81)</f>
        <v>210.81</v>
      </c>
      <c r="AU414" s="1">
        <f>IFERROR(__xludf.DUMMYFUNCTION("""COMPUTED_VALUE"""),36.24)</f>
        <v>36.24</v>
      </c>
      <c r="AV414" s="1">
        <f>IFERROR(__xludf.DUMMYFUNCTION("""COMPUTED_VALUE"""),96.05)</f>
        <v>96.05</v>
      </c>
      <c r="AW414" s="1">
        <f>IFERROR(__xludf.DUMMYFUNCTION("""COMPUTED_VALUE"""),80.32)</f>
        <v>80.32</v>
      </c>
      <c r="AX414" s="1">
        <f>IFERROR(__xludf.DUMMYFUNCTION("""COMPUTED_VALUE"""),54.97)</f>
        <v>54.97</v>
      </c>
      <c r="AY414" s="1">
        <f>IFERROR(__xludf.DUMMYFUNCTION("""COMPUTED_VALUE"""),472.94)</f>
        <v>472.94</v>
      </c>
      <c r="AZ414" s="1">
        <f>IFERROR(__xludf.DUMMYFUNCTION("""COMPUTED_VALUE"""),80.93)</f>
        <v>80.93</v>
      </c>
      <c r="BA414" s="1">
        <f>IFERROR(__xludf.DUMMYFUNCTION("""COMPUTED_VALUE"""),166.16)</f>
        <v>166.16</v>
      </c>
      <c r="BB414" s="1">
        <f>IFERROR(__xludf.DUMMYFUNCTION("""COMPUTED_VALUE"""),188.85)</f>
        <v>188.85</v>
      </c>
      <c r="BC414" s="1">
        <f>IFERROR(__xludf.DUMMYFUNCTION("""COMPUTED_VALUE"""),88.34)</f>
        <v>88.34</v>
      </c>
      <c r="BD414" s="1">
        <f>IFERROR(__xludf.DUMMYFUNCTION("""COMPUTED_VALUE"""),46.95)</f>
        <v>46.95</v>
      </c>
      <c r="BE414" s="1">
        <f>IFERROR(__xludf.DUMMYFUNCTION("""COMPUTED_VALUE"""),167.86)</f>
        <v>167.86</v>
      </c>
      <c r="BF414" s="1">
        <f>IFERROR(__xludf.DUMMYFUNCTION("""COMPUTED_VALUE"""),58.14)</f>
        <v>58.14</v>
      </c>
      <c r="BG414" s="1">
        <f>IFERROR(__xludf.DUMMYFUNCTION("""COMPUTED_VALUE"""),25.18)</f>
        <v>25.18</v>
      </c>
      <c r="BH414" s="1">
        <f>IFERROR(__xludf.DUMMYFUNCTION("""COMPUTED_VALUE"""),187.25)</f>
        <v>187.25</v>
      </c>
      <c r="BI414" s="1">
        <f>IFERROR(__xludf.DUMMYFUNCTION("""COMPUTED_VALUE"""),79.02)</f>
        <v>79.02</v>
      </c>
      <c r="BJ414" s="1">
        <f>IFERROR(__xludf.DUMMYFUNCTION("""COMPUTED_VALUE"""),199.58)</f>
        <v>199.58</v>
      </c>
      <c r="BK414" s="1">
        <f>IFERROR(__xludf.DUMMYFUNCTION("""COMPUTED_VALUE"""),592.51)</f>
        <v>592.51</v>
      </c>
      <c r="BL414" s="1">
        <f>IFERROR(__xludf.DUMMYFUNCTION("""COMPUTED_VALUE"""),217.87)</f>
        <v>217.87</v>
      </c>
      <c r="BM414" s="1">
        <f>IFERROR(__xludf.DUMMYFUNCTION("""COMPUTED_VALUE"""),122.69)</f>
        <v>122.69</v>
      </c>
      <c r="BN414" s="1">
        <f>IFERROR(__xludf.DUMMYFUNCTION("""COMPUTED_VALUE"""),5.29)</f>
        <v>5.29</v>
      </c>
      <c r="BO414" s="1">
        <f>IFERROR(__xludf.DUMMYFUNCTION("""COMPUTED_VALUE"""),231.91)</f>
        <v>231.91</v>
      </c>
      <c r="BP414" s="1">
        <f>IFERROR(__xludf.DUMMYFUNCTION("""COMPUTED_VALUE"""),336.4)</f>
        <v>336.4</v>
      </c>
      <c r="BQ414" s="36">
        <f>IFERROR(__xludf.DUMMYFUNCTION("""COMPUTED_VALUE"""),49.45)</f>
        <v>49.45</v>
      </c>
      <c r="BR414" s="1">
        <f>IFERROR(__xludf.DUMMYFUNCTION("""COMPUTED_VALUE"""),12.46)</f>
        <v>12.46</v>
      </c>
      <c r="BS414" s="1">
        <f>IFERROR(__xludf.DUMMYFUNCTION("""COMPUTED_VALUE"""),218.4)</f>
        <v>218.4</v>
      </c>
      <c r="BT414" s="1">
        <f>IFERROR(__xludf.DUMMYFUNCTION("""COMPUTED_VALUE"""),111.85)</f>
        <v>111.85</v>
      </c>
      <c r="BU414" s="3">
        <v>1.0</v>
      </c>
    </row>
    <row r="415">
      <c r="A415" s="25">
        <f>IFERROR(__xludf.DUMMYFUNCTION("""COMPUTED_VALUE"""),46027.66666666667)</f>
        <v>46027.66667</v>
      </c>
      <c r="B415" s="29">
        <f>'Master Scratch Work'!B414</f>
        <v>1603619.02</v>
      </c>
      <c r="C415" s="31">
        <f>IFERROR(__xludf.DUMMYFUNCTION("""COMPUTED_VALUE"""),6902.05)</f>
        <v>6902.05</v>
      </c>
      <c r="D415" s="31">
        <f>IFERROR(__xludf.DUMMYFUNCTION("""COMPUTED_VALUE"""),23395.82)</f>
        <v>23395.82</v>
      </c>
      <c r="E415" s="31">
        <f>IFERROR(__xludf.DUMMYFUNCTION("""COMPUTED_VALUE"""),48977.18)</f>
        <v>48977.18</v>
      </c>
      <c r="F415" s="31">
        <f>IFERROR(__xludf.DUMMYFUNCTION("""COMPUTED_VALUE"""),2547.92)</f>
        <v>2547.92</v>
      </c>
      <c r="G415" s="1">
        <f>IFERROR(__xludf.DUMMYFUNCTION("""COMPUTED_VALUE"""),687.72)</f>
        <v>687.72</v>
      </c>
      <c r="H415" s="1">
        <f>IFERROR(__xludf.DUMMYFUNCTION("""COMPUTED_VALUE"""),617.99)</f>
        <v>617.99</v>
      </c>
      <c r="I415" s="1">
        <f>IFERROR(__xludf.DUMMYFUNCTION("""COMPUTED_VALUE"""),331.56)</f>
        <v>331.56</v>
      </c>
      <c r="J415" s="1">
        <f>IFERROR(__xludf.DUMMYFUNCTION("""COMPUTED_VALUE"""),233.06)</f>
        <v>233.06</v>
      </c>
      <c r="K415" s="1">
        <f>IFERROR(__xludf.DUMMYFUNCTION("""COMPUTED_VALUE"""),127.4)</f>
        <v>127.4</v>
      </c>
      <c r="L415" s="1">
        <f>IFERROR(__xludf.DUMMYFUNCTION("""COMPUTED_VALUE"""),267.26)</f>
        <v>267.26</v>
      </c>
      <c r="M415" s="1">
        <f>IFERROR(__xludf.DUMMYFUNCTION("""COMPUTED_VALUE"""),284.32)</f>
        <v>284.32</v>
      </c>
      <c r="N415" s="1">
        <f>IFERROR(__xludf.DUMMYFUNCTION("""COMPUTED_VALUE"""),121.04)</f>
        <v>121.04</v>
      </c>
      <c r="O415" s="1">
        <f>IFERROR(__xludf.DUMMYFUNCTION("""COMPUTED_VALUE"""),26.32)</f>
        <v>26.32</v>
      </c>
      <c r="P415" s="1">
        <f>IFERROR(__xludf.DUMMYFUNCTION("""COMPUTED_VALUE"""),498.52)</f>
        <v>498.52</v>
      </c>
      <c r="Q415" s="1">
        <f>IFERROR(__xludf.DUMMYFUNCTION("""COMPUTED_VALUE"""),63.14)</f>
        <v>63.14</v>
      </c>
      <c r="R415" s="1">
        <f>IFERROR(__xludf.DUMMYFUNCTION("""COMPUTED_VALUE"""),174.63)</f>
        <v>174.63</v>
      </c>
      <c r="S415" s="1">
        <f>IFERROR(__xludf.DUMMYFUNCTION("""COMPUTED_VALUE"""),95.48)</f>
        <v>95.48</v>
      </c>
      <c r="T415" s="1">
        <f>IFERROR(__xludf.DUMMYFUNCTION("""COMPUTED_VALUE"""),53.79)</f>
        <v>53.79</v>
      </c>
      <c r="U415" s="1">
        <f>IFERROR(__xludf.DUMMYFUNCTION("""COMPUTED_VALUE"""),616.1)</f>
        <v>616.1</v>
      </c>
      <c r="V415" s="1">
        <f>IFERROR(__xludf.DUMMYFUNCTION("""COMPUTED_VALUE"""),100.17)</f>
        <v>100.17</v>
      </c>
      <c r="W415" s="1">
        <f>IFERROR(__xludf.DUMMYFUNCTION("""COMPUTED_VALUE"""),185.1)</f>
        <v>185.1</v>
      </c>
      <c r="X415" s="1">
        <f>IFERROR(__xludf.DUMMYFUNCTION("""COMPUTED_VALUE"""),163.85)</f>
        <v>163.85</v>
      </c>
      <c r="Y415" s="1">
        <f>IFERROR(__xludf.DUMMYFUNCTION("""COMPUTED_VALUE"""),283.97)</f>
        <v>283.97</v>
      </c>
      <c r="Z415" s="1">
        <f>IFERROR(__xludf.DUMMYFUNCTION("""COMPUTED_VALUE"""),61.05)</f>
        <v>61.05</v>
      </c>
      <c r="AA415" s="1">
        <f>IFERROR(__xludf.DUMMYFUNCTION("""COMPUTED_VALUE"""),67.94)</f>
        <v>67.94</v>
      </c>
      <c r="AB415" s="1">
        <f>IFERROR(__xludf.DUMMYFUNCTION("""COMPUTED_VALUE"""),98.5)</f>
        <v>98.5</v>
      </c>
      <c r="AC415" s="1">
        <f>IFERROR(__xludf.DUMMYFUNCTION("""COMPUTED_VALUE"""),155.77)</f>
        <v>155.77</v>
      </c>
      <c r="AD415" s="1">
        <f>IFERROR(__xludf.DUMMYFUNCTION("""COMPUTED_VALUE"""),128.57)</f>
        <v>128.57</v>
      </c>
      <c r="AE415" s="1">
        <f>IFERROR(__xludf.DUMMYFUNCTION("""COMPUTED_VALUE"""),411.44)</f>
        <v>411.44</v>
      </c>
      <c r="AF415" s="1">
        <f>IFERROR(__xludf.DUMMYFUNCTION("""COMPUTED_VALUE"""),90.47)</f>
        <v>90.47</v>
      </c>
      <c r="AG415" s="1">
        <f>IFERROR(__xludf.DUMMYFUNCTION("""COMPUTED_VALUE"""),125.36)</f>
        <v>125.36</v>
      </c>
      <c r="AH415" s="1">
        <f>IFERROR(__xludf.DUMMYFUNCTION("""COMPUTED_VALUE"""),297.46)</f>
        <v>297.46</v>
      </c>
      <c r="AI415" s="1">
        <f>IFERROR(__xludf.DUMMYFUNCTION("""COMPUTED_VALUE"""),379.27)</f>
        <v>379.27</v>
      </c>
      <c r="AJ415" s="1">
        <f>IFERROR(__xludf.DUMMYFUNCTION("""COMPUTED_VALUE"""),355.56)</f>
        <v>355.56</v>
      </c>
      <c r="AK415" s="1">
        <f>IFERROR(__xludf.DUMMYFUNCTION("""COMPUTED_VALUE"""),83.15)</f>
        <v>83.15</v>
      </c>
      <c r="AL415" s="1">
        <f>IFERROR(__xludf.DUMMYFUNCTION("""COMPUTED_VALUE"""),118.3)</f>
        <v>118.3</v>
      </c>
      <c r="AM415" s="1">
        <f>IFERROR(__xludf.DUMMYFUNCTION("""COMPUTED_VALUE"""),948.44)</f>
        <v>948.44</v>
      </c>
      <c r="AN415" s="1">
        <f>IFERROR(__xludf.DUMMYFUNCTION("""COMPUTED_VALUE"""),344.09)</f>
        <v>344.09</v>
      </c>
      <c r="AO415" s="1">
        <f>IFERROR(__xludf.DUMMYFUNCTION("""COMPUTED_VALUE"""),180.92)</f>
        <v>180.92</v>
      </c>
      <c r="AP415" s="1">
        <f>IFERROR(__xludf.DUMMYFUNCTION("""COMPUTED_VALUE"""),165.62)</f>
        <v>165.62</v>
      </c>
      <c r="AQ415" s="1">
        <f>IFERROR(__xludf.DUMMYFUNCTION("""COMPUTED_VALUE"""),566.38)</f>
        <v>566.38</v>
      </c>
      <c r="AR415" s="1">
        <f>IFERROR(__xludf.DUMMYFUNCTION("""COMPUTED_VALUE"""),334.04)</f>
        <v>334.04</v>
      </c>
      <c r="AS415" s="1">
        <f>IFERROR(__xludf.DUMMYFUNCTION("""COMPUTED_VALUE"""),511.57)</f>
        <v>511.57</v>
      </c>
      <c r="AT415" s="1">
        <f>IFERROR(__xludf.DUMMYFUNCTION("""COMPUTED_VALUE"""),212.4)</f>
        <v>212.4</v>
      </c>
      <c r="AU415" s="1">
        <f>IFERROR(__xludf.DUMMYFUNCTION("""COMPUTED_VALUE"""),36.68)</f>
        <v>36.68</v>
      </c>
      <c r="AV415" s="1">
        <f>IFERROR(__xludf.DUMMYFUNCTION("""COMPUTED_VALUE"""),97.36)</f>
        <v>97.36</v>
      </c>
      <c r="AW415" s="1">
        <f>IFERROR(__xludf.DUMMYFUNCTION("""COMPUTED_VALUE"""),81.77)</f>
        <v>81.77</v>
      </c>
      <c r="AX415" s="1">
        <f>IFERROR(__xludf.DUMMYFUNCTION("""COMPUTED_VALUE"""),58.62)</f>
        <v>58.62</v>
      </c>
      <c r="AY415" s="1">
        <f>IFERROR(__xludf.DUMMYFUNCTION("""COMPUTED_VALUE"""),472.85)</f>
        <v>472.85</v>
      </c>
      <c r="AZ415" s="1">
        <f>IFERROR(__xludf.DUMMYFUNCTION("""COMPUTED_VALUE"""),81.32)</f>
        <v>81.32</v>
      </c>
      <c r="BA415" s="1">
        <f>IFERROR(__xludf.DUMMYFUNCTION("""COMPUTED_VALUE"""),161.59)</f>
        <v>161.59</v>
      </c>
      <c r="BB415" s="1">
        <f>IFERROR(__xludf.DUMMYFUNCTION("""COMPUTED_VALUE"""),188.12)</f>
        <v>188.12</v>
      </c>
      <c r="BC415" s="1">
        <f>IFERROR(__xludf.DUMMYFUNCTION("""COMPUTED_VALUE"""),89.18)</f>
        <v>89.18</v>
      </c>
      <c r="BD415" s="1">
        <f>IFERROR(__xludf.DUMMYFUNCTION("""COMPUTED_VALUE"""),49.0)</f>
        <v>49</v>
      </c>
      <c r="BE415" s="1">
        <f>IFERROR(__xludf.DUMMYFUNCTION("""COMPUTED_VALUE"""),174.04)</f>
        <v>174.04</v>
      </c>
      <c r="BF415" s="1">
        <f>IFERROR(__xludf.DUMMYFUNCTION("""COMPUTED_VALUE"""),59.29)</f>
        <v>59.29</v>
      </c>
      <c r="BG415" s="1">
        <f>IFERROR(__xludf.DUMMYFUNCTION("""COMPUTED_VALUE"""),25.17)</f>
        <v>25.17</v>
      </c>
      <c r="BH415" s="1">
        <f>IFERROR(__xludf.DUMMYFUNCTION("""COMPUTED_VALUE"""),188.26)</f>
        <v>188.26</v>
      </c>
      <c r="BI415" s="1">
        <f>IFERROR(__xludf.DUMMYFUNCTION("""COMPUTED_VALUE"""),78.33)</f>
        <v>78.33</v>
      </c>
      <c r="BJ415" s="1">
        <f>IFERROR(__xludf.DUMMYFUNCTION("""COMPUTED_VALUE"""),200.86)</f>
        <v>200.86</v>
      </c>
      <c r="BK415" s="1">
        <f>IFERROR(__xludf.DUMMYFUNCTION("""COMPUTED_VALUE"""),611.2)</f>
        <v>611.2</v>
      </c>
      <c r="BL415" s="1">
        <f>IFERROR(__xludf.DUMMYFUNCTION("""COMPUTED_VALUE"""),218.86)</f>
        <v>218.86</v>
      </c>
      <c r="BM415" s="1">
        <f>IFERROR(__xludf.DUMMYFUNCTION("""COMPUTED_VALUE"""),126.28)</f>
        <v>126.28</v>
      </c>
      <c r="BN415" s="1">
        <f>IFERROR(__xludf.DUMMYFUNCTION("""COMPUTED_VALUE"""),5.42)</f>
        <v>5.42</v>
      </c>
      <c r="BO415" s="1">
        <f>IFERROR(__xludf.DUMMYFUNCTION("""COMPUTED_VALUE"""),231.97)</f>
        <v>231.97</v>
      </c>
      <c r="BP415" s="1">
        <f>IFERROR(__xludf.DUMMYFUNCTION("""COMPUTED_VALUE"""),342.02)</f>
        <v>342.02</v>
      </c>
      <c r="BQ415" s="36">
        <f>IFERROR(__xludf.DUMMYFUNCTION("""COMPUTED_VALUE"""),49.5)</f>
        <v>49.5</v>
      </c>
      <c r="BR415" s="1">
        <f>IFERROR(__xludf.DUMMYFUNCTION("""COMPUTED_VALUE"""),12.37)</f>
        <v>12.37</v>
      </c>
      <c r="BS415" s="1">
        <f>IFERROR(__xludf.DUMMYFUNCTION("""COMPUTED_VALUE"""),219.44)</f>
        <v>219.44</v>
      </c>
      <c r="BT415" s="1">
        <f>IFERROR(__xludf.DUMMYFUNCTION("""COMPUTED_VALUE"""),114.07)</f>
        <v>114.07</v>
      </c>
      <c r="BU415" s="3">
        <v>1.0</v>
      </c>
    </row>
    <row r="416">
      <c r="A416" s="25">
        <f>IFERROR(__xludf.DUMMYFUNCTION("""COMPUTED_VALUE"""),46028.66666666667)</f>
        <v>46028.66667</v>
      </c>
      <c r="B416" s="29">
        <f>'Master Scratch Work'!B415</f>
        <v>1618565.95</v>
      </c>
      <c r="C416" s="31">
        <f>IFERROR(__xludf.DUMMYFUNCTION("""COMPUTED_VALUE"""),6944.82)</f>
        <v>6944.82</v>
      </c>
      <c r="D416" s="31">
        <f>IFERROR(__xludf.DUMMYFUNCTION("""COMPUTED_VALUE"""),23547.17)</f>
        <v>23547.17</v>
      </c>
      <c r="E416" s="31">
        <f>IFERROR(__xludf.DUMMYFUNCTION("""COMPUTED_VALUE"""),49462.08)</f>
        <v>49462.08</v>
      </c>
      <c r="F416" s="31">
        <f>IFERROR(__xludf.DUMMYFUNCTION("""COMPUTED_VALUE"""),2582.9)</f>
        <v>2582.9</v>
      </c>
      <c r="G416" s="1">
        <f>IFERROR(__xludf.DUMMYFUNCTION("""COMPUTED_VALUE"""),691.81)</f>
        <v>691.81</v>
      </c>
      <c r="H416" s="1">
        <f>IFERROR(__xludf.DUMMYFUNCTION("""COMPUTED_VALUE"""),623.42)</f>
        <v>623.42</v>
      </c>
      <c r="I416" s="1">
        <f>IFERROR(__xludf.DUMMYFUNCTION("""COMPUTED_VALUE"""),335.99)</f>
        <v>335.99</v>
      </c>
      <c r="J416" s="1">
        <f>IFERROR(__xludf.DUMMYFUNCTION("""COMPUTED_VALUE"""),240.93)</f>
        <v>240.93</v>
      </c>
      <c r="K416" s="1">
        <f>IFERROR(__xludf.DUMMYFUNCTION("""COMPUTED_VALUE"""),128.97)</f>
        <v>128.97</v>
      </c>
      <c r="L416" s="1">
        <f>IFERROR(__xludf.DUMMYFUNCTION("""COMPUTED_VALUE"""),262.36)</f>
        <v>262.36</v>
      </c>
      <c r="M416" s="1">
        <f>IFERROR(__xludf.DUMMYFUNCTION("""COMPUTED_VALUE"""),296.01)</f>
        <v>296.01</v>
      </c>
      <c r="N416" s="1">
        <f>IFERROR(__xludf.DUMMYFUNCTION("""COMPUTED_VALUE"""),121.31)</f>
        <v>121.31</v>
      </c>
      <c r="O416" s="1">
        <f>IFERROR(__xludf.DUMMYFUNCTION("""COMPUTED_VALUE"""),26.25)</f>
        <v>26.25</v>
      </c>
      <c r="P416" s="1">
        <f>IFERROR(__xludf.DUMMYFUNCTION("""COMPUTED_VALUE"""),499.05)</f>
        <v>499.05</v>
      </c>
      <c r="Q416" s="1">
        <f>IFERROR(__xludf.DUMMYFUNCTION("""COMPUTED_VALUE"""),64.8)</f>
        <v>64.8</v>
      </c>
      <c r="R416" s="1">
        <f>IFERROR(__xludf.DUMMYFUNCTION("""COMPUTED_VALUE"""),182.61)</f>
        <v>182.61</v>
      </c>
      <c r="S416" s="1">
        <f>IFERROR(__xludf.DUMMYFUNCTION("""COMPUTED_VALUE"""),97.79)</f>
        <v>97.79</v>
      </c>
      <c r="T416" s="1">
        <f>IFERROR(__xludf.DUMMYFUNCTION("""COMPUTED_VALUE"""),53.5)</f>
        <v>53.5</v>
      </c>
      <c r="U416" s="1">
        <f>IFERROR(__xludf.DUMMYFUNCTION("""COMPUTED_VALUE"""),623.09)</f>
        <v>623.09</v>
      </c>
      <c r="V416" s="1">
        <f>IFERROR(__xludf.DUMMYFUNCTION("""COMPUTED_VALUE"""),102.09)</f>
        <v>102.09</v>
      </c>
      <c r="W416" s="1">
        <f>IFERROR(__xludf.DUMMYFUNCTION("""COMPUTED_VALUE"""),186.01)</f>
        <v>186.01</v>
      </c>
      <c r="X416" s="1">
        <f>IFERROR(__xludf.DUMMYFUNCTION("""COMPUTED_VALUE"""),156.54)</f>
        <v>156.54</v>
      </c>
      <c r="Y416" s="1">
        <f>IFERROR(__xludf.DUMMYFUNCTION("""COMPUTED_VALUE"""),284.76)</f>
        <v>284.76</v>
      </c>
      <c r="Z416" s="1">
        <f>IFERROR(__xludf.DUMMYFUNCTION("""COMPUTED_VALUE"""),62.14)</f>
        <v>62.14</v>
      </c>
      <c r="AA416" s="1">
        <f>IFERROR(__xludf.DUMMYFUNCTION("""COMPUTED_VALUE"""),67.84)</f>
        <v>67.84</v>
      </c>
      <c r="AB416" s="1">
        <f>IFERROR(__xludf.DUMMYFUNCTION("""COMPUTED_VALUE"""),99.32)</f>
        <v>99.32</v>
      </c>
      <c r="AC416" s="1">
        <f>IFERROR(__xludf.DUMMYFUNCTION("""COMPUTED_VALUE"""),156.78)</f>
        <v>156.78</v>
      </c>
      <c r="AD416" s="1">
        <f>IFERROR(__xludf.DUMMYFUNCTION("""COMPUTED_VALUE"""),133.78)</f>
        <v>133.78</v>
      </c>
      <c r="AE416" s="1">
        <f>IFERROR(__xludf.DUMMYFUNCTION("""COMPUTED_VALUE"""),406.5)</f>
        <v>406.5</v>
      </c>
      <c r="AF416" s="1">
        <f>IFERROR(__xludf.DUMMYFUNCTION("""COMPUTED_VALUE"""),91.51)</f>
        <v>91.51</v>
      </c>
      <c r="AG416" s="1">
        <f>IFERROR(__xludf.DUMMYFUNCTION("""COMPUTED_VALUE"""),121.05)</f>
        <v>121.05</v>
      </c>
      <c r="AH416" s="1">
        <f>IFERROR(__xludf.DUMMYFUNCTION("""COMPUTED_VALUE"""),307.93)</f>
        <v>307.93</v>
      </c>
      <c r="AI416" s="1">
        <f>IFERROR(__xludf.DUMMYFUNCTION("""COMPUTED_VALUE"""),371.96)</f>
        <v>371.96</v>
      </c>
      <c r="AJ416" s="1">
        <f>IFERROR(__xludf.DUMMYFUNCTION("""COMPUTED_VALUE"""),360.71)</f>
        <v>360.71</v>
      </c>
      <c r="AK416" s="1">
        <f>IFERROR(__xludf.DUMMYFUNCTION("""COMPUTED_VALUE"""),82.18)</f>
        <v>82.18</v>
      </c>
      <c r="AL416" s="1">
        <f>IFERROR(__xludf.DUMMYFUNCTION("""COMPUTED_VALUE"""),121.36)</f>
        <v>121.36</v>
      </c>
      <c r="AM416" s="1">
        <f>IFERROR(__xludf.DUMMYFUNCTION("""COMPUTED_VALUE"""),955.47)</f>
        <v>955.47</v>
      </c>
      <c r="AN416" s="1">
        <f>IFERROR(__xludf.DUMMYFUNCTION("""COMPUTED_VALUE"""),349.29)</f>
        <v>349.29</v>
      </c>
      <c r="AO416" s="1">
        <f>IFERROR(__xludf.DUMMYFUNCTION("""COMPUTED_VALUE"""),178.01)</f>
        <v>178.01</v>
      </c>
      <c r="AP416" s="1">
        <f>IFERROR(__xludf.DUMMYFUNCTION("""COMPUTED_VALUE"""),166.01)</f>
        <v>166.01</v>
      </c>
      <c r="AQ416" s="1">
        <f>IFERROR(__xludf.DUMMYFUNCTION("""COMPUTED_VALUE"""),592.85)</f>
        <v>592.85</v>
      </c>
      <c r="AR416" s="1">
        <f>IFERROR(__xludf.DUMMYFUNCTION("""COMPUTED_VALUE"""),334.61)</f>
        <v>334.61</v>
      </c>
      <c r="AS416" s="1">
        <f>IFERROR(__xludf.DUMMYFUNCTION("""COMPUTED_VALUE"""),522.04)</f>
        <v>522.04</v>
      </c>
      <c r="AT416" s="1">
        <f>IFERROR(__xludf.DUMMYFUNCTION("""COMPUTED_VALUE"""),215.88)</f>
        <v>215.88</v>
      </c>
      <c r="AU416" s="1">
        <f>IFERROR(__xludf.DUMMYFUNCTION("""COMPUTED_VALUE"""),37.4)</f>
        <v>37.4</v>
      </c>
      <c r="AV416" s="1">
        <f>IFERROR(__xludf.DUMMYFUNCTION("""COMPUTED_VALUE"""),100.31)</f>
        <v>100.31</v>
      </c>
      <c r="AW416" s="1">
        <f>IFERROR(__xludf.DUMMYFUNCTION("""COMPUTED_VALUE"""),81.18)</f>
        <v>81.18</v>
      </c>
      <c r="AX416" s="1">
        <f>IFERROR(__xludf.DUMMYFUNCTION("""COMPUTED_VALUE"""),59.82)</f>
        <v>59.82</v>
      </c>
      <c r="AY416" s="1">
        <f>IFERROR(__xludf.DUMMYFUNCTION("""COMPUTED_VALUE"""),478.51)</f>
        <v>478.51</v>
      </c>
      <c r="AZ416" s="1">
        <f>IFERROR(__xludf.DUMMYFUNCTION("""COMPUTED_VALUE"""),81.05)</f>
        <v>81.05</v>
      </c>
      <c r="BA416" s="1">
        <f>IFERROR(__xludf.DUMMYFUNCTION("""COMPUTED_VALUE"""),159.63)</f>
        <v>159.63</v>
      </c>
      <c r="BB416" s="1">
        <f>IFERROR(__xludf.DUMMYFUNCTION("""COMPUTED_VALUE"""),187.24)</f>
        <v>187.24</v>
      </c>
      <c r="BC416" s="1">
        <f>IFERROR(__xludf.DUMMYFUNCTION("""COMPUTED_VALUE"""),89.89)</f>
        <v>89.89</v>
      </c>
      <c r="BD416" s="1">
        <f>IFERROR(__xludf.DUMMYFUNCTION("""COMPUTED_VALUE"""),49.04)</f>
        <v>49.04</v>
      </c>
      <c r="BE416" s="1">
        <f>IFERROR(__xludf.DUMMYFUNCTION("""COMPUTED_VALUE"""),179.71)</f>
        <v>179.71</v>
      </c>
      <c r="BF416" s="1">
        <f>IFERROR(__xludf.DUMMYFUNCTION("""COMPUTED_VALUE"""),59.81)</f>
        <v>59.81</v>
      </c>
      <c r="BG416" s="1">
        <f>IFERROR(__xludf.DUMMYFUNCTION("""COMPUTED_VALUE"""),25.43)</f>
        <v>25.43</v>
      </c>
      <c r="BH416" s="1">
        <f>IFERROR(__xludf.DUMMYFUNCTION("""COMPUTED_VALUE"""),190.4)</f>
        <v>190.4</v>
      </c>
      <c r="BI416" s="1">
        <f>IFERROR(__xludf.DUMMYFUNCTION("""COMPUTED_VALUE"""),79.85)</f>
        <v>79.85</v>
      </c>
      <c r="BJ416" s="1">
        <f>IFERROR(__xludf.DUMMYFUNCTION("""COMPUTED_VALUE"""),198.6)</f>
        <v>198.6</v>
      </c>
      <c r="BK416" s="1">
        <f>IFERROR(__xludf.DUMMYFUNCTION("""COMPUTED_VALUE"""),620.72)</f>
        <v>620.72</v>
      </c>
      <c r="BL416" s="1">
        <f>IFERROR(__xludf.DUMMYFUNCTION("""COMPUTED_VALUE"""),215.27)</f>
        <v>215.27</v>
      </c>
      <c r="BM416" s="1">
        <f>IFERROR(__xludf.DUMMYFUNCTION("""COMPUTED_VALUE"""),132.67)</f>
        <v>132.67</v>
      </c>
      <c r="BN416" s="1">
        <f>IFERROR(__xludf.DUMMYFUNCTION("""COMPUTED_VALUE"""),5.69)</f>
        <v>5.69</v>
      </c>
      <c r="BO416" s="1">
        <f>IFERROR(__xludf.DUMMYFUNCTION("""COMPUTED_VALUE"""),233.62)</f>
        <v>233.62</v>
      </c>
      <c r="BP416" s="1">
        <f>IFERROR(__xludf.DUMMYFUNCTION("""COMPUTED_VALUE"""),348.97)</f>
        <v>348.97</v>
      </c>
      <c r="BQ416" s="36">
        <f>IFERROR(__xludf.DUMMYFUNCTION("""COMPUTED_VALUE"""),49.52)</f>
        <v>49.52</v>
      </c>
      <c r="BR416" s="1">
        <f>IFERROR(__xludf.DUMMYFUNCTION("""COMPUTED_VALUE"""),12.4)</f>
        <v>12.4</v>
      </c>
      <c r="BS416" s="1">
        <f>IFERROR(__xludf.DUMMYFUNCTION("""COMPUTED_VALUE"""),219.08)</f>
        <v>219.08</v>
      </c>
      <c r="BT416" s="1">
        <f>IFERROR(__xludf.DUMMYFUNCTION("""COMPUTED_VALUE"""),114.57)</f>
        <v>114.57</v>
      </c>
      <c r="BU416" s="3">
        <v>1.0</v>
      </c>
    </row>
    <row r="417">
      <c r="A417" s="25">
        <f>IFERROR(__xludf.DUMMYFUNCTION("""COMPUTED_VALUE"""),46029.66666666667)</f>
        <v>46029.66667</v>
      </c>
      <c r="B417" s="29">
        <f>'Master Scratch Work'!B416</f>
        <v>1612787.05</v>
      </c>
      <c r="C417" s="31">
        <f>IFERROR(__xludf.DUMMYFUNCTION("""COMPUTED_VALUE"""),6920.93)</f>
        <v>6920.93</v>
      </c>
      <c r="D417" s="31">
        <f>IFERROR(__xludf.DUMMYFUNCTION("""COMPUTED_VALUE"""),23584.28)</f>
        <v>23584.28</v>
      </c>
      <c r="E417" s="31">
        <f>IFERROR(__xludf.DUMMYFUNCTION("""COMPUTED_VALUE"""),48996.08)</f>
        <v>48996.08</v>
      </c>
      <c r="F417" s="31">
        <f>IFERROR(__xludf.DUMMYFUNCTION("""COMPUTED_VALUE"""),2575.42)</f>
        <v>2575.42</v>
      </c>
      <c r="G417" s="1">
        <f>IFERROR(__xludf.DUMMYFUNCTION("""COMPUTED_VALUE"""),689.58)</f>
        <v>689.58</v>
      </c>
      <c r="H417" s="1">
        <f>IFERROR(__xludf.DUMMYFUNCTION("""COMPUTED_VALUE"""),624.02)</f>
        <v>624.02</v>
      </c>
      <c r="I417" s="1">
        <f>IFERROR(__xludf.DUMMYFUNCTION("""COMPUTED_VALUE"""),338.1)</f>
        <v>338.1</v>
      </c>
      <c r="J417" s="1">
        <f>IFERROR(__xludf.DUMMYFUNCTION("""COMPUTED_VALUE"""),241.56)</f>
        <v>241.56</v>
      </c>
      <c r="K417" s="1">
        <f>IFERROR(__xludf.DUMMYFUNCTION("""COMPUTED_VALUE"""),127.27)</f>
        <v>127.27</v>
      </c>
      <c r="L417" s="1">
        <f>IFERROR(__xludf.DUMMYFUNCTION("""COMPUTED_VALUE"""),260.33)</f>
        <v>260.33</v>
      </c>
      <c r="M417" s="1">
        <f>IFERROR(__xludf.DUMMYFUNCTION("""COMPUTED_VALUE"""),292.2)</f>
        <v>292.2</v>
      </c>
      <c r="N417" s="1">
        <f>IFERROR(__xludf.DUMMYFUNCTION("""COMPUTED_VALUE"""),120.45)</f>
        <v>120.45</v>
      </c>
      <c r="O417" s="1">
        <f>IFERROR(__xludf.DUMMYFUNCTION("""COMPUTED_VALUE"""),25.83)</f>
        <v>25.83</v>
      </c>
      <c r="P417" s="1">
        <f>IFERROR(__xludf.DUMMYFUNCTION("""COMPUTED_VALUE"""),496.12)</f>
        <v>496.12</v>
      </c>
      <c r="Q417" s="1">
        <f>IFERROR(__xludf.DUMMYFUNCTION("""COMPUTED_VALUE"""),63.86)</f>
        <v>63.86</v>
      </c>
      <c r="R417" s="1">
        <f>IFERROR(__xludf.DUMMYFUNCTION("""COMPUTED_VALUE"""),186.91)</f>
        <v>186.91</v>
      </c>
      <c r="S417" s="1">
        <f>IFERROR(__xludf.DUMMYFUNCTION("""COMPUTED_VALUE"""),98.65)</f>
        <v>98.65</v>
      </c>
      <c r="T417" s="1">
        <f>IFERROR(__xludf.DUMMYFUNCTION("""COMPUTED_VALUE"""),52.57)</f>
        <v>52.57</v>
      </c>
      <c r="U417" s="1">
        <f>IFERROR(__xludf.DUMMYFUNCTION("""COMPUTED_VALUE"""),596.52)</f>
        <v>596.52</v>
      </c>
      <c r="V417" s="1">
        <f>IFERROR(__xludf.DUMMYFUNCTION("""COMPUTED_VALUE"""),103.94)</f>
        <v>103.94</v>
      </c>
      <c r="W417" s="1">
        <f>IFERROR(__xludf.DUMMYFUNCTION("""COMPUTED_VALUE"""),189.56)</f>
        <v>189.56</v>
      </c>
      <c r="X417" s="1">
        <f>IFERROR(__xludf.DUMMYFUNCTION("""COMPUTED_VALUE"""),155.2)</f>
        <v>155.2</v>
      </c>
      <c r="Y417" s="1">
        <f>IFERROR(__xludf.DUMMYFUNCTION("""COMPUTED_VALUE"""),279.12)</f>
        <v>279.12</v>
      </c>
      <c r="Z417" s="1">
        <f>IFERROR(__xludf.DUMMYFUNCTION("""COMPUTED_VALUE"""),60.99)</f>
        <v>60.99</v>
      </c>
      <c r="AA417" s="1">
        <f>IFERROR(__xludf.DUMMYFUNCTION("""COMPUTED_VALUE"""),67.54)</f>
        <v>67.54</v>
      </c>
      <c r="AB417" s="1">
        <f>IFERROR(__xludf.DUMMYFUNCTION("""COMPUTED_VALUE"""),99.37)</f>
        <v>99.37</v>
      </c>
      <c r="AC417" s="1">
        <f>IFERROR(__xludf.DUMMYFUNCTION("""COMPUTED_VALUE"""),154.87)</f>
        <v>154.87</v>
      </c>
      <c r="AD417" s="1">
        <f>IFERROR(__xludf.DUMMYFUNCTION("""COMPUTED_VALUE"""),131.56)</f>
        <v>131.56</v>
      </c>
      <c r="AE417" s="1">
        <f>IFERROR(__xludf.DUMMYFUNCTION("""COMPUTED_VALUE"""),405.5)</f>
        <v>405.5</v>
      </c>
      <c r="AF417" s="1">
        <f>IFERROR(__xludf.DUMMYFUNCTION("""COMPUTED_VALUE"""),90.15)</f>
        <v>90.15</v>
      </c>
      <c r="AG417" s="1">
        <f>IFERROR(__xludf.DUMMYFUNCTION("""COMPUTED_VALUE"""),118.49)</f>
        <v>118.49</v>
      </c>
      <c r="AH417" s="1">
        <f>IFERROR(__xludf.DUMMYFUNCTION("""COMPUTED_VALUE"""),307.33)</f>
        <v>307.33</v>
      </c>
      <c r="AI417" s="1">
        <f>IFERROR(__xludf.DUMMYFUNCTION("""COMPUTED_VALUE"""),366.81)</f>
        <v>366.81</v>
      </c>
      <c r="AJ417" s="1">
        <f>IFERROR(__xludf.DUMMYFUNCTION("""COMPUTED_VALUE"""),345.64)</f>
        <v>345.64</v>
      </c>
      <c r="AK417" s="1">
        <f>IFERROR(__xludf.DUMMYFUNCTION("""COMPUTED_VALUE"""),81.91)</f>
        <v>81.91</v>
      </c>
      <c r="AL417" s="1">
        <f>IFERROR(__xludf.DUMMYFUNCTION("""COMPUTED_VALUE"""),124.35)</f>
        <v>124.35</v>
      </c>
      <c r="AM417" s="1">
        <f>IFERROR(__xludf.DUMMYFUNCTION("""COMPUTED_VALUE"""),941.02)</f>
        <v>941.02</v>
      </c>
      <c r="AN417" s="1">
        <f>IFERROR(__xludf.DUMMYFUNCTION("""COMPUTED_VALUE"""),349.06)</f>
        <v>349.06</v>
      </c>
      <c r="AO417" s="1">
        <f>IFERROR(__xludf.DUMMYFUNCTION("""COMPUTED_VALUE"""),179.2)</f>
        <v>179.2</v>
      </c>
      <c r="AP417" s="1">
        <f>IFERROR(__xludf.DUMMYFUNCTION("""COMPUTED_VALUE"""),161.92)</f>
        <v>161.92</v>
      </c>
      <c r="AQ417" s="1">
        <f>IFERROR(__xludf.DUMMYFUNCTION("""COMPUTED_VALUE"""),592.27)</f>
        <v>592.27</v>
      </c>
      <c r="AR417" s="1">
        <f>IFERROR(__xludf.DUMMYFUNCTION("""COMPUTED_VALUE"""),326.99)</f>
        <v>326.99</v>
      </c>
      <c r="AS417" s="1">
        <f>IFERROR(__xludf.DUMMYFUNCTION("""COMPUTED_VALUE"""),496.87)</f>
        <v>496.87</v>
      </c>
      <c r="AT417" s="1">
        <f>IFERROR(__xludf.DUMMYFUNCTION("""COMPUTED_VALUE"""),211.72)</f>
        <v>211.72</v>
      </c>
      <c r="AU417" s="1">
        <f>IFERROR(__xludf.DUMMYFUNCTION("""COMPUTED_VALUE"""),36.58)</f>
        <v>36.58</v>
      </c>
      <c r="AV417" s="1">
        <f>IFERROR(__xludf.DUMMYFUNCTION("""COMPUTED_VALUE"""),99.77)</f>
        <v>99.77</v>
      </c>
      <c r="AW417" s="1">
        <f>IFERROR(__xludf.DUMMYFUNCTION("""COMPUTED_VALUE"""),78.27)</f>
        <v>78.27</v>
      </c>
      <c r="AX417" s="1">
        <f>IFERROR(__xludf.DUMMYFUNCTION("""COMPUTED_VALUE"""),62.5)</f>
        <v>62.5</v>
      </c>
      <c r="AY417" s="1">
        <f>IFERROR(__xludf.DUMMYFUNCTION("""COMPUTED_VALUE"""),483.47)</f>
        <v>483.47</v>
      </c>
      <c r="AZ417" s="1">
        <f>IFERROR(__xludf.DUMMYFUNCTION("""COMPUTED_VALUE"""),78.37)</f>
        <v>78.37</v>
      </c>
      <c r="BA417" s="1">
        <f>IFERROR(__xludf.DUMMYFUNCTION("""COMPUTED_VALUE"""),148.91)</f>
        <v>148.91</v>
      </c>
      <c r="BB417" s="1">
        <f>IFERROR(__xludf.DUMMYFUNCTION("""COMPUTED_VALUE"""),189.11)</f>
        <v>189.11</v>
      </c>
      <c r="BC417" s="1">
        <f>IFERROR(__xludf.DUMMYFUNCTION("""COMPUTED_VALUE"""),88.42)</f>
        <v>88.42</v>
      </c>
      <c r="BD417" s="1">
        <f>IFERROR(__xludf.DUMMYFUNCTION("""COMPUTED_VALUE"""),48.66)</f>
        <v>48.66</v>
      </c>
      <c r="BE417" s="1">
        <f>IFERROR(__xludf.DUMMYFUNCTION("""COMPUTED_VALUE"""),181.68)</f>
        <v>181.68</v>
      </c>
      <c r="BF417" s="1">
        <f>IFERROR(__xludf.DUMMYFUNCTION("""COMPUTED_VALUE"""),58.51)</f>
        <v>58.51</v>
      </c>
      <c r="BG417" s="1">
        <f>IFERROR(__xludf.DUMMYFUNCTION("""COMPUTED_VALUE"""),25.28)</f>
        <v>25.28</v>
      </c>
      <c r="BH417" s="1">
        <f>IFERROR(__xludf.DUMMYFUNCTION("""COMPUTED_VALUE"""),185.73)</f>
        <v>185.73</v>
      </c>
      <c r="BI417" s="1">
        <f>IFERROR(__xludf.DUMMYFUNCTION("""COMPUTED_VALUE"""),102.71)</f>
        <v>102.71</v>
      </c>
      <c r="BJ417" s="1">
        <f>IFERROR(__xludf.DUMMYFUNCTION("""COMPUTED_VALUE"""),197.29)</f>
        <v>197.29</v>
      </c>
      <c r="BK417" s="1">
        <f>IFERROR(__xludf.DUMMYFUNCTION("""COMPUTED_VALUE"""),617.15)</f>
        <v>617.15</v>
      </c>
      <c r="BL417" s="1">
        <f>IFERROR(__xludf.DUMMYFUNCTION("""COMPUTED_VALUE"""),213.33)</f>
        <v>213.33</v>
      </c>
      <c r="BM417" s="1">
        <f>IFERROR(__xludf.DUMMYFUNCTION("""COMPUTED_VALUE"""),137.27)</f>
        <v>137.27</v>
      </c>
      <c r="BN417" s="1">
        <f>IFERROR(__xludf.DUMMYFUNCTION("""COMPUTED_VALUE"""),5.72)</f>
        <v>5.72</v>
      </c>
      <c r="BO417" s="1">
        <f>IFERROR(__xludf.DUMMYFUNCTION("""COMPUTED_VALUE"""),224.48)</f>
        <v>224.48</v>
      </c>
      <c r="BP417" s="1">
        <f>IFERROR(__xludf.DUMMYFUNCTION("""COMPUTED_VALUE"""),341.7)</f>
        <v>341.7</v>
      </c>
      <c r="BQ417" s="36">
        <f>IFERROR(__xludf.DUMMYFUNCTION("""COMPUTED_VALUE"""),49.52)</f>
        <v>49.52</v>
      </c>
      <c r="BR417" s="1">
        <f>IFERROR(__xludf.DUMMYFUNCTION("""COMPUTED_VALUE"""),12.46)</f>
        <v>12.46</v>
      </c>
      <c r="BS417" s="1">
        <f>IFERROR(__xludf.DUMMYFUNCTION("""COMPUTED_VALUE"""),215.97)</f>
        <v>215.97</v>
      </c>
      <c r="BT417" s="1">
        <f>IFERROR(__xludf.DUMMYFUNCTION("""COMPUTED_VALUE"""),112.91)</f>
        <v>112.91</v>
      </c>
      <c r="BU417" s="3">
        <v>1.0</v>
      </c>
    </row>
    <row r="418">
      <c r="A418" s="25">
        <f>IFERROR(__xludf.DUMMYFUNCTION("""COMPUTED_VALUE"""),46030.66666666667)</f>
        <v>46030.66667</v>
      </c>
      <c r="B418" s="29">
        <f>'Master Scratch Work'!B417</f>
        <v>1621747.42</v>
      </c>
      <c r="C418" s="31">
        <f>IFERROR(__xludf.DUMMYFUNCTION("""COMPUTED_VALUE"""),6921.46)</f>
        <v>6921.46</v>
      </c>
      <c r="D418" s="31">
        <f>IFERROR(__xludf.DUMMYFUNCTION("""COMPUTED_VALUE"""),23480.02)</f>
        <v>23480.02</v>
      </c>
      <c r="E418" s="31">
        <f>IFERROR(__xludf.DUMMYFUNCTION("""COMPUTED_VALUE"""),49266.11)</f>
        <v>49266.11</v>
      </c>
      <c r="F418" s="31">
        <f>IFERROR(__xludf.DUMMYFUNCTION("""COMPUTED_VALUE"""),2603.91)</f>
        <v>2603.91</v>
      </c>
      <c r="G418" s="1">
        <f>IFERROR(__xludf.DUMMYFUNCTION("""COMPUTED_VALUE"""),689.51)</f>
        <v>689.51</v>
      </c>
      <c r="H418" s="1">
        <f>IFERROR(__xludf.DUMMYFUNCTION("""COMPUTED_VALUE"""),620.47)</f>
        <v>620.47</v>
      </c>
      <c r="I418" s="1">
        <f>IFERROR(__xludf.DUMMYFUNCTION("""COMPUTED_VALUE"""),339.04)</f>
        <v>339.04</v>
      </c>
      <c r="J418" s="1">
        <f>IFERROR(__xludf.DUMMYFUNCTION("""COMPUTED_VALUE"""),246.29)</f>
        <v>246.29</v>
      </c>
      <c r="K418" s="1">
        <f>IFERROR(__xludf.DUMMYFUNCTION("""COMPUTED_VALUE"""),129.27)</f>
        <v>129.27</v>
      </c>
      <c r="L418" s="1">
        <f>IFERROR(__xludf.DUMMYFUNCTION("""COMPUTED_VALUE"""),259.04)</f>
        <v>259.04</v>
      </c>
      <c r="M418" s="1">
        <f>IFERROR(__xludf.DUMMYFUNCTION("""COMPUTED_VALUE"""),281.64)</f>
        <v>281.64</v>
      </c>
      <c r="N418" s="1">
        <f>IFERROR(__xludf.DUMMYFUNCTION("""COMPUTED_VALUE"""),120.05)</f>
        <v>120.05</v>
      </c>
      <c r="O418" s="1">
        <f>IFERROR(__xludf.DUMMYFUNCTION("""COMPUTED_VALUE"""),26.07)</f>
        <v>26.07</v>
      </c>
      <c r="P418" s="1">
        <f>IFERROR(__xludf.DUMMYFUNCTION("""COMPUTED_VALUE"""),499.77)</f>
        <v>499.77</v>
      </c>
      <c r="Q418" s="1">
        <f>IFERROR(__xludf.DUMMYFUNCTION("""COMPUTED_VALUE"""),62.95)</f>
        <v>62.95</v>
      </c>
      <c r="R418" s="1">
        <f>IFERROR(__xludf.DUMMYFUNCTION("""COMPUTED_VALUE"""),186.0)</f>
        <v>186</v>
      </c>
      <c r="S418" s="1">
        <f>IFERROR(__xludf.DUMMYFUNCTION("""COMPUTED_VALUE"""),98.38)</f>
        <v>98.38</v>
      </c>
      <c r="T418" s="1">
        <f>IFERROR(__xludf.DUMMYFUNCTION("""COMPUTED_VALUE"""),53.86)</f>
        <v>53.86</v>
      </c>
      <c r="U418" s="1">
        <f>IFERROR(__xludf.DUMMYFUNCTION("""COMPUTED_VALUE"""),608.13)</f>
        <v>608.13</v>
      </c>
      <c r="V418" s="1">
        <f>IFERROR(__xludf.DUMMYFUNCTION("""COMPUTED_VALUE"""),105.76)</f>
        <v>105.76</v>
      </c>
      <c r="W418" s="1">
        <f>IFERROR(__xludf.DUMMYFUNCTION("""COMPUTED_VALUE"""),190.76)</f>
        <v>190.76</v>
      </c>
      <c r="X418" s="1">
        <f>IFERROR(__xludf.DUMMYFUNCTION("""COMPUTED_VALUE"""),159.25)</f>
        <v>159.25</v>
      </c>
      <c r="Y418" s="1">
        <f>IFERROR(__xludf.DUMMYFUNCTION("""COMPUTED_VALUE"""),283.91)</f>
        <v>283.91</v>
      </c>
      <c r="Z418" s="1">
        <f>IFERROR(__xludf.DUMMYFUNCTION("""COMPUTED_VALUE"""),61.23)</f>
        <v>61.23</v>
      </c>
      <c r="AA418" s="1">
        <f>IFERROR(__xludf.DUMMYFUNCTION("""COMPUTED_VALUE"""),69.37)</f>
        <v>69.37</v>
      </c>
      <c r="AB418" s="1">
        <f>IFERROR(__xludf.DUMMYFUNCTION("""COMPUTED_VALUE"""),100.18)</f>
        <v>100.18</v>
      </c>
      <c r="AC418" s="1">
        <f>IFERROR(__xludf.DUMMYFUNCTION("""COMPUTED_VALUE"""),152.93)</f>
        <v>152.93</v>
      </c>
      <c r="AD418" s="1">
        <f>IFERROR(__xludf.DUMMYFUNCTION("""COMPUTED_VALUE"""),131.61)</f>
        <v>131.61</v>
      </c>
      <c r="AE418" s="1">
        <f>IFERROR(__xludf.DUMMYFUNCTION("""COMPUTED_VALUE"""),406.58)</f>
        <v>406.58</v>
      </c>
      <c r="AF418" s="1">
        <f>IFERROR(__xludf.DUMMYFUNCTION("""COMPUTED_VALUE"""),90.88)</f>
        <v>90.88</v>
      </c>
      <c r="AG418" s="1">
        <f>IFERROR(__xludf.DUMMYFUNCTION("""COMPUTED_VALUE"""),122.91)</f>
        <v>122.91</v>
      </c>
      <c r="AH418" s="1">
        <f>IFERROR(__xludf.DUMMYFUNCTION("""COMPUTED_VALUE"""),309.01)</f>
        <v>309.01</v>
      </c>
      <c r="AI418" s="1">
        <f>IFERROR(__xludf.DUMMYFUNCTION("""COMPUTED_VALUE"""),370.85)</f>
        <v>370.85</v>
      </c>
      <c r="AJ418" s="1">
        <f>IFERROR(__xludf.DUMMYFUNCTION("""COMPUTED_VALUE"""),351.44)</f>
        <v>351.44</v>
      </c>
      <c r="AK418" s="1">
        <f>IFERROR(__xludf.DUMMYFUNCTION("""COMPUTED_VALUE"""),85.13)</f>
        <v>85.13</v>
      </c>
      <c r="AL418" s="1">
        <f>IFERROR(__xludf.DUMMYFUNCTION("""COMPUTED_VALUE"""),120.67)</f>
        <v>120.67</v>
      </c>
      <c r="AM418" s="1">
        <f>IFERROR(__xludf.DUMMYFUNCTION("""COMPUTED_VALUE"""),934.83)</f>
        <v>934.83</v>
      </c>
      <c r="AN418" s="1">
        <f>IFERROR(__xludf.DUMMYFUNCTION("""COMPUTED_VALUE"""),359.56)</f>
        <v>359.56</v>
      </c>
      <c r="AO418" s="1">
        <f>IFERROR(__xludf.DUMMYFUNCTION("""COMPUTED_VALUE"""),178.52)</f>
        <v>178.52</v>
      </c>
      <c r="AP418" s="1">
        <f>IFERROR(__xludf.DUMMYFUNCTION("""COMPUTED_VALUE"""),161.98)</f>
        <v>161.98</v>
      </c>
      <c r="AQ418" s="1">
        <f>IFERROR(__xludf.DUMMYFUNCTION("""COMPUTED_VALUE"""),585.08)</f>
        <v>585.08</v>
      </c>
      <c r="AR418" s="1">
        <f>IFERROR(__xludf.DUMMYFUNCTION("""COMPUTED_VALUE"""),329.79)</f>
        <v>329.79</v>
      </c>
      <c r="AS418" s="1">
        <f>IFERROR(__xludf.DUMMYFUNCTION("""COMPUTED_VALUE"""),518.44)</f>
        <v>518.44</v>
      </c>
      <c r="AT418" s="1">
        <f>IFERROR(__xludf.DUMMYFUNCTION("""COMPUTED_VALUE"""),212.17)</f>
        <v>212.17</v>
      </c>
      <c r="AU418" s="1">
        <f>IFERROR(__xludf.DUMMYFUNCTION("""COMPUTED_VALUE"""),37.15)</f>
        <v>37.15</v>
      </c>
      <c r="AV418" s="1">
        <f>IFERROR(__xludf.DUMMYFUNCTION("""COMPUTED_VALUE"""),98.69)</f>
        <v>98.69</v>
      </c>
      <c r="AW418" s="1">
        <f>IFERROR(__xludf.DUMMYFUNCTION("""COMPUTED_VALUE"""),79.78)</f>
        <v>79.78</v>
      </c>
      <c r="AX418" s="1">
        <f>IFERROR(__xludf.DUMMYFUNCTION("""COMPUTED_VALUE"""),61.06)</f>
        <v>61.06</v>
      </c>
      <c r="AY418" s="1">
        <f>IFERROR(__xludf.DUMMYFUNCTION("""COMPUTED_VALUE"""),478.11)</f>
        <v>478.11</v>
      </c>
      <c r="AZ418" s="1">
        <f>IFERROR(__xludf.DUMMYFUNCTION("""COMPUTED_VALUE"""),79.49)</f>
        <v>79.49</v>
      </c>
      <c r="BA418" s="1">
        <f>IFERROR(__xludf.DUMMYFUNCTION("""COMPUTED_VALUE"""),143.53)</f>
        <v>143.53</v>
      </c>
      <c r="BB418" s="1">
        <f>IFERROR(__xludf.DUMMYFUNCTION("""COMPUTED_VALUE"""),185.04)</f>
        <v>185.04</v>
      </c>
      <c r="BC418" s="1">
        <f>IFERROR(__xludf.DUMMYFUNCTION("""COMPUTED_VALUE"""),90.39)</f>
        <v>90.39</v>
      </c>
      <c r="BD418" s="1">
        <f>IFERROR(__xludf.DUMMYFUNCTION("""COMPUTED_VALUE"""),50.63)</f>
        <v>50.63</v>
      </c>
      <c r="BE418" s="1">
        <f>IFERROR(__xludf.DUMMYFUNCTION("""COMPUTED_VALUE"""),176.86)</f>
        <v>176.86</v>
      </c>
      <c r="BF418" s="1">
        <f>IFERROR(__xludf.DUMMYFUNCTION("""COMPUTED_VALUE"""),58.27)</f>
        <v>58.27</v>
      </c>
      <c r="BG418" s="1">
        <f>IFERROR(__xludf.DUMMYFUNCTION("""COMPUTED_VALUE"""),25.29)</f>
        <v>25.29</v>
      </c>
      <c r="BH418" s="1">
        <f>IFERROR(__xludf.DUMMYFUNCTION("""COMPUTED_VALUE"""),187.17)</f>
        <v>187.17</v>
      </c>
      <c r="BI418" s="1">
        <f>IFERROR(__xludf.DUMMYFUNCTION("""COMPUTED_VALUE"""),107.39)</f>
        <v>107.39</v>
      </c>
      <c r="BJ418" s="1">
        <f>IFERROR(__xludf.DUMMYFUNCTION("""COMPUTED_VALUE"""),197.91)</f>
        <v>197.91</v>
      </c>
      <c r="BK418" s="1">
        <f>IFERROR(__xludf.DUMMYFUNCTION("""COMPUTED_VALUE"""),606.5)</f>
        <v>606.5</v>
      </c>
      <c r="BL418" s="1">
        <f>IFERROR(__xludf.DUMMYFUNCTION("""COMPUTED_VALUE"""),214.73)</f>
        <v>214.73</v>
      </c>
      <c r="BM418" s="1">
        <f>IFERROR(__xludf.DUMMYFUNCTION("""COMPUTED_VALUE"""),137.57)</f>
        <v>137.57</v>
      </c>
      <c r="BN418" s="1">
        <f>IFERROR(__xludf.DUMMYFUNCTION("""COMPUTED_VALUE"""),6.0)</f>
        <v>6</v>
      </c>
      <c r="BO418" s="1">
        <f>IFERROR(__xludf.DUMMYFUNCTION("""COMPUTED_VALUE"""),229.85)</f>
        <v>229.85</v>
      </c>
      <c r="BP418" s="1">
        <f>IFERROR(__xludf.DUMMYFUNCTION("""COMPUTED_VALUE"""),346.85)</f>
        <v>346.85</v>
      </c>
      <c r="BQ418" s="36">
        <f>IFERROR(__xludf.DUMMYFUNCTION("""COMPUTED_VALUE"""),49.51)</f>
        <v>49.51</v>
      </c>
      <c r="BR418" s="1">
        <f>IFERROR(__xludf.DUMMYFUNCTION("""COMPUTED_VALUE"""),12.6)</f>
        <v>12.6</v>
      </c>
      <c r="BS418" s="1">
        <f>IFERROR(__xludf.DUMMYFUNCTION("""COMPUTED_VALUE"""),217.86)</f>
        <v>217.86</v>
      </c>
      <c r="BT418" s="1">
        <f>IFERROR(__xludf.DUMMYFUNCTION("""COMPUTED_VALUE"""),114.17)</f>
        <v>114.17</v>
      </c>
      <c r="BU418" s="3">
        <v>1.0</v>
      </c>
    </row>
    <row r="419">
      <c r="A419" s="25">
        <f>IFERROR(__xludf.DUMMYFUNCTION("""COMPUTED_VALUE"""),46031.66666666667)</f>
        <v>46031.66667</v>
      </c>
      <c r="B419" s="29">
        <f>'Master Scratch Work'!B418</f>
        <v>1636238.76</v>
      </c>
      <c r="C419" s="31">
        <f>IFERROR(__xludf.DUMMYFUNCTION("""COMPUTED_VALUE"""),6966.28)</f>
        <v>6966.28</v>
      </c>
      <c r="D419" s="31">
        <f>IFERROR(__xludf.DUMMYFUNCTION("""COMPUTED_VALUE"""),23671.35)</f>
        <v>23671.35</v>
      </c>
      <c r="E419" s="31">
        <f>IFERROR(__xludf.DUMMYFUNCTION("""COMPUTED_VALUE"""),49504.07)</f>
        <v>49504.07</v>
      </c>
      <c r="F419" s="31">
        <f>IFERROR(__xludf.DUMMYFUNCTION("""COMPUTED_VALUE"""),2624.22)</f>
        <v>2624.22</v>
      </c>
      <c r="G419" s="1">
        <f>IFERROR(__xludf.DUMMYFUNCTION("""COMPUTED_VALUE"""),694.07)</f>
        <v>694.07</v>
      </c>
      <c r="H419" s="1">
        <f>IFERROR(__xludf.DUMMYFUNCTION("""COMPUTED_VALUE"""),626.65)</f>
        <v>626.65</v>
      </c>
      <c r="I419" s="1">
        <f>IFERROR(__xludf.DUMMYFUNCTION("""COMPUTED_VALUE"""),333.95)</f>
        <v>333.95</v>
      </c>
      <c r="J419" s="1">
        <f>IFERROR(__xludf.DUMMYFUNCTION("""COMPUTED_VALUE"""),247.38)</f>
        <v>247.38</v>
      </c>
      <c r="K419" s="1">
        <f>IFERROR(__xludf.DUMMYFUNCTION("""COMPUTED_VALUE"""),127.98)</f>
        <v>127.98</v>
      </c>
      <c r="L419" s="1">
        <f>IFERROR(__xludf.DUMMYFUNCTION("""COMPUTED_VALUE"""),259.37)</f>
        <v>259.37</v>
      </c>
      <c r="M419" s="1">
        <f>IFERROR(__xludf.DUMMYFUNCTION("""COMPUTED_VALUE"""),301.18)</f>
        <v>301.18</v>
      </c>
      <c r="N419" s="1">
        <f>IFERROR(__xludf.DUMMYFUNCTION("""COMPUTED_VALUE"""),119.04)</f>
        <v>119.04</v>
      </c>
      <c r="O419" s="1">
        <f>IFERROR(__xludf.DUMMYFUNCTION("""COMPUTED_VALUE"""),25.96)</f>
        <v>25.96</v>
      </c>
      <c r="P419" s="1">
        <f>IFERROR(__xludf.DUMMYFUNCTION("""COMPUTED_VALUE"""),499.1)</f>
        <v>499.1</v>
      </c>
      <c r="Q419" s="1">
        <f>IFERROR(__xludf.DUMMYFUNCTION("""COMPUTED_VALUE"""),61.72)</f>
        <v>61.72</v>
      </c>
      <c r="R419" s="1">
        <f>IFERROR(__xludf.DUMMYFUNCTION("""COMPUTED_VALUE"""),187.62)</f>
        <v>187.62</v>
      </c>
      <c r="S419" s="1">
        <f>IFERROR(__xludf.DUMMYFUNCTION("""COMPUTED_VALUE"""),97.64)</f>
        <v>97.64</v>
      </c>
      <c r="T419" s="1">
        <f>IFERROR(__xludf.DUMMYFUNCTION("""COMPUTED_VALUE"""),56.25)</f>
        <v>56.25</v>
      </c>
      <c r="U419" s="1">
        <f>IFERROR(__xludf.DUMMYFUNCTION("""COMPUTED_VALUE"""),617.62)</f>
        <v>617.62</v>
      </c>
      <c r="V419" s="1">
        <f>IFERROR(__xludf.DUMMYFUNCTION("""COMPUTED_VALUE"""),107.56)</f>
        <v>107.56</v>
      </c>
      <c r="W419" s="1">
        <f>IFERROR(__xludf.DUMMYFUNCTION("""COMPUTED_VALUE"""),192.67)</f>
        <v>192.67</v>
      </c>
      <c r="X419" s="1">
        <f>IFERROR(__xludf.DUMMYFUNCTION("""COMPUTED_VALUE"""),162.11)</f>
        <v>162.11</v>
      </c>
      <c r="Y419" s="1">
        <f>IFERROR(__xludf.DUMMYFUNCTION("""COMPUTED_VALUE"""),278.95)</f>
        <v>278.95</v>
      </c>
      <c r="Z419" s="1">
        <f>IFERROR(__xludf.DUMMYFUNCTION("""COMPUTED_VALUE"""),60.53)</f>
        <v>60.53</v>
      </c>
      <c r="AA419" s="1">
        <f>IFERROR(__xludf.DUMMYFUNCTION("""COMPUTED_VALUE"""),70.51)</f>
        <v>70.51</v>
      </c>
      <c r="AB419" s="1">
        <f>IFERROR(__xludf.DUMMYFUNCTION("""COMPUTED_VALUE"""),99.21)</f>
        <v>99.21</v>
      </c>
      <c r="AC419" s="1">
        <f>IFERROR(__xludf.DUMMYFUNCTION("""COMPUTED_VALUE"""),158.55)</f>
        <v>158.55</v>
      </c>
      <c r="AD419" s="1">
        <f>IFERROR(__xludf.DUMMYFUNCTION("""COMPUTED_VALUE"""),132.38)</f>
        <v>132.38</v>
      </c>
      <c r="AE419" s="1">
        <f>IFERROR(__xludf.DUMMYFUNCTION("""COMPUTED_VALUE"""),405.09)</f>
        <v>405.09</v>
      </c>
      <c r="AF419" s="1">
        <f>IFERROR(__xludf.DUMMYFUNCTION("""COMPUTED_VALUE"""),90.91)</f>
        <v>90.91</v>
      </c>
      <c r="AG419" s="1">
        <f>IFERROR(__xludf.DUMMYFUNCTION("""COMPUTED_VALUE"""),124.61)</f>
        <v>124.61</v>
      </c>
      <c r="AH419" s="1">
        <f>IFERROR(__xludf.DUMMYFUNCTION("""COMPUTED_VALUE"""),312.36)</f>
        <v>312.36</v>
      </c>
      <c r="AI419" s="1">
        <f>IFERROR(__xludf.DUMMYFUNCTION("""COMPUTED_VALUE"""),376.19)</f>
        <v>376.19</v>
      </c>
      <c r="AJ419" s="1">
        <f>IFERROR(__xludf.DUMMYFUNCTION("""COMPUTED_VALUE"""),353.89)</f>
        <v>353.89</v>
      </c>
      <c r="AK419" s="1">
        <f>IFERROR(__xludf.DUMMYFUNCTION("""COMPUTED_VALUE"""),82.87)</f>
        <v>82.87</v>
      </c>
      <c r="AL419" s="1">
        <f>IFERROR(__xludf.DUMMYFUNCTION("""COMPUTED_VALUE"""),121.1)</f>
        <v>121.1</v>
      </c>
      <c r="AM419" s="1">
        <f>IFERROR(__xludf.DUMMYFUNCTION("""COMPUTED_VALUE"""),938.98)</f>
        <v>938.98</v>
      </c>
      <c r="AN419" s="1">
        <f>IFERROR(__xludf.DUMMYFUNCTION("""COMPUTED_VALUE"""),374.64)</f>
        <v>374.64</v>
      </c>
      <c r="AO419" s="1">
        <f>IFERROR(__xludf.DUMMYFUNCTION("""COMPUTED_VALUE"""),181.34)</f>
        <v>181.34</v>
      </c>
      <c r="AP419" s="1">
        <f>IFERROR(__xludf.DUMMYFUNCTION("""COMPUTED_VALUE"""),165.98)</f>
        <v>165.98</v>
      </c>
      <c r="AQ419" s="1">
        <f>IFERROR(__xludf.DUMMYFUNCTION("""COMPUTED_VALUE"""),586.24)</f>
        <v>586.24</v>
      </c>
      <c r="AR419" s="1">
        <f>IFERROR(__xludf.DUMMYFUNCTION("""COMPUTED_VALUE"""),329.19)</f>
        <v>329.19</v>
      </c>
      <c r="AS419" s="1">
        <f>IFERROR(__xludf.DUMMYFUNCTION("""COMPUTED_VALUE"""),542.92)</f>
        <v>542.92</v>
      </c>
      <c r="AT419" s="1">
        <f>IFERROR(__xludf.DUMMYFUNCTION("""COMPUTED_VALUE"""),203.9)</f>
        <v>203.9</v>
      </c>
      <c r="AU419" s="1">
        <f>IFERROR(__xludf.DUMMYFUNCTION("""COMPUTED_VALUE"""),37.36)</f>
        <v>37.36</v>
      </c>
      <c r="AV419" s="1">
        <f>IFERROR(__xludf.DUMMYFUNCTION("""COMPUTED_VALUE"""),97.53)</f>
        <v>97.53</v>
      </c>
      <c r="AW419" s="1">
        <f>IFERROR(__xludf.DUMMYFUNCTION("""COMPUTED_VALUE"""),79.41)</f>
        <v>79.41</v>
      </c>
      <c r="AX419" s="1">
        <f>IFERROR(__xludf.DUMMYFUNCTION("""COMPUTED_VALUE"""),62.0)</f>
        <v>62</v>
      </c>
      <c r="AY419" s="1">
        <f>IFERROR(__xludf.DUMMYFUNCTION("""COMPUTED_VALUE"""),479.28)</f>
        <v>479.28</v>
      </c>
      <c r="AZ419" s="1">
        <f>IFERROR(__xludf.DUMMYFUNCTION("""COMPUTED_VALUE"""),79.89)</f>
        <v>79.89</v>
      </c>
      <c r="BA419" s="1">
        <f>IFERROR(__xludf.DUMMYFUNCTION("""COMPUTED_VALUE"""),149.27)</f>
        <v>149.27</v>
      </c>
      <c r="BB419" s="1">
        <f>IFERROR(__xludf.DUMMYFUNCTION("""COMPUTED_VALUE"""),184.86)</f>
        <v>184.86</v>
      </c>
      <c r="BC419" s="1">
        <f>IFERROR(__xludf.DUMMYFUNCTION("""COMPUTED_VALUE"""),90.27)</f>
        <v>90.27</v>
      </c>
      <c r="BD419" s="1">
        <f>IFERROR(__xludf.DUMMYFUNCTION("""COMPUTED_VALUE"""),49.12)</f>
        <v>49.12</v>
      </c>
      <c r="BE419" s="1">
        <f>IFERROR(__xludf.DUMMYFUNCTION("""COMPUTED_VALUE"""),177.49)</f>
        <v>177.49</v>
      </c>
      <c r="BF419" s="1">
        <f>IFERROR(__xludf.DUMMYFUNCTION("""COMPUTED_VALUE"""),57.66)</f>
        <v>57.66</v>
      </c>
      <c r="BG419" s="1">
        <f>IFERROR(__xludf.DUMMYFUNCTION("""COMPUTED_VALUE"""),25.48)</f>
        <v>25.48</v>
      </c>
      <c r="BH419" s="1">
        <f>IFERROR(__xludf.DUMMYFUNCTION("""COMPUTED_VALUE"""),188.5)</f>
        <v>188.5</v>
      </c>
      <c r="BI419" s="1">
        <f>IFERROR(__xludf.DUMMYFUNCTION("""COMPUTED_VALUE"""),118.64)</f>
        <v>118.64</v>
      </c>
      <c r="BJ419" s="1">
        <f>IFERROR(__xludf.DUMMYFUNCTION("""COMPUTED_VALUE"""),200.56)</f>
        <v>200.56</v>
      </c>
      <c r="BK419" s="1">
        <f>IFERROR(__xludf.DUMMYFUNCTION("""COMPUTED_VALUE"""),618.86)</f>
        <v>618.86</v>
      </c>
      <c r="BL419" s="1">
        <f>IFERROR(__xludf.DUMMYFUNCTION("""COMPUTED_VALUE"""),221.52)</f>
        <v>221.52</v>
      </c>
      <c r="BM419" s="1">
        <f>IFERROR(__xludf.DUMMYFUNCTION("""COMPUTED_VALUE"""),137.07)</f>
        <v>137.07</v>
      </c>
      <c r="BN419" s="1">
        <f>IFERROR(__xludf.DUMMYFUNCTION("""COMPUTED_VALUE"""),5.64)</f>
        <v>5.64</v>
      </c>
      <c r="BO419" s="1">
        <f>IFERROR(__xludf.DUMMYFUNCTION("""COMPUTED_VALUE"""),228.44)</f>
        <v>228.44</v>
      </c>
      <c r="BP419" s="1">
        <f>IFERROR(__xludf.DUMMYFUNCTION("""COMPUTED_VALUE"""),343.98)</f>
        <v>343.98</v>
      </c>
      <c r="BQ419" s="36">
        <f>IFERROR(__xludf.DUMMYFUNCTION("""COMPUTED_VALUE"""),49.5)</f>
        <v>49.5</v>
      </c>
      <c r="BR419" s="1">
        <f>IFERROR(__xludf.DUMMYFUNCTION("""COMPUTED_VALUE"""),12.76)</f>
        <v>12.76</v>
      </c>
      <c r="BS419" s="1">
        <f>IFERROR(__xludf.DUMMYFUNCTION("""COMPUTED_VALUE"""),220.91)</f>
        <v>220.91</v>
      </c>
      <c r="BT419" s="1">
        <f>IFERROR(__xludf.DUMMYFUNCTION("""COMPUTED_VALUE"""),115.88)</f>
        <v>115.88</v>
      </c>
      <c r="BU419" s="3">
        <v>1.0</v>
      </c>
    </row>
    <row r="420">
      <c r="A420" s="25">
        <f>IFERROR(__xludf.DUMMYFUNCTION("""COMPUTED_VALUE"""),46034.66666666667)</f>
        <v>46034.66667</v>
      </c>
      <c r="B420" s="29">
        <f>'Master Scratch Work'!B419</f>
        <v>1638252.56</v>
      </c>
      <c r="C420" s="31">
        <f>IFERROR(__xludf.DUMMYFUNCTION("""COMPUTED_VALUE"""),6963.74)</f>
        <v>6963.74</v>
      </c>
      <c r="D420" s="31">
        <f>IFERROR(__xludf.DUMMYFUNCTION("""COMPUTED_VALUE"""),23733.9)</f>
        <v>23733.9</v>
      </c>
      <c r="E420" s="31">
        <f>IFERROR(__xludf.DUMMYFUNCTION("""COMPUTED_VALUE"""),49590.2)</f>
        <v>49590.2</v>
      </c>
      <c r="F420" s="31">
        <f>IFERROR(__xludf.DUMMYFUNCTION("""COMPUTED_VALUE"""),2635.69)</f>
        <v>2635.69</v>
      </c>
      <c r="G420" s="1">
        <f>IFERROR(__xludf.DUMMYFUNCTION("""COMPUTED_VALUE"""),695.16)</f>
        <v>695.16</v>
      </c>
      <c r="H420" s="1">
        <f>IFERROR(__xludf.DUMMYFUNCTION("""COMPUTED_VALUE"""),627.17)</f>
        <v>627.17</v>
      </c>
      <c r="I420" s="1">
        <f>IFERROR(__xludf.DUMMYFUNCTION("""COMPUTED_VALUE"""),327.65)</f>
        <v>327.65</v>
      </c>
      <c r="J420" s="1">
        <f>IFERROR(__xludf.DUMMYFUNCTION("""COMPUTED_VALUE"""),246.47)</f>
        <v>246.47</v>
      </c>
      <c r="K420" s="1">
        <f>IFERROR(__xludf.DUMMYFUNCTION("""COMPUTED_VALUE"""),130.3)</f>
        <v>130.3</v>
      </c>
      <c r="L420" s="1">
        <f>IFERROR(__xludf.DUMMYFUNCTION("""COMPUTED_VALUE"""),260.25)</f>
        <v>260.25</v>
      </c>
      <c r="M420" s="1">
        <f>IFERROR(__xludf.DUMMYFUNCTION("""COMPUTED_VALUE"""),307.24)</f>
        <v>307.24</v>
      </c>
      <c r="N420" s="1">
        <f>IFERROR(__xludf.DUMMYFUNCTION("""COMPUTED_VALUE"""),120.66)</f>
        <v>120.66</v>
      </c>
      <c r="O420" s="1">
        <f>IFERROR(__xludf.DUMMYFUNCTION("""COMPUTED_VALUE"""),25.63)</f>
        <v>25.63</v>
      </c>
      <c r="P420" s="1">
        <f>IFERROR(__xludf.DUMMYFUNCTION("""COMPUTED_VALUE"""),498.67)</f>
        <v>498.67</v>
      </c>
      <c r="Q420" s="1">
        <f>IFERROR(__xludf.DUMMYFUNCTION("""COMPUTED_VALUE"""),62.8)</f>
        <v>62.8</v>
      </c>
      <c r="R420" s="1">
        <f>IFERROR(__xludf.DUMMYFUNCTION("""COMPUTED_VALUE"""),185.63)</f>
        <v>185.63</v>
      </c>
      <c r="S420" s="1">
        <f>IFERROR(__xludf.DUMMYFUNCTION("""COMPUTED_VALUE"""),95.72)</f>
        <v>95.72</v>
      </c>
      <c r="T420" s="1">
        <f>IFERROR(__xludf.DUMMYFUNCTION("""COMPUTED_VALUE"""),55.38)</f>
        <v>55.38</v>
      </c>
      <c r="U420" s="1">
        <f>IFERROR(__xludf.DUMMYFUNCTION("""COMPUTED_VALUE"""),629.77)</f>
        <v>629.77</v>
      </c>
      <c r="V420" s="1">
        <f>IFERROR(__xludf.DUMMYFUNCTION("""COMPUTED_VALUE"""),109.79)</f>
        <v>109.79</v>
      </c>
      <c r="W420" s="1">
        <f>IFERROR(__xludf.DUMMYFUNCTION("""COMPUTED_VALUE"""),190.0)</f>
        <v>190</v>
      </c>
      <c r="X420" s="1">
        <f>IFERROR(__xludf.DUMMYFUNCTION("""COMPUTED_VALUE"""),162.34)</f>
        <v>162.34</v>
      </c>
      <c r="Y420" s="1">
        <f>IFERROR(__xludf.DUMMYFUNCTION("""COMPUTED_VALUE"""),276.02)</f>
        <v>276.02</v>
      </c>
      <c r="Z420" s="1">
        <f>IFERROR(__xludf.DUMMYFUNCTION("""COMPUTED_VALUE"""),60.2)</f>
        <v>60.2</v>
      </c>
      <c r="AA420" s="1">
        <f>IFERROR(__xludf.DUMMYFUNCTION("""COMPUTED_VALUE"""),70.5)</f>
        <v>70.5</v>
      </c>
      <c r="AB420" s="1">
        <f>IFERROR(__xludf.DUMMYFUNCTION("""COMPUTED_VALUE"""),98.83)</f>
        <v>98.83</v>
      </c>
      <c r="AC420" s="1">
        <f>IFERROR(__xludf.DUMMYFUNCTION("""COMPUTED_VALUE"""),157.87)</f>
        <v>157.87</v>
      </c>
      <c r="AD420" s="1">
        <f>IFERROR(__xludf.DUMMYFUNCTION("""COMPUTED_VALUE"""),137.24)</f>
        <v>137.24</v>
      </c>
      <c r="AE420" s="1">
        <f>IFERROR(__xludf.DUMMYFUNCTION("""COMPUTED_VALUE"""),415.95)</f>
        <v>415.95</v>
      </c>
      <c r="AF420" s="1">
        <f>IFERROR(__xludf.DUMMYFUNCTION("""COMPUTED_VALUE"""),93.3)</f>
        <v>93.3</v>
      </c>
      <c r="AG420" s="1">
        <f>IFERROR(__xludf.DUMMYFUNCTION("""COMPUTED_VALUE"""),124.03)</f>
        <v>124.03</v>
      </c>
      <c r="AH420" s="1">
        <f>IFERROR(__xludf.DUMMYFUNCTION("""COMPUTED_VALUE"""),311.92)</f>
        <v>311.92</v>
      </c>
      <c r="AI420" s="1">
        <f>IFERROR(__xludf.DUMMYFUNCTION("""COMPUTED_VALUE"""),377.2)</f>
        <v>377.2</v>
      </c>
      <c r="AJ420" s="1">
        <f>IFERROR(__xludf.DUMMYFUNCTION("""COMPUTED_VALUE"""),360.94)</f>
        <v>360.94</v>
      </c>
      <c r="AK420" s="1">
        <f>IFERROR(__xludf.DUMMYFUNCTION("""COMPUTED_VALUE"""),82.9)</f>
        <v>82.9</v>
      </c>
      <c r="AL420" s="1">
        <f>IFERROR(__xludf.DUMMYFUNCTION("""COMPUTED_VALUE"""),122.6)</f>
        <v>122.6</v>
      </c>
      <c r="AM420" s="1">
        <f>IFERROR(__xludf.DUMMYFUNCTION("""COMPUTED_VALUE"""),949.55)</f>
        <v>949.55</v>
      </c>
      <c r="AN420" s="1">
        <f>IFERROR(__xludf.DUMMYFUNCTION("""COMPUTED_VALUE"""),374.94)</f>
        <v>374.94</v>
      </c>
      <c r="AO420" s="1">
        <f>IFERROR(__xludf.DUMMYFUNCTION("""COMPUTED_VALUE"""),183.23)</f>
        <v>183.23</v>
      </c>
      <c r="AP420" s="1">
        <f>IFERROR(__xludf.DUMMYFUNCTION("""COMPUTED_VALUE"""),166.25)</f>
        <v>166.25</v>
      </c>
      <c r="AQ420" s="1">
        <f>IFERROR(__xludf.DUMMYFUNCTION("""COMPUTED_VALUE"""),572.75)</f>
        <v>572.75</v>
      </c>
      <c r="AR420" s="1">
        <f>IFERROR(__xludf.DUMMYFUNCTION("""COMPUTED_VALUE"""),324.49)</f>
        <v>324.49</v>
      </c>
      <c r="AS420" s="1">
        <f>IFERROR(__xludf.DUMMYFUNCTION("""COMPUTED_VALUE"""),551.24)</f>
        <v>551.24</v>
      </c>
      <c r="AT420" s="1">
        <f>IFERROR(__xludf.DUMMYFUNCTION("""COMPUTED_VALUE"""),209.04)</f>
        <v>209.04</v>
      </c>
      <c r="AU420" s="1">
        <f>IFERROR(__xludf.DUMMYFUNCTION("""COMPUTED_VALUE"""),37.13)</f>
        <v>37.13</v>
      </c>
      <c r="AV420" s="1">
        <f>IFERROR(__xludf.DUMMYFUNCTION("""COMPUTED_VALUE"""),96.95)</f>
        <v>96.95</v>
      </c>
      <c r="AW420" s="1">
        <f>IFERROR(__xludf.DUMMYFUNCTION("""COMPUTED_VALUE"""),78.32)</f>
        <v>78.32</v>
      </c>
      <c r="AX420" s="1">
        <f>IFERROR(__xludf.DUMMYFUNCTION("""COMPUTED_VALUE"""),65.34)</f>
        <v>65.34</v>
      </c>
      <c r="AY420" s="1">
        <f>IFERROR(__xludf.DUMMYFUNCTION("""COMPUTED_VALUE"""),477.18)</f>
        <v>477.18</v>
      </c>
      <c r="AZ420" s="1">
        <f>IFERROR(__xludf.DUMMYFUNCTION("""COMPUTED_VALUE"""),81.12)</f>
        <v>81.12</v>
      </c>
      <c r="BA420" s="1">
        <f>IFERROR(__xludf.DUMMYFUNCTION("""COMPUTED_VALUE"""),148.89)</f>
        <v>148.89</v>
      </c>
      <c r="BB420" s="1">
        <f>IFERROR(__xludf.DUMMYFUNCTION("""COMPUTED_VALUE"""),184.94)</f>
        <v>184.94</v>
      </c>
      <c r="BC420" s="1">
        <f>IFERROR(__xludf.DUMMYFUNCTION("""COMPUTED_VALUE"""),89.49)</f>
        <v>89.49</v>
      </c>
      <c r="BD420" s="1">
        <f>IFERROR(__xludf.DUMMYFUNCTION("""COMPUTED_VALUE"""),48.91)</f>
        <v>48.91</v>
      </c>
      <c r="BE420" s="1">
        <f>IFERROR(__xludf.DUMMYFUNCTION("""COMPUTED_VALUE"""),179.41)</f>
        <v>179.41</v>
      </c>
      <c r="BF420" s="1">
        <f>IFERROR(__xludf.DUMMYFUNCTION("""COMPUTED_VALUE"""),57.29)</f>
        <v>57.29</v>
      </c>
      <c r="BG420" s="1">
        <f>IFERROR(__xludf.DUMMYFUNCTION("""COMPUTED_VALUE"""),25.27)</f>
        <v>25.27</v>
      </c>
      <c r="BH420" s="1">
        <f>IFERROR(__xludf.DUMMYFUNCTION("""COMPUTED_VALUE"""),193.85)</f>
        <v>193.85</v>
      </c>
      <c r="BI420" s="1">
        <f>IFERROR(__xludf.DUMMYFUNCTION("""COMPUTED_VALUE"""),117.17)</f>
        <v>117.17</v>
      </c>
      <c r="BJ420" s="1">
        <f>IFERROR(__xludf.DUMMYFUNCTION("""COMPUTED_VALUE"""),197.51)</f>
        <v>197.51</v>
      </c>
      <c r="BK420" s="1">
        <f>IFERROR(__xludf.DUMMYFUNCTION("""COMPUTED_VALUE"""),615.45)</f>
        <v>615.45</v>
      </c>
      <c r="BL420" s="1">
        <f>IFERROR(__xludf.DUMMYFUNCTION("""COMPUTED_VALUE"""),222.59)</f>
        <v>222.59</v>
      </c>
      <c r="BM420" s="1">
        <f>IFERROR(__xludf.DUMMYFUNCTION("""COMPUTED_VALUE"""),134.66)</f>
        <v>134.66</v>
      </c>
      <c r="BN420" s="1">
        <f>IFERROR(__xludf.DUMMYFUNCTION("""COMPUTED_VALUE"""),5.59)</f>
        <v>5.59</v>
      </c>
      <c r="BO420" s="1">
        <f>IFERROR(__xludf.DUMMYFUNCTION("""COMPUTED_VALUE"""),229.5)</f>
        <v>229.5</v>
      </c>
      <c r="BP420" s="1">
        <f>IFERROR(__xludf.DUMMYFUNCTION("""COMPUTED_VALUE"""),340.51)</f>
        <v>340.51</v>
      </c>
      <c r="BQ420" s="36">
        <f>IFERROR(__xludf.DUMMYFUNCTION("""COMPUTED_VALUE"""),49.51)</f>
        <v>49.51</v>
      </c>
      <c r="BR420" s="1">
        <f>IFERROR(__xludf.DUMMYFUNCTION("""COMPUTED_VALUE"""),12.68)</f>
        <v>12.68</v>
      </c>
      <c r="BS420" s="1">
        <f>IFERROR(__xludf.DUMMYFUNCTION("""COMPUTED_VALUE"""),218.57)</f>
        <v>218.57</v>
      </c>
      <c r="BT420" s="1">
        <f>IFERROR(__xludf.DUMMYFUNCTION("""COMPUTED_VALUE"""),112.82)</f>
        <v>112.82</v>
      </c>
      <c r="BU420" s="3">
        <v>1.0</v>
      </c>
    </row>
    <row r="421">
      <c r="A421" s="25">
        <f>IFERROR(__xludf.DUMMYFUNCTION("""COMPUTED_VALUE"""),46035.66666666667)</f>
        <v>46035.66667</v>
      </c>
      <c r="B421" s="29">
        <f>'Master Scratch Work'!B420</f>
        <v>1633602.37</v>
      </c>
      <c r="C421" s="31">
        <f>IFERROR(__xludf.DUMMYFUNCTION("""COMPUTED_VALUE"""),6926.6)</f>
        <v>6926.6</v>
      </c>
      <c r="D421" s="31">
        <f>IFERROR(__xludf.DUMMYFUNCTION("""COMPUTED_VALUE"""),23709.87)</f>
        <v>23709.87</v>
      </c>
      <c r="E421" s="31">
        <f>IFERROR(__xludf.DUMMYFUNCTION("""COMPUTED_VALUE"""),49191.99)</f>
        <v>49191.99</v>
      </c>
      <c r="F421" s="31">
        <f>IFERROR(__xludf.DUMMYFUNCTION("""COMPUTED_VALUE"""),2633.1)</f>
        <v>2633.1</v>
      </c>
      <c r="G421" s="1">
        <f>IFERROR(__xludf.DUMMYFUNCTION("""COMPUTED_VALUE"""),693.77)</f>
        <v>693.77</v>
      </c>
      <c r="H421" s="1">
        <f>IFERROR(__xludf.DUMMYFUNCTION("""COMPUTED_VALUE"""),626.24)</f>
        <v>626.24</v>
      </c>
      <c r="I421" s="1">
        <f>IFERROR(__xludf.DUMMYFUNCTION("""COMPUTED_VALUE"""),309.93)</f>
        <v>309.93</v>
      </c>
      <c r="J421" s="1">
        <f>IFERROR(__xludf.DUMMYFUNCTION("""COMPUTED_VALUE"""),242.6)</f>
        <v>242.6</v>
      </c>
      <c r="K421" s="1">
        <f>IFERROR(__xludf.DUMMYFUNCTION("""COMPUTED_VALUE"""),131.26)</f>
        <v>131.26</v>
      </c>
      <c r="L421" s="1">
        <f>IFERROR(__xludf.DUMMYFUNCTION("""COMPUTED_VALUE"""),261.05)</f>
        <v>261.05</v>
      </c>
      <c r="M421" s="1">
        <f>IFERROR(__xludf.DUMMYFUNCTION("""COMPUTED_VALUE"""),304.87)</f>
        <v>304.87</v>
      </c>
      <c r="N421" s="1">
        <f>IFERROR(__xludf.DUMMYFUNCTION("""COMPUTED_VALUE"""),122.93)</f>
        <v>122.93</v>
      </c>
      <c r="O421" s="1">
        <f>IFERROR(__xludf.DUMMYFUNCTION("""COMPUTED_VALUE"""),25.78)</f>
        <v>25.78</v>
      </c>
      <c r="P421" s="1">
        <f>IFERROR(__xludf.DUMMYFUNCTION("""COMPUTED_VALUE"""),495.24)</f>
        <v>495.24</v>
      </c>
      <c r="Q421" s="1">
        <f>IFERROR(__xludf.DUMMYFUNCTION("""COMPUTED_VALUE"""),63.99)</f>
        <v>63.99</v>
      </c>
      <c r="R421" s="1">
        <f>IFERROR(__xludf.DUMMYFUNCTION("""COMPUTED_VALUE"""),178.3)</f>
        <v>178.3</v>
      </c>
      <c r="S421" s="1">
        <f>IFERROR(__xludf.DUMMYFUNCTION("""COMPUTED_VALUE"""),94.14)</f>
        <v>94.14</v>
      </c>
      <c r="T421" s="1">
        <f>IFERROR(__xludf.DUMMYFUNCTION("""COMPUTED_VALUE"""),55.21)</f>
        <v>55.21</v>
      </c>
      <c r="U421" s="1">
        <f>IFERROR(__xludf.DUMMYFUNCTION("""COMPUTED_VALUE"""),636.53)</f>
        <v>636.53</v>
      </c>
      <c r="V421" s="1">
        <f>IFERROR(__xludf.DUMMYFUNCTION("""COMPUTED_VALUE"""),108.92)</f>
        <v>108.92</v>
      </c>
      <c r="W421" s="1">
        <f>IFERROR(__xludf.DUMMYFUNCTION("""COMPUTED_VALUE"""),186.57)</f>
        <v>186.57</v>
      </c>
      <c r="X421" s="1">
        <f>IFERROR(__xludf.DUMMYFUNCTION("""COMPUTED_VALUE"""),163.87)</f>
        <v>163.87</v>
      </c>
      <c r="Y421" s="1">
        <f>IFERROR(__xludf.DUMMYFUNCTION("""COMPUTED_VALUE"""),271.81)</f>
        <v>271.81</v>
      </c>
      <c r="Z421" s="1">
        <f>IFERROR(__xludf.DUMMYFUNCTION("""COMPUTED_VALUE"""),59.78)</f>
        <v>59.78</v>
      </c>
      <c r="AA421" s="1">
        <f>IFERROR(__xludf.DUMMYFUNCTION("""COMPUTED_VALUE"""),71.24)</f>
        <v>71.24</v>
      </c>
      <c r="AB421" s="1">
        <f>IFERROR(__xludf.DUMMYFUNCTION("""COMPUTED_VALUE"""),100.21)</f>
        <v>100.21</v>
      </c>
      <c r="AC421" s="1">
        <f>IFERROR(__xludf.DUMMYFUNCTION("""COMPUTED_VALUE"""),160.71)</f>
        <v>160.71</v>
      </c>
      <c r="AD421" s="1">
        <f>IFERROR(__xludf.DUMMYFUNCTION("""COMPUTED_VALUE"""),137.37)</f>
        <v>137.37</v>
      </c>
      <c r="AE421" s="1">
        <f>IFERROR(__xludf.DUMMYFUNCTION("""COMPUTED_VALUE"""),410.91)</f>
        <v>410.91</v>
      </c>
      <c r="AF421" s="1">
        <f>IFERROR(__xludf.DUMMYFUNCTION("""COMPUTED_VALUE"""),94.37)</f>
        <v>94.37</v>
      </c>
      <c r="AG421" s="1">
        <f>IFERROR(__xludf.DUMMYFUNCTION("""COMPUTED_VALUE"""),126.54)</f>
        <v>126.54</v>
      </c>
      <c r="AH421" s="1">
        <f>IFERROR(__xludf.DUMMYFUNCTION("""COMPUTED_VALUE"""),309.66)</f>
        <v>309.66</v>
      </c>
      <c r="AI421" s="1">
        <f>IFERROR(__xludf.DUMMYFUNCTION("""COMPUTED_VALUE"""),360.09)</f>
        <v>360.09</v>
      </c>
      <c r="AJ421" s="1">
        <f>IFERROR(__xludf.DUMMYFUNCTION("""COMPUTED_VALUE"""),363.3)</f>
        <v>363.3</v>
      </c>
      <c r="AK421" s="1">
        <f>IFERROR(__xludf.DUMMYFUNCTION("""COMPUTED_VALUE"""),83.24)</f>
        <v>83.24</v>
      </c>
      <c r="AL421" s="1">
        <f>IFERROR(__xludf.DUMMYFUNCTION("""COMPUTED_VALUE"""),121.76)</f>
        <v>121.76</v>
      </c>
      <c r="AM421" s="1">
        <f>IFERROR(__xludf.DUMMYFUNCTION("""COMPUTED_VALUE"""),938.15)</f>
        <v>938.15</v>
      </c>
      <c r="AN421" s="1">
        <f>IFERROR(__xludf.DUMMYFUNCTION("""COMPUTED_VALUE"""),379.74)</f>
        <v>379.74</v>
      </c>
      <c r="AO421" s="1">
        <f>IFERROR(__xludf.DUMMYFUNCTION("""COMPUTED_VALUE"""),183.45)</f>
        <v>183.45</v>
      </c>
      <c r="AP421" s="1">
        <f>IFERROR(__xludf.DUMMYFUNCTION("""COMPUTED_VALUE"""),166.69)</f>
        <v>166.69</v>
      </c>
      <c r="AQ421" s="1">
        <f>IFERROR(__xludf.DUMMYFUNCTION("""COMPUTED_VALUE"""),561.82)</f>
        <v>561.82</v>
      </c>
      <c r="AR421" s="1">
        <f>IFERROR(__xludf.DUMMYFUNCTION("""COMPUTED_VALUE"""),310.9)</f>
        <v>310.9</v>
      </c>
      <c r="AS421" s="1">
        <f>IFERROR(__xludf.DUMMYFUNCTION("""COMPUTED_VALUE"""),558.3)</f>
        <v>558.3</v>
      </c>
      <c r="AT421" s="1">
        <f>IFERROR(__xludf.DUMMYFUNCTION("""COMPUTED_VALUE"""),211.9)</f>
        <v>211.9</v>
      </c>
      <c r="AU421" s="1">
        <f>IFERROR(__xludf.DUMMYFUNCTION("""COMPUTED_VALUE"""),36.79)</f>
        <v>36.79</v>
      </c>
      <c r="AV421" s="1">
        <f>IFERROR(__xludf.DUMMYFUNCTION("""COMPUTED_VALUE"""),96.42)</f>
        <v>96.42</v>
      </c>
      <c r="AW421" s="1">
        <f>IFERROR(__xludf.DUMMYFUNCTION("""COMPUTED_VALUE"""),77.08)</f>
        <v>77.08</v>
      </c>
      <c r="AX421" s="1">
        <f>IFERROR(__xludf.DUMMYFUNCTION("""COMPUTED_VALUE"""),63.82)</f>
        <v>63.82</v>
      </c>
      <c r="AY421" s="1">
        <f>IFERROR(__xludf.DUMMYFUNCTION("""COMPUTED_VALUE"""),470.67)</f>
        <v>470.67</v>
      </c>
      <c r="AZ421" s="1">
        <f>IFERROR(__xludf.DUMMYFUNCTION("""COMPUTED_VALUE"""),81.64)</f>
        <v>81.64</v>
      </c>
      <c r="BA421" s="1">
        <f>IFERROR(__xludf.DUMMYFUNCTION("""COMPUTED_VALUE"""),150.59)</f>
        <v>150.59</v>
      </c>
      <c r="BB421" s="1">
        <f>IFERROR(__xludf.DUMMYFUNCTION("""COMPUTED_VALUE"""),185.81)</f>
        <v>185.81</v>
      </c>
      <c r="BC421" s="1">
        <f>IFERROR(__xludf.DUMMYFUNCTION("""COMPUTED_VALUE"""),89.78)</f>
        <v>89.78</v>
      </c>
      <c r="BD421" s="1">
        <f>IFERROR(__xludf.DUMMYFUNCTION("""COMPUTED_VALUE"""),47.26)</f>
        <v>47.26</v>
      </c>
      <c r="BE421" s="1">
        <f>IFERROR(__xludf.DUMMYFUNCTION("""COMPUTED_VALUE"""),178.96)</f>
        <v>178.96</v>
      </c>
      <c r="BF421" s="1">
        <f>IFERROR(__xludf.DUMMYFUNCTION("""COMPUTED_VALUE"""),56.56)</f>
        <v>56.56</v>
      </c>
      <c r="BG421" s="1">
        <f>IFERROR(__xludf.DUMMYFUNCTION("""COMPUTED_VALUE"""),25.15)</f>
        <v>25.15</v>
      </c>
      <c r="BH421" s="1">
        <f>IFERROR(__xludf.DUMMYFUNCTION("""COMPUTED_VALUE"""),194.08)</f>
        <v>194.08</v>
      </c>
      <c r="BI421" s="1">
        <f>IFERROR(__xludf.DUMMYFUNCTION("""COMPUTED_VALUE"""),119.95)</f>
        <v>119.95</v>
      </c>
      <c r="BJ421" s="1">
        <f>IFERROR(__xludf.DUMMYFUNCTION("""COMPUTED_VALUE"""),189.67)</f>
        <v>189.67</v>
      </c>
      <c r="BK421" s="1">
        <f>IFERROR(__xludf.DUMMYFUNCTION("""COMPUTED_VALUE"""),607.08)</f>
        <v>607.08</v>
      </c>
      <c r="BL421" s="1">
        <f>IFERROR(__xludf.DUMMYFUNCTION("""COMPUTED_VALUE"""),229.03)</f>
        <v>229.03</v>
      </c>
      <c r="BM421" s="1">
        <f>IFERROR(__xludf.DUMMYFUNCTION("""COMPUTED_VALUE"""),142.71)</f>
        <v>142.71</v>
      </c>
      <c r="BN421" s="1">
        <f>IFERROR(__xludf.DUMMYFUNCTION("""COMPUTED_VALUE"""),5.61)</f>
        <v>5.61</v>
      </c>
      <c r="BO421" s="1">
        <f>IFERROR(__xludf.DUMMYFUNCTION("""COMPUTED_VALUE"""),229.29)</f>
        <v>229.29</v>
      </c>
      <c r="BP421" s="1">
        <f>IFERROR(__xludf.DUMMYFUNCTION("""COMPUTED_VALUE"""),333.93)</f>
        <v>333.93</v>
      </c>
      <c r="BQ421" s="36">
        <f>IFERROR(__xludf.DUMMYFUNCTION("""COMPUTED_VALUE"""),49.53)</f>
        <v>49.53</v>
      </c>
      <c r="BR421" s="1">
        <f>IFERROR(__xludf.DUMMYFUNCTION("""COMPUTED_VALUE"""),13.37)</f>
        <v>13.37</v>
      </c>
      <c r="BS421" s="1">
        <f>IFERROR(__xludf.DUMMYFUNCTION("""COMPUTED_VALUE"""),216.18)</f>
        <v>216.18</v>
      </c>
      <c r="BT421" s="1">
        <f>IFERROR(__xludf.DUMMYFUNCTION("""COMPUTED_VALUE"""),112.98)</f>
        <v>112.98</v>
      </c>
      <c r="BU421" s="3">
        <v>1.0</v>
      </c>
    </row>
    <row r="422">
      <c r="A422" s="25">
        <f>IFERROR(__xludf.DUMMYFUNCTION("""COMPUTED_VALUE"""),46036.66666666667)</f>
        <v>46036.66667</v>
      </c>
      <c r="B422" s="29">
        <f>'Master Scratch Work'!B421</f>
        <v>1636340.01</v>
      </c>
      <c r="C422" s="31">
        <f>IFERROR(__xludf.DUMMYFUNCTION("""COMPUTED_VALUE"""),6944.47)</f>
        <v>6944.47</v>
      </c>
      <c r="D422" s="31">
        <f>IFERROR(__xludf.DUMMYFUNCTION("""COMPUTED_VALUE"""),23471.75)</f>
        <v>23471.75</v>
      </c>
      <c r="E422" s="31">
        <f>IFERROR(__xludf.DUMMYFUNCTION("""COMPUTED_VALUE"""),49149.63)</f>
        <v>49149.63</v>
      </c>
      <c r="F422" s="31">
        <f>IFERROR(__xludf.DUMMYFUNCTION("""COMPUTED_VALUE"""),2651.64)</f>
        <v>2651.64</v>
      </c>
      <c r="G422" s="1">
        <f>IFERROR(__xludf.DUMMYFUNCTION("""COMPUTED_VALUE"""),690.36)</f>
        <v>690.36</v>
      </c>
      <c r="H422" s="1">
        <f>IFERROR(__xludf.DUMMYFUNCTION("""COMPUTED_VALUE"""),619.55)</f>
        <v>619.55</v>
      </c>
      <c r="I422" s="1">
        <f>IFERROR(__xludf.DUMMYFUNCTION("""COMPUTED_VALUE"""),304.44)</f>
        <v>304.44</v>
      </c>
      <c r="J422" s="1">
        <f>IFERROR(__xludf.DUMMYFUNCTION("""COMPUTED_VALUE"""),236.65)</f>
        <v>236.65</v>
      </c>
      <c r="K422" s="1">
        <f>IFERROR(__xludf.DUMMYFUNCTION("""COMPUTED_VALUE"""),132.45)</f>
        <v>132.45</v>
      </c>
      <c r="L422" s="1">
        <f>IFERROR(__xludf.DUMMYFUNCTION("""COMPUTED_VALUE"""),259.96)</f>
        <v>259.96</v>
      </c>
      <c r="M422" s="1">
        <f>IFERROR(__xludf.DUMMYFUNCTION("""COMPUTED_VALUE"""),301.89)</f>
        <v>301.89</v>
      </c>
      <c r="N422" s="1">
        <f>IFERROR(__xludf.DUMMYFUNCTION("""COMPUTED_VALUE"""),124.59)</f>
        <v>124.59</v>
      </c>
      <c r="O422" s="1">
        <f>IFERROR(__xludf.DUMMYFUNCTION("""COMPUTED_VALUE"""),25.89)</f>
        <v>25.89</v>
      </c>
      <c r="P422" s="1">
        <f>IFERROR(__xludf.DUMMYFUNCTION("""COMPUTED_VALUE"""),493.15)</f>
        <v>493.15</v>
      </c>
      <c r="Q422" s="1">
        <f>IFERROR(__xludf.DUMMYFUNCTION("""COMPUTED_VALUE"""),66.02)</f>
        <v>66.02</v>
      </c>
      <c r="R422" s="1">
        <f>IFERROR(__xludf.DUMMYFUNCTION("""COMPUTED_VALUE"""),169.31)</f>
        <v>169.31</v>
      </c>
      <c r="S422" s="1">
        <f>IFERROR(__xludf.DUMMYFUNCTION("""COMPUTED_VALUE"""),93.74)</f>
        <v>93.74</v>
      </c>
      <c r="T422" s="1">
        <f>IFERROR(__xludf.DUMMYFUNCTION("""COMPUTED_VALUE"""),55.6)</f>
        <v>55.6</v>
      </c>
      <c r="U422" s="1">
        <f>IFERROR(__xludf.DUMMYFUNCTION("""COMPUTED_VALUE"""),638.75)</f>
        <v>638.75</v>
      </c>
      <c r="V422" s="1">
        <f>IFERROR(__xludf.DUMMYFUNCTION("""COMPUTED_VALUE"""),110.79)</f>
        <v>110.79</v>
      </c>
      <c r="W422" s="1">
        <f>IFERROR(__xludf.DUMMYFUNCTION("""COMPUTED_VALUE"""),188.17)</f>
        <v>188.17</v>
      </c>
      <c r="X422" s="1">
        <f>IFERROR(__xludf.DUMMYFUNCTION("""COMPUTED_VALUE"""),167.24)</f>
        <v>167.24</v>
      </c>
      <c r="Y422" s="1">
        <f>IFERROR(__xludf.DUMMYFUNCTION("""COMPUTED_VALUE"""),271.0)</f>
        <v>271</v>
      </c>
      <c r="Z422" s="1">
        <f>IFERROR(__xludf.DUMMYFUNCTION("""COMPUTED_VALUE"""),59.93)</f>
        <v>59.93</v>
      </c>
      <c r="AA422" s="1">
        <f>IFERROR(__xludf.DUMMYFUNCTION("""COMPUTED_VALUE"""),71.44)</f>
        <v>71.44</v>
      </c>
      <c r="AB422" s="1">
        <f>IFERROR(__xludf.DUMMYFUNCTION("""COMPUTED_VALUE"""),101.47)</f>
        <v>101.47</v>
      </c>
      <c r="AC422" s="1">
        <f>IFERROR(__xludf.DUMMYFUNCTION("""COMPUTED_VALUE"""),159.26)</f>
        <v>159.26</v>
      </c>
      <c r="AD422" s="1">
        <f>IFERROR(__xludf.DUMMYFUNCTION("""COMPUTED_VALUE"""),140.29)</f>
        <v>140.29</v>
      </c>
      <c r="AE422" s="1">
        <f>IFERROR(__xludf.DUMMYFUNCTION("""COMPUTED_VALUE"""),407.38)</f>
        <v>407.38</v>
      </c>
      <c r="AF422" s="1">
        <f>IFERROR(__xludf.DUMMYFUNCTION("""COMPUTED_VALUE"""),94.42)</f>
        <v>94.42</v>
      </c>
      <c r="AG422" s="1">
        <f>IFERROR(__xludf.DUMMYFUNCTION("""COMPUTED_VALUE"""),130.2)</f>
        <v>130.2</v>
      </c>
      <c r="AH422" s="1">
        <f>IFERROR(__xludf.DUMMYFUNCTION("""COMPUTED_VALUE"""),313.55)</f>
        <v>313.55</v>
      </c>
      <c r="AI422" s="1">
        <f>IFERROR(__xludf.DUMMYFUNCTION("""COMPUTED_VALUE"""),353.39)</f>
        <v>353.39</v>
      </c>
      <c r="AJ422" s="1">
        <f>IFERROR(__xludf.DUMMYFUNCTION("""COMPUTED_VALUE"""),366.0)</f>
        <v>366</v>
      </c>
      <c r="AK422" s="1">
        <f>IFERROR(__xludf.DUMMYFUNCTION("""COMPUTED_VALUE"""),81.23)</f>
        <v>81.23</v>
      </c>
      <c r="AL422" s="1">
        <f>IFERROR(__xludf.DUMMYFUNCTION("""COMPUTED_VALUE"""),124.07)</f>
        <v>124.07</v>
      </c>
      <c r="AM422" s="1">
        <f>IFERROR(__xludf.DUMMYFUNCTION("""COMPUTED_VALUE"""),932.67)</f>
        <v>932.67</v>
      </c>
      <c r="AN422" s="1">
        <f>IFERROR(__xludf.DUMMYFUNCTION("""COMPUTED_VALUE"""),375.95)</f>
        <v>375.95</v>
      </c>
      <c r="AO422" s="1">
        <f>IFERROR(__xludf.DUMMYFUNCTION("""COMPUTED_VALUE"""),183.72)</f>
        <v>183.72</v>
      </c>
      <c r="AP422" s="1">
        <f>IFERROR(__xludf.DUMMYFUNCTION("""COMPUTED_VALUE"""),172.94)</f>
        <v>172.94</v>
      </c>
      <c r="AQ422" s="1">
        <f>IFERROR(__xludf.DUMMYFUNCTION("""COMPUTED_VALUE"""),546.76)</f>
        <v>546.76</v>
      </c>
      <c r="AR422" s="1">
        <f>IFERROR(__xludf.DUMMYFUNCTION("""COMPUTED_VALUE"""),307.87)</f>
        <v>307.87</v>
      </c>
      <c r="AS422" s="1">
        <f>IFERROR(__xludf.DUMMYFUNCTION("""COMPUTED_VALUE"""),572.7)</f>
        <v>572.7</v>
      </c>
      <c r="AT422" s="1">
        <f>IFERROR(__xludf.DUMMYFUNCTION("""COMPUTED_VALUE"""),203.14)</f>
        <v>203.14</v>
      </c>
      <c r="AU422" s="1">
        <f>IFERROR(__xludf.DUMMYFUNCTION("""COMPUTED_VALUE"""),37.33)</f>
        <v>37.33</v>
      </c>
      <c r="AV422" s="1">
        <f>IFERROR(__xludf.DUMMYFUNCTION("""COMPUTED_VALUE"""),98.74)</f>
        <v>98.74</v>
      </c>
      <c r="AW422" s="1">
        <f>IFERROR(__xludf.DUMMYFUNCTION("""COMPUTED_VALUE"""),78.65)</f>
        <v>78.65</v>
      </c>
      <c r="AX422" s="1">
        <f>IFERROR(__xludf.DUMMYFUNCTION("""COMPUTED_VALUE"""),69.3)</f>
        <v>69.3</v>
      </c>
      <c r="AY422" s="1">
        <f>IFERROR(__xludf.DUMMYFUNCTION("""COMPUTED_VALUE"""),459.38)</f>
        <v>459.38</v>
      </c>
      <c r="AZ422" s="1">
        <f>IFERROR(__xludf.DUMMYFUNCTION("""COMPUTED_VALUE"""),81.98)</f>
        <v>81.98</v>
      </c>
      <c r="BA422" s="1">
        <f>IFERROR(__xludf.DUMMYFUNCTION("""COMPUTED_VALUE"""),149.83)</f>
        <v>149.83</v>
      </c>
      <c r="BB422" s="1">
        <f>IFERROR(__xludf.DUMMYFUNCTION("""COMPUTED_VALUE"""),183.14)</f>
        <v>183.14</v>
      </c>
      <c r="BC422" s="1">
        <f>IFERROR(__xludf.DUMMYFUNCTION("""COMPUTED_VALUE"""),89.95)</f>
        <v>89.95</v>
      </c>
      <c r="BD422" s="1">
        <f>IFERROR(__xludf.DUMMYFUNCTION("""COMPUTED_VALUE"""),45.07)</f>
        <v>45.07</v>
      </c>
      <c r="BE422" s="1">
        <f>IFERROR(__xludf.DUMMYFUNCTION("""COMPUTED_VALUE"""),178.4)</f>
        <v>178.4</v>
      </c>
      <c r="BF422" s="1">
        <f>IFERROR(__xludf.DUMMYFUNCTION("""COMPUTED_VALUE"""),57.66)</f>
        <v>57.66</v>
      </c>
      <c r="BG422" s="1">
        <f>IFERROR(__xludf.DUMMYFUNCTION("""COMPUTED_VALUE"""),25.58)</f>
        <v>25.58</v>
      </c>
      <c r="BH422" s="1">
        <f>IFERROR(__xludf.DUMMYFUNCTION("""COMPUTED_VALUE"""),198.84)</f>
        <v>198.84</v>
      </c>
      <c r="BI422" s="1">
        <f>IFERROR(__xludf.DUMMYFUNCTION("""COMPUTED_VALUE"""),121.22)</f>
        <v>121.22</v>
      </c>
      <c r="BJ422" s="1">
        <f>IFERROR(__xludf.DUMMYFUNCTION("""COMPUTED_VALUE"""),192.02)</f>
        <v>192.02</v>
      </c>
      <c r="BK422" s="1">
        <f>IFERROR(__xludf.DUMMYFUNCTION("""COMPUTED_VALUE"""),621.83)</f>
        <v>621.83</v>
      </c>
      <c r="BL422" s="1">
        <f>IFERROR(__xludf.DUMMYFUNCTION("""COMPUTED_VALUE"""),227.3)</f>
        <v>227.3</v>
      </c>
      <c r="BM422" s="1">
        <f>IFERROR(__xludf.DUMMYFUNCTION("""COMPUTED_VALUE"""),141.96)</f>
        <v>141.96</v>
      </c>
      <c r="BN422" s="1">
        <f>IFERROR(__xludf.DUMMYFUNCTION("""COMPUTED_VALUE"""),5.8)</f>
        <v>5.8</v>
      </c>
      <c r="BO422" s="1">
        <f>IFERROR(__xludf.DUMMYFUNCTION("""COMPUTED_VALUE"""),227.14)</f>
        <v>227.14</v>
      </c>
      <c r="BP422" s="1">
        <f>IFERROR(__xludf.DUMMYFUNCTION("""COMPUTED_VALUE"""),334.96)</f>
        <v>334.96</v>
      </c>
      <c r="BQ422" s="36">
        <f>IFERROR(__xludf.DUMMYFUNCTION("""COMPUTED_VALUE"""),49.53)</f>
        <v>49.53</v>
      </c>
      <c r="BR422" s="1">
        <f>IFERROR(__xludf.DUMMYFUNCTION("""COMPUTED_VALUE"""),13.15)</f>
        <v>13.15</v>
      </c>
      <c r="BS422" s="1">
        <f>IFERROR(__xludf.DUMMYFUNCTION("""COMPUTED_VALUE"""),218.79)</f>
        <v>218.79</v>
      </c>
      <c r="BT422" s="1">
        <f>IFERROR(__xludf.DUMMYFUNCTION("""COMPUTED_VALUE"""),113.53)</f>
        <v>113.53</v>
      </c>
      <c r="BU422" s="3">
        <v>1.0</v>
      </c>
    </row>
    <row r="423">
      <c r="A423" s="25">
        <f>IFERROR(__xludf.DUMMYFUNCTION("""COMPUTED_VALUE"""),46037.66666666667)</f>
        <v>46037.66667</v>
      </c>
      <c r="B423" s="29">
        <f>'Master Scratch Work'!B422</f>
        <v>1644630.77</v>
      </c>
      <c r="C423" s="31">
        <f>IFERROR(__xludf.DUMMYFUNCTION("""COMPUTED_VALUE"""),6940.01)</f>
        <v>6940.01</v>
      </c>
      <c r="D423" s="31">
        <f>IFERROR(__xludf.DUMMYFUNCTION("""COMPUTED_VALUE"""),23530.02)</f>
        <v>23530.02</v>
      </c>
      <c r="E423" s="31">
        <f>IFERROR(__xludf.DUMMYFUNCTION("""COMPUTED_VALUE"""),49442.44)</f>
        <v>49442.44</v>
      </c>
      <c r="F423" s="31">
        <f>IFERROR(__xludf.DUMMYFUNCTION("""COMPUTED_VALUE"""),2674.56)</f>
        <v>2674.56</v>
      </c>
      <c r="G423" s="1">
        <f>IFERROR(__xludf.DUMMYFUNCTION("""COMPUTED_VALUE"""),692.24)</f>
        <v>692.24</v>
      </c>
      <c r="H423" s="1">
        <f>IFERROR(__xludf.DUMMYFUNCTION("""COMPUTED_VALUE"""),621.78)</f>
        <v>621.78</v>
      </c>
      <c r="I423" s="1">
        <f>IFERROR(__xludf.DUMMYFUNCTION("""COMPUTED_VALUE"""),304.09)</f>
        <v>304.09</v>
      </c>
      <c r="J423" s="1">
        <f>IFERROR(__xludf.DUMMYFUNCTION("""COMPUTED_VALUE"""),238.18)</f>
        <v>238.18</v>
      </c>
      <c r="K423" s="1">
        <f>IFERROR(__xludf.DUMMYFUNCTION("""COMPUTED_VALUE"""),133.35)</f>
        <v>133.35</v>
      </c>
      <c r="L423" s="1">
        <f>IFERROR(__xludf.DUMMYFUNCTION("""COMPUTED_VALUE"""),258.21)</f>
        <v>258.21</v>
      </c>
      <c r="M423" s="1">
        <f>IFERROR(__xludf.DUMMYFUNCTION("""COMPUTED_VALUE"""),319.08)</f>
        <v>319.08</v>
      </c>
      <c r="N423" s="1">
        <f>IFERROR(__xludf.DUMMYFUNCTION("""COMPUTED_VALUE"""),123.97)</f>
        <v>123.97</v>
      </c>
      <c r="O423" s="1">
        <f>IFERROR(__xludf.DUMMYFUNCTION("""COMPUTED_VALUE"""),25.9)</f>
        <v>25.9</v>
      </c>
      <c r="P423" s="1">
        <f>IFERROR(__xludf.DUMMYFUNCTION("""COMPUTED_VALUE"""),492.62)</f>
        <v>492.62</v>
      </c>
      <c r="Q423" s="1">
        <f>IFERROR(__xludf.DUMMYFUNCTION("""COMPUTED_VALUE"""),66.03)</f>
        <v>66.03</v>
      </c>
      <c r="R423" s="1">
        <f>IFERROR(__xludf.DUMMYFUNCTION("""COMPUTED_VALUE"""),168.57)</f>
        <v>168.57</v>
      </c>
      <c r="S423" s="1">
        <f>IFERROR(__xludf.DUMMYFUNCTION("""COMPUTED_VALUE"""),90.03)</f>
        <v>90.03</v>
      </c>
      <c r="T423" s="1">
        <f>IFERROR(__xludf.DUMMYFUNCTION("""COMPUTED_VALUE"""),55.55)</f>
        <v>55.55</v>
      </c>
      <c r="U423" s="1">
        <f>IFERROR(__xludf.DUMMYFUNCTION("""COMPUTED_VALUE"""),647.18)</f>
        <v>647.18</v>
      </c>
      <c r="V423" s="1">
        <f>IFERROR(__xludf.DUMMYFUNCTION("""COMPUTED_VALUE"""),112.84)</f>
        <v>112.84</v>
      </c>
      <c r="W423" s="1">
        <f>IFERROR(__xludf.DUMMYFUNCTION("""COMPUTED_VALUE"""),188.54)</f>
        <v>188.54</v>
      </c>
      <c r="X423" s="1">
        <f>IFERROR(__xludf.DUMMYFUNCTION("""COMPUTED_VALUE"""),166.16)</f>
        <v>166.16</v>
      </c>
      <c r="Y423" s="1">
        <f>IFERROR(__xludf.DUMMYFUNCTION("""COMPUTED_VALUE"""),277.94)</f>
        <v>277.94</v>
      </c>
      <c r="Z423" s="1">
        <f>IFERROR(__xludf.DUMMYFUNCTION("""COMPUTED_VALUE"""),60.61)</f>
        <v>60.61</v>
      </c>
      <c r="AA423" s="1">
        <f>IFERROR(__xludf.DUMMYFUNCTION("""COMPUTED_VALUE"""),70.48)</f>
        <v>70.48</v>
      </c>
      <c r="AB423" s="1">
        <f>IFERROR(__xludf.DUMMYFUNCTION("""COMPUTED_VALUE"""),102.58)</f>
        <v>102.58</v>
      </c>
      <c r="AC423" s="1">
        <f>IFERROR(__xludf.DUMMYFUNCTION("""COMPUTED_VALUE"""),160.57)</f>
        <v>160.57</v>
      </c>
      <c r="AD423" s="1">
        <f>IFERROR(__xludf.DUMMYFUNCTION("""COMPUTED_VALUE"""),141.21)</f>
        <v>141.21</v>
      </c>
      <c r="AE423" s="1">
        <f>IFERROR(__xludf.DUMMYFUNCTION("""COMPUTED_VALUE"""),409.09)</f>
        <v>409.09</v>
      </c>
      <c r="AF423" s="1">
        <f>IFERROR(__xludf.DUMMYFUNCTION("""COMPUTED_VALUE"""),96.07)</f>
        <v>96.07</v>
      </c>
      <c r="AG423" s="1">
        <f>IFERROR(__xludf.DUMMYFUNCTION("""COMPUTED_VALUE"""),129.13)</f>
        <v>129.13</v>
      </c>
      <c r="AH423" s="1">
        <f>IFERROR(__xludf.DUMMYFUNCTION("""COMPUTED_VALUE"""),313.16)</f>
        <v>313.16</v>
      </c>
      <c r="AI423" s="1">
        <f>IFERROR(__xludf.DUMMYFUNCTION("""COMPUTED_VALUE"""),354.57)</f>
        <v>354.57</v>
      </c>
      <c r="AJ423" s="1">
        <f>IFERROR(__xludf.DUMMYFUNCTION("""COMPUTED_VALUE"""),368.69)</f>
        <v>368.69</v>
      </c>
      <c r="AK423" s="1">
        <f>IFERROR(__xludf.DUMMYFUNCTION("""COMPUTED_VALUE"""),80.91)</f>
        <v>80.91</v>
      </c>
      <c r="AL423" s="1">
        <f>IFERROR(__xludf.DUMMYFUNCTION("""COMPUTED_VALUE"""),121.26)</f>
        <v>121.26</v>
      </c>
      <c r="AM423" s="1">
        <f>IFERROR(__xludf.DUMMYFUNCTION("""COMPUTED_VALUE"""),975.86)</f>
        <v>975.86</v>
      </c>
      <c r="AN423" s="1">
        <f>IFERROR(__xludf.DUMMYFUNCTION("""COMPUTED_VALUE"""),379.16)</f>
        <v>379.16</v>
      </c>
      <c r="AO423" s="1">
        <f>IFERROR(__xludf.DUMMYFUNCTION("""COMPUTED_VALUE"""),185.58)</f>
        <v>185.58</v>
      </c>
      <c r="AP423" s="1">
        <f>IFERROR(__xludf.DUMMYFUNCTION("""COMPUTED_VALUE"""),173.28)</f>
        <v>173.28</v>
      </c>
      <c r="AQ423" s="1">
        <f>IFERROR(__xludf.DUMMYFUNCTION("""COMPUTED_VALUE"""),541.34)</f>
        <v>541.34</v>
      </c>
      <c r="AR423" s="1">
        <f>IFERROR(__xludf.DUMMYFUNCTION("""COMPUTED_VALUE"""),309.26)</f>
        <v>309.26</v>
      </c>
      <c r="AS423" s="1">
        <f>IFERROR(__xludf.DUMMYFUNCTION("""COMPUTED_VALUE"""),577.89)</f>
        <v>577.89</v>
      </c>
      <c r="AT423" s="1">
        <f>IFERROR(__xludf.DUMMYFUNCTION("""COMPUTED_VALUE"""),205.01)</f>
        <v>205.01</v>
      </c>
      <c r="AU423" s="1">
        <f>IFERROR(__xludf.DUMMYFUNCTION("""COMPUTED_VALUE"""),37.6)</f>
        <v>37.6</v>
      </c>
      <c r="AV423" s="1">
        <f>IFERROR(__xludf.DUMMYFUNCTION("""COMPUTED_VALUE"""),99.0)</f>
        <v>99</v>
      </c>
      <c r="AW423" s="1">
        <f>IFERROR(__xludf.DUMMYFUNCTION("""COMPUTED_VALUE"""),77.9)</f>
        <v>77.9</v>
      </c>
      <c r="AX423" s="1">
        <f>IFERROR(__xludf.DUMMYFUNCTION("""COMPUTED_VALUE"""),66.7)</f>
        <v>66.7</v>
      </c>
      <c r="AY423" s="1">
        <f>IFERROR(__xludf.DUMMYFUNCTION("""COMPUTED_VALUE"""),456.66)</f>
        <v>456.66</v>
      </c>
      <c r="AZ423" s="1">
        <f>IFERROR(__xludf.DUMMYFUNCTION("""COMPUTED_VALUE"""),82.19)</f>
        <v>82.19</v>
      </c>
      <c r="BA423" s="1">
        <f>IFERROR(__xludf.DUMMYFUNCTION("""COMPUTED_VALUE"""),158.5)</f>
        <v>158.5</v>
      </c>
      <c r="BB423" s="1">
        <f>IFERROR(__xludf.DUMMYFUNCTION("""COMPUTED_VALUE"""),187.05)</f>
        <v>187.05</v>
      </c>
      <c r="BC423" s="1">
        <f>IFERROR(__xludf.DUMMYFUNCTION("""COMPUTED_VALUE"""),90.35)</f>
        <v>90.35</v>
      </c>
      <c r="BD423" s="1">
        <f>IFERROR(__xludf.DUMMYFUNCTION("""COMPUTED_VALUE"""),46.0)</f>
        <v>46</v>
      </c>
      <c r="BE423" s="1">
        <f>IFERROR(__xludf.DUMMYFUNCTION("""COMPUTED_VALUE"""),177.07)</f>
        <v>177.07</v>
      </c>
      <c r="BF423" s="1">
        <f>IFERROR(__xludf.DUMMYFUNCTION("""COMPUTED_VALUE"""),56.74)</f>
        <v>56.74</v>
      </c>
      <c r="BG423" s="1">
        <f>IFERROR(__xludf.DUMMYFUNCTION("""COMPUTED_VALUE"""),25.89)</f>
        <v>25.89</v>
      </c>
      <c r="BH423" s="1">
        <f>IFERROR(__xludf.DUMMYFUNCTION("""COMPUTED_VALUE"""),199.83)</f>
        <v>199.83</v>
      </c>
      <c r="BI423" s="1">
        <f>IFERROR(__xludf.DUMMYFUNCTION("""COMPUTED_VALUE"""),123.27)</f>
        <v>123.27</v>
      </c>
      <c r="BJ423" s="1">
        <f>IFERROR(__xludf.DUMMYFUNCTION("""COMPUTED_VALUE"""),190.66)</f>
        <v>190.66</v>
      </c>
      <c r="BK423" s="1">
        <f>IFERROR(__xludf.DUMMYFUNCTION("""COMPUTED_VALUE"""),624.65)</f>
        <v>624.65</v>
      </c>
      <c r="BL423" s="1">
        <f>IFERROR(__xludf.DUMMYFUNCTION("""COMPUTED_VALUE"""),232.33)</f>
        <v>232.33</v>
      </c>
      <c r="BM423" s="1">
        <f>IFERROR(__xludf.DUMMYFUNCTION("""COMPUTED_VALUE"""),143.69)</f>
        <v>143.69</v>
      </c>
      <c r="BN423" s="1">
        <f>IFERROR(__xludf.DUMMYFUNCTION("""COMPUTED_VALUE"""),5.76)</f>
        <v>5.76</v>
      </c>
      <c r="BO423" s="1">
        <f>IFERROR(__xludf.DUMMYFUNCTION("""COMPUTED_VALUE"""),230.51)</f>
        <v>230.51</v>
      </c>
      <c r="BP423" s="1">
        <f>IFERROR(__xludf.DUMMYFUNCTION("""COMPUTED_VALUE"""),338.96)</f>
        <v>338.96</v>
      </c>
      <c r="BQ423" s="36">
        <f>IFERROR(__xludf.DUMMYFUNCTION("""COMPUTED_VALUE"""),49.48)</f>
        <v>49.48</v>
      </c>
      <c r="BR423" s="1">
        <f>IFERROR(__xludf.DUMMYFUNCTION("""COMPUTED_VALUE"""),12.84)</f>
        <v>12.84</v>
      </c>
      <c r="BS423" s="1">
        <f>IFERROR(__xludf.DUMMYFUNCTION("""COMPUTED_VALUE"""),219.86)</f>
        <v>219.86</v>
      </c>
      <c r="BT423" s="1">
        <f>IFERROR(__xludf.DUMMYFUNCTION("""COMPUTED_VALUE"""),113.41)</f>
        <v>113.41</v>
      </c>
      <c r="BU423" s="3">
        <v>1.0</v>
      </c>
    </row>
    <row r="424">
      <c r="A424" s="25">
        <f>IFERROR(__xludf.DUMMYFUNCTION("""COMPUTED_VALUE"""),46038.66666666667)</f>
        <v>46038.66667</v>
      </c>
      <c r="B424" s="29">
        <f>'Master Scratch Work'!B423</f>
        <v>1639537.65</v>
      </c>
      <c r="C424" s="31">
        <f>IFERROR(__xludf.DUMMYFUNCTION("""COMPUTED_VALUE"""),6796.86)</f>
        <v>6796.86</v>
      </c>
      <c r="D424" s="31">
        <f>IFERROR(__xludf.DUMMYFUNCTION("""COMPUTED_VALUE"""),23515.39)</f>
        <v>23515.39</v>
      </c>
      <c r="E424" s="31">
        <f>IFERROR(__xludf.DUMMYFUNCTION("""COMPUTED_VALUE"""),49359.33)</f>
        <v>49359.33</v>
      </c>
      <c r="F424" s="31">
        <f>IFERROR(__xludf.DUMMYFUNCTION("""COMPUTED_VALUE"""),2677.74)</f>
        <v>2677.74</v>
      </c>
      <c r="G424" s="1">
        <f>IFERROR(__xludf.DUMMYFUNCTION("""COMPUTED_VALUE"""),691.66)</f>
        <v>691.66</v>
      </c>
      <c r="H424" s="1">
        <f>IFERROR(__xludf.DUMMYFUNCTION("""COMPUTED_VALUE"""),621.26)</f>
        <v>621.26</v>
      </c>
      <c r="I424" s="1">
        <f>IFERROR(__xludf.DUMMYFUNCTION("""COMPUTED_VALUE"""),296.12)</f>
        <v>296.12</v>
      </c>
      <c r="J424" s="1">
        <f>IFERROR(__xludf.DUMMYFUNCTION("""COMPUTED_VALUE"""),239.12)</f>
        <v>239.12</v>
      </c>
      <c r="K424" s="1">
        <f>IFERROR(__xludf.DUMMYFUNCTION("""COMPUTED_VALUE"""),133.34)</f>
        <v>133.34</v>
      </c>
      <c r="L424" s="1">
        <f>IFERROR(__xludf.DUMMYFUNCTION("""COMPUTED_VALUE"""),255.53)</f>
        <v>255.53</v>
      </c>
      <c r="M424" s="1">
        <f>IFERROR(__xludf.DUMMYFUNCTION("""COMPUTED_VALUE"""),327.01)</f>
        <v>327.01</v>
      </c>
      <c r="N424" s="1">
        <f>IFERROR(__xludf.DUMMYFUNCTION("""COMPUTED_VALUE"""),121.33)</f>
        <v>121.33</v>
      </c>
      <c r="O424" s="1">
        <f>IFERROR(__xludf.DUMMYFUNCTION("""COMPUTED_VALUE"""),26.17)</f>
        <v>26.17</v>
      </c>
      <c r="P424" s="1">
        <f>IFERROR(__xludf.DUMMYFUNCTION("""COMPUTED_VALUE"""),493.29)</f>
        <v>493.29</v>
      </c>
      <c r="Q424" s="1">
        <f>IFERROR(__xludf.DUMMYFUNCTION("""COMPUTED_VALUE"""),64.86)</f>
        <v>64.86</v>
      </c>
      <c r="R424" s="1">
        <f>IFERROR(__xludf.DUMMYFUNCTION("""COMPUTED_VALUE"""),164.42)</f>
        <v>164.42</v>
      </c>
      <c r="S424" s="1">
        <f>IFERROR(__xludf.DUMMYFUNCTION("""COMPUTED_VALUE"""),88.07)</f>
        <v>88.07</v>
      </c>
      <c r="T424" s="1">
        <f>IFERROR(__xludf.DUMMYFUNCTION("""COMPUTED_VALUE"""),56.19)</f>
        <v>56.19</v>
      </c>
      <c r="U424" s="1">
        <f>IFERROR(__xludf.DUMMYFUNCTION("""COMPUTED_VALUE"""),646.89)</f>
        <v>646.89</v>
      </c>
      <c r="V424" s="1">
        <f>IFERROR(__xludf.DUMMYFUNCTION("""COMPUTED_VALUE"""),116.44)</f>
        <v>116.44</v>
      </c>
      <c r="W424" s="1">
        <f>IFERROR(__xludf.DUMMYFUNCTION("""COMPUTED_VALUE"""),185.54)</f>
        <v>185.54</v>
      </c>
      <c r="X424" s="1">
        <f>IFERROR(__xludf.DUMMYFUNCTION("""COMPUTED_VALUE"""),166.26)</f>
        <v>166.26</v>
      </c>
      <c r="Y424" s="1">
        <f>IFERROR(__xludf.DUMMYFUNCTION("""COMPUTED_VALUE"""),272.21)</f>
        <v>272.21</v>
      </c>
      <c r="Z424" s="1">
        <f>IFERROR(__xludf.DUMMYFUNCTION("""COMPUTED_VALUE"""),60.82)</f>
        <v>60.82</v>
      </c>
      <c r="AA424" s="1">
        <f>IFERROR(__xludf.DUMMYFUNCTION("""COMPUTED_VALUE"""),70.44)</f>
        <v>70.44</v>
      </c>
      <c r="AB424" s="1">
        <f>IFERROR(__xludf.DUMMYFUNCTION("""COMPUTED_VALUE"""),103.81)</f>
        <v>103.81</v>
      </c>
      <c r="AC424" s="1">
        <f>IFERROR(__xludf.DUMMYFUNCTION("""COMPUTED_VALUE"""),163.6)</f>
        <v>163.6</v>
      </c>
      <c r="AD424" s="1">
        <f>IFERROR(__xludf.DUMMYFUNCTION("""COMPUTED_VALUE"""),139.95)</f>
        <v>139.95</v>
      </c>
      <c r="AE424" s="1">
        <f>IFERROR(__xludf.DUMMYFUNCTION("""COMPUTED_VALUE"""),400.28)</f>
        <v>400.28</v>
      </c>
      <c r="AF424" s="1">
        <f>IFERROR(__xludf.DUMMYFUNCTION("""COMPUTED_VALUE"""),93.03)</f>
        <v>93.03</v>
      </c>
      <c r="AG424" s="1">
        <f>IFERROR(__xludf.DUMMYFUNCTION("""COMPUTED_VALUE"""),129.89)</f>
        <v>129.89</v>
      </c>
      <c r="AH424" s="1">
        <f>IFERROR(__xludf.DUMMYFUNCTION("""COMPUTED_VALUE"""),308.18)</f>
        <v>308.18</v>
      </c>
      <c r="AI424" s="1">
        <f>IFERROR(__xludf.DUMMYFUNCTION("""COMPUTED_VALUE"""),345.23)</f>
        <v>345.23</v>
      </c>
      <c r="AJ424" s="1">
        <f>IFERROR(__xludf.DUMMYFUNCTION("""COMPUTED_VALUE"""),367.38)</f>
        <v>367.38</v>
      </c>
      <c r="AK424" s="1">
        <f>IFERROR(__xludf.DUMMYFUNCTION("""COMPUTED_VALUE"""),80.82)</f>
        <v>80.82</v>
      </c>
      <c r="AL424" s="1">
        <f>IFERROR(__xludf.DUMMYFUNCTION("""COMPUTED_VALUE"""),124.91)</f>
        <v>124.91</v>
      </c>
      <c r="AM424" s="1">
        <f>IFERROR(__xludf.DUMMYFUNCTION("""COMPUTED_VALUE"""),962.0)</f>
        <v>962</v>
      </c>
      <c r="AN424" s="1">
        <f>IFERROR(__xludf.DUMMYFUNCTION("""COMPUTED_VALUE"""),380.17)</f>
        <v>380.17</v>
      </c>
      <c r="AO424" s="1">
        <f>IFERROR(__xludf.DUMMYFUNCTION("""COMPUTED_VALUE"""),183.46)</f>
        <v>183.46</v>
      </c>
      <c r="AP424" s="1">
        <f>IFERROR(__xludf.DUMMYFUNCTION("""COMPUTED_VALUE"""),173.98)</f>
        <v>173.98</v>
      </c>
      <c r="AQ424" s="1">
        <f>IFERROR(__xludf.DUMMYFUNCTION("""COMPUTED_VALUE"""),535.0)</f>
        <v>535</v>
      </c>
      <c r="AR424" s="1">
        <f>IFERROR(__xludf.DUMMYFUNCTION("""COMPUTED_VALUE"""),312.47)</f>
        <v>312.47</v>
      </c>
      <c r="AS424" s="1">
        <f>IFERROR(__xludf.DUMMYFUNCTION("""COMPUTED_VALUE"""),582.43)</f>
        <v>582.43</v>
      </c>
      <c r="AT424" s="1">
        <f>IFERROR(__xludf.DUMMYFUNCTION("""COMPUTED_VALUE"""),201.87)</f>
        <v>201.87</v>
      </c>
      <c r="AU424" s="1">
        <f>IFERROR(__xludf.DUMMYFUNCTION("""COMPUTED_VALUE"""),37.37)</f>
        <v>37.37</v>
      </c>
      <c r="AV424" s="1">
        <f>IFERROR(__xludf.DUMMYFUNCTION("""COMPUTED_VALUE"""),96.76)</f>
        <v>96.76</v>
      </c>
      <c r="AW424" s="1">
        <f>IFERROR(__xludf.DUMMYFUNCTION("""COMPUTED_VALUE"""),76.77)</f>
        <v>76.77</v>
      </c>
      <c r="AX424" s="1">
        <f>IFERROR(__xludf.DUMMYFUNCTION("""COMPUTED_VALUE"""),68.98)</f>
        <v>68.98</v>
      </c>
      <c r="AY424" s="1">
        <f>IFERROR(__xludf.DUMMYFUNCTION("""COMPUTED_VALUE"""),459.86)</f>
        <v>459.86</v>
      </c>
      <c r="AZ424" s="1">
        <f>IFERROR(__xludf.DUMMYFUNCTION("""COMPUTED_VALUE"""),83.63)</f>
        <v>83.63</v>
      </c>
      <c r="BA424" s="1">
        <f>IFERROR(__xludf.DUMMYFUNCTION("""COMPUTED_VALUE"""),152.05)</f>
        <v>152.05</v>
      </c>
      <c r="BB424" s="1">
        <f>IFERROR(__xludf.DUMMYFUNCTION("""COMPUTED_VALUE"""),186.23)</f>
        <v>186.23</v>
      </c>
      <c r="BC424" s="1">
        <f>IFERROR(__xludf.DUMMYFUNCTION("""COMPUTED_VALUE"""),90.16)</f>
        <v>90.16</v>
      </c>
      <c r="BD424" s="1">
        <f>IFERROR(__xludf.DUMMYFUNCTION("""COMPUTED_VALUE"""),45.05)</f>
        <v>45.05</v>
      </c>
      <c r="BE424" s="1">
        <f>IFERROR(__xludf.DUMMYFUNCTION("""COMPUTED_VALUE"""),170.96)</f>
        <v>170.96</v>
      </c>
      <c r="BF424" s="1">
        <f>IFERROR(__xludf.DUMMYFUNCTION("""COMPUTED_VALUE"""),56.89)</f>
        <v>56.89</v>
      </c>
      <c r="BG424" s="1">
        <f>IFERROR(__xludf.DUMMYFUNCTION("""COMPUTED_VALUE"""),25.65)</f>
        <v>25.65</v>
      </c>
      <c r="BH424" s="1">
        <f>IFERROR(__xludf.DUMMYFUNCTION("""COMPUTED_VALUE"""),201.92)</f>
        <v>201.92</v>
      </c>
      <c r="BI424" s="1">
        <f>IFERROR(__xludf.DUMMYFUNCTION("""COMPUTED_VALUE"""),120.28)</f>
        <v>120.28</v>
      </c>
      <c r="BJ424" s="1">
        <f>IFERROR(__xludf.DUMMYFUNCTION("""COMPUTED_VALUE"""),186.32)</f>
        <v>186.32</v>
      </c>
      <c r="BK424" s="1">
        <f>IFERROR(__xludf.DUMMYFUNCTION("""COMPUTED_VALUE"""),618.72)</f>
        <v>618.72</v>
      </c>
      <c r="BL424" s="1">
        <f>IFERROR(__xludf.DUMMYFUNCTION("""COMPUTED_VALUE"""),231.42)</f>
        <v>231.42</v>
      </c>
      <c r="BM424" s="1">
        <f>IFERROR(__xludf.DUMMYFUNCTION("""COMPUTED_VALUE"""),143.37)</f>
        <v>143.37</v>
      </c>
      <c r="BN424" s="1">
        <f>IFERROR(__xludf.DUMMYFUNCTION("""COMPUTED_VALUE"""),5.78)</f>
        <v>5.78</v>
      </c>
      <c r="BO424" s="1">
        <f>IFERROR(__xludf.DUMMYFUNCTION("""COMPUTED_VALUE"""),229.49)</f>
        <v>229.49</v>
      </c>
      <c r="BP424" s="1">
        <f>IFERROR(__xludf.DUMMYFUNCTION("""COMPUTED_VALUE"""),331.02)</f>
        <v>331.02</v>
      </c>
      <c r="BQ424" s="36">
        <f>IFERROR(__xludf.DUMMYFUNCTION("""COMPUTED_VALUE"""),49.46)</f>
        <v>49.46</v>
      </c>
      <c r="BR424" s="1">
        <f>IFERROR(__xludf.DUMMYFUNCTION("""COMPUTED_VALUE"""),12.86)</f>
        <v>12.86</v>
      </c>
      <c r="BS424" s="1">
        <f>IFERROR(__xludf.DUMMYFUNCTION("""COMPUTED_VALUE"""),221.23)</f>
        <v>221.23</v>
      </c>
      <c r="BT424" s="1">
        <f>IFERROR(__xludf.DUMMYFUNCTION("""COMPUTED_VALUE"""),111.2)</f>
        <v>111.2</v>
      </c>
      <c r="BU424" s="3">
        <v>1.0</v>
      </c>
    </row>
    <row r="425">
      <c r="A425" s="25">
        <f>IFERROR(__xludf.DUMMYFUNCTION("""COMPUTED_VALUE"""),46042.66666666667)</f>
        <v>46042.66667</v>
      </c>
      <c r="B425" s="29">
        <f>'Master Scratch Work'!B424</f>
        <v>1614836.93</v>
      </c>
      <c r="C425" s="31">
        <f>IFERROR(__xludf.DUMMYFUNCTION("""COMPUTED_VALUE"""),6875.62)</f>
        <v>6875.62</v>
      </c>
      <c r="D425" s="31">
        <f>IFERROR(__xludf.DUMMYFUNCTION("""COMPUTED_VALUE"""),22954.32)</f>
        <v>22954.32</v>
      </c>
      <c r="E425" s="31">
        <f>IFERROR(__xludf.DUMMYFUNCTION("""COMPUTED_VALUE"""),48488.59)</f>
        <v>48488.59</v>
      </c>
      <c r="F425" s="31">
        <f>IFERROR(__xludf.DUMMYFUNCTION("""COMPUTED_VALUE"""),2645.36)</f>
        <v>2645.36</v>
      </c>
      <c r="G425" s="1">
        <f>IFERROR(__xludf.DUMMYFUNCTION("""COMPUTED_VALUE"""),677.58)</f>
        <v>677.58</v>
      </c>
      <c r="H425" s="1">
        <f>IFERROR(__xludf.DUMMYFUNCTION("""COMPUTED_VALUE"""),608.06)</f>
        <v>608.06</v>
      </c>
      <c r="I425" s="1">
        <f>IFERROR(__xludf.DUMMYFUNCTION("""COMPUTED_VALUE"""),290.37)</f>
        <v>290.37</v>
      </c>
      <c r="J425" s="1">
        <f>IFERROR(__xludf.DUMMYFUNCTION("""COMPUTED_VALUE"""),231.0)</f>
        <v>231</v>
      </c>
      <c r="K425" s="1">
        <f>IFERROR(__xludf.DUMMYFUNCTION("""COMPUTED_VALUE"""),131.42)</f>
        <v>131.42</v>
      </c>
      <c r="L425" s="1">
        <f>IFERROR(__xludf.DUMMYFUNCTION("""COMPUTED_VALUE"""),246.7)</f>
        <v>246.7</v>
      </c>
      <c r="M425" s="1">
        <f>IFERROR(__xludf.DUMMYFUNCTION("""COMPUTED_VALUE"""),318.23)</f>
        <v>318.23</v>
      </c>
      <c r="N425" s="1">
        <f>IFERROR(__xludf.DUMMYFUNCTION("""COMPUTED_VALUE"""),120.68)</f>
        <v>120.68</v>
      </c>
      <c r="O425" s="1">
        <f>IFERROR(__xludf.DUMMYFUNCTION("""COMPUTED_VALUE"""),25.63)</f>
        <v>25.63</v>
      </c>
      <c r="P425" s="1">
        <f>IFERROR(__xludf.DUMMYFUNCTION("""COMPUTED_VALUE"""),485.39)</f>
        <v>485.39</v>
      </c>
      <c r="Q425" s="1">
        <f>IFERROR(__xludf.DUMMYFUNCTION("""COMPUTED_VALUE"""),64.39)</f>
        <v>64.39</v>
      </c>
      <c r="R425" s="1">
        <f>IFERROR(__xludf.DUMMYFUNCTION("""COMPUTED_VALUE"""),165.38)</f>
        <v>165.38</v>
      </c>
      <c r="S425" s="1">
        <f>IFERROR(__xludf.DUMMYFUNCTION("""COMPUTED_VALUE"""),91.2)</f>
        <v>91.2</v>
      </c>
      <c r="T425" s="1">
        <f>IFERROR(__xludf.DUMMYFUNCTION("""COMPUTED_VALUE"""),55.21)</f>
        <v>55.21</v>
      </c>
      <c r="U425" s="1">
        <f>IFERROR(__xludf.DUMMYFUNCTION("""COMPUTED_VALUE"""),629.0)</f>
        <v>629</v>
      </c>
      <c r="V425" s="1">
        <f>IFERROR(__xludf.DUMMYFUNCTION("""COMPUTED_VALUE"""),115.8)</f>
        <v>115.8</v>
      </c>
      <c r="W425" s="1">
        <f>IFERROR(__xludf.DUMMYFUNCTION("""COMPUTED_VALUE"""),178.71)</f>
        <v>178.71</v>
      </c>
      <c r="X425" s="1">
        <f>IFERROR(__xludf.DUMMYFUNCTION("""COMPUTED_VALUE"""),165.3)</f>
        <v>165.3</v>
      </c>
      <c r="Y425" s="1">
        <f>IFERROR(__xludf.DUMMYFUNCTION("""COMPUTED_VALUE"""),271.24)</f>
        <v>271.24</v>
      </c>
      <c r="Z425" s="1">
        <f>IFERROR(__xludf.DUMMYFUNCTION("""COMPUTED_VALUE"""),59.81)</f>
        <v>59.81</v>
      </c>
      <c r="AA425" s="1">
        <f>IFERROR(__xludf.DUMMYFUNCTION("""COMPUTED_VALUE"""),71.75)</f>
        <v>71.75</v>
      </c>
      <c r="AB425" s="1">
        <f>IFERROR(__xludf.DUMMYFUNCTION("""COMPUTED_VALUE"""),105.05)</f>
        <v>105.05</v>
      </c>
      <c r="AC425" s="1">
        <f>IFERROR(__xludf.DUMMYFUNCTION("""COMPUTED_VALUE"""),159.62)</f>
        <v>159.62</v>
      </c>
      <c r="AD425" s="1">
        <f>IFERROR(__xludf.DUMMYFUNCTION("""COMPUTED_VALUE"""),134.06)</f>
        <v>134.06</v>
      </c>
      <c r="AE425" s="1">
        <f>IFERROR(__xludf.DUMMYFUNCTION("""COMPUTED_VALUE"""),387.64)</f>
        <v>387.64</v>
      </c>
      <c r="AF425" s="1">
        <f>IFERROR(__xludf.DUMMYFUNCTION("""COMPUTED_VALUE"""),90.7)</f>
        <v>90.7</v>
      </c>
      <c r="AG425" s="1">
        <f>IFERROR(__xludf.DUMMYFUNCTION("""COMPUTED_VALUE"""),130.46)</f>
        <v>130.46</v>
      </c>
      <c r="AH425" s="1">
        <f>IFERROR(__xludf.DUMMYFUNCTION("""COMPUTED_VALUE"""),301.03)</f>
        <v>301.03</v>
      </c>
      <c r="AI425" s="1">
        <f>IFERROR(__xludf.DUMMYFUNCTION("""COMPUTED_VALUE"""),336.78)</f>
        <v>336.78</v>
      </c>
      <c r="AJ425" s="1">
        <f>IFERROR(__xludf.DUMMYFUNCTION("""COMPUTED_VALUE"""),359.17)</f>
        <v>359.17</v>
      </c>
      <c r="AK425" s="1">
        <f>IFERROR(__xludf.DUMMYFUNCTION("""COMPUTED_VALUE"""),77.81)</f>
        <v>77.81</v>
      </c>
      <c r="AL425" s="1">
        <f>IFERROR(__xludf.DUMMYFUNCTION("""COMPUTED_VALUE"""),124.14)</f>
        <v>124.14</v>
      </c>
      <c r="AM425" s="1">
        <f>IFERROR(__xludf.DUMMYFUNCTION("""COMPUTED_VALUE"""),943.37)</f>
        <v>943.37</v>
      </c>
      <c r="AN425" s="1">
        <f>IFERROR(__xludf.DUMMYFUNCTION("""COMPUTED_VALUE"""),375.11)</f>
        <v>375.11</v>
      </c>
      <c r="AO425" s="1">
        <f>IFERROR(__xludf.DUMMYFUNCTION("""COMPUTED_VALUE"""),178.73)</f>
        <v>178.73</v>
      </c>
      <c r="AP425" s="1">
        <f>IFERROR(__xludf.DUMMYFUNCTION("""COMPUTED_VALUE"""),170.95)</f>
        <v>170.95</v>
      </c>
      <c r="AQ425" s="1">
        <f>IFERROR(__xludf.DUMMYFUNCTION("""COMPUTED_VALUE"""),527.44)</f>
        <v>527.44</v>
      </c>
      <c r="AR425" s="1">
        <f>IFERROR(__xludf.DUMMYFUNCTION("""COMPUTED_VALUE"""),302.74)</f>
        <v>302.74</v>
      </c>
      <c r="AS425" s="1">
        <f>IFERROR(__xludf.DUMMYFUNCTION("""COMPUTED_VALUE"""),576.06)</f>
        <v>576.06</v>
      </c>
      <c r="AT425" s="1">
        <f>IFERROR(__xludf.DUMMYFUNCTION("""COMPUTED_VALUE"""),188.76)</f>
        <v>188.76</v>
      </c>
      <c r="AU425" s="1">
        <f>IFERROR(__xludf.DUMMYFUNCTION("""COMPUTED_VALUE"""),36.58)</f>
        <v>36.58</v>
      </c>
      <c r="AV425" s="1">
        <f>IFERROR(__xludf.DUMMYFUNCTION("""COMPUTED_VALUE"""),98.6)</f>
        <v>98.6</v>
      </c>
      <c r="AW425" s="1">
        <f>IFERROR(__xludf.DUMMYFUNCTION("""COMPUTED_VALUE"""),75.57)</f>
        <v>75.57</v>
      </c>
      <c r="AX425" s="1">
        <f>IFERROR(__xludf.DUMMYFUNCTION("""COMPUTED_VALUE"""),68.38)</f>
        <v>68.38</v>
      </c>
      <c r="AY425" s="1">
        <f>IFERROR(__xludf.DUMMYFUNCTION("""COMPUTED_VALUE"""),454.52)</f>
        <v>454.52</v>
      </c>
      <c r="AZ425" s="1">
        <f>IFERROR(__xludf.DUMMYFUNCTION("""COMPUTED_VALUE"""),83.51)</f>
        <v>83.51</v>
      </c>
      <c r="BA425" s="1">
        <f>IFERROR(__xludf.DUMMYFUNCTION("""COMPUTED_VALUE"""),148.91)</f>
        <v>148.91</v>
      </c>
      <c r="BB425" s="1">
        <f>IFERROR(__xludf.DUMMYFUNCTION("""COMPUTED_VALUE"""),178.07)</f>
        <v>178.07</v>
      </c>
      <c r="BC425" s="1">
        <f>IFERROR(__xludf.DUMMYFUNCTION("""COMPUTED_VALUE"""),88.14)</f>
        <v>88.14</v>
      </c>
      <c r="BD425" s="1">
        <f>IFERROR(__xludf.DUMMYFUNCTION("""COMPUTED_VALUE"""),44.12)</f>
        <v>44.12</v>
      </c>
      <c r="BE425" s="1">
        <f>IFERROR(__xludf.DUMMYFUNCTION("""COMPUTED_VALUE"""),168.53)</f>
        <v>168.53</v>
      </c>
      <c r="BF425" s="1">
        <f>IFERROR(__xludf.DUMMYFUNCTION("""COMPUTED_VALUE"""),55.08)</f>
        <v>55.08</v>
      </c>
      <c r="BG425" s="1">
        <f>IFERROR(__xludf.DUMMYFUNCTION("""COMPUTED_VALUE"""),25.52)</f>
        <v>25.52</v>
      </c>
      <c r="BH425" s="1">
        <f>IFERROR(__xludf.DUMMYFUNCTION("""COMPUTED_VALUE"""),196.36)</f>
        <v>196.36</v>
      </c>
      <c r="BI425" s="1">
        <f>IFERROR(__xludf.DUMMYFUNCTION("""COMPUTED_VALUE"""),116.22)</f>
        <v>116.22</v>
      </c>
      <c r="BJ425" s="1">
        <f>IFERROR(__xludf.DUMMYFUNCTION("""COMPUTED_VALUE"""),183.65)</f>
        <v>183.65</v>
      </c>
      <c r="BK425" s="1">
        <f>IFERROR(__xludf.DUMMYFUNCTION("""COMPUTED_VALUE"""),619.01)</f>
        <v>619.01</v>
      </c>
      <c r="BL425" s="1">
        <f>IFERROR(__xludf.DUMMYFUNCTION("""COMPUTED_VALUE"""),220.47)</f>
        <v>220.47</v>
      </c>
      <c r="BM425" s="1">
        <f>IFERROR(__xludf.DUMMYFUNCTION("""COMPUTED_VALUE"""),141.93)</f>
        <v>141.93</v>
      </c>
      <c r="BN425" s="1">
        <f>IFERROR(__xludf.DUMMYFUNCTION("""COMPUTED_VALUE"""),5.74)</f>
        <v>5.74</v>
      </c>
      <c r="BO425" s="1">
        <f>IFERROR(__xludf.DUMMYFUNCTION("""COMPUTED_VALUE"""),221.69)</f>
        <v>221.69</v>
      </c>
      <c r="BP425" s="1">
        <f>IFERROR(__xludf.DUMMYFUNCTION("""COMPUTED_VALUE"""),338.43)</f>
        <v>338.43</v>
      </c>
      <c r="BQ425" s="36">
        <f>IFERROR(__xludf.DUMMYFUNCTION("""COMPUTED_VALUE"""),49.46)</f>
        <v>49.46</v>
      </c>
      <c r="BR425" s="1">
        <f>IFERROR(__xludf.DUMMYFUNCTION("""COMPUTED_VALUE"""),12.66)</f>
        <v>12.66</v>
      </c>
      <c r="BS425" s="1">
        <f>IFERROR(__xludf.DUMMYFUNCTION("""COMPUTED_VALUE"""),221.3)</f>
        <v>221.3</v>
      </c>
      <c r="BT425" s="1">
        <f>IFERROR(__xludf.DUMMYFUNCTION("""COMPUTED_VALUE"""),110.34)</f>
        <v>110.34</v>
      </c>
      <c r="BU425" s="3">
        <v>1.0</v>
      </c>
    </row>
    <row r="426">
      <c r="A426" s="25">
        <f>IFERROR(__xludf.DUMMYFUNCTION("""COMPUTED_VALUE"""),46043.66666666667)</f>
        <v>46043.66667</v>
      </c>
      <c r="B426" s="29">
        <f>'Master Scratch Work'!B425</f>
        <v>1628614.45</v>
      </c>
      <c r="C426" s="31">
        <f>IFERROR(__xludf.DUMMYFUNCTION("""COMPUTED_VALUE"""),6913.35)</f>
        <v>6913.35</v>
      </c>
      <c r="D426" s="31">
        <f>IFERROR(__xludf.DUMMYFUNCTION("""COMPUTED_VALUE"""),23224.83)</f>
        <v>23224.83</v>
      </c>
      <c r="E426" s="31">
        <f>IFERROR(__xludf.DUMMYFUNCTION("""COMPUTED_VALUE"""),49077.23)</f>
        <v>49077.23</v>
      </c>
      <c r="F426" s="31">
        <f>IFERROR(__xludf.DUMMYFUNCTION("""COMPUTED_VALUE"""),2698.17)</f>
        <v>2698.17</v>
      </c>
      <c r="G426" s="1">
        <f>IFERROR(__xludf.DUMMYFUNCTION("""COMPUTED_VALUE"""),685.4)</f>
        <v>685.4</v>
      </c>
      <c r="H426" s="1">
        <f>IFERROR(__xludf.DUMMYFUNCTION("""COMPUTED_VALUE"""),616.28)</f>
        <v>616.28</v>
      </c>
      <c r="I426" s="1">
        <f>IFERROR(__xludf.DUMMYFUNCTION("""COMPUTED_VALUE"""),294.23)</f>
        <v>294.23</v>
      </c>
      <c r="J426" s="1">
        <f>IFERROR(__xludf.DUMMYFUNCTION("""COMPUTED_VALUE"""),231.31)</f>
        <v>231.31</v>
      </c>
      <c r="K426" s="1">
        <f>IFERROR(__xludf.DUMMYFUNCTION("""COMPUTED_VALUE"""),130.99)</f>
        <v>130.99</v>
      </c>
      <c r="L426" s="1">
        <f>IFERROR(__xludf.DUMMYFUNCTION("""COMPUTED_VALUE"""),247.65)</f>
        <v>247.65</v>
      </c>
      <c r="M426" s="1">
        <f>IFERROR(__xludf.DUMMYFUNCTION("""COMPUTED_VALUE"""),325.24)</f>
        <v>325.24</v>
      </c>
      <c r="N426" s="1">
        <f>IFERROR(__xludf.DUMMYFUNCTION("""COMPUTED_VALUE"""),119.76)</f>
        <v>119.76</v>
      </c>
      <c r="O426" s="1">
        <f>IFERROR(__xludf.DUMMYFUNCTION("""COMPUTED_VALUE"""),25.84)</f>
        <v>25.84</v>
      </c>
      <c r="P426" s="1">
        <f>IFERROR(__xludf.DUMMYFUNCTION("""COMPUTED_VALUE"""),483.83)</f>
        <v>483.83</v>
      </c>
      <c r="Q426" s="1">
        <f>IFERROR(__xludf.DUMMYFUNCTION("""COMPUTED_VALUE"""),65.61)</f>
        <v>65.61</v>
      </c>
      <c r="R426" s="1">
        <f>IFERROR(__xludf.DUMMYFUNCTION("""COMPUTED_VALUE"""),172.62)</f>
        <v>172.62</v>
      </c>
      <c r="S426" s="1">
        <f>IFERROR(__xludf.DUMMYFUNCTION("""COMPUTED_VALUE"""),91.71)</f>
        <v>91.71</v>
      </c>
      <c r="T426" s="1">
        <f>IFERROR(__xludf.DUMMYFUNCTION("""COMPUTED_VALUE"""),57.74)</f>
        <v>57.74</v>
      </c>
      <c r="U426" s="1">
        <f>IFERROR(__xludf.DUMMYFUNCTION("""COMPUTED_VALUE"""),645.38)</f>
        <v>645.38</v>
      </c>
      <c r="V426" s="1">
        <f>IFERROR(__xludf.DUMMYFUNCTION("""COMPUTED_VALUE"""),122.33)</f>
        <v>122.33</v>
      </c>
      <c r="W426" s="1">
        <f>IFERROR(__xludf.DUMMYFUNCTION("""COMPUTED_VALUE"""),174.36)</f>
        <v>174.36</v>
      </c>
      <c r="X426" s="1">
        <f>IFERROR(__xludf.DUMMYFUNCTION("""COMPUTED_VALUE"""),166.73)</f>
        <v>166.73</v>
      </c>
      <c r="Y426" s="1">
        <f>IFERROR(__xludf.DUMMYFUNCTION("""COMPUTED_VALUE"""),274.91)</f>
        <v>274.91</v>
      </c>
      <c r="Z426" s="1">
        <f>IFERROR(__xludf.DUMMYFUNCTION("""COMPUTED_VALUE"""),64.06)</f>
        <v>64.06</v>
      </c>
      <c r="AA426" s="1">
        <f>IFERROR(__xludf.DUMMYFUNCTION("""COMPUTED_VALUE"""),72.01)</f>
        <v>72.01</v>
      </c>
      <c r="AB426" s="1">
        <f>IFERROR(__xludf.DUMMYFUNCTION("""COMPUTED_VALUE"""),103.84)</f>
        <v>103.84</v>
      </c>
      <c r="AC426" s="1">
        <f>IFERROR(__xludf.DUMMYFUNCTION("""COMPUTED_VALUE"""),159.0)</f>
        <v>159</v>
      </c>
      <c r="AD426" s="1">
        <f>IFERROR(__xludf.DUMMYFUNCTION("""COMPUTED_VALUE"""),132.94)</f>
        <v>132.94</v>
      </c>
      <c r="AE426" s="1">
        <f>IFERROR(__xludf.DUMMYFUNCTION("""COMPUTED_VALUE"""),398.92)</f>
        <v>398.92</v>
      </c>
      <c r="AF426" s="1">
        <f>IFERROR(__xludf.DUMMYFUNCTION("""COMPUTED_VALUE"""),92.82)</f>
        <v>92.82</v>
      </c>
      <c r="AG426" s="1">
        <f>IFERROR(__xludf.DUMMYFUNCTION("""COMPUTED_VALUE"""),133.61)</f>
        <v>133.61</v>
      </c>
      <c r="AH426" s="1">
        <f>IFERROR(__xludf.DUMMYFUNCTION("""COMPUTED_VALUE"""),306.95)</f>
        <v>306.95</v>
      </c>
      <c r="AI426" s="1">
        <f>IFERROR(__xludf.DUMMYFUNCTION("""COMPUTED_VALUE"""),341.68)</f>
        <v>341.68</v>
      </c>
      <c r="AJ426" s="1">
        <f>IFERROR(__xludf.DUMMYFUNCTION("""COMPUTED_VALUE"""),364.78)</f>
        <v>364.78</v>
      </c>
      <c r="AK426" s="1">
        <f>IFERROR(__xludf.DUMMYFUNCTION("""COMPUTED_VALUE"""),80.93)</f>
        <v>80.93</v>
      </c>
      <c r="AL426" s="1">
        <f>IFERROR(__xludf.DUMMYFUNCTION("""COMPUTED_VALUE"""),129.11)</f>
        <v>129.11</v>
      </c>
      <c r="AM426" s="1">
        <f>IFERROR(__xludf.DUMMYFUNCTION("""COMPUTED_VALUE"""),953.01)</f>
        <v>953.01</v>
      </c>
      <c r="AN426" s="1">
        <f>IFERROR(__xludf.DUMMYFUNCTION("""COMPUTED_VALUE"""),384.64)</f>
        <v>384.64</v>
      </c>
      <c r="AO426" s="1">
        <f>IFERROR(__xludf.DUMMYFUNCTION("""COMPUTED_VALUE"""),176.41)</f>
        <v>176.41</v>
      </c>
      <c r="AP426" s="1">
        <f>IFERROR(__xludf.DUMMYFUNCTION("""COMPUTED_VALUE"""),171.9)</f>
        <v>171.9</v>
      </c>
      <c r="AQ426" s="1">
        <f>IFERROR(__xludf.DUMMYFUNCTION("""COMPUTED_VALUE"""),523.69)</f>
        <v>523.69</v>
      </c>
      <c r="AR426" s="1">
        <f>IFERROR(__xludf.DUMMYFUNCTION("""COMPUTED_VALUE"""),302.04)</f>
        <v>302.04</v>
      </c>
      <c r="AS426" s="1">
        <f>IFERROR(__xludf.DUMMYFUNCTION("""COMPUTED_VALUE"""),586.23)</f>
        <v>586.23</v>
      </c>
      <c r="AT426" s="1">
        <f>IFERROR(__xludf.DUMMYFUNCTION("""COMPUTED_VALUE"""),189.84)</f>
        <v>189.84</v>
      </c>
      <c r="AU426" s="1">
        <f>IFERROR(__xludf.DUMMYFUNCTION("""COMPUTED_VALUE"""),37.04)</f>
        <v>37.04</v>
      </c>
      <c r="AV426" s="1">
        <f>IFERROR(__xludf.DUMMYFUNCTION("""COMPUTED_VALUE"""),100.29)</f>
        <v>100.29</v>
      </c>
      <c r="AW426" s="1">
        <f>IFERROR(__xludf.DUMMYFUNCTION("""COMPUTED_VALUE"""),76.6)</f>
        <v>76.6</v>
      </c>
      <c r="AX426" s="1">
        <f>IFERROR(__xludf.DUMMYFUNCTION("""COMPUTED_VALUE"""),64.65)</f>
        <v>64.65</v>
      </c>
      <c r="AY426" s="1">
        <f>IFERROR(__xludf.DUMMYFUNCTION("""COMPUTED_VALUE"""),444.11)</f>
        <v>444.11</v>
      </c>
      <c r="AZ426" s="1">
        <f>IFERROR(__xludf.DUMMYFUNCTION("""COMPUTED_VALUE"""),83.85)</f>
        <v>83.85</v>
      </c>
      <c r="BA426" s="1">
        <f>IFERROR(__xludf.DUMMYFUNCTION("""COMPUTED_VALUE"""),150.68)</f>
        <v>150.68</v>
      </c>
      <c r="BB426" s="1">
        <f>IFERROR(__xludf.DUMMYFUNCTION("""COMPUTED_VALUE"""),183.32)</f>
        <v>183.32</v>
      </c>
      <c r="BC426" s="1">
        <f>IFERROR(__xludf.DUMMYFUNCTION("""COMPUTED_VALUE"""),89.48)</f>
        <v>89.48</v>
      </c>
      <c r="BD426" s="1">
        <f>IFERROR(__xludf.DUMMYFUNCTION("""COMPUTED_VALUE"""),46.3)</f>
        <v>46.3</v>
      </c>
      <c r="BE426" s="1">
        <f>IFERROR(__xludf.DUMMYFUNCTION("""COMPUTED_VALUE"""),165.33)</f>
        <v>165.33</v>
      </c>
      <c r="BF426" s="1">
        <f>IFERROR(__xludf.DUMMYFUNCTION("""COMPUTED_VALUE"""),55.89)</f>
        <v>55.89</v>
      </c>
      <c r="BG426" s="1">
        <f>IFERROR(__xludf.DUMMYFUNCTION("""COMPUTED_VALUE"""),25.89)</f>
        <v>25.89</v>
      </c>
      <c r="BH426" s="1">
        <f>IFERROR(__xludf.DUMMYFUNCTION("""COMPUTED_VALUE"""),197.5)</f>
        <v>197.5</v>
      </c>
      <c r="BI426" s="1">
        <f>IFERROR(__xludf.DUMMYFUNCTION("""COMPUTED_VALUE"""),117.53)</f>
        <v>117.53</v>
      </c>
      <c r="BJ426" s="1">
        <f>IFERROR(__xludf.DUMMYFUNCTION("""COMPUTED_VALUE"""),183.6)</f>
        <v>183.6</v>
      </c>
      <c r="BK426" s="1">
        <f>IFERROR(__xludf.DUMMYFUNCTION("""COMPUTED_VALUE"""),636.3)</f>
        <v>636.3</v>
      </c>
      <c r="BL426" s="1">
        <f>IFERROR(__xludf.DUMMYFUNCTION("""COMPUTED_VALUE"""),227.74)</f>
        <v>227.74</v>
      </c>
      <c r="BM426" s="1">
        <f>IFERROR(__xludf.DUMMYFUNCTION("""COMPUTED_VALUE"""),133.81)</f>
        <v>133.81</v>
      </c>
      <c r="BN426" s="1">
        <f>IFERROR(__xludf.DUMMYFUNCTION("""COMPUTED_VALUE"""),6.18)</f>
        <v>6.18</v>
      </c>
      <c r="BO426" s="1">
        <f>IFERROR(__xludf.DUMMYFUNCTION("""COMPUTED_VALUE"""),229.39)</f>
        <v>229.39</v>
      </c>
      <c r="BP426" s="1">
        <f>IFERROR(__xludf.DUMMYFUNCTION("""COMPUTED_VALUE"""),347.75)</f>
        <v>347.75</v>
      </c>
      <c r="BQ426" s="36">
        <f>IFERROR(__xludf.DUMMYFUNCTION("""COMPUTED_VALUE"""),49.5)</f>
        <v>49.5</v>
      </c>
      <c r="BR426" s="1">
        <f>IFERROR(__xludf.DUMMYFUNCTION("""COMPUTED_VALUE"""),13.05)</f>
        <v>13.05</v>
      </c>
      <c r="BS426" s="1">
        <f>IFERROR(__xludf.DUMMYFUNCTION("""COMPUTED_VALUE"""),226.49)</f>
        <v>226.49</v>
      </c>
      <c r="BT426" s="1">
        <f>IFERROR(__xludf.DUMMYFUNCTION("""COMPUTED_VALUE"""),113.19)</f>
        <v>113.19</v>
      </c>
      <c r="BU426" s="3">
        <v>1.0</v>
      </c>
    </row>
    <row r="427">
      <c r="A427" s="25">
        <f>IFERROR(__xludf.DUMMYFUNCTION("""COMPUTED_VALUE"""),46044.66666666667)</f>
        <v>46044.66667</v>
      </c>
      <c r="B427" s="29">
        <f>'Master Scratch Work'!B426</f>
        <v>1637426.61</v>
      </c>
      <c r="C427" s="31">
        <f>IFERROR(__xludf.DUMMYFUNCTION("""COMPUTED_VALUE"""),6915.61)</f>
        <v>6915.61</v>
      </c>
      <c r="D427" s="31">
        <f>IFERROR(__xludf.DUMMYFUNCTION("""COMPUTED_VALUE"""),23436.02)</f>
        <v>23436.02</v>
      </c>
      <c r="E427" s="31">
        <f>IFERROR(__xludf.DUMMYFUNCTION("""COMPUTED_VALUE"""),49384.01)</f>
        <v>49384.01</v>
      </c>
      <c r="F427" s="31">
        <f>IFERROR(__xludf.DUMMYFUNCTION("""COMPUTED_VALUE"""),2718.77)</f>
        <v>2718.77</v>
      </c>
      <c r="G427" s="1">
        <f>IFERROR(__xludf.DUMMYFUNCTION("""COMPUTED_VALUE"""),688.98)</f>
        <v>688.98</v>
      </c>
      <c r="H427" s="1">
        <f>IFERROR(__xludf.DUMMYFUNCTION("""COMPUTED_VALUE"""),620.76)</f>
        <v>620.76</v>
      </c>
      <c r="I427" s="1">
        <f>IFERROR(__xludf.DUMMYFUNCTION("""COMPUTED_VALUE"""),299.73)</f>
        <v>299.73</v>
      </c>
      <c r="J427" s="1">
        <f>IFERROR(__xludf.DUMMYFUNCTION("""COMPUTED_VALUE"""),234.34)</f>
        <v>234.34</v>
      </c>
      <c r="K427" s="1">
        <f>IFERROR(__xludf.DUMMYFUNCTION("""COMPUTED_VALUE"""),131.56)</f>
        <v>131.56</v>
      </c>
      <c r="L427" s="1">
        <f>IFERROR(__xludf.DUMMYFUNCTION("""COMPUTED_VALUE"""),248.35)</f>
        <v>248.35</v>
      </c>
      <c r="M427" s="1">
        <f>IFERROR(__xludf.DUMMYFUNCTION("""COMPUTED_VALUE"""),318.79)</f>
        <v>318.79</v>
      </c>
      <c r="N427" s="1">
        <f>IFERROR(__xludf.DUMMYFUNCTION("""COMPUTED_VALUE"""),120.18)</f>
        <v>120.18</v>
      </c>
      <c r="O427" s="1">
        <f>IFERROR(__xludf.DUMMYFUNCTION("""COMPUTED_VALUE"""),26.13)</f>
        <v>26.13</v>
      </c>
      <c r="P427" s="1">
        <f>IFERROR(__xludf.DUMMYFUNCTION("""COMPUTED_VALUE"""),484.49)</f>
        <v>484.49</v>
      </c>
      <c r="Q427" s="1">
        <f>IFERROR(__xludf.DUMMYFUNCTION("""COMPUTED_VALUE"""),64.97)</f>
        <v>64.97</v>
      </c>
      <c r="R427" s="1">
        <f>IFERROR(__xludf.DUMMYFUNCTION("""COMPUTED_VALUE"""),173.8)</f>
        <v>173.8</v>
      </c>
      <c r="S427" s="1">
        <f>IFERROR(__xludf.DUMMYFUNCTION("""COMPUTED_VALUE"""),91.29)</f>
        <v>91.29</v>
      </c>
      <c r="T427" s="1">
        <f>IFERROR(__xludf.DUMMYFUNCTION("""COMPUTED_VALUE"""),57.44)</f>
        <v>57.44</v>
      </c>
      <c r="U427" s="1">
        <f>IFERROR(__xludf.DUMMYFUNCTION("""COMPUTED_VALUE"""),648.41)</f>
        <v>648.41</v>
      </c>
      <c r="V427" s="1">
        <f>IFERROR(__xludf.DUMMYFUNCTION("""COMPUTED_VALUE"""),121.87)</f>
        <v>121.87</v>
      </c>
      <c r="W427" s="1">
        <f>IFERROR(__xludf.DUMMYFUNCTION("""COMPUTED_VALUE"""),178.16)</f>
        <v>178.16</v>
      </c>
      <c r="X427" s="1">
        <f>IFERROR(__xludf.DUMMYFUNCTION("""COMPUTED_VALUE"""),166.66)</f>
        <v>166.66</v>
      </c>
      <c r="Y427" s="1">
        <f>IFERROR(__xludf.DUMMYFUNCTION("""COMPUTED_VALUE"""),280.39)</f>
        <v>280.39</v>
      </c>
      <c r="Z427" s="1">
        <f>IFERROR(__xludf.DUMMYFUNCTION("""COMPUTED_VALUE"""),64.25)</f>
        <v>64.25</v>
      </c>
      <c r="AA427" s="1">
        <f>IFERROR(__xludf.DUMMYFUNCTION("""COMPUTED_VALUE"""),71.87)</f>
        <v>71.87</v>
      </c>
      <c r="AB427" s="1">
        <f>IFERROR(__xludf.DUMMYFUNCTION("""COMPUTED_VALUE"""),103.18)</f>
        <v>103.18</v>
      </c>
      <c r="AC427" s="1">
        <f>IFERROR(__xludf.DUMMYFUNCTION("""COMPUTED_VALUE"""),158.71)</f>
        <v>158.71</v>
      </c>
      <c r="AD427" s="1">
        <f>IFERROR(__xludf.DUMMYFUNCTION("""COMPUTED_VALUE"""),126.79)</f>
        <v>126.79</v>
      </c>
      <c r="AE427" s="1">
        <f>IFERROR(__xludf.DUMMYFUNCTION("""COMPUTED_VALUE"""),405.33)</f>
        <v>405.33</v>
      </c>
      <c r="AF427" s="1">
        <f>IFERROR(__xludf.DUMMYFUNCTION("""COMPUTED_VALUE"""),93.88)</f>
        <v>93.88</v>
      </c>
      <c r="AG427" s="1">
        <f>IFERROR(__xludf.DUMMYFUNCTION("""COMPUTED_VALUE"""),133.64)</f>
        <v>133.64</v>
      </c>
      <c r="AH427" s="1">
        <f>IFERROR(__xludf.DUMMYFUNCTION("""COMPUTED_VALUE"""),309.81)</f>
        <v>309.81</v>
      </c>
      <c r="AI427" s="1">
        <f>IFERROR(__xludf.DUMMYFUNCTION("""COMPUTED_VALUE"""),337.55)</f>
        <v>337.55</v>
      </c>
      <c r="AJ427" s="1">
        <f>IFERROR(__xludf.DUMMYFUNCTION("""COMPUTED_VALUE"""),365.83)</f>
        <v>365.83</v>
      </c>
      <c r="AK427" s="1">
        <f>IFERROR(__xludf.DUMMYFUNCTION("""COMPUTED_VALUE"""),81.14)</f>
        <v>81.14</v>
      </c>
      <c r="AL427" s="1">
        <f>IFERROR(__xludf.DUMMYFUNCTION("""COMPUTED_VALUE"""),131.14)</f>
        <v>131.14</v>
      </c>
      <c r="AM427" s="1">
        <f>IFERROR(__xludf.DUMMYFUNCTION("""COMPUTED_VALUE"""),954.65)</f>
        <v>954.65</v>
      </c>
      <c r="AN427" s="1">
        <f>IFERROR(__xludf.DUMMYFUNCTION("""COMPUTED_VALUE"""),381.03)</f>
        <v>381.03</v>
      </c>
      <c r="AO427" s="1">
        <f>IFERROR(__xludf.DUMMYFUNCTION("""COMPUTED_VALUE"""),173.44)</f>
        <v>173.44</v>
      </c>
      <c r="AP427" s="1">
        <f>IFERROR(__xludf.DUMMYFUNCTION("""COMPUTED_VALUE"""),174.35)</f>
        <v>174.35</v>
      </c>
      <c r="AQ427" s="1">
        <f>IFERROR(__xludf.DUMMYFUNCTION("""COMPUTED_VALUE"""),525.81)</f>
        <v>525.81</v>
      </c>
      <c r="AR427" s="1">
        <f>IFERROR(__xludf.DUMMYFUNCTION("""COMPUTED_VALUE"""),303.63)</f>
        <v>303.63</v>
      </c>
      <c r="AS427" s="1">
        <f>IFERROR(__xludf.DUMMYFUNCTION("""COMPUTED_VALUE"""),593.91)</f>
        <v>593.91</v>
      </c>
      <c r="AT427" s="1">
        <f>IFERROR(__xludf.DUMMYFUNCTION("""COMPUTED_VALUE"""),194.66)</f>
        <v>194.66</v>
      </c>
      <c r="AU427" s="1">
        <f>IFERROR(__xludf.DUMMYFUNCTION("""COMPUTED_VALUE"""),36.75)</f>
        <v>36.75</v>
      </c>
      <c r="AV427" s="1">
        <f>IFERROR(__xludf.DUMMYFUNCTION("""COMPUTED_VALUE"""),101.34)</f>
        <v>101.34</v>
      </c>
      <c r="AW427" s="1">
        <f>IFERROR(__xludf.DUMMYFUNCTION("""COMPUTED_VALUE"""),76.92)</f>
        <v>76.92</v>
      </c>
      <c r="AX427" s="1">
        <f>IFERROR(__xludf.DUMMYFUNCTION("""COMPUTED_VALUE"""),68.37)</f>
        <v>68.37</v>
      </c>
      <c r="AY427" s="1">
        <f>IFERROR(__xludf.DUMMYFUNCTION("""COMPUTED_VALUE"""),451.14)</f>
        <v>451.14</v>
      </c>
      <c r="AZ427" s="1">
        <f>IFERROR(__xludf.DUMMYFUNCTION("""COMPUTED_VALUE"""),85.07)</f>
        <v>85.07</v>
      </c>
      <c r="BA427" s="1">
        <f>IFERROR(__xludf.DUMMYFUNCTION("""COMPUTED_VALUE"""),151.09)</f>
        <v>151.09</v>
      </c>
      <c r="BB427" s="1">
        <f>IFERROR(__xludf.DUMMYFUNCTION("""COMPUTED_VALUE"""),184.84)</f>
        <v>184.84</v>
      </c>
      <c r="BC427" s="1">
        <f>IFERROR(__xludf.DUMMYFUNCTION("""COMPUTED_VALUE"""),90.27)</f>
        <v>90.27</v>
      </c>
      <c r="BD427" s="1">
        <f>IFERROR(__xludf.DUMMYFUNCTION("""COMPUTED_VALUE"""),46.62)</f>
        <v>46.62</v>
      </c>
      <c r="BE427" s="1">
        <f>IFERROR(__xludf.DUMMYFUNCTION("""COMPUTED_VALUE"""),165.9)</f>
        <v>165.9</v>
      </c>
      <c r="BF427" s="1">
        <f>IFERROR(__xludf.DUMMYFUNCTION("""COMPUTED_VALUE"""),57.15)</f>
        <v>57.15</v>
      </c>
      <c r="BG427" s="1">
        <f>IFERROR(__xludf.DUMMYFUNCTION("""COMPUTED_VALUE"""),26.1)</f>
        <v>26.1</v>
      </c>
      <c r="BH427" s="1">
        <f>IFERROR(__xludf.DUMMYFUNCTION("""COMPUTED_VALUE"""),196.34)</f>
        <v>196.34</v>
      </c>
      <c r="BI427" s="1">
        <f>IFERROR(__xludf.DUMMYFUNCTION("""COMPUTED_VALUE"""),118.81)</f>
        <v>118.81</v>
      </c>
      <c r="BJ427" s="1">
        <f>IFERROR(__xludf.DUMMYFUNCTION("""COMPUTED_VALUE"""),185.39)</f>
        <v>185.39</v>
      </c>
      <c r="BK427" s="1">
        <f>IFERROR(__xludf.DUMMYFUNCTION("""COMPUTED_VALUE"""),639.45)</f>
        <v>639.45</v>
      </c>
      <c r="BL427" s="1">
        <f>IFERROR(__xludf.DUMMYFUNCTION("""COMPUTED_VALUE"""),227.04)</f>
        <v>227.04</v>
      </c>
      <c r="BM427" s="1">
        <f>IFERROR(__xludf.DUMMYFUNCTION("""COMPUTED_VALUE"""),138.09)</f>
        <v>138.09</v>
      </c>
      <c r="BN427" s="1">
        <f>IFERROR(__xludf.DUMMYFUNCTION("""COMPUTED_VALUE"""),6.34)</f>
        <v>6.34</v>
      </c>
      <c r="BO427" s="1">
        <f>IFERROR(__xludf.DUMMYFUNCTION("""COMPUTED_VALUE"""),231.37)</f>
        <v>231.37</v>
      </c>
      <c r="BP427" s="1">
        <f>IFERROR(__xludf.DUMMYFUNCTION("""COMPUTED_VALUE"""),354.47)</f>
        <v>354.47</v>
      </c>
      <c r="BQ427" s="36">
        <f>IFERROR(__xludf.DUMMYFUNCTION("""COMPUTED_VALUE"""),49.46)</f>
        <v>49.46</v>
      </c>
      <c r="BR427" s="1">
        <f>IFERROR(__xludf.DUMMYFUNCTION("""COMPUTED_VALUE"""),13.24)</f>
        <v>13.24</v>
      </c>
      <c r="BS427" s="1">
        <f>IFERROR(__xludf.DUMMYFUNCTION("""COMPUTED_VALUE"""),229.0)</f>
        <v>229</v>
      </c>
      <c r="BT427" s="1">
        <f>IFERROR(__xludf.DUMMYFUNCTION("""COMPUTED_VALUE"""),113.21)</f>
        <v>113.21</v>
      </c>
      <c r="BU427" s="3">
        <v>1.0</v>
      </c>
    </row>
    <row r="428">
      <c r="A428" s="25">
        <f>IFERROR(__xludf.DUMMYFUNCTION("""COMPUTED_VALUE"""),46045.66666666667)</f>
        <v>46045.66667</v>
      </c>
      <c r="B428" s="29">
        <f>'Master Scratch Work'!B427</f>
        <v>1634253.6</v>
      </c>
      <c r="C428" s="31">
        <f>IFERROR(__xludf.DUMMYFUNCTION("""COMPUTED_VALUE"""),6950.23)</f>
        <v>6950.23</v>
      </c>
      <c r="D428" s="31">
        <f>IFERROR(__xludf.DUMMYFUNCTION("""COMPUTED_VALUE"""),23501.24)</f>
        <v>23501.24</v>
      </c>
      <c r="E428" s="31">
        <f>IFERROR(__xludf.DUMMYFUNCTION("""COMPUTED_VALUE"""),49098.71)</f>
        <v>49098.71</v>
      </c>
      <c r="F428" s="31">
        <f>IFERROR(__xludf.DUMMYFUNCTION("""COMPUTED_VALUE"""),2669.16)</f>
        <v>2669.16</v>
      </c>
      <c r="G428" s="1">
        <f>IFERROR(__xludf.DUMMYFUNCTION("""COMPUTED_VALUE"""),689.23)</f>
        <v>689.23</v>
      </c>
      <c r="H428" s="1">
        <f>IFERROR(__xludf.DUMMYFUNCTION("""COMPUTED_VALUE"""),622.72)</f>
        <v>622.72</v>
      </c>
      <c r="I428" s="1">
        <f>IFERROR(__xludf.DUMMYFUNCTION("""COMPUTED_VALUE"""),301.07)</f>
        <v>301.07</v>
      </c>
      <c r="J428" s="1">
        <f>IFERROR(__xludf.DUMMYFUNCTION("""COMPUTED_VALUE"""),239.16)</f>
        <v>239.16</v>
      </c>
      <c r="K428" s="1">
        <f>IFERROR(__xludf.DUMMYFUNCTION("""COMPUTED_VALUE"""),129.71)</f>
        <v>129.71</v>
      </c>
      <c r="L428" s="1">
        <f>IFERROR(__xludf.DUMMYFUNCTION("""COMPUTED_VALUE"""),248.04)</f>
        <v>248.04</v>
      </c>
      <c r="M428" s="1">
        <f>IFERROR(__xludf.DUMMYFUNCTION("""COMPUTED_VALUE"""),322.38)</f>
        <v>322.38</v>
      </c>
      <c r="N428" s="1">
        <f>IFERROR(__xludf.DUMMYFUNCTION("""COMPUTED_VALUE"""),117.61)</f>
        <v>117.61</v>
      </c>
      <c r="O428" s="1">
        <f>IFERROR(__xludf.DUMMYFUNCTION("""COMPUTED_VALUE"""),26.2)</f>
        <v>26.2</v>
      </c>
      <c r="P428" s="1">
        <f>IFERROR(__xludf.DUMMYFUNCTION("""COMPUTED_VALUE"""),478.97)</f>
        <v>478.97</v>
      </c>
      <c r="Q428" s="1">
        <f>IFERROR(__xludf.DUMMYFUNCTION("""COMPUTED_VALUE"""),67.52)</f>
        <v>67.52</v>
      </c>
      <c r="R428" s="1">
        <f>IFERROR(__xludf.DUMMYFUNCTION("""COMPUTED_VALUE"""),171.59)</f>
        <v>171.59</v>
      </c>
      <c r="S428" s="1">
        <f>IFERROR(__xludf.DUMMYFUNCTION("""COMPUTED_VALUE"""),92.51)</f>
        <v>92.51</v>
      </c>
      <c r="T428" s="1">
        <f>IFERROR(__xludf.DUMMYFUNCTION("""COMPUTED_VALUE"""),57.3)</f>
        <v>57.3</v>
      </c>
      <c r="U428" s="1">
        <f>IFERROR(__xludf.DUMMYFUNCTION("""COMPUTED_VALUE"""),626.62)</f>
        <v>626.62</v>
      </c>
      <c r="V428" s="1">
        <f>IFERROR(__xludf.DUMMYFUNCTION("""COMPUTED_VALUE"""),124.04)</f>
        <v>124.04</v>
      </c>
      <c r="W428" s="1">
        <f>IFERROR(__xludf.DUMMYFUNCTION("""COMPUTED_VALUE"""),181.23)</f>
        <v>181.23</v>
      </c>
      <c r="X428" s="1">
        <f>IFERROR(__xludf.DUMMYFUNCTION("""COMPUTED_VALUE"""),166.72)</f>
        <v>166.72</v>
      </c>
      <c r="Y428" s="1">
        <f>IFERROR(__xludf.DUMMYFUNCTION("""COMPUTED_VALUE"""),279.2)</f>
        <v>279.2</v>
      </c>
      <c r="Z428" s="1">
        <f>IFERROR(__xludf.DUMMYFUNCTION("""COMPUTED_VALUE"""),62.64)</f>
        <v>62.64</v>
      </c>
      <c r="AA428" s="1">
        <f>IFERROR(__xludf.DUMMYFUNCTION("""COMPUTED_VALUE"""),72.88)</f>
        <v>72.88</v>
      </c>
      <c r="AB428" s="1">
        <f>IFERROR(__xludf.DUMMYFUNCTION("""COMPUTED_VALUE"""),103.87)</f>
        <v>103.87</v>
      </c>
      <c r="AC428" s="1">
        <f>IFERROR(__xludf.DUMMYFUNCTION("""COMPUTED_VALUE"""),159.16)</f>
        <v>159.16</v>
      </c>
      <c r="AD428" s="1">
        <f>IFERROR(__xludf.DUMMYFUNCTION("""COMPUTED_VALUE"""),128.92)</f>
        <v>128.92</v>
      </c>
      <c r="AE428" s="1">
        <f>IFERROR(__xludf.DUMMYFUNCTION("""COMPUTED_VALUE"""),411.5)</f>
        <v>411.5</v>
      </c>
      <c r="AF428" s="1">
        <f>IFERROR(__xludf.DUMMYFUNCTION("""COMPUTED_VALUE"""),93.61)</f>
        <v>93.61</v>
      </c>
      <c r="AG428" s="1">
        <f>IFERROR(__xludf.DUMMYFUNCTION("""COMPUTED_VALUE"""),134.97)</f>
        <v>134.97</v>
      </c>
      <c r="AH428" s="1">
        <f>IFERROR(__xludf.DUMMYFUNCTION("""COMPUTED_VALUE"""),304.21)</f>
        <v>304.21</v>
      </c>
      <c r="AI428" s="1">
        <f>IFERROR(__xludf.DUMMYFUNCTION("""COMPUTED_VALUE"""),338.53)</f>
        <v>338.53</v>
      </c>
      <c r="AJ428" s="1">
        <f>IFERROR(__xludf.DUMMYFUNCTION("""COMPUTED_VALUE"""),363.27)</f>
        <v>363.27</v>
      </c>
      <c r="AK428" s="1">
        <f>IFERROR(__xludf.DUMMYFUNCTION("""COMPUTED_VALUE"""),79.68)</f>
        <v>79.68</v>
      </c>
      <c r="AL428" s="1">
        <f>IFERROR(__xludf.DUMMYFUNCTION("""COMPUTED_VALUE"""),135.93)</f>
        <v>135.93</v>
      </c>
      <c r="AM428" s="1">
        <f>IFERROR(__xludf.DUMMYFUNCTION("""COMPUTED_VALUE"""),918.88)</f>
        <v>918.88</v>
      </c>
      <c r="AN428" s="1">
        <f>IFERROR(__xludf.DUMMYFUNCTION("""COMPUTED_VALUE"""),383.77)</f>
        <v>383.77</v>
      </c>
      <c r="AO428" s="1">
        <f>IFERROR(__xludf.DUMMYFUNCTION("""COMPUTED_VALUE"""),171.34)</f>
        <v>171.34</v>
      </c>
      <c r="AP428" s="1">
        <f>IFERROR(__xludf.DUMMYFUNCTION("""COMPUTED_VALUE"""),172.93)</f>
        <v>172.93</v>
      </c>
      <c r="AQ428" s="1">
        <f>IFERROR(__xludf.DUMMYFUNCTION("""COMPUTED_VALUE"""),523.99)</f>
        <v>523.99</v>
      </c>
      <c r="AR428" s="1">
        <f>IFERROR(__xludf.DUMMYFUNCTION("""COMPUTED_VALUE"""),297.72)</f>
        <v>297.72</v>
      </c>
      <c r="AS428" s="1">
        <f>IFERROR(__xludf.DUMMYFUNCTION("""COMPUTED_VALUE"""),590.82)</f>
        <v>590.82</v>
      </c>
      <c r="AT428" s="1">
        <f>IFERROR(__xludf.DUMMYFUNCTION("""COMPUTED_VALUE"""),191.07)</f>
        <v>191.07</v>
      </c>
      <c r="AU428" s="1">
        <f>IFERROR(__xludf.DUMMYFUNCTION("""COMPUTED_VALUE"""),36.95)</f>
        <v>36.95</v>
      </c>
      <c r="AV428" s="1">
        <f>IFERROR(__xludf.DUMMYFUNCTION("""COMPUTED_VALUE"""),100.88)</f>
        <v>100.88</v>
      </c>
      <c r="AW428" s="1">
        <f>IFERROR(__xludf.DUMMYFUNCTION("""COMPUTED_VALUE"""),75.81)</f>
        <v>75.81</v>
      </c>
      <c r="AX428" s="1">
        <f>IFERROR(__xludf.DUMMYFUNCTION("""COMPUTED_VALUE"""),69.58)</f>
        <v>69.58</v>
      </c>
      <c r="AY428" s="1">
        <f>IFERROR(__xludf.DUMMYFUNCTION("""COMPUTED_VALUE"""),465.95)</f>
        <v>465.95</v>
      </c>
      <c r="AZ428" s="1">
        <f>IFERROR(__xludf.DUMMYFUNCTION("""COMPUTED_VALUE"""),84.81)</f>
        <v>84.81</v>
      </c>
      <c r="BA428" s="1">
        <f>IFERROR(__xludf.DUMMYFUNCTION("""COMPUTED_VALUE"""),149.3)</f>
        <v>149.3</v>
      </c>
      <c r="BB428" s="1">
        <f>IFERROR(__xludf.DUMMYFUNCTION("""COMPUTED_VALUE"""),187.67)</f>
        <v>187.67</v>
      </c>
      <c r="BC428" s="1">
        <f>IFERROR(__xludf.DUMMYFUNCTION("""COMPUTED_VALUE"""),90.98)</f>
        <v>90.98</v>
      </c>
      <c r="BD428" s="1">
        <f>IFERROR(__xludf.DUMMYFUNCTION("""COMPUTED_VALUE"""),45.96)</f>
        <v>45.96</v>
      </c>
      <c r="BE428" s="1">
        <f>IFERROR(__xludf.DUMMYFUNCTION("""COMPUTED_VALUE"""),169.6)</f>
        <v>169.6</v>
      </c>
      <c r="BF428" s="1">
        <f>IFERROR(__xludf.DUMMYFUNCTION("""COMPUTED_VALUE"""),56.62)</f>
        <v>56.62</v>
      </c>
      <c r="BG428" s="1">
        <f>IFERROR(__xludf.DUMMYFUNCTION("""COMPUTED_VALUE"""),25.65)</f>
        <v>25.65</v>
      </c>
      <c r="BH428" s="1">
        <f>IFERROR(__xludf.DUMMYFUNCTION("""COMPUTED_VALUE"""),195.93)</f>
        <v>195.93</v>
      </c>
      <c r="BI428" s="1">
        <f>IFERROR(__xludf.DUMMYFUNCTION("""COMPUTED_VALUE"""),117.63)</f>
        <v>117.63</v>
      </c>
      <c r="BJ428" s="1">
        <f>IFERROR(__xludf.DUMMYFUNCTION("""COMPUTED_VALUE"""),186.03)</f>
        <v>186.03</v>
      </c>
      <c r="BK428" s="1">
        <f>IFERROR(__xludf.DUMMYFUNCTION("""COMPUTED_VALUE"""),625.98)</f>
        <v>625.98</v>
      </c>
      <c r="BL428" s="1">
        <f>IFERROR(__xludf.DUMMYFUNCTION("""COMPUTED_VALUE"""),226.28)</f>
        <v>226.28</v>
      </c>
      <c r="BM428" s="1">
        <f>IFERROR(__xludf.DUMMYFUNCTION("""COMPUTED_VALUE"""),135.3)</f>
        <v>135.3</v>
      </c>
      <c r="BN428" s="1">
        <f>IFERROR(__xludf.DUMMYFUNCTION("""COMPUTED_VALUE"""),6.35)</f>
        <v>6.35</v>
      </c>
      <c r="BO428" s="1">
        <f>IFERROR(__xludf.DUMMYFUNCTION("""COMPUTED_VALUE"""),229.65)</f>
        <v>229.65</v>
      </c>
      <c r="BP428" s="1">
        <f>IFERROR(__xludf.DUMMYFUNCTION("""COMPUTED_VALUE"""),356.26)</f>
        <v>356.26</v>
      </c>
      <c r="BQ428" s="36">
        <f>IFERROR(__xludf.DUMMYFUNCTION("""COMPUTED_VALUE"""),49.53)</f>
        <v>49.53</v>
      </c>
      <c r="BR428" s="1">
        <f>IFERROR(__xludf.DUMMYFUNCTION("""COMPUTED_VALUE"""),13.21)</f>
        <v>13.21</v>
      </c>
      <c r="BS428" s="1">
        <f>IFERROR(__xludf.DUMMYFUNCTION("""COMPUTED_VALUE"""),229.23)</f>
        <v>229.23</v>
      </c>
      <c r="BT428" s="1">
        <f>IFERROR(__xludf.DUMMYFUNCTION("""COMPUTED_VALUE"""),110.98)</f>
        <v>110.98</v>
      </c>
      <c r="BU428" s="3">
        <v>1.0</v>
      </c>
    </row>
    <row r="429">
      <c r="A429" s="25">
        <f>IFERROR(__xludf.DUMMYFUNCTION("""COMPUTED_VALUE"""),46048.66666666667)</f>
        <v>46048.66667</v>
      </c>
      <c r="B429" s="29">
        <f>'Master Scratch Work'!B428</f>
        <v>1634670.85</v>
      </c>
      <c r="C429" s="31">
        <f>IFERROR(__xludf.DUMMYFUNCTION("""COMPUTED_VALUE"""),6978.6)</f>
        <v>6978.6</v>
      </c>
      <c r="D429" s="31">
        <f>IFERROR(__xludf.DUMMYFUNCTION("""COMPUTED_VALUE"""),23601.36)</f>
        <v>23601.36</v>
      </c>
      <c r="E429" s="31">
        <f>IFERROR(__xludf.DUMMYFUNCTION("""COMPUTED_VALUE"""),49412.4)</f>
        <v>49412.4</v>
      </c>
      <c r="F429" s="31">
        <f>IFERROR(__xludf.DUMMYFUNCTION("""COMPUTED_VALUE"""),2659.67)</f>
        <v>2659.67</v>
      </c>
      <c r="G429" s="1">
        <f>IFERROR(__xludf.DUMMYFUNCTION("""COMPUTED_VALUE"""),692.73)</f>
        <v>692.73</v>
      </c>
      <c r="H429" s="1">
        <f>IFERROR(__xludf.DUMMYFUNCTION("""COMPUTED_VALUE"""),625.46)</f>
        <v>625.46</v>
      </c>
      <c r="I429" s="1">
        <f>IFERROR(__xludf.DUMMYFUNCTION("""COMPUTED_VALUE"""),304.72)</f>
        <v>304.72</v>
      </c>
      <c r="J429" s="1">
        <f>IFERROR(__xludf.DUMMYFUNCTION("""COMPUTED_VALUE"""),238.42)</f>
        <v>238.42</v>
      </c>
      <c r="K429" s="1">
        <f>IFERROR(__xludf.DUMMYFUNCTION("""COMPUTED_VALUE"""),130.74)</f>
        <v>130.74</v>
      </c>
      <c r="L429" s="1">
        <f>IFERROR(__xludf.DUMMYFUNCTION("""COMPUTED_VALUE"""),255.41)</f>
        <v>255.41</v>
      </c>
      <c r="M429" s="1">
        <f>IFERROR(__xludf.DUMMYFUNCTION("""COMPUTED_VALUE"""),319.46)</f>
        <v>319.46</v>
      </c>
      <c r="N429" s="1">
        <f>IFERROR(__xludf.DUMMYFUNCTION("""COMPUTED_VALUE"""),119.02)</f>
        <v>119.02</v>
      </c>
      <c r="O429" s="1">
        <f>IFERROR(__xludf.DUMMYFUNCTION("""COMPUTED_VALUE"""),26.38)</f>
        <v>26.38</v>
      </c>
      <c r="P429" s="1">
        <f>IFERROR(__xludf.DUMMYFUNCTION("""COMPUTED_VALUE"""),483.47)</f>
        <v>483.47</v>
      </c>
      <c r="Q429" s="1">
        <f>IFERROR(__xludf.DUMMYFUNCTION("""COMPUTED_VALUE"""),67.77)</f>
        <v>67.77</v>
      </c>
      <c r="R429" s="1">
        <f>IFERROR(__xludf.DUMMYFUNCTION("""COMPUTED_VALUE"""),173.12)</f>
        <v>173.12</v>
      </c>
      <c r="S429" s="1">
        <f>IFERROR(__xludf.DUMMYFUNCTION("""COMPUTED_VALUE"""),93.55)</f>
        <v>93.55</v>
      </c>
      <c r="T429" s="1">
        <f>IFERROR(__xludf.DUMMYFUNCTION("""COMPUTED_VALUE"""),57.37)</f>
        <v>57.37</v>
      </c>
      <c r="U429" s="1">
        <f>IFERROR(__xludf.DUMMYFUNCTION("""COMPUTED_VALUE"""),635.92)</f>
        <v>635.92</v>
      </c>
      <c r="V429" s="1">
        <f>IFERROR(__xludf.DUMMYFUNCTION("""COMPUTED_VALUE"""),121.26)</f>
        <v>121.26</v>
      </c>
      <c r="W429" s="1">
        <f>IFERROR(__xludf.DUMMYFUNCTION("""COMPUTED_VALUE"""),184.71)</f>
        <v>184.71</v>
      </c>
      <c r="X429" s="1">
        <f>IFERROR(__xludf.DUMMYFUNCTION("""COMPUTED_VALUE"""),167.5)</f>
        <v>167.5</v>
      </c>
      <c r="Y429" s="1">
        <f>IFERROR(__xludf.DUMMYFUNCTION("""COMPUTED_VALUE"""),280.41)</f>
        <v>280.41</v>
      </c>
      <c r="Z429" s="1">
        <f>IFERROR(__xludf.DUMMYFUNCTION("""COMPUTED_VALUE"""),62.52)</f>
        <v>62.52</v>
      </c>
      <c r="AA429" s="1">
        <f>IFERROR(__xludf.DUMMYFUNCTION("""COMPUTED_VALUE"""),72.56)</f>
        <v>72.56</v>
      </c>
      <c r="AB429" s="1">
        <f>IFERROR(__xludf.DUMMYFUNCTION("""COMPUTED_VALUE"""),104.59)</f>
        <v>104.59</v>
      </c>
      <c r="AC429" s="1">
        <f>IFERROR(__xludf.DUMMYFUNCTION("""COMPUTED_VALUE"""),161.57)</f>
        <v>161.57</v>
      </c>
      <c r="AD429" s="1">
        <f>IFERROR(__xludf.DUMMYFUNCTION("""COMPUTED_VALUE"""),125.4)</f>
        <v>125.4</v>
      </c>
      <c r="AE429" s="1">
        <f>IFERROR(__xludf.DUMMYFUNCTION("""COMPUTED_VALUE"""),413.91)</f>
        <v>413.91</v>
      </c>
      <c r="AF429" s="1">
        <f>IFERROR(__xludf.DUMMYFUNCTION("""COMPUTED_VALUE"""),94.42)</f>
        <v>94.42</v>
      </c>
      <c r="AG429" s="1">
        <f>IFERROR(__xludf.DUMMYFUNCTION("""COMPUTED_VALUE"""),134.84)</f>
        <v>134.84</v>
      </c>
      <c r="AH429" s="1">
        <f>IFERROR(__xludf.DUMMYFUNCTION("""COMPUTED_VALUE"""),304.47)</f>
        <v>304.47</v>
      </c>
      <c r="AI429" s="1">
        <f>IFERROR(__xludf.DUMMYFUNCTION("""COMPUTED_VALUE"""),340.45)</f>
        <v>340.45</v>
      </c>
      <c r="AJ429" s="1">
        <f>IFERROR(__xludf.DUMMYFUNCTION("""COMPUTED_VALUE"""),363.54)</f>
        <v>363.54</v>
      </c>
      <c r="AK429" s="1">
        <f>IFERROR(__xludf.DUMMYFUNCTION("""COMPUTED_VALUE"""),79.43)</f>
        <v>79.43</v>
      </c>
      <c r="AL429" s="1">
        <f>IFERROR(__xludf.DUMMYFUNCTION("""COMPUTED_VALUE"""),137.78)</f>
        <v>137.78</v>
      </c>
      <c r="AM429" s="1">
        <f>IFERROR(__xludf.DUMMYFUNCTION("""COMPUTED_VALUE"""),931.86)</f>
        <v>931.86</v>
      </c>
      <c r="AN429" s="1">
        <f>IFERROR(__xludf.DUMMYFUNCTION("""COMPUTED_VALUE"""),386.53)</f>
        <v>386.53</v>
      </c>
      <c r="AO429" s="1">
        <f>IFERROR(__xludf.DUMMYFUNCTION("""COMPUTED_VALUE"""),173.93)</f>
        <v>173.93</v>
      </c>
      <c r="AP429" s="1">
        <f>IFERROR(__xludf.DUMMYFUNCTION("""COMPUTED_VALUE"""),175.1)</f>
        <v>175.1</v>
      </c>
      <c r="AQ429" s="1">
        <f>IFERROR(__xludf.DUMMYFUNCTION("""COMPUTED_VALUE"""),528.81)</f>
        <v>528.81</v>
      </c>
      <c r="AR429" s="1">
        <f>IFERROR(__xludf.DUMMYFUNCTION("""COMPUTED_VALUE"""),301.04)</f>
        <v>301.04</v>
      </c>
      <c r="AS429" s="1">
        <f>IFERROR(__xludf.DUMMYFUNCTION("""COMPUTED_VALUE"""),581.66)</f>
        <v>581.66</v>
      </c>
      <c r="AT429" s="1">
        <f>IFERROR(__xludf.DUMMYFUNCTION("""COMPUTED_VALUE"""),192.79)</f>
        <v>192.79</v>
      </c>
      <c r="AU429" s="1">
        <f>IFERROR(__xludf.DUMMYFUNCTION("""COMPUTED_VALUE"""),37.12)</f>
        <v>37.12</v>
      </c>
      <c r="AV429" s="1">
        <f>IFERROR(__xludf.DUMMYFUNCTION("""COMPUTED_VALUE"""),100.67)</f>
        <v>100.67</v>
      </c>
      <c r="AW429" s="1">
        <f>IFERROR(__xludf.DUMMYFUNCTION("""COMPUTED_VALUE"""),77.17)</f>
        <v>77.17</v>
      </c>
      <c r="AX429" s="1">
        <f>IFERROR(__xludf.DUMMYFUNCTION("""COMPUTED_VALUE"""),63.44)</f>
        <v>63.44</v>
      </c>
      <c r="AY429" s="1">
        <f>IFERROR(__xludf.DUMMYFUNCTION("""COMPUTED_VALUE"""),470.28)</f>
        <v>470.28</v>
      </c>
      <c r="AZ429" s="1">
        <f>IFERROR(__xludf.DUMMYFUNCTION("""COMPUTED_VALUE"""),85.47)</f>
        <v>85.47</v>
      </c>
      <c r="BA429" s="1">
        <f>IFERROR(__xludf.DUMMYFUNCTION("""COMPUTED_VALUE"""),149.93)</f>
        <v>149.93</v>
      </c>
      <c r="BB429" s="1">
        <f>IFERROR(__xludf.DUMMYFUNCTION("""COMPUTED_VALUE"""),186.47)</f>
        <v>186.47</v>
      </c>
      <c r="BC429" s="1">
        <f>IFERROR(__xludf.DUMMYFUNCTION("""COMPUTED_VALUE"""),90.58)</f>
        <v>90.58</v>
      </c>
      <c r="BD429" s="1">
        <f>IFERROR(__xludf.DUMMYFUNCTION("""COMPUTED_VALUE"""),46.47)</f>
        <v>46.47</v>
      </c>
      <c r="BE429" s="1">
        <f>IFERROR(__xludf.DUMMYFUNCTION("""COMPUTED_VALUE"""),167.47)</f>
        <v>167.47</v>
      </c>
      <c r="BF429" s="1">
        <f>IFERROR(__xludf.DUMMYFUNCTION("""COMPUTED_VALUE"""),56.6)</f>
        <v>56.6</v>
      </c>
      <c r="BG429" s="1">
        <f>IFERROR(__xludf.DUMMYFUNCTION("""COMPUTED_VALUE"""),25.88)</f>
        <v>25.88</v>
      </c>
      <c r="BH429" s="1">
        <f>IFERROR(__xludf.DUMMYFUNCTION("""COMPUTED_VALUE"""),194.13)</f>
        <v>194.13</v>
      </c>
      <c r="BI429" s="1">
        <f>IFERROR(__xludf.DUMMYFUNCTION("""COMPUTED_VALUE"""),97.78)</f>
        <v>97.78</v>
      </c>
      <c r="BJ429" s="1">
        <f>IFERROR(__xludf.DUMMYFUNCTION("""COMPUTED_VALUE"""),187.96)</f>
        <v>187.96</v>
      </c>
      <c r="BK429" s="1">
        <f>IFERROR(__xludf.DUMMYFUNCTION("""COMPUTED_VALUE"""),626.62)</f>
        <v>626.62</v>
      </c>
      <c r="BL429" s="1">
        <f>IFERROR(__xludf.DUMMYFUNCTION("""COMPUTED_VALUE"""),225.62)</f>
        <v>225.62</v>
      </c>
      <c r="BM429" s="1">
        <f>IFERROR(__xludf.DUMMYFUNCTION("""COMPUTED_VALUE"""),139.33)</f>
        <v>139.33</v>
      </c>
      <c r="BN429" s="1">
        <f>IFERROR(__xludf.DUMMYFUNCTION("""COMPUTED_VALUE"""),6.32)</f>
        <v>6.32</v>
      </c>
      <c r="BO429" s="1">
        <f>IFERROR(__xludf.DUMMYFUNCTION("""COMPUTED_VALUE"""),230.89)</f>
        <v>230.89</v>
      </c>
      <c r="BP429" s="1">
        <f>IFERROR(__xludf.DUMMYFUNCTION("""COMPUTED_VALUE"""),351.64)</f>
        <v>351.64</v>
      </c>
      <c r="BQ429" s="36">
        <f>IFERROR(__xludf.DUMMYFUNCTION("""COMPUTED_VALUE"""),49.53)</f>
        <v>49.53</v>
      </c>
      <c r="BR429" s="1">
        <f>IFERROR(__xludf.DUMMYFUNCTION("""COMPUTED_VALUE"""),13.17)</f>
        <v>13.17</v>
      </c>
      <c r="BS429" s="1">
        <f>IFERROR(__xludf.DUMMYFUNCTION("""COMPUTED_VALUE"""),230.25)</f>
        <v>230.25</v>
      </c>
      <c r="BT429" s="1">
        <f>IFERROR(__xludf.DUMMYFUNCTION("""COMPUTED_VALUE"""),111.31)</f>
        <v>111.31</v>
      </c>
      <c r="BU429" s="3">
        <v>1.0</v>
      </c>
    </row>
    <row r="430">
      <c r="A430" s="25">
        <f>IFERROR(__xludf.DUMMYFUNCTION("""COMPUTED_VALUE"""),46049.66666666667)</f>
        <v>46049.66667</v>
      </c>
      <c r="B430" s="29">
        <f>'Master Scratch Work'!B429</f>
        <v>1639064.27</v>
      </c>
      <c r="C430" s="31">
        <f>IFERROR(__xludf.DUMMYFUNCTION("""COMPUTED_VALUE"""),6978.03)</f>
        <v>6978.03</v>
      </c>
      <c r="D430" s="31">
        <f>IFERROR(__xludf.DUMMYFUNCTION("""COMPUTED_VALUE"""),23817.1)</f>
        <v>23817.1</v>
      </c>
      <c r="E430" s="31">
        <f>IFERROR(__xludf.DUMMYFUNCTION("""COMPUTED_VALUE"""),49003.41)</f>
        <v>49003.41</v>
      </c>
      <c r="F430" s="31">
        <f>IFERROR(__xludf.DUMMYFUNCTION("""COMPUTED_VALUE"""),2666.7)</f>
        <v>2666.7</v>
      </c>
      <c r="G430" s="1">
        <f>IFERROR(__xludf.DUMMYFUNCTION("""COMPUTED_VALUE"""),695.49)</f>
        <v>695.49</v>
      </c>
      <c r="H430" s="1">
        <f>IFERROR(__xludf.DUMMYFUNCTION("""COMPUTED_VALUE"""),631.13)</f>
        <v>631.13</v>
      </c>
      <c r="I430" s="1">
        <f>IFERROR(__xludf.DUMMYFUNCTION("""COMPUTED_VALUE"""),297.42)</f>
        <v>297.42</v>
      </c>
      <c r="J430" s="1">
        <f>IFERROR(__xludf.DUMMYFUNCTION("""COMPUTED_VALUE"""),244.68)</f>
        <v>244.68</v>
      </c>
      <c r="K430" s="1">
        <f>IFERROR(__xludf.DUMMYFUNCTION("""COMPUTED_VALUE"""),130.53)</f>
        <v>130.53</v>
      </c>
      <c r="L430" s="1">
        <f>IFERROR(__xludf.DUMMYFUNCTION("""COMPUTED_VALUE"""),258.27)</f>
        <v>258.27</v>
      </c>
      <c r="M430" s="1">
        <f>IFERROR(__xludf.DUMMYFUNCTION("""COMPUTED_VALUE"""),332.71)</f>
        <v>332.71</v>
      </c>
      <c r="N430" s="1">
        <f>IFERROR(__xludf.DUMMYFUNCTION("""COMPUTED_VALUE"""),118.87)</f>
        <v>118.87</v>
      </c>
      <c r="O430" s="1">
        <f>IFERROR(__xludf.DUMMYFUNCTION("""COMPUTED_VALUE"""),27.19)</f>
        <v>27.19</v>
      </c>
      <c r="P430" s="1">
        <f>IFERROR(__xludf.DUMMYFUNCTION("""COMPUTED_VALUE"""),474.67)</f>
        <v>474.67</v>
      </c>
      <c r="Q430" s="1">
        <f>IFERROR(__xludf.DUMMYFUNCTION("""COMPUTED_VALUE"""),70.49)</f>
        <v>70.49</v>
      </c>
      <c r="R430" s="1">
        <f>IFERROR(__xludf.DUMMYFUNCTION("""COMPUTED_VALUE"""),174.12)</f>
        <v>174.12</v>
      </c>
      <c r="S430" s="1">
        <f>IFERROR(__xludf.DUMMYFUNCTION("""COMPUTED_VALUE"""),93.61)</f>
        <v>93.61</v>
      </c>
      <c r="T430" s="1">
        <f>IFERROR(__xludf.DUMMYFUNCTION("""COMPUTED_VALUE"""),57.07)</f>
        <v>57.07</v>
      </c>
      <c r="U430" s="1">
        <f>IFERROR(__xludf.DUMMYFUNCTION("""COMPUTED_VALUE"""),638.91)</f>
        <v>638.91</v>
      </c>
      <c r="V430" s="1">
        <f>IFERROR(__xludf.DUMMYFUNCTION("""COMPUTED_VALUE"""),125.97)</f>
        <v>125.97</v>
      </c>
      <c r="W430" s="1">
        <f>IFERROR(__xludf.DUMMYFUNCTION("""COMPUTED_VALUE"""),182.94)</f>
        <v>182.94</v>
      </c>
      <c r="X430" s="1">
        <f>IFERROR(__xludf.DUMMYFUNCTION("""COMPUTED_VALUE"""),169.05)</f>
        <v>169.05</v>
      </c>
      <c r="Y430" s="1">
        <f>IFERROR(__xludf.DUMMYFUNCTION("""COMPUTED_VALUE"""),270.09)</f>
        <v>270.09</v>
      </c>
      <c r="Z430" s="1">
        <f>IFERROR(__xludf.DUMMYFUNCTION("""COMPUTED_VALUE"""),63.42)</f>
        <v>63.42</v>
      </c>
      <c r="AA430" s="1">
        <f>IFERROR(__xludf.DUMMYFUNCTION("""COMPUTED_VALUE"""),73.55)</f>
        <v>73.55</v>
      </c>
      <c r="AB430" s="1">
        <f>IFERROR(__xludf.DUMMYFUNCTION("""COMPUTED_VALUE"""),105.35)</f>
        <v>105.35</v>
      </c>
      <c r="AC430" s="1">
        <f>IFERROR(__xludf.DUMMYFUNCTION("""COMPUTED_VALUE"""),163.16)</f>
        <v>163.16</v>
      </c>
      <c r="AD430" s="1">
        <f>IFERROR(__xludf.DUMMYFUNCTION("""COMPUTED_VALUE"""),121.84)</f>
        <v>121.84</v>
      </c>
      <c r="AE430" s="1">
        <f>IFERROR(__xludf.DUMMYFUNCTION("""COMPUTED_VALUE"""),413.87)</f>
        <v>413.87</v>
      </c>
      <c r="AF430" s="1">
        <f>IFERROR(__xludf.DUMMYFUNCTION("""COMPUTED_VALUE"""),95.2)</f>
        <v>95.2</v>
      </c>
      <c r="AG430" s="1">
        <f>IFERROR(__xludf.DUMMYFUNCTION("""COMPUTED_VALUE"""),136.83)</f>
        <v>136.83</v>
      </c>
      <c r="AH430" s="1">
        <f>IFERROR(__xludf.DUMMYFUNCTION("""COMPUTED_VALUE"""),312.42)</f>
        <v>312.42</v>
      </c>
      <c r="AI430" s="1">
        <f>IFERROR(__xludf.DUMMYFUNCTION("""COMPUTED_VALUE"""),337.4)</f>
        <v>337.4</v>
      </c>
      <c r="AJ430" s="1">
        <f>IFERROR(__xludf.DUMMYFUNCTION("""COMPUTED_VALUE"""),366.62)</f>
        <v>366.62</v>
      </c>
      <c r="AK430" s="1">
        <f>IFERROR(__xludf.DUMMYFUNCTION("""COMPUTED_VALUE"""),86.38)</f>
        <v>86.38</v>
      </c>
      <c r="AL430" s="1">
        <f>IFERROR(__xludf.DUMMYFUNCTION("""COMPUTED_VALUE"""),140.97)</f>
        <v>140.97</v>
      </c>
      <c r="AM430" s="1">
        <f>IFERROR(__xludf.DUMMYFUNCTION("""COMPUTED_VALUE"""),929.72)</f>
        <v>929.72</v>
      </c>
      <c r="AN430" s="1">
        <f>IFERROR(__xludf.DUMMYFUNCTION("""COMPUTED_VALUE"""),380.36)</f>
        <v>380.36</v>
      </c>
      <c r="AO430" s="1">
        <f>IFERROR(__xludf.DUMMYFUNCTION("""COMPUTED_VALUE"""),169.95)</f>
        <v>169.95</v>
      </c>
      <c r="AP430" s="1">
        <f>IFERROR(__xludf.DUMMYFUNCTION("""COMPUTED_VALUE"""),173.28)</f>
        <v>173.28</v>
      </c>
      <c r="AQ430" s="1">
        <f>IFERROR(__xludf.DUMMYFUNCTION("""COMPUTED_VALUE"""),525.04)</f>
        <v>525.04</v>
      </c>
      <c r="AR430" s="1">
        <f>IFERROR(__xludf.DUMMYFUNCTION("""COMPUTED_VALUE"""),300.31)</f>
        <v>300.31</v>
      </c>
      <c r="AS430" s="1">
        <f>IFERROR(__xludf.DUMMYFUNCTION("""COMPUTED_VALUE"""),594.95)</f>
        <v>594.95</v>
      </c>
      <c r="AT430" s="1">
        <f>IFERROR(__xludf.DUMMYFUNCTION("""COMPUTED_VALUE"""),186.39)</f>
        <v>186.39</v>
      </c>
      <c r="AU430" s="1">
        <f>IFERROR(__xludf.DUMMYFUNCTION("""COMPUTED_VALUE"""),37.37)</f>
        <v>37.37</v>
      </c>
      <c r="AV430" s="1">
        <f>IFERROR(__xludf.DUMMYFUNCTION("""COMPUTED_VALUE"""),100.69)</f>
        <v>100.69</v>
      </c>
      <c r="AW430" s="1">
        <f>IFERROR(__xludf.DUMMYFUNCTION("""COMPUTED_VALUE"""),76.69)</f>
        <v>76.69</v>
      </c>
      <c r="AX430" s="1">
        <f>IFERROR(__xludf.DUMMYFUNCTION("""COMPUTED_VALUE"""),66.73)</f>
        <v>66.73</v>
      </c>
      <c r="AY430" s="1">
        <f>IFERROR(__xludf.DUMMYFUNCTION("""COMPUTED_VALUE"""),480.58)</f>
        <v>480.58</v>
      </c>
      <c r="AZ430" s="1">
        <f>IFERROR(__xludf.DUMMYFUNCTION("""COMPUTED_VALUE"""),87.15)</f>
        <v>87.15</v>
      </c>
      <c r="BA430" s="1">
        <f>IFERROR(__xludf.DUMMYFUNCTION("""COMPUTED_VALUE"""),156.04)</f>
        <v>156.04</v>
      </c>
      <c r="BB430" s="1">
        <f>IFERROR(__xludf.DUMMYFUNCTION("""COMPUTED_VALUE"""),188.52)</f>
        <v>188.52</v>
      </c>
      <c r="BC430" s="1">
        <f>IFERROR(__xludf.DUMMYFUNCTION("""COMPUTED_VALUE"""),90.55)</f>
        <v>90.55</v>
      </c>
      <c r="BD430" s="1">
        <f>IFERROR(__xludf.DUMMYFUNCTION("""COMPUTED_VALUE"""),45.52)</f>
        <v>45.52</v>
      </c>
      <c r="BE430" s="1">
        <f>IFERROR(__xludf.DUMMYFUNCTION("""COMPUTED_VALUE"""),165.7)</f>
        <v>165.7</v>
      </c>
      <c r="BF430" s="1">
        <f>IFERROR(__xludf.DUMMYFUNCTION("""COMPUTED_VALUE"""),55.51)</f>
        <v>55.51</v>
      </c>
      <c r="BG430" s="1">
        <f>IFERROR(__xludf.DUMMYFUNCTION("""COMPUTED_VALUE"""),26.5)</f>
        <v>26.5</v>
      </c>
      <c r="BH430" s="1">
        <f>IFERROR(__xludf.DUMMYFUNCTION("""COMPUTED_VALUE"""),201.28)</f>
        <v>201.28</v>
      </c>
      <c r="BI430" s="1">
        <f>IFERROR(__xludf.DUMMYFUNCTION("""COMPUTED_VALUE"""),99.82)</f>
        <v>99.82</v>
      </c>
      <c r="BJ430" s="1">
        <f>IFERROR(__xludf.DUMMYFUNCTION("""COMPUTED_VALUE"""),184.49)</f>
        <v>184.49</v>
      </c>
      <c r="BK430" s="1">
        <f>IFERROR(__xludf.DUMMYFUNCTION("""COMPUTED_VALUE"""),623.91)</f>
        <v>623.91</v>
      </c>
      <c r="BL430" s="1">
        <f>IFERROR(__xludf.DUMMYFUNCTION("""COMPUTED_VALUE"""),224.12)</f>
        <v>224.12</v>
      </c>
      <c r="BM430" s="1">
        <f>IFERROR(__xludf.DUMMYFUNCTION("""COMPUTED_VALUE"""),138.49)</f>
        <v>138.49</v>
      </c>
      <c r="BN430" s="1">
        <f>IFERROR(__xludf.DUMMYFUNCTION("""COMPUTED_VALUE"""),6.33)</f>
        <v>6.33</v>
      </c>
      <c r="BO430" s="1">
        <f>IFERROR(__xludf.DUMMYFUNCTION("""COMPUTED_VALUE"""),232.55)</f>
        <v>232.55</v>
      </c>
      <c r="BP430" s="1">
        <f>IFERROR(__xludf.DUMMYFUNCTION("""COMPUTED_VALUE"""),282.7)</f>
        <v>282.7</v>
      </c>
      <c r="BQ430" s="36">
        <f>IFERROR(__xludf.DUMMYFUNCTION("""COMPUTED_VALUE"""),49.58)</f>
        <v>49.58</v>
      </c>
      <c r="BR430" s="1">
        <f>IFERROR(__xludf.DUMMYFUNCTION("""COMPUTED_VALUE"""),13.12)</f>
        <v>13.12</v>
      </c>
      <c r="BS430" s="1">
        <f>IFERROR(__xludf.DUMMYFUNCTION("""COMPUTED_VALUE"""),231.34)</f>
        <v>231.34</v>
      </c>
      <c r="BT430" s="1">
        <f>IFERROR(__xludf.DUMMYFUNCTION("""COMPUTED_VALUE"""),110.61)</f>
        <v>110.61</v>
      </c>
      <c r="BU430" s="3">
        <v>1.0</v>
      </c>
    </row>
    <row r="431">
      <c r="A431" s="25">
        <f>IFERROR(__xludf.DUMMYFUNCTION("""COMPUTED_VALUE"""),46050.66666666667)</f>
        <v>46050.66667</v>
      </c>
      <c r="B431" s="29">
        <f>'Master Scratch Work'!B430</f>
        <v>1638616.39</v>
      </c>
      <c r="C431" s="31">
        <f>IFERROR(__xludf.DUMMYFUNCTION("""COMPUTED_VALUE"""),6969.01)</f>
        <v>6969.01</v>
      </c>
      <c r="D431" s="31">
        <f>IFERROR(__xludf.DUMMYFUNCTION("""COMPUTED_VALUE"""),23857.45)</f>
        <v>23857.45</v>
      </c>
      <c r="E431" s="31">
        <f>IFERROR(__xludf.DUMMYFUNCTION("""COMPUTED_VALUE"""),49015.6)</f>
        <v>49015.6</v>
      </c>
      <c r="F431" s="31">
        <f>IFERROR(__xludf.DUMMYFUNCTION("""COMPUTED_VALUE"""),2653.55)</f>
        <v>2653.55</v>
      </c>
      <c r="G431" s="1">
        <f>IFERROR(__xludf.DUMMYFUNCTION("""COMPUTED_VALUE"""),695.42)</f>
        <v>695.42</v>
      </c>
      <c r="H431" s="1">
        <f>IFERROR(__xludf.DUMMYFUNCTION("""COMPUTED_VALUE"""),633.22)</f>
        <v>633.22</v>
      </c>
      <c r="I431" s="1">
        <f>IFERROR(__xludf.DUMMYFUNCTION("""COMPUTED_VALUE"""),299.58)</f>
        <v>299.58</v>
      </c>
      <c r="J431" s="1">
        <f>IFERROR(__xludf.DUMMYFUNCTION("""COMPUTED_VALUE"""),243.01)</f>
        <v>243.01</v>
      </c>
      <c r="K431" s="1">
        <f>IFERROR(__xludf.DUMMYFUNCTION("""COMPUTED_VALUE"""),127.05)</f>
        <v>127.05</v>
      </c>
      <c r="L431" s="1">
        <f>IFERROR(__xludf.DUMMYFUNCTION("""COMPUTED_VALUE"""),256.44)</f>
        <v>256.44</v>
      </c>
      <c r="M431" s="1">
        <f>IFERROR(__xludf.DUMMYFUNCTION("""COMPUTED_VALUE"""),336.75)</f>
        <v>336.75</v>
      </c>
      <c r="N431" s="1">
        <f>IFERROR(__xludf.DUMMYFUNCTION("""COMPUTED_VALUE"""),118.9)</f>
        <v>118.9</v>
      </c>
      <c r="O431" s="1">
        <f>IFERROR(__xludf.DUMMYFUNCTION("""COMPUTED_VALUE"""),26.55)</f>
        <v>26.55</v>
      </c>
      <c r="P431" s="1">
        <f>IFERROR(__xludf.DUMMYFUNCTION("""COMPUTED_VALUE"""),473.49)</f>
        <v>473.49</v>
      </c>
      <c r="Q431" s="1">
        <f>IFERROR(__xludf.DUMMYFUNCTION("""COMPUTED_VALUE"""),70.96)</f>
        <v>70.96</v>
      </c>
      <c r="R431" s="1">
        <f>IFERROR(__xludf.DUMMYFUNCTION("""COMPUTED_VALUE"""),174.83)</f>
        <v>174.83</v>
      </c>
      <c r="S431" s="1">
        <f>IFERROR(__xludf.DUMMYFUNCTION("""COMPUTED_VALUE"""),93.79)</f>
        <v>93.79</v>
      </c>
      <c r="T431" s="1">
        <f>IFERROR(__xludf.DUMMYFUNCTION("""COMPUTED_VALUE"""),57.91)</f>
        <v>57.91</v>
      </c>
      <c r="U431" s="1">
        <f>IFERROR(__xludf.DUMMYFUNCTION("""COMPUTED_VALUE"""),643.28)</f>
        <v>643.28</v>
      </c>
      <c r="V431" s="1">
        <f>IFERROR(__xludf.DUMMYFUNCTION("""COMPUTED_VALUE"""),134.09)</f>
        <v>134.09</v>
      </c>
      <c r="W431" s="1">
        <f>IFERROR(__xludf.DUMMYFUNCTION("""COMPUTED_VALUE"""),180.24)</f>
        <v>180.24</v>
      </c>
      <c r="X431" s="1">
        <f>IFERROR(__xludf.DUMMYFUNCTION("""COMPUTED_VALUE"""),169.93)</f>
        <v>169.93</v>
      </c>
      <c r="Y431" s="1">
        <f>IFERROR(__xludf.DUMMYFUNCTION("""COMPUTED_VALUE"""),272.38)</f>
        <v>272.38</v>
      </c>
      <c r="Z431" s="1">
        <f>IFERROR(__xludf.DUMMYFUNCTION("""COMPUTED_VALUE"""),62.92)</f>
        <v>62.92</v>
      </c>
      <c r="AA431" s="1">
        <f>IFERROR(__xludf.DUMMYFUNCTION("""COMPUTED_VALUE"""),73.06)</f>
        <v>73.06</v>
      </c>
      <c r="AB431" s="1">
        <f>IFERROR(__xludf.DUMMYFUNCTION("""COMPUTED_VALUE"""),105.18)</f>
        <v>105.18</v>
      </c>
      <c r="AC431" s="1">
        <f>IFERROR(__xludf.DUMMYFUNCTION("""COMPUTED_VALUE"""),163.21)</f>
        <v>163.21</v>
      </c>
      <c r="AD431" s="1">
        <f>IFERROR(__xludf.DUMMYFUNCTION("""COMPUTED_VALUE"""),119.1)</f>
        <v>119.1</v>
      </c>
      <c r="AE431" s="1">
        <f>IFERROR(__xludf.DUMMYFUNCTION("""COMPUTED_VALUE"""),405.37)</f>
        <v>405.37</v>
      </c>
      <c r="AF431" s="1">
        <f>IFERROR(__xludf.DUMMYFUNCTION("""COMPUTED_VALUE"""),95.17)</f>
        <v>95.17</v>
      </c>
      <c r="AG431" s="1">
        <f>IFERROR(__xludf.DUMMYFUNCTION("""COMPUTED_VALUE"""),137.58)</f>
        <v>137.58</v>
      </c>
      <c r="AH431" s="1">
        <f>IFERROR(__xludf.DUMMYFUNCTION("""COMPUTED_VALUE"""),314.65)</f>
        <v>314.65</v>
      </c>
      <c r="AI431" s="1">
        <f>IFERROR(__xludf.DUMMYFUNCTION("""COMPUTED_VALUE"""),333.46)</f>
        <v>333.46</v>
      </c>
      <c r="AJ431" s="1">
        <f>IFERROR(__xludf.DUMMYFUNCTION("""COMPUTED_VALUE"""),356.68)</f>
        <v>356.68</v>
      </c>
      <c r="AK431" s="1">
        <f>IFERROR(__xludf.DUMMYFUNCTION("""COMPUTED_VALUE"""),84.9)</f>
        <v>84.9</v>
      </c>
      <c r="AL431" s="1">
        <f>IFERROR(__xludf.DUMMYFUNCTION("""COMPUTED_VALUE"""),139.72)</f>
        <v>139.72</v>
      </c>
      <c r="AM431" s="1">
        <f>IFERROR(__xludf.DUMMYFUNCTION("""COMPUTED_VALUE"""),936.81)</f>
        <v>936.81</v>
      </c>
      <c r="AN431" s="1">
        <f>IFERROR(__xludf.DUMMYFUNCTION("""COMPUTED_VALUE"""),375.3)</f>
        <v>375.3</v>
      </c>
      <c r="AO431" s="1">
        <f>IFERROR(__xludf.DUMMYFUNCTION("""COMPUTED_VALUE"""),169.22)</f>
        <v>169.22</v>
      </c>
      <c r="AP431" s="1">
        <f>IFERROR(__xludf.DUMMYFUNCTION("""COMPUTED_VALUE"""),172.44)</f>
        <v>172.44</v>
      </c>
      <c r="AQ431" s="1">
        <f>IFERROR(__xludf.DUMMYFUNCTION("""COMPUTED_VALUE"""),522.04)</f>
        <v>522.04</v>
      </c>
      <c r="AR431" s="1">
        <f>IFERROR(__xludf.DUMMYFUNCTION("""COMPUTED_VALUE"""),300.77)</f>
        <v>300.77</v>
      </c>
      <c r="AS431" s="1">
        <f>IFERROR(__xludf.DUMMYFUNCTION("""COMPUTED_VALUE"""),597.27)</f>
        <v>597.27</v>
      </c>
      <c r="AT431" s="1">
        <f>IFERROR(__xludf.DUMMYFUNCTION("""COMPUTED_VALUE"""),180.35)</f>
        <v>180.35</v>
      </c>
      <c r="AU431" s="1">
        <f>IFERROR(__xludf.DUMMYFUNCTION("""COMPUTED_VALUE"""),37.72)</f>
        <v>37.72</v>
      </c>
      <c r="AV431" s="1">
        <f>IFERROR(__xludf.DUMMYFUNCTION("""COMPUTED_VALUE"""),100.79)</f>
        <v>100.79</v>
      </c>
      <c r="AW431" s="1">
        <f>IFERROR(__xludf.DUMMYFUNCTION("""COMPUTED_VALUE"""),76.26)</f>
        <v>76.26</v>
      </c>
      <c r="AX431" s="1">
        <f>IFERROR(__xludf.DUMMYFUNCTION("""COMPUTED_VALUE"""),67.01)</f>
        <v>67.01</v>
      </c>
      <c r="AY431" s="1">
        <f>IFERROR(__xludf.DUMMYFUNCTION("""COMPUTED_VALUE"""),481.63)</f>
        <v>481.63</v>
      </c>
      <c r="AZ431" s="1">
        <f>IFERROR(__xludf.DUMMYFUNCTION("""COMPUTED_VALUE"""),87.57)</f>
        <v>87.57</v>
      </c>
      <c r="BA431" s="1">
        <f>IFERROR(__xludf.DUMMYFUNCTION("""COMPUTED_VALUE"""),155.11)</f>
        <v>155.11</v>
      </c>
      <c r="BB431" s="1">
        <f>IFERROR(__xludf.DUMMYFUNCTION("""COMPUTED_VALUE"""),191.52)</f>
        <v>191.52</v>
      </c>
      <c r="BC431" s="1">
        <f>IFERROR(__xludf.DUMMYFUNCTION("""COMPUTED_VALUE"""),88.6)</f>
        <v>88.6</v>
      </c>
      <c r="BD431" s="1">
        <f>IFERROR(__xludf.DUMMYFUNCTION("""COMPUTED_VALUE"""),44.86)</f>
        <v>44.86</v>
      </c>
      <c r="BE431" s="1">
        <f>IFERROR(__xludf.DUMMYFUNCTION("""COMPUTED_VALUE"""),157.35)</f>
        <v>157.35</v>
      </c>
      <c r="BF431" s="1">
        <f>IFERROR(__xludf.DUMMYFUNCTION("""COMPUTED_VALUE"""),54.08)</f>
        <v>54.08</v>
      </c>
      <c r="BG431" s="1">
        <f>IFERROR(__xludf.DUMMYFUNCTION("""COMPUTED_VALUE"""),25.86)</f>
        <v>25.86</v>
      </c>
      <c r="BH431" s="1">
        <f>IFERROR(__xludf.DUMMYFUNCTION("""COMPUTED_VALUE"""),199.46)</f>
        <v>199.46</v>
      </c>
      <c r="BI431" s="1">
        <f>IFERROR(__xludf.DUMMYFUNCTION("""COMPUTED_VALUE"""),97.33)</f>
        <v>97.33</v>
      </c>
      <c r="BJ431" s="1">
        <f>IFERROR(__xludf.DUMMYFUNCTION("""COMPUTED_VALUE"""),186.25)</f>
        <v>186.25</v>
      </c>
      <c r="BK431" s="1">
        <f>IFERROR(__xludf.DUMMYFUNCTION("""COMPUTED_VALUE"""),608.02)</f>
        <v>608.02</v>
      </c>
      <c r="BL431" s="1">
        <f>IFERROR(__xludf.DUMMYFUNCTION("""COMPUTED_VALUE"""),218.89)</f>
        <v>218.89</v>
      </c>
      <c r="BM431" s="1">
        <f>IFERROR(__xludf.DUMMYFUNCTION("""COMPUTED_VALUE"""),140.99)</f>
        <v>140.99</v>
      </c>
      <c r="BN431" s="1">
        <f>IFERROR(__xludf.DUMMYFUNCTION("""COMPUTED_VALUE"""),6.07)</f>
        <v>6.07</v>
      </c>
      <c r="BO431" s="1">
        <f>IFERROR(__xludf.DUMMYFUNCTION("""COMPUTED_VALUE"""),227.71)</f>
        <v>227.71</v>
      </c>
      <c r="BP431" s="1">
        <f>IFERROR(__xludf.DUMMYFUNCTION("""COMPUTED_VALUE"""),294.02)</f>
        <v>294.02</v>
      </c>
      <c r="BQ431" s="36">
        <f>IFERROR(__xludf.DUMMYFUNCTION("""COMPUTED_VALUE"""),49.61)</f>
        <v>49.61</v>
      </c>
      <c r="BR431" s="1">
        <f>IFERROR(__xludf.DUMMYFUNCTION("""COMPUTED_VALUE"""),12.97)</f>
        <v>12.97</v>
      </c>
      <c r="BS431" s="1">
        <f>IFERROR(__xludf.DUMMYFUNCTION("""COMPUTED_VALUE"""),231.6)</f>
        <v>231.6</v>
      </c>
      <c r="BT431" s="1">
        <f>IFERROR(__xludf.DUMMYFUNCTION("""COMPUTED_VALUE"""),109.56)</f>
        <v>109.56</v>
      </c>
      <c r="BU431" s="3">
        <v>1.0</v>
      </c>
    </row>
    <row r="432">
      <c r="A432" s="25">
        <f>IFERROR(__xludf.DUMMYFUNCTION("""COMPUTED_VALUE"""),46051.66666666667)</f>
        <v>46051.66667</v>
      </c>
      <c r="B432" s="29">
        <f>'Master Scratch Work'!B431</f>
        <v>1641209.65</v>
      </c>
      <c r="C432" s="31">
        <f>IFERROR(__xludf.DUMMYFUNCTION("""COMPUTED_VALUE"""),6939.03)</f>
        <v>6939.03</v>
      </c>
      <c r="D432" s="31">
        <f>IFERROR(__xludf.DUMMYFUNCTION("""COMPUTED_VALUE"""),23685.12)</f>
        <v>23685.12</v>
      </c>
      <c r="E432" s="31">
        <f>IFERROR(__xludf.DUMMYFUNCTION("""COMPUTED_VALUE"""),49071.56)</f>
        <v>49071.56</v>
      </c>
      <c r="F432" s="31">
        <f>IFERROR(__xludf.DUMMYFUNCTION("""COMPUTED_VALUE"""),2654.78)</f>
        <v>2654.78</v>
      </c>
      <c r="G432" s="1">
        <f>IFERROR(__xludf.DUMMYFUNCTION("""COMPUTED_VALUE"""),694.04)</f>
        <v>694.04</v>
      </c>
      <c r="H432" s="1">
        <f>IFERROR(__xludf.DUMMYFUNCTION("""COMPUTED_VALUE"""),629.43)</f>
        <v>629.43</v>
      </c>
      <c r="I432" s="1">
        <f>IFERROR(__xludf.DUMMYFUNCTION("""COMPUTED_VALUE"""),291.65)</f>
        <v>291.65</v>
      </c>
      <c r="J432" s="1">
        <f>IFERROR(__xludf.DUMMYFUNCTION("""COMPUTED_VALUE"""),241.73)</f>
        <v>241.73</v>
      </c>
      <c r="K432" s="1">
        <f>IFERROR(__xludf.DUMMYFUNCTION("""COMPUTED_VALUE"""),129.0)</f>
        <v>129</v>
      </c>
      <c r="L432" s="1">
        <f>IFERROR(__xludf.DUMMYFUNCTION("""COMPUTED_VALUE"""),258.28)</f>
        <v>258.28</v>
      </c>
      <c r="M432" s="1">
        <f>IFERROR(__xludf.DUMMYFUNCTION("""COMPUTED_VALUE"""),341.34)</f>
        <v>341.34</v>
      </c>
      <c r="N432" s="1">
        <f>IFERROR(__xludf.DUMMYFUNCTION("""COMPUTED_VALUE"""),121.49)</f>
        <v>121.49</v>
      </c>
      <c r="O432" s="1">
        <f>IFERROR(__xludf.DUMMYFUNCTION("""COMPUTED_VALUE"""),26.88)</f>
        <v>26.88</v>
      </c>
      <c r="P432" s="1">
        <f>IFERROR(__xludf.DUMMYFUNCTION("""COMPUTED_VALUE"""),476.79)</f>
        <v>476.79</v>
      </c>
      <c r="Q432" s="1">
        <f>IFERROR(__xludf.DUMMYFUNCTION("""COMPUTED_VALUE"""),72.17)</f>
        <v>72.17</v>
      </c>
      <c r="R432" s="1">
        <f>IFERROR(__xludf.DUMMYFUNCTION("""COMPUTED_VALUE"""),176.18)</f>
        <v>176.18</v>
      </c>
      <c r="S432" s="1">
        <f>IFERROR(__xludf.DUMMYFUNCTION("""COMPUTED_VALUE"""),92.33)</f>
        <v>92.33</v>
      </c>
      <c r="T432" s="1">
        <f>IFERROR(__xludf.DUMMYFUNCTION("""COMPUTED_VALUE"""),59.79)</f>
        <v>59.79</v>
      </c>
      <c r="U432" s="1">
        <f>IFERROR(__xludf.DUMMYFUNCTION("""COMPUTED_VALUE"""),665.24)</f>
        <v>665.24</v>
      </c>
      <c r="V432" s="1">
        <f>IFERROR(__xludf.DUMMYFUNCTION("""COMPUTED_VALUE"""),133.67)</f>
        <v>133.67</v>
      </c>
      <c r="W432" s="1">
        <f>IFERROR(__xludf.DUMMYFUNCTION("""COMPUTED_VALUE"""),178.21)</f>
        <v>178.21</v>
      </c>
      <c r="X432" s="1">
        <f>IFERROR(__xludf.DUMMYFUNCTION("""COMPUTED_VALUE"""),171.19)</f>
        <v>171.19</v>
      </c>
      <c r="Y432" s="1">
        <f>IFERROR(__xludf.DUMMYFUNCTION("""COMPUTED_VALUE"""),271.27)</f>
        <v>271.27</v>
      </c>
      <c r="Z432" s="1">
        <f>IFERROR(__xludf.DUMMYFUNCTION("""COMPUTED_VALUE"""),63.49)</f>
        <v>63.49</v>
      </c>
      <c r="AA432" s="1">
        <f>IFERROR(__xludf.DUMMYFUNCTION("""COMPUTED_VALUE"""),73.43)</f>
        <v>73.43</v>
      </c>
      <c r="AB432" s="1">
        <f>IFERROR(__xludf.DUMMYFUNCTION("""COMPUTED_VALUE"""),105.96)</f>
        <v>105.96</v>
      </c>
      <c r="AC432" s="1">
        <f>IFERROR(__xludf.DUMMYFUNCTION("""COMPUTED_VALUE"""),167.44)</f>
        <v>167.44</v>
      </c>
      <c r="AD432" s="1">
        <f>IFERROR(__xludf.DUMMYFUNCTION("""COMPUTED_VALUE"""),117.31)</f>
        <v>117.31</v>
      </c>
      <c r="AE432" s="1">
        <f>IFERROR(__xludf.DUMMYFUNCTION("""COMPUTED_VALUE"""),407.08)</f>
        <v>407.08</v>
      </c>
      <c r="AF432" s="1">
        <f>IFERROR(__xludf.DUMMYFUNCTION("""COMPUTED_VALUE"""),94.41)</f>
        <v>94.41</v>
      </c>
      <c r="AG432" s="1">
        <f>IFERROR(__xludf.DUMMYFUNCTION("""COMPUTED_VALUE"""),140.51)</f>
        <v>140.51</v>
      </c>
      <c r="AH432" s="1">
        <f>IFERROR(__xludf.DUMMYFUNCTION("""COMPUTED_VALUE"""),319.93)</f>
        <v>319.93</v>
      </c>
      <c r="AI432" s="1">
        <f>IFERROR(__xludf.DUMMYFUNCTION("""COMPUTED_VALUE"""),338.45)</f>
        <v>338.45</v>
      </c>
      <c r="AJ432" s="1">
        <f>IFERROR(__xludf.DUMMYFUNCTION("""COMPUTED_VALUE"""),349.95)</f>
        <v>349.95</v>
      </c>
      <c r="AK432" s="1">
        <f>IFERROR(__xludf.DUMMYFUNCTION("""COMPUTED_VALUE"""),86.26)</f>
        <v>86.26</v>
      </c>
      <c r="AL432" s="1">
        <f>IFERROR(__xludf.DUMMYFUNCTION("""COMPUTED_VALUE"""),139.55)</f>
        <v>139.55</v>
      </c>
      <c r="AM432" s="1">
        <f>IFERROR(__xludf.DUMMYFUNCTION("""COMPUTED_VALUE"""),940.12)</f>
        <v>940.12</v>
      </c>
      <c r="AN432" s="1">
        <f>IFERROR(__xludf.DUMMYFUNCTION("""COMPUTED_VALUE"""),371.81)</f>
        <v>371.81</v>
      </c>
      <c r="AO432" s="1">
        <f>IFERROR(__xludf.DUMMYFUNCTION("""COMPUTED_VALUE"""),166.82)</f>
        <v>166.82</v>
      </c>
      <c r="AP432" s="1">
        <f>IFERROR(__xludf.DUMMYFUNCTION("""COMPUTED_VALUE"""),175.1)</f>
        <v>175.1</v>
      </c>
      <c r="AQ432" s="1">
        <f>IFERROR(__xludf.DUMMYFUNCTION("""COMPUTED_VALUE"""),507.55)</f>
        <v>507.55</v>
      </c>
      <c r="AR432" s="1">
        <f>IFERROR(__xludf.DUMMYFUNCTION("""COMPUTED_VALUE"""),306.42)</f>
        <v>306.42</v>
      </c>
      <c r="AS432" s="1">
        <f>IFERROR(__xludf.DUMMYFUNCTION("""COMPUTED_VALUE"""),622.51)</f>
        <v>622.51</v>
      </c>
      <c r="AT432" s="1">
        <f>IFERROR(__xludf.DUMMYFUNCTION("""COMPUTED_VALUE"""),172.54)</f>
        <v>172.54</v>
      </c>
      <c r="AU432" s="1">
        <f>IFERROR(__xludf.DUMMYFUNCTION("""COMPUTED_VALUE"""),38.55)</f>
        <v>38.55</v>
      </c>
      <c r="AV432" s="1">
        <f>IFERROR(__xludf.DUMMYFUNCTION("""COMPUTED_VALUE"""),101.0)</f>
        <v>101</v>
      </c>
      <c r="AW432" s="1">
        <f>IFERROR(__xludf.DUMMYFUNCTION("""COMPUTED_VALUE"""),78.23)</f>
        <v>78.23</v>
      </c>
      <c r="AX432" s="1">
        <f>IFERROR(__xludf.DUMMYFUNCTION("""COMPUTED_VALUE"""),62.16)</f>
        <v>62.16</v>
      </c>
      <c r="AY432" s="1">
        <f>IFERROR(__xludf.DUMMYFUNCTION("""COMPUTED_VALUE"""),433.5)</f>
        <v>433.5</v>
      </c>
      <c r="AZ432" s="1">
        <f>IFERROR(__xludf.DUMMYFUNCTION("""COMPUTED_VALUE"""),88.18)</f>
        <v>88.18</v>
      </c>
      <c r="BA432" s="1">
        <f>IFERROR(__xludf.DUMMYFUNCTION("""COMPUTED_VALUE"""),153.72)</f>
        <v>153.72</v>
      </c>
      <c r="BB432" s="1">
        <f>IFERROR(__xludf.DUMMYFUNCTION("""COMPUTED_VALUE"""),192.51)</f>
        <v>192.51</v>
      </c>
      <c r="BC432" s="1">
        <f>IFERROR(__xludf.DUMMYFUNCTION("""COMPUTED_VALUE"""),87.16)</f>
        <v>87.16</v>
      </c>
      <c r="BD432" s="1">
        <f>IFERROR(__xludf.DUMMYFUNCTION("""COMPUTED_VALUE"""),45.02)</f>
        <v>45.02</v>
      </c>
      <c r="BE432" s="1">
        <f>IFERROR(__xludf.DUMMYFUNCTION("""COMPUTED_VALUE"""),151.86)</f>
        <v>151.86</v>
      </c>
      <c r="BF432" s="1">
        <f>IFERROR(__xludf.DUMMYFUNCTION("""COMPUTED_VALUE"""),53.11)</f>
        <v>53.11</v>
      </c>
      <c r="BG432" s="1">
        <f>IFERROR(__xludf.DUMMYFUNCTION("""COMPUTED_VALUE"""),26.1)</f>
        <v>26.1</v>
      </c>
      <c r="BH432" s="1">
        <f>IFERROR(__xludf.DUMMYFUNCTION("""COMPUTED_VALUE"""),199.88)</f>
        <v>199.88</v>
      </c>
      <c r="BI432" s="1">
        <f>IFERROR(__xludf.DUMMYFUNCTION("""COMPUTED_VALUE"""),98.2)</f>
        <v>98.2</v>
      </c>
      <c r="BJ432" s="1">
        <f>IFERROR(__xludf.DUMMYFUNCTION("""COMPUTED_VALUE"""),189.28)</f>
        <v>189.28</v>
      </c>
      <c r="BK432" s="1">
        <f>IFERROR(__xludf.DUMMYFUNCTION("""COMPUTED_VALUE"""),592.16)</f>
        <v>592.16</v>
      </c>
      <c r="BL432" s="1">
        <f>IFERROR(__xludf.DUMMYFUNCTION("""COMPUTED_VALUE"""),227.07)</f>
        <v>227.07</v>
      </c>
      <c r="BM432" s="1">
        <f>IFERROR(__xludf.DUMMYFUNCTION("""COMPUTED_VALUE"""),138.97)</f>
        <v>138.97</v>
      </c>
      <c r="BN432" s="1">
        <f>IFERROR(__xludf.DUMMYFUNCTION("""COMPUTED_VALUE"""),6.05)</f>
        <v>6.05</v>
      </c>
      <c r="BO432" s="1">
        <f>IFERROR(__xludf.DUMMYFUNCTION("""COMPUTED_VALUE"""),233.58)</f>
        <v>233.58</v>
      </c>
      <c r="BP432" s="1">
        <f>IFERROR(__xludf.DUMMYFUNCTION("""COMPUTED_VALUE"""),292.29)</f>
        <v>292.29</v>
      </c>
      <c r="BQ432" s="36">
        <f>IFERROR(__xludf.DUMMYFUNCTION("""COMPUTED_VALUE"""),49.67)</f>
        <v>49.67</v>
      </c>
      <c r="BR432" s="1">
        <f>IFERROR(__xludf.DUMMYFUNCTION("""COMPUTED_VALUE"""),13.07)</f>
        <v>13.07</v>
      </c>
      <c r="BS432" s="1">
        <f>IFERROR(__xludf.DUMMYFUNCTION("""COMPUTED_VALUE"""),223.13)</f>
        <v>223.13</v>
      </c>
      <c r="BT432" s="1">
        <f>IFERROR(__xludf.DUMMYFUNCTION("""COMPUTED_VALUE"""),111.58)</f>
        <v>111.58</v>
      </c>
      <c r="BU432" s="3">
        <v>1.0</v>
      </c>
    </row>
    <row r="433">
      <c r="A433" s="25">
        <f>IFERROR(__xludf.DUMMYFUNCTION("""COMPUTED_VALUE"""),46052.66666666667)</f>
        <v>46052.66667</v>
      </c>
      <c r="B433" s="29">
        <f>'Master Scratch Work'!B432</f>
        <v>1633174.56</v>
      </c>
      <c r="C433" s="31">
        <f>IFERROR(__xludf.DUMMYFUNCTION("""COMPUTED_VALUE"""),6976.44)</f>
        <v>6976.44</v>
      </c>
      <c r="D433" s="31">
        <f>IFERROR(__xludf.DUMMYFUNCTION("""COMPUTED_VALUE"""),23461.82)</f>
        <v>23461.82</v>
      </c>
      <c r="E433" s="31">
        <f>IFERROR(__xludf.DUMMYFUNCTION("""COMPUTED_VALUE"""),48892.47)</f>
        <v>48892.47</v>
      </c>
      <c r="F433" s="31">
        <f>IFERROR(__xludf.DUMMYFUNCTION("""COMPUTED_VALUE"""),2613.74)</f>
        <v>2613.74</v>
      </c>
      <c r="G433" s="1">
        <f>IFERROR(__xludf.DUMMYFUNCTION("""COMPUTED_VALUE"""),691.97)</f>
        <v>691.97</v>
      </c>
      <c r="H433" s="1">
        <f>IFERROR(__xludf.DUMMYFUNCTION("""COMPUTED_VALUE"""),621.87)</f>
        <v>621.87</v>
      </c>
      <c r="I433" s="1">
        <f>IFERROR(__xludf.DUMMYFUNCTION("""COMPUTED_VALUE"""),293.25)</f>
        <v>293.25</v>
      </c>
      <c r="J433" s="1">
        <f>IFERROR(__xludf.DUMMYFUNCTION("""COMPUTED_VALUE"""),239.3)</f>
        <v>239.3</v>
      </c>
      <c r="K433" s="1">
        <f>IFERROR(__xludf.DUMMYFUNCTION("""COMPUTED_VALUE"""),129.13)</f>
        <v>129.13</v>
      </c>
      <c r="L433" s="1">
        <f>IFERROR(__xludf.DUMMYFUNCTION("""COMPUTED_VALUE"""),259.48)</f>
        <v>259.48</v>
      </c>
      <c r="M433" s="1">
        <f>IFERROR(__xludf.DUMMYFUNCTION("""COMPUTED_VALUE"""),322.32)</f>
        <v>322.32</v>
      </c>
      <c r="N433" s="1">
        <f>IFERROR(__xludf.DUMMYFUNCTION("""COMPUTED_VALUE"""),119.92)</f>
        <v>119.92</v>
      </c>
      <c r="O433" s="1">
        <f>IFERROR(__xludf.DUMMYFUNCTION("""COMPUTED_VALUE"""),26.75)</f>
        <v>26.75</v>
      </c>
      <c r="P433" s="1">
        <f>IFERROR(__xludf.DUMMYFUNCTION("""COMPUTED_VALUE"""),480.53)</f>
        <v>480.53</v>
      </c>
      <c r="Q433" s="1">
        <f>IFERROR(__xludf.DUMMYFUNCTION("""COMPUTED_VALUE"""),68.73)</f>
        <v>68.73</v>
      </c>
      <c r="R433" s="1">
        <f>IFERROR(__xludf.DUMMYFUNCTION("""COMPUTED_VALUE"""),179.89)</f>
        <v>179.89</v>
      </c>
      <c r="S433" s="1">
        <f>IFERROR(__xludf.DUMMYFUNCTION("""COMPUTED_VALUE"""),93.53)</f>
        <v>93.53</v>
      </c>
      <c r="T433" s="1">
        <f>IFERROR(__xludf.DUMMYFUNCTION("""COMPUTED_VALUE"""),59.58)</f>
        <v>59.58</v>
      </c>
      <c r="U433" s="1">
        <f>IFERROR(__xludf.DUMMYFUNCTION("""COMPUTED_VALUE"""),657.36)</f>
        <v>657.36</v>
      </c>
      <c r="V433" s="1">
        <f>IFERROR(__xludf.DUMMYFUNCTION("""COMPUTED_VALUE"""),123.39)</f>
        <v>123.39</v>
      </c>
      <c r="W433" s="1">
        <f>IFERROR(__xludf.DUMMYFUNCTION("""COMPUTED_VALUE"""),179.51)</f>
        <v>179.51</v>
      </c>
      <c r="X433" s="1">
        <f>IFERROR(__xludf.DUMMYFUNCTION("""COMPUTED_VALUE"""),176.9)</f>
        <v>176.9</v>
      </c>
      <c r="Y433" s="1">
        <f>IFERROR(__xludf.DUMMYFUNCTION("""COMPUTED_VALUE"""),274.11)</f>
        <v>274.11</v>
      </c>
      <c r="Z433" s="1">
        <f>IFERROR(__xludf.DUMMYFUNCTION("""COMPUTED_VALUE"""),62.98)</f>
        <v>62.98</v>
      </c>
      <c r="AA433" s="1">
        <f>IFERROR(__xludf.DUMMYFUNCTION("""COMPUTED_VALUE"""),74.81)</f>
        <v>74.81</v>
      </c>
      <c r="AB433" s="1">
        <f>IFERROR(__xludf.DUMMYFUNCTION("""COMPUTED_VALUE"""),106.63)</f>
        <v>106.63</v>
      </c>
      <c r="AC433" s="1">
        <f>IFERROR(__xludf.DUMMYFUNCTION("""COMPUTED_VALUE"""),165.95)</f>
        <v>165.95</v>
      </c>
      <c r="AD433" s="1">
        <f>IFERROR(__xludf.DUMMYFUNCTION("""COMPUTED_VALUE"""),117.59)</f>
        <v>117.59</v>
      </c>
      <c r="AE433" s="1">
        <f>IFERROR(__xludf.DUMMYFUNCTION("""COMPUTED_VALUE"""),410.33)</f>
        <v>410.33</v>
      </c>
      <c r="AF433" s="1">
        <f>IFERROR(__xludf.DUMMYFUNCTION("""COMPUTED_VALUE"""),91.22)</f>
        <v>91.22</v>
      </c>
      <c r="AG433" s="1">
        <f>IFERROR(__xludf.DUMMYFUNCTION("""COMPUTED_VALUE"""),141.4)</f>
        <v>141.4</v>
      </c>
      <c r="AH433" s="1">
        <f>IFERROR(__xludf.DUMMYFUNCTION("""COMPUTED_VALUE"""),322.25)</f>
        <v>322.25</v>
      </c>
      <c r="AI433" s="1">
        <f>IFERROR(__xludf.DUMMYFUNCTION("""COMPUTED_VALUE"""),333.17)</f>
        <v>333.17</v>
      </c>
      <c r="AJ433" s="1">
        <f>IFERROR(__xludf.DUMMYFUNCTION("""COMPUTED_VALUE"""),351.09)</f>
        <v>351.09</v>
      </c>
      <c r="AK433" s="1">
        <f>IFERROR(__xludf.DUMMYFUNCTION("""COMPUTED_VALUE"""),84.0)</f>
        <v>84</v>
      </c>
      <c r="AL433" s="1">
        <f>IFERROR(__xludf.DUMMYFUNCTION("""COMPUTED_VALUE"""),141.95)</f>
        <v>141.95</v>
      </c>
      <c r="AM433" s="1">
        <f>IFERROR(__xludf.DUMMYFUNCTION("""COMPUTED_VALUE"""),935.41)</f>
        <v>935.41</v>
      </c>
      <c r="AN433" s="1">
        <f>IFERROR(__xludf.DUMMYFUNCTION("""COMPUTED_VALUE"""),374.59)</f>
        <v>374.59</v>
      </c>
      <c r="AO433" s="1">
        <f>IFERROR(__xludf.DUMMYFUNCTION("""COMPUTED_VALUE"""),169.0)</f>
        <v>169</v>
      </c>
      <c r="AP433" s="1">
        <f>IFERROR(__xludf.DUMMYFUNCTION("""COMPUTED_VALUE"""),173.78)</f>
        <v>173.78</v>
      </c>
      <c r="AQ433" s="1">
        <f>IFERROR(__xludf.DUMMYFUNCTION("""COMPUTED_VALUE"""),504.22)</f>
        <v>504.22</v>
      </c>
      <c r="AR433" s="1">
        <f>IFERROR(__xludf.DUMMYFUNCTION("""COMPUTED_VALUE"""),305.89)</f>
        <v>305.89</v>
      </c>
      <c r="AS433" s="1">
        <f>IFERROR(__xludf.DUMMYFUNCTION("""COMPUTED_VALUE"""),634.22)</f>
        <v>634.22</v>
      </c>
      <c r="AT433" s="1">
        <f>IFERROR(__xludf.DUMMYFUNCTION("""COMPUTED_VALUE"""),174.5)</f>
        <v>174.5</v>
      </c>
      <c r="AU433" s="1">
        <f>IFERROR(__xludf.DUMMYFUNCTION("""COMPUTED_VALUE"""),38.11)</f>
        <v>38.11</v>
      </c>
      <c r="AV433" s="1">
        <f>IFERROR(__xludf.DUMMYFUNCTION("""COMPUTED_VALUE"""),102.96)</f>
        <v>102.96</v>
      </c>
      <c r="AW433" s="1">
        <f>IFERROR(__xludf.DUMMYFUNCTION("""COMPUTED_VALUE"""),78.88)</f>
        <v>78.88</v>
      </c>
      <c r="AX433" s="1">
        <f>IFERROR(__xludf.DUMMYFUNCTION("""COMPUTED_VALUE"""),58.77)</f>
        <v>58.77</v>
      </c>
      <c r="AY433" s="1">
        <f>IFERROR(__xludf.DUMMYFUNCTION("""COMPUTED_VALUE"""),430.29)</f>
        <v>430.29</v>
      </c>
      <c r="AZ433" s="1">
        <f>IFERROR(__xludf.DUMMYFUNCTION("""COMPUTED_VALUE"""),87.9)</f>
        <v>87.9</v>
      </c>
      <c r="BA433" s="1">
        <f>IFERROR(__xludf.DUMMYFUNCTION("""COMPUTED_VALUE"""),152.63)</f>
        <v>152.63</v>
      </c>
      <c r="BB433" s="1">
        <f>IFERROR(__xludf.DUMMYFUNCTION("""COMPUTED_VALUE"""),191.13)</f>
        <v>191.13</v>
      </c>
      <c r="BC433" s="1">
        <f>IFERROR(__xludf.DUMMYFUNCTION("""COMPUTED_VALUE"""),85.42)</f>
        <v>85.42</v>
      </c>
      <c r="BD433" s="1">
        <f>IFERROR(__xludf.DUMMYFUNCTION("""COMPUTED_VALUE"""),45.25)</f>
        <v>45.25</v>
      </c>
      <c r="BE433" s="1">
        <f>IFERROR(__xludf.DUMMYFUNCTION("""COMPUTED_VALUE"""),146.59)</f>
        <v>146.59</v>
      </c>
      <c r="BF433" s="1">
        <f>IFERROR(__xludf.DUMMYFUNCTION("""COMPUTED_VALUE"""),52.69)</f>
        <v>52.69</v>
      </c>
      <c r="BG433" s="1">
        <f>IFERROR(__xludf.DUMMYFUNCTION("""COMPUTED_VALUE"""),26.44)</f>
        <v>26.44</v>
      </c>
      <c r="BH433" s="1">
        <f>IFERROR(__xludf.DUMMYFUNCTION("""COMPUTED_VALUE"""),200.93)</f>
        <v>200.93</v>
      </c>
      <c r="BI433" s="1">
        <f>IFERROR(__xludf.DUMMYFUNCTION("""COMPUTED_VALUE"""),96.95)</f>
        <v>96.95</v>
      </c>
      <c r="BJ433" s="1">
        <f>IFERROR(__xludf.DUMMYFUNCTION("""COMPUTED_VALUE"""),197.21)</f>
        <v>197.21</v>
      </c>
      <c r="BK433" s="1">
        <f>IFERROR(__xludf.DUMMYFUNCTION("""COMPUTED_VALUE"""),578.61)</f>
        <v>578.61</v>
      </c>
      <c r="BL433" s="1">
        <f>IFERROR(__xludf.DUMMYFUNCTION("""COMPUTED_VALUE"""),226.86)</f>
        <v>226.86</v>
      </c>
      <c r="BM433" s="1">
        <f>IFERROR(__xludf.DUMMYFUNCTION("""COMPUTED_VALUE"""),133.98)</f>
        <v>133.98</v>
      </c>
      <c r="BN433" s="1">
        <f>IFERROR(__xludf.DUMMYFUNCTION("""COMPUTED_VALUE"""),6.17)</f>
        <v>6.17</v>
      </c>
      <c r="BO433" s="1">
        <f>IFERROR(__xludf.DUMMYFUNCTION("""COMPUTED_VALUE"""),235.1)</f>
        <v>235.1</v>
      </c>
      <c r="BP433" s="1">
        <f>IFERROR(__xludf.DUMMYFUNCTION("""COMPUTED_VALUE"""),286.93)</f>
        <v>286.93</v>
      </c>
      <c r="BQ433" s="36">
        <f>IFERROR(__xludf.DUMMYFUNCTION("""COMPUTED_VALUE"""),49.73)</f>
        <v>49.73</v>
      </c>
      <c r="BR433" s="1">
        <f>IFERROR(__xludf.DUMMYFUNCTION("""COMPUTED_VALUE"""),13.09)</f>
        <v>13.09</v>
      </c>
      <c r="BS433" s="1">
        <f>IFERROR(__xludf.DUMMYFUNCTION("""COMPUTED_VALUE"""),222.24)</f>
        <v>222.24</v>
      </c>
      <c r="BT433" s="1">
        <f>IFERROR(__xludf.DUMMYFUNCTION("""COMPUTED_VALUE"""),112.8)</f>
        <v>112.8</v>
      </c>
      <c r="BU433" s="3">
        <v>1.0</v>
      </c>
    </row>
    <row r="434">
      <c r="A434" s="25">
        <f>IFERROR(__xludf.DUMMYFUNCTION("""COMPUTED_VALUE"""),46055.66666666667)</f>
        <v>46055.66667</v>
      </c>
      <c r="B434" s="29">
        <f>'Master Scratch Work'!B433</f>
        <v>1641409.35</v>
      </c>
      <c r="C434" s="31">
        <f>IFERROR(__xludf.DUMMYFUNCTION("""COMPUTED_VALUE"""),6917.81)</f>
        <v>6917.81</v>
      </c>
      <c r="D434" s="31">
        <f>IFERROR(__xludf.DUMMYFUNCTION("""COMPUTED_VALUE"""),23592.11)</f>
        <v>23592.11</v>
      </c>
      <c r="E434" s="31">
        <f>IFERROR(__xludf.DUMMYFUNCTION("""COMPUTED_VALUE"""),49407.66)</f>
        <v>49407.66</v>
      </c>
      <c r="F434" s="31">
        <f>IFERROR(__xludf.DUMMYFUNCTION("""COMPUTED_VALUE"""),2640.28)</f>
        <v>2640.28</v>
      </c>
      <c r="G434" s="1">
        <f>IFERROR(__xludf.DUMMYFUNCTION("""COMPUTED_VALUE"""),695.41)</f>
        <v>695.41</v>
      </c>
      <c r="H434" s="1">
        <f>IFERROR(__xludf.DUMMYFUNCTION("""COMPUTED_VALUE"""),626.14)</f>
        <v>626.14</v>
      </c>
      <c r="I434" s="1">
        <f>IFERROR(__xludf.DUMMYFUNCTION("""COMPUTED_VALUE"""),293.38)</f>
        <v>293.38</v>
      </c>
      <c r="J434" s="1">
        <f>IFERROR(__xludf.DUMMYFUNCTION("""COMPUTED_VALUE"""),242.96)</f>
        <v>242.96</v>
      </c>
      <c r="K434" s="1">
        <f>IFERROR(__xludf.DUMMYFUNCTION("""COMPUTED_VALUE"""),126.57)</f>
        <v>126.57</v>
      </c>
      <c r="L434" s="1">
        <f>IFERROR(__xludf.DUMMYFUNCTION("""COMPUTED_VALUE"""),270.01)</f>
        <v>270.01</v>
      </c>
      <c r="M434" s="1">
        <f>IFERROR(__xludf.DUMMYFUNCTION("""COMPUTED_VALUE"""),328.4)</f>
        <v>328.4</v>
      </c>
      <c r="N434" s="1">
        <f>IFERROR(__xludf.DUMMYFUNCTION("""COMPUTED_VALUE"""),121.61)</f>
        <v>121.61</v>
      </c>
      <c r="O434" s="1">
        <f>IFERROR(__xludf.DUMMYFUNCTION("""COMPUTED_VALUE"""),27.51)</f>
        <v>27.51</v>
      </c>
      <c r="P434" s="1">
        <f>IFERROR(__xludf.DUMMYFUNCTION("""COMPUTED_VALUE"""),487.29)</f>
        <v>487.29</v>
      </c>
      <c r="Q434" s="1">
        <f>IFERROR(__xludf.DUMMYFUNCTION("""COMPUTED_VALUE"""),69.39)</f>
        <v>69.39</v>
      </c>
      <c r="R434" s="1">
        <f>IFERROR(__xludf.DUMMYFUNCTION("""COMPUTED_VALUE"""),179.09)</f>
        <v>179.09</v>
      </c>
      <c r="S434" s="1">
        <f>IFERROR(__xludf.DUMMYFUNCTION("""COMPUTED_VALUE"""),91.87)</f>
        <v>91.87</v>
      </c>
      <c r="T434" s="1">
        <f>IFERROR(__xludf.DUMMYFUNCTION("""COMPUTED_VALUE"""),60.36)</f>
        <v>60.36</v>
      </c>
      <c r="U434" s="1">
        <f>IFERROR(__xludf.DUMMYFUNCTION("""COMPUTED_VALUE"""),690.91)</f>
        <v>690.91</v>
      </c>
      <c r="V434" s="1">
        <f>IFERROR(__xludf.DUMMYFUNCTION("""COMPUTED_VALUE"""),120.21)</f>
        <v>120.21</v>
      </c>
      <c r="W434" s="1">
        <f>IFERROR(__xludf.DUMMYFUNCTION("""COMPUTED_VALUE"""),180.21)</f>
        <v>180.21</v>
      </c>
      <c r="X434" s="1">
        <f>IFERROR(__xludf.DUMMYFUNCTION("""COMPUTED_VALUE"""),174.03)</f>
        <v>174.03</v>
      </c>
      <c r="Y434" s="1">
        <f>IFERROR(__xludf.DUMMYFUNCTION("""COMPUTED_VALUE"""),271.54)</f>
        <v>271.54</v>
      </c>
      <c r="Z434" s="1">
        <f>IFERROR(__xludf.DUMMYFUNCTION("""COMPUTED_VALUE"""),64.86)</f>
        <v>64.86</v>
      </c>
      <c r="AA434" s="1">
        <f>IFERROR(__xludf.DUMMYFUNCTION("""COMPUTED_VALUE"""),75.33)</f>
        <v>75.33</v>
      </c>
      <c r="AB434" s="1">
        <f>IFERROR(__xludf.DUMMYFUNCTION("""COMPUTED_VALUE"""),105.42)</f>
        <v>105.42</v>
      </c>
      <c r="AC434" s="1">
        <f>IFERROR(__xludf.DUMMYFUNCTION("""COMPUTED_VALUE"""),165.11)</f>
        <v>165.11</v>
      </c>
      <c r="AD434" s="1">
        <f>IFERROR(__xludf.DUMMYFUNCTION("""COMPUTED_VALUE"""),117.22)</f>
        <v>117.22</v>
      </c>
      <c r="AE434" s="1">
        <f>IFERROR(__xludf.DUMMYFUNCTION("""COMPUTED_VALUE"""),409.22)</f>
        <v>409.22</v>
      </c>
      <c r="AF434" s="1">
        <f>IFERROR(__xludf.DUMMYFUNCTION("""COMPUTED_VALUE"""),93.78)</f>
        <v>93.78</v>
      </c>
      <c r="AG434" s="1">
        <f>IFERROR(__xludf.DUMMYFUNCTION("""COMPUTED_VALUE"""),138.4)</f>
        <v>138.4</v>
      </c>
      <c r="AH434" s="1">
        <f>IFERROR(__xludf.DUMMYFUNCTION("""COMPUTED_VALUE"""),335.3)</f>
        <v>335.3</v>
      </c>
      <c r="AI434" s="1">
        <f>IFERROR(__xludf.DUMMYFUNCTION("""COMPUTED_VALUE"""),336.33)</f>
        <v>336.33</v>
      </c>
      <c r="AJ434" s="1">
        <f>IFERROR(__xludf.DUMMYFUNCTION("""COMPUTED_VALUE"""),346.37)</f>
        <v>346.37</v>
      </c>
      <c r="AK434" s="1">
        <f>IFERROR(__xludf.DUMMYFUNCTION("""COMPUTED_VALUE"""),84.27)</f>
        <v>84.27</v>
      </c>
      <c r="AL434" s="1">
        <f>IFERROR(__xludf.DUMMYFUNCTION("""COMPUTED_VALUE"""),142.89)</f>
        <v>142.89</v>
      </c>
      <c r="AM434" s="1">
        <f>IFERROR(__xludf.DUMMYFUNCTION("""COMPUTED_VALUE"""),946.33)</f>
        <v>946.33</v>
      </c>
      <c r="AN434" s="1">
        <f>IFERROR(__xludf.DUMMYFUNCTION("""COMPUTED_VALUE"""),378.12)</f>
        <v>378.12</v>
      </c>
      <c r="AO434" s="1">
        <f>IFERROR(__xludf.DUMMYFUNCTION("""COMPUTED_VALUE"""),172.37)</f>
        <v>172.37</v>
      </c>
      <c r="AP434" s="1">
        <f>IFERROR(__xludf.DUMMYFUNCTION("""COMPUTED_VALUE"""),173.18)</f>
        <v>173.18</v>
      </c>
      <c r="AQ434" s="1">
        <f>IFERROR(__xludf.DUMMYFUNCTION("""COMPUTED_VALUE"""),496.73)</f>
        <v>496.73</v>
      </c>
      <c r="AR434" s="1">
        <f>IFERROR(__xludf.DUMMYFUNCTION("""COMPUTED_VALUE"""),308.14)</f>
        <v>308.14</v>
      </c>
      <c r="AS434" s="1">
        <f>IFERROR(__xludf.DUMMYFUNCTION("""COMPUTED_VALUE"""),636.0)</f>
        <v>636</v>
      </c>
      <c r="AT434" s="1">
        <f>IFERROR(__xludf.DUMMYFUNCTION("""COMPUTED_VALUE"""),179.08)</f>
        <v>179.08</v>
      </c>
      <c r="AU434" s="1">
        <f>IFERROR(__xludf.DUMMYFUNCTION("""COMPUTED_VALUE"""),38.38)</f>
        <v>38.38</v>
      </c>
      <c r="AV434" s="1">
        <f>IFERROR(__xludf.DUMMYFUNCTION("""COMPUTED_VALUE"""),102.71)</f>
        <v>102.71</v>
      </c>
      <c r="AW434" s="1">
        <f>IFERROR(__xludf.DUMMYFUNCTION("""COMPUTED_VALUE"""),79.83)</f>
        <v>79.83</v>
      </c>
      <c r="AX434" s="1">
        <f>IFERROR(__xludf.DUMMYFUNCTION("""COMPUTED_VALUE"""),59.11)</f>
        <v>59.11</v>
      </c>
      <c r="AY434" s="1">
        <f>IFERROR(__xludf.DUMMYFUNCTION("""COMPUTED_VALUE"""),423.37)</f>
        <v>423.37</v>
      </c>
      <c r="AZ434" s="1">
        <f>IFERROR(__xludf.DUMMYFUNCTION("""COMPUTED_VALUE"""),86.33)</f>
        <v>86.33</v>
      </c>
      <c r="BA434" s="1">
        <f>IFERROR(__xludf.DUMMYFUNCTION("""COMPUTED_VALUE"""),149.11)</f>
        <v>149.11</v>
      </c>
      <c r="BB434" s="1">
        <f>IFERROR(__xludf.DUMMYFUNCTION("""COMPUTED_VALUE"""),185.61)</f>
        <v>185.61</v>
      </c>
      <c r="BC434" s="1">
        <f>IFERROR(__xludf.DUMMYFUNCTION("""COMPUTED_VALUE"""),86.15)</f>
        <v>86.15</v>
      </c>
      <c r="BD434" s="1">
        <f>IFERROR(__xludf.DUMMYFUNCTION("""COMPUTED_VALUE"""),45.94)</f>
        <v>45.94</v>
      </c>
      <c r="BE434" s="1">
        <f>IFERROR(__xludf.DUMMYFUNCTION("""COMPUTED_VALUE"""),147.76)</f>
        <v>147.76</v>
      </c>
      <c r="BF434" s="1">
        <f>IFERROR(__xludf.DUMMYFUNCTION("""COMPUTED_VALUE"""),52.33)</f>
        <v>52.33</v>
      </c>
      <c r="BG434" s="1">
        <f>IFERROR(__xludf.DUMMYFUNCTION("""COMPUTED_VALUE"""),26.66)</f>
        <v>26.66</v>
      </c>
      <c r="BH434" s="1">
        <f>IFERROR(__xludf.DUMMYFUNCTION("""COMPUTED_VALUE"""),201.09)</f>
        <v>201.09</v>
      </c>
      <c r="BI434" s="1">
        <f>IFERROR(__xludf.DUMMYFUNCTION("""COMPUTED_VALUE"""),97.16)</f>
        <v>97.16</v>
      </c>
      <c r="BJ434" s="1">
        <f>IFERROR(__xludf.DUMMYFUNCTION("""COMPUTED_VALUE"""),194.99)</f>
        <v>194.99</v>
      </c>
      <c r="BK434" s="1">
        <f>IFERROR(__xludf.DUMMYFUNCTION("""COMPUTED_VALUE"""),581.77)</f>
        <v>581.77</v>
      </c>
      <c r="BL434" s="1">
        <f>IFERROR(__xludf.DUMMYFUNCTION("""COMPUTED_VALUE"""),231.58)</f>
        <v>231.58</v>
      </c>
      <c r="BM434" s="1">
        <f>IFERROR(__xludf.DUMMYFUNCTION("""COMPUTED_VALUE"""),133.99)</f>
        <v>133.99</v>
      </c>
      <c r="BN434" s="1">
        <f>IFERROR(__xludf.DUMMYFUNCTION("""COMPUTED_VALUE"""),6.17)</f>
        <v>6.17</v>
      </c>
      <c r="BO434" s="1">
        <f>IFERROR(__xludf.DUMMYFUNCTION("""COMPUTED_VALUE"""),235.23)</f>
        <v>235.23</v>
      </c>
      <c r="BP434" s="1">
        <f>IFERROR(__xludf.DUMMYFUNCTION("""COMPUTED_VALUE"""),285.59)</f>
        <v>285.59</v>
      </c>
      <c r="BQ434" s="36">
        <f>IFERROR(__xludf.DUMMYFUNCTION("""COMPUTED_VALUE"""),49.64)</f>
        <v>49.64</v>
      </c>
      <c r="BR434" s="1">
        <f>IFERROR(__xludf.DUMMYFUNCTION("""COMPUTED_VALUE"""),13.68)</f>
        <v>13.68</v>
      </c>
      <c r="BS434" s="1">
        <f>IFERROR(__xludf.DUMMYFUNCTION("""COMPUTED_VALUE"""),223.16)</f>
        <v>223.16</v>
      </c>
      <c r="BT434" s="1">
        <f>IFERROR(__xludf.DUMMYFUNCTION("""COMPUTED_VALUE"""),104.45)</f>
        <v>104.45</v>
      </c>
      <c r="BU434" s="3">
        <v>1.0</v>
      </c>
    </row>
    <row r="435">
      <c r="A435" s="25">
        <f>IFERROR(__xludf.DUMMYFUNCTION("""COMPUTED_VALUE"""),46056.66666666667)</f>
        <v>46056.66667</v>
      </c>
      <c r="B435" s="29">
        <f>'Master Scratch Work'!B434</f>
        <v>1645092.01</v>
      </c>
      <c r="C435" s="31">
        <f>IFERROR(__xludf.DUMMYFUNCTION("""COMPUTED_VALUE"""),6882.72)</f>
        <v>6882.72</v>
      </c>
      <c r="D435" s="31">
        <f>IFERROR(__xludf.DUMMYFUNCTION("""COMPUTED_VALUE"""),23255.19)</f>
        <v>23255.19</v>
      </c>
      <c r="E435" s="31">
        <f>IFERROR(__xludf.DUMMYFUNCTION("""COMPUTED_VALUE"""),49240.99)</f>
        <v>49240.99</v>
      </c>
      <c r="F435" s="31">
        <f>IFERROR(__xludf.DUMMYFUNCTION("""COMPUTED_VALUE"""),2648.5)</f>
        <v>2648.5</v>
      </c>
      <c r="G435" s="1">
        <f>IFERROR(__xludf.DUMMYFUNCTION("""COMPUTED_VALUE"""),689.53)</f>
        <v>689.53</v>
      </c>
      <c r="H435" s="1">
        <f>IFERROR(__xludf.DUMMYFUNCTION("""COMPUTED_VALUE"""),616.52)</f>
        <v>616.52</v>
      </c>
      <c r="I435" s="1">
        <f>IFERROR(__xludf.DUMMYFUNCTION("""COMPUTED_VALUE"""),271.93)</f>
        <v>271.93</v>
      </c>
      <c r="J435" s="1">
        <f>IFERROR(__xludf.DUMMYFUNCTION("""COMPUTED_VALUE"""),238.62)</f>
        <v>238.62</v>
      </c>
      <c r="K435" s="1">
        <f>IFERROR(__xludf.DUMMYFUNCTION("""COMPUTED_VALUE"""),125.89)</f>
        <v>125.89</v>
      </c>
      <c r="L435" s="1">
        <f>IFERROR(__xludf.DUMMYFUNCTION("""COMPUTED_VALUE"""),269.48)</f>
        <v>269.48</v>
      </c>
      <c r="M435" s="1">
        <f>IFERROR(__xludf.DUMMYFUNCTION("""COMPUTED_VALUE"""),318.67)</f>
        <v>318.67</v>
      </c>
      <c r="N435" s="1">
        <f>IFERROR(__xludf.DUMMYFUNCTION("""COMPUTED_VALUE"""),119.32)</f>
        <v>119.32</v>
      </c>
      <c r="O435" s="1">
        <f>IFERROR(__xludf.DUMMYFUNCTION("""COMPUTED_VALUE"""),27.52)</f>
        <v>27.52</v>
      </c>
      <c r="P435" s="1">
        <f>IFERROR(__xludf.DUMMYFUNCTION("""COMPUTED_VALUE"""),493.74)</f>
        <v>493.74</v>
      </c>
      <c r="Q435" s="1">
        <f>IFERROR(__xludf.DUMMYFUNCTION("""COMPUTED_VALUE"""),72.74)</f>
        <v>72.74</v>
      </c>
      <c r="R435" s="1">
        <f>IFERROR(__xludf.DUMMYFUNCTION("""COMPUTED_VALUE"""),176.76)</f>
        <v>176.76</v>
      </c>
      <c r="S435" s="1">
        <f>IFERROR(__xludf.DUMMYFUNCTION("""COMPUTED_VALUE"""),91.62)</f>
        <v>91.62</v>
      </c>
      <c r="T435" s="1">
        <f>IFERROR(__xludf.DUMMYFUNCTION("""COMPUTED_VALUE"""),61.2)</f>
        <v>61.2</v>
      </c>
      <c r="U435" s="1">
        <f>IFERROR(__xludf.DUMMYFUNCTION("""COMPUTED_VALUE"""),702.89)</f>
        <v>702.89</v>
      </c>
      <c r="V435" s="1">
        <f>IFERROR(__xludf.DUMMYFUNCTION("""COMPUTED_VALUE"""),126.15)</f>
        <v>126.15</v>
      </c>
      <c r="W435" s="1">
        <f>IFERROR(__xludf.DUMMYFUNCTION("""COMPUTED_VALUE"""),174.07)</f>
        <v>174.07</v>
      </c>
      <c r="X435" s="1">
        <f>IFERROR(__xludf.DUMMYFUNCTION("""COMPUTED_VALUE"""),178.04)</f>
        <v>178.04</v>
      </c>
      <c r="Y435" s="1">
        <f>IFERROR(__xludf.DUMMYFUNCTION("""COMPUTED_VALUE"""),275.39)</f>
        <v>275.39</v>
      </c>
      <c r="Z435" s="1">
        <f>IFERROR(__xludf.DUMMYFUNCTION("""COMPUTED_VALUE"""),65.97)</f>
        <v>65.97</v>
      </c>
      <c r="AA435" s="1">
        <f>IFERROR(__xludf.DUMMYFUNCTION("""COMPUTED_VALUE"""),76.89)</f>
        <v>76.89</v>
      </c>
      <c r="AB435" s="1">
        <f>IFERROR(__xludf.DUMMYFUNCTION("""COMPUTED_VALUE"""),107.45)</f>
        <v>107.45</v>
      </c>
      <c r="AC435" s="1">
        <f>IFERROR(__xludf.DUMMYFUNCTION("""COMPUTED_VALUE"""),164.45)</f>
        <v>164.45</v>
      </c>
      <c r="AD435" s="1">
        <f>IFERROR(__xludf.DUMMYFUNCTION("""COMPUTED_VALUE"""),119.69)</f>
        <v>119.69</v>
      </c>
      <c r="AE435" s="1">
        <f>IFERROR(__xludf.DUMMYFUNCTION("""COMPUTED_VALUE"""),401.11)</f>
        <v>401.11</v>
      </c>
      <c r="AF435" s="1">
        <f>IFERROR(__xludf.DUMMYFUNCTION("""COMPUTED_VALUE"""),92.38)</f>
        <v>92.38</v>
      </c>
      <c r="AG435" s="1">
        <f>IFERROR(__xludf.DUMMYFUNCTION("""COMPUTED_VALUE"""),143.73)</f>
        <v>143.73</v>
      </c>
      <c r="AH435" s="1">
        <f>IFERROR(__xludf.DUMMYFUNCTION("""COMPUTED_VALUE"""),353.43)</f>
        <v>353.43</v>
      </c>
      <c r="AI435" s="1">
        <f>IFERROR(__xludf.DUMMYFUNCTION("""COMPUTED_VALUE"""),330.32)</f>
        <v>330.32</v>
      </c>
      <c r="AJ435" s="1">
        <f>IFERROR(__xludf.DUMMYFUNCTION("""COMPUTED_VALUE"""),355.31)</f>
        <v>355.31</v>
      </c>
      <c r="AK435" s="1">
        <f>IFERROR(__xludf.DUMMYFUNCTION("""COMPUTED_VALUE"""),85.71)</f>
        <v>85.71</v>
      </c>
      <c r="AL435" s="1">
        <f>IFERROR(__xludf.DUMMYFUNCTION("""COMPUTED_VALUE"""),143.28)</f>
        <v>143.28</v>
      </c>
      <c r="AM435" s="1">
        <f>IFERROR(__xludf.DUMMYFUNCTION("""COMPUTED_VALUE"""),938.99)</f>
        <v>938.99</v>
      </c>
      <c r="AN435" s="1">
        <f>IFERROR(__xludf.DUMMYFUNCTION("""COMPUTED_VALUE"""),381.1)</f>
        <v>381.1</v>
      </c>
      <c r="AO435" s="1">
        <f>IFERROR(__xludf.DUMMYFUNCTION("""COMPUTED_VALUE"""),165.62)</f>
        <v>165.62</v>
      </c>
      <c r="AP435" s="1">
        <f>IFERROR(__xludf.DUMMYFUNCTION("""COMPUTED_VALUE"""),163.07)</f>
        <v>163.07</v>
      </c>
      <c r="AQ435" s="1">
        <f>IFERROR(__xludf.DUMMYFUNCTION("""COMPUTED_VALUE"""),478.88)</f>
        <v>478.88</v>
      </c>
      <c r="AR435" s="1">
        <f>IFERROR(__xludf.DUMMYFUNCTION("""COMPUTED_VALUE"""),314.85)</f>
        <v>314.85</v>
      </c>
      <c r="AS435" s="1">
        <f>IFERROR(__xludf.DUMMYFUNCTION("""COMPUTED_VALUE"""),628.26)</f>
        <v>628.26</v>
      </c>
      <c r="AT435" s="1">
        <f>IFERROR(__xludf.DUMMYFUNCTION("""COMPUTED_VALUE"""),171.57)</f>
        <v>171.57</v>
      </c>
      <c r="AU435" s="1">
        <f>IFERROR(__xludf.DUMMYFUNCTION("""COMPUTED_VALUE"""),38.06)</f>
        <v>38.06</v>
      </c>
      <c r="AV435" s="1">
        <f>IFERROR(__xludf.DUMMYFUNCTION("""COMPUTED_VALUE"""),103.18)</f>
        <v>103.18</v>
      </c>
      <c r="AW435" s="1">
        <f>IFERROR(__xludf.DUMMYFUNCTION("""COMPUTED_VALUE"""),76.9)</f>
        <v>76.9</v>
      </c>
      <c r="AX435" s="1">
        <f>IFERROR(__xludf.DUMMYFUNCTION("""COMPUTED_VALUE"""),64.61)</f>
        <v>64.61</v>
      </c>
      <c r="AY435" s="1">
        <f>IFERROR(__xludf.DUMMYFUNCTION("""COMPUTED_VALUE"""),411.21)</f>
        <v>411.21</v>
      </c>
      <c r="AZ435" s="1">
        <f>IFERROR(__xludf.DUMMYFUNCTION("""COMPUTED_VALUE"""),88.82)</f>
        <v>88.82</v>
      </c>
      <c r="BA435" s="1">
        <f>IFERROR(__xludf.DUMMYFUNCTION("""COMPUTED_VALUE"""),152.18)</f>
        <v>152.18</v>
      </c>
      <c r="BB435" s="1">
        <f>IFERROR(__xludf.DUMMYFUNCTION("""COMPUTED_VALUE"""),180.34)</f>
        <v>180.34</v>
      </c>
      <c r="BC435" s="1">
        <f>IFERROR(__xludf.DUMMYFUNCTION("""COMPUTED_VALUE"""),87.16)</f>
        <v>87.16</v>
      </c>
      <c r="BD435" s="1">
        <f>IFERROR(__xludf.DUMMYFUNCTION("""COMPUTED_VALUE"""),44.13)</f>
        <v>44.13</v>
      </c>
      <c r="BE435" s="1">
        <f>IFERROR(__xludf.DUMMYFUNCTION("""COMPUTED_VALUE"""),157.88)</f>
        <v>157.88</v>
      </c>
      <c r="BF435" s="1">
        <f>IFERROR(__xludf.DUMMYFUNCTION("""COMPUTED_VALUE"""),41.7)</f>
        <v>41.7</v>
      </c>
      <c r="BG435" s="1">
        <f>IFERROR(__xludf.DUMMYFUNCTION("""COMPUTED_VALUE"""),25.77)</f>
        <v>25.77</v>
      </c>
      <c r="BH435" s="1">
        <f>IFERROR(__xludf.DUMMYFUNCTION("""COMPUTED_VALUE"""),203.5)</f>
        <v>203.5</v>
      </c>
      <c r="BI435" s="1">
        <f>IFERROR(__xludf.DUMMYFUNCTION("""COMPUTED_VALUE"""),95.97)</f>
        <v>95.97</v>
      </c>
      <c r="BJ435" s="1">
        <f>IFERROR(__xludf.DUMMYFUNCTION("""COMPUTED_VALUE"""),197.68)</f>
        <v>197.68</v>
      </c>
      <c r="BK435" s="1">
        <f>IFERROR(__xludf.DUMMYFUNCTION("""COMPUTED_VALUE"""),570.09)</f>
        <v>570.09</v>
      </c>
      <c r="BL435" s="1">
        <f>IFERROR(__xludf.DUMMYFUNCTION("""COMPUTED_VALUE"""),231.42)</f>
        <v>231.42</v>
      </c>
      <c r="BM435" s="1">
        <f>IFERROR(__xludf.DUMMYFUNCTION("""COMPUTED_VALUE"""),135.72)</f>
        <v>135.72</v>
      </c>
      <c r="BN435" s="1">
        <f>IFERROR(__xludf.DUMMYFUNCTION("""COMPUTED_VALUE"""),6.24)</f>
        <v>6.24</v>
      </c>
      <c r="BO435" s="1">
        <f>IFERROR(__xludf.DUMMYFUNCTION("""COMPUTED_VALUE"""),241.49)</f>
        <v>241.49</v>
      </c>
      <c r="BP435" s="1">
        <f>IFERROR(__xludf.DUMMYFUNCTION("""COMPUTED_VALUE"""),284.18)</f>
        <v>284.18</v>
      </c>
      <c r="BQ435" s="36">
        <f>IFERROR(__xludf.DUMMYFUNCTION("""COMPUTED_VALUE"""),49.67)</f>
        <v>49.67</v>
      </c>
      <c r="BR435" s="1">
        <f>IFERROR(__xludf.DUMMYFUNCTION("""COMPUTED_VALUE"""),13.68)</f>
        <v>13.68</v>
      </c>
      <c r="BS435" s="1">
        <f>IFERROR(__xludf.DUMMYFUNCTION("""COMPUTED_VALUE"""),225.09)</f>
        <v>225.09</v>
      </c>
      <c r="BT435" s="1">
        <f>IFERROR(__xludf.DUMMYFUNCTION("""COMPUTED_VALUE"""),104.22)</f>
        <v>104.22</v>
      </c>
      <c r="BU435" s="3">
        <v>1.0</v>
      </c>
    </row>
    <row r="436">
      <c r="A436" s="25">
        <f>IFERROR(__xludf.DUMMYFUNCTION("""COMPUTED_VALUE"""),46057.66666666667)</f>
        <v>46057.66667</v>
      </c>
      <c r="B436" s="29">
        <f>'Master Scratch Work'!B435</f>
        <v>1631278.34</v>
      </c>
      <c r="C436" s="31">
        <f>IFERROR(__xludf.DUMMYFUNCTION("""COMPUTED_VALUE"""),6798.4)</f>
        <v>6798.4</v>
      </c>
      <c r="D436" s="31">
        <f>IFERROR(__xludf.DUMMYFUNCTION("""COMPUTED_VALUE"""),22904.58)</f>
        <v>22904.58</v>
      </c>
      <c r="E436" s="31">
        <f>IFERROR(__xludf.DUMMYFUNCTION("""COMPUTED_VALUE"""),49501.3)</f>
        <v>49501.3</v>
      </c>
      <c r="F436" s="31">
        <f>IFERROR(__xludf.DUMMYFUNCTION("""COMPUTED_VALUE"""),2624.55)</f>
        <v>2624.55</v>
      </c>
      <c r="G436" s="1">
        <f>IFERROR(__xludf.DUMMYFUNCTION("""COMPUTED_VALUE"""),686.19)</f>
        <v>686.19</v>
      </c>
      <c r="H436" s="1">
        <f>IFERROR(__xludf.DUMMYFUNCTION("""COMPUTED_VALUE"""),605.75)</f>
        <v>605.75</v>
      </c>
      <c r="I436" s="1">
        <f>IFERROR(__xludf.DUMMYFUNCTION("""COMPUTED_VALUE"""),279.71)</f>
        <v>279.71</v>
      </c>
      <c r="J436" s="1">
        <f>IFERROR(__xludf.DUMMYFUNCTION("""COMPUTED_VALUE"""),232.99)</f>
        <v>232.99</v>
      </c>
      <c r="K436" s="1">
        <f>IFERROR(__xludf.DUMMYFUNCTION("""COMPUTED_VALUE"""),124.3)</f>
        <v>124.3</v>
      </c>
      <c r="L436" s="1">
        <f>IFERROR(__xludf.DUMMYFUNCTION("""COMPUTED_VALUE"""),276.49)</f>
        <v>276.49</v>
      </c>
      <c r="M436" s="1">
        <f>IFERROR(__xludf.DUMMYFUNCTION("""COMPUTED_VALUE"""),297.6)</f>
        <v>297.6</v>
      </c>
      <c r="N436" s="1">
        <f>IFERROR(__xludf.DUMMYFUNCTION("""COMPUTED_VALUE"""),121.32)</f>
        <v>121.32</v>
      </c>
      <c r="O436" s="1">
        <f>IFERROR(__xludf.DUMMYFUNCTION("""COMPUTED_VALUE"""),26.52)</f>
        <v>26.52</v>
      </c>
      <c r="P436" s="1">
        <f>IFERROR(__xludf.DUMMYFUNCTION("""COMPUTED_VALUE"""),503.83)</f>
        <v>503.83</v>
      </c>
      <c r="Q436" s="1">
        <f>IFERROR(__xludf.DUMMYFUNCTION("""COMPUTED_VALUE"""),72.22)</f>
        <v>72.22</v>
      </c>
      <c r="R436" s="1">
        <f>IFERROR(__xludf.DUMMYFUNCTION("""COMPUTED_VALUE"""),185.45)</f>
        <v>185.45</v>
      </c>
      <c r="S436" s="1">
        <f>IFERROR(__xludf.DUMMYFUNCTION("""COMPUTED_VALUE"""),75.5)</f>
        <v>75.5</v>
      </c>
      <c r="T436" s="1">
        <f>IFERROR(__xludf.DUMMYFUNCTION("""COMPUTED_VALUE"""),63.55)</f>
        <v>63.55</v>
      </c>
      <c r="U436" s="1">
        <f>IFERROR(__xludf.DUMMYFUNCTION("""COMPUTED_VALUE"""),691.82)</f>
        <v>691.82</v>
      </c>
      <c r="V436" s="1">
        <f>IFERROR(__xludf.DUMMYFUNCTION("""COMPUTED_VALUE"""),114.82)</f>
        <v>114.82</v>
      </c>
      <c r="W436" s="1">
        <f>IFERROR(__xludf.DUMMYFUNCTION("""COMPUTED_VALUE"""),176.49)</f>
        <v>176.49</v>
      </c>
      <c r="X436" s="1">
        <f>IFERROR(__xludf.DUMMYFUNCTION("""COMPUTED_VALUE"""),181.23)</f>
        <v>181.23</v>
      </c>
      <c r="Y436" s="1">
        <f>IFERROR(__xludf.DUMMYFUNCTION("""COMPUTED_VALUE"""),271.71)</f>
        <v>271.71</v>
      </c>
      <c r="Z436" s="1">
        <f>IFERROR(__xludf.DUMMYFUNCTION("""COMPUTED_VALUE"""),66.6)</f>
        <v>66.6</v>
      </c>
      <c r="AA436" s="1">
        <f>IFERROR(__xludf.DUMMYFUNCTION("""COMPUTED_VALUE"""),77.35)</f>
        <v>77.35</v>
      </c>
      <c r="AB436" s="1">
        <f>IFERROR(__xludf.DUMMYFUNCTION("""COMPUTED_VALUE"""),108.38)</f>
        <v>108.38</v>
      </c>
      <c r="AC436" s="1">
        <f>IFERROR(__xludf.DUMMYFUNCTION("""COMPUTED_VALUE"""),166.79)</f>
        <v>166.79</v>
      </c>
      <c r="AD436" s="1">
        <f>IFERROR(__xludf.DUMMYFUNCTION("""COMPUTED_VALUE"""),121.83)</f>
        <v>121.83</v>
      </c>
      <c r="AE436" s="1">
        <f>IFERROR(__xludf.DUMMYFUNCTION("""COMPUTED_VALUE"""),401.73)</f>
        <v>401.73</v>
      </c>
      <c r="AF436" s="1">
        <f>IFERROR(__xludf.DUMMYFUNCTION("""COMPUTED_VALUE"""),85.84)</f>
        <v>85.84</v>
      </c>
      <c r="AG436" s="1">
        <f>IFERROR(__xludf.DUMMYFUNCTION("""COMPUTED_VALUE"""),147.59)</f>
        <v>147.59</v>
      </c>
      <c r="AH436" s="1">
        <f>IFERROR(__xludf.DUMMYFUNCTION("""COMPUTED_VALUE"""),362.54)</f>
        <v>362.54</v>
      </c>
      <c r="AI436" s="1">
        <f>IFERROR(__xludf.DUMMYFUNCTION("""COMPUTED_VALUE"""),339.33)</f>
        <v>339.33</v>
      </c>
      <c r="AJ436" s="1">
        <f>IFERROR(__xludf.DUMMYFUNCTION("""COMPUTED_VALUE"""),353.37)</f>
        <v>353.37</v>
      </c>
      <c r="AK436" s="1">
        <f>IFERROR(__xludf.DUMMYFUNCTION("""COMPUTED_VALUE"""),86.29)</f>
        <v>86.29</v>
      </c>
      <c r="AL436" s="1">
        <f>IFERROR(__xludf.DUMMYFUNCTION("""COMPUTED_VALUE"""),146.23)</f>
        <v>146.23</v>
      </c>
      <c r="AM436" s="1">
        <f>IFERROR(__xludf.DUMMYFUNCTION("""COMPUTED_VALUE"""),913.3)</f>
        <v>913.3</v>
      </c>
      <c r="AN436" s="1">
        <f>IFERROR(__xludf.DUMMYFUNCTION("""COMPUTED_VALUE"""),387.2)</f>
        <v>387.2</v>
      </c>
      <c r="AO436" s="1">
        <f>IFERROR(__xludf.DUMMYFUNCTION("""COMPUTED_VALUE"""),165.47)</f>
        <v>165.47</v>
      </c>
      <c r="AP436" s="1">
        <f>IFERROR(__xludf.DUMMYFUNCTION("""COMPUTED_VALUE"""),164.85)</f>
        <v>164.85</v>
      </c>
      <c r="AQ436" s="1">
        <f>IFERROR(__xludf.DUMMYFUNCTION("""COMPUTED_VALUE"""),478.49)</f>
        <v>478.49</v>
      </c>
      <c r="AR436" s="1">
        <f>IFERROR(__xludf.DUMMYFUNCTION("""COMPUTED_VALUE"""),317.27)</f>
        <v>317.27</v>
      </c>
      <c r="AS436" s="1">
        <f>IFERROR(__xludf.DUMMYFUNCTION("""COMPUTED_VALUE"""),602.76)</f>
        <v>602.76</v>
      </c>
      <c r="AT436" s="1">
        <f>IFERROR(__xludf.DUMMYFUNCTION("""COMPUTED_VALUE"""),178.0)</f>
        <v>178</v>
      </c>
      <c r="AU436" s="1">
        <f>IFERROR(__xludf.DUMMYFUNCTION("""COMPUTED_VALUE"""),37.48)</f>
        <v>37.48</v>
      </c>
      <c r="AV436" s="1">
        <f>IFERROR(__xludf.DUMMYFUNCTION("""COMPUTED_VALUE"""),101.84)</f>
        <v>101.84</v>
      </c>
      <c r="AW436" s="1">
        <f>IFERROR(__xludf.DUMMYFUNCTION("""COMPUTED_VALUE"""),78.01)</f>
        <v>78.01</v>
      </c>
      <c r="AX436" s="1">
        <f>IFERROR(__xludf.DUMMYFUNCTION("""COMPUTED_VALUE"""),60.55)</f>
        <v>60.55</v>
      </c>
      <c r="AY436" s="1">
        <f>IFERROR(__xludf.DUMMYFUNCTION("""COMPUTED_VALUE"""),414.19)</f>
        <v>414.19</v>
      </c>
      <c r="AZ436" s="1">
        <f>IFERROR(__xludf.DUMMYFUNCTION("""COMPUTED_VALUE"""),89.97)</f>
        <v>89.97</v>
      </c>
      <c r="BA436" s="1">
        <f>IFERROR(__xludf.DUMMYFUNCTION("""COMPUTED_VALUE"""),143.99)</f>
        <v>143.99</v>
      </c>
      <c r="BB436" s="1">
        <f>IFERROR(__xludf.DUMMYFUNCTION("""COMPUTED_VALUE"""),174.19)</f>
        <v>174.19</v>
      </c>
      <c r="BC436" s="1">
        <f>IFERROR(__xludf.DUMMYFUNCTION("""COMPUTED_VALUE"""),90.37)</f>
        <v>90.37</v>
      </c>
      <c r="BD436" s="1">
        <f>IFERROR(__xludf.DUMMYFUNCTION("""COMPUTED_VALUE"""),43.87)</f>
        <v>43.87</v>
      </c>
      <c r="BE436" s="1">
        <f>IFERROR(__xludf.DUMMYFUNCTION("""COMPUTED_VALUE"""),139.54)</f>
        <v>139.54</v>
      </c>
      <c r="BF436" s="1">
        <f>IFERROR(__xludf.DUMMYFUNCTION("""COMPUTED_VALUE"""),41.03)</f>
        <v>41.03</v>
      </c>
      <c r="BG436" s="1">
        <f>IFERROR(__xludf.DUMMYFUNCTION("""COMPUTED_VALUE"""),26.78)</f>
        <v>26.78</v>
      </c>
      <c r="BH436" s="1">
        <f>IFERROR(__xludf.DUMMYFUNCTION("""COMPUTED_VALUE"""),196.74)</f>
        <v>196.74</v>
      </c>
      <c r="BI436" s="1">
        <f>IFERROR(__xludf.DUMMYFUNCTION("""COMPUTED_VALUE"""),96.51)</f>
        <v>96.51</v>
      </c>
      <c r="BJ436" s="1">
        <f>IFERROR(__xludf.DUMMYFUNCTION("""COMPUTED_VALUE"""),201.79)</f>
        <v>201.79</v>
      </c>
      <c r="BK436" s="1">
        <f>IFERROR(__xludf.DUMMYFUNCTION("""COMPUTED_VALUE"""),565.22)</f>
        <v>565.22</v>
      </c>
      <c r="BL436" s="1">
        <f>IFERROR(__xludf.DUMMYFUNCTION("""COMPUTED_VALUE"""),241.39)</f>
        <v>241.39</v>
      </c>
      <c r="BM436" s="1">
        <f>IFERROR(__xludf.DUMMYFUNCTION("""COMPUTED_VALUE"""),130.37)</f>
        <v>130.37</v>
      </c>
      <c r="BN436" s="1">
        <f>IFERROR(__xludf.DUMMYFUNCTION("""COMPUTED_VALUE"""),6.61)</f>
        <v>6.61</v>
      </c>
      <c r="BO436" s="1">
        <f>IFERROR(__xludf.DUMMYFUNCTION("""COMPUTED_VALUE"""),249.76)</f>
        <v>249.76</v>
      </c>
      <c r="BP436" s="1">
        <f>IFERROR(__xludf.DUMMYFUNCTION("""COMPUTED_VALUE"""),275.92)</f>
        <v>275.92</v>
      </c>
      <c r="BQ436" s="36">
        <f>IFERROR(__xludf.DUMMYFUNCTION("""COMPUTED_VALUE"""),49.63)</f>
        <v>49.63</v>
      </c>
      <c r="BR436" s="1">
        <f>IFERROR(__xludf.DUMMYFUNCTION("""COMPUTED_VALUE"""),14.36)</f>
        <v>14.36</v>
      </c>
      <c r="BS436" s="1">
        <f>IFERROR(__xludf.DUMMYFUNCTION("""COMPUTED_VALUE"""),226.43)</f>
        <v>226.43</v>
      </c>
      <c r="BT436" s="1">
        <f>IFERROR(__xludf.DUMMYFUNCTION("""COMPUTED_VALUE"""),107.05)</f>
        <v>107.05</v>
      </c>
      <c r="BU436" s="3">
        <v>1.0</v>
      </c>
    </row>
    <row r="437">
      <c r="A437" s="25">
        <f>IFERROR(__xludf.DUMMYFUNCTION("""COMPUTED_VALUE"""),46058.66666666667)</f>
        <v>46058.66667</v>
      </c>
      <c r="B437" s="29">
        <f>'Master Scratch Work'!B436</f>
        <v>1615128.89</v>
      </c>
      <c r="C437" s="31">
        <f>IFERROR(__xludf.DUMMYFUNCTION("""COMPUTED_VALUE"""),6932.3)</f>
        <v>6932.3</v>
      </c>
      <c r="D437" s="31">
        <f>IFERROR(__xludf.DUMMYFUNCTION("""COMPUTED_VALUE"""),22540.59)</f>
        <v>22540.59</v>
      </c>
      <c r="E437" s="31">
        <f>IFERROR(__xludf.DUMMYFUNCTION("""COMPUTED_VALUE"""),48908.72)</f>
        <v>48908.72</v>
      </c>
      <c r="F437" s="31">
        <f>IFERROR(__xludf.DUMMYFUNCTION("""COMPUTED_VALUE"""),2577.65)</f>
        <v>2577.65</v>
      </c>
      <c r="G437" s="1">
        <f>IFERROR(__xludf.DUMMYFUNCTION("""COMPUTED_VALUE"""),677.62)</f>
        <v>677.62</v>
      </c>
      <c r="H437" s="1">
        <f>IFERROR(__xludf.DUMMYFUNCTION("""COMPUTED_VALUE"""),597.03)</f>
        <v>597.03</v>
      </c>
      <c r="I437" s="1">
        <f>IFERROR(__xludf.DUMMYFUNCTION("""COMPUTED_VALUE"""),269.39)</f>
        <v>269.39</v>
      </c>
      <c r="J437" s="1">
        <f>IFERROR(__xludf.DUMMYFUNCTION("""COMPUTED_VALUE"""),222.69)</f>
        <v>222.69</v>
      </c>
      <c r="K437" s="1">
        <f>IFERROR(__xludf.DUMMYFUNCTION("""COMPUTED_VALUE"""),125.68)</f>
        <v>125.68</v>
      </c>
      <c r="L437" s="1">
        <f>IFERROR(__xludf.DUMMYFUNCTION("""COMPUTED_VALUE"""),275.91)</f>
        <v>275.91</v>
      </c>
      <c r="M437" s="1">
        <f>IFERROR(__xludf.DUMMYFUNCTION("""COMPUTED_VALUE"""),303.99)</f>
        <v>303.99</v>
      </c>
      <c r="N437" s="1">
        <f>IFERROR(__xludf.DUMMYFUNCTION("""COMPUTED_VALUE"""),120.51)</f>
        <v>120.51</v>
      </c>
      <c r="O437" s="1">
        <f>IFERROR(__xludf.DUMMYFUNCTION("""COMPUTED_VALUE"""),25.48)</f>
        <v>25.48</v>
      </c>
      <c r="P437" s="1">
        <f>IFERROR(__xludf.DUMMYFUNCTION("""COMPUTED_VALUE"""),503.89)</f>
        <v>503.89</v>
      </c>
      <c r="Q437" s="1">
        <f>IFERROR(__xludf.DUMMYFUNCTION("""COMPUTED_VALUE"""),69.1)</f>
        <v>69.1</v>
      </c>
      <c r="R437" s="1">
        <f>IFERROR(__xludf.DUMMYFUNCTION("""COMPUTED_VALUE"""),185.36)</f>
        <v>185.36</v>
      </c>
      <c r="S437" s="1">
        <f>IFERROR(__xludf.DUMMYFUNCTION("""COMPUTED_VALUE"""),77.64)</f>
        <v>77.64</v>
      </c>
      <c r="T437" s="1">
        <f>IFERROR(__xludf.DUMMYFUNCTION("""COMPUTED_VALUE"""),63.1)</f>
        <v>63.1</v>
      </c>
      <c r="U437" s="1">
        <f>IFERROR(__xludf.DUMMYFUNCTION("""COMPUTED_VALUE"""),678.31)</f>
        <v>678.31</v>
      </c>
      <c r="V437" s="1">
        <f>IFERROR(__xludf.DUMMYFUNCTION("""COMPUTED_VALUE"""),109.28)</f>
        <v>109.28</v>
      </c>
      <c r="W437" s="1">
        <f>IFERROR(__xludf.DUMMYFUNCTION("""COMPUTED_VALUE"""),176.25)</f>
        <v>176.25</v>
      </c>
      <c r="X437" s="1">
        <f>IFERROR(__xludf.DUMMYFUNCTION("""COMPUTED_VALUE"""),179.23)</f>
        <v>179.23</v>
      </c>
      <c r="Y437" s="1">
        <f>IFERROR(__xludf.DUMMYFUNCTION("""COMPUTED_VALUE"""),284.53)</f>
        <v>284.53</v>
      </c>
      <c r="Z437" s="1">
        <f>IFERROR(__xludf.DUMMYFUNCTION("""COMPUTED_VALUE"""),66.62)</f>
        <v>66.62</v>
      </c>
      <c r="AA437" s="1">
        <f>IFERROR(__xludf.DUMMYFUNCTION("""COMPUTED_VALUE"""),78.51)</f>
        <v>78.51</v>
      </c>
      <c r="AB437" s="1">
        <f>IFERROR(__xludf.DUMMYFUNCTION("""COMPUTED_VALUE"""),108.87)</f>
        <v>108.87</v>
      </c>
      <c r="AC437" s="1">
        <f>IFERROR(__xludf.DUMMYFUNCTION("""COMPUTED_VALUE"""),164.65)</f>
        <v>164.65</v>
      </c>
      <c r="AD437" s="1">
        <f>IFERROR(__xludf.DUMMYFUNCTION("""COMPUTED_VALUE"""),119.6)</f>
        <v>119.6</v>
      </c>
      <c r="AE437" s="1">
        <f>IFERROR(__xludf.DUMMYFUNCTION("""COMPUTED_VALUE"""),393.43)</f>
        <v>393.43</v>
      </c>
      <c r="AF437" s="1">
        <f>IFERROR(__xludf.DUMMYFUNCTION("""COMPUTED_VALUE"""),86.52)</f>
        <v>86.52</v>
      </c>
      <c r="AG437" s="1">
        <f>IFERROR(__xludf.DUMMYFUNCTION("""COMPUTED_VALUE"""),146.08)</f>
        <v>146.08</v>
      </c>
      <c r="AH437" s="1">
        <f>IFERROR(__xludf.DUMMYFUNCTION("""COMPUTED_VALUE"""),363.96)</f>
        <v>363.96</v>
      </c>
      <c r="AI437" s="1">
        <f>IFERROR(__xludf.DUMMYFUNCTION("""COMPUTED_VALUE"""),334.76)</f>
        <v>334.76</v>
      </c>
      <c r="AJ437" s="1">
        <f>IFERROR(__xludf.DUMMYFUNCTION("""COMPUTED_VALUE"""),352.05)</f>
        <v>352.05</v>
      </c>
      <c r="AK437" s="1">
        <f>IFERROR(__xludf.DUMMYFUNCTION("""COMPUTED_VALUE"""),83.3)</f>
        <v>83.3</v>
      </c>
      <c r="AL437" s="1">
        <f>IFERROR(__xludf.DUMMYFUNCTION("""COMPUTED_VALUE"""),149.37)</f>
        <v>149.37</v>
      </c>
      <c r="AM437" s="1">
        <f>IFERROR(__xludf.DUMMYFUNCTION("""COMPUTED_VALUE"""),890.41)</f>
        <v>890.41</v>
      </c>
      <c r="AN437" s="1">
        <f>IFERROR(__xludf.DUMMYFUNCTION("""COMPUTED_VALUE"""),382.37)</f>
        <v>382.37</v>
      </c>
      <c r="AO437" s="1">
        <f>IFERROR(__xludf.DUMMYFUNCTION("""COMPUTED_VALUE"""),172.15)</f>
        <v>172.15</v>
      </c>
      <c r="AP437" s="1">
        <f>IFERROR(__xludf.DUMMYFUNCTION("""COMPUTED_VALUE"""),168.29)</f>
        <v>168.29</v>
      </c>
      <c r="AQ437" s="1">
        <f>IFERROR(__xludf.DUMMYFUNCTION("""COMPUTED_VALUE"""),476.32)</f>
        <v>476.32</v>
      </c>
      <c r="AR437" s="1">
        <f>IFERROR(__xludf.DUMMYFUNCTION("""COMPUTED_VALUE"""),310.16)</f>
        <v>310.16</v>
      </c>
      <c r="AS437" s="1">
        <f>IFERROR(__xludf.DUMMYFUNCTION("""COMPUTED_VALUE"""),609.18)</f>
        <v>609.18</v>
      </c>
      <c r="AT437" s="1">
        <f>IFERROR(__xludf.DUMMYFUNCTION("""COMPUTED_VALUE"""),170.09)</f>
        <v>170.09</v>
      </c>
      <c r="AU437" s="1">
        <f>IFERROR(__xludf.DUMMYFUNCTION("""COMPUTED_VALUE"""),37.37)</f>
        <v>37.37</v>
      </c>
      <c r="AV437" s="1">
        <f>IFERROR(__xludf.DUMMYFUNCTION("""COMPUTED_VALUE"""),102.95)</f>
        <v>102.95</v>
      </c>
      <c r="AW437" s="1">
        <f>IFERROR(__xludf.DUMMYFUNCTION("""COMPUTED_VALUE"""),75.32)</f>
        <v>75.32</v>
      </c>
      <c r="AX437" s="1">
        <f>IFERROR(__xludf.DUMMYFUNCTION("""COMPUTED_VALUE"""),56.55)</f>
        <v>56.55</v>
      </c>
      <c r="AY437" s="1">
        <f>IFERROR(__xludf.DUMMYFUNCTION("""COMPUTED_VALUE"""),393.67)</f>
        <v>393.67</v>
      </c>
      <c r="AZ437" s="1">
        <f>IFERROR(__xludf.DUMMYFUNCTION("""COMPUTED_VALUE"""),89.21)</f>
        <v>89.21</v>
      </c>
      <c r="BA437" s="1">
        <f>IFERROR(__xludf.DUMMYFUNCTION("""COMPUTED_VALUE"""),144.44)</f>
        <v>144.44</v>
      </c>
      <c r="BB437" s="1">
        <f>IFERROR(__xludf.DUMMYFUNCTION("""COMPUTED_VALUE"""),171.88)</f>
        <v>171.88</v>
      </c>
      <c r="BC437" s="1">
        <f>IFERROR(__xludf.DUMMYFUNCTION("""COMPUTED_VALUE"""),91.24)</f>
        <v>91.24</v>
      </c>
      <c r="BD437" s="1">
        <f>IFERROR(__xludf.DUMMYFUNCTION("""COMPUTED_VALUE"""),42.92)</f>
        <v>42.92</v>
      </c>
      <c r="BE437" s="1">
        <f>IFERROR(__xludf.DUMMYFUNCTION("""COMPUTED_VALUE"""),130.01)</f>
        <v>130.01</v>
      </c>
      <c r="BF437" s="1">
        <f>IFERROR(__xludf.DUMMYFUNCTION("""COMPUTED_VALUE"""),39.9)</f>
        <v>39.9</v>
      </c>
      <c r="BG437" s="1">
        <f>IFERROR(__xludf.DUMMYFUNCTION("""COMPUTED_VALUE"""),26.49)</f>
        <v>26.49</v>
      </c>
      <c r="BH437" s="1">
        <f>IFERROR(__xludf.DUMMYFUNCTION("""COMPUTED_VALUE"""),195.97)</f>
        <v>195.97</v>
      </c>
      <c r="BI437" s="1">
        <f>IFERROR(__xludf.DUMMYFUNCTION("""COMPUTED_VALUE"""),96.15)</f>
        <v>96.15</v>
      </c>
      <c r="BJ437" s="1">
        <f>IFERROR(__xludf.DUMMYFUNCTION("""COMPUTED_VALUE"""),201.86)</f>
        <v>201.86</v>
      </c>
      <c r="BK437" s="1">
        <f>IFERROR(__xludf.DUMMYFUNCTION("""COMPUTED_VALUE"""),542.36)</f>
        <v>542.36</v>
      </c>
      <c r="BL437" s="1">
        <f>IFERROR(__xludf.DUMMYFUNCTION("""COMPUTED_VALUE"""),237.19)</f>
        <v>237.19</v>
      </c>
      <c r="BM437" s="1">
        <f>IFERROR(__xludf.DUMMYFUNCTION("""COMPUTED_VALUE"""),129.6)</f>
        <v>129.6</v>
      </c>
      <c r="BN437" s="1">
        <f>IFERROR(__xludf.DUMMYFUNCTION("""COMPUTED_VALUE"""),6.28)</f>
        <v>6.28</v>
      </c>
      <c r="BO437" s="1">
        <f>IFERROR(__xludf.DUMMYFUNCTION("""COMPUTED_VALUE"""),251.45)</f>
        <v>251.45</v>
      </c>
      <c r="BP437" s="1">
        <f>IFERROR(__xludf.DUMMYFUNCTION("""COMPUTED_VALUE"""),268.55)</f>
        <v>268.55</v>
      </c>
      <c r="BQ437" s="36">
        <f>IFERROR(__xludf.DUMMYFUNCTION("""COMPUTED_VALUE"""),49.68)</f>
        <v>49.68</v>
      </c>
      <c r="BR437" s="1">
        <f>IFERROR(__xludf.DUMMYFUNCTION("""COMPUTED_VALUE"""),14.34)</f>
        <v>14.34</v>
      </c>
      <c r="BS437" s="1">
        <f>IFERROR(__xludf.DUMMYFUNCTION("""COMPUTED_VALUE"""),226.6)</f>
        <v>226.6</v>
      </c>
      <c r="BT437" s="1">
        <f>IFERROR(__xludf.DUMMYFUNCTION("""COMPUTED_VALUE"""),104.97)</f>
        <v>104.97</v>
      </c>
      <c r="BU437" s="3">
        <v>1.0</v>
      </c>
    </row>
    <row r="438">
      <c r="A438" s="25">
        <f>IFERROR(__xludf.DUMMYFUNCTION("""COMPUTED_VALUE"""),46059.66666666667)</f>
        <v>46059.66667</v>
      </c>
      <c r="B438" s="29">
        <f>'Master Scratch Work'!B437</f>
        <v>1645769.65</v>
      </c>
      <c r="C438" s="31">
        <f>IFERROR(__xludf.DUMMYFUNCTION("""COMPUTED_VALUE"""),6964.82)</f>
        <v>6964.82</v>
      </c>
      <c r="D438" s="31">
        <f>IFERROR(__xludf.DUMMYFUNCTION("""COMPUTED_VALUE"""),23031.21)</f>
        <v>23031.21</v>
      </c>
      <c r="E438" s="31">
        <f>IFERROR(__xludf.DUMMYFUNCTION("""COMPUTED_VALUE"""),50115.67)</f>
        <v>50115.67</v>
      </c>
      <c r="F438" s="31">
        <f>IFERROR(__xludf.DUMMYFUNCTION("""COMPUTED_VALUE"""),2670.34)</f>
        <v>2670.34</v>
      </c>
      <c r="G438" s="1">
        <f>IFERROR(__xludf.DUMMYFUNCTION("""COMPUTED_VALUE"""),690.62)</f>
        <v>690.62</v>
      </c>
      <c r="H438" s="1">
        <f>IFERROR(__xludf.DUMMYFUNCTION("""COMPUTED_VALUE"""),609.65)</f>
        <v>609.65</v>
      </c>
      <c r="I438" s="1">
        <f>IFERROR(__xludf.DUMMYFUNCTION("""COMPUTED_VALUE"""),268.38)</f>
        <v>268.38</v>
      </c>
      <c r="J438" s="1">
        <f>IFERROR(__xludf.DUMMYFUNCTION("""COMPUTED_VALUE"""),210.32)</f>
        <v>210.32</v>
      </c>
      <c r="K438" s="1">
        <f>IFERROR(__xludf.DUMMYFUNCTION("""COMPUTED_VALUE"""),124.33)</f>
        <v>124.33</v>
      </c>
      <c r="L438" s="1">
        <f>IFERROR(__xludf.DUMMYFUNCTION("""COMPUTED_VALUE"""),278.12)</f>
        <v>278.12</v>
      </c>
      <c r="M438" s="1">
        <f>IFERROR(__xludf.DUMMYFUNCTION("""COMPUTED_VALUE"""),322.51)</f>
        <v>322.51</v>
      </c>
      <c r="N438" s="1">
        <f>IFERROR(__xludf.DUMMYFUNCTION("""COMPUTED_VALUE"""),124.32)</f>
        <v>124.32</v>
      </c>
      <c r="O438" s="1">
        <f>IFERROR(__xludf.DUMMYFUNCTION("""COMPUTED_VALUE"""),26.41)</f>
        <v>26.41</v>
      </c>
      <c r="P438" s="1">
        <f>IFERROR(__xludf.DUMMYFUNCTION("""COMPUTED_VALUE"""),508.09)</f>
        <v>508.09</v>
      </c>
      <c r="Q438" s="1">
        <f>IFERROR(__xludf.DUMMYFUNCTION("""COMPUTED_VALUE"""),69.64)</f>
        <v>69.64</v>
      </c>
      <c r="R438" s="1">
        <f>IFERROR(__xludf.DUMMYFUNCTION("""COMPUTED_VALUE"""),201.18)</f>
        <v>201.18</v>
      </c>
      <c r="S438" s="1">
        <f>IFERROR(__xludf.DUMMYFUNCTION("""COMPUTED_VALUE"""),76.27)</f>
        <v>76.27</v>
      </c>
      <c r="T438" s="1">
        <f>IFERROR(__xludf.DUMMYFUNCTION("""COMPUTED_VALUE"""),63.92)</f>
        <v>63.92</v>
      </c>
      <c r="U438" s="1">
        <f>IFERROR(__xludf.DUMMYFUNCTION("""COMPUTED_VALUE"""),726.2)</f>
        <v>726.2</v>
      </c>
      <c r="V438" s="1">
        <f>IFERROR(__xludf.DUMMYFUNCTION("""COMPUTED_VALUE"""),113.63)</f>
        <v>113.63</v>
      </c>
      <c r="W438" s="1">
        <f>IFERROR(__xludf.DUMMYFUNCTION("""COMPUTED_VALUE"""),180.91)</f>
        <v>180.91</v>
      </c>
      <c r="X438" s="1">
        <f>IFERROR(__xludf.DUMMYFUNCTION("""COMPUTED_VALUE"""),180.86)</f>
        <v>180.86</v>
      </c>
      <c r="Y438" s="1">
        <f>IFERROR(__xludf.DUMMYFUNCTION("""COMPUTED_VALUE"""),292.05)</f>
        <v>292.05</v>
      </c>
      <c r="Z438" s="1">
        <f>IFERROR(__xludf.DUMMYFUNCTION("""COMPUTED_VALUE"""),68.12)</f>
        <v>68.12</v>
      </c>
      <c r="AA438" s="1">
        <f>IFERROR(__xludf.DUMMYFUNCTION("""COMPUTED_VALUE"""),79.03)</f>
        <v>79.03</v>
      </c>
      <c r="AB438" s="1">
        <f>IFERROR(__xludf.DUMMYFUNCTION("""COMPUTED_VALUE"""),107.34)</f>
        <v>107.34</v>
      </c>
      <c r="AC438" s="1">
        <f>IFERROR(__xludf.DUMMYFUNCTION("""COMPUTED_VALUE"""),171.62)</f>
        <v>171.62</v>
      </c>
      <c r="AD438" s="1">
        <f>IFERROR(__xludf.DUMMYFUNCTION("""COMPUTED_VALUE"""),123.83)</f>
        <v>123.83</v>
      </c>
      <c r="AE438" s="1">
        <f>IFERROR(__xludf.DUMMYFUNCTION("""COMPUTED_VALUE"""),394.88)</f>
        <v>394.88</v>
      </c>
      <c r="AF438" s="1">
        <f>IFERROR(__xludf.DUMMYFUNCTION("""COMPUTED_VALUE"""),86.55)</f>
        <v>86.55</v>
      </c>
      <c r="AG438" s="1">
        <f>IFERROR(__xludf.DUMMYFUNCTION("""COMPUTED_VALUE"""),149.05)</f>
        <v>149.05</v>
      </c>
      <c r="AH438" s="1">
        <f>IFERROR(__xludf.DUMMYFUNCTION("""COMPUTED_VALUE"""),369.23)</f>
        <v>369.23</v>
      </c>
      <c r="AI438" s="1">
        <f>IFERROR(__xludf.DUMMYFUNCTION("""COMPUTED_VALUE"""),333.79)</f>
        <v>333.79</v>
      </c>
      <c r="AJ438" s="1">
        <f>IFERROR(__xludf.DUMMYFUNCTION("""COMPUTED_VALUE"""),360.07)</f>
        <v>360.07</v>
      </c>
      <c r="AK438" s="1">
        <f>IFERROR(__xludf.DUMMYFUNCTION("""COMPUTED_VALUE"""),84.24)</f>
        <v>84.24</v>
      </c>
      <c r="AL438" s="1">
        <f>IFERROR(__xludf.DUMMYFUNCTION("""COMPUTED_VALUE"""),152.5)</f>
        <v>152.5</v>
      </c>
      <c r="AM438" s="1">
        <f>IFERROR(__xludf.DUMMYFUNCTION("""COMPUTED_VALUE"""),928.75)</f>
        <v>928.75</v>
      </c>
      <c r="AN438" s="1">
        <f>IFERROR(__xludf.DUMMYFUNCTION("""COMPUTED_VALUE"""),385.15)</f>
        <v>385.15</v>
      </c>
      <c r="AO438" s="1">
        <f>IFERROR(__xludf.DUMMYFUNCTION("""COMPUTED_VALUE"""),169.67)</f>
        <v>169.67</v>
      </c>
      <c r="AP438" s="1">
        <f>IFERROR(__xludf.DUMMYFUNCTION("""COMPUTED_VALUE"""),169.0)</f>
        <v>169</v>
      </c>
      <c r="AQ438" s="1">
        <f>IFERROR(__xludf.DUMMYFUNCTION("""COMPUTED_VALUE"""),488.15)</f>
        <v>488.15</v>
      </c>
      <c r="AR438" s="1">
        <f>IFERROR(__xludf.DUMMYFUNCTION("""COMPUTED_VALUE"""),322.4)</f>
        <v>322.4</v>
      </c>
      <c r="AS438" s="1">
        <f>IFERROR(__xludf.DUMMYFUNCTION("""COMPUTED_VALUE"""),623.58)</f>
        <v>623.58</v>
      </c>
      <c r="AT438" s="1">
        <f>IFERROR(__xludf.DUMMYFUNCTION("""COMPUTED_VALUE"""),172.85)</f>
        <v>172.85</v>
      </c>
      <c r="AU438" s="1">
        <f>IFERROR(__xludf.DUMMYFUNCTION("""COMPUTED_VALUE"""),38.04)</f>
        <v>38.04</v>
      </c>
      <c r="AV438" s="1">
        <f>IFERROR(__xludf.DUMMYFUNCTION("""COMPUTED_VALUE"""),102.9)</f>
        <v>102.9</v>
      </c>
      <c r="AW438" s="1">
        <f>IFERROR(__xludf.DUMMYFUNCTION("""COMPUTED_VALUE"""),76.38)</f>
        <v>76.38</v>
      </c>
      <c r="AX438" s="1">
        <f>IFERROR(__xludf.DUMMYFUNCTION("""COMPUTED_VALUE"""),61.26)</f>
        <v>61.26</v>
      </c>
      <c r="AY438" s="1">
        <f>IFERROR(__xludf.DUMMYFUNCTION("""COMPUTED_VALUE"""),401.14)</f>
        <v>401.14</v>
      </c>
      <c r="AZ438" s="1">
        <f>IFERROR(__xludf.DUMMYFUNCTION("""COMPUTED_VALUE"""),89.47)</f>
        <v>89.47</v>
      </c>
      <c r="BA438" s="1">
        <f>IFERROR(__xludf.DUMMYFUNCTION("""COMPUTED_VALUE"""),153.32)</f>
        <v>153.32</v>
      </c>
      <c r="BB438" s="1">
        <f>IFERROR(__xludf.DUMMYFUNCTION("""COMPUTED_VALUE"""),185.41)</f>
        <v>185.41</v>
      </c>
      <c r="BC438" s="1">
        <f>IFERROR(__xludf.DUMMYFUNCTION("""COMPUTED_VALUE"""),89.85)</f>
        <v>89.85</v>
      </c>
      <c r="BD438" s="1">
        <f>IFERROR(__xludf.DUMMYFUNCTION("""COMPUTED_VALUE"""),43.47)</f>
        <v>43.47</v>
      </c>
      <c r="BE438" s="1">
        <f>IFERROR(__xludf.DUMMYFUNCTION("""COMPUTED_VALUE"""),135.9)</f>
        <v>135.9</v>
      </c>
      <c r="BF438" s="1">
        <f>IFERROR(__xludf.DUMMYFUNCTION("""COMPUTED_VALUE"""),40.42)</f>
        <v>40.42</v>
      </c>
      <c r="BG438" s="1">
        <f>IFERROR(__xludf.DUMMYFUNCTION("""COMPUTED_VALUE"""),27.22)</f>
        <v>27.22</v>
      </c>
      <c r="BH438" s="1">
        <f>IFERROR(__xludf.DUMMYFUNCTION("""COMPUTED_VALUE"""),198.66)</f>
        <v>198.66</v>
      </c>
      <c r="BI438" s="1">
        <f>IFERROR(__xludf.DUMMYFUNCTION("""COMPUTED_VALUE"""),97.49)</f>
        <v>97.49</v>
      </c>
      <c r="BJ438" s="1">
        <f>IFERROR(__xludf.DUMMYFUNCTION("""COMPUTED_VALUE"""),197.39)</f>
        <v>197.39</v>
      </c>
      <c r="BK438" s="1">
        <f>IFERROR(__xludf.DUMMYFUNCTION("""COMPUTED_VALUE"""),542.83)</f>
        <v>542.83</v>
      </c>
      <c r="BL438" s="1">
        <f>IFERROR(__xludf.DUMMYFUNCTION("""COMPUTED_VALUE"""),244.22)</f>
        <v>244.22</v>
      </c>
      <c r="BM438" s="1">
        <f>IFERROR(__xludf.DUMMYFUNCTION("""COMPUTED_VALUE"""),135.06)</f>
        <v>135.06</v>
      </c>
      <c r="BN438" s="1">
        <f>IFERROR(__xludf.DUMMYFUNCTION("""COMPUTED_VALUE"""),7.56)</f>
        <v>7.56</v>
      </c>
      <c r="BO438" s="1">
        <f>IFERROR(__xludf.DUMMYFUNCTION("""COMPUTED_VALUE"""),252.62)</f>
        <v>252.62</v>
      </c>
      <c r="BP438" s="1">
        <f>IFERROR(__xludf.DUMMYFUNCTION("""COMPUTED_VALUE"""),276.65)</f>
        <v>276.65</v>
      </c>
      <c r="BQ438" s="36">
        <f>IFERROR(__xludf.DUMMYFUNCTION("""COMPUTED_VALUE"""),49.7)</f>
        <v>49.7</v>
      </c>
      <c r="BR438" s="1">
        <f>IFERROR(__xludf.DUMMYFUNCTION("""COMPUTED_VALUE"""),14.58)</f>
        <v>14.58</v>
      </c>
      <c r="BS438" s="1">
        <f>IFERROR(__xludf.DUMMYFUNCTION("""COMPUTED_VALUE"""),226.79)</f>
        <v>226.79</v>
      </c>
      <c r="BT438" s="1">
        <f>IFERROR(__xludf.DUMMYFUNCTION("""COMPUTED_VALUE"""),108.7)</f>
        <v>108.7</v>
      </c>
      <c r="BU438" s="3">
        <v>1.0</v>
      </c>
    </row>
    <row r="439">
      <c r="A439" s="25">
        <f>IFERROR(__xludf.DUMMYFUNCTION("""COMPUTED_VALUE"""),46062.66666666667)</f>
        <v>46062.66667</v>
      </c>
      <c r="B439" s="29">
        <f>'Master Scratch Work'!B438</f>
        <v>1652367.07</v>
      </c>
      <c r="C439" s="31">
        <f>IFERROR(__xludf.DUMMYFUNCTION("""COMPUTED_VALUE"""),6941.81)</f>
        <v>6941.81</v>
      </c>
      <c r="D439" s="31">
        <f>IFERROR(__xludf.DUMMYFUNCTION("""COMPUTED_VALUE"""),23238.67)</f>
        <v>23238.67</v>
      </c>
      <c r="E439" s="31">
        <f>IFERROR(__xludf.DUMMYFUNCTION("""COMPUTED_VALUE"""),50135.87)</f>
        <v>50135.87</v>
      </c>
      <c r="F439" s="31">
        <f>IFERROR(__xludf.DUMMYFUNCTION("""COMPUTED_VALUE"""),2689.05)</f>
        <v>2689.05</v>
      </c>
      <c r="G439" s="1">
        <f>IFERROR(__xludf.DUMMYFUNCTION("""COMPUTED_VALUE"""),693.95)</f>
        <v>693.95</v>
      </c>
      <c r="H439" s="1">
        <f>IFERROR(__xludf.DUMMYFUNCTION("""COMPUTED_VALUE"""),614.32)</f>
        <v>614.32</v>
      </c>
      <c r="I439" s="1">
        <f>IFERROR(__xludf.DUMMYFUNCTION("""COMPUTED_VALUE"""),266.9)</f>
        <v>266.9</v>
      </c>
      <c r="J439" s="1">
        <f>IFERROR(__xludf.DUMMYFUNCTION("""COMPUTED_VALUE"""),208.72)</f>
        <v>208.72</v>
      </c>
      <c r="K439" s="1">
        <f>IFERROR(__xludf.DUMMYFUNCTION("""COMPUTED_VALUE"""),122.95)</f>
        <v>122.95</v>
      </c>
      <c r="L439" s="1">
        <f>IFERROR(__xludf.DUMMYFUNCTION("""COMPUTED_VALUE"""),274.62)</f>
        <v>274.62</v>
      </c>
      <c r="M439" s="1">
        <f>IFERROR(__xludf.DUMMYFUNCTION("""COMPUTED_VALUE"""),330.57)</f>
        <v>330.57</v>
      </c>
      <c r="N439" s="1">
        <f>IFERROR(__xludf.DUMMYFUNCTION("""COMPUTED_VALUE"""),127.61)</f>
        <v>127.61</v>
      </c>
      <c r="O439" s="1">
        <f>IFERROR(__xludf.DUMMYFUNCTION("""COMPUTED_VALUE"""),26.71)</f>
        <v>26.71</v>
      </c>
      <c r="P439" s="1">
        <f>IFERROR(__xludf.DUMMYFUNCTION("""COMPUTED_VALUE"""),498.08)</f>
        <v>498.08</v>
      </c>
      <c r="Q439" s="1">
        <f>IFERROR(__xludf.DUMMYFUNCTION("""COMPUTED_VALUE"""),71.67)</f>
        <v>71.67</v>
      </c>
      <c r="R439" s="1">
        <f>IFERROR(__xludf.DUMMYFUNCTION("""COMPUTED_VALUE"""),193.81)</f>
        <v>193.81</v>
      </c>
      <c r="S439" s="1">
        <f>IFERROR(__xludf.DUMMYFUNCTION("""COMPUTED_VALUE"""),74.12)</f>
        <v>74.12</v>
      </c>
      <c r="T439" s="1">
        <f>IFERROR(__xludf.DUMMYFUNCTION("""COMPUTED_VALUE"""),65.32)</f>
        <v>65.32</v>
      </c>
      <c r="U439" s="1">
        <f>IFERROR(__xludf.DUMMYFUNCTION("""COMPUTED_VALUE"""),742.12)</f>
        <v>742.12</v>
      </c>
      <c r="V439" s="1">
        <f>IFERROR(__xludf.DUMMYFUNCTION("""COMPUTED_VALUE"""),120.68)</f>
        <v>120.68</v>
      </c>
      <c r="W439" s="1">
        <f>IFERROR(__xludf.DUMMYFUNCTION("""COMPUTED_VALUE"""),181.27)</f>
        <v>181.27</v>
      </c>
      <c r="X439" s="1">
        <f>IFERROR(__xludf.DUMMYFUNCTION("""COMPUTED_VALUE"""),182.6)</f>
        <v>182.6</v>
      </c>
      <c r="Y439" s="1">
        <f>IFERROR(__xludf.DUMMYFUNCTION("""COMPUTED_VALUE"""),294.4)</f>
        <v>294.4</v>
      </c>
      <c r="Z439" s="1">
        <f>IFERROR(__xludf.DUMMYFUNCTION("""COMPUTED_VALUE"""),67.7)</f>
        <v>67.7</v>
      </c>
      <c r="AA439" s="1">
        <f>IFERROR(__xludf.DUMMYFUNCTION("""COMPUTED_VALUE"""),77.97)</f>
        <v>77.97</v>
      </c>
      <c r="AB439" s="1">
        <f>IFERROR(__xludf.DUMMYFUNCTION("""COMPUTED_VALUE"""),106.68)</f>
        <v>106.68</v>
      </c>
      <c r="AC439" s="1">
        <f>IFERROR(__xludf.DUMMYFUNCTION("""COMPUTED_VALUE"""),172.13)</f>
        <v>172.13</v>
      </c>
      <c r="AD439" s="1">
        <f>IFERROR(__xludf.DUMMYFUNCTION("""COMPUTED_VALUE"""),123.17)</f>
        <v>123.17</v>
      </c>
      <c r="AE439" s="1">
        <f>IFERROR(__xludf.DUMMYFUNCTION("""COMPUTED_VALUE"""),392.16)</f>
        <v>392.16</v>
      </c>
      <c r="AF439" s="1">
        <f>IFERROR(__xludf.DUMMYFUNCTION("""COMPUTED_VALUE"""),87.36)</f>
        <v>87.36</v>
      </c>
      <c r="AG439" s="1">
        <f>IFERROR(__xludf.DUMMYFUNCTION("""COMPUTED_VALUE"""),151.21)</f>
        <v>151.21</v>
      </c>
      <c r="AH439" s="1">
        <f>IFERROR(__xludf.DUMMYFUNCTION("""COMPUTED_VALUE"""),364.6)</f>
        <v>364.6</v>
      </c>
      <c r="AI439" s="1">
        <f>IFERROR(__xludf.DUMMYFUNCTION("""COMPUTED_VALUE"""),336.13)</f>
        <v>336.13</v>
      </c>
      <c r="AJ439" s="1">
        <f>IFERROR(__xludf.DUMMYFUNCTION("""COMPUTED_VALUE"""),360.1)</f>
        <v>360.1</v>
      </c>
      <c r="AK439" s="1">
        <f>IFERROR(__xludf.DUMMYFUNCTION("""COMPUTED_VALUE"""),80.68)</f>
        <v>80.68</v>
      </c>
      <c r="AL439" s="1">
        <f>IFERROR(__xludf.DUMMYFUNCTION("""COMPUTED_VALUE"""),151.68)</f>
        <v>151.68</v>
      </c>
      <c r="AM439" s="1">
        <f>IFERROR(__xludf.DUMMYFUNCTION("""COMPUTED_VALUE"""),943.62)</f>
        <v>943.62</v>
      </c>
      <c r="AN439" s="1">
        <f>IFERROR(__xludf.DUMMYFUNCTION("""COMPUTED_VALUE"""),381.0)</f>
        <v>381</v>
      </c>
      <c r="AO439" s="1">
        <f>IFERROR(__xludf.DUMMYFUNCTION("""COMPUTED_VALUE"""),154.06)</f>
        <v>154.06</v>
      </c>
      <c r="AP439" s="1">
        <f>IFERROR(__xludf.DUMMYFUNCTION("""COMPUTED_VALUE"""),169.48)</f>
        <v>169.48</v>
      </c>
      <c r="AQ439" s="1">
        <f>IFERROR(__xludf.DUMMYFUNCTION("""COMPUTED_VALUE"""),492.84)</f>
        <v>492.84</v>
      </c>
      <c r="AR439" s="1">
        <f>IFERROR(__xludf.DUMMYFUNCTION("""COMPUTED_VALUE"""),322.1)</f>
        <v>322.1</v>
      </c>
      <c r="AS439" s="1">
        <f>IFERROR(__xludf.DUMMYFUNCTION("""COMPUTED_VALUE"""),638.29)</f>
        <v>638.29</v>
      </c>
      <c r="AT439" s="1">
        <f>IFERROR(__xludf.DUMMYFUNCTION("""COMPUTED_VALUE"""),175.68)</f>
        <v>175.68</v>
      </c>
      <c r="AU439" s="1">
        <f>IFERROR(__xludf.DUMMYFUNCTION("""COMPUTED_VALUE"""),38.0)</f>
        <v>38</v>
      </c>
      <c r="AV439" s="1">
        <f>IFERROR(__xludf.DUMMYFUNCTION("""COMPUTED_VALUE"""),101.65)</f>
        <v>101.65</v>
      </c>
      <c r="AW439" s="1">
        <f>IFERROR(__xludf.DUMMYFUNCTION("""COMPUTED_VALUE"""),76.28)</f>
        <v>76.28</v>
      </c>
      <c r="AX439" s="1">
        <f>IFERROR(__xludf.DUMMYFUNCTION("""COMPUTED_VALUE"""),62.8)</f>
        <v>62.8</v>
      </c>
      <c r="AY439" s="1">
        <f>IFERROR(__xludf.DUMMYFUNCTION("""COMPUTED_VALUE"""),413.6)</f>
        <v>413.6</v>
      </c>
      <c r="AZ439" s="1">
        <f>IFERROR(__xludf.DUMMYFUNCTION("""COMPUTED_VALUE"""),89.48)</f>
        <v>89.48</v>
      </c>
      <c r="BA439" s="1">
        <f>IFERROR(__xludf.DUMMYFUNCTION("""COMPUTED_VALUE"""),155.72)</f>
        <v>155.72</v>
      </c>
      <c r="BB439" s="1">
        <f>IFERROR(__xludf.DUMMYFUNCTION("""COMPUTED_VALUE"""),190.04)</f>
        <v>190.04</v>
      </c>
      <c r="BC439" s="1">
        <f>IFERROR(__xludf.DUMMYFUNCTION("""COMPUTED_VALUE"""),89.3)</f>
        <v>89.3</v>
      </c>
      <c r="BD439" s="1">
        <f>IFERROR(__xludf.DUMMYFUNCTION("""COMPUTED_VALUE"""),44.34)</f>
        <v>44.34</v>
      </c>
      <c r="BE439" s="1">
        <f>IFERROR(__xludf.DUMMYFUNCTION("""COMPUTED_VALUE"""),142.91)</f>
        <v>142.91</v>
      </c>
      <c r="BF439" s="1">
        <f>IFERROR(__xludf.DUMMYFUNCTION("""COMPUTED_VALUE"""),41.15)</f>
        <v>41.15</v>
      </c>
      <c r="BG439" s="1">
        <f>IFERROR(__xludf.DUMMYFUNCTION("""COMPUTED_VALUE"""),27.05)</f>
        <v>27.05</v>
      </c>
      <c r="BH439" s="1">
        <f>IFERROR(__xludf.DUMMYFUNCTION("""COMPUTED_VALUE"""),196.19)</f>
        <v>196.19</v>
      </c>
      <c r="BI439" s="1">
        <f>IFERROR(__xludf.DUMMYFUNCTION("""COMPUTED_VALUE"""),96.74)</f>
        <v>96.74</v>
      </c>
      <c r="BJ439" s="1">
        <f>IFERROR(__xludf.DUMMYFUNCTION("""COMPUTED_VALUE"""),197.66)</f>
        <v>197.66</v>
      </c>
      <c r="BK439" s="1">
        <f>IFERROR(__xludf.DUMMYFUNCTION("""COMPUTED_VALUE"""),546.76)</f>
        <v>546.76</v>
      </c>
      <c r="BL439" s="1">
        <f>IFERROR(__xludf.DUMMYFUNCTION("""COMPUTED_VALUE"""),242.39)</f>
        <v>242.39</v>
      </c>
      <c r="BM439" s="1">
        <f>IFERROR(__xludf.DUMMYFUNCTION("""COMPUTED_VALUE"""),136.34)</f>
        <v>136.34</v>
      </c>
      <c r="BN439" s="1">
        <f>IFERROR(__xludf.DUMMYFUNCTION("""COMPUTED_VALUE"""),7.86)</f>
        <v>7.86</v>
      </c>
      <c r="BO439" s="1">
        <f>IFERROR(__xludf.DUMMYFUNCTION("""COMPUTED_VALUE"""),254.34)</f>
        <v>254.34</v>
      </c>
      <c r="BP439" s="1">
        <f>IFERROR(__xludf.DUMMYFUNCTION("""COMPUTED_VALUE"""),275.7)</f>
        <v>275.7</v>
      </c>
      <c r="BQ439" s="36">
        <f>IFERROR(__xludf.DUMMYFUNCTION("""COMPUTED_VALUE"""),49.73)</f>
        <v>49.73</v>
      </c>
      <c r="BR439" s="1">
        <f>IFERROR(__xludf.DUMMYFUNCTION("""COMPUTED_VALUE"""),15.56)</f>
        <v>15.56</v>
      </c>
      <c r="BS439" s="1">
        <f>IFERROR(__xludf.DUMMYFUNCTION("""COMPUTED_VALUE"""),230.5)</f>
        <v>230.5</v>
      </c>
      <c r="BT439" s="1">
        <f>IFERROR(__xludf.DUMMYFUNCTION("""COMPUTED_VALUE"""),107.13)</f>
        <v>107.13</v>
      </c>
      <c r="BU439" s="3">
        <v>1.0</v>
      </c>
    </row>
    <row r="440">
      <c r="A440" s="25">
        <f>IFERROR(__xludf.DUMMYFUNCTION("""COMPUTED_VALUE"""),46063.66666666667)</f>
        <v>46063.66667</v>
      </c>
      <c r="B440" s="29">
        <f>'Master Scratch Work'!B439</f>
        <v>1649606.66</v>
      </c>
      <c r="C440" s="31">
        <f>IFERROR(__xludf.DUMMYFUNCTION("""COMPUTED_VALUE"""),6941.47)</f>
        <v>6941.47</v>
      </c>
      <c r="D440" s="31">
        <f>IFERROR(__xludf.DUMMYFUNCTION("""COMPUTED_VALUE"""),23102.47)</f>
        <v>23102.47</v>
      </c>
      <c r="E440" s="31">
        <f>IFERROR(__xludf.DUMMYFUNCTION("""COMPUTED_VALUE"""),50188.14)</f>
        <v>50188.14</v>
      </c>
      <c r="F440" s="31">
        <f>IFERROR(__xludf.DUMMYFUNCTION("""COMPUTED_VALUE"""),2679.77)</f>
        <v>2679.77</v>
      </c>
      <c r="G440" s="1">
        <f>IFERROR(__xludf.DUMMYFUNCTION("""COMPUTED_VALUE"""),692.12)</f>
        <v>692.12</v>
      </c>
      <c r="H440" s="1">
        <f>IFERROR(__xludf.DUMMYFUNCTION("""COMPUTED_VALUE"""),611.47)</f>
        <v>611.47</v>
      </c>
      <c r="I440" s="1">
        <f>IFERROR(__xludf.DUMMYFUNCTION("""COMPUTED_VALUE"""),264.67)</f>
        <v>264.67</v>
      </c>
      <c r="J440" s="1">
        <f>IFERROR(__xludf.DUMMYFUNCTION("""COMPUTED_VALUE"""),206.96)</f>
        <v>206.96</v>
      </c>
      <c r="K440" s="1">
        <f>IFERROR(__xludf.DUMMYFUNCTION("""COMPUTED_VALUE"""),125.03)</f>
        <v>125.03</v>
      </c>
      <c r="L440" s="1">
        <f>IFERROR(__xludf.DUMMYFUNCTION("""COMPUTED_VALUE"""),273.68)</f>
        <v>273.68</v>
      </c>
      <c r="M440" s="1">
        <f>IFERROR(__xludf.DUMMYFUNCTION("""COMPUTED_VALUE"""),329.07)</f>
        <v>329.07</v>
      </c>
      <c r="N440" s="1">
        <f>IFERROR(__xludf.DUMMYFUNCTION("""COMPUTED_VALUE"""),126.45)</f>
        <v>126.45</v>
      </c>
      <c r="O440" s="1">
        <f>IFERROR(__xludf.DUMMYFUNCTION("""COMPUTED_VALUE"""),26.16)</f>
        <v>26.16</v>
      </c>
      <c r="P440" s="1">
        <f>IFERROR(__xludf.DUMMYFUNCTION("""COMPUTED_VALUE"""),500.3)</f>
        <v>500.3</v>
      </c>
      <c r="Q440" s="1">
        <f>IFERROR(__xludf.DUMMYFUNCTION("""COMPUTED_VALUE"""),72.35)</f>
        <v>72.35</v>
      </c>
      <c r="R440" s="1">
        <f>IFERROR(__xludf.DUMMYFUNCTION("""COMPUTED_VALUE"""),188.99)</f>
        <v>188.99</v>
      </c>
      <c r="S440" s="1">
        <f>IFERROR(__xludf.DUMMYFUNCTION("""COMPUTED_VALUE"""),74.25)</f>
        <v>74.25</v>
      </c>
      <c r="T440" s="1">
        <f>IFERROR(__xludf.DUMMYFUNCTION("""COMPUTED_VALUE"""),65.82)</f>
        <v>65.82</v>
      </c>
      <c r="U440" s="1">
        <f>IFERROR(__xludf.DUMMYFUNCTION("""COMPUTED_VALUE"""),742.37)</f>
        <v>742.37</v>
      </c>
      <c r="V440" s="1">
        <f>IFERROR(__xludf.DUMMYFUNCTION("""COMPUTED_VALUE"""),118.09)</f>
        <v>118.09</v>
      </c>
      <c r="W440" s="1">
        <f>IFERROR(__xludf.DUMMYFUNCTION("""COMPUTED_VALUE"""),180.57)</f>
        <v>180.57</v>
      </c>
      <c r="X440" s="1">
        <f>IFERROR(__xludf.DUMMYFUNCTION("""COMPUTED_VALUE"""),182.26)</f>
        <v>182.26</v>
      </c>
      <c r="Y440" s="1">
        <f>IFERROR(__xludf.DUMMYFUNCTION("""COMPUTED_VALUE"""),287.81)</f>
        <v>287.81</v>
      </c>
      <c r="Z440" s="1">
        <f>IFERROR(__xludf.DUMMYFUNCTION("""COMPUTED_VALUE"""),67.55)</f>
        <v>67.55</v>
      </c>
      <c r="AA440" s="1">
        <f>IFERROR(__xludf.DUMMYFUNCTION("""COMPUTED_VALUE"""),76.81)</f>
        <v>76.81</v>
      </c>
      <c r="AB440" s="1">
        <f>IFERROR(__xludf.DUMMYFUNCTION("""COMPUTED_VALUE"""),108.43)</f>
        <v>108.43</v>
      </c>
      <c r="AC440" s="1">
        <f>IFERROR(__xludf.DUMMYFUNCTION("""COMPUTED_VALUE"""),172.53)</f>
        <v>172.53</v>
      </c>
      <c r="AD440" s="1">
        <f>IFERROR(__xludf.DUMMYFUNCTION("""COMPUTED_VALUE"""),121.92)</f>
        <v>121.92</v>
      </c>
      <c r="AE440" s="1">
        <f>IFERROR(__xludf.DUMMYFUNCTION("""COMPUTED_VALUE"""),389.73)</f>
        <v>389.73</v>
      </c>
      <c r="AF440" s="1">
        <f>IFERROR(__xludf.DUMMYFUNCTION("""COMPUTED_VALUE"""),87.48)</f>
        <v>87.48</v>
      </c>
      <c r="AG440" s="1">
        <f>IFERROR(__xludf.DUMMYFUNCTION("""COMPUTED_VALUE"""),151.59)</f>
        <v>151.59</v>
      </c>
      <c r="AH440" s="1">
        <f>IFERROR(__xludf.DUMMYFUNCTION("""COMPUTED_VALUE"""),367.95)</f>
        <v>367.95</v>
      </c>
      <c r="AI440" s="1">
        <f>IFERROR(__xludf.DUMMYFUNCTION("""COMPUTED_VALUE"""),363.22)</f>
        <v>363.22</v>
      </c>
      <c r="AJ440" s="1">
        <f>IFERROR(__xludf.DUMMYFUNCTION("""COMPUTED_VALUE"""),358.83)</f>
        <v>358.83</v>
      </c>
      <c r="AK440" s="1">
        <f>IFERROR(__xludf.DUMMYFUNCTION("""COMPUTED_VALUE"""),80.27)</f>
        <v>80.27</v>
      </c>
      <c r="AL440" s="1">
        <f>IFERROR(__xludf.DUMMYFUNCTION("""COMPUTED_VALUE"""),147.23)</f>
        <v>147.23</v>
      </c>
      <c r="AM440" s="1">
        <f>IFERROR(__xludf.DUMMYFUNCTION("""COMPUTED_VALUE"""),948.99)</f>
        <v>948.99</v>
      </c>
      <c r="AN440" s="1">
        <f>IFERROR(__xludf.DUMMYFUNCTION("""COMPUTED_VALUE"""),389.68)</f>
        <v>389.68</v>
      </c>
      <c r="AO440" s="1">
        <f>IFERROR(__xludf.DUMMYFUNCTION("""COMPUTED_VALUE"""),145.86)</f>
        <v>145.86</v>
      </c>
      <c r="AP440" s="1">
        <f>IFERROR(__xludf.DUMMYFUNCTION("""COMPUTED_VALUE"""),164.81)</f>
        <v>164.81</v>
      </c>
      <c r="AQ440" s="1">
        <f>IFERROR(__xludf.DUMMYFUNCTION("""COMPUTED_VALUE"""),495.15)</f>
        <v>495.15</v>
      </c>
      <c r="AR440" s="1">
        <f>IFERROR(__xludf.DUMMYFUNCTION("""COMPUTED_VALUE"""),318.28)</f>
        <v>318.28</v>
      </c>
      <c r="AS440" s="1">
        <f>IFERROR(__xludf.DUMMYFUNCTION("""COMPUTED_VALUE"""),629.56)</f>
        <v>629.56</v>
      </c>
      <c r="AT440" s="1">
        <f>IFERROR(__xludf.DUMMYFUNCTION("""COMPUTED_VALUE"""),180.62)</f>
        <v>180.62</v>
      </c>
      <c r="AU440" s="1">
        <f>IFERROR(__xludf.DUMMYFUNCTION("""COMPUTED_VALUE"""),38.26)</f>
        <v>38.26</v>
      </c>
      <c r="AV440" s="1">
        <f>IFERROR(__xludf.DUMMYFUNCTION("""COMPUTED_VALUE"""),101.42)</f>
        <v>101.42</v>
      </c>
      <c r="AW440" s="1">
        <f>IFERROR(__xludf.DUMMYFUNCTION("""COMPUTED_VALUE"""),77.92)</f>
        <v>77.92</v>
      </c>
      <c r="AX440" s="1">
        <f>IFERROR(__xludf.DUMMYFUNCTION("""COMPUTED_VALUE"""),62.34)</f>
        <v>62.34</v>
      </c>
      <c r="AY440" s="1">
        <f>IFERROR(__xludf.DUMMYFUNCTION("""COMPUTED_VALUE"""),413.27)</f>
        <v>413.27</v>
      </c>
      <c r="AZ440" s="1">
        <f>IFERROR(__xludf.DUMMYFUNCTION("""COMPUTED_VALUE"""),90.83)</f>
        <v>90.83</v>
      </c>
      <c r="BA440" s="1">
        <f>IFERROR(__xludf.DUMMYFUNCTION("""COMPUTED_VALUE"""),156.43)</f>
        <v>156.43</v>
      </c>
      <c r="BB440" s="1">
        <f>IFERROR(__xludf.DUMMYFUNCTION("""COMPUTED_VALUE"""),188.54)</f>
        <v>188.54</v>
      </c>
      <c r="BC440" s="1">
        <f>IFERROR(__xludf.DUMMYFUNCTION("""COMPUTED_VALUE"""),90.06)</f>
        <v>90.06</v>
      </c>
      <c r="BD440" s="1">
        <f>IFERROR(__xludf.DUMMYFUNCTION("""COMPUTED_VALUE"""),45.3)</f>
        <v>45.3</v>
      </c>
      <c r="BE440" s="1">
        <f>IFERROR(__xludf.DUMMYFUNCTION("""COMPUTED_VALUE"""),139.51)</f>
        <v>139.51</v>
      </c>
      <c r="BF440" s="1">
        <f>IFERROR(__xludf.DUMMYFUNCTION("""COMPUTED_VALUE"""),41.49)</f>
        <v>41.49</v>
      </c>
      <c r="BG440" s="1">
        <f>IFERROR(__xludf.DUMMYFUNCTION("""COMPUTED_VALUE"""),27.61)</f>
        <v>27.61</v>
      </c>
      <c r="BH440" s="1">
        <f>IFERROR(__xludf.DUMMYFUNCTION("""COMPUTED_VALUE"""),195.19)</f>
        <v>195.19</v>
      </c>
      <c r="BI440" s="1">
        <f>IFERROR(__xludf.DUMMYFUNCTION("""COMPUTED_VALUE"""),95.98)</f>
        <v>95.98</v>
      </c>
      <c r="BJ440" s="1">
        <f>IFERROR(__xludf.DUMMYFUNCTION("""COMPUTED_VALUE"""),199.43)</f>
        <v>199.43</v>
      </c>
      <c r="BK440" s="1">
        <f>IFERROR(__xludf.DUMMYFUNCTION("""COMPUTED_VALUE"""),539.8)</f>
        <v>539.8</v>
      </c>
      <c r="BL440" s="1">
        <f>IFERROR(__xludf.DUMMYFUNCTION("""COMPUTED_VALUE"""),238.24)</f>
        <v>238.24</v>
      </c>
      <c r="BM440" s="1">
        <f>IFERROR(__xludf.DUMMYFUNCTION("""COMPUTED_VALUE"""),139.29)</f>
        <v>139.29</v>
      </c>
      <c r="BN440" s="1">
        <f>IFERROR(__xludf.DUMMYFUNCTION("""COMPUTED_VALUE"""),7.09)</f>
        <v>7.09</v>
      </c>
      <c r="BO440" s="1">
        <f>IFERROR(__xludf.DUMMYFUNCTION("""COMPUTED_VALUE"""),261.32)</f>
        <v>261.32</v>
      </c>
      <c r="BP440" s="1">
        <f>IFERROR(__xludf.DUMMYFUNCTION("""COMPUTED_VALUE"""),273.22)</f>
        <v>273.22</v>
      </c>
      <c r="BQ440" s="36">
        <f>IFERROR(__xludf.DUMMYFUNCTION("""COMPUTED_VALUE"""),49.74)</f>
        <v>49.74</v>
      </c>
      <c r="BR440" s="1">
        <f>IFERROR(__xludf.DUMMYFUNCTION("""COMPUTED_VALUE"""),15.95)</f>
        <v>15.95</v>
      </c>
      <c r="BS440" s="1">
        <f>IFERROR(__xludf.DUMMYFUNCTION("""COMPUTED_VALUE"""),231.72)</f>
        <v>231.72</v>
      </c>
      <c r="BT440" s="1">
        <f>IFERROR(__xludf.DUMMYFUNCTION("""COMPUTED_VALUE"""),109.96)</f>
        <v>109.96</v>
      </c>
      <c r="BU440" s="3">
        <v>1.0</v>
      </c>
    </row>
    <row r="441">
      <c r="A441" s="25">
        <f>IFERROR(__xludf.DUMMYFUNCTION("""COMPUTED_VALUE"""),46064.66666666667)</f>
        <v>46064.66667</v>
      </c>
      <c r="B441" s="29">
        <f>'Master Scratch Work'!B440</f>
        <v>1651944.99</v>
      </c>
      <c r="C441" s="31">
        <f>IFERROR(__xludf.DUMMYFUNCTION("""COMPUTED_VALUE"""),6832.76)</f>
        <v>6832.76</v>
      </c>
      <c r="D441" s="31">
        <f>IFERROR(__xludf.DUMMYFUNCTION("""COMPUTED_VALUE"""),23066.47)</f>
        <v>23066.47</v>
      </c>
      <c r="E441" s="31">
        <f>IFERROR(__xludf.DUMMYFUNCTION("""COMPUTED_VALUE"""),50121.4)</f>
        <v>50121.4</v>
      </c>
      <c r="F441" s="31">
        <f>IFERROR(__xludf.DUMMYFUNCTION("""COMPUTED_VALUE"""),2669.47)</f>
        <v>2669.47</v>
      </c>
      <c r="G441" s="1">
        <f>IFERROR(__xludf.DUMMYFUNCTION("""COMPUTED_VALUE"""),691.96)</f>
        <v>691.96</v>
      </c>
      <c r="H441" s="1">
        <f>IFERROR(__xludf.DUMMYFUNCTION("""COMPUTED_VALUE"""),613.11)</f>
        <v>613.11</v>
      </c>
      <c r="I441" s="1">
        <f>IFERROR(__xludf.DUMMYFUNCTION("""COMPUTED_VALUE"""),257.16)</f>
        <v>257.16</v>
      </c>
      <c r="J441" s="1">
        <f>IFERROR(__xludf.DUMMYFUNCTION("""COMPUTED_VALUE"""),204.08)</f>
        <v>204.08</v>
      </c>
      <c r="K441" s="1">
        <f>IFERROR(__xludf.DUMMYFUNCTION("""COMPUTED_VALUE"""),123.69)</f>
        <v>123.69</v>
      </c>
      <c r="L441" s="1">
        <f>IFERROR(__xludf.DUMMYFUNCTION("""COMPUTED_VALUE"""),275.5)</f>
        <v>275.5</v>
      </c>
      <c r="M441" s="1">
        <f>IFERROR(__xludf.DUMMYFUNCTION("""COMPUTED_VALUE"""),339.88)</f>
        <v>339.88</v>
      </c>
      <c r="N441" s="1">
        <f>IFERROR(__xludf.DUMMYFUNCTION("""COMPUTED_VALUE"""),121.7)</f>
        <v>121.7</v>
      </c>
      <c r="O441" s="1">
        <f>IFERROR(__xludf.DUMMYFUNCTION("""COMPUTED_VALUE"""),26.16)</f>
        <v>26.16</v>
      </c>
      <c r="P441" s="1">
        <f>IFERROR(__xludf.DUMMYFUNCTION("""COMPUTED_VALUE"""),500.02)</f>
        <v>500.02</v>
      </c>
      <c r="Q441" s="1">
        <f>IFERROR(__xludf.DUMMYFUNCTION("""COMPUTED_VALUE"""),75.13)</f>
        <v>75.13</v>
      </c>
      <c r="R441" s="1">
        <f>IFERROR(__xludf.DUMMYFUNCTION("""COMPUTED_VALUE"""),191.2)</f>
        <v>191.2</v>
      </c>
      <c r="S441" s="1">
        <f>IFERROR(__xludf.DUMMYFUNCTION("""COMPUTED_VALUE"""),73.47)</f>
        <v>73.47</v>
      </c>
      <c r="T441" s="1">
        <f>IFERROR(__xludf.DUMMYFUNCTION("""COMPUTED_VALUE"""),67.08)</f>
        <v>67.08</v>
      </c>
      <c r="U441" s="1">
        <f>IFERROR(__xludf.DUMMYFUNCTION("""COMPUTED_VALUE"""),775.0)</f>
        <v>775</v>
      </c>
      <c r="V441" s="1">
        <f>IFERROR(__xludf.DUMMYFUNCTION("""COMPUTED_VALUE"""),119.18)</f>
        <v>119.18</v>
      </c>
      <c r="W441" s="1">
        <f>IFERROR(__xludf.DUMMYFUNCTION("""COMPUTED_VALUE"""),176.47)</f>
        <v>176.47</v>
      </c>
      <c r="X441" s="1">
        <f>IFERROR(__xludf.DUMMYFUNCTION("""COMPUTED_VALUE"""),185.82)</f>
        <v>185.82</v>
      </c>
      <c r="Y441" s="1">
        <f>IFERROR(__xludf.DUMMYFUNCTION("""COMPUTED_VALUE"""),294.73)</f>
        <v>294.73</v>
      </c>
      <c r="Z441" s="1">
        <f>IFERROR(__xludf.DUMMYFUNCTION("""COMPUTED_VALUE"""),66.86)</f>
        <v>66.86</v>
      </c>
      <c r="AA441" s="1">
        <f>IFERROR(__xludf.DUMMYFUNCTION("""COMPUTED_VALUE"""),78.6)</f>
        <v>78.6</v>
      </c>
      <c r="AB441" s="1">
        <f>IFERROR(__xludf.DUMMYFUNCTION("""COMPUTED_VALUE"""),109.87)</f>
        <v>109.87</v>
      </c>
      <c r="AC441" s="1">
        <f>IFERROR(__xludf.DUMMYFUNCTION("""COMPUTED_VALUE"""),174.57)</f>
        <v>174.57</v>
      </c>
      <c r="AD441" s="1">
        <f>IFERROR(__xludf.DUMMYFUNCTION("""COMPUTED_VALUE"""),125.0)</f>
        <v>125</v>
      </c>
      <c r="AE441" s="1">
        <f>IFERROR(__xludf.DUMMYFUNCTION("""COMPUTED_VALUE"""),384.0)</f>
        <v>384</v>
      </c>
      <c r="AF441" s="1">
        <f>IFERROR(__xludf.DUMMYFUNCTION("""COMPUTED_VALUE"""),82.88)</f>
        <v>82.88</v>
      </c>
      <c r="AG441" s="1">
        <f>IFERROR(__xludf.DUMMYFUNCTION("""COMPUTED_VALUE"""),155.56)</f>
        <v>155.56</v>
      </c>
      <c r="AH441" s="1">
        <f>IFERROR(__xludf.DUMMYFUNCTION("""COMPUTED_VALUE"""),367.16)</f>
        <v>367.16</v>
      </c>
      <c r="AI441" s="1">
        <f>IFERROR(__xludf.DUMMYFUNCTION("""COMPUTED_VALUE"""),382.96)</f>
        <v>382.96</v>
      </c>
      <c r="AJ441" s="1">
        <f>IFERROR(__xludf.DUMMYFUNCTION("""COMPUTED_VALUE"""),346.34)</f>
        <v>346.34</v>
      </c>
      <c r="AK441" s="1">
        <f>IFERROR(__xludf.DUMMYFUNCTION("""COMPUTED_VALUE"""),79.82)</f>
        <v>79.82</v>
      </c>
      <c r="AL441" s="1">
        <f>IFERROR(__xludf.DUMMYFUNCTION("""COMPUTED_VALUE"""),155.8)</f>
        <v>155.8</v>
      </c>
      <c r="AM441" s="1">
        <f>IFERROR(__xludf.DUMMYFUNCTION("""COMPUTED_VALUE"""),944.59)</f>
        <v>944.59</v>
      </c>
      <c r="AN441" s="1">
        <f>IFERROR(__xludf.DUMMYFUNCTION("""COMPUTED_VALUE"""),390.68)</f>
        <v>390.68</v>
      </c>
      <c r="AO441" s="1">
        <f>IFERROR(__xludf.DUMMYFUNCTION("""COMPUTED_VALUE"""),131.11)</f>
        <v>131.11</v>
      </c>
      <c r="AP441" s="1">
        <f>IFERROR(__xludf.DUMMYFUNCTION("""COMPUTED_VALUE"""),151.99)</f>
        <v>151.99</v>
      </c>
      <c r="AQ441" s="1">
        <f>IFERROR(__xludf.DUMMYFUNCTION("""COMPUTED_VALUE"""),496.12)</f>
        <v>496.12</v>
      </c>
      <c r="AR441" s="1">
        <f>IFERROR(__xludf.DUMMYFUNCTION("""COMPUTED_VALUE"""),310.82)</f>
        <v>310.82</v>
      </c>
      <c r="AS441" s="1">
        <f>IFERROR(__xludf.DUMMYFUNCTION("""COMPUTED_VALUE"""),628.7)</f>
        <v>628.7</v>
      </c>
      <c r="AT441" s="1">
        <f>IFERROR(__xludf.DUMMYFUNCTION("""COMPUTED_VALUE"""),175.86)</f>
        <v>175.86</v>
      </c>
      <c r="AU441" s="1">
        <f>IFERROR(__xludf.DUMMYFUNCTION("""COMPUTED_VALUE"""),37.89)</f>
        <v>37.89</v>
      </c>
      <c r="AV441" s="1">
        <f>IFERROR(__xludf.DUMMYFUNCTION("""COMPUTED_VALUE"""),101.08)</f>
        <v>101.08</v>
      </c>
      <c r="AW441" s="1">
        <f>IFERROR(__xludf.DUMMYFUNCTION("""COMPUTED_VALUE"""),78.89)</f>
        <v>78.89</v>
      </c>
      <c r="AX441" s="1">
        <f>IFERROR(__xludf.DUMMYFUNCTION("""COMPUTED_VALUE"""),60.58)</f>
        <v>60.58</v>
      </c>
      <c r="AY441" s="1">
        <f>IFERROR(__xludf.DUMMYFUNCTION("""COMPUTED_VALUE"""),404.37)</f>
        <v>404.37</v>
      </c>
      <c r="AZ441" s="1">
        <f>IFERROR(__xludf.DUMMYFUNCTION("""COMPUTED_VALUE"""),91.36)</f>
        <v>91.36</v>
      </c>
      <c r="BA441" s="1">
        <f>IFERROR(__xludf.DUMMYFUNCTION("""COMPUTED_VALUE"""),160.63)</f>
        <v>160.63</v>
      </c>
      <c r="BB441" s="1">
        <f>IFERROR(__xludf.DUMMYFUNCTION("""COMPUTED_VALUE"""),190.05)</f>
        <v>190.05</v>
      </c>
      <c r="BC441" s="1">
        <f>IFERROR(__xludf.DUMMYFUNCTION("""COMPUTED_VALUE"""),89.42)</f>
        <v>89.42</v>
      </c>
      <c r="BD441" s="1">
        <f>IFERROR(__xludf.DUMMYFUNCTION("""COMPUTED_VALUE"""),45.29)</f>
        <v>45.29</v>
      </c>
      <c r="BE441" s="1">
        <f>IFERROR(__xludf.DUMMYFUNCTION("""COMPUTED_VALUE"""),135.68)</f>
        <v>135.68</v>
      </c>
      <c r="BF441" s="1">
        <f>IFERROR(__xludf.DUMMYFUNCTION("""COMPUTED_VALUE"""),40.46)</f>
        <v>40.46</v>
      </c>
      <c r="BG441" s="1">
        <f>IFERROR(__xludf.DUMMYFUNCTION("""COMPUTED_VALUE"""),27.73)</f>
        <v>27.73</v>
      </c>
      <c r="BH441" s="1">
        <f>IFERROR(__xludf.DUMMYFUNCTION("""COMPUTED_VALUE"""),196.51)</f>
        <v>196.51</v>
      </c>
      <c r="BI441" s="1">
        <f>IFERROR(__xludf.DUMMYFUNCTION("""COMPUTED_VALUE"""),97.99)</f>
        <v>97.99</v>
      </c>
      <c r="BJ441" s="1">
        <f>IFERROR(__xludf.DUMMYFUNCTION("""COMPUTED_VALUE"""),209.54)</f>
        <v>209.54</v>
      </c>
      <c r="BK441" s="1">
        <f>IFERROR(__xludf.DUMMYFUNCTION("""COMPUTED_VALUE"""),527.17)</f>
        <v>527.17</v>
      </c>
      <c r="BL441" s="1">
        <f>IFERROR(__xludf.DUMMYFUNCTION("""COMPUTED_VALUE"""),242.81)</f>
        <v>242.81</v>
      </c>
      <c r="BM441" s="1">
        <f>IFERROR(__xludf.DUMMYFUNCTION("""COMPUTED_VALUE"""),133.3)</f>
        <v>133.3</v>
      </c>
      <c r="BN441" s="1">
        <f>IFERROR(__xludf.DUMMYFUNCTION("""COMPUTED_VALUE"""),6.98)</f>
        <v>6.98</v>
      </c>
      <c r="BO441" s="1">
        <f>IFERROR(__xludf.DUMMYFUNCTION("""COMPUTED_VALUE"""),262.81)</f>
        <v>262.81</v>
      </c>
      <c r="BP441" s="1">
        <f>IFERROR(__xludf.DUMMYFUNCTION("""COMPUTED_VALUE"""),278.91)</f>
        <v>278.91</v>
      </c>
      <c r="BQ441" s="36">
        <f>IFERROR(__xludf.DUMMYFUNCTION("""COMPUTED_VALUE"""),49.69)</f>
        <v>49.69</v>
      </c>
      <c r="BR441" s="1">
        <f>IFERROR(__xludf.DUMMYFUNCTION("""COMPUTED_VALUE"""),16.13)</f>
        <v>16.13</v>
      </c>
      <c r="BS441" s="1">
        <f>IFERROR(__xludf.DUMMYFUNCTION("""COMPUTED_VALUE"""),234.66)</f>
        <v>234.66</v>
      </c>
      <c r="BT441" s="1">
        <f>IFERROR(__xludf.DUMMYFUNCTION("""COMPUTED_VALUE"""),108.12)</f>
        <v>108.12</v>
      </c>
      <c r="BU441" s="3">
        <v>1.0</v>
      </c>
    </row>
    <row r="442">
      <c r="A442" s="25">
        <f>IFERROR(__xludf.DUMMYFUNCTION("""COMPUTED_VALUE"""),46065.66666666667)</f>
        <v>46065.66667</v>
      </c>
      <c r="B442" s="29">
        <f>'Master Scratch Work'!B441</f>
        <v>1625557.5</v>
      </c>
      <c r="C442" s="31">
        <f>IFERROR(__xludf.DUMMYFUNCTION("""COMPUTED_VALUE"""),6836.17)</f>
        <v>6836.17</v>
      </c>
      <c r="D442" s="31">
        <f>IFERROR(__xludf.DUMMYFUNCTION("""COMPUTED_VALUE"""),22597.15)</f>
        <v>22597.15</v>
      </c>
      <c r="E442" s="31">
        <f>IFERROR(__xludf.DUMMYFUNCTION("""COMPUTED_VALUE"""),49451.98)</f>
        <v>49451.98</v>
      </c>
      <c r="F442" s="31">
        <f>IFERROR(__xludf.DUMMYFUNCTION("""COMPUTED_VALUE"""),2615.83)</f>
        <v>2615.83</v>
      </c>
      <c r="G442" s="1">
        <f>IFERROR(__xludf.DUMMYFUNCTION("""COMPUTED_VALUE"""),681.27)</f>
        <v>681.27</v>
      </c>
      <c r="H442" s="1">
        <f>IFERROR(__xludf.DUMMYFUNCTION("""COMPUTED_VALUE"""),600.64)</f>
        <v>600.64</v>
      </c>
      <c r="I442" s="1">
        <f>IFERROR(__xludf.DUMMYFUNCTION("""COMPUTED_VALUE"""),262.5)</f>
        <v>262.5</v>
      </c>
      <c r="J442" s="1">
        <f>IFERROR(__xludf.DUMMYFUNCTION("""COMPUTED_VALUE"""),199.6)</f>
        <v>199.6</v>
      </c>
      <c r="K442" s="1">
        <f>IFERROR(__xludf.DUMMYFUNCTION("""COMPUTED_VALUE"""),128.37)</f>
        <v>128.37</v>
      </c>
      <c r="L442" s="1">
        <f>IFERROR(__xludf.DUMMYFUNCTION("""COMPUTED_VALUE"""),261.73)</f>
        <v>261.73</v>
      </c>
      <c r="M442" s="1">
        <f>IFERROR(__xludf.DUMMYFUNCTION("""COMPUTED_VALUE"""),328.39)</f>
        <v>328.39</v>
      </c>
      <c r="N442" s="1">
        <f>IFERROR(__xludf.DUMMYFUNCTION("""COMPUTED_VALUE"""),114.91)</f>
        <v>114.91</v>
      </c>
      <c r="O442" s="1">
        <f>IFERROR(__xludf.DUMMYFUNCTION("""COMPUTED_VALUE"""),25.54)</f>
        <v>25.54</v>
      </c>
      <c r="P442" s="1">
        <f>IFERROR(__xludf.DUMMYFUNCTION("""COMPUTED_VALUE"""),500.01)</f>
        <v>500.01</v>
      </c>
      <c r="Q442" s="1">
        <f>IFERROR(__xludf.DUMMYFUNCTION("""COMPUTED_VALUE"""),72.76)</f>
        <v>72.76</v>
      </c>
      <c r="R442" s="1">
        <f>IFERROR(__xludf.DUMMYFUNCTION("""COMPUTED_VALUE"""),195.5)</f>
        <v>195.5</v>
      </c>
      <c r="S442" s="1">
        <f>IFERROR(__xludf.DUMMYFUNCTION("""COMPUTED_VALUE"""),74.12)</f>
        <v>74.12</v>
      </c>
      <c r="T442" s="1">
        <f>IFERROR(__xludf.DUMMYFUNCTION("""COMPUTED_VALUE"""),64.89)</f>
        <v>64.89</v>
      </c>
      <c r="U442" s="1">
        <f>IFERROR(__xludf.DUMMYFUNCTION("""COMPUTED_VALUE"""),758.29)</f>
        <v>758.29</v>
      </c>
      <c r="V442" s="1">
        <f>IFERROR(__xludf.DUMMYFUNCTION("""COMPUTED_VALUE"""),116.39)</f>
        <v>116.39</v>
      </c>
      <c r="W442" s="1">
        <f>IFERROR(__xludf.DUMMYFUNCTION("""COMPUTED_VALUE"""),164.47)</f>
        <v>164.47</v>
      </c>
      <c r="X442" s="1">
        <f>IFERROR(__xludf.DUMMYFUNCTION("""COMPUTED_VALUE"""),182.4)</f>
        <v>182.4</v>
      </c>
      <c r="Y442" s="1">
        <f>IFERROR(__xludf.DUMMYFUNCTION("""COMPUTED_VALUE"""),287.61)</f>
        <v>287.61</v>
      </c>
      <c r="Z442" s="1">
        <f>IFERROR(__xludf.DUMMYFUNCTION("""COMPUTED_VALUE"""),64.78)</f>
        <v>64.78</v>
      </c>
      <c r="AA442" s="1">
        <f>IFERROR(__xludf.DUMMYFUNCTION("""COMPUTED_VALUE"""),79.0)</f>
        <v>79</v>
      </c>
      <c r="AB442" s="1">
        <f>IFERROR(__xludf.DUMMYFUNCTION("""COMPUTED_VALUE"""),111.72)</f>
        <v>111.72</v>
      </c>
      <c r="AC442" s="1">
        <f>IFERROR(__xludf.DUMMYFUNCTION("""COMPUTED_VALUE"""),180.31)</f>
        <v>180.31</v>
      </c>
      <c r="AD442" s="1">
        <f>IFERROR(__xludf.DUMMYFUNCTION("""COMPUTED_VALUE"""),128.43)</f>
        <v>128.43</v>
      </c>
      <c r="AE442" s="1">
        <f>IFERROR(__xludf.DUMMYFUNCTION("""COMPUTED_VALUE"""),381.78)</f>
        <v>381.78</v>
      </c>
      <c r="AF442" s="1">
        <f>IFERROR(__xludf.DUMMYFUNCTION("""COMPUTED_VALUE"""),79.41)</f>
        <v>79.41</v>
      </c>
      <c r="AG442" s="1">
        <f>IFERROR(__xludf.DUMMYFUNCTION("""COMPUTED_VALUE"""),149.93)</f>
        <v>149.93</v>
      </c>
      <c r="AH442" s="1">
        <f>IFERROR(__xludf.DUMMYFUNCTION("""COMPUTED_VALUE"""),369.46)</f>
        <v>369.46</v>
      </c>
      <c r="AI442" s="1">
        <f>IFERROR(__xludf.DUMMYFUNCTION("""COMPUTED_VALUE"""),391.21)</f>
        <v>391.21</v>
      </c>
      <c r="AJ442" s="1">
        <f>IFERROR(__xludf.DUMMYFUNCTION("""COMPUTED_VALUE"""),340.75)</f>
        <v>340.75</v>
      </c>
      <c r="AK442" s="1">
        <f>IFERROR(__xludf.DUMMYFUNCTION("""COMPUTED_VALUE"""),79.93)</f>
        <v>79.93</v>
      </c>
      <c r="AL442" s="1">
        <f>IFERROR(__xludf.DUMMYFUNCTION("""COMPUTED_VALUE"""),151.81)</f>
        <v>151.81</v>
      </c>
      <c r="AM442" s="1">
        <f>IFERROR(__xludf.DUMMYFUNCTION("""COMPUTED_VALUE"""),904.55)</f>
        <v>904.55</v>
      </c>
      <c r="AN442" s="1">
        <f>IFERROR(__xludf.DUMMYFUNCTION("""COMPUTED_VALUE"""),390.22)</f>
        <v>390.22</v>
      </c>
      <c r="AO442" s="1">
        <f>IFERROR(__xludf.DUMMYFUNCTION("""COMPUTED_VALUE"""),125.43)</f>
        <v>125.43</v>
      </c>
      <c r="AP442" s="1">
        <f>IFERROR(__xludf.DUMMYFUNCTION("""COMPUTED_VALUE"""),149.83)</f>
        <v>149.83</v>
      </c>
      <c r="AQ442" s="1">
        <f>IFERROR(__xludf.DUMMYFUNCTION("""COMPUTED_VALUE"""),478.6)</f>
        <v>478.6</v>
      </c>
      <c r="AR442" s="1">
        <f>IFERROR(__xludf.DUMMYFUNCTION("""COMPUTED_VALUE"""),302.64)</f>
        <v>302.64</v>
      </c>
      <c r="AS442" s="1">
        <f>IFERROR(__xludf.DUMMYFUNCTION("""COMPUTED_VALUE"""),637.43)</f>
        <v>637.43</v>
      </c>
      <c r="AT442" s="1">
        <f>IFERROR(__xludf.DUMMYFUNCTION("""COMPUTED_VALUE"""),169.53)</f>
        <v>169.53</v>
      </c>
      <c r="AU442" s="1">
        <f>IFERROR(__xludf.DUMMYFUNCTION("""COMPUTED_VALUE"""),35.81)</f>
        <v>35.81</v>
      </c>
      <c r="AV442" s="1">
        <f>IFERROR(__xludf.DUMMYFUNCTION("""COMPUTED_VALUE"""),100.88)</f>
        <v>100.88</v>
      </c>
      <c r="AW442" s="1">
        <f>IFERROR(__xludf.DUMMYFUNCTION("""COMPUTED_VALUE"""),77.36)</f>
        <v>77.36</v>
      </c>
      <c r="AX442" s="1">
        <f>IFERROR(__xludf.DUMMYFUNCTION("""COMPUTED_VALUE"""),57.3)</f>
        <v>57.3</v>
      </c>
      <c r="AY442" s="1">
        <f>IFERROR(__xludf.DUMMYFUNCTION("""COMPUTED_VALUE"""),401.84)</f>
        <v>401.84</v>
      </c>
      <c r="AZ442" s="1">
        <f>IFERROR(__xludf.DUMMYFUNCTION("""COMPUTED_VALUE"""),91.93)</f>
        <v>91.93</v>
      </c>
      <c r="BA442" s="1">
        <f>IFERROR(__xludf.DUMMYFUNCTION("""COMPUTED_VALUE"""),161.8)</f>
        <v>161.8</v>
      </c>
      <c r="BB442" s="1">
        <f>IFERROR(__xludf.DUMMYFUNCTION("""COMPUTED_VALUE"""),186.94)</f>
        <v>186.94</v>
      </c>
      <c r="BC442" s="1">
        <f>IFERROR(__xludf.DUMMYFUNCTION("""COMPUTED_VALUE"""),91.75)</f>
        <v>91.75</v>
      </c>
      <c r="BD442" s="1">
        <f>IFERROR(__xludf.DUMMYFUNCTION("""COMPUTED_VALUE"""),44.27)</f>
        <v>44.27</v>
      </c>
      <c r="BE442" s="1">
        <f>IFERROR(__xludf.DUMMYFUNCTION("""COMPUTED_VALUE"""),129.13)</f>
        <v>129.13</v>
      </c>
      <c r="BF442" s="1">
        <f>IFERROR(__xludf.DUMMYFUNCTION("""COMPUTED_VALUE"""),39.08)</f>
        <v>39.08</v>
      </c>
      <c r="BG442" s="1">
        <f>IFERROR(__xludf.DUMMYFUNCTION("""COMPUTED_VALUE"""),27.47)</f>
        <v>27.47</v>
      </c>
      <c r="BH442" s="1">
        <f>IFERROR(__xludf.DUMMYFUNCTION("""COMPUTED_VALUE"""),201.14)</f>
        <v>201.14</v>
      </c>
      <c r="BI442" s="1">
        <f>IFERROR(__xludf.DUMMYFUNCTION("""COMPUTED_VALUE"""),97.33)</f>
        <v>97.33</v>
      </c>
      <c r="BJ442" s="1">
        <f>IFERROR(__xludf.DUMMYFUNCTION("""COMPUTED_VALUE"""),214.68)</f>
        <v>214.68</v>
      </c>
      <c r="BK442" s="1">
        <f>IFERROR(__xludf.DUMMYFUNCTION("""COMPUTED_VALUE"""),509.82)</f>
        <v>509.82</v>
      </c>
      <c r="BL442" s="1">
        <f>IFERROR(__xludf.DUMMYFUNCTION("""COMPUTED_VALUE"""),241.64)</f>
        <v>241.64</v>
      </c>
      <c r="BM442" s="1">
        <f>IFERROR(__xludf.DUMMYFUNCTION("""COMPUTED_VALUE"""),128.52)</f>
        <v>128.52</v>
      </c>
      <c r="BN442" s="1">
        <f>IFERROR(__xludf.DUMMYFUNCTION("""COMPUTED_VALUE"""),7.03)</f>
        <v>7.03</v>
      </c>
      <c r="BO442" s="1">
        <f>IFERROR(__xludf.DUMMYFUNCTION("""COMPUTED_VALUE"""),261.77)</f>
        <v>261.77</v>
      </c>
      <c r="BP442" s="1">
        <f>IFERROR(__xludf.DUMMYFUNCTION("""COMPUTED_VALUE"""),284.37)</f>
        <v>284.37</v>
      </c>
      <c r="BQ442" s="36">
        <f>IFERROR(__xludf.DUMMYFUNCTION("""COMPUTED_VALUE"""),49.74)</f>
        <v>49.74</v>
      </c>
      <c r="BR442" s="1">
        <f>IFERROR(__xludf.DUMMYFUNCTION("""COMPUTED_VALUE"""),15.79)</f>
        <v>15.79</v>
      </c>
      <c r="BS442" s="1">
        <f>IFERROR(__xludf.DUMMYFUNCTION("""COMPUTED_VALUE"""),231.01)</f>
        <v>231.01</v>
      </c>
      <c r="BT442" s="1">
        <f>IFERROR(__xludf.DUMMYFUNCTION("""COMPUTED_VALUE"""),102.38)</f>
        <v>102.38</v>
      </c>
      <c r="BU442" s="3">
        <v>1.0</v>
      </c>
    </row>
    <row r="443">
      <c r="A443" s="25">
        <f>IFERROR(__xludf.DUMMYFUNCTION("""COMPUTED_VALUE"""),46066.66666666667)</f>
        <v>46066.66667</v>
      </c>
      <c r="B443" s="29">
        <f>'Master Scratch Work'!B442</f>
        <v>1635889.9</v>
      </c>
      <c r="C443" s="31">
        <f>IFERROR(__xludf.DUMMYFUNCTION("""COMPUTED_VALUE"""),6843.22)</f>
        <v>6843.22</v>
      </c>
      <c r="D443" s="31">
        <f>IFERROR(__xludf.DUMMYFUNCTION("""COMPUTED_VALUE"""),22546.67)</f>
        <v>22546.67</v>
      </c>
      <c r="E443" s="31">
        <f>IFERROR(__xludf.DUMMYFUNCTION("""COMPUTED_VALUE"""),49500.93)</f>
        <v>49500.93</v>
      </c>
      <c r="F443" s="31">
        <f>IFERROR(__xludf.DUMMYFUNCTION("""COMPUTED_VALUE"""),2646.7)</f>
        <v>2646.7</v>
      </c>
      <c r="G443" s="1">
        <f>IFERROR(__xludf.DUMMYFUNCTION("""COMPUTED_VALUE"""),681.75)</f>
        <v>681.75</v>
      </c>
      <c r="H443" s="1">
        <f>IFERROR(__xludf.DUMMYFUNCTION("""COMPUTED_VALUE"""),601.92)</f>
        <v>601.92</v>
      </c>
      <c r="I443" s="1">
        <f>IFERROR(__xludf.DUMMYFUNCTION("""COMPUTED_VALUE"""),263.97)</f>
        <v>263.97</v>
      </c>
      <c r="J443" s="1">
        <f>IFERROR(__xludf.DUMMYFUNCTION("""COMPUTED_VALUE"""),198.79)</f>
        <v>198.79</v>
      </c>
      <c r="K443" s="1">
        <f>IFERROR(__xludf.DUMMYFUNCTION("""COMPUTED_VALUE"""),133.5)</f>
        <v>133.5</v>
      </c>
      <c r="L443" s="1">
        <f>IFERROR(__xludf.DUMMYFUNCTION("""COMPUTED_VALUE"""),255.78)</f>
        <v>255.78</v>
      </c>
      <c r="M443" s="1">
        <f>IFERROR(__xludf.DUMMYFUNCTION("""COMPUTED_VALUE"""),354.91)</f>
        <v>354.91</v>
      </c>
      <c r="N443" s="1">
        <f>IFERROR(__xludf.DUMMYFUNCTION("""COMPUTED_VALUE"""),117.74)</f>
        <v>117.74</v>
      </c>
      <c r="O443" s="1">
        <f>IFERROR(__xludf.DUMMYFUNCTION("""COMPUTED_VALUE"""),25.31)</f>
        <v>25.31</v>
      </c>
      <c r="P443" s="1">
        <f>IFERROR(__xludf.DUMMYFUNCTION("""COMPUTED_VALUE"""),497.55)</f>
        <v>497.55</v>
      </c>
      <c r="Q443" s="1">
        <f>IFERROR(__xludf.DUMMYFUNCTION("""COMPUTED_VALUE"""),73.38)</f>
        <v>73.38</v>
      </c>
      <c r="R443" s="1">
        <f>IFERROR(__xludf.DUMMYFUNCTION("""COMPUTED_VALUE"""),196.52)</f>
        <v>196.52</v>
      </c>
      <c r="S443" s="1">
        <f>IFERROR(__xludf.DUMMYFUNCTION("""COMPUTED_VALUE"""),74.73)</f>
        <v>74.73</v>
      </c>
      <c r="T443" s="1">
        <f>IFERROR(__xludf.DUMMYFUNCTION("""COMPUTED_VALUE"""),65.4)</f>
        <v>65.4</v>
      </c>
      <c r="U443" s="1">
        <f>IFERROR(__xludf.DUMMYFUNCTION("""COMPUTED_VALUE"""),774.2)</f>
        <v>774.2</v>
      </c>
      <c r="V443" s="1">
        <f>IFERROR(__xludf.DUMMYFUNCTION("""COMPUTED_VALUE"""),112.9)</f>
        <v>112.9</v>
      </c>
      <c r="W443" s="1">
        <f>IFERROR(__xludf.DUMMYFUNCTION("""COMPUTED_VALUE"""),171.48)</f>
        <v>171.48</v>
      </c>
      <c r="X443" s="1">
        <f>IFERROR(__xludf.DUMMYFUNCTION("""COMPUTED_VALUE"""),183.74)</f>
        <v>183.74</v>
      </c>
      <c r="Y443" s="1">
        <f>IFERROR(__xludf.DUMMYFUNCTION("""COMPUTED_VALUE"""),291.44)</f>
        <v>291.44</v>
      </c>
      <c r="Z443" s="1">
        <f>IFERROR(__xludf.DUMMYFUNCTION("""COMPUTED_VALUE"""),65.1)</f>
        <v>65.1</v>
      </c>
      <c r="AA443" s="1">
        <f>IFERROR(__xludf.DUMMYFUNCTION("""COMPUTED_VALUE"""),78.68)</f>
        <v>78.68</v>
      </c>
      <c r="AB443" s="1">
        <f>IFERROR(__xludf.DUMMYFUNCTION("""COMPUTED_VALUE"""),113.72)</f>
        <v>113.72</v>
      </c>
      <c r="AC443" s="1">
        <f>IFERROR(__xludf.DUMMYFUNCTION("""COMPUTED_VALUE"""),180.97)</f>
        <v>180.97</v>
      </c>
      <c r="AD443" s="1">
        <f>IFERROR(__xludf.DUMMYFUNCTION("""COMPUTED_VALUE"""),126.06)</f>
        <v>126.06</v>
      </c>
      <c r="AE443" s="1">
        <f>IFERROR(__xludf.DUMMYFUNCTION("""COMPUTED_VALUE"""),375.5)</f>
        <v>375.5</v>
      </c>
      <c r="AF443" s="1">
        <f>IFERROR(__xludf.DUMMYFUNCTION("""COMPUTED_VALUE"""),82.38)</f>
        <v>82.38</v>
      </c>
      <c r="AG443" s="1">
        <f>IFERROR(__xludf.DUMMYFUNCTION("""COMPUTED_VALUE"""),148.45)</f>
        <v>148.45</v>
      </c>
      <c r="AH443" s="1">
        <f>IFERROR(__xludf.DUMMYFUNCTION("""COMPUTED_VALUE"""),374.72)</f>
        <v>374.72</v>
      </c>
      <c r="AI443" s="1">
        <f>IFERROR(__xludf.DUMMYFUNCTION("""COMPUTED_VALUE"""),379.08)</f>
        <v>379.08</v>
      </c>
      <c r="AJ443" s="1">
        <f>IFERROR(__xludf.DUMMYFUNCTION("""COMPUTED_VALUE"""),347.64)</f>
        <v>347.64</v>
      </c>
      <c r="AK443" s="1">
        <f>IFERROR(__xludf.DUMMYFUNCTION("""COMPUTED_VALUE"""),81.08)</f>
        <v>81.08</v>
      </c>
      <c r="AL443" s="1">
        <f>IFERROR(__xludf.DUMMYFUNCTION("""COMPUTED_VALUE"""),154.98)</f>
        <v>154.98</v>
      </c>
      <c r="AM443" s="1">
        <f>IFERROR(__xludf.DUMMYFUNCTION("""COMPUTED_VALUE"""),905.14)</f>
        <v>905.14</v>
      </c>
      <c r="AN443" s="1">
        <f>IFERROR(__xludf.DUMMYFUNCTION("""COMPUTED_VALUE"""),391.05)</f>
        <v>391.05</v>
      </c>
      <c r="AO443" s="1">
        <f>IFERROR(__xludf.DUMMYFUNCTION("""COMPUTED_VALUE"""),125.36)</f>
        <v>125.36</v>
      </c>
      <c r="AP443" s="1">
        <f>IFERROR(__xludf.DUMMYFUNCTION("""COMPUTED_VALUE"""),152.28)</f>
        <v>152.28</v>
      </c>
      <c r="AQ443" s="1">
        <f>IFERROR(__xludf.DUMMYFUNCTION("""COMPUTED_VALUE"""),485.84)</f>
        <v>485.84</v>
      </c>
      <c r="AR443" s="1">
        <f>IFERROR(__xludf.DUMMYFUNCTION("""COMPUTED_VALUE"""),302.55)</f>
        <v>302.55</v>
      </c>
      <c r="AS443" s="1">
        <f>IFERROR(__xludf.DUMMYFUNCTION("""COMPUTED_VALUE"""),652.58)</f>
        <v>652.58</v>
      </c>
      <c r="AT443" s="1">
        <f>IFERROR(__xludf.DUMMYFUNCTION("""COMPUTED_VALUE"""),176.42)</f>
        <v>176.42</v>
      </c>
      <c r="AU443" s="1">
        <f>IFERROR(__xludf.DUMMYFUNCTION("""COMPUTED_VALUE"""),36.77)</f>
        <v>36.77</v>
      </c>
      <c r="AV443" s="1">
        <f>IFERROR(__xludf.DUMMYFUNCTION("""COMPUTED_VALUE"""),99.49)</f>
        <v>99.49</v>
      </c>
      <c r="AW443" s="1">
        <f>IFERROR(__xludf.DUMMYFUNCTION("""COMPUTED_VALUE"""),77.31)</f>
        <v>77.31</v>
      </c>
      <c r="AX443" s="1">
        <f>IFERROR(__xludf.DUMMYFUNCTION("""COMPUTED_VALUE"""),58.03)</f>
        <v>58.03</v>
      </c>
      <c r="AY443" s="1">
        <f>IFERROR(__xludf.DUMMYFUNCTION("""COMPUTED_VALUE"""),401.32)</f>
        <v>401.32</v>
      </c>
      <c r="AZ443" s="1">
        <f>IFERROR(__xludf.DUMMYFUNCTION("""COMPUTED_VALUE"""),93.8)</f>
        <v>93.8</v>
      </c>
      <c r="BA443" s="1">
        <f>IFERROR(__xludf.DUMMYFUNCTION("""COMPUTED_VALUE"""),172.35)</f>
        <v>172.35</v>
      </c>
      <c r="BB443" s="1">
        <f>IFERROR(__xludf.DUMMYFUNCTION("""COMPUTED_VALUE"""),182.81)</f>
        <v>182.81</v>
      </c>
      <c r="BC443" s="1">
        <f>IFERROR(__xludf.DUMMYFUNCTION("""COMPUTED_VALUE"""),89.83)</f>
        <v>89.83</v>
      </c>
      <c r="BD443" s="1">
        <f>IFERROR(__xludf.DUMMYFUNCTION("""COMPUTED_VALUE"""),45.29)</f>
        <v>45.29</v>
      </c>
      <c r="BE443" s="1">
        <f>IFERROR(__xludf.DUMMYFUNCTION("""COMPUTED_VALUE"""),131.41)</f>
        <v>131.41</v>
      </c>
      <c r="BF443" s="1">
        <f>IFERROR(__xludf.DUMMYFUNCTION("""COMPUTED_VALUE"""),40.29)</f>
        <v>40.29</v>
      </c>
      <c r="BG443" s="1">
        <f>IFERROR(__xludf.DUMMYFUNCTION("""COMPUTED_VALUE"""),27.58)</f>
        <v>27.58</v>
      </c>
      <c r="BH443" s="1">
        <f>IFERROR(__xludf.DUMMYFUNCTION("""COMPUTED_VALUE"""),200.06)</f>
        <v>200.06</v>
      </c>
      <c r="BI443" s="1">
        <f>IFERROR(__xludf.DUMMYFUNCTION("""COMPUTED_VALUE"""),96.31)</f>
        <v>96.31</v>
      </c>
      <c r="BJ443" s="1">
        <f>IFERROR(__xludf.DUMMYFUNCTION("""COMPUTED_VALUE"""),219.5)</f>
        <v>219.5</v>
      </c>
      <c r="BK443" s="1">
        <f>IFERROR(__xludf.DUMMYFUNCTION("""COMPUTED_VALUE"""),504.82)</f>
        <v>504.82</v>
      </c>
      <c r="BL443" s="1">
        <f>IFERROR(__xludf.DUMMYFUNCTION("""COMPUTED_VALUE"""),248.29)</f>
        <v>248.29</v>
      </c>
      <c r="BM443" s="1">
        <f>IFERROR(__xludf.DUMMYFUNCTION("""COMPUTED_VALUE"""),129.84)</f>
        <v>129.84</v>
      </c>
      <c r="BN443" s="1">
        <f>IFERROR(__xludf.DUMMYFUNCTION("""COMPUTED_VALUE"""),7.19)</f>
        <v>7.19</v>
      </c>
      <c r="BO443" s="1">
        <f>IFERROR(__xludf.DUMMYFUNCTION("""COMPUTED_VALUE"""),260.68)</f>
        <v>260.68</v>
      </c>
      <c r="BP443" s="1">
        <f>IFERROR(__xludf.DUMMYFUNCTION("""COMPUTED_VALUE"""),293.19)</f>
        <v>293.19</v>
      </c>
      <c r="BQ443" s="36">
        <f>IFERROR(__xludf.DUMMYFUNCTION("""COMPUTED_VALUE"""),49.77)</f>
        <v>49.77</v>
      </c>
      <c r="BR443" s="1">
        <f>IFERROR(__xludf.DUMMYFUNCTION("""COMPUTED_VALUE"""),15.77)</f>
        <v>15.77</v>
      </c>
      <c r="BS443" s="1">
        <f>IFERROR(__xludf.DUMMYFUNCTION("""COMPUTED_VALUE"""),234.52)</f>
        <v>234.52</v>
      </c>
      <c r="BT443" s="1">
        <f>IFERROR(__xludf.DUMMYFUNCTION("""COMPUTED_VALUE"""),105.45)</f>
        <v>105.45</v>
      </c>
      <c r="BU443" s="3">
        <v>1.0</v>
      </c>
    </row>
    <row r="444">
      <c r="A444" s="25">
        <f>IFERROR(__xludf.DUMMYFUNCTION("""COMPUTED_VALUE"""),46070.66666666667)</f>
        <v>46070.66667</v>
      </c>
      <c r="B444" s="29">
        <f>'Master Scratch Work'!B443</f>
        <v>1651139.12</v>
      </c>
      <c r="C444" s="31">
        <f>IFERROR(__xludf.DUMMYFUNCTION("""COMPUTED_VALUE"""),6881.31)</f>
        <v>6881.31</v>
      </c>
      <c r="D444" s="31">
        <f>IFERROR(__xludf.DUMMYFUNCTION("""COMPUTED_VALUE"""),22578.38)</f>
        <v>22578.38</v>
      </c>
      <c r="E444" s="31">
        <f>IFERROR(__xludf.DUMMYFUNCTION("""COMPUTED_VALUE"""),49533.19)</f>
        <v>49533.19</v>
      </c>
      <c r="F444" s="31">
        <f>IFERROR(__xludf.DUMMYFUNCTION("""COMPUTED_VALUE"""),2646.59)</f>
        <v>2646.59</v>
      </c>
      <c r="G444" s="1">
        <f>IFERROR(__xludf.DUMMYFUNCTION("""COMPUTED_VALUE"""),682.85)</f>
        <v>682.85</v>
      </c>
      <c r="H444" s="1">
        <f>IFERROR(__xludf.DUMMYFUNCTION("""COMPUTED_VALUE"""),601.3)</f>
        <v>601.3</v>
      </c>
      <c r="I444" s="1">
        <f>IFERROR(__xludf.DUMMYFUNCTION("""COMPUTED_VALUE"""),260.45)</f>
        <v>260.45</v>
      </c>
      <c r="J444" s="1">
        <f>IFERROR(__xludf.DUMMYFUNCTION("""COMPUTED_VALUE"""),201.15)</f>
        <v>201.15</v>
      </c>
      <c r="K444" s="1">
        <f>IFERROR(__xludf.DUMMYFUNCTION("""COMPUTED_VALUE"""),133.51)</f>
        <v>133.51</v>
      </c>
      <c r="L444" s="1">
        <f>IFERROR(__xludf.DUMMYFUNCTION("""COMPUTED_VALUE"""),263.88)</f>
        <v>263.88</v>
      </c>
      <c r="M444" s="1">
        <f>IFERROR(__xludf.DUMMYFUNCTION("""COMPUTED_VALUE"""),359.13)</f>
        <v>359.13</v>
      </c>
      <c r="N444" s="1">
        <f>IFERROR(__xludf.DUMMYFUNCTION("""COMPUTED_VALUE"""),118.8)</f>
        <v>118.8</v>
      </c>
      <c r="O444" s="1">
        <f>IFERROR(__xludf.DUMMYFUNCTION("""COMPUTED_VALUE"""),25.96)</f>
        <v>25.96</v>
      </c>
      <c r="P444" s="1">
        <f>IFERROR(__xludf.DUMMYFUNCTION("""COMPUTED_VALUE"""),503.41)</f>
        <v>503.41</v>
      </c>
      <c r="Q444" s="1">
        <f>IFERROR(__xludf.DUMMYFUNCTION("""COMPUTED_VALUE"""),74.29)</f>
        <v>74.29</v>
      </c>
      <c r="R444" s="1">
        <f>IFERROR(__xludf.DUMMYFUNCTION("""COMPUTED_VALUE"""),195.62)</f>
        <v>195.62</v>
      </c>
      <c r="S444" s="1">
        <f>IFERROR(__xludf.DUMMYFUNCTION("""COMPUTED_VALUE"""),76.29)</f>
        <v>76.29</v>
      </c>
      <c r="T444" s="1">
        <f>IFERROR(__xludf.DUMMYFUNCTION("""COMPUTED_VALUE"""),66.43)</f>
        <v>66.43</v>
      </c>
      <c r="U444" s="1">
        <f>IFERROR(__xludf.DUMMYFUNCTION("""COMPUTED_VALUE"""),764.76)</f>
        <v>764.76</v>
      </c>
      <c r="V444" s="1">
        <f>IFERROR(__xludf.DUMMYFUNCTION("""COMPUTED_VALUE"""),112.94)</f>
        <v>112.94</v>
      </c>
      <c r="W444" s="1">
        <f>IFERROR(__xludf.DUMMYFUNCTION("""COMPUTED_VALUE"""),165.02)</f>
        <v>165.02</v>
      </c>
      <c r="X444" s="1">
        <f>IFERROR(__xludf.DUMMYFUNCTION("""COMPUTED_VALUE"""),180.55)</f>
        <v>180.55</v>
      </c>
      <c r="Y444" s="1">
        <f>IFERROR(__xludf.DUMMYFUNCTION("""COMPUTED_VALUE"""),290.71)</f>
        <v>290.71</v>
      </c>
      <c r="Z444" s="1">
        <f>IFERROR(__xludf.DUMMYFUNCTION("""COMPUTED_VALUE"""),64.39)</f>
        <v>64.39</v>
      </c>
      <c r="AA444" s="1">
        <f>IFERROR(__xludf.DUMMYFUNCTION("""COMPUTED_VALUE"""),79.56)</f>
        <v>79.56</v>
      </c>
      <c r="AB444" s="1">
        <f>IFERROR(__xludf.DUMMYFUNCTION("""COMPUTED_VALUE"""),113.92)</f>
        <v>113.92</v>
      </c>
      <c r="AC444" s="1">
        <f>IFERROR(__xludf.DUMMYFUNCTION("""COMPUTED_VALUE"""),179.89)</f>
        <v>179.89</v>
      </c>
      <c r="AD444" s="1">
        <f>IFERROR(__xludf.DUMMYFUNCTION("""COMPUTED_VALUE"""),128.52)</f>
        <v>128.52</v>
      </c>
      <c r="AE444" s="1">
        <f>IFERROR(__xludf.DUMMYFUNCTION("""COMPUTED_VALUE"""),373.5)</f>
        <v>373.5</v>
      </c>
      <c r="AF444" s="1">
        <f>IFERROR(__xludf.DUMMYFUNCTION("""COMPUTED_VALUE"""),79.95)</f>
        <v>79.95</v>
      </c>
      <c r="AG444" s="1">
        <f>IFERROR(__xludf.DUMMYFUNCTION("""COMPUTED_VALUE"""),146.19)</f>
        <v>146.19</v>
      </c>
      <c r="AH444" s="1">
        <f>IFERROR(__xludf.DUMMYFUNCTION("""COMPUTED_VALUE"""),375.3)</f>
        <v>375.3</v>
      </c>
      <c r="AI444" s="1">
        <f>IFERROR(__xludf.DUMMYFUNCTION("""COMPUTED_VALUE"""),374.99)</f>
        <v>374.99</v>
      </c>
      <c r="AJ444" s="1">
        <f>IFERROR(__xludf.DUMMYFUNCTION("""COMPUTED_VALUE"""),342.52)</f>
        <v>342.52</v>
      </c>
      <c r="AK444" s="1">
        <f>IFERROR(__xludf.DUMMYFUNCTION("""COMPUTED_VALUE"""),81.22)</f>
        <v>81.22</v>
      </c>
      <c r="AL444" s="1">
        <f>IFERROR(__xludf.DUMMYFUNCTION("""COMPUTED_VALUE"""),155.27)</f>
        <v>155.27</v>
      </c>
      <c r="AM444" s="1">
        <f>IFERROR(__xludf.DUMMYFUNCTION("""COMPUTED_VALUE"""),916.04)</f>
        <v>916.04</v>
      </c>
      <c r="AN444" s="1">
        <f>IFERROR(__xludf.DUMMYFUNCTION("""COMPUTED_VALUE"""),383.04)</f>
        <v>383.04</v>
      </c>
      <c r="AO444" s="1">
        <f>IFERROR(__xludf.DUMMYFUNCTION("""COMPUTED_VALUE"""),130.21)</f>
        <v>130.21</v>
      </c>
      <c r="AP444" s="1">
        <f>IFERROR(__xludf.DUMMYFUNCTION("""COMPUTED_VALUE"""),153.44)</f>
        <v>153.44</v>
      </c>
      <c r="AQ444" s="1">
        <f>IFERROR(__xludf.DUMMYFUNCTION("""COMPUTED_VALUE"""),493.35)</f>
        <v>493.35</v>
      </c>
      <c r="AR444" s="1">
        <f>IFERROR(__xludf.DUMMYFUNCTION("""COMPUTED_VALUE"""),307.13)</f>
        <v>307.13</v>
      </c>
      <c r="AS444" s="1">
        <f>IFERROR(__xludf.DUMMYFUNCTION("""COMPUTED_VALUE"""),649.58)</f>
        <v>649.58</v>
      </c>
      <c r="AT444" s="1">
        <f>IFERROR(__xludf.DUMMYFUNCTION("""COMPUTED_VALUE"""),177.72)</f>
        <v>177.72</v>
      </c>
      <c r="AU444" s="1">
        <f>IFERROR(__xludf.DUMMYFUNCTION("""COMPUTED_VALUE"""),37.17)</f>
        <v>37.17</v>
      </c>
      <c r="AV444" s="1">
        <f>IFERROR(__xludf.DUMMYFUNCTION("""COMPUTED_VALUE"""),96.41)</f>
        <v>96.41</v>
      </c>
      <c r="AW444" s="1">
        <f>IFERROR(__xludf.DUMMYFUNCTION("""COMPUTED_VALUE"""),78.58)</f>
        <v>78.58</v>
      </c>
      <c r="AX444" s="1">
        <f>IFERROR(__xludf.DUMMYFUNCTION("""COMPUTED_VALUE"""),56.95)</f>
        <v>56.95</v>
      </c>
      <c r="AY444" s="1">
        <f>IFERROR(__xludf.DUMMYFUNCTION("""COMPUTED_VALUE"""),396.86)</f>
        <v>396.86</v>
      </c>
      <c r="AZ444" s="1">
        <f>IFERROR(__xludf.DUMMYFUNCTION("""COMPUTED_VALUE"""),92.71)</f>
        <v>92.71</v>
      </c>
      <c r="BA444" s="1">
        <f>IFERROR(__xludf.DUMMYFUNCTION("""COMPUTED_VALUE"""),173.45)</f>
        <v>173.45</v>
      </c>
      <c r="BB444" s="1">
        <f>IFERROR(__xludf.DUMMYFUNCTION("""COMPUTED_VALUE"""),184.97)</f>
        <v>184.97</v>
      </c>
      <c r="BC444" s="1">
        <f>IFERROR(__xludf.DUMMYFUNCTION("""COMPUTED_VALUE"""),92.44)</f>
        <v>92.44</v>
      </c>
      <c r="BD444" s="1">
        <f>IFERROR(__xludf.DUMMYFUNCTION("""COMPUTED_VALUE"""),46.66)</f>
        <v>46.66</v>
      </c>
      <c r="BE444" s="1">
        <f>IFERROR(__xludf.DUMMYFUNCTION("""COMPUTED_VALUE"""),133.02)</f>
        <v>133.02</v>
      </c>
      <c r="BF444" s="1">
        <f>IFERROR(__xludf.DUMMYFUNCTION("""COMPUTED_VALUE"""),40.81)</f>
        <v>40.81</v>
      </c>
      <c r="BG444" s="1">
        <f>IFERROR(__xludf.DUMMYFUNCTION("""COMPUTED_VALUE"""),27.37)</f>
        <v>27.37</v>
      </c>
      <c r="BH444" s="1">
        <f>IFERROR(__xludf.DUMMYFUNCTION("""COMPUTED_VALUE"""),203.5)</f>
        <v>203.5</v>
      </c>
      <c r="BI444" s="1">
        <f>IFERROR(__xludf.DUMMYFUNCTION("""COMPUTED_VALUE"""),100.61)</f>
        <v>100.61</v>
      </c>
      <c r="BJ444" s="1">
        <f>IFERROR(__xludf.DUMMYFUNCTION("""COMPUTED_VALUE"""),219.61)</f>
        <v>219.61</v>
      </c>
      <c r="BK444" s="1">
        <f>IFERROR(__xludf.DUMMYFUNCTION("""COMPUTED_VALUE"""),501.59)</f>
        <v>501.59</v>
      </c>
      <c r="BL444" s="1">
        <f>IFERROR(__xludf.DUMMYFUNCTION("""COMPUTED_VALUE"""),245.51)</f>
        <v>245.51</v>
      </c>
      <c r="BM444" s="1">
        <f>IFERROR(__xludf.DUMMYFUNCTION("""COMPUTED_VALUE"""),133.82)</f>
        <v>133.82</v>
      </c>
      <c r="BN444" s="1">
        <f>IFERROR(__xludf.DUMMYFUNCTION("""COMPUTED_VALUE"""),7.72)</f>
        <v>7.72</v>
      </c>
      <c r="BO444" s="1">
        <f>IFERROR(__xludf.DUMMYFUNCTION("""COMPUTED_VALUE"""),262.8)</f>
        <v>262.8</v>
      </c>
      <c r="BP444" s="1">
        <f>IFERROR(__xludf.DUMMYFUNCTION("""COMPUTED_VALUE"""),289.09)</f>
        <v>289.09</v>
      </c>
      <c r="BQ444" s="36">
        <f>IFERROR(__xludf.DUMMYFUNCTION("""COMPUTED_VALUE"""),49.69)</f>
        <v>49.69</v>
      </c>
      <c r="BR444" s="1">
        <f>IFERROR(__xludf.DUMMYFUNCTION("""COMPUTED_VALUE"""),15.74)</f>
        <v>15.74</v>
      </c>
      <c r="BS444" s="1">
        <f>IFERROR(__xludf.DUMMYFUNCTION("""COMPUTED_VALUE"""),235.22)</f>
        <v>235.22</v>
      </c>
      <c r="BT444" s="1">
        <f>IFERROR(__xludf.DUMMYFUNCTION("""COMPUTED_VALUE"""),105.44)</f>
        <v>105.44</v>
      </c>
      <c r="BU444" s="3">
        <v>1.0</v>
      </c>
    </row>
    <row r="445">
      <c r="A445" s="25">
        <f>IFERROR(__xludf.DUMMYFUNCTION("""COMPUTED_VALUE"""),46071.66666666667)</f>
        <v>46071.66667</v>
      </c>
      <c r="B445" s="29">
        <f>'Master Scratch Work'!B444</f>
        <v>1656436.75</v>
      </c>
      <c r="C445" s="31">
        <f>IFERROR(__xludf.DUMMYFUNCTION("""COMPUTED_VALUE"""),6861.89)</f>
        <v>6861.89</v>
      </c>
      <c r="D445" s="31">
        <f>IFERROR(__xludf.DUMMYFUNCTION("""COMPUTED_VALUE"""),22753.64)</f>
        <v>22753.64</v>
      </c>
      <c r="E445" s="31">
        <f>IFERROR(__xludf.DUMMYFUNCTION("""COMPUTED_VALUE"""),49662.66)</f>
        <v>49662.66</v>
      </c>
      <c r="F445" s="31">
        <f>IFERROR(__xludf.DUMMYFUNCTION("""COMPUTED_VALUE"""),2658.61)</f>
        <v>2658.61</v>
      </c>
      <c r="G445" s="1">
        <f>IFERROR(__xludf.DUMMYFUNCTION("""COMPUTED_VALUE"""),686.29)</f>
        <v>686.29</v>
      </c>
      <c r="H445" s="1">
        <f>IFERROR(__xludf.DUMMYFUNCTION("""COMPUTED_VALUE"""),605.79)</f>
        <v>605.79</v>
      </c>
      <c r="I445" s="1">
        <f>IFERROR(__xludf.DUMMYFUNCTION("""COMPUTED_VALUE"""),263.17)</f>
        <v>263.17</v>
      </c>
      <c r="J445" s="1">
        <f>IFERROR(__xludf.DUMMYFUNCTION("""COMPUTED_VALUE"""),204.79)</f>
        <v>204.79</v>
      </c>
      <c r="K445" s="1">
        <f>IFERROR(__xludf.DUMMYFUNCTION("""COMPUTED_VALUE"""),131.16)</f>
        <v>131.16</v>
      </c>
      <c r="L445" s="1">
        <f>IFERROR(__xludf.DUMMYFUNCTION("""COMPUTED_VALUE"""),264.35)</f>
        <v>264.35</v>
      </c>
      <c r="M445" s="1">
        <f>IFERROR(__xludf.DUMMYFUNCTION("""COMPUTED_VALUE"""),369.3)</f>
        <v>369.3</v>
      </c>
      <c r="N445" s="1">
        <f>IFERROR(__xludf.DUMMYFUNCTION("""COMPUTED_VALUE"""),119.49)</f>
        <v>119.49</v>
      </c>
      <c r="O445" s="1">
        <f>IFERROR(__xludf.DUMMYFUNCTION("""COMPUTED_VALUE"""),26.42)</f>
        <v>26.42</v>
      </c>
      <c r="P445" s="1">
        <f>IFERROR(__xludf.DUMMYFUNCTION("""COMPUTED_VALUE"""),499.07)</f>
        <v>499.07</v>
      </c>
      <c r="Q445" s="1">
        <f>IFERROR(__xludf.DUMMYFUNCTION("""COMPUTED_VALUE"""),74.53)</f>
        <v>74.53</v>
      </c>
      <c r="R445" s="1">
        <f>IFERROR(__xludf.DUMMYFUNCTION("""COMPUTED_VALUE"""),194.13)</f>
        <v>194.13</v>
      </c>
      <c r="S445" s="1">
        <f>IFERROR(__xludf.DUMMYFUNCTION("""COMPUTED_VALUE"""),76.28)</f>
        <v>76.28</v>
      </c>
      <c r="T445" s="1">
        <f>IFERROR(__xludf.DUMMYFUNCTION("""COMPUTED_VALUE"""),64.33)</f>
        <v>64.33</v>
      </c>
      <c r="U445" s="1">
        <f>IFERROR(__xludf.DUMMYFUNCTION("""COMPUTED_VALUE"""),751.97)</f>
        <v>751.97</v>
      </c>
      <c r="V445" s="1">
        <f>IFERROR(__xludf.DUMMYFUNCTION("""COMPUTED_VALUE"""),116.5)</f>
        <v>116.5</v>
      </c>
      <c r="W445" s="1">
        <f>IFERROR(__xludf.DUMMYFUNCTION("""COMPUTED_VALUE"""),164.01)</f>
        <v>164.01</v>
      </c>
      <c r="X445" s="1">
        <f>IFERROR(__xludf.DUMMYFUNCTION("""COMPUTED_VALUE"""),183.87)</f>
        <v>183.87</v>
      </c>
      <c r="Y445" s="1">
        <f>IFERROR(__xludf.DUMMYFUNCTION("""COMPUTED_VALUE"""),290.12)</f>
        <v>290.12</v>
      </c>
      <c r="Z445" s="1">
        <f>IFERROR(__xludf.DUMMYFUNCTION("""COMPUTED_VALUE"""),65.04)</f>
        <v>65.04</v>
      </c>
      <c r="AA445" s="1">
        <f>IFERROR(__xludf.DUMMYFUNCTION("""COMPUTED_VALUE"""),79.49)</f>
        <v>79.49</v>
      </c>
      <c r="AB445" s="1">
        <f>IFERROR(__xludf.DUMMYFUNCTION("""COMPUTED_VALUE"""),111.61)</f>
        <v>111.61</v>
      </c>
      <c r="AC445" s="1">
        <f>IFERROR(__xludf.DUMMYFUNCTION("""COMPUTED_VALUE"""),176.02)</f>
        <v>176.02</v>
      </c>
      <c r="AD445" s="1">
        <f>IFERROR(__xludf.DUMMYFUNCTION("""COMPUTED_VALUE"""),132.54)</f>
        <v>132.54</v>
      </c>
      <c r="AE445" s="1">
        <f>IFERROR(__xludf.DUMMYFUNCTION("""COMPUTED_VALUE"""),382.99)</f>
        <v>382.99</v>
      </c>
      <c r="AF445" s="1">
        <f>IFERROR(__xludf.DUMMYFUNCTION("""COMPUTED_VALUE"""),82.18)</f>
        <v>82.18</v>
      </c>
      <c r="AG445" s="1">
        <f>IFERROR(__xludf.DUMMYFUNCTION("""COMPUTED_VALUE"""),150.68)</f>
        <v>150.68</v>
      </c>
      <c r="AH445" s="1">
        <f>IFERROR(__xludf.DUMMYFUNCTION("""COMPUTED_VALUE"""),383.08)</f>
        <v>383.08</v>
      </c>
      <c r="AI445" s="1">
        <f>IFERROR(__xludf.DUMMYFUNCTION("""COMPUTED_VALUE"""),366.43)</f>
        <v>366.43</v>
      </c>
      <c r="AJ445" s="1">
        <f>IFERROR(__xludf.DUMMYFUNCTION("""COMPUTED_VALUE"""),349.49)</f>
        <v>349.49</v>
      </c>
      <c r="AK445" s="1">
        <f>IFERROR(__xludf.DUMMYFUNCTION("""COMPUTED_VALUE"""),83.67)</f>
        <v>83.67</v>
      </c>
      <c r="AL445" s="1">
        <f>IFERROR(__xludf.DUMMYFUNCTION("""COMPUTED_VALUE"""),152.74)</f>
        <v>152.74</v>
      </c>
      <c r="AM445" s="1">
        <f>IFERROR(__xludf.DUMMYFUNCTION("""COMPUTED_VALUE"""),933.73)</f>
        <v>933.73</v>
      </c>
      <c r="AN445" s="1">
        <f>IFERROR(__xludf.DUMMYFUNCTION("""COMPUTED_VALUE"""),383.52)</f>
        <v>383.52</v>
      </c>
      <c r="AO445" s="1">
        <f>IFERROR(__xludf.DUMMYFUNCTION("""COMPUTED_VALUE"""),133.62)</f>
        <v>133.62</v>
      </c>
      <c r="AP445" s="1">
        <f>IFERROR(__xludf.DUMMYFUNCTION("""COMPUTED_VALUE"""),155.19)</f>
        <v>155.19</v>
      </c>
      <c r="AQ445" s="1">
        <f>IFERROR(__xludf.DUMMYFUNCTION("""COMPUTED_VALUE"""),500.76)</f>
        <v>500.76</v>
      </c>
      <c r="AR445" s="1">
        <f>IFERROR(__xludf.DUMMYFUNCTION("""COMPUTED_VALUE"""),308.78)</f>
        <v>308.78</v>
      </c>
      <c r="AS445" s="1">
        <f>IFERROR(__xludf.DUMMYFUNCTION("""COMPUTED_VALUE"""),649.81)</f>
        <v>649.81</v>
      </c>
      <c r="AT445" s="1">
        <f>IFERROR(__xludf.DUMMYFUNCTION("""COMPUTED_VALUE"""),182.13)</f>
        <v>182.13</v>
      </c>
      <c r="AU445" s="1">
        <f>IFERROR(__xludf.DUMMYFUNCTION("""COMPUTED_VALUE"""),36.98)</f>
        <v>36.98</v>
      </c>
      <c r="AV445" s="1">
        <f>IFERROR(__xludf.DUMMYFUNCTION("""COMPUTED_VALUE"""),98.49)</f>
        <v>98.49</v>
      </c>
      <c r="AW445" s="1">
        <f>IFERROR(__xludf.DUMMYFUNCTION("""COMPUTED_VALUE"""),79.22)</f>
        <v>79.22</v>
      </c>
      <c r="AX445" s="1">
        <f>IFERROR(__xludf.DUMMYFUNCTION("""COMPUTED_VALUE"""),57.94)</f>
        <v>57.94</v>
      </c>
      <c r="AY445" s="1">
        <f>IFERROR(__xludf.DUMMYFUNCTION("""COMPUTED_VALUE"""),399.6)</f>
        <v>399.6</v>
      </c>
      <c r="AZ445" s="1">
        <f>IFERROR(__xludf.DUMMYFUNCTION("""COMPUTED_VALUE"""),91.22)</f>
        <v>91.22</v>
      </c>
      <c r="BA445" s="1">
        <f>IFERROR(__xludf.DUMMYFUNCTION("""COMPUTED_VALUE"""),171.06)</f>
        <v>171.06</v>
      </c>
      <c r="BB445" s="1">
        <f>IFERROR(__xludf.DUMMYFUNCTION("""COMPUTED_VALUE"""),187.98)</f>
        <v>187.98</v>
      </c>
      <c r="BC445" s="1">
        <f>IFERROR(__xludf.DUMMYFUNCTION("""COMPUTED_VALUE"""),92.77)</f>
        <v>92.77</v>
      </c>
      <c r="BD445" s="1">
        <f>IFERROR(__xludf.DUMMYFUNCTION("""COMPUTED_VALUE"""),47.33)</f>
        <v>47.33</v>
      </c>
      <c r="BE445" s="1">
        <f>IFERROR(__xludf.DUMMYFUNCTION("""COMPUTED_VALUE"""),135.38)</f>
        <v>135.38</v>
      </c>
      <c r="BF445" s="1">
        <f>IFERROR(__xludf.DUMMYFUNCTION("""COMPUTED_VALUE"""),41.45)</f>
        <v>41.45</v>
      </c>
      <c r="BG445" s="1">
        <f>IFERROR(__xludf.DUMMYFUNCTION("""COMPUTED_VALUE"""),27.37)</f>
        <v>27.37</v>
      </c>
      <c r="BH445" s="1">
        <f>IFERROR(__xludf.DUMMYFUNCTION("""COMPUTED_VALUE"""),204.81)</f>
        <v>204.81</v>
      </c>
      <c r="BI445" s="1">
        <f>IFERROR(__xludf.DUMMYFUNCTION("""COMPUTED_VALUE"""),99.79)</f>
        <v>99.79</v>
      </c>
      <c r="BJ445" s="1">
        <f>IFERROR(__xludf.DUMMYFUNCTION("""COMPUTED_VALUE"""),213.25)</f>
        <v>213.25</v>
      </c>
      <c r="BK445" s="1">
        <f>IFERROR(__xludf.DUMMYFUNCTION("""COMPUTED_VALUE"""),513.56)</f>
        <v>513.56</v>
      </c>
      <c r="BL445" s="1">
        <f>IFERROR(__xludf.DUMMYFUNCTION("""COMPUTED_VALUE"""),243.2)</f>
        <v>243.2</v>
      </c>
      <c r="BM445" s="1">
        <f>IFERROR(__xludf.DUMMYFUNCTION("""COMPUTED_VALUE"""),135.5)</f>
        <v>135.5</v>
      </c>
      <c r="BN445" s="1">
        <f>IFERROR(__xludf.DUMMYFUNCTION("""COMPUTED_VALUE"""),7.86)</f>
        <v>7.86</v>
      </c>
      <c r="BO445" s="1">
        <f>IFERROR(__xludf.DUMMYFUNCTION("""COMPUTED_VALUE"""),265.0)</f>
        <v>265</v>
      </c>
      <c r="BP445" s="1">
        <f>IFERROR(__xludf.DUMMYFUNCTION("""COMPUTED_VALUE"""),288.2)</f>
        <v>288.2</v>
      </c>
      <c r="BQ445" s="36">
        <f>IFERROR(__xludf.DUMMYFUNCTION("""COMPUTED_VALUE"""),49.71)</f>
        <v>49.71</v>
      </c>
      <c r="BR445" s="1">
        <f>IFERROR(__xludf.DUMMYFUNCTION("""COMPUTED_VALUE"""),16.05)</f>
        <v>16.05</v>
      </c>
      <c r="BS445" s="1">
        <f>IFERROR(__xludf.DUMMYFUNCTION("""COMPUTED_VALUE"""),234.06)</f>
        <v>234.06</v>
      </c>
      <c r="BT445" s="1">
        <f>IFERROR(__xludf.DUMMYFUNCTION("""COMPUTED_VALUE"""),107.1)</f>
        <v>107.1</v>
      </c>
      <c r="BU445" s="3">
        <v>1.0</v>
      </c>
    </row>
    <row r="446">
      <c r="A446" s="25">
        <f>IFERROR(__xludf.DUMMYFUNCTION("""COMPUTED_VALUE"""),46072.66666666667)</f>
        <v>46072.66667</v>
      </c>
      <c r="B446" s="29">
        <f>'Master Scratch Work'!B445</f>
        <v>1654261.47</v>
      </c>
      <c r="C446" s="31">
        <f>IFERROR(__xludf.DUMMYFUNCTION("""COMPUTED_VALUE"""),6909.51)</f>
        <v>6909.51</v>
      </c>
      <c r="D446" s="31">
        <f>IFERROR(__xludf.DUMMYFUNCTION("""COMPUTED_VALUE"""),22682.73)</f>
        <v>22682.73</v>
      </c>
      <c r="E446" s="31">
        <f>IFERROR(__xludf.DUMMYFUNCTION("""COMPUTED_VALUE"""),49395.16)</f>
        <v>49395.16</v>
      </c>
      <c r="F446" s="31">
        <f>IFERROR(__xludf.DUMMYFUNCTION("""COMPUTED_VALUE"""),2665.09)</f>
        <v>2665.09</v>
      </c>
      <c r="G446" s="1">
        <f>IFERROR(__xludf.DUMMYFUNCTION("""COMPUTED_VALUE"""),684.48)</f>
        <v>684.48</v>
      </c>
      <c r="H446" s="1">
        <f>IFERROR(__xludf.DUMMYFUNCTION("""COMPUTED_VALUE"""),603.47)</f>
        <v>603.47</v>
      </c>
      <c r="I446" s="1">
        <f>IFERROR(__xludf.DUMMYFUNCTION("""COMPUTED_VALUE"""),259.21)</f>
        <v>259.21</v>
      </c>
      <c r="J446" s="1">
        <f>IFERROR(__xludf.DUMMYFUNCTION("""COMPUTED_VALUE"""),204.86)</f>
        <v>204.86</v>
      </c>
      <c r="K446" s="1">
        <f>IFERROR(__xludf.DUMMYFUNCTION("""COMPUTED_VALUE"""),131.36)</f>
        <v>131.36</v>
      </c>
      <c r="L446" s="1">
        <f>IFERROR(__xludf.DUMMYFUNCTION("""COMPUTED_VALUE"""),260.58)</f>
        <v>260.58</v>
      </c>
      <c r="M446" s="1">
        <f>IFERROR(__xludf.DUMMYFUNCTION("""COMPUTED_VALUE"""),369.83)</f>
        <v>369.83</v>
      </c>
      <c r="N446" s="1">
        <f>IFERROR(__xludf.DUMMYFUNCTION("""COMPUTED_VALUE"""),118.16)</f>
        <v>118.16</v>
      </c>
      <c r="O446" s="1">
        <f>IFERROR(__xludf.DUMMYFUNCTION("""COMPUTED_VALUE"""),25.91)</f>
        <v>25.91</v>
      </c>
      <c r="P446" s="1">
        <f>IFERROR(__xludf.DUMMYFUNCTION("""COMPUTED_VALUE"""),496.94)</f>
        <v>496.94</v>
      </c>
      <c r="Q446" s="1">
        <f>IFERROR(__xludf.DUMMYFUNCTION("""COMPUTED_VALUE"""),75.07)</f>
        <v>75.07</v>
      </c>
      <c r="R446" s="1">
        <f>IFERROR(__xludf.DUMMYFUNCTION("""COMPUTED_VALUE"""),192.08)</f>
        <v>192.08</v>
      </c>
      <c r="S446" s="1">
        <f>IFERROR(__xludf.DUMMYFUNCTION("""COMPUTED_VALUE"""),75.72)</f>
        <v>75.72</v>
      </c>
      <c r="T446" s="1">
        <f>IFERROR(__xludf.DUMMYFUNCTION("""COMPUTED_VALUE"""),62.92)</f>
        <v>62.92</v>
      </c>
      <c r="U446" s="1">
        <f>IFERROR(__xludf.DUMMYFUNCTION("""COMPUTED_VALUE"""),760.53)</f>
        <v>760.53</v>
      </c>
      <c r="V446" s="1">
        <f>IFERROR(__xludf.DUMMYFUNCTION("""COMPUTED_VALUE"""),119.03)</f>
        <v>119.03</v>
      </c>
      <c r="W446" s="1">
        <f>IFERROR(__xludf.DUMMYFUNCTION("""COMPUTED_VALUE"""),159.05)</f>
        <v>159.05</v>
      </c>
      <c r="X446" s="1">
        <f>IFERROR(__xludf.DUMMYFUNCTION("""COMPUTED_VALUE"""),184.78)</f>
        <v>184.78</v>
      </c>
      <c r="Y446" s="1">
        <f>IFERROR(__xludf.DUMMYFUNCTION("""COMPUTED_VALUE"""),285.92)</f>
        <v>285.92</v>
      </c>
      <c r="Z446" s="1">
        <f>IFERROR(__xludf.DUMMYFUNCTION("""COMPUTED_VALUE"""),64.59)</f>
        <v>64.59</v>
      </c>
      <c r="AA446" s="1">
        <f>IFERROR(__xludf.DUMMYFUNCTION("""COMPUTED_VALUE"""),78.91)</f>
        <v>78.91</v>
      </c>
      <c r="AB446" s="1">
        <f>IFERROR(__xludf.DUMMYFUNCTION("""COMPUTED_VALUE"""),111.92)</f>
        <v>111.92</v>
      </c>
      <c r="AC446" s="1">
        <f>IFERROR(__xludf.DUMMYFUNCTION("""COMPUTED_VALUE"""),176.9)</f>
        <v>176.9</v>
      </c>
      <c r="AD446" s="1">
        <f>IFERROR(__xludf.DUMMYFUNCTION("""COMPUTED_VALUE"""),133.57)</f>
        <v>133.57</v>
      </c>
      <c r="AE446" s="1">
        <f>IFERROR(__xludf.DUMMYFUNCTION("""COMPUTED_VALUE"""),385.13)</f>
        <v>385.13</v>
      </c>
      <c r="AF446" s="1">
        <f>IFERROR(__xludf.DUMMYFUNCTION("""COMPUTED_VALUE"""),84.75)</f>
        <v>84.75</v>
      </c>
      <c r="AG446" s="1">
        <f>IFERROR(__xludf.DUMMYFUNCTION("""COMPUTED_VALUE"""),150.97)</f>
        <v>150.97</v>
      </c>
      <c r="AH446" s="1">
        <f>IFERROR(__xludf.DUMMYFUNCTION("""COMPUTED_VALUE"""),383.14)</f>
        <v>383.14</v>
      </c>
      <c r="AI446" s="1">
        <f>IFERROR(__xludf.DUMMYFUNCTION("""COMPUTED_VALUE"""),366.5)</f>
        <v>366.5</v>
      </c>
      <c r="AJ446" s="1">
        <f>IFERROR(__xludf.DUMMYFUNCTION("""COMPUTED_VALUE"""),354.34)</f>
        <v>354.34</v>
      </c>
      <c r="AK446" s="1">
        <f>IFERROR(__xludf.DUMMYFUNCTION("""COMPUTED_VALUE"""),81.47)</f>
        <v>81.47</v>
      </c>
      <c r="AL446" s="1">
        <f>IFERROR(__xludf.DUMMYFUNCTION("""COMPUTED_VALUE"""),151.12)</f>
        <v>151.12</v>
      </c>
      <c r="AM446" s="1">
        <f>IFERROR(__xludf.DUMMYFUNCTION("""COMPUTED_VALUE"""),916.65)</f>
        <v>916.65</v>
      </c>
      <c r="AN446" s="1">
        <f>IFERROR(__xludf.DUMMYFUNCTION("""COMPUTED_VALUE"""),378.58)</f>
        <v>378.58</v>
      </c>
      <c r="AO446" s="1">
        <f>IFERROR(__xludf.DUMMYFUNCTION("""COMPUTED_VALUE"""),130.94)</f>
        <v>130.94</v>
      </c>
      <c r="AP446" s="1">
        <f>IFERROR(__xludf.DUMMYFUNCTION("""COMPUTED_VALUE"""),154.11)</f>
        <v>154.11</v>
      </c>
      <c r="AQ446" s="1">
        <f>IFERROR(__xludf.DUMMYFUNCTION("""COMPUTED_VALUE"""),499.53)</f>
        <v>499.53</v>
      </c>
      <c r="AR446" s="1">
        <f>IFERROR(__xludf.DUMMYFUNCTION("""COMPUTED_VALUE"""),308.05)</f>
        <v>308.05</v>
      </c>
      <c r="AS446" s="1">
        <f>IFERROR(__xludf.DUMMYFUNCTION("""COMPUTED_VALUE"""),666.51)</f>
        <v>666.51</v>
      </c>
      <c r="AT446" s="1">
        <f>IFERROR(__xludf.DUMMYFUNCTION("""COMPUTED_VALUE"""),182.88)</f>
        <v>182.88</v>
      </c>
      <c r="AU446" s="1">
        <f>IFERROR(__xludf.DUMMYFUNCTION("""COMPUTED_VALUE"""),36.17)</f>
        <v>36.17</v>
      </c>
      <c r="AV446" s="1">
        <f>IFERROR(__xludf.DUMMYFUNCTION("""COMPUTED_VALUE"""),97.58)</f>
        <v>97.58</v>
      </c>
      <c r="AW446" s="1">
        <f>IFERROR(__xludf.DUMMYFUNCTION("""COMPUTED_VALUE"""),78.1)</f>
        <v>78.1</v>
      </c>
      <c r="AX446" s="1">
        <f>IFERROR(__xludf.DUMMYFUNCTION("""COMPUTED_VALUE"""),58.56)</f>
        <v>58.56</v>
      </c>
      <c r="AY446" s="1">
        <f>IFERROR(__xludf.DUMMYFUNCTION("""COMPUTED_VALUE"""),398.46)</f>
        <v>398.46</v>
      </c>
      <c r="AZ446" s="1">
        <f>IFERROR(__xludf.DUMMYFUNCTION("""COMPUTED_VALUE"""),91.64)</f>
        <v>91.64</v>
      </c>
      <c r="BA446" s="1">
        <f>IFERROR(__xludf.DUMMYFUNCTION("""COMPUTED_VALUE"""),175.01)</f>
        <v>175.01</v>
      </c>
      <c r="BB446" s="1">
        <f>IFERROR(__xludf.DUMMYFUNCTION("""COMPUTED_VALUE"""),187.9)</f>
        <v>187.9</v>
      </c>
      <c r="BC446" s="1">
        <f>IFERROR(__xludf.DUMMYFUNCTION("""COMPUTED_VALUE"""),93.04)</f>
        <v>93.04</v>
      </c>
      <c r="BD446" s="1">
        <f>IFERROR(__xludf.DUMMYFUNCTION("""COMPUTED_VALUE"""),48.02)</f>
        <v>48.02</v>
      </c>
      <c r="BE446" s="1">
        <f>IFERROR(__xludf.DUMMYFUNCTION("""COMPUTED_VALUE"""),134.89)</f>
        <v>134.89</v>
      </c>
      <c r="BF446" s="1">
        <f>IFERROR(__xludf.DUMMYFUNCTION("""COMPUTED_VALUE"""),41.73)</f>
        <v>41.73</v>
      </c>
      <c r="BG446" s="1">
        <f>IFERROR(__xludf.DUMMYFUNCTION("""COMPUTED_VALUE"""),26.86)</f>
        <v>26.86</v>
      </c>
      <c r="BH446" s="1">
        <f>IFERROR(__xludf.DUMMYFUNCTION("""COMPUTED_VALUE"""),205.41)</f>
        <v>205.41</v>
      </c>
      <c r="BI446" s="1">
        <f>IFERROR(__xludf.DUMMYFUNCTION("""COMPUTED_VALUE"""),102.74)</f>
        <v>102.74</v>
      </c>
      <c r="BJ446" s="1">
        <f>IFERROR(__xludf.DUMMYFUNCTION("""COMPUTED_VALUE"""),215.3)</f>
        <v>215.3</v>
      </c>
      <c r="BK446" s="1">
        <f>IFERROR(__xludf.DUMMYFUNCTION("""COMPUTED_VALUE"""),515.12)</f>
        <v>515.12</v>
      </c>
      <c r="BL446" s="1">
        <f>IFERROR(__xludf.DUMMYFUNCTION("""COMPUTED_VALUE"""),241.65)</f>
        <v>241.65</v>
      </c>
      <c r="BM446" s="1">
        <f>IFERROR(__xludf.DUMMYFUNCTION("""COMPUTED_VALUE"""),132.88)</f>
        <v>132.88</v>
      </c>
      <c r="BN446" s="1">
        <f>IFERROR(__xludf.DUMMYFUNCTION("""COMPUTED_VALUE"""),7.71)</f>
        <v>7.71</v>
      </c>
      <c r="BO446" s="1">
        <f>IFERROR(__xludf.DUMMYFUNCTION("""COMPUTED_VALUE"""),262.97)</f>
        <v>262.97</v>
      </c>
      <c r="BP446" s="1">
        <f>IFERROR(__xludf.DUMMYFUNCTION("""COMPUTED_VALUE"""),289.93)</f>
        <v>289.93</v>
      </c>
      <c r="BQ446" s="36">
        <f>IFERROR(__xludf.DUMMYFUNCTION("""COMPUTED_VALUE"""),49.74)</f>
        <v>49.74</v>
      </c>
      <c r="BR446" s="1">
        <f>IFERROR(__xludf.DUMMYFUNCTION("""COMPUTED_VALUE"""),15.98)</f>
        <v>15.98</v>
      </c>
      <c r="BS446" s="1">
        <f>IFERROR(__xludf.DUMMYFUNCTION("""COMPUTED_VALUE"""),233.42)</f>
        <v>233.42</v>
      </c>
      <c r="BT446" s="1">
        <f>IFERROR(__xludf.DUMMYFUNCTION("""COMPUTED_VALUE"""),106.0)</f>
        <v>106</v>
      </c>
      <c r="BU446" s="3">
        <v>1.0</v>
      </c>
    </row>
    <row r="447">
      <c r="A447" s="25">
        <f>IFERROR(__xludf.DUMMYFUNCTION("""COMPUTED_VALUE"""),46073.66666666667)</f>
        <v>46073.66667</v>
      </c>
      <c r="B447" s="29">
        <f>'Master Scratch Work'!B446</f>
        <v>1659413.9</v>
      </c>
      <c r="C447" s="31">
        <f>IFERROR(__xludf.DUMMYFUNCTION("""COMPUTED_VALUE"""),6837.75)</f>
        <v>6837.75</v>
      </c>
      <c r="D447" s="31">
        <f>IFERROR(__xludf.DUMMYFUNCTION("""COMPUTED_VALUE"""),22886.07)</f>
        <v>22886.07</v>
      </c>
      <c r="E447" s="31">
        <f>IFERROR(__xludf.DUMMYFUNCTION("""COMPUTED_VALUE"""),49625.97)</f>
        <v>49625.97</v>
      </c>
      <c r="F447" s="31">
        <f>IFERROR(__xludf.DUMMYFUNCTION("""COMPUTED_VALUE"""),2663.78)</f>
        <v>2663.78</v>
      </c>
      <c r="G447" s="1">
        <f>IFERROR(__xludf.DUMMYFUNCTION("""COMPUTED_VALUE"""),689.43)</f>
        <v>689.43</v>
      </c>
      <c r="H447" s="1">
        <f>IFERROR(__xludf.DUMMYFUNCTION("""COMPUTED_VALUE"""),608.81)</f>
        <v>608.81</v>
      </c>
      <c r="I447" s="1">
        <f>IFERROR(__xludf.DUMMYFUNCTION("""COMPUTED_VALUE"""),258.61)</f>
        <v>258.61</v>
      </c>
      <c r="J447" s="1">
        <f>IFERROR(__xludf.DUMMYFUNCTION("""COMPUTED_VALUE"""),210.11)</f>
        <v>210.11</v>
      </c>
      <c r="K447" s="1">
        <f>IFERROR(__xludf.DUMMYFUNCTION("""COMPUTED_VALUE"""),129.37)</f>
        <v>129.37</v>
      </c>
      <c r="L447" s="1">
        <f>IFERROR(__xludf.DUMMYFUNCTION("""COMPUTED_VALUE"""),264.58)</f>
        <v>264.58</v>
      </c>
      <c r="M447" s="1">
        <f>IFERROR(__xludf.DUMMYFUNCTION("""COMPUTED_VALUE"""),375.38)</f>
        <v>375.38</v>
      </c>
      <c r="N447" s="1">
        <f>IFERROR(__xludf.DUMMYFUNCTION("""COMPUTED_VALUE"""),118.19)</f>
        <v>118.19</v>
      </c>
      <c r="O447" s="1">
        <f>IFERROR(__xludf.DUMMYFUNCTION("""COMPUTED_VALUE"""),25.99)</f>
        <v>25.99</v>
      </c>
      <c r="P447" s="1">
        <f>IFERROR(__xludf.DUMMYFUNCTION("""COMPUTED_VALUE"""),498.2)</f>
        <v>498.2</v>
      </c>
      <c r="Q447" s="1">
        <f>IFERROR(__xludf.DUMMYFUNCTION("""COMPUTED_VALUE"""),76.82)</f>
        <v>76.82</v>
      </c>
      <c r="R447" s="1">
        <f>IFERROR(__xludf.DUMMYFUNCTION("""COMPUTED_VALUE"""),192.03)</f>
        <v>192.03</v>
      </c>
      <c r="S447" s="1">
        <f>IFERROR(__xludf.DUMMYFUNCTION("""COMPUTED_VALUE"""),74.58)</f>
        <v>74.58</v>
      </c>
      <c r="T447" s="1">
        <f>IFERROR(__xludf.DUMMYFUNCTION("""COMPUTED_VALUE"""),64.14)</f>
        <v>64.14</v>
      </c>
      <c r="U447" s="1">
        <f>IFERROR(__xludf.DUMMYFUNCTION("""COMPUTED_VALUE"""),759.74)</f>
        <v>759.74</v>
      </c>
      <c r="V447" s="1">
        <f>IFERROR(__xludf.DUMMYFUNCTION("""COMPUTED_VALUE"""),121.35)</f>
        <v>121.35</v>
      </c>
      <c r="W447" s="1">
        <f>IFERROR(__xludf.DUMMYFUNCTION("""COMPUTED_VALUE"""),159.04)</f>
        <v>159.04</v>
      </c>
      <c r="X447" s="1">
        <f>IFERROR(__xludf.DUMMYFUNCTION("""COMPUTED_VALUE"""),183.93)</f>
        <v>183.93</v>
      </c>
      <c r="Y447" s="1">
        <f>IFERROR(__xludf.DUMMYFUNCTION("""COMPUTED_VALUE"""),280.31)</f>
        <v>280.31</v>
      </c>
      <c r="Z447" s="1">
        <f>IFERROR(__xludf.DUMMYFUNCTION("""COMPUTED_VALUE"""),65.29)</f>
        <v>65.29</v>
      </c>
      <c r="AA447" s="1">
        <f>IFERROR(__xludf.DUMMYFUNCTION("""COMPUTED_VALUE"""),79.84)</f>
        <v>79.84</v>
      </c>
      <c r="AB447" s="1">
        <f>IFERROR(__xludf.DUMMYFUNCTION("""COMPUTED_VALUE"""),109.81)</f>
        <v>109.81</v>
      </c>
      <c r="AC447" s="1">
        <f>IFERROR(__xludf.DUMMYFUNCTION("""COMPUTED_VALUE"""),175.68)</f>
        <v>175.68</v>
      </c>
      <c r="AD447" s="1">
        <f>IFERROR(__xludf.DUMMYFUNCTION("""COMPUTED_VALUE"""),134.51)</f>
        <v>134.51</v>
      </c>
      <c r="AE447" s="1">
        <f>IFERROR(__xludf.DUMMYFUNCTION("""COMPUTED_VALUE"""),384.61)</f>
        <v>384.61</v>
      </c>
      <c r="AF447" s="1">
        <f>IFERROR(__xludf.DUMMYFUNCTION("""COMPUTED_VALUE"""),88.07)</f>
        <v>88.07</v>
      </c>
      <c r="AG447" s="1">
        <f>IFERROR(__xludf.DUMMYFUNCTION("""COMPUTED_VALUE"""),147.28)</f>
        <v>147.28</v>
      </c>
      <c r="AH447" s="1">
        <f>IFERROR(__xludf.DUMMYFUNCTION("""COMPUTED_VALUE"""),388.48)</f>
        <v>388.48</v>
      </c>
      <c r="AI447" s="1">
        <f>IFERROR(__xludf.DUMMYFUNCTION("""COMPUTED_VALUE"""),366.95)</f>
        <v>366.95</v>
      </c>
      <c r="AJ447" s="1">
        <f>IFERROR(__xludf.DUMMYFUNCTION("""COMPUTED_VALUE"""),351.42)</f>
        <v>351.42</v>
      </c>
      <c r="AK447" s="1">
        <f>IFERROR(__xludf.DUMMYFUNCTION("""COMPUTED_VALUE"""),81.51)</f>
        <v>81.51</v>
      </c>
      <c r="AL447" s="1">
        <f>IFERROR(__xludf.DUMMYFUNCTION("""COMPUTED_VALUE"""),151.4)</f>
        <v>151.4</v>
      </c>
      <c r="AM447" s="1">
        <f>IFERROR(__xludf.DUMMYFUNCTION("""COMPUTED_VALUE"""),922.24)</f>
        <v>922.24</v>
      </c>
      <c r="AN447" s="1">
        <f>IFERROR(__xludf.DUMMYFUNCTION("""COMPUTED_VALUE"""),382.25)</f>
        <v>382.25</v>
      </c>
      <c r="AO447" s="1">
        <f>IFERROR(__xludf.DUMMYFUNCTION("""COMPUTED_VALUE"""),131.53)</f>
        <v>131.53</v>
      </c>
      <c r="AP447" s="1">
        <f>IFERROR(__xludf.DUMMYFUNCTION("""COMPUTED_VALUE"""),154.01)</f>
        <v>154.01</v>
      </c>
      <c r="AQ447" s="1">
        <f>IFERROR(__xludf.DUMMYFUNCTION("""COMPUTED_VALUE"""),504.05)</f>
        <v>504.05</v>
      </c>
      <c r="AR447" s="1">
        <f>IFERROR(__xludf.DUMMYFUNCTION("""COMPUTED_VALUE"""),310.79)</f>
        <v>310.79</v>
      </c>
      <c r="AS447" s="1">
        <f>IFERROR(__xludf.DUMMYFUNCTION("""COMPUTED_VALUE"""),658.26)</f>
        <v>658.26</v>
      </c>
      <c r="AT447" s="1">
        <f>IFERROR(__xludf.DUMMYFUNCTION("""COMPUTED_VALUE"""),187.3)</f>
        <v>187.3</v>
      </c>
      <c r="AU447" s="1">
        <f>IFERROR(__xludf.DUMMYFUNCTION("""COMPUTED_VALUE"""),36.68)</f>
        <v>36.68</v>
      </c>
      <c r="AV447" s="1">
        <f>IFERROR(__xludf.DUMMYFUNCTION("""COMPUTED_VALUE"""),96.86)</f>
        <v>96.86</v>
      </c>
      <c r="AW447" s="1">
        <f>IFERROR(__xludf.DUMMYFUNCTION("""COMPUTED_VALUE"""),79.1)</f>
        <v>79.1</v>
      </c>
      <c r="AX447" s="1">
        <f>IFERROR(__xludf.DUMMYFUNCTION("""COMPUTED_VALUE"""),55.34)</f>
        <v>55.34</v>
      </c>
      <c r="AY447" s="1">
        <f>IFERROR(__xludf.DUMMYFUNCTION("""COMPUTED_VALUE"""),397.23)</f>
        <v>397.23</v>
      </c>
      <c r="AZ447" s="1">
        <f>IFERROR(__xludf.DUMMYFUNCTION("""COMPUTED_VALUE"""),92.18)</f>
        <v>92.18</v>
      </c>
      <c r="BA447" s="1">
        <f>IFERROR(__xludf.DUMMYFUNCTION("""COMPUTED_VALUE"""),179.18)</f>
        <v>179.18</v>
      </c>
      <c r="BB447" s="1">
        <f>IFERROR(__xludf.DUMMYFUNCTION("""COMPUTED_VALUE"""),189.82)</f>
        <v>189.82</v>
      </c>
      <c r="BC447" s="1">
        <f>IFERROR(__xludf.DUMMYFUNCTION("""COMPUTED_VALUE"""),92.67)</f>
        <v>92.67</v>
      </c>
      <c r="BD447" s="1">
        <f>IFERROR(__xludf.DUMMYFUNCTION("""COMPUTED_VALUE"""),49.42)</f>
        <v>49.42</v>
      </c>
      <c r="BE447" s="1">
        <f>IFERROR(__xludf.DUMMYFUNCTION("""COMPUTED_VALUE"""),135.24)</f>
        <v>135.24</v>
      </c>
      <c r="BF447" s="1">
        <f>IFERROR(__xludf.DUMMYFUNCTION("""COMPUTED_VALUE"""),41.65)</f>
        <v>41.65</v>
      </c>
      <c r="BG447" s="1">
        <f>IFERROR(__xludf.DUMMYFUNCTION("""COMPUTED_VALUE"""),26.65)</f>
        <v>26.65</v>
      </c>
      <c r="BH447" s="1">
        <f>IFERROR(__xludf.DUMMYFUNCTION("""COMPUTED_VALUE"""),204.92)</f>
        <v>204.92</v>
      </c>
      <c r="BI447" s="1">
        <f>IFERROR(__xludf.DUMMYFUNCTION("""COMPUTED_VALUE"""),101.83)</f>
        <v>101.83</v>
      </c>
      <c r="BJ447" s="1">
        <f>IFERROR(__xludf.DUMMYFUNCTION("""COMPUTED_VALUE"""),215.46)</f>
        <v>215.46</v>
      </c>
      <c r="BK447" s="1">
        <f>IFERROR(__xludf.DUMMYFUNCTION("""COMPUTED_VALUE"""),510.93)</f>
        <v>510.93</v>
      </c>
      <c r="BL447" s="1">
        <f>IFERROR(__xludf.DUMMYFUNCTION("""COMPUTED_VALUE"""),239.6)</f>
        <v>239.6</v>
      </c>
      <c r="BM447" s="1">
        <f>IFERROR(__xludf.DUMMYFUNCTION("""COMPUTED_VALUE"""),134.25)</f>
        <v>134.25</v>
      </c>
      <c r="BN447" s="1">
        <f>IFERROR(__xludf.DUMMYFUNCTION("""COMPUTED_VALUE"""),8.14)</f>
        <v>8.14</v>
      </c>
      <c r="BO447" s="1">
        <f>IFERROR(__xludf.DUMMYFUNCTION("""COMPUTED_VALUE"""),266.1)</f>
        <v>266.1</v>
      </c>
      <c r="BP447" s="1">
        <f>IFERROR(__xludf.DUMMYFUNCTION("""COMPUTED_VALUE"""),290.0)</f>
        <v>290</v>
      </c>
      <c r="BQ447" s="36">
        <f>IFERROR(__xludf.DUMMYFUNCTION("""COMPUTED_VALUE"""),49.74)</f>
        <v>49.74</v>
      </c>
      <c r="BR447" s="1">
        <f>IFERROR(__xludf.DUMMYFUNCTION("""COMPUTED_VALUE"""),15.92)</f>
        <v>15.92</v>
      </c>
      <c r="BS447" s="1">
        <f>IFERROR(__xludf.DUMMYFUNCTION("""COMPUTED_VALUE"""),230.31)</f>
        <v>230.31</v>
      </c>
      <c r="BT447" s="1">
        <f>IFERROR(__xludf.DUMMYFUNCTION("""COMPUTED_VALUE"""),105.58)</f>
        <v>105.58</v>
      </c>
      <c r="BU447" s="3">
        <v>1.0</v>
      </c>
    </row>
    <row r="448">
      <c r="A448" s="25">
        <f>IFERROR(__xludf.DUMMYFUNCTION("""COMPUTED_VALUE"""),46076.66666666667)</f>
        <v>46076.66667</v>
      </c>
      <c r="B448" s="29">
        <f>'Master Scratch Work'!B447</f>
        <v>1646791.15</v>
      </c>
      <c r="C448" s="31"/>
      <c r="D448" s="31">
        <f>IFERROR(__xludf.DUMMYFUNCTION("""COMPUTED_VALUE"""),22627.27)</f>
        <v>22627.27</v>
      </c>
      <c r="E448" s="31">
        <f>IFERROR(__xludf.DUMMYFUNCTION("""COMPUTED_VALUE"""),48804.06)</f>
        <v>48804.06</v>
      </c>
      <c r="F448" s="31">
        <f>IFERROR(__xludf.DUMMYFUNCTION("""COMPUTED_VALUE"""),2620.99)</f>
        <v>2620.99</v>
      </c>
      <c r="G448" s="1">
        <f>IFERROR(__xludf.DUMMYFUNCTION("""COMPUTED_VALUE"""),682.39)</f>
        <v>682.39</v>
      </c>
      <c r="H448" s="1">
        <f>IFERROR(__xludf.DUMMYFUNCTION("""COMPUTED_VALUE"""),601.41)</f>
        <v>601.41</v>
      </c>
      <c r="I448" s="1">
        <f>IFERROR(__xludf.DUMMYFUNCTION("""COMPUTED_VALUE"""),246.68)</f>
        <v>246.68</v>
      </c>
      <c r="J448" s="1">
        <f>IFERROR(__xludf.DUMMYFUNCTION("""COMPUTED_VALUE"""),205.27)</f>
        <v>205.27</v>
      </c>
      <c r="K448" s="1">
        <f>IFERROR(__xludf.DUMMYFUNCTION("""COMPUTED_VALUE"""),132.92)</f>
        <v>132.92</v>
      </c>
      <c r="L448" s="1">
        <f>IFERROR(__xludf.DUMMYFUNCTION("""COMPUTED_VALUE"""),266.18)</f>
        <v>266.18</v>
      </c>
      <c r="M448" s="1">
        <f>IFERROR(__xludf.DUMMYFUNCTION("""COMPUTED_VALUE"""),373.55)</f>
        <v>373.55</v>
      </c>
      <c r="N448" s="1">
        <f>IFERROR(__xludf.DUMMYFUNCTION("""COMPUTED_VALUE"""),115.54)</f>
        <v>115.54</v>
      </c>
      <c r="O448" s="1">
        <f>IFERROR(__xludf.DUMMYFUNCTION("""COMPUTED_VALUE"""),25.11)</f>
        <v>25.11</v>
      </c>
      <c r="P448" s="1">
        <f>IFERROR(__xludf.DUMMYFUNCTION("""COMPUTED_VALUE"""),494.09)</f>
        <v>494.09</v>
      </c>
      <c r="Q448" s="1">
        <f>IFERROR(__xludf.DUMMYFUNCTION("""COMPUTED_VALUE"""),78.01)</f>
        <v>78.01</v>
      </c>
      <c r="R448" s="1">
        <f>IFERROR(__xludf.DUMMYFUNCTION("""COMPUTED_VALUE"""),196.34)</f>
        <v>196.34</v>
      </c>
      <c r="S448" s="1">
        <f>IFERROR(__xludf.DUMMYFUNCTION("""COMPUTED_VALUE"""),74.37)</f>
        <v>74.37</v>
      </c>
      <c r="T448" s="1">
        <f>IFERROR(__xludf.DUMMYFUNCTION("""COMPUTED_VALUE"""),63.46)</f>
        <v>63.46</v>
      </c>
      <c r="U448" s="1">
        <f>IFERROR(__xludf.DUMMYFUNCTION("""COMPUTED_VALUE"""),756.47)</f>
        <v>756.47</v>
      </c>
      <c r="V448" s="1">
        <f>IFERROR(__xludf.DUMMYFUNCTION("""COMPUTED_VALUE"""),118.75)</f>
        <v>118.75</v>
      </c>
      <c r="W448" s="1">
        <f>IFERROR(__xludf.DUMMYFUNCTION("""COMPUTED_VALUE"""),154.89)</f>
        <v>154.89</v>
      </c>
      <c r="X448" s="1">
        <f>IFERROR(__xludf.DUMMYFUNCTION("""COMPUTED_VALUE"""),184.91)</f>
        <v>184.91</v>
      </c>
      <c r="Y448" s="1">
        <f>IFERROR(__xludf.DUMMYFUNCTION("""COMPUTED_VALUE"""),283.18)</f>
        <v>283.18</v>
      </c>
      <c r="Z448" s="1">
        <f>IFERROR(__xludf.DUMMYFUNCTION("""COMPUTED_VALUE"""),62.49)</f>
        <v>62.49</v>
      </c>
      <c r="AA448" s="1">
        <f>IFERROR(__xludf.DUMMYFUNCTION("""COMPUTED_VALUE"""),80.56)</f>
        <v>80.56</v>
      </c>
      <c r="AB448" s="1">
        <f>IFERROR(__xludf.DUMMYFUNCTION("""COMPUTED_VALUE"""),112.14)</f>
        <v>112.14</v>
      </c>
      <c r="AC448" s="1">
        <f>IFERROR(__xludf.DUMMYFUNCTION("""COMPUTED_VALUE"""),176.09)</f>
        <v>176.09</v>
      </c>
      <c r="AD448" s="1">
        <f>IFERROR(__xludf.DUMMYFUNCTION("""COMPUTED_VALUE"""),130.41)</f>
        <v>130.41</v>
      </c>
      <c r="AE448" s="1">
        <f>IFERROR(__xludf.DUMMYFUNCTION("""COMPUTED_VALUE"""),400.36)</f>
        <v>400.36</v>
      </c>
      <c r="AF448" s="1">
        <f>IFERROR(__xludf.DUMMYFUNCTION("""COMPUTED_VALUE"""),84.31)</f>
        <v>84.31</v>
      </c>
      <c r="AG448" s="1">
        <f>IFERROR(__xludf.DUMMYFUNCTION("""COMPUTED_VALUE"""),150.76)</f>
        <v>150.76</v>
      </c>
      <c r="AH448" s="1">
        <f>IFERROR(__xludf.DUMMYFUNCTION("""COMPUTED_VALUE"""),383.71)</f>
        <v>383.71</v>
      </c>
      <c r="AI448" s="1">
        <f>IFERROR(__xludf.DUMMYFUNCTION("""COMPUTED_VALUE"""),358.42)</f>
        <v>358.42</v>
      </c>
      <c r="AJ448" s="1">
        <f>IFERROR(__xludf.DUMMYFUNCTION("""COMPUTED_VALUE"""),348.98)</f>
        <v>348.98</v>
      </c>
      <c r="AK448" s="1">
        <f>IFERROR(__xludf.DUMMYFUNCTION("""COMPUTED_VALUE"""),79.66)</f>
        <v>79.66</v>
      </c>
      <c r="AL448" s="1">
        <f>IFERROR(__xludf.DUMMYFUNCTION("""COMPUTED_VALUE"""),149.83)</f>
        <v>149.83</v>
      </c>
      <c r="AM448" s="1">
        <f>IFERROR(__xludf.DUMMYFUNCTION("""COMPUTED_VALUE"""),892.31)</f>
        <v>892.31</v>
      </c>
      <c r="AN448" s="1">
        <f>IFERROR(__xludf.DUMMYFUNCTION("""COMPUTED_VALUE"""),376.99)</f>
        <v>376.99</v>
      </c>
      <c r="AO448" s="1">
        <f>IFERROR(__xludf.DUMMYFUNCTION("""COMPUTED_VALUE"""),127.23)</f>
        <v>127.23</v>
      </c>
      <c r="AP448" s="1">
        <f>IFERROR(__xludf.DUMMYFUNCTION("""COMPUTED_VALUE"""),154.1)</f>
        <v>154.1</v>
      </c>
      <c r="AQ448" s="1">
        <f>IFERROR(__xludf.DUMMYFUNCTION("""COMPUTED_VALUE"""),492.1)</f>
        <v>492.1</v>
      </c>
      <c r="AR448" s="1">
        <f>IFERROR(__xludf.DUMMYFUNCTION("""COMPUTED_VALUE"""),297.67)</f>
        <v>297.67</v>
      </c>
      <c r="AS448" s="1">
        <f>IFERROR(__xludf.DUMMYFUNCTION("""COMPUTED_VALUE"""),660.62)</f>
        <v>660.62</v>
      </c>
      <c r="AT448" s="1">
        <f>IFERROR(__xludf.DUMMYFUNCTION("""COMPUTED_VALUE"""),178.11)</f>
        <v>178.11</v>
      </c>
      <c r="AU448" s="1">
        <f>IFERROR(__xludf.DUMMYFUNCTION("""COMPUTED_VALUE"""),35.92)</f>
        <v>35.92</v>
      </c>
      <c r="AV448" s="1">
        <f>IFERROR(__xludf.DUMMYFUNCTION("""COMPUTED_VALUE"""),98.61)</f>
        <v>98.61</v>
      </c>
      <c r="AW448" s="1">
        <f>IFERROR(__xludf.DUMMYFUNCTION("""COMPUTED_VALUE"""),75.24)</f>
        <v>75.24</v>
      </c>
      <c r="AX448" s="1">
        <f>IFERROR(__xludf.DUMMYFUNCTION("""COMPUTED_VALUE"""),55.7)</f>
        <v>55.7</v>
      </c>
      <c r="AY448" s="1">
        <f>IFERROR(__xludf.DUMMYFUNCTION("""COMPUTED_VALUE"""),384.47)</f>
        <v>384.47</v>
      </c>
      <c r="AZ448" s="1">
        <f>IFERROR(__xludf.DUMMYFUNCTION("""COMPUTED_VALUE"""),94.06)</f>
        <v>94.06</v>
      </c>
      <c r="BA448" s="1">
        <f>IFERROR(__xludf.DUMMYFUNCTION("""COMPUTED_VALUE"""),176.52)</f>
        <v>176.52</v>
      </c>
      <c r="BB448" s="1">
        <f>IFERROR(__xludf.DUMMYFUNCTION("""COMPUTED_VALUE"""),191.55)</f>
        <v>191.55</v>
      </c>
      <c r="BC448" s="1">
        <f>IFERROR(__xludf.DUMMYFUNCTION("""COMPUTED_VALUE"""),90.55)</f>
        <v>90.55</v>
      </c>
      <c r="BD448" s="1">
        <f>IFERROR(__xludf.DUMMYFUNCTION("""COMPUTED_VALUE"""),47.44)</f>
        <v>47.44</v>
      </c>
      <c r="BE448" s="1">
        <f>IFERROR(__xludf.DUMMYFUNCTION("""COMPUTED_VALUE"""),130.6)</f>
        <v>130.6</v>
      </c>
      <c r="BF448" s="1">
        <f>IFERROR(__xludf.DUMMYFUNCTION("""COMPUTED_VALUE"""),44.05)</f>
        <v>44.05</v>
      </c>
      <c r="BG448" s="1">
        <f>IFERROR(__xludf.DUMMYFUNCTION("""COMPUTED_VALUE"""),27.06)</f>
        <v>27.06</v>
      </c>
      <c r="BH448" s="1">
        <f>IFERROR(__xludf.DUMMYFUNCTION("""COMPUTED_VALUE"""),201.92)</f>
        <v>201.92</v>
      </c>
      <c r="BI448" s="1">
        <f>IFERROR(__xludf.DUMMYFUNCTION("""COMPUTED_VALUE"""),103.68)</f>
        <v>103.68</v>
      </c>
      <c r="BJ448" s="1">
        <f>IFERROR(__xludf.DUMMYFUNCTION("""COMPUTED_VALUE"""),219.95)</f>
        <v>219.95</v>
      </c>
      <c r="BK448" s="1">
        <f>IFERROR(__xludf.DUMMYFUNCTION("""COMPUTED_VALUE"""),516.44)</f>
        <v>516.44</v>
      </c>
      <c r="BL448" s="1">
        <f>IFERROR(__xludf.DUMMYFUNCTION("""COMPUTED_VALUE"""),238.03)</f>
        <v>238.03</v>
      </c>
      <c r="BM448" s="1">
        <f>IFERROR(__xludf.DUMMYFUNCTION("""COMPUTED_VALUE"""),134.65)</f>
        <v>134.65</v>
      </c>
      <c r="BN448" s="1">
        <f>IFERROR(__xludf.DUMMYFUNCTION("""COMPUTED_VALUE"""),7.62)</f>
        <v>7.62</v>
      </c>
      <c r="BO448" s="1">
        <f>IFERROR(__xludf.DUMMYFUNCTION("""COMPUTED_VALUE"""),263.76)</f>
        <v>263.76</v>
      </c>
      <c r="BP448" s="1">
        <f>IFERROR(__xludf.DUMMYFUNCTION("""COMPUTED_VALUE"""),282.34)</f>
        <v>282.34</v>
      </c>
      <c r="BQ448" s="36">
        <f>IFERROR(__xludf.DUMMYFUNCTION("""COMPUTED_VALUE"""),49.77)</f>
        <v>49.77</v>
      </c>
      <c r="BR448" s="1">
        <f>IFERROR(__xludf.DUMMYFUNCTION("""COMPUTED_VALUE"""),15.95)</f>
        <v>15.95</v>
      </c>
      <c r="BS448" s="1">
        <f>IFERROR(__xludf.DUMMYFUNCTION("""COMPUTED_VALUE"""),230.56)</f>
        <v>230.56</v>
      </c>
      <c r="BT448" s="1">
        <f>IFERROR(__xludf.DUMMYFUNCTION("""COMPUTED_VALUE"""),104.41)</f>
        <v>104.41</v>
      </c>
      <c r="BU448" s="3">
        <v>1.0</v>
      </c>
    </row>
    <row r="449">
      <c r="A449" s="25">
        <f>IFERROR(__xludf.DUMMYFUNCTION("""COMPUTED_VALUE"""),46077.66666666667)</f>
        <v>46077.66667</v>
      </c>
      <c r="B449" s="29">
        <f>'Master Scratch Work'!B448</f>
        <v>1658009.01</v>
      </c>
      <c r="C449" s="31"/>
      <c r="D449" s="31">
        <f>IFERROR(__xludf.DUMMYFUNCTION("""COMPUTED_VALUE"""),22863.68)</f>
        <v>22863.68</v>
      </c>
      <c r="E449" s="31"/>
      <c r="F449" s="31">
        <f>IFERROR(__xludf.DUMMYFUNCTION("""COMPUTED_VALUE"""),2652.33)</f>
        <v>2652.33</v>
      </c>
      <c r="G449" s="1">
        <f>IFERROR(__xludf.DUMMYFUNCTION("""COMPUTED_VALUE"""),687.35)</f>
        <v>687.35</v>
      </c>
      <c r="H449" s="1">
        <f>IFERROR(__xludf.DUMMYFUNCTION("""COMPUTED_VALUE"""),607.87)</f>
        <v>607.87</v>
      </c>
      <c r="I449" s="1">
        <f>IFERROR(__xludf.DUMMYFUNCTION("""COMPUTED_VALUE"""),255.17)</f>
        <v>255.17</v>
      </c>
      <c r="J449" s="1">
        <f>IFERROR(__xludf.DUMMYFUNCTION("""COMPUTED_VALUE"""),208.56)</f>
        <v>208.56</v>
      </c>
      <c r="K449" s="1">
        <f>IFERROR(__xludf.DUMMYFUNCTION("""COMPUTED_VALUE"""),134.08)</f>
        <v>134.08</v>
      </c>
      <c r="L449" s="1">
        <f>IFERROR(__xludf.DUMMYFUNCTION("""COMPUTED_VALUE"""),272.14)</f>
        <v>272.14</v>
      </c>
      <c r="M449" s="1">
        <f>IFERROR(__xludf.DUMMYFUNCTION("""COMPUTED_VALUE"""),377.93)</f>
        <v>377.93</v>
      </c>
      <c r="N449" s="1">
        <f>IFERROR(__xludf.DUMMYFUNCTION("""COMPUTED_VALUE"""),116.55)</f>
        <v>116.55</v>
      </c>
      <c r="O449" s="1">
        <f>IFERROR(__xludf.DUMMYFUNCTION("""COMPUTED_VALUE"""),25.14)</f>
        <v>25.14</v>
      </c>
      <c r="P449" s="1">
        <f>IFERROR(__xludf.DUMMYFUNCTION("""COMPUTED_VALUE"""),494.51)</f>
        <v>494.51</v>
      </c>
      <c r="Q449" s="1">
        <f>IFERROR(__xludf.DUMMYFUNCTION("""COMPUTED_VALUE"""),79.65)</f>
        <v>79.65</v>
      </c>
      <c r="R449" s="1">
        <f>IFERROR(__xludf.DUMMYFUNCTION("""COMPUTED_VALUE"""),195.13)</f>
        <v>195.13</v>
      </c>
      <c r="S449" s="1">
        <f>IFERROR(__xludf.DUMMYFUNCTION("""COMPUTED_VALUE"""),75.15)</f>
        <v>75.15</v>
      </c>
      <c r="T449" s="1">
        <f>IFERROR(__xludf.DUMMYFUNCTION("""COMPUTED_VALUE"""),63.53)</f>
        <v>63.53</v>
      </c>
      <c r="U449" s="1">
        <f>IFERROR(__xludf.DUMMYFUNCTION("""COMPUTED_VALUE"""),768.23)</f>
        <v>768.23</v>
      </c>
      <c r="V449" s="1">
        <f>IFERROR(__xludf.DUMMYFUNCTION("""COMPUTED_VALUE"""),121.08)</f>
        <v>121.08</v>
      </c>
      <c r="W449" s="1">
        <f>IFERROR(__xludf.DUMMYFUNCTION("""COMPUTED_VALUE"""),152.44)</f>
        <v>152.44</v>
      </c>
      <c r="X449" s="1">
        <f>IFERROR(__xludf.DUMMYFUNCTION("""COMPUTED_VALUE"""),185.34)</f>
        <v>185.34</v>
      </c>
      <c r="Y449" s="1">
        <f>IFERROR(__xludf.DUMMYFUNCTION("""COMPUTED_VALUE"""),281.0)</f>
        <v>281</v>
      </c>
      <c r="Z449" s="1">
        <f>IFERROR(__xludf.DUMMYFUNCTION("""COMPUTED_VALUE"""),62.07)</f>
        <v>62.07</v>
      </c>
      <c r="AA449" s="1">
        <f>IFERROR(__xludf.DUMMYFUNCTION("""COMPUTED_VALUE"""),80.72)</f>
        <v>80.72</v>
      </c>
      <c r="AB449" s="1">
        <f>IFERROR(__xludf.DUMMYFUNCTION("""COMPUTED_VALUE"""),111.01)</f>
        <v>111.01</v>
      </c>
      <c r="AC449" s="1">
        <f>IFERROR(__xludf.DUMMYFUNCTION("""COMPUTED_VALUE"""),178.24)</f>
        <v>178.24</v>
      </c>
      <c r="AD449" s="1">
        <f>IFERROR(__xludf.DUMMYFUNCTION("""COMPUTED_VALUE"""),131.71)</f>
        <v>131.71</v>
      </c>
      <c r="AE449" s="1">
        <f>IFERROR(__xludf.DUMMYFUNCTION("""COMPUTED_VALUE"""),414.2)</f>
        <v>414.2</v>
      </c>
      <c r="AF449" s="1">
        <f>IFERROR(__xludf.DUMMYFUNCTION("""COMPUTED_VALUE"""),85.3)</f>
        <v>85.3</v>
      </c>
      <c r="AG449" s="1">
        <f>IFERROR(__xludf.DUMMYFUNCTION("""COMPUTED_VALUE"""),149.26)</f>
        <v>149.26</v>
      </c>
      <c r="AH449" s="1">
        <f>IFERROR(__xludf.DUMMYFUNCTION("""COMPUTED_VALUE"""),386.56)</f>
        <v>386.56</v>
      </c>
      <c r="AI449" s="1">
        <f>IFERROR(__xludf.DUMMYFUNCTION("""COMPUTED_VALUE"""),373.92)</f>
        <v>373.92</v>
      </c>
      <c r="AJ449" s="1">
        <f>IFERROR(__xludf.DUMMYFUNCTION("""COMPUTED_VALUE"""),351.18)</f>
        <v>351.18</v>
      </c>
      <c r="AK449" s="1">
        <f>IFERROR(__xludf.DUMMYFUNCTION("""COMPUTED_VALUE"""),81.29)</f>
        <v>81.29</v>
      </c>
      <c r="AL449" s="1">
        <f>IFERROR(__xludf.DUMMYFUNCTION("""COMPUTED_VALUE"""),147.64)</f>
        <v>147.64</v>
      </c>
      <c r="AM449" s="1">
        <f>IFERROR(__xludf.DUMMYFUNCTION("""COMPUTED_VALUE"""),902.27)</f>
        <v>902.27</v>
      </c>
      <c r="AN449" s="1">
        <f>IFERROR(__xludf.DUMMYFUNCTION("""COMPUTED_VALUE"""),384.48)</f>
        <v>384.48</v>
      </c>
      <c r="AO449" s="1">
        <f>IFERROR(__xludf.DUMMYFUNCTION("""COMPUTED_VALUE"""),126.16)</f>
        <v>126.16</v>
      </c>
      <c r="AP449" s="1">
        <f>IFERROR(__xludf.DUMMYFUNCTION("""COMPUTED_VALUE"""),155.36)</f>
        <v>155.36</v>
      </c>
      <c r="AQ449" s="1">
        <f>IFERROR(__xludf.DUMMYFUNCTION("""COMPUTED_VALUE"""),494.02)</f>
        <v>494.02</v>
      </c>
      <c r="AR449" s="1">
        <f>IFERROR(__xludf.DUMMYFUNCTION("""COMPUTED_VALUE"""),297.3)</f>
        <v>297.3</v>
      </c>
      <c r="AS449" s="1">
        <f>IFERROR(__xludf.DUMMYFUNCTION("""COMPUTED_VALUE"""),664.43)</f>
        <v>664.43</v>
      </c>
      <c r="AT449" s="1">
        <f>IFERROR(__xludf.DUMMYFUNCTION("""COMPUTED_VALUE"""),179.49)</f>
        <v>179.49</v>
      </c>
      <c r="AU449" s="1">
        <f>IFERROR(__xludf.DUMMYFUNCTION("""COMPUTED_VALUE"""),35.79)</f>
        <v>35.79</v>
      </c>
      <c r="AV449" s="1">
        <f>IFERROR(__xludf.DUMMYFUNCTION("""COMPUTED_VALUE"""),96.75)</f>
        <v>96.75</v>
      </c>
      <c r="AW449" s="1">
        <f>IFERROR(__xludf.DUMMYFUNCTION("""COMPUTED_VALUE"""),75.34)</f>
        <v>75.34</v>
      </c>
      <c r="AX449" s="1">
        <f>IFERROR(__xludf.DUMMYFUNCTION("""COMPUTED_VALUE"""),58.44)</f>
        <v>58.44</v>
      </c>
      <c r="AY449" s="1">
        <f>IFERROR(__xludf.DUMMYFUNCTION("""COMPUTED_VALUE"""),389.0)</f>
        <v>389</v>
      </c>
      <c r="AZ449" s="1">
        <f>IFERROR(__xludf.DUMMYFUNCTION("""COMPUTED_VALUE"""),95.68)</f>
        <v>95.68</v>
      </c>
      <c r="BA449" s="1">
        <f>IFERROR(__xludf.DUMMYFUNCTION("""COMPUTED_VALUE"""),184.03)</f>
        <v>184.03</v>
      </c>
      <c r="BB449" s="1">
        <f>IFERROR(__xludf.DUMMYFUNCTION("""COMPUTED_VALUE"""),192.85)</f>
        <v>192.85</v>
      </c>
      <c r="BC449" s="1">
        <f>IFERROR(__xludf.DUMMYFUNCTION("""COMPUTED_VALUE"""),89.91)</f>
        <v>89.91</v>
      </c>
      <c r="BD449" s="1">
        <f>IFERROR(__xludf.DUMMYFUNCTION("""COMPUTED_VALUE"""),46.79)</f>
        <v>46.79</v>
      </c>
      <c r="BE449" s="1">
        <f>IFERROR(__xludf.DUMMYFUNCTION("""COMPUTED_VALUE"""),128.84)</f>
        <v>128.84</v>
      </c>
      <c r="BF449" s="1">
        <f>IFERROR(__xludf.DUMMYFUNCTION("""COMPUTED_VALUE"""),47.02)</f>
        <v>47.02</v>
      </c>
      <c r="BG449" s="1">
        <f>IFERROR(__xludf.DUMMYFUNCTION("""COMPUTED_VALUE"""),27.14)</f>
        <v>27.14</v>
      </c>
      <c r="BH449" s="1">
        <f>IFERROR(__xludf.DUMMYFUNCTION("""COMPUTED_VALUE"""),198.46)</f>
        <v>198.46</v>
      </c>
      <c r="BI449" s="1">
        <f>IFERROR(__xludf.DUMMYFUNCTION("""COMPUTED_VALUE"""),104.83)</f>
        <v>104.83</v>
      </c>
      <c r="BJ449" s="1">
        <f>IFERROR(__xludf.DUMMYFUNCTION("""COMPUTED_VALUE"""),221.98)</f>
        <v>221.98</v>
      </c>
      <c r="BK449" s="1">
        <f>IFERROR(__xludf.DUMMYFUNCTION("""COMPUTED_VALUE"""),515.6)</f>
        <v>515.6</v>
      </c>
      <c r="BL449" s="1">
        <f>IFERROR(__xludf.DUMMYFUNCTION("""COMPUTED_VALUE"""),238.64)</f>
        <v>238.64</v>
      </c>
      <c r="BM449" s="1">
        <f>IFERROR(__xludf.DUMMYFUNCTION("""COMPUTED_VALUE"""),137.78)</f>
        <v>137.78</v>
      </c>
      <c r="BN449" s="1">
        <f>IFERROR(__xludf.DUMMYFUNCTION("""COMPUTED_VALUE"""),7.75)</f>
        <v>7.75</v>
      </c>
      <c r="BO449" s="1">
        <f>IFERROR(__xludf.DUMMYFUNCTION("""COMPUTED_VALUE"""),266.66)</f>
        <v>266.66</v>
      </c>
      <c r="BP449" s="1">
        <f>IFERROR(__xludf.DUMMYFUNCTION("""COMPUTED_VALUE"""),273.95)</f>
        <v>273.95</v>
      </c>
      <c r="BQ449" s="36">
        <f>IFERROR(__xludf.DUMMYFUNCTION("""COMPUTED_VALUE"""),49.76)</f>
        <v>49.76</v>
      </c>
      <c r="BR449" s="1">
        <f>IFERROR(__xludf.DUMMYFUNCTION("""COMPUTED_VALUE"""),16.06)</f>
        <v>16.06</v>
      </c>
      <c r="BS449" s="1">
        <f>IFERROR(__xludf.DUMMYFUNCTION("""COMPUTED_VALUE"""),229.58)</f>
        <v>229.58</v>
      </c>
      <c r="BT449" s="1">
        <f>IFERROR(__xludf.DUMMYFUNCTION("""COMPUTED_VALUE"""),106.05)</f>
        <v>106.05</v>
      </c>
      <c r="BU449" s="3">
        <v>1.0</v>
      </c>
    </row>
    <row r="450">
      <c r="A450" s="25"/>
      <c r="B450" s="29">
        <f>'Master Scratch Work'!B449</f>
        <v>65366</v>
      </c>
      <c r="C450" s="31"/>
      <c r="D450" s="31"/>
      <c r="E450" s="31"/>
      <c r="F450" s="3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36"/>
      <c r="BR450" s="1"/>
      <c r="BS450" s="1"/>
      <c r="BT450" s="1"/>
      <c r="BU450" s="3">
        <v>1.0</v>
      </c>
    </row>
    <row r="451">
      <c r="A451" s="25"/>
      <c r="B451" s="29">
        <f>'Master Scratch Work'!B450</f>
        <v>65366</v>
      </c>
      <c r="C451" s="31"/>
      <c r="D451" s="31"/>
      <c r="E451" s="31"/>
      <c r="F451" s="3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36"/>
      <c r="BR451" s="1"/>
      <c r="BS451" s="1"/>
      <c r="BT451" s="1"/>
      <c r="BU451" s="3">
        <v>1.0</v>
      </c>
    </row>
    <row r="452">
      <c r="A452" s="25"/>
      <c r="B452" s="29">
        <f>'Master Scratch Work'!B451</f>
        <v>65366</v>
      </c>
      <c r="C452" s="31"/>
      <c r="D452" s="31"/>
      <c r="E452" s="31"/>
      <c r="F452" s="3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36"/>
      <c r="BR452" s="1"/>
      <c r="BS452" s="1"/>
      <c r="BT452" s="1"/>
      <c r="BU452" s="3">
        <v>1.0</v>
      </c>
    </row>
    <row r="453">
      <c r="A453" s="25"/>
      <c r="B453" s="29">
        <f>'Master Scratch Work'!B452</f>
        <v>65366</v>
      </c>
      <c r="C453" s="31"/>
      <c r="D453" s="31"/>
      <c r="E453" s="31"/>
      <c r="F453" s="3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36"/>
      <c r="BR453" s="1"/>
      <c r="BS453" s="1"/>
      <c r="BT453" s="1"/>
      <c r="BU453" s="3">
        <v>1.0</v>
      </c>
    </row>
    <row r="454">
      <c r="A454" s="25"/>
      <c r="B454" s="29">
        <f>'Master Scratch Work'!B453</f>
        <v>65366</v>
      </c>
      <c r="C454" s="31"/>
      <c r="D454" s="31"/>
      <c r="E454" s="31"/>
      <c r="F454" s="3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36"/>
      <c r="BR454" s="1"/>
      <c r="BS454" s="1"/>
      <c r="BT454" s="1"/>
      <c r="BU454" s="3">
        <v>1.0</v>
      </c>
    </row>
    <row r="455">
      <c r="A455" s="25"/>
      <c r="B455" s="29">
        <f>'Master Scratch Work'!B454</f>
        <v>65366</v>
      </c>
      <c r="C455" s="31"/>
      <c r="D455" s="31"/>
      <c r="E455" s="31"/>
      <c r="F455" s="3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36"/>
      <c r="BR455" s="1"/>
      <c r="BS455" s="1"/>
      <c r="BT455" s="1"/>
      <c r="BU455" s="3">
        <v>1.0</v>
      </c>
    </row>
    <row r="456">
      <c r="A456" s="25"/>
      <c r="B456" s="29">
        <f>'Master Scratch Work'!B455</f>
        <v>65366</v>
      </c>
      <c r="C456" s="31"/>
      <c r="D456" s="31"/>
      <c r="E456" s="31"/>
      <c r="F456" s="3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36"/>
      <c r="BR456" s="1"/>
      <c r="BS456" s="1"/>
      <c r="BT456" s="1"/>
      <c r="BU456" s="3">
        <v>1.0</v>
      </c>
    </row>
    <row r="457">
      <c r="A457" s="25"/>
      <c r="B457" s="29">
        <f>'Master Scratch Work'!B456</f>
        <v>65366</v>
      </c>
      <c r="C457" s="31"/>
      <c r="D457" s="31"/>
      <c r="E457" s="31"/>
      <c r="F457" s="3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36"/>
      <c r="BR457" s="1"/>
      <c r="BS457" s="1"/>
      <c r="BT457" s="1"/>
      <c r="BU457" s="3">
        <v>1.0</v>
      </c>
    </row>
    <row r="458">
      <c r="A458" s="25"/>
      <c r="B458" s="29">
        <f>'Master Scratch Work'!B457</f>
        <v>65366</v>
      </c>
      <c r="C458" s="31"/>
      <c r="D458" s="31"/>
      <c r="E458" s="31"/>
      <c r="F458" s="3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36"/>
      <c r="BR458" s="1"/>
      <c r="BS458" s="1"/>
      <c r="BT458" s="1"/>
      <c r="BU458" s="3">
        <v>1.0</v>
      </c>
    </row>
    <row r="459">
      <c r="A459" s="25"/>
      <c r="B459" s="29">
        <f>'Master Scratch Work'!B458</f>
        <v>65366</v>
      </c>
      <c r="C459" s="31"/>
      <c r="D459" s="31"/>
      <c r="E459" s="31"/>
      <c r="F459" s="3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36"/>
      <c r="BR459" s="1"/>
      <c r="BS459" s="1"/>
      <c r="BT459" s="1"/>
      <c r="BU459" s="41"/>
    </row>
    <row r="460">
      <c r="A460" s="25"/>
      <c r="B460" s="29">
        <f>'Master Scratch Work'!B459</f>
        <v>65366</v>
      </c>
      <c r="C460" s="31"/>
      <c r="D460" s="31"/>
      <c r="E460" s="31"/>
      <c r="F460" s="3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36"/>
      <c r="BR460" s="1"/>
      <c r="BS460" s="1"/>
      <c r="BT460" s="1"/>
      <c r="BU460" s="41"/>
    </row>
    <row r="461">
      <c r="A461" s="25"/>
      <c r="B461" s="29">
        <f>'Master Scratch Work'!B460</f>
        <v>65366</v>
      </c>
      <c r="C461" s="31"/>
      <c r="D461" s="31"/>
      <c r="E461" s="31"/>
      <c r="F461" s="3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36"/>
      <c r="BR461" s="1"/>
      <c r="BS461" s="1"/>
      <c r="BT461" s="1"/>
      <c r="BU461" s="41"/>
    </row>
    <row r="462">
      <c r="A462" s="25"/>
      <c r="B462" s="29">
        <f>'Master Scratch Work'!B461</f>
        <v>65366</v>
      </c>
      <c r="C462" s="31"/>
      <c r="D462" s="31"/>
      <c r="E462" s="31"/>
      <c r="F462" s="3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36"/>
      <c r="BR462" s="1"/>
      <c r="BS462" s="1"/>
      <c r="BT462" s="1"/>
      <c r="BU462" s="41"/>
    </row>
    <row r="463">
      <c r="A463" s="25"/>
      <c r="B463" s="29">
        <f>'Master Scratch Work'!B462</f>
        <v>65366</v>
      </c>
      <c r="C463" s="31"/>
      <c r="D463" s="31"/>
      <c r="E463" s="31"/>
      <c r="F463" s="3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36"/>
      <c r="BR463" s="1"/>
      <c r="BS463" s="1"/>
      <c r="BT463" s="1"/>
      <c r="BU463" s="41"/>
    </row>
    <row r="464">
      <c r="A464" s="25"/>
      <c r="B464" s="29">
        <f>'Master Scratch Work'!B463</f>
        <v>65366</v>
      </c>
      <c r="C464" s="31"/>
      <c r="D464" s="31"/>
      <c r="E464" s="31"/>
      <c r="F464" s="3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36"/>
      <c r="BR464" s="1"/>
      <c r="BS464" s="1"/>
      <c r="BT464" s="1"/>
      <c r="BU464" s="41"/>
    </row>
    <row r="465">
      <c r="A465" s="25"/>
      <c r="B465" s="29">
        <f>'Master Scratch Work'!B464</f>
        <v>65366</v>
      </c>
      <c r="C465" s="31"/>
      <c r="D465" s="31"/>
      <c r="E465" s="31"/>
      <c r="F465" s="3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36"/>
      <c r="BR465" s="1"/>
      <c r="BS465" s="1"/>
      <c r="BT465" s="1"/>
      <c r="BU465" s="41"/>
    </row>
    <row r="466">
      <c r="A466" s="25"/>
      <c r="B466" s="31"/>
      <c r="C466" s="31"/>
      <c r="D466" s="31"/>
      <c r="E466" s="31"/>
      <c r="F466" s="3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36"/>
      <c r="BR466" s="1"/>
      <c r="BS466" s="1"/>
      <c r="BT466" s="1"/>
      <c r="BU466" s="41"/>
    </row>
    <row r="467">
      <c r="A467" s="25"/>
      <c r="B467" s="31"/>
      <c r="C467" s="31"/>
      <c r="D467" s="31"/>
      <c r="E467" s="31"/>
      <c r="F467" s="3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36"/>
      <c r="BR467" s="1"/>
      <c r="BS467" s="1"/>
      <c r="BT467" s="1"/>
      <c r="BU467" s="41"/>
    </row>
    <row r="468">
      <c r="A468" s="25"/>
      <c r="B468" s="31"/>
      <c r="C468" s="31"/>
      <c r="D468" s="31"/>
      <c r="E468" s="31"/>
      <c r="F468" s="3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36"/>
      <c r="BR468" s="1"/>
      <c r="BS468" s="1"/>
      <c r="BT468" s="1"/>
      <c r="BU468" s="41"/>
    </row>
    <row r="469">
      <c r="A469" s="25"/>
      <c r="B469" s="31"/>
      <c r="C469" s="31"/>
      <c r="D469" s="31"/>
      <c r="E469" s="31"/>
      <c r="F469" s="3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36"/>
      <c r="BR469" s="1"/>
      <c r="BS469" s="1"/>
      <c r="BT469" s="1"/>
      <c r="BU469" s="41"/>
    </row>
    <row r="470">
      <c r="A470" s="25"/>
      <c r="B470" s="31"/>
      <c r="C470" s="31"/>
      <c r="D470" s="31"/>
      <c r="E470" s="31"/>
      <c r="F470" s="3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36"/>
      <c r="BR470" s="1"/>
      <c r="BS470" s="1"/>
      <c r="BT470" s="1"/>
      <c r="BU470" s="41"/>
    </row>
    <row r="471">
      <c r="A471" s="25"/>
      <c r="B471" s="31"/>
      <c r="C471" s="31"/>
      <c r="D471" s="31"/>
      <c r="E471" s="31"/>
      <c r="F471" s="3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36"/>
      <c r="BR471" s="1"/>
      <c r="BS471" s="1"/>
      <c r="BT471" s="1"/>
      <c r="BU471" s="41"/>
    </row>
    <row r="472">
      <c r="A472" s="25"/>
      <c r="B472" s="31"/>
      <c r="C472" s="31"/>
      <c r="D472" s="31"/>
      <c r="E472" s="31"/>
      <c r="F472" s="3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36"/>
      <c r="BR472" s="1"/>
      <c r="BS472" s="1"/>
      <c r="BT472" s="1"/>
      <c r="BU472" s="41"/>
    </row>
    <row r="473">
      <c r="A473" s="25"/>
      <c r="B473" s="31"/>
      <c r="C473" s="31"/>
      <c r="D473" s="31"/>
      <c r="E473" s="31"/>
      <c r="F473" s="3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36"/>
      <c r="BR473" s="1"/>
      <c r="BS473" s="1"/>
      <c r="BT473" s="1"/>
      <c r="BU473" s="41"/>
    </row>
    <row r="474">
      <c r="A474" s="25"/>
      <c r="B474" s="31"/>
      <c r="C474" s="31"/>
      <c r="D474" s="31"/>
      <c r="E474" s="31"/>
      <c r="F474" s="3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36"/>
      <c r="BR474" s="1"/>
      <c r="BS474" s="1"/>
      <c r="BT474" s="1"/>
      <c r="BU474" s="41"/>
    </row>
    <row r="475">
      <c r="A475" s="25"/>
      <c r="B475" s="31"/>
      <c r="C475" s="31"/>
      <c r="D475" s="31"/>
      <c r="E475" s="31"/>
      <c r="F475" s="3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36"/>
      <c r="BR475" s="1"/>
      <c r="BS475" s="1"/>
      <c r="BT475" s="1"/>
      <c r="BU475" s="41"/>
    </row>
    <row r="476">
      <c r="A476" s="25"/>
      <c r="B476" s="31"/>
      <c r="C476" s="31"/>
      <c r="D476" s="31"/>
      <c r="E476" s="31"/>
      <c r="F476" s="3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36"/>
      <c r="BR476" s="1"/>
      <c r="BS476" s="1"/>
      <c r="BT476" s="1"/>
      <c r="BU476" s="41"/>
    </row>
    <row r="477">
      <c r="A477" s="25"/>
      <c r="B477" s="31"/>
      <c r="C477" s="31"/>
      <c r="D477" s="31"/>
      <c r="E477" s="31"/>
      <c r="F477" s="3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36"/>
      <c r="BR477" s="1"/>
      <c r="BS477" s="1"/>
      <c r="BT477" s="1"/>
      <c r="BU477" s="41"/>
    </row>
    <row r="478">
      <c r="A478" s="25"/>
      <c r="B478" s="31"/>
      <c r="C478" s="31"/>
      <c r="D478" s="31"/>
      <c r="E478" s="31"/>
      <c r="F478" s="3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36"/>
      <c r="BR478" s="1"/>
      <c r="BS478" s="1"/>
      <c r="BT478" s="1"/>
      <c r="BU478" s="41"/>
    </row>
    <row r="479">
      <c r="A479" s="25"/>
      <c r="B479" s="31"/>
      <c r="C479" s="31"/>
      <c r="D479" s="31"/>
      <c r="E479" s="31"/>
      <c r="F479" s="3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36"/>
      <c r="BR479" s="1"/>
      <c r="BS479" s="1"/>
      <c r="BT479" s="1"/>
      <c r="BU479" s="41"/>
    </row>
    <row r="480">
      <c r="A480" s="25"/>
      <c r="B480" s="31"/>
      <c r="C480" s="31"/>
      <c r="D480" s="31"/>
      <c r="E480" s="31"/>
      <c r="F480" s="3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36"/>
      <c r="BR480" s="1"/>
      <c r="BS480" s="1"/>
      <c r="BT480" s="1"/>
      <c r="BU480" s="41"/>
    </row>
    <row r="481">
      <c r="A481" s="25"/>
      <c r="B481" s="31"/>
      <c r="C481" s="31"/>
      <c r="D481" s="31"/>
      <c r="E481" s="31"/>
      <c r="F481" s="3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36"/>
      <c r="BR481" s="1"/>
      <c r="BS481" s="1"/>
      <c r="BT481" s="1"/>
      <c r="BU481" s="41"/>
    </row>
    <row r="482">
      <c r="A482" s="25"/>
      <c r="B482" s="31"/>
      <c r="C482" s="31"/>
      <c r="D482" s="31"/>
      <c r="E482" s="31"/>
      <c r="F482" s="3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36"/>
      <c r="BR482" s="1"/>
      <c r="BS482" s="1"/>
      <c r="BT482" s="1"/>
      <c r="BU482" s="41"/>
    </row>
    <row r="483">
      <c r="A483" s="25"/>
      <c r="B483" s="31"/>
      <c r="C483" s="31"/>
      <c r="D483" s="31"/>
      <c r="E483" s="31"/>
      <c r="F483" s="3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36"/>
      <c r="BR483" s="1"/>
      <c r="BS483" s="1"/>
      <c r="BT483" s="1"/>
      <c r="BU483" s="41"/>
    </row>
    <row r="484">
      <c r="A484" s="25"/>
      <c r="B484" s="31"/>
      <c r="C484" s="31"/>
      <c r="D484" s="31"/>
      <c r="E484" s="31"/>
      <c r="F484" s="3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36"/>
      <c r="BR484" s="1"/>
      <c r="BS484" s="1"/>
      <c r="BT484" s="1"/>
      <c r="BU484" s="41"/>
    </row>
    <row r="485">
      <c r="A485" s="25"/>
      <c r="B485" s="31"/>
      <c r="C485" s="31"/>
      <c r="D485" s="31"/>
      <c r="E485" s="31"/>
      <c r="F485" s="3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36"/>
      <c r="BR485" s="1"/>
      <c r="BS485" s="1"/>
      <c r="BT485" s="1"/>
      <c r="BU485" s="41"/>
    </row>
    <row r="486">
      <c r="A486" s="25"/>
      <c r="B486" s="31"/>
      <c r="C486" s="31"/>
      <c r="D486" s="31"/>
      <c r="E486" s="31"/>
      <c r="F486" s="3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36"/>
      <c r="BR486" s="1"/>
      <c r="BS486" s="1"/>
      <c r="BT486" s="1"/>
      <c r="BU486" s="41"/>
    </row>
    <row r="487">
      <c r="A487" s="25"/>
      <c r="B487" s="31"/>
      <c r="C487" s="31"/>
      <c r="D487" s="31"/>
      <c r="E487" s="31"/>
      <c r="F487" s="3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36"/>
      <c r="BR487" s="1"/>
      <c r="BS487" s="1"/>
      <c r="BT487" s="1"/>
      <c r="BU487" s="41"/>
    </row>
    <row r="488">
      <c r="A488" s="25"/>
      <c r="B488" s="31"/>
      <c r="C488" s="31"/>
      <c r="D488" s="31"/>
      <c r="E488" s="31"/>
      <c r="F488" s="3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36"/>
      <c r="BR488" s="1"/>
      <c r="BS488" s="1"/>
      <c r="BT488" s="1"/>
      <c r="BU488" s="41"/>
    </row>
    <row r="489">
      <c r="A489" s="25"/>
      <c r="B489" s="31"/>
      <c r="C489" s="31"/>
      <c r="D489" s="31"/>
      <c r="E489" s="31"/>
      <c r="F489" s="3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36"/>
      <c r="BR489" s="1"/>
      <c r="BS489" s="1"/>
      <c r="BT489" s="1"/>
      <c r="BU489" s="41"/>
    </row>
    <row r="490">
      <c r="A490" s="25"/>
      <c r="B490" s="31"/>
      <c r="C490" s="31"/>
      <c r="D490" s="31"/>
      <c r="E490" s="31"/>
      <c r="F490" s="3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36"/>
      <c r="BR490" s="1"/>
      <c r="BS490" s="1"/>
      <c r="BT490" s="1"/>
      <c r="BU490" s="41"/>
    </row>
    <row r="491">
      <c r="A491" s="25"/>
      <c r="B491" s="31"/>
      <c r="C491" s="31"/>
      <c r="D491" s="31"/>
      <c r="E491" s="31"/>
      <c r="F491" s="3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36"/>
      <c r="BR491" s="1"/>
      <c r="BS491" s="1"/>
      <c r="BT491" s="1"/>
      <c r="BU491" s="41"/>
    </row>
    <row r="492">
      <c r="A492" s="25"/>
      <c r="B492" s="31"/>
      <c r="C492" s="31"/>
      <c r="D492" s="31"/>
      <c r="E492" s="31"/>
      <c r="F492" s="3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36"/>
      <c r="BR492" s="1"/>
      <c r="BS492" s="1"/>
      <c r="BT492" s="1"/>
      <c r="BU492" s="41"/>
    </row>
    <row r="493">
      <c r="A493" s="25"/>
      <c r="B493" s="31"/>
      <c r="C493" s="31"/>
      <c r="D493" s="31"/>
      <c r="E493" s="31"/>
      <c r="F493" s="3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36"/>
      <c r="BR493" s="1"/>
      <c r="BS493" s="1"/>
      <c r="BT493" s="1"/>
      <c r="BU493" s="41"/>
    </row>
    <row r="494">
      <c r="A494" s="25"/>
      <c r="B494" s="31"/>
      <c r="C494" s="31"/>
      <c r="D494" s="31"/>
      <c r="E494" s="31"/>
      <c r="F494" s="3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36"/>
      <c r="BR494" s="1"/>
      <c r="BS494" s="1"/>
      <c r="BT494" s="1"/>
      <c r="BU494" s="41"/>
    </row>
    <row r="495">
      <c r="A495" s="25"/>
      <c r="B495" s="31"/>
      <c r="C495" s="31"/>
      <c r="D495" s="31"/>
      <c r="E495" s="31"/>
      <c r="F495" s="3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36"/>
      <c r="BR495" s="1"/>
      <c r="BS495" s="1"/>
      <c r="BT495" s="1"/>
      <c r="BU495" s="41"/>
    </row>
    <row r="496">
      <c r="A496" s="25"/>
      <c r="B496" s="31"/>
      <c r="C496" s="31"/>
      <c r="D496" s="31"/>
      <c r="E496" s="31"/>
      <c r="F496" s="3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36"/>
      <c r="BR496" s="1"/>
      <c r="BS496" s="1"/>
      <c r="BT496" s="1"/>
      <c r="BU496" s="41"/>
    </row>
    <row r="497">
      <c r="A497" s="25"/>
      <c r="B497" s="31"/>
      <c r="C497" s="31"/>
      <c r="D497" s="31"/>
      <c r="E497" s="31"/>
      <c r="F497" s="3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36"/>
      <c r="BR497" s="1"/>
      <c r="BS497" s="1"/>
      <c r="BT497" s="1"/>
      <c r="BU497" s="41"/>
    </row>
    <row r="498">
      <c r="A498" s="25"/>
      <c r="B498" s="31"/>
      <c r="C498" s="31"/>
      <c r="D498" s="31"/>
      <c r="E498" s="31"/>
      <c r="F498" s="3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36"/>
      <c r="BR498" s="1"/>
      <c r="BS498" s="1"/>
      <c r="BT498" s="1"/>
      <c r="BU498" s="41"/>
    </row>
    <row r="499">
      <c r="A499" s="25"/>
      <c r="B499" s="31"/>
      <c r="C499" s="31"/>
      <c r="D499" s="31"/>
      <c r="E499" s="31"/>
      <c r="F499" s="3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36"/>
      <c r="BR499" s="1"/>
      <c r="BS499" s="1"/>
      <c r="BT499" s="1"/>
      <c r="BU499" s="41"/>
    </row>
    <row r="500">
      <c r="A500" s="25"/>
      <c r="B500" s="31"/>
      <c r="C500" s="31"/>
      <c r="D500" s="31"/>
      <c r="E500" s="31"/>
      <c r="F500" s="3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36"/>
      <c r="BR500" s="1"/>
      <c r="BS500" s="1"/>
      <c r="BT500" s="1"/>
      <c r="BU500" s="41"/>
    </row>
    <row r="501">
      <c r="A501" s="25"/>
      <c r="B501" s="31"/>
      <c r="C501" s="31"/>
      <c r="D501" s="31"/>
      <c r="E501" s="31"/>
      <c r="F501" s="3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36"/>
      <c r="BR501" s="1"/>
      <c r="BS501" s="1"/>
      <c r="BT501" s="1"/>
      <c r="BU501" s="41"/>
    </row>
    <row r="502">
      <c r="A502" s="25"/>
      <c r="B502" s="31"/>
      <c r="C502" s="31"/>
      <c r="D502" s="31"/>
      <c r="E502" s="31"/>
      <c r="F502" s="3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36"/>
      <c r="BR502" s="1"/>
      <c r="BS502" s="1"/>
      <c r="BT502" s="1"/>
      <c r="BU502" s="41"/>
    </row>
    <row r="503">
      <c r="A503" s="25"/>
      <c r="B503" s="31"/>
      <c r="C503" s="31"/>
      <c r="D503" s="31"/>
      <c r="E503" s="31"/>
      <c r="F503" s="3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36"/>
      <c r="BR503" s="1"/>
      <c r="BS503" s="1"/>
      <c r="BT503" s="1"/>
      <c r="BU503" s="41"/>
    </row>
    <row r="504">
      <c r="A504" s="25"/>
      <c r="B504" s="31"/>
      <c r="C504" s="31"/>
      <c r="D504" s="31"/>
      <c r="E504" s="31"/>
      <c r="F504" s="3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36"/>
      <c r="BR504" s="1"/>
      <c r="BS504" s="1"/>
      <c r="BT504" s="1"/>
      <c r="BU504" s="41"/>
    </row>
    <row r="505">
      <c r="A505" s="25"/>
      <c r="B505" s="31"/>
      <c r="C505" s="31"/>
      <c r="D505" s="31"/>
      <c r="E505" s="31"/>
      <c r="F505" s="3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36"/>
      <c r="BR505" s="1"/>
      <c r="BS505" s="1"/>
      <c r="BT505" s="1"/>
      <c r="BU505" s="41"/>
    </row>
    <row r="506">
      <c r="A506" s="25"/>
      <c r="B506" s="31"/>
      <c r="C506" s="31"/>
      <c r="D506" s="31"/>
      <c r="E506" s="31"/>
      <c r="F506" s="3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36"/>
      <c r="BR506" s="1"/>
      <c r="BS506" s="1"/>
      <c r="BT506" s="1"/>
      <c r="BU506" s="41"/>
    </row>
    <row r="507">
      <c r="A507" s="25"/>
      <c r="B507" s="31"/>
      <c r="C507" s="31"/>
      <c r="D507" s="31"/>
      <c r="E507" s="31"/>
      <c r="F507" s="3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36"/>
      <c r="BR507" s="1"/>
      <c r="BS507" s="1"/>
      <c r="BT507" s="1"/>
      <c r="BU507" s="41"/>
    </row>
    <row r="508">
      <c r="A508" s="25"/>
      <c r="B508" s="31"/>
      <c r="C508" s="31"/>
      <c r="D508" s="31"/>
      <c r="E508" s="31"/>
      <c r="F508" s="3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36"/>
      <c r="BR508" s="1"/>
      <c r="BS508" s="1"/>
      <c r="BT508" s="1"/>
      <c r="BU508" s="41"/>
    </row>
    <row r="509">
      <c r="A509" s="25"/>
      <c r="B509" s="31"/>
      <c r="C509" s="31"/>
      <c r="D509" s="31"/>
      <c r="E509" s="31"/>
      <c r="F509" s="3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36"/>
      <c r="BR509" s="1"/>
      <c r="BS509" s="1"/>
      <c r="BT509" s="1"/>
      <c r="BU509" s="41"/>
    </row>
    <row r="510">
      <c r="A510" s="25"/>
      <c r="B510" s="31"/>
      <c r="C510" s="31"/>
      <c r="D510" s="31"/>
      <c r="E510" s="31"/>
      <c r="F510" s="3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36"/>
      <c r="BR510" s="1"/>
      <c r="BS510" s="1"/>
      <c r="BT510" s="1"/>
      <c r="BU510" s="41"/>
    </row>
    <row r="511">
      <c r="A511" s="25"/>
      <c r="B511" s="31"/>
      <c r="C511" s="31"/>
      <c r="D511" s="31"/>
      <c r="E511" s="31"/>
      <c r="F511" s="3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36"/>
      <c r="BR511" s="1"/>
      <c r="BS511" s="1"/>
      <c r="BT511" s="1"/>
      <c r="BU511" s="41"/>
    </row>
    <row r="512">
      <c r="A512" s="25"/>
      <c r="B512" s="31"/>
      <c r="C512" s="31"/>
      <c r="D512" s="31"/>
      <c r="E512" s="31"/>
      <c r="F512" s="3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36"/>
      <c r="BR512" s="1"/>
      <c r="BS512" s="1"/>
      <c r="BT512" s="1"/>
      <c r="BU512" s="41"/>
    </row>
    <row r="513">
      <c r="A513" s="25"/>
      <c r="B513" s="31"/>
      <c r="C513" s="31"/>
      <c r="D513" s="31"/>
      <c r="E513" s="31"/>
      <c r="F513" s="3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36"/>
      <c r="BR513" s="1"/>
      <c r="BS513" s="1"/>
      <c r="BT513" s="1"/>
      <c r="BU513" s="41"/>
    </row>
    <row r="514">
      <c r="A514" s="25"/>
      <c r="B514" s="31"/>
      <c r="C514" s="31"/>
      <c r="D514" s="31"/>
      <c r="E514" s="31"/>
      <c r="F514" s="3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36"/>
      <c r="BR514" s="1"/>
      <c r="BS514" s="1"/>
      <c r="BT514" s="1"/>
      <c r="BU514" s="41"/>
    </row>
    <row r="515">
      <c r="A515" s="25"/>
      <c r="B515" s="31"/>
      <c r="C515" s="31"/>
      <c r="D515" s="31"/>
      <c r="E515" s="31"/>
      <c r="F515" s="3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36"/>
      <c r="BR515" s="1"/>
      <c r="BS515" s="1"/>
      <c r="BT515" s="1"/>
      <c r="BU515" s="41"/>
    </row>
    <row r="516">
      <c r="A516" s="25"/>
      <c r="B516" s="31"/>
      <c r="C516" s="31"/>
      <c r="D516" s="31"/>
      <c r="E516" s="31"/>
      <c r="F516" s="3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36"/>
      <c r="BR516" s="1"/>
      <c r="BS516" s="1"/>
      <c r="BT516" s="1"/>
      <c r="BU516" s="41"/>
    </row>
    <row r="517">
      <c r="A517" s="25"/>
      <c r="B517" s="31"/>
      <c r="C517" s="31"/>
      <c r="D517" s="31"/>
      <c r="E517" s="31"/>
      <c r="F517" s="3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36"/>
      <c r="BR517" s="1"/>
      <c r="BS517" s="1"/>
      <c r="BT517" s="1"/>
      <c r="BU517" s="41"/>
    </row>
    <row r="518">
      <c r="A518" s="25"/>
      <c r="B518" s="31"/>
      <c r="C518" s="31"/>
      <c r="D518" s="31"/>
      <c r="E518" s="31"/>
      <c r="F518" s="3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36"/>
      <c r="BR518" s="1"/>
      <c r="BS518" s="1"/>
      <c r="BT518" s="1"/>
      <c r="BU518" s="41"/>
    </row>
    <row r="519">
      <c r="A519" s="25"/>
      <c r="B519" s="31"/>
      <c r="C519" s="31"/>
      <c r="D519" s="31"/>
      <c r="E519" s="31"/>
      <c r="F519" s="3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36"/>
      <c r="BR519" s="1"/>
      <c r="BS519" s="1"/>
      <c r="BT519" s="1"/>
      <c r="BU519" s="41"/>
    </row>
    <row r="520">
      <c r="A520" s="25"/>
      <c r="B520" s="31"/>
      <c r="C520" s="31"/>
      <c r="D520" s="31"/>
      <c r="E520" s="31"/>
      <c r="F520" s="3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36"/>
      <c r="BR520" s="1"/>
      <c r="BS520" s="1"/>
      <c r="BT520" s="1"/>
      <c r="BU520" s="41"/>
    </row>
    <row r="521">
      <c r="A521" s="25"/>
      <c r="B521" s="31"/>
      <c r="C521" s="31"/>
      <c r="D521" s="31"/>
      <c r="E521" s="31"/>
      <c r="F521" s="3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36"/>
      <c r="BR521" s="1"/>
      <c r="BS521" s="1"/>
      <c r="BT521" s="1"/>
      <c r="BU521" s="41"/>
    </row>
    <row r="522">
      <c r="A522" s="25"/>
      <c r="B522" s="31"/>
      <c r="C522" s="31"/>
      <c r="D522" s="31"/>
      <c r="E522" s="31"/>
      <c r="F522" s="3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36"/>
      <c r="BR522" s="1"/>
      <c r="BS522" s="1"/>
      <c r="BT522" s="1"/>
      <c r="BU522" s="41"/>
    </row>
    <row r="523">
      <c r="A523" s="25"/>
      <c r="B523" s="31"/>
      <c r="C523" s="31"/>
      <c r="D523" s="31"/>
      <c r="E523" s="31"/>
      <c r="F523" s="3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36"/>
      <c r="BR523" s="1"/>
      <c r="BS523" s="1"/>
      <c r="BT523" s="1"/>
      <c r="BU523" s="41"/>
    </row>
    <row r="524">
      <c r="A524" s="25"/>
      <c r="B524" s="31"/>
      <c r="C524" s="31"/>
      <c r="D524" s="31"/>
      <c r="E524" s="31"/>
      <c r="F524" s="3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36"/>
      <c r="BR524" s="1"/>
      <c r="BS524" s="1"/>
      <c r="BT524" s="1"/>
      <c r="BU524" s="41"/>
    </row>
    <row r="525">
      <c r="A525" s="25"/>
      <c r="B525" s="31"/>
      <c r="C525" s="31"/>
      <c r="D525" s="31"/>
      <c r="E525" s="31"/>
      <c r="F525" s="3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36"/>
      <c r="BR525" s="1"/>
      <c r="BS525" s="1"/>
      <c r="BT525" s="1"/>
      <c r="BU525" s="41"/>
    </row>
    <row r="526">
      <c r="A526" s="25"/>
      <c r="B526" s="31"/>
      <c r="C526" s="31"/>
      <c r="D526" s="31"/>
      <c r="E526" s="31"/>
      <c r="F526" s="3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36"/>
      <c r="BR526" s="1"/>
      <c r="BS526" s="1"/>
      <c r="BT526" s="1"/>
      <c r="BU526" s="41"/>
    </row>
    <row r="527">
      <c r="A527" s="25"/>
      <c r="B527" s="31"/>
      <c r="C527" s="31"/>
      <c r="D527" s="31"/>
      <c r="E527" s="31"/>
      <c r="F527" s="3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36"/>
      <c r="BR527" s="1"/>
      <c r="BS527" s="1"/>
      <c r="BT527" s="1"/>
      <c r="BU527" s="41"/>
    </row>
    <row r="528">
      <c r="A528" s="25"/>
      <c r="B528" s="31"/>
      <c r="C528" s="31"/>
      <c r="D528" s="31"/>
      <c r="E528" s="31"/>
      <c r="F528" s="3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36"/>
      <c r="BR528" s="1"/>
      <c r="BS528" s="1"/>
      <c r="BT528" s="1"/>
      <c r="BU528" s="41"/>
    </row>
    <row r="529">
      <c r="A529" s="25"/>
      <c r="B529" s="31"/>
      <c r="C529" s="31"/>
      <c r="D529" s="31"/>
      <c r="E529" s="31"/>
      <c r="F529" s="3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36"/>
      <c r="BR529" s="1"/>
      <c r="BS529" s="1"/>
      <c r="BT529" s="1"/>
      <c r="BU529" s="41"/>
    </row>
    <row r="530">
      <c r="A530" s="25"/>
      <c r="B530" s="31"/>
      <c r="C530" s="31"/>
      <c r="D530" s="31"/>
      <c r="E530" s="31"/>
      <c r="F530" s="3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36"/>
      <c r="BR530" s="1"/>
      <c r="BS530" s="1"/>
      <c r="BT530" s="1"/>
      <c r="BU530" s="41"/>
    </row>
    <row r="531">
      <c r="A531" s="25"/>
      <c r="B531" s="31"/>
      <c r="C531" s="31"/>
      <c r="D531" s="31"/>
      <c r="E531" s="31"/>
      <c r="F531" s="3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36"/>
      <c r="BR531" s="1"/>
      <c r="BS531" s="1"/>
      <c r="BT531" s="1"/>
      <c r="BU531" s="41"/>
    </row>
    <row r="532">
      <c r="A532" s="25"/>
      <c r="B532" s="31"/>
      <c r="C532" s="31"/>
      <c r="D532" s="31"/>
      <c r="E532" s="31"/>
      <c r="F532" s="3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36"/>
      <c r="BR532" s="1"/>
      <c r="BS532" s="1"/>
      <c r="BT532" s="1"/>
      <c r="BU532" s="41"/>
    </row>
    <row r="533">
      <c r="A533" s="25"/>
      <c r="B533" s="31"/>
      <c r="C533" s="31"/>
      <c r="D533" s="31"/>
      <c r="E533" s="31"/>
      <c r="F533" s="3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36"/>
      <c r="BR533" s="1"/>
      <c r="BS533" s="1"/>
      <c r="BT533" s="1"/>
      <c r="BU533" s="41"/>
    </row>
    <row r="534">
      <c r="A534" s="25"/>
      <c r="B534" s="31"/>
      <c r="C534" s="31"/>
      <c r="D534" s="31"/>
      <c r="E534" s="31"/>
      <c r="F534" s="3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36"/>
      <c r="BR534" s="1"/>
      <c r="BS534" s="1"/>
      <c r="BT534" s="1"/>
      <c r="BU534" s="41"/>
    </row>
    <row r="535">
      <c r="A535" s="25"/>
      <c r="B535" s="31"/>
      <c r="C535" s="31"/>
      <c r="D535" s="31"/>
      <c r="E535" s="31"/>
      <c r="F535" s="3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36"/>
      <c r="BR535" s="1"/>
      <c r="BS535" s="1"/>
      <c r="BT535" s="1"/>
      <c r="BU535" s="41"/>
    </row>
    <row r="536">
      <c r="A536" s="25"/>
      <c r="B536" s="31"/>
      <c r="C536" s="31"/>
      <c r="D536" s="31"/>
      <c r="E536" s="31"/>
      <c r="F536" s="3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36"/>
      <c r="BR536" s="1"/>
      <c r="BS536" s="1"/>
      <c r="BT536" s="1"/>
      <c r="BU536" s="41"/>
    </row>
    <row r="537">
      <c r="A537" s="25"/>
      <c r="B537" s="31"/>
      <c r="C537" s="31"/>
      <c r="D537" s="31"/>
      <c r="E537" s="31"/>
      <c r="F537" s="3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36"/>
      <c r="BR537" s="1"/>
      <c r="BS537" s="1"/>
      <c r="BT537" s="1"/>
      <c r="BU537" s="41"/>
    </row>
    <row r="538">
      <c r="A538" s="25"/>
      <c r="B538" s="31"/>
      <c r="C538" s="31"/>
      <c r="D538" s="31"/>
      <c r="E538" s="31"/>
      <c r="F538" s="3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36"/>
      <c r="BR538" s="1"/>
      <c r="BS538" s="1"/>
      <c r="BT538" s="1"/>
      <c r="BU538" s="41"/>
    </row>
    <row r="539">
      <c r="A539" s="25"/>
      <c r="B539" s="31"/>
      <c r="C539" s="31"/>
      <c r="D539" s="31"/>
      <c r="E539" s="31"/>
      <c r="F539" s="3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36"/>
      <c r="BR539" s="1"/>
      <c r="BS539" s="1"/>
      <c r="BT539" s="1"/>
      <c r="BU539" s="41"/>
    </row>
    <row r="540">
      <c r="A540" s="25"/>
      <c r="B540" s="31"/>
      <c r="C540" s="31"/>
      <c r="D540" s="31"/>
      <c r="E540" s="31"/>
      <c r="F540" s="3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36"/>
      <c r="BR540" s="1"/>
      <c r="BS540" s="1"/>
      <c r="BT540" s="1"/>
      <c r="BU540" s="41"/>
    </row>
    <row r="541">
      <c r="A541" s="25"/>
      <c r="B541" s="31"/>
      <c r="C541" s="31"/>
      <c r="D541" s="31"/>
      <c r="E541" s="31"/>
      <c r="F541" s="3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36"/>
      <c r="BR541" s="1"/>
      <c r="BS541" s="1"/>
      <c r="BT541" s="1"/>
      <c r="BU541" s="41"/>
    </row>
    <row r="542">
      <c r="A542" s="25"/>
      <c r="B542" s="31"/>
      <c r="C542" s="31"/>
      <c r="D542" s="31"/>
      <c r="E542" s="31"/>
      <c r="F542" s="3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36"/>
      <c r="BR542" s="1"/>
      <c r="BS542" s="1"/>
      <c r="BT542" s="1"/>
      <c r="BU542" s="41"/>
    </row>
    <row r="543">
      <c r="A543" s="25"/>
      <c r="B543" s="31"/>
      <c r="C543" s="31"/>
      <c r="D543" s="31"/>
      <c r="E543" s="31"/>
      <c r="F543" s="3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36"/>
      <c r="BR543" s="1"/>
      <c r="BS543" s="1"/>
      <c r="BT543" s="1"/>
      <c r="BU543" s="41"/>
    </row>
    <row r="544">
      <c r="A544" s="25"/>
      <c r="B544" s="31"/>
      <c r="C544" s="31"/>
      <c r="D544" s="31"/>
      <c r="E544" s="31"/>
      <c r="F544" s="3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36"/>
      <c r="BR544" s="1"/>
      <c r="BS544" s="1"/>
      <c r="BT544" s="1"/>
      <c r="BU544" s="41"/>
    </row>
    <row r="545">
      <c r="A545" s="25"/>
      <c r="B545" s="31"/>
      <c r="C545" s="31"/>
      <c r="D545" s="31"/>
      <c r="E545" s="31"/>
      <c r="F545" s="3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36"/>
      <c r="BR545" s="1"/>
      <c r="BS545" s="1"/>
      <c r="BT545" s="1"/>
      <c r="BU545" s="41"/>
    </row>
    <row r="546">
      <c r="A546" s="25"/>
      <c r="B546" s="31"/>
      <c r="C546" s="31"/>
      <c r="D546" s="31"/>
      <c r="E546" s="31"/>
      <c r="F546" s="3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36"/>
      <c r="BR546" s="1"/>
      <c r="BS546" s="1"/>
      <c r="BT546" s="1"/>
      <c r="BU546" s="41"/>
    </row>
    <row r="547">
      <c r="A547" s="25"/>
      <c r="B547" s="31"/>
      <c r="C547" s="31"/>
      <c r="D547" s="31"/>
      <c r="E547" s="31"/>
      <c r="F547" s="3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36"/>
      <c r="BR547" s="1"/>
      <c r="BS547" s="1"/>
      <c r="BT547" s="1"/>
      <c r="BU547" s="41"/>
    </row>
    <row r="548">
      <c r="A548" s="25"/>
      <c r="B548" s="31"/>
      <c r="C548" s="31"/>
      <c r="D548" s="31"/>
      <c r="E548" s="31"/>
      <c r="F548" s="3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36"/>
      <c r="BR548" s="1"/>
      <c r="BS548" s="1"/>
      <c r="BT548" s="1"/>
      <c r="BU548" s="41"/>
    </row>
    <row r="549">
      <c r="A549" s="25"/>
      <c r="B549" s="31"/>
      <c r="C549" s="31"/>
      <c r="D549" s="31"/>
      <c r="E549" s="31"/>
      <c r="F549" s="3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36"/>
      <c r="BR549" s="1"/>
      <c r="BS549" s="1"/>
      <c r="BT549" s="1"/>
      <c r="BU549" s="41"/>
    </row>
    <row r="550">
      <c r="A550" s="25"/>
      <c r="B550" s="31"/>
      <c r="C550" s="31"/>
      <c r="D550" s="31"/>
      <c r="E550" s="31"/>
      <c r="F550" s="3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36"/>
      <c r="BR550" s="1"/>
      <c r="BS550" s="1"/>
      <c r="BT550" s="1"/>
      <c r="BU550" s="41"/>
    </row>
    <row r="551">
      <c r="A551" s="25"/>
      <c r="B551" s="31"/>
      <c r="C551" s="31"/>
      <c r="D551" s="31"/>
      <c r="E551" s="31"/>
      <c r="F551" s="3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36"/>
      <c r="BR551" s="1"/>
      <c r="BS551" s="1"/>
      <c r="BT551" s="1"/>
      <c r="BU551" s="41"/>
    </row>
    <row r="552">
      <c r="A552" s="25"/>
      <c r="B552" s="31"/>
      <c r="C552" s="31"/>
      <c r="D552" s="31"/>
      <c r="E552" s="31"/>
      <c r="F552" s="3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36"/>
      <c r="BR552" s="1"/>
      <c r="BS552" s="1"/>
      <c r="BT552" s="1"/>
      <c r="BU552" s="41"/>
    </row>
    <row r="553">
      <c r="A553" s="25"/>
      <c r="B553" s="31"/>
      <c r="C553" s="31"/>
      <c r="D553" s="31"/>
      <c r="E553" s="31"/>
      <c r="F553" s="3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36"/>
      <c r="BR553" s="1"/>
      <c r="BS553" s="1"/>
      <c r="BT553" s="1"/>
      <c r="BU553" s="41"/>
    </row>
    <row r="554">
      <c r="A554" s="25"/>
      <c r="B554" s="31"/>
      <c r="C554" s="31"/>
      <c r="D554" s="31"/>
      <c r="E554" s="31"/>
      <c r="F554" s="3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36"/>
      <c r="BR554" s="1"/>
      <c r="BS554" s="1"/>
      <c r="BT554" s="1"/>
      <c r="BU554" s="41"/>
    </row>
    <row r="555">
      <c r="A555" s="25"/>
      <c r="B555" s="31"/>
      <c r="C555" s="31"/>
      <c r="D555" s="31"/>
      <c r="E555" s="31"/>
      <c r="F555" s="3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36"/>
      <c r="BR555" s="1"/>
      <c r="BS555" s="1"/>
      <c r="BT555" s="1"/>
      <c r="BU555" s="41"/>
    </row>
    <row r="556">
      <c r="A556" s="25"/>
      <c r="B556" s="31"/>
      <c r="C556" s="31"/>
      <c r="D556" s="31"/>
      <c r="E556" s="31"/>
      <c r="F556" s="3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36"/>
      <c r="BR556" s="1"/>
      <c r="BS556" s="1"/>
      <c r="BT556" s="1"/>
      <c r="BU556" s="41"/>
    </row>
    <row r="557">
      <c r="A557" s="25"/>
      <c r="B557" s="31"/>
      <c r="C557" s="31"/>
      <c r="D557" s="31"/>
      <c r="E557" s="31"/>
      <c r="F557" s="3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36"/>
      <c r="BR557" s="1"/>
      <c r="BS557" s="1"/>
      <c r="BT557" s="1"/>
      <c r="BU557" s="41"/>
    </row>
    <row r="558">
      <c r="A558" s="25"/>
      <c r="B558" s="31"/>
      <c r="C558" s="31"/>
      <c r="D558" s="31"/>
      <c r="E558" s="31"/>
      <c r="F558" s="3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36"/>
      <c r="BR558" s="1"/>
      <c r="BS558" s="1"/>
      <c r="BT558" s="1"/>
      <c r="BU558" s="41"/>
    </row>
    <row r="559">
      <c r="A559" s="25"/>
      <c r="B559" s="31"/>
      <c r="C559" s="31"/>
      <c r="D559" s="31"/>
      <c r="E559" s="31"/>
      <c r="F559" s="3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36"/>
      <c r="BR559" s="1"/>
      <c r="BS559" s="1"/>
      <c r="BT559" s="1"/>
      <c r="BU559" s="41"/>
    </row>
    <row r="560">
      <c r="A560" s="25"/>
      <c r="B560" s="31"/>
      <c r="C560" s="31"/>
      <c r="D560" s="31"/>
      <c r="E560" s="31"/>
      <c r="F560" s="3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36"/>
      <c r="BR560" s="1"/>
      <c r="BS560" s="1"/>
      <c r="BT560" s="1"/>
      <c r="BU560" s="41"/>
    </row>
    <row r="561">
      <c r="A561" s="25"/>
      <c r="B561" s="31"/>
      <c r="C561" s="31"/>
      <c r="D561" s="31"/>
      <c r="E561" s="31"/>
      <c r="F561" s="3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36"/>
      <c r="BR561" s="1"/>
      <c r="BS561" s="1"/>
      <c r="BT561" s="1"/>
      <c r="BU561" s="41"/>
    </row>
    <row r="562">
      <c r="A562" s="25"/>
      <c r="B562" s="31"/>
      <c r="C562" s="31"/>
      <c r="D562" s="31"/>
      <c r="E562" s="31"/>
      <c r="F562" s="3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36"/>
      <c r="BR562" s="1"/>
      <c r="BS562" s="1"/>
      <c r="BT562" s="1"/>
      <c r="BU562" s="41"/>
    </row>
    <row r="563">
      <c r="A563" s="25"/>
      <c r="B563" s="31"/>
      <c r="C563" s="31"/>
      <c r="D563" s="31"/>
      <c r="E563" s="31"/>
      <c r="F563" s="3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36"/>
      <c r="BR563" s="1"/>
      <c r="BS563" s="1"/>
      <c r="BT563" s="1"/>
      <c r="BU563" s="41"/>
    </row>
    <row r="564">
      <c r="A564" s="25"/>
      <c r="B564" s="31"/>
      <c r="C564" s="31"/>
      <c r="D564" s="31"/>
      <c r="E564" s="31"/>
      <c r="F564" s="3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36"/>
      <c r="BR564" s="1"/>
      <c r="BS564" s="1"/>
      <c r="BT564" s="1"/>
      <c r="BU564" s="41"/>
    </row>
    <row r="565">
      <c r="A565" s="25"/>
      <c r="B565" s="31"/>
      <c r="C565" s="31"/>
      <c r="D565" s="31"/>
      <c r="E565" s="31"/>
      <c r="F565" s="3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36"/>
      <c r="BR565" s="1"/>
      <c r="BS565" s="1"/>
      <c r="BT565" s="1"/>
      <c r="BU565" s="41"/>
    </row>
    <row r="566">
      <c r="A566" s="25"/>
      <c r="B566" s="31"/>
      <c r="C566" s="31"/>
      <c r="D566" s="31"/>
      <c r="E566" s="31"/>
      <c r="F566" s="3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36"/>
      <c r="BR566" s="1"/>
      <c r="BS566" s="1"/>
      <c r="BT566" s="1"/>
      <c r="BU566" s="41"/>
    </row>
    <row r="567">
      <c r="A567" s="25"/>
      <c r="B567" s="31"/>
      <c r="C567" s="31"/>
      <c r="D567" s="31"/>
      <c r="E567" s="31"/>
      <c r="F567" s="3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36"/>
      <c r="BR567" s="1"/>
      <c r="BS567" s="1"/>
      <c r="BT567" s="1"/>
      <c r="BU567" s="41"/>
    </row>
    <row r="568">
      <c r="A568" s="25"/>
      <c r="B568" s="31"/>
      <c r="C568" s="31"/>
      <c r="D568" s="31"/>
      <c r="E568" s="31"/>
      <c r="F568" s="3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36"/>
      <c r="BR568" s="1"/>
      <c r="BS568" s="1"/>
      <c r="BT568" s="1"/>
      <c r="BU568" s="41"/>
    </row>
    <row r="569">
      <c r="A569" s="25"/>
      <c r="B569" s="31"/>
      <c r="C569" s="31"/>
      <c r="D569" s="31"/>
      <c r="E569" s="31"/>
      <c r="F569" s="3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36"/>
      <c r="BR569" s="1"/>
      <c r="BS569" s="1"/>
      <c r="BT569" s="1"/>
      <c r="BU569" s="41"/>
    </row>
    <row r="570">
      <c r="A570" s="25"/>
      <c r="B570" s="31"/>
      <c r="C570" s="31"/>
      <c r="D570" s="31"/>
      <c r="E570" s="31"/>
      <c r="F570" s="3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36"/>
      <c r="BR570" s="1"/>
      <c r="BS570" s="1"/>
      <c r="BT570" s="1"/>
      <c r="BU570" s="41"/>
    </row>
    <row r="571">
      <c r="A571" s="25"/>
      <c r="B571" s="31"/>
      <c r="C571" s="31"/>
      <c r="D571" s="31"/>
      <c r="E571" s="31"/>
      <c r="F571" s="3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36"/>
      <c r="BR571" s="1"/>
      <c r="BS571" s="1"/>
      <c r="BT571" s="1"/>
      <c r="BU571" s="41"/>
    </row>
    <row r="572">
      <c r="A572" s="25"/>
      <c r="B572" s="31"/>
      <c r="C572" s="31"/>
      <c r="D572" s="31"/>
      <c r="E572" s="31"/>
      <c r="F572" s="3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36"/>
      <c r="BR572" s="1"/>
      <c r="BS572" s="1"/>
      <c r="BT572" s="1"/>
      <c r="BU572" s="41"/>
    </row>
    <row r="573">
      <c r="A573" s="25"/>
      <c r="B573" s="31"/>
      <c r="C573" s="31"/>
      <c r="D573" s="31"/>
      <c r="E573" s="31"/>
      <c r="F573" s="3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36"/>
      <c r="BR573" s="1"/>
      <c r="BS573" s="1"/>
      <c r="BT573" s="1"/>
      <c r="BU573" s="41"/>
    </row>
    <row r="574">
      <c r="A574" s="25"/>
      <c r="B574" s="31"/>
      <c r="C574" s="31"/>
      <c r="D574" s="31"/>
      <c r="E574" s="31"/>
      <c r="F574" s="3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36"/>
      <c r="BR574" s="1"/>
      <c r="BS574" s="1"/>
      <c r="BT574" s="1"/>
      <c r="BU574" s="41"/>
    </row>
    <row r="575">
      <c r="A575" s="25"/>
      <c r="B575" s="31"/>
      <c r="C575" s="31"/>
      <c r="D575" s="31"/>
      <c r="E575" s="31"/>
      <c r="F575" s="3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36"/>
      <c r="BR575" s="1"/>
      <c r="BS575" s="1"/>
      <c r="BT575" s="1"/>
      <c r="BU575" s="41"/>
    </row>
    <row r="576">
      <c r="A576" s="25"/>
      <c r="B576" s="31"/>
      <c r="C576" s="31"/>
      <c r="D576" s="31"/>
      <c r="E576" s="31"/>
      <c r="F576" s="3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36"/>
      <c r="BR576" s="1"/>
      <c r="BS576" s="1"/>
      <c r="BT576" s="1"/>
      <c r="BU576" s="41"/>
    </row>
    <row r="577">
      <c r="A577" s="25"/>
      <c r="B577" s="31"/>
      <c r="C577" s="31"/>
      <c r="D577" s="31"/>
      <c r="E577" s="31"/>
      <c r="F577" s="3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36"/>
      <c r="BR577" s="1"/>
      <c r="BS577" s="1"/>
      <c r="BT577" s="1"/>
      <c r="BU577" s="41"/>
    </row>
    <row r="578">
      <c r="A578" s="25"/>
      <c r="B578" s="31"/>
      <c r="C578" s="31"/>
      <c r="D578" s="31"/>
      <c r="E578" s="31"/>
      <c r="F578" s="3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36"/>
      <c r="BR578" s="1"/>
      <c r="BS578" s="1"/>
      <c r="BT578" s="1"/>
      <c r="BU578" s="41"/>
    </row>
    <row r="579">
      <c r="A579" s="25"/>
      <c r="B579" s="31"/>
      <c r="C579" s="31"/>
      <c r="D579" s="31"/>
      <c r="E579" s="31"/>
      <c r="F579" s="3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36"/>
      <c r="BR579" s="1"/>
      <c r="BS579" s="1"/>
      <c r="BT579" s="1"/>
      <c r="BU579" s="41"/>
    </row>
    <row r="580">
      <c r="A580" s="25"/>
      <c r="B580" s="31"/>
      <c r="C580" s="31"/>
      <c r="D580" s="31"/>
      <c r="E580" s="31"/>
      <c r="F580" s="3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36"/>
      <c r="BR580" s="1"/>
      <c r="BS580" s="1"/>
      <c r="BT580" s="1"/>
      <c r="BU580" s="41"/>
    </row>
    <row r="581">
      <c r="A581" s="25"/>
      <c r="B581" s="31"/>
      <c r="C581" s="31"/>
      <c r="D581" s="31"/>
      <c r="E581" s="31"/>
      <c r="F581" s="3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36"/>
      <c r="BR581" s="1"/>
      <c r="BS581" s="1"/>
      <c r="BT581" s="1"/>
      <c r="BU581" s="41"/>
    </row>
    <row r="582">
      <c r="A582" s="25"/>
      <c r="B582" s="31"/>
      <c r="C582" s="31"/>
      <c r="D582" s="31"/>
      <c r="E582" s="31"/>
      <c r="F582" s="3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36"/>
      <c r="BR582" s="1"/>
      <c r="BS582" s="1"/>
      <c r="BT582" s="1"/>
      <c r="BU582" s="41"/>
    </row>
    <row r="583">
      <c r="A583" s="25"/>
      <c r="B583" s="31"/>
      <c r="C583" s="31"/>
      <c r="D583" s="31"/>
      <c r="E583" s="31"/>
      <c r="F583" s="3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36"/>
      <c r="BR583" s="1"/>
      <c r="BS583" s="1"/>
      <c r="BT583" s="1"/>
      <c r="BU583" s="41"/>
    </row>
    <row r="584">
      <c r="A584" s="25"/>
      <c r="B584" s="31"/>
      <c r="C584" s="31"/>
      <c r="D584" s="31"/>
      <c r="E584" s="31"/>
      <c r="F584" s="3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36"/>
      <c r="BR584" s="1"/>
      <c r="BS584" s="1"/>
      <c r="BT584" s="1"/>
      <c r="BU584" s="41"/>
    </row>
    <row r="585">
      <c r="A585" s="25"/>
      <c r="B585" s="31"/>
      <c r="C585" s="31"/>
      <c r="D585" s="31"/>
      <c r="E585" s="31"/>
      <c r="F585" s="3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36"/>
      <c r="BR585" s="1"/>
      <c r="BS585" s="1"/>
      <c r="BT585" s="1"/>
      <c r="BU585" s="41"/>
    </row>
    <row r="586">
      <c r="A586" s="25"/>
      <c r="B586" s="31"/>
      <c r="C586" s="31"/>
      <c r="D586" s="31"/>
      <c r="E586" s="31"/>
      <c r="F586" s="3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36"/>
      <c r="BR586" s="1"/>
      <c r="BS586" s="1"/>
      <c r="BT586" s="1"/>
      <c r="BU586" s="41"/>
    </row>
    <row r="587">
      <c r="A587" s="25"/>
      <c r="B587" s="31"/>
      <c r="C587" s="31"/>
      <c r="D587" s="31"/>
      <c r="E587" s="31"/>
      <c r="F587" s="3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36"/>
      <c r="BR587" s="1"/>
      <c r="BS587" s="1"/>
      <c r="BT587" s="1"/>
      <c r="BU587" s="41"/>
    </row>
    <row r="588">
      <c r="A588" s="25"/>
      <c r="B588" s="31"/>
      <c r="C588" s="31"/>
      <c r="D588" s="31"/>
      <c r="E588" s="31"/>
      <c r="F588" s="3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36"/>
      <c r="BR588" s="1"/>
      <c r="BS588" s="1"/>
      <c r="BT588" s="1"/>
      <c r="BU588" s="41"/>
    </row>
    <row r="589">
      <c r="A589" s="25"/>
      <c r="B589" s="31"/>
      <c r="C589" s="31"/>
      <c r="D589" s="31"/>
      <c r="E589" s="31"/>
      <c r="F589" s="3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36"/>
      <c r="BR589" s="1"/>
      <c r="BS589" s="1"/>
      <c r="BT589" s="1"/>
      <c r="BU589" s="41"/>
    </row>
    <row r="590">
      <c r="A590" s="25"/>
      <c r="B590" s="31"/>
      <c r="C590" s="31"/>
      <c r="D590" s="31"/>
      <c r="E590" s="31"/>
      <c r="F590" s="3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36"/>
      <c r="BR590" s="1"/>
      <c r="BS590" s="1"/>
      <c r="BT590" s="1"/>
      <c r="BU590" s="41"/>
    </row>
    <row r="591">
      <c r="A591" s="25"/>
      <c r="B591" s="31"/>
      <c r="C591" s="31"/>
      <c r="D591" s="31"/>
      <c r="E591" s="31"/>
      <c r="F591" s="3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36"/>
      <c r="BR591" s="1"/>
      <c r="BS591" s="1"/>
      <c r="BT591" s="1"/>
      <c r="BU591" s="41"/>
    </row>
    <row r="592">
      <c r="A592" s="25"/>
      <c r="B592" s="31"/>
      <c r="C592" s="31"/>
      <c r="D592" s="31"/>
      <c r="E592" s="31"/>
      <c r="F592" s="3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36"/>
      <c r="BR592" s="1"/>
      <c r="BS592" s="1"/>
      <c r="BT592" s="1"/>
      <c r="BU592" s="41"/>
    </row>
    <row r="593">
      <c r="A593" s="25"/>
      <c r="B593" s="31"/>
      <c r="C593" s="31"/>
      <c r="D593" s="31"/>
      <c r="E593" s="31"/>
      <c r="F593" s="3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36"/>
      <c r="BR593" s="1"/>
      <c r="BS593" s="1"/>
      <c r="BT593" s="1"/>
      <c r="BU593" s="41"/>
    </row>
    <row r="594">
      <c r="A594" s="25"/>
      <c r="B594" s="31"/>
      <c r="C594" s="31"/>
      <c r="D594" s="31"/>
      <c r="E594" s="31"/>
      <c r="F594" s="3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36"/>
      <c r="BR594" s="1"/>
      <c r="BS594" s="1"/>
      <c r="BT594" s="1"/>
      <c r="BU594" s="41"/>
    </row>
    <row r="595">
      <c r="A595" s="25"/>
      <c r="B595" s="31"/>
      <c r="C595" s="31"/>
      <c r="D595" s="31"/>
      <c r="E595" s="31"/>
      <c r="F595" s="3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36"/>
      <c r="BR595" s="1"/>
      <c r="BS595" s="1"/>
      <c r="BT595" s="1"/>
      <c r="BU595" s="41"/>
    </row>
    <row r="596">
      <c r="A596" s="25"/>
      <c r="B596" s="31"/>
      <c r="C596" s="31"/>
      <c r="D596" s="31"/>
      <c r="E596" s="31"/>
      <c r="F596" s="3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36"/>
      <c r="BR596" s="1"/>
      <c r="BS596" s="1"/>
      <c r="BT596" s="1"/>
      <c r="BU596" s="41"/>
    </row>
    <row r="597">
      <c r="A597" s="25"/>
      <c r="B597" s="31"/>
      <c r="C597" s="31"/>
      <c r="D597" s="31"/>
      <c r="E597" s="31"/>
      <c r="F597" s="3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36"/>
      <c r="BR597" s="1"/>
      <c r="BS597" s="1"/>
      <c r="BT597" s="1"/>
      <c r="BU597" s="41"/>
    </row>
    <row r="598">
      <c r="A598" s="25"/>
      <c r="B598" s="31"/>
      <c r="C598" s="31"/>
      <c r="D598" s="31"/>
      <c r="E598" s="31"/>
      <c r="F598" s="3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36"/>
      <c r="BR598" s="1"/>
      <c r="BS598" s="1"/>
      <c r="BT598" s="1"/>
      <c r="BU598" s="41"/>
    </row>
    <row r="599">
      <c r="A599" s="25"/>
      <c r="B599" s="31"/>
      <c r="C599" s="31"/>
      <c r="D599" s="31"/>
      <c r="E599" s="31"/>
      <c r="F599" s="3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36"/>
      <c r="BR599" s="1"/>
      <c r="BS599" s="1"/>
      <c r="BT599" s="1"/>
      <c r="BU599" s="41"/>
    </row>
    <row r="600">
      <c r="A600" s="25"/>
      <c r="B600" s="31"/>
      <c r="C600" s="31"/>
      <c r="D600" s="31"/>
      <c r="E600" s="31"/>
      <c r="F600" s="3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36"/>
      <c r="BR600" s="1"/>
      <c r="BS600" s="1"/>
      <c r="BT600" s="1"/>
      <c r="BU600" s="41"/>
    </row>
    <row r="601">
      <c r="A601" s="25"/>
      <c r="B601" s="31"/>
      <c r="C601" s="31"/>
      <c r="D601" s="31"/>
      <c r="E601" s="31"/>
      <c r="F601" s="3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36"/>
      <c r="BR601" s="1"/>
      <c r="BS601" s="1"/>
      <c r="BT601" s="1"/>
      <c r="BU601" s="41"/>
    </row>
    <row r="602">
      <c r="A602" s="25"/>
      <c r="B602" s="31"/>
      <c r="C602" s="31"/>
      <c r="D602" s="31"/>
      <c r="E602" s="31"/>
      <c r="F602" s="3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36"/>
      <c r="BR602" s="1"/>
      <c r="BS602" s="1"/>
      <c r="BT602" s="1"/>
      <c r="BU602" s="41"/>
    </row>
    <row r="603">
      <c r="A603" s="25"/>
      <c r="B603" s="31"/>
      <c r="C603" s="31"/>
      <c r="D603" s="31"/>
      <c r="E603" s="31"/>
      <c r="F603" s="3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36"/>
      <c r="BR603" s="1"/>
      <c r="BS603" s="1"/>
      <c r="BT603" s="1"/>
      <c r="BU603" s="41"/>
    </row>
    <row r="604">
      <c r="A604" s="25"/>
      <c r="B604" s="31"/>
      <c r="C604" s="31"/>
      <c r="D604" s="31"/>
      <c r="E604" s="31"/>
      <c r="F604" s="3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36"/>
      <c r="BR604" s="1"/>
      <c r="BS604" s="1"/>
      <c r="BT604" s="1"/>
      <c r="BU604" s="41"/>
    </row>
    <row r="605">
      <c r="A605" s="25"/>
      <c r="B605" s="31"/>
      <c r="C605" s="31"/>
      <c r="D605" s="31"/>
      <c r="E605" s="31"/>
      <c r="F605" s="3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36"/>
      <c r="BR605" s="1"/>
      <c r="BS605" s="1"/>
      <c r="BT605" s="1"/>
      <c r="BU605" s="41"/>
    </row>
    <row r="606">
      <c r="A606" s="25"/>
      <c r="B606" s="31"/>
      <c r="C606" s="31"/>
      <c r="D606" s="31"/>
      <c r="E606" s="31"/>
      <c r="F606" s="3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36"/>
      <c r="BR606" s="1"/>
      <c r="BS606" s="1"/>
      <c r="BT606" s="1"/>
      <c r="BU606" s="41"/>
    </row>
    <row r="607">
      <c r="A607" s="25"/>
      <c r="B607" s="31"/>
      <c r="C607" s="31"/>
      <c r="D607" s="31"/>
      <c r="E607" s="31"/>
      <c r="F607" s="3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36"/>
      <c r="BR607" s="1"/>
      <c r="BS607" s="1"/>
      <c r="BT607" s="1"/>
      <c r="BU607" s="41"/>
    </row>
    <row r="608">
      <c r="A608" s="25"/>
      <c r="B608" s="31"/>
      <c r="C608" s="31"/>
      <c r="D608" s="31"/>
      <c r="E608" s="31"/>
      <c r="F608" s="3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36"/>
      <c r="BR608" s="1"/>
      <c r="BS608" s="1"/>
      <c r="BT608" s="1"/>
      <c r="BU608" s="41"/>
    </row>
    <row r="609">
      <c r="A609" s="25"/>
      <c r="B609" s="31"/>
      <c r="C609" s="31"/>
      <c r="D609" s="31"/>
      <c r="E609" s="31"/>
      <c r="F609" s="3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36"/>
      <c r="BR609" s="1"/>
      <c r="BS609" s="1"/>
      <c r="BT609" s="1"/>
      <c r="BU609" s="41"/>
    </row>
    <row r="610">
      <c r="A610" s="25"/>
      <c r="B610" s="31"/>
      <c r="C610" s="31"/>
      <c r="D610" s="31"/>
      <c r="E610" s="31"/>
      <c r="F610" s="3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36"/>
      <c r="BR610" s="1"/>
      <c r="BS610" s="1"/>
      <c r="BT610" s="1"/>
      <c r="BU610" s="41"/>
    </row>
    <row r="611">
      <c r="A611" s="25"/>
      <c r="B611" s="31"/>
      <c r="C611" s="31"/>
      <c r="D611" s="31"/>
      <c r="E611" s="31"/>
      <c r="F611" s="3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36"/>
      <c r="BR611" s="1"/>
      <c r="BS611" s="1"/>
      <c r="BT611" s="1"/>
      <c r="BU611" s="41"/>
    </row>
    <row r="612">
      <c r="A612" s="25"/>
      <c r="B612" s="31"/>
      <c r="C612" s="31"/>
      <c r="D612" s="31"/>
      <c r="E612" s="31"/>
      <c r="F612" s="3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36"/>
      <c r="BR612" s="1"/>
      <c r="BS612" s="1"/>
      <c r="BT612" s="1"/>
      <c r="BU612" s="41"/>
    </row>
    <row r="613">
      <c r="A613" s="25"/>
      <c r="B613" s="31"/>
      <c r="C613" s="31"/>
      <c r="D613" s="31"/>
      <c r="E613" s="31"/>
      <c r="F613" s="3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36"/>
      <c r="BR613" s="1"/>
      <c r="BS613" s="1"/>
      <c r="BT613" s="1"/>
      <c r="BU613" s="41"/>
    </row>
    <row r="614">
      <c r="A614" s="25"/>
      <c r="B614" s="31"/>
      <c r="C614" s="31"/>
      <c r="D614" s="31"/>
      <c r="E614" s="31"/>
      <c r="F614" s="3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36"/>
      <c r="BR614" s="1"/>
      <c r="BS614" s="1"/>
      <c r="BT614" s="1"/>
      <c r="BU614" s="41"/>
    </row>
    <row r="615">
      <c r="A615" s="25"/>
      <c r="B615" s="31"/>
      <c r="C615" s="31"/>
      <c r="D615" s="31"/>
      <c r="E615" s="31"/>
      <c r="F615" s="3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36"/>
      <c r="BR615" s="1"/>
      <c r="BS615" s="1"/>
      <c r="BT615" s="1"/>
      <c r="BU615" s="41"/>
    </row>
    <row r="616">
      <c r="A616" s="25"/>
      <c r="B616" s="31"/>
      <c r="C616" s="31"/>
      <c r="D616" s="31"/>
      <c r="E616" s="31"/>
      <c r="F616" s="3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36"/>
      <c r="BR616" s="1"/>
      <c r="BS616" s="1"/>
      <c r="BT616" s="1"/>
      <c r="BU616" s="41"/>
    </row>
    <row r="617">
      <c r="A617" s="25"/>
      <c r="B617" s="31"/>
      <c r="C617" s="31"/>
      <c r="D617" s="31"/>
      <c r="E617" s="31"/>
      <c r="F617" s="3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36"/>
      <c r="BR617" s="1"/>
      <c r="BS617" s="1"/>
      <c r="BT617" s="1"/>
      <c r="BU617" s="41"/>
    </row>
    <row r="618">
      <c r="A618" s="25"/>
      <c r="B618" s="31"/>
      <c r="C618" s="31"/>
      <c r="D618" s="31"/>
      <c r="E618" s="31"/>
      <c r="F618" s="3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36"/>
      <c r="BR618" s="1"/>
      <c r="BS618" s="1"/>
      <c r="BT618" s="1"/>
      <c r="BU618" s="41"/>
    </row>
    <row r="619">
      <c r="A619" s="25"/>
      <c r="B619" s="31"/>
      <c r="C619" s="31"/>
      <c r="D619" s="31"/>
      <c r="E619" s="31"/>
      <c r="F619" s="3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36"/>
      <c r="BR619" s="1"/>
      <c r="BS619" s="1"/>
      <c r="BT619" s="1"/>
      <c r="BU619" s="41"/>
    </row>
    <row r="620">
      <c r="A620" s="25"/>
      <c r="B620" s="31"/>
      <c r="C620" s="31"/>
      <c r="D620" s="31"/>
      <c r="E620" s="31"/>
      <c r="F620" s="3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36"/>
      <c r="BR620" s="1"/>
      <c r="BS620" s="1"/>
      <c r="BT620" s="1"/>
      <c r="BU620" s="41"/>
    </row>
    <row r="621">
      <c r="A621" s="25"/>
      <c r="B621" s="31"/>
      <c r="C621" s="31"/>
      <c r="D621" s="31"/>
      <c r="E621" s="31"/>
      <c r="F621" s="3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36"/>
      <c r="BR621" s="1"/>
      <c r="BS621" s="1"/>
      <c r="BT621" s="1"/>
      <c r="BU621" s="41"/>
    </row>
    <row r="622">
      <c r="A622" s="25"/>
      <c r="B622" s="31"/>
      <c r="C622" s="31"/>
      <c r="D622" s="31"/>
      <c r="E622" s="31"/>
      <c r="F622" s="3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36"/>
      <c r="BR622" s="1"/>
      <c r="BS622" s="1"/>
      <c r="BT622" s="1"/>
      <c r="BU622" s="41"/>
    </row>
    <row r="623">
      <c r="A623" s="25"/>
      <c r="B623" s="31"/>
      <c r="C623" s="31"/>
      <c r="D623" s="31"/>
      <c r="E623" s="31"/>
      <c r="F623" s="3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36"/>
      <c r="BR623" s="1"/>
      <c r="BS623" s="1"/>
      <c r="BT623" s="1"/>
      <c r="BU623" s="41"/>
    </row>
    <row r="624">
      <c r="A624" s="25"/>
      <c r="B624" s="31"/>
      <c r="C624" s="31"/>
      <c r="D624" s="31"/>
      <c r="E624" s="31"/>
      <c r="F624" s="3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36"/>
      <c r="BR624" s="1"/>
      <c r="BS624" s="1"/>
      <c r="BT624" s="1"/>
      <c r="BU624" s="41"/>
    </row>
    <row r="625">
      <c r="A625" s="25"/>
      <c r="B625" s="31"/>
      <c r="C625" s="31"/>
      <c r="D625" s="31"/>
      <c r="E625" s="31"/>
      <c r="F625" s="3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36"/>
      <c r="BR625" s="1"/>
      <c r="BS625" s="1"/>
      <c r="BT625" s="1"/>
      <c r="BU625" s="41"/>
    </row>
    <row r="626">
      <c r="A626" s="25"/>
      <c r="B626" s="31"/>
      <c r="C626" s="31"/>
      <c r="D626" s="31"/>
      <c r="E626" s="31"/>
      <c r="F626" s="3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36"/>
      <c r="BR626" s="1"/>
      <c r="BS626" s="1"/>
      <c r="BT626" s="1"/>
      <c r="BU626" s="41"/>
    </row>
    <row r="627">
      <c r="A627" s="25"/>
      <c r="B627" s="31"/>
      <c r="C627" s="31"/>
      <c r="D627" s="31"/>
      <c r="E627" s="31"/>
      <c r="F627" s="3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36"/>
      <c r="BR627" s="1"/>
      <c r="BS627" s="1"/>
      <c r="BT627" s="1"/>
      <c r="BU627" s="41"/>
    </row>
    <row r="628">
      <c r="A628" s="25"/>
      <c r="B628" s="31"/>
      <c r="C628" s="31"/>
      <c r="D628" s="31"/>
      <c r="E628" s="31"/>
      <c r="F628" s="3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36"/>
      <c r="BR628" s="1"/>
      <c r="BS628" s="1"/>
      <c r="BT628" s="1"/>
      <c r="BU628" s="41"/>
    </row>
    <row r="629">
      <c r="A629" s="25"/>
      <c r="B629" s="31"/>
      <c r="C629" s="31"/>
      <c r="D629" s="31"/>
      <c r="E629" s="31"/>
      <c r="F629" s="3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36"/>
      <c r="BR629" s="1"/>
      <c r="BS629" s="1"/>
      <c r="BT629" s="1"/>
      <c r="BU629" s="41"/>
    </row>
    <row r="630">
      <c r="A630" s="25"/>
      <c r="B630" s="31"/>
      <c r="C630" s="31"/>
      <c r="D630" s="31"/>
      <c r="E630" s="31"/>
      <c r="F630" s="3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36"/>
      <c r="BR630" s="1"/>
      <c r="BS630" s="1"/>
      <c r="BT630" s="1"/>
      <c r="BU630" s="41"/>
    </row>
    <row r="631">
      <c r="A631" s="25"/>
      <c r="B631" s="31"/>
      <c r="C631" s="31"/>
      <c r="D631" s="31"/>
      <c r="E631" s="31"/>
      <c r="F631" s="3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36"/>
      <c r="BR631" s="1"/>
      <c r="BS631" s="1"/>
      <c r="BT631" s="1"/>
      <c r="BU631" s="41"/>
    </row>
    <row r="632">
      <c r="A632" s="25"/>
      <c r="B632" s="31"/>
      <c r="C632" s="31"/>
      <c r="D632" s="31"/>
      <c r="E632" s="31"/>
      <c r="F632" s="3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36"/>
      <c r="BR632" s="1"/>
      <c r="BS632" s="1"/>
      <c r="BT632" s="1"/>
      <c r="BU632" s="41"/>
    </row>
    <row r="633">
      <c r="A633" s="25"/>
      <c r="B633" s="31"/>
      <c r="C633" s="31"/>
      <c r="D633" s="31"/>
      <c r="E633" s="31"/>
      <c r="F633" s="3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36"/>
      <c r="BR633" s="1"/>
      <c r="BS633" s="1"/>
      <c r="BT633" s="1"/>
      <c r="BU633" s="41"/>
    </row>
    <row r="634">
      <c r="A634" s="25"/>
      <c r="B634" s="31"/>
      <c r="C634" s="31"/>
      <c r="D634" s="31"/>
      <c r="E634" s="31"/>
      <c r="F634" s="3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36"/>
      <c r="BR634" s="1"/>
      <c r="BS634" s="1"/>
      <c r="BT634" s="1"/>
      <c r="BU634" s="41"/>
    </row>
    <row r="635">
      <c r="A635" s="25"/>
      <c r="B635" s="31"/>
      <c r="C635" s="31"/>
      <c r="D635" s="31"/>
      <c r="E635" s="31"/>
      <c r="F635" s="3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36"/>
      <c r="BR635" s="1"/>
      <c r="BS635" s="1"/>
      <c r="BT635" s="1"/>
      <c r="BU635" s="41"/>
    </row>
    <row r="636">
      <c r="A636" s="25"/>
      <c r="B636" s="31"/>
      <c r="C636" s="31"/>
      <c r="D636" s="31"/>
      <c r="E636" s="31"/>
      <c r="F636" s="3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36"/>
      <c r="BR636" s="1"/>
      <c r="BS636" s="1"/>
      <c r="BT636" s="1"/>
      <c r="BU636" s="41"/>
    </row>
    <row r="637">
      <c r="A637" s="25"/>
      <c r="B637" s="31"/>
      <c r="C637" s="31"/>
      <c r="D637" s="31"/>
      <c r="E637" s="31"/>
      <c r="F637" s="3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36"/>
      <c r="BR637" s="1"/>
      <c r="BS637" s="1"/>
      <c r="BT637" s="1"/>
      <c r="BU637" s="41"/>
    </row>
    <row r="638">
      <c r="A638" s="25"/>
      <c r="B638" s="31"/>
      <c r="C638" s="31"/>
      <c r="D638" s="31"/>
      <c r="E638" s="31"/>
      <c r="F638" s="3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36"/>
      <c r="BR638" s="1"/>
      <c r="BS638" s="1"/>
      <c r="BT638" s="1"/>
      <c r="BU638" s="41"/>
    </row>
    <row r="639">
      <c r="A639" s="25"/>
      <c r="B639" s="31"/>
      <c r="C639" s="31"/>
      <c r="D639" s="31"/>
      <c r="E639" s="31"/>
      <c r="F639" s="3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36"/>
      <c r="BR639" s="1"/>
      <c r="BS639" s="1"/>
      <c r="BT639" s="1"/>
      <c r="BU639" s="41"/>
    </row>
    <row r="640">
      <c r="A640" s="25"/>
      <c r="B640" s="31"/>
      <c r="C640" s="31"/>
      <c r="D640" s="31"/>
      <c r="E640" s="31"/>
      <c r="F640" s="3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36"/>
      <c r="BR640" s="1"/>
      <c r="BS640" s="1"/>
      <c r="BT640" s="1"/>
      <c r="BU640" s="41"/>
    </row>
    <row r="641">
      <c r="A641" s="25"/>
      <c r="B641" s="31"/>
      <c r="C641" s="31"/>
      <c r="D641" s="31"/>
      <c r="E641" s="31"/>
      <c r="F641" s="3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36"/>
      <c r="BR641" s="1"/>
      <c r="BS641" s="1"/>
      <c r="BT641" s="1"/>
      <c r="BU641" s="41"/>
    </row>
    <row r="642">
      <c r="A642" s="25"/>
      <c r="B642" s="31"/>
      <c r="C642" s="31"/>
      <c r="D642" s="31"/>
      <c r="E642" s="31"/>
      <c r="F642" s="3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36"/>
      <c r="BR642" s="1"/>
      <c r="BS642" s="1"/>
      <c r="BT642" s="1"/>
      <c r="BU642" s="41"/>
    </row>
    <row r="643">
      <c r="A643" s="25"/>
      <c r="B643" s="31"/>
      <c r="C643" s="31"/>
      <c r="D643" s="31"/>
      <c r="E643" s="31"/>
      <c r="F643" s="3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36"/>
      <c r="BR643" s="1"/>
      <c r="BS643" s="1"/>
      <c r="BT643" s="1"/>
      <c r="BU643" s="41"/>
    </row>
    <row r="644">
      <c r="A644" s="25"/>
      <c r="B644" s="31"/>
      <c r="C644" s="31"/>
      <c r="D644" s="31"/>
      <c r="E644" s="31"/>
      <c r="F644" s="3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36"/>
      <c r="BR644" s="1"/>
      <c r="BS644" s="1"/>
      <c r="BT644" s="1"/>
      <c r="BU644" s="41"/>
    </row>
    <row r="645">
      <c r="A645" s="25"/>
      <c r="B645" s="31"/>
      <c r="C645" s="31"/>
      <c r="D645" s="31"/>
      <c r="E645" s="31"/>
      <c r="F645" s="3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36"/>
      <c r="BR645" s="1"/>
      <c r="BS645" s="1"/>
      <c r="BT645" s="1"/>
      <c r="BU645" s="41"/>
    </row>
    <row r="646">
      <c r="A646" s="25"/>
      <c r="B646" s="31"/>
      <c r="C646" s="31"/>
      <c r="D646" s="31"/>
      <c r="E646" s="31"/>
      <c r="F646" s="3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36"/>
      <c r="BR646" s="1"/>
      <c r="BS646" s="1"/>
      <c r="BT646" s="1"/>
      <c r="BU646" s="41"/>
    </row>
    <row r="647">
      <c r="A647" s="25"/>
      <c r="B647" s="31"/>
      <c r="C647" s="31"/>
      <c r="D647" s="31"/>
      <c r="E647" s="31"/>
      <c r="F647" s="3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36"/>
      <c r="BR647" s="1"/>
      <c r="BS647" s="1"/>
      <c r="BT647" s="1"/>
      <c r="BU647" s="41"/>
    </row>
    <row r="648">
      <c r="A648" s="25"/>
      <c r="B648" s="31"/>
      <c r="C648" s="31"/>
      <c r="D648" s="31"/>
      <c r="E648" s="31"/>
      <c r="F648" s="3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36"/>
      <c r="BR648" s="1"/>
      <c r="BS648" s="1"/>
      <c r="BT648" s="1"/>
      <c r="BU648" s="41"/>
    </row>
    <row r="649">
      <c r="A649" s="25"/>
      <c r="B649" s="31"/>
      <c r="C649" s="31"/>
      <c r="D649" s="31"/>
      <c r="E649" s="31"/>
      <c r="F649" s="3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36"/>
      <c r="BR649" s="1"/>
      <c r="BS649" s="1"/>
      <c r="BT649" s="1"/>
      <c r="BU649" s="41"/>
    </row>
    <row r="650">
      <c r="A650" s="25"/>
      <c r="B650" s="31"/>
      <c r="C650" s="31"/>
      <c r="D650" s="31"/>
      <c r="E650" s="31"/>
      <c r="F650" s="3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36"/>
      <c r="BR650" s="1"/>
      <c r="BS650" s="1"/>
      <c r="BT650" s="1"/>
      <c r="BU650" s="41"/>
    </row>
    <row r="651">
      <c r="A651" s="25"/>
      <c r="B651" s="31"/>
      <c r="C651" s="31"/>
      <c r="D651" s="31"/>
      <c r="E651" s="31"/>
      <c r="F651" s="3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36"/>
      <c r="BR651" s="1"/>
      <c r="BS651" s="1"/>
      <c r="BT651" s="1"/>
      <c r="BU651" s="41"/>
    </row>
    <row r="652">
      <c r="A652" s="25"/>
      <c r="B652" s="31"/>
      <c r="C652" s="31"/>
      <c r="D652" s="31"/>
      <c r="E652" s="31"/>
      <c r="F652" s="3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36"/>
      <c r="BR652" s="1"/>
      <c r="BS652" s="1"/>
      <c r="BT652" s="1"/>
      <c r="BU652" s="41"/>
    </row>
    <row r="653">
      <c r="A653" s="25"/>
      <c r="B653" s="31"/>
      <c r="C653" s="31"/>
      <c r="D653" s="31"/>
      <c r="E653" s="31"/>
      <c r="F653" s="3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36"/>
      <c r="BR653" s="1"/>
      <c r="BS653" s="1"/>
      <c r="BT653" s="1"/>
      <c r="BU653" s="41"/>
    </row>
    <row r="654">
      <c r="A654" s="25"/>
      <c r="B654" s="31"/>
      <c r="C654" s="31"/>
      <c r="D654" s="31"/>
      <c r="E654" s="31"/>
      <c r="F654" s="3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36"/>
      <c r="BR654" s="1"/>
      <c r="BS654" s="1"/>
      <c r="BT654" s="1"/>
      <c r="BU654" s="41"/>
    </row>
    <row r="655">
      <c r="A655" s="25"/>
      <c r="B655" s="31"/>
      <c r="C655" s="31"/>
      <c r="D655" s="31"/>
      <c r="E655" s="31"/>
      <c r="F655" s="3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36"/>
      <c r="BR655" s="1"/>
      <c r="BS655" s="1"/>
      <c r="BT655" s="1"/>
      <c r="BU655" s="41"/>
    </row>
    <row r="656">
      <c r="A656" s="25"/>
      <c r="B656" s="31"/>
      <c r="C656" s="31"/>
      <c r="D656" s="31"/>
      <c r="E656" s="31"/>
      <c r="F656" s="3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36"/>
      <c r="BR656" s="1"/>
      <c r="BS656" s="1"/>
      <c r="BT656" s="1"/>
      <c r="BU656" s="41"/>
    </row>
    <row r="657">
      <c r="A657" s="25"/>
      <c r="B657" s="31"/>
      <c r="C657" s="31"/>
      <c r="D657" s="31"/>
      <c r="E657" s="31"/>
      <c r="F657" s="3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36"/>
      <c r="BR657" s="1"/>
      <c r="BS657" s="1"/>
      <c r="BT657" s="1"/>
      <c r="BU657" s="41"/>
    </row>
    <row r="658">
      <c r="A658" s="25"/>
      <c r="B658" s="31"/>
      <c r="C658" s="31"/>
      <c r="D658" s="31"/>
      <c r="E658" s="31"/>
      <c r="F658" s="3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36"/>
      <c r="BR658" s="1"/>
      <c r="BS658" s="1"/>
      <c r="BT658" s="1"/>
      <c r="BU658" s="41"/>
    </row>
    <row r="659">
      <c r="A659" s="25"/>
      <c r="B659" s="31"/>
      <c r="C659" s="31"/>
      <c r="D659" s="31"/>
      <c r="E659" s="31"/>
      <c r="F659" s="3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36"/>
      <c r="BR659" s="1"/>
      <c r="BS659" s="1"/>
      <c r="BT659" s="1"/>
      <c r="BU659" s="41"/>
    </row>
    <row r="660">
      <c r="A660" s="25"/>
      <c r="B660" s="31"/>
      <c r="C660" s="31"/>
      <c r="D660" s="31"/>
      <c r="E660" s="31"/>
      <c r="F660" s="3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36"/>
      <c r="BR660" s="1"/>
      <c r="BS660" s="1"/>
      <c r="BT660" s="1"/>
      <c r="BU660" s="41"/>
    </row>
    <row r="661">
      <c r="A661" s="25"/>
      <c r="B661" s="31"/>
      <c r="C661" s="31"/>
      <c r="D661" s="31"/>
      <c r="E661" s="31"/>
      <c r="F661" s="3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36"/>
      <c r="BR661" s="1"/>
      <c r="BS661" s="1"/>
      <c r="BT661" s="1"/>
      <c r="BU661" s="41"/>
    </row>
    <row r="662">
      <c r="A662" s="25"/>
      <c r="B662" s="31"/>
      <c r="C662" s="31"/>
      <c r="D662" s="31"/>
      <c r="E662" s="31"/>
      <c r="F662" s="3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36"/>
      <c r="BR662" s="1"/>
      <c r="BS662" s="1"/>
      <c r="BT662" s="1"/>
      <c r="BU662" s="41"/>
    </row>
    <row r="663">
      <c r="A663" s="25"/>
      <c r="B663" s="31"/>
      <c r="C663" s="31"/>
      <c r="D663" s="31"/>
      <c r="E663" s="31"/>
      <c r="F663" s="3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36"/>
      <c r="BR663" s="1"/>
      <c r="BS663" s="1"/>
      <c r="BT663" s="1"/>
      <c r="BU663" s="41"/>
    </row>
    <row r="664">
      <c r="A664" s="25"/>
      <c r="B664" s="31"/>
      <c r="C664" s="31"/>
      <c r="D664" s="31"/>
      <c r="E664" s="31"/>
      <c r="F664" s="3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36"/>
      <c r="BR664" s="1"/>
      <c r="BS664" s="1"/>
      <c r="BT664" s="1"/>
      <c r="BU664" s="41"/>
    </row>
    <row r="665">
      <c r="A665" s="25"/>
      <c r="B665" s="31"/>
      <c r="C665" s="31"/>
      <c r="D665" s="31"/>
      <c r="E665" s="31"/>
      <c r="F665" s="3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36"/>
      <c r="BR665" s="1"/>
      <c r="BS665" s="1"/>
      <c r="BT665" s="1"/>
      <c r="BU665" s="41"/>
    </row>
    <row r="666">
      <c r="A666" s="25"/>
      <c r="B666" s="31"/>
      <c r="C666" s="31"/>
      <c r="D666" s="31"/>
      <c r="E666" s="31"/>
      <c r="F666" s="3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36"/>
      <c r="BR666" s="1"/>
      <c r="BS666" s="1"/>
      <c r="BT666" s="1"/>
      <c r="BU666" s="41"/>
    </row>
    <row r="667">
      <c r="A667" s="25"/>
      <c r="B667" s="31"/>
      <c r="C667" s="31"/>
      <c r="D667" s="31"/>
      <c r="E667" s="31"/>
      <c r="F667" s="3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36"/>
      <c r="BR667" s="1"/>
      <c r="BS667" s="1"/>
      <c r="BT667" s="1"/>
      <c r="BU667" s="41"/>
    </row>
    <row r="668">
      <c r="A668" s="25"/>
      <c r="B668" s="31"/>
      <c r="C668" s="31"/>
      <c r="D668" s="31"/>
      <c r="E668" s="31"/>
      <c r="F668" s="3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36"/>
      <c r="BR668" s="1"/>
      <c r="BS668" s="1"/>
      <c r="BT668" s="1"/>
      <c r="BU668" s="41"/>
    </row>
    <row r="669">
      <c r="A669" s="25"/>
      <c r="B669" s="31"/>
      <c r="C669" s="31"/>
      <c r="D669" s="31"/>
      <c r="E669" s="31"/>
      <c r="F669" s="3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36"/>
      <c r="BR669" s="1"/>
      <c r="BS669" s="1"/>
      <c r="BT669" s="1"/>
      <c r="BU669" s="41"/>
    </row>
    <row r="670">
      <c r="A670" s="25"/>
      <c r="B670" s="31"/>
      <c r="C670" s="31"/>
      <c r="D670" s="31"/>
      <c r="E670" s="31"/>
      <c r="F670" s="3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36"/>
      <c r="BR670" s="1"/>
      <c r="BS670" s="1"/>
      <c r="BT670" s="1"/>
      <c r="BU670" s="41"/>
    </row>
    <row r="671">
      <c r="A671" s="25"/>
      <c r="B671" s="31"/>
      <c r="C671" s="31"/>
      <c r="D671" s="31"/>
      <c r="E671" s="31"/>
      <c r="F671" s="3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36"/>
      <c r="BR671" s="1"/>
      <c r="BS671" s="1"/>
      <c r="BT671" s="1"/>
      <c r="BU671" s="41"/>
    </row>
    <row r="672">
      <c r="A672" s="25"/>
      <c r="B672" s="31"/>
      <c r="C672" s="31"/>
      <c r="D672" s="31"/>
      <c r="E672" s="31"/>
      <c r="F672" s="3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36"/>
      <c r="BR672" s="1"/>
      <c r="BS672" s="1"/>
      <c r="BT672" s="1"/>
      <c r="BU672" s="41"/>
    </row>
    <row r="673">
      <c r="A673" s="25"/>
      <c r="B673" s="31"/>
      <c r="C673" s="31"/>
      <c r="D673" s="31"/>
      <c r="E673" s="31"/>
      <c r="F673" s="3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36"/>
      <c r="BR673" s="1"/>
      <c r="BS673" s="1"/>
      <c r="BT673" s="1"/>
      <c r="BU673" s="41"/>
    </row>
    <row r="674">
      <c r="A674" s="25"/>
      <c r="B674" s="31"/>
      <c r="C674" s="31"/>
      <c r="D674" s="31"/>
      <c r="E674" s="31"/>
      <c r="F674" s="3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36"/>
      <c r="BR674" s="1"/>
      <c r="BS674" s="1"/>
      <c r="BT674" s="1"/>
      <c r="BU674" s="41"/>
    </row>
    <row r="675">
      <c r="A675" s="25"/>
      <c r="B675" s="31"/>
      <c r="C675" s="31"/>
      <c r="D675" s="31"/>
      <c r="E675" s="31"/>
      <c r="F675" s="3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36"/>
      <c r="BR675" s="1"/>
      <c r="BS675" s="1"/>
      <c r="BT675" s="1"/>
      <c r="BU675" s="41"/>
    </row>
    <row r="676">
      <c r="A676" s="25"/>
      <c r="B676" s="31"/>
      <c r="C676" s="31"/>
      <c r="D676" s="31"/>
      <c r="E676" s="31"/>
      <c r="F676" s="3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36"/>
      <c r="BR676" s="1"/>
      <c r="BS676" s="1"/>
      <c r="BT676" s="1"/>
      <c r="BU676" s="41"/>
    </row>
    <row r="677">
      <c r="A677" s="25"/>
      <c r="B677" s="31"/>
      <c r="C677" s="31"/>
      <c r="D677" s="31"/>
      <c r="E677" s="31"/>
      <c r="F677" s="3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36"/>
      <c r="BR677" s="1"/>
      <c r="BS677" s="1"/>
      <c r="BT677" s="1"/>
      <c r="BU677" s="41"/>
    </row>
    <row r="678">
      <c r="A678" s="25"/>
      <c r="B678" s="31"/>
      <c r="C678" s="31"/>
      <c r="D678" s="31"/>
      <c r="E678" s="31"/>
      <c r="F678" s="3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36"/>
      <c r="BR678" s="1"/>
      <c r="BS678" s="1"/>
      <c r="BT678" s="1"/>
      <c r="BU678" s="41"/>
    </row>
    <row r="679">
      <c r="A679" s="25"/>
      <c r="B679" s="31"/>
      <c r="C679" s="31"/>
      <c r="D679" s="31"/>
      <c r="E679" s="31"/>
      <c r="F679" s="3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36"/>
      <c r="BR679" s="1"/>
      <c r="BS679" s="1"/>
      <c r="BT679" s="1"/>
      <c r="BU679" s="41"/>
    </row>
    <row r="680">
      <c r="A680" s="25"/>
      <c r="B680" s="31"/>
      <c r="C680" s="31"/>
      <c r="D680" s="31"/>
      <c r="E680" s="31"/>
      <c r="F680" s="3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36"/>
      <c r="BR680" s="1"/>
      <c r="BS680" s="1"/>
      <c r="BT680" s="1"/>
      <c r="BU680" s="41"/>
    </row>
    <row r="681">
      <c r="A681" s="25"/>
      <c r="B681" s="31"/>
      <c r="C681" s="31"/>
      <c r="D681" s="31"/>
      <c r="E681" s="31"/>
      <c r="F681" s="3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36"/>
      <c r="BR681" s="1"/>
      <c r="BS681" s="1"/>
      <c r="BT681" s="1"/>
      <c r="BU681" s="41"/>
    </row>
    <row r="682">
      <c r="A682" s="25"/>
      <c r="B682" s="31"/>
      <c r="C682" s="31"/>
      <c r="D682" s="31"/>
      <c r="E682" s="31"/>
      <c r="F682" s="3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36"/>
      <c r="BR682" s="1"/>
      <c r="BS682" s="1"/>
      <c r="BT682" s="1"/>
      <c r="BU682" s="41"/>
    </row>
    <row r="683">
      <c r="A683" s="25"/>
      <c r="B683" s="31"/>
      <c r="C683" s="31"/>
      <c r="D683" s="31"/>
      <c r="E683" s="31"/>
      <c r="F683" s="3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36"/>
      <c r="BR683" s="1"/>
      <c r="BS683" s="1"/>
      <c r="BT683" s="1"/>
      <c r="BU683" s="41"/>
    </row>
    <row r="684">
      <c r="A684" s="25"/>
      <c r="B684" s="31"/>
      <c r="C684" s="31"/>
      <c r="D684" s="31"/>
      <c r="E684" s="31"/>
      <c r="F684" s="3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36"/>
      <c r="BR684" s="1"/>
      <c r="BS684" s="1"/>
      <c r="BT684" s="1"/>
      <c r="BU684" s="41"/>
    </row>
    <row r="685">
      <c r="A685" s="25"/>
      <c r="B685" s="31"/>
      <c r="C685" s="31"/>
      <c r="D685" s="31"/>
      <c r="E685" s="31"/>
      <c r="F685" s="3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36"/>
      <c r="BR685" s="1"/>
      <c r="BS685" s="1"/>
      <c r="BT685" s="1"/>
      <c r="BU685" s="41"/>
    </row>
    <row r="686">
      <c r="A686" s="25"/>
      <c r="B686" s="31"/>
      <c r="C686" s="31"/>
      <c r="D686" s="31"/>
      <c r="E686" s="31"/>
      <c r="F686" s="3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36"/>
      <c r="BR686" s="1"/>
      <c r="BS686" s="1"/>
      <c r="BT686" s="1"/>
      <c r="BU686" s="41"/>
    </row>
    <row r="687">
      <c r="A687" s="25"/>
      <c r="B687" s="31"/>
      <c r="C687" s="31"/>
      <c r="D687" s="31"/>
      <c r="E687" s="31"/>
      <c r="F687" s="3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36"/>
      <c r="BR687" s="1"/>
      <c r="BS687" s="1"/>
      <c r="BT687" s="1"/>
      <c r="BU687" s="41"/>
    </row>
    <row r="688">
      <c r="A688" s="25"/>
      <c r="B688" s="31"/>
      <c r="C688" s="31"/>
      <c r="D688" s="31"/>
      <c r="E688" s="31"/>
      <c r="F688" s="3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36"/>
      <c r="BR688" s="1"/>
      <c r="BS688" s="1"/>
      <c r="BT688" s="1"/>
      <c r="BU688" s="41"/>
    </row>
    <row r="689">
      <c r="A689" s="25"/>
      <c r="B689" s="31"/>
      <c r="C689" s="31"/>
      <c r="D689" s="31"/>
      <c r="E689" s="31"/>
      <c r="F689" s="3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36"/>
      <c r="BR689" s="1"/>
      <c r="BS689" s="1"/>
      <c r="BT689" s="1"/>
      <c r="BU689" s="41"/>
    </row>
    <row r="690">
      <c r="A690" s="25"/>
      <c r="B690" s="31"/>
      <c r="C690" s="31"/>
      <c r="D690" s="31"/>
      <c r="E690" s="31"/>
      <c r="F690" s="3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36"/>
      <c r="BR690" s="1"/>
      <c r="BS690" s="1"/>
      <c r="BT690" s="1"/>
      <c r="BU690" s="41"/>
    </row>
    <row r="691">
      <c r="A691" s="25"/>
      <c r="B691" s="31"/>
      <c r="C691" s="31"/>
      <c r="D691" s="31"/>
      <c r="E691" s="31"/>
      <c r="F691" s="3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36"/>
      <c r="BR691" s="1"/>
      <c r="BS691" s="1"/>
      <c r="BT691" s="1"/>
      <c r="BU691" s="41"/>
    </row>
    <row r="692">
      <c r="A692" s="25"/>
      <c r="B692" s="31"/>
      <c r="C692" s="31"/>
      <c r="D692" s="31"/>
      <c r="E692" s="31"/>
      <c r="F692" s="3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36"/>
      <c r="BR692" s="1"/>
      <c r="BS692" s="1"/>
      <c r="BT692" s="1"/>
      <c r="BU692" s="41"/>
    </row>
    <row r="693">
      <c r="A693" s="25"/>
      <c r="B693" s="31"/>
      <c r="C693" s="31"/>
      <c r="D693" s="31"/>
      <c r="E693" s="31"/>
      <c r="F693" s="3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36"/>
      <c r="BR693" s="1"/>
      <c r="BS693" s="1"/>
      <c r="BT693" s="1"/>
      <c r="BU693" s="41"/>
    </row>
    <row r="694">
      <c r="A694" s="25"/>
      <c r="B694" s="31"/>
      <c r="C694" s="31"/>
      <c r="D694" s="31"/>
      <c r="E694" s="31"/>
      <c r="F694" s="3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36"/>
      <c r="BR694" s="1"/>
      <c r="BS694" s="1"/>
      <c r="BT694" s="1"/>
      <c r="BU694" s="41"/>
    </row>
    <row r="695">
      <c r="A695" s="25"/>
      <c r="B695" s="31"/>
      <c r="C695" s="31"/>
      <c r="D695" s="31"/>
      <c r="E695" s="31"/>
      <c r="F695" s="3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36"/>
      <c r="BR695" s="1"/>
      <c r="BS695" s="1"/>
      <c r="BT695" s="1"/>
      <c r="BU695" s="41"/>
    </row>
    <row r="696">
      <c r="A696" s="25"/>
      <c r="B696" s="31"/>
      <c r="C696" s="31"/>
      <c r="D696" s="31"/>
      <c r="E696" s="31"/>
      <c r="F696" s="3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36"/>
      <c r="BR696" s="1"/>
      <c r="BS696" s="1"/>
      <c r="BT696" s="1"/>
      <c r="BU696" s="41"/>
    </row>
    <row r="697">
      <c r="A697" s="25"/>
      <c r="B697" s="31"/>
      <c r="C697" s="31"/>
      <c r="D697" s="31"/>
      <c r="E697" s="31"/>
      <c r="F697" s="3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36"/>
      <c r="BR697" s="1"/>
      <c r="BS697" s="1"/>
      <c r="BT697" s="1"/>
      <c r="BU697" s="41"/>
    </row>
    <row r="698">
      <c r="A698" s="25"/>
      <c r="B698" s="31"/>
      <c r="C698" s="31"/>
      <c r="D698" s="31"/>
      <c r="E698" s="31"/>
      <c r="F698" s="3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36"/>
      <c r="BR698" s="1"/>
      <c r="BS698" s="1"/>
      <c r="BT698" s="1"/>
      <c r="BU698" s="41"/>
    </row>
    <row r="699">
      <c r="A699" s="25"/>
      <c r="B699" s="31"/>
      <c r="C699" s="31"/>
      <c r="D699" s="31"/>
      <c r="E699" s="31"/>
      <c r="F699" s="3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36"/>
      <c r="BR699" s="1"/>
      <c r="BS699" s="1"/>
      <c r="BT699" s="1"/>
      <c r="BU699" s="41"/>
    </row>
    <row r="700">
      <c r="A700" s="25"/>
      <c r="B700" s="31"/>
      <c r="C700" s="31"/>
      <c r="D700" s="31"/>
      <c r="E700" s="31"/>
      <c r="F700" s="3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36"/>
      <c r="BR700" s="1"/>
      <c r="BS700" s="1"/>
      <c r="BT700" s="1"/>
      <c r="BU700" s="41"/>
    </row>
    <row r="701">
      <c r="A701" s="25"/>
      <c r="B701" s="31"/>
      <c r="C701" s="31"/>
      <c r="D701" s="31"/>
      <c r="E701" s="31"/>
      <c r="F701" s="3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36"/>
      <c r="BR701" s="1"/>
      <c r="BS701" s="1"/>
      <c r="BT701" s="1"/>
      <c r="BU701" s="41"/>
    </row>
    <row r="702">
      <c r="A702" s="25"/>
      <c r="B702" s="31"/>
      <c r="C702" s="31"/>
      <c r="D702" s="31"/>
      <c r="E702" s="31"/>
      <c r="F702" s="3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36"/>
      <c r="BR702" s="1"/>
      <c r="BS702" s="1"/>
      <c r="BT702" s="1"/>
      <c r="BU702" s="41"/>
    </row>
    <row r="703">
      <c r="A703" s="25"/>
      <c r="B703" s="31"/>
      <c r="C703" s="31"/>
      <c r="D703" s="31"/>
      <c r="E703" s="31"/>
      <c r="F703" s="3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36"/>
      <c r="BR703" s="1"/>
      <c r="BS703" s="1"/>
      <c r="BT703" s="1"/>
      <c r="BU703" s="41"/>
    </row>
    <row r="704">
      <c r="A704" s="25"/>
      <c r="B704" s="31"/>
      <c r="C704" s="31"/>
      <c r="D704" s="31"/>
      <c r="E704" s="31"/>
      <c r="F704" s="3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36"/>
      <c r="BR704" s="1"/>
      <c r="BS704" s="1"/>
      <c r="BT704" s="1"/>
      <c r="BU704" s="41"/>
    </row>
    <row r="705">
      <c r="A705" s="25"/>
      <c r="B705" s="31"/>
      <c r="C705" s="31"/>
      <c r="D705" s="31"/>
      <c r="E705" s="31"/>
      <c r="F705" s="3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36"/>
      <c r="BR705" s="1"/>
      <c r="BS705" s="1"/>
      <c r="BT705" s="1"/>
      <c r="BU705" s="41"/>
    </row>
    <row r="706">
      <c r="A706" s="25"/>
      <c r="B706" s="31"/>
      <c r="C706" s="31"/>
      <c r="D706" s="31"/>
      <c r="E706" s="31"/>
      <c r="F706" s="3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36"/>
      <c r="BR706" s="1"/>
      <c r="BS706" s="1"/>
      <c r="BT706" s="1"/>
      <c r="BU706" s="41"/>
    </row>
    <row r="707">
      <c r="A707" s="25"/>
      <c r="B707" s="31"/>
      <c r="C707" s="31"/>
      <c r="D707" s="31"/>
      <c r="E707" s="31"/>
      <c r="F707" s="3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36"/>
      <c r="BR707" s="1"/>
      <c r="BS707" s="1"/>
      <c r="BT707" s="1"/>
      <c r="BU707" s="41"/>
    </row>
    <row r="708">
      <c r="A708" s="25"/>
      <c r="B708" s="31"/>
      <c r="C708" s="31"/>
      <c r="D708" s="31"/>
      <c r="E708" s="31"/>
      <c r="F708" s="3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36"/>
      <c r="BR708" s="1"/>
      <c r="BS708" s="1"/>
      <c r="BT708" s="1"/>
      <c r="BU708" s="41"/>
    </row>
    <row r="709">
      <c r="A709" s="25"/>
      <c r="B709" s="31"/>
      <c r="C709" s="31"/>
      <c r="D709" s="31"/>
      <c r="E709" s="31"/>
      <c r="F709" s="3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36"/>
      <c r="BR709" s="1"/>
      <c r="BS709" s="1"/>
      <c r="BT709" s="1"/>
      <c r="BU709" s="41"/>
    </row>
    <row r="710">
      <c r="A710" s="25"/>
      <c r="B710" s="31"/>
      <c r="C710" s="31"/>
      <c r="D710" s="31"/>
      <c r="E710" s="31"/>
      <c r="F710" s="3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36"/>
      <c r="BR710" s="1"/>
      <c r="BS710" s="1"/>
      <c r="BT710" s="1"/>
      <c r="BU710" s="41"/>
    </row>
    <row r="711">
      <c r="A711" s="25"/>
      <c r="B711" s="31"/>
      <c r="C711" s="31"/>
      <c r="D711" s="31"/>
      <c r="E711" s="31"/>
      <c r="F711" s="3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36"/>
      <c r="BR711" s="1"/>
      <c r="BS711" s="1"/>
      <c r="BT711" s="1"/>
      <c r="BU711" s="41"/>
    </row>
    <row r="712">
      <c r="A712" s="25"/>
      <c r="B712" s="31"/>
      <c r="C712" s="31"/>
      <c r="D712" s="31"/>
      <c r="E712" s="31"/>
      <c r="F712" s="3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36"/>
      <c r="BR712" s="1"/>
      <c r="BS712" s="1"/>
      <c r="BT712" s="1"/>
      <c r="BU712" s="41"/>
    </row>
    <row r="713">
      <c r="A713" s="25"/>
      <c r="B713" s="31"/>
      <c r="C713" s="31"/>
      <c r="D713" s="31"/>
      <c r="E713" s="31"/>
      <c r="F713" s="3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36"/>
      <c r="BR713" s="1"/>
      <c r="BS713" s="1"/>
      <c r="BT713" s="1"/>
      <c r="BU713" s="41"/>
    </row>
    <row r="714">
      <c r="A714" s="25"/>
      <c r="B714" s="31"/>
      <c r="C714" s="31"/>
      <c r="D714" s="31"/>
      <c r="E714" s="31"/>
      <c r="F714" s="3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36"/>
      <c r="BR714" s="1"/>
      <c r="BS714" s="1"/>
      <c r="BT714" s="1"/>
      <c r="BU714" s="41"/>
    </row>
    <row r="715">
      <c r="A715" s="25"/>
      <c r="B715" s="31"/>
      <c r="C715" s="31"/>
      <c r="D715" s="31"/>
      <c r="E715" s="31"/>
      <c r="F715" s="3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36"/>
      <c r="BR715" s="1"/>
      <c r="BS715" s="1"/>
      <c r="BT715" s="1"/>
      <c r="BU715" s="41"/>
    </row>
    <row r="716">
      <c r="A716" s="25"/>
      <c r="B716" s="31"/>
      <c r="C716" s="31"/>
      <c r="D716" s="31"/>
      <c r="E716" s="31"/>
      <c r="F716" s="3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36"/>
      <c r="BR716" s="1"/>
      <c r="BS716" s="1"/>
      <c r="BT716" s="1"/>
      <c r="BU716" s="41"/>
    </row>
    <row r="717">
      <c r="A717" s="25"/>
      <c r="B717" s="31"/>
      <c r="C717" s="31"/>
      <c r="D717" s="31"/>
      <c r="E717" s="31"/>
      <c r="F717" s="3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36"/>
      <c r="BR717" s="1"/>
      <c r="BS717" s="1"/>
      <c r="BT717" s="1"/>
      <c r="BU717" s="41"/>
    </row>
    <row r="718">
      <c r="A718" s="25"/>
      <c r="B718" s="31"/>
      <c r="C718" s="31"/>
      <c r="D718" s="31"/>
      <c r="E718" s="31"/>
      <c r="F718" s="3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36"/>
      <c r="BR718" s="1"/>
      <c r="BS718" s="1"/>
      <c r="BT718" s="1"/>
      <c r="BU718" s="41"/>
    </row>
    <row r="719">
      <c r="A719" s="25"/>
      <c r="B719" s="31"/>
      <c r="C719" s="31"/>
      <c r="D719" s="31"/>
      <c r="E719" s="31"/>
      <c r="F719" s="3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36"/>
      <c r="BR719" s="1"/>
      <c r="BS719" s="1"/>
      <c r="BT719" s="1"/>
      <c r="BU719" s="41"/>
    </row>
    <row r="720">
      <c r="A720" s="25"/>
      <c r="B720" s="31"/>
      <c r="C720" s="31"/>
      <c r="D720" s="31"/>
      <c r="E720" s="31"/>
      <c r="F720" s="3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36"/>
      <c r="BR720" s="1"/>
      <c r="BS720" s="1"/>
      <c r="BT720" s="1"/>
      <c r="BU720" s="41"/>
    </row>
    <row r="721">
      <c r="A721" s="25"/>
      <c r="B721" s="31"/>
      <c r="C721" s="31"/>
      <c r="D721" s="31"/>
      <c r="E721" s="31"/>
      <c r="F721" s="3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36"/>
      <c r="BR721" s="1"/>
      <c r="BS721" s="1"/>
      <c r="BT721" s="1"/>
      <c r="BU721" s="41"/>
    </row>
    <row r="722">
      <c r="A722" s="25"/>
      <c r="B722" s="31"/>
      <c r="C722" s="31"/>
      <c r="D722" s="31"/>
      <c r="E722" s="31"/>
      <c r="F722" s="3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36"/>
      <c r="BR722" s="1"/>
      <c r="BS722" s="1"/>
      <c r="BT722" s="1"/>
      <c r="BU722" s="41"/>
    </row>
    <row r="723">
      <c r="A723" s="25"/>
      <c r="B723" s="31"/>
      <c r="C723" s="31"/>
      <c r="D723" s="31"/>
      <c r="E723" s="31"/>
      <c r="F723" s="3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36"/>
      <c r="BR723" s="1"/>
      <c r="BS723" s="1"/>
      <c r="BT723" s="1"/>
      <c r="BU723" s="41"/>
    </row>
    <row r="724">
      <c r="A724" s="25"/>
      <c r="B724" s="31"/>
      <c r="C724" s="31"/>
      <c r="D724" s="31"/>
      <c r="E724" s="31"/>
      <c r="F724" s="3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36"/>
      <c r="BR724" s="1"/>
      <c r="BS724" s="1"/>
      <c r="BT724" s="1"/>
      <c r="BU724" s="41"/>
    </row>
    <row r="725">
      <c r="A725" s="25"/>
      <c r="B725" s="31"/>
      <c r="C725" s="31"/>
      <c r="D725" s="31"/>
      <c r="E725" s="31"/>
      <c r="F725" s="3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36"/>
      <c r="BR725" s="1"/>
      <c r="BS725" s="1"/>
      <c r="BT725" s="1"/>
      <c r="BU725" s="41"/>
    </row>
    <row r="726">
      <c r="A726" s="25"/>
      <c r="B726" s="31"/>
      <c r="C726" s="31"/>
      <c r="D726" s="31"/>
      <c r="E726" s="31"/>
      <c r="F726" s="3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36"/>
      <c r="BR726" s="1"/>
      <c r="BS726" s="1"/>
      <c r="BT726" s="1"/>
      <c r="BU726" s="41"/>
    </row>
    <row r="727">
      <c r="A727" s="25"/>
      <c r="B727" s="31"/>
      <c r="C727" s="31"/>
      <c r="D727" s="31"/>
      <c r="E727" s="31"/>
      <c r="F727" s="3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36"/>
      <c r="BR727" s="1"/>
      <c r="BS727" s="1"/>
      <c r="BT727" s="1"/>
      <c r="BU727" s="41"/>
    </row>
    <row r="728">
      <c r="A728" s="25"/>
      <c r="B728" s="31"/>
      <c r="C728" s="31"/>
      <c r="D728" s="31"/>
      <c r="E728" s="31"/>
      <c r="F728" s="3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36"/>
      <c r="BR728" s="1"/>
      <c r="BS728" s="1"/>
      <c r="BT728" s="1"/>
      <c r="BU728" s="41"/>
    </row>
    <row r="729">
      <c r="A729" s="25"/>
      <c r="B729" s="31"/>
      <c r="C729" s="31"/>
      <c r="D729" s="31"/>
      <c r="E729" s="31"/>
      <c r="F729" s="3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36"/>
      <c r="BR729" s="1"/>
      <c r="BS729" s="1"/>
      <c r="BT729" s="1"/>
      <c r="BU729" s="41"/>
    </row>
    <row r="730">
      <c r="A730" s="25"/>
      <c r="B730" s="31"/>
      <c r="C730" s="31"/>
      <c r="D730" s="31"/>
      <c r="E730" s="31"/>
      <c r="F730" s="3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36"/>
      <c r="BR730" s="1"/>
      <c r="BS730" s="1"/>
      <c r="BT730" s="1"/>
      <c r="BU730" s="41"/>
    </row>
    <row r="731">
      <c r="A731" s="25"/>
      <c r="B731" s="31"/>
      <c r="C731" s="31"/>
      <c r="D731" s="31"/>
      <c r="E731" s="31"/>
      <c r="F731" s="3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36"/>
      <c r="BR731" s="1"/>
      <c r="BS731" s="1"/>
      <c r="BT731" s="1"/>
      <c r="BU731" s="41"/>
    </row>
    <row r="732">
      <c r="A732" s="25"/>
      <c r="B732" s="31"/>
      <c r="C732" s="31"/>
      <c r="D732" s="31"/>
      <c r="E732" s="31"/>
      <c r="F732" s="3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36"/>
      <c r="BR732" s="1"/>
      <c r="BS732" s="1"/>
      <c r="BT732" s="1"/>
      <c r="BU732" s="41"/>
    </row>
    <row r="733">
      <c r="A733" s="25"/>
      <c r="B733" s="31"/>
      <c r="C733" s="31"/>
      <c r="D733" s="31"/>
      <c r="E733" s="31"/>
      <c r="F733" s="3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36"/>
      <c r="BR733" s="1"/>
      <c r="BS733" s="1"/>
      <c r="BT733" s="1"/>
      <c r="BU733" s="41"/>
    </row>
    <row r="734">
      <c r="A734" s="25"/>
      <c r="B734" s="31"/>
      <c r="C734" s="31"/>
      <c r="D734" s="31"/>
      <c r="E734" s="31"/>
      <c r="F734" s="3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36"/>
      <c r="BR734" s="1"/>
      <c r="BS734" s="1"/>
      <c r="BT734" s="1"/>
      <c r="BU734" s="41"/>
    </row>
    <row r="735">
      <c r="A735" s="25"/>
      <c r="B735" s="31"/>
      <c r="C735" s="31"/>
      <c r="D735" s="31"/>
      <c r="E735" s="31"/>
      <c r="F735" s="3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36"/>
      <c r="BR735" s="1"/>
      <c r="BS735" s="1"/>
      <c r="BT735" s="1"/>
      <c r="BU735" s="41"/>
    </row>
    <row r="736">
      <c r="A736" s="25"/>
      <c r="B736" s="31"/>
      <c r="C736" s="31"/>
      <c r="D736" s="31"/>
      <c r="E736" s="31"/>
      <c r="F736" s="3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36"/>
      <c r="BR736" s="1"/>
      <c r="BS736" s="1"/>
      <c r="BT736" s="1"/>
      <c r="BU736" s="41"/>
    </row>
    <row r="737">
      <c r="A737" s="25"/>
      <c r="B737" s="31"/>
      <c r="C737" s="31"/>
      <c r="D737" s="31"/>
      <c r="E737" s="31"/>
      <c r="F737" s="3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36"/>
      <c r="BR737" s="1"/>
      <c r="BS737" s="1"/>
      <c r="BT737" s="1"/>
      <c r="BU737" s="41"/>
    </row>
    <row r="738">
      <c r="A738" s="25"/>
      <c r="B738" s="31"/>
      <c r="C738" s="31"/>
      <c r="D738" s="31"/>
      <c r="E738" s="31"/>
      <c r="F738" s="3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36"/>
      <c r="BR738" s="1"/>
      <c r="BS738" s="1"/>
      <c r="BT738" s="1"/>
      <c r="BU738" s="41"/>
    </row>
    <row r="739">
      <c r="A739" s="25"/>
      <c r="B739" s="31"/>
      <c r="C739" s="31"/>
      <c r="D739" s="31"/>
      <c r="E739" s="31"/>
      <c r="F739" s="3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36"/>
      <c r="BR739" s="1"/>
      <c r="BS739" s="1"/>
      <c r="BT739" s="1"/>
      <c r="BU739" s="41"/>
    </row>
    <row r="740">
      <c r="A740" s="25"/>
      <c r="B740" s="31"/>
      <c r="C740" s="31"/>
      <c r="D740" s="31"/>
      <c r="E740" s="31"/>
      <c r="F740" s="3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36"/>
      <c r="BR740" s="1"/>
      <c r="BS740" s="1"/>
      <c r="BT740" s="1"/>
      <c r="BU740" s="41"/>
    </row>
    <row r="741">
      <c r="A741" s="25"/>
      <c r="B741" s="31"/>
      <c r="C741" s="31"/>
      <c r="D741" s="31"/>
      <c r="E741" s="31"/>
      <c r="F741" s="3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36"/>
      <c r="BR741" s="1"/>
      <c r="BS741" s="1"/>
      <c r="BT741" s="1"/>
      <c r="BU741" s="41"/>
    </row>
    <row r="742">
      <c r="A742" s="25"/>
      <c r="B742" s="31"/>
      <c r="C742" s="31"/>
      <c r="D742" s="31"/>
      <c r="E742" s="31"/>
      <c r="F742" s="3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36"/>
      <c r="BR742" s="1"/>
      <c r="BS742" s="1"/>
      <c r="BT742" s="1"/>
      <c r="BU742" s="41"/>
    </row>
    <row r="743">
      <c r="A743" s="25"/>
      <c r="B743" s="31"/>
      <c r="C743" s="31"/>
      <c r="D743" s="31"/>
      <c r="E743" s="31"/>
      <c r="F743" s="3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36"/>
      <c r="BR743" s="1"/>
      <c r="BS743" s="1"/>
      <c r="BT743" s="1"/>
      <c r="BU743" s="41"/>
    </row>
    <row r="744">
      <c r="A744" s="25"/>
      <c r="B744" s="31"/>
      <c r="C744" s="31"/>
      <c r="D744" s="31"/>
      <c r="E744" s="31"/>
      <c r="F744" s="3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36"/>
      <c r="BR744" s="1"/>
      <c r="BS744" s="1"/>
      <c r="BT744" s="1"/>
      <c r="BU744" s="41"/>
    </row>
    <row r="745">
      <c r="A745" s="25"/>
      <c r="B745" s="31"/>
      <c r="C745" s="31"/>
      <c r="D745" s="31"/>
      <c r="E745" s="31"/>
      <c r="F745" s="3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36"/>
      <c r="BR745" s="1"/>
      <c r="BS745" s="1"/>
      <c r="BT745" s="1"/>
      <c r="BU745" s="41"/>
    </row>
    <row r="746">
      <c r="A746" s="25"/>
      <c r="B746" s="31"/>
      <c r="C746" s="31"/>
      <c r="D746" s="31"/>
      <c r="E746" s="31"/>
      <c r="F746" s="3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36"/>
      <c r="BR746" s="1"/>
      <c r="BS746" s="1"/>
      <c r="BT746" s="1"/>
      <c r="BU746" s="41"/>
    </row>
    <row r="747">
      <c r="A747" s="25"/>
      <c r="B747" s="31"/>
      <c r="C747" s="31"/>
      <c r="D747" s="31"/>
      <c r="E747" s="31"/>
      <c r="F747" s="3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36"/>
      <c r="BR747" s="1"/>
      <c r="BS747" s="1"/>
      <c r="BT747" s="1"/>
      <c r="BU747" s="41"/>
    </row>
    <row r="748">
      <c r="A748" s="25"/>
      <c r="B748" s="31"/>
      <c r="C748" s="31"/>
      <c r="D748" s="31"/>
      <c r="E748" s="31"/>
      <c r="F748" s="3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36"/>
      <c r="BR748" s="1"/>
      <c r="BS748" s="1"/>
      <c r="BT748" s="1"/>
      <c r="BU748" s="41"/>
    </row>
    <row r="749">
      <c r="A749" s="25"/>
      <c r="B749" s="31"/>
      <c r="C749" s="31"/>
      <c r="D749" s="31"/>
      <c r="E749" s="31"/>
      <c r="F749" s="3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36"/>
      <c r="BR749" s="1"/>
      <c r="BS749" s="1"/>
      <c r="BT749" s="1"/>
      <c r="BU749" s="41"/>
    </row>
    <row r="750">
      <c r="A750" s="25"/>
      <c r="B750" s="31"/>
      <c r="C750" s="31"/>
      <c r="D750" s="31"/>
      <c r="E750" s="31"/>
      <c r="F750" s="3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36"/>
      <c r="BR750" s="1"/>
      <c r="BS750" s="1"/>
      <c r="BT750" s="1"/>
      <c r="BU750" s="41"/>
    </row>
    <row r="751">
      <c r="A751" s="25"/>
      <c r="B751" s="31"/>
      <c r="C751" s="31"/>
      <c r="D751" s="31"/>
      <c r="E751" s="31"/>
      <c r="F751" s="3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36"/>
      <c r="BR751" s="1"/>
      <c r="BS751" s="1"/>
      <c r="BT751" s="1"/>
      <c r="BU751" s="41"/>
    </row>
    <row r="752">
      <c r="A752" s="25"/>
      <c r="B752" s="31"/>
      <c r="C752" s="31"/>
      <c r="D752" s="31"/>
      <c r="E752" s="31"/>
      <c r="F752" s="3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36"/>
      <c r="BR752" s="1"/>
      <c r="BS752" s="1"/>
      <c r="BT752" s="1"/>
      <c r="BU752" s="41"/>
    </row>
    <row r="753">
      <c r="A753" s="25"/>
      <c r="B753" s="31"/>
      <c r="C753" s="31"/>
      <c r="D753" s="31"/>
      <c r="E753" s="31"/>
      <c r="F753" s="3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36"/>
      <c r="BR753" s="1"/>
      <c r="BS753" s="1"/>
      <c r="BT753" s="1"/>
      <c r="BU753" s="41"/>
    </row>
    <row r="754">
      <c r="A754" s="25"/>
      <c r="B754" s="31"/>
      <c r="C754" s="31"/>
      <c r="D754" s="31"/>
      <c r="E754" s="31"/>
      <c r="F754" s="3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36"/>
      <c r="BR754" s="1"/>
      <c r="BS754" s="1"/>
      <c r="BT754" s="1"/>
      <c r="BU754" s="41"/>
    </row>
    <row r="755">
      <c r="A755" s="25"/>
      <c r="B755" s="31"/>
      <c r="C755" s="31"/>
      <c r="D755" s="31"/>
      <c r="E755" s="31"/>
      <c r="F755" s="3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36"/>
      <c r="BR755" s="1"/>
      <c r="BS755" s="1"/>
      <c r="BT755" s="1"/>
      <c r="BU755" s="41"/>
    </row>
    <row r="756">
      <c r="A756" s="25"/>
      <c r="B756" s="31"/>
      <c r="C756" s="31"/>
      <c r="D756" s="31"/>
      <c r="E756" s="31"/>
      <c r="F756" s="3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36"/>
      <c r="BR756" s="1"/>
      <c r="BS756" s="1"/>
      <c r="BT756" s="1"/>
      <c r="BU756" s="41"/>
    </row>
    <row r="757">
      <c r="A757" s="25"/>
      <c r="B757" s="31"/>
      <c r="C757" s="31"/>
      <c r="D757" s="31"/>
      <c r="E757" s="31"/>
      <c r="F757" s="3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36"/>
      <c r="BR757" s="1"/>
      <c r="BS757" s="1"/>
      <c r="BT757" s="1"/>
      <c r="BU757" s="41"/>
    </row>
    <row r="758">
      <c r="A758" s="25"/>
      <c r="B758" s="31"/>
      <c r="C758" s="31"/>
      <c r="D758" s="31"/>
      <c r="E758" s="31"/>
      <c r="F758" s="3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36"/>
      <c r="BR758" s="1"/>
      <c r="BS758" s="1"/>
      <c r="BT758" s="1"/>
      <c r="BU758" s="41"/>
    </row>
    <row r="759">
      <c r="A759" s="25"/>
      <c r="B759" s="31"/>
      <c r="C759" s="31"/>
      <c r="D759" s="31"/>
      <c r="E759" s="31"/>
      <c r="F759" s="3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36"/>
      <c r="BR759" s="1"/>
      <c r="BS759" s="1"/>
      <c r="BT759" s="1"/>
      <c r="BU759" s="41"/>
    </row>
    <row r="760">
      <c r="A760" s="25"/>
      <c r="B760" s="31"/>
      <c r="C760" s="31"/>
      <c r="D760" s="31"/>
      <c r="E760" s="31"/>
      <c r="F760" s="3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36"/>
      <c r="BR760" s="1"/>
      <c r="BS760" s="1"/>
      <c r="BT760" s="1"/>
      <c r="BU760" s="41"/>
    </row>
    <row r="761">
      <c r="A761" s="25"/>
      <c r="B761" s="31"/>
      <c r="C761" s="31"/>
      <c r="D761" s="31"/>
      <c r="E761" s="31"/>
      <c r="F761" s="3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36"/>
      <c r="BR761" s="1"/>
      <c r="BS761" s="1"/>
      <c r="BT761" s="1"/>
      <c r="BU761" s="41"/>
    </row>
    <row r="762">
      <c r="A762" s="25"/>
      <c r="B762" s="31"/>
      <c r="C762" s="31"/>
      <c r="D762" s="31"/>
      <c r="E762" s="31"/>
      <c r="F762" s="3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36"/>
      <c r="BR762" s="1"/>
      <c r="BS762" s="1"/>
      <c r="BT762" s="1"/>
      <c r="BU762" s="41"/>
    </row>
    <row r="763">
      <c r="A763" s="25"/>
      <c r="B763" s="31"/>
      <c r="C763" s="31"/>
      <c r="D763" s="31"/>
      <c r="E763" s="31"/>
      <c r="F763" s="3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36"/>
      <c r="BR763" s="1"/>
      <c r="BS763" s="1"/>
      <c r="BT763" s="1"/>
      <c r="BU763" s="41"/>
    </row>
    <row r="764">
      <c r="A764" s="25"/>
      <c r="B764" s="31"/>
      <c r="C764" s="31"/>
      <c r="D764" s="31"/>
      <c r="E764" s="31"/>
      <c r="F764" s="3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36"/>
      <c r="BR764" s="1"/>
      <c r="BS764" s="1"/>
      <c r="BT764" s="1"/>
      <c r="BU764" s="41"/>
    </row>
    <row r="765">
      <c r="A765" s="25"/>
      <c r="B765" s="31"/>
      <c r="C765" s="31"/>
      <c r="D765" s="31"/>
      <c r="E765" s="31"/>
      <c r="F765" s="3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36"/>
      <c r="BR765" s="1"/>
      <c r="BS765" s="1"/>
      <c r="BT765" s="1"/>
      <c r="BU765" s="41"/>
    </row>
    <row r="766">
      <c r="A766" s="25"/>
      <c r="B766" s="31"/>
      <c r="C766" s="31"/>
      <c r="D766" s="31"/>
      <c r="E766" s="31"/>
      <c r="F766" s="3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36"/>
      <c r="BR766" s="1"/>
      <c r="BS766" s="1"/>
      <c r="BT766" s="1"/>
      <c r="BU766" s="41"/>
    </row>
    <row r="767">
      <c r="A767" s="25"/>
      <c r="B767" s="31"/>
      <c r="C767" s="31"/>
      <c r="D767" s="31"/>
      <c r="E767" s="31"/>
      <c r="F767" s="3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36"/>
      <c r="BR767" s="1"/>
      <c r="BS767" s="1"/>
      <c r="BT767" s="1"/>
      <c r="BU767" s="41"/>
    </row>
    <row r="768">
      <c r="A768" s="25"/>
      <c r="B768" s="31"/>
      <c r="C768" s="31"/>
      <c r="D768" s="31"/>
      <c r="E768" s="31"/>
      <c r="F768" s="3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36"/>
      <c r="BR768" s="1"/>
      <c r="BS768" s="1"/>
      <c r="BT768" s="1"/>
      <c r="BU768" s="41"/>
    </row>
    <row r="769">
      <c r="A769" s="25"/>
      <c r="B769" s="31"/>
      <c r="C769" s="31"/>
      <c r="D769" s="31"/>
      <c r="E769" s="31"/>
      <c r="F769" s="3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36"/>
      <c r="BR769" s="1"/>
      <c r="BS769" s="1"/>
      <c r="BT769" s="1"/>
      <c r="BU769" s="41"/>
    </row>
    <row r="770">
      <c r="A770" s="25"/>
      <c r="B770" s="31"/>
      <c r="C770" s="31"/>
      <c r="D770" s="31"/>
      <c r="E770" s="31"/>
      <c r="F770" s="3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36"/>
      <c r="BR770" s="1"/>
      <c r="BS770" s="1"/>
      <c r="BT770" s="1"/>
      <c r="BU770" s="41"/>
    </row>
    <row r="771">
      <c r="A771" s="25"/>
      <c r="B771" s="31"/>
      <c r="C771" s="31"/>
      <c r="D771" s="31"/>
      <c r="E771" s="31"/>
      <c r="F771" s="3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36"/>
      <c r="BR771" s="1"/>
      <c r="BS771" s="1"/>
      <c r="BT771" s="1"/>
      <c r="BU771" s="41"/>
    </row>
    <row r="772">
      <c r="A772" s="25"/>
      <c r="B772" s="31"/>
      <c r="C772" s="31"/>
      <c r="D772" s="31"/>
      <c r="E772" s="31"/>
      <c r="F772" s="3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36"/>
      <c r="BR772" s="1"/>
      <c r="BS772" s="1"/>
      <c r="BT772" s="1"/>
      <c r="BU772" s="41"/>
    </row>
    <row r="773">
      <c r="A773" s="25"/>
      <c r="B773" s="31"/>
      <c r="C773" s="31"/>
      <c r="D773" s="31"/>
      <c r="E773" s="31"/>
      <c r="F773" s="3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36"/>
      <c r="BR773" s="1"/>
      <c r="BS773" s="1"/>
      <c r="BT773" s="1"/>
      <c r="BU773" s="41"/>
    </row>
    <row r="774">
      <c r="A774" s="25"/>
      <c r="B774" s="31"/>
      <c r="C774" s="31"/>
      <c r="D774" s="31"/>
      <c r="E774" s="31"/>
      <c r="F774" s="3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36"/>
      <c r="BR774" s="1"/>
      <c r="BS774" s="1"/>
      <c r="BT774" s="1"/>
      <c r="BU774" s="41"/>
    </row>
    <row r="775">
      <c r="A775" s="25"/>
      <c r="B775" s="31"/>
      <c r="C775" s="31"/>
      <c r="D775" s="31"/>
      <c r="E775" s="31"/>
      <c r="F775" s="3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36"/>
      <c r="BR775" s="1"/>
      <c r="BS775" s="1"/>
      <c r="BT775" s="1"/>
      <c r="BU775" s="41"/>
    </row>
    <row r="776">
      <c r="A776" s="25"/>
      <c r="B776" s="31"/>
      <c r="C776" s="31"/>
      <c r="D776" s="31"/>
      <c r="E776" s="31"/>
      <c r="F776" s="3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36"/>
      <c r="BR776" s="1"/>
      <c r="BS776" s="1"/>
      <c r="BT776" s="1"/>
      <c r="BU776" s="41"/>
    </row>
    <row r="777">
      <c r="A777" s="25"/>
      <c r="B777" s="31"/>
      <c r="C777" s="31"/>
      <c r="D777" s="31"/>
      <c r="E777" s="31"/>
      <c r="F777" s="3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36"/>
      <c r="BR777" s="1"/>
      <c r="BS777" s="1"/>
      <c r="BT777" s="1"/>
      <c r="BU777" s="41"/>
    </row>
    <row r="778">
      <c r="A778" s="25"/>
      <c r="B778" s="31"/>
      <c r="C778" s="31"/>
      <c r="D778" s="31"/>
      <c r="E778" s="31"/>
      <c r="F778" s="3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36"/>
      <c r="BR778" s="1"/>
      <c r="BS778" s="1"/>
      <c r="BT778" s="1"/>
      <c r="BU778" s="41"/>
    </row>
    <row r="779">
      <c r="A779" s="25"/>
      <c r="B779" s="31"/>
      <c r="C779" s="31"/>
      <c r="D779" s="31"/>
      <c r="E779" s="31"/>
      <c r="F779" s="3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36"/>
      <c r="BR779" s="1"/>
      <c r="BS779" s="1"/>
      <c r="BT779" s="1"/>
      <c r="BU779" s="41"/>
    </row>
    <row r="780">
      <c r="A780" s="25"/>
      <c r="B780" s="31"/>
      <c r="C780" s="31"/>
      <c r="D780" s="31"/>
      <c r="E780" s="31"/>
      <c r="F780" s="3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36"/>
      <c r="BR780" s="1"/>
      <c r="BS780" s="1"/>
      <c r="BT780" s="1"/>
      <c r="BU780" s="41"/>
    </row>
    <row r="781">
      <c r="A781" s="25"/>
      <c r="B781" s="31"/>
      <c r="C781" s="31"/>
      <c r="D781" s="31"/>
      <c r="E781" s="31"/>
      <c r="F781" s="3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36"/>
      <c r="BR781" s="1"/>
      <c r="BS781" s="1"/>
      <c r="BT781" s="1"/>
      <c r="BU781" s="41"/>
    </row>
    <row r="782">
      <c r="A782" s="25"/>
      <c r="B782" s="31"/>
      <c r="C782" s="31"/>
      <c r="D782" s="31"/>
      <c r="E782" s="31"/>
      <c r="F782" s="3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36"/>
      <c r="BR782" s="1"/>
      <c r="BS782" s="1"/>
      <c r="BT782" s="1"/>
      <c r="BU782" s="41"/>
    </row>
    <row r="783">
      <c r="A783" s="25"/>
      <c r="B783" s="31"/>
      <c r="C783" s="31"/>
      <c r="D783" s="31"/>
      <c r="E783" s="31"/>
      <c r="F783" s="3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36"/>
      <c r="BR783" s="1"/>
      <c r="BS783" s="1"/>
      <c r="BT783" s="1"/>
      <c r="BU783" s="41"/>
    </row>
    <row r="784">
      <c r="A784" s="25"/>
      <c r="B784" s="31"/>
      <c r="C784" s="31"/>
      <c r="D784" s="31"/>
      <c r="E784" s="31"/>
      <c r="F784" s="3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36"/>
      <c r="BR784" s="1"/>
      <c r="BS784" s="1"/>
      <c r="BT784" s="1"/>
      <c r="BU784" s="41"/>
    </row>
    <row r="785">
      <c r="A785" s="25"/>
      <c r="B785" s="31"/>
      <c r="C785" s="31"/>
      <c r="D785" s="31"/>
      <c r="E785" s="31"/>
      <c r="F785" s="3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36"/>
      <c r="BR785" s="1"/>
      <c r="BS785" s="1"/>
      <c r="BT785" s="1"/>
      <c r="BU785" s="41"/>
    </row>
    <row r="786">
      <c r="A786" s="25"/>
      <c r="B786" s="31"/>
      <c r="C786" s="31"/>
      <c r="D786" s="31"/>
      <c r="E786" s="31"/>
      <c r="F786" s="3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36"/>
      <c r="BR786" s="1"/>
      <c r="BS786" s="1"/>
      <c r="BT786" s="1"/>
      <c r="BU786" s="41"/>
    </row>
    <row r="787">
      <c r="A787" s="25"/>
      <c r="B787" s="31"/>
      <c r="C787" s="31"/>
      <c r="D787" s="31"/>
      <c r="E787" s="31"/>
      <c r="F787" s="3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36"/>
      <c r="BR787" s="1"/>
      <c r="BS787" s="1"/>
      <c r="BT787" s="1"/>
      <c r="BU787" s="41"/>
    </row>
    <row r="788">
      <c r="A788" s="25"/>
      <c r="B788" s="31"/>
      <c r="C788" s="31"/>
      <c r="D788" s="31"/>
      <c r="E788" s="31"/>
      <c r="F788" s="3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36"/>
      <c r="BR788" s="1"/>
      <c r="BS788" s="1"/>
      <c r="BT788" s="1"/>
      <c r="BU788" s="41"/>
    </row>
    <row r="789">
      <c r="A789" s="25"/>
      <c r="B789" s="31"/>
      <c r="C789" s="31"/>
      <c r="D789" s="31"/>
      <c r="E789" s="31"/>
      <c r="F789" s="3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36"/>
      <c r="BR789" s="1"/>
      <c r="BS789" s="1"/>
      <c r="BT789" s="1"/>
      <c r="BU789" s="41"/>
    </row>
    <row r="790">
      <c r="A790" s="25"/>
      <c r="B790" s="31"/>
      <c r="C790" s="31"/>
      <c r="D790" s="31"/>
      <c r="E790" s="31"/>
      <c r="F790" s="3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36"/>
      <c r="BR790" s="1"/>
      <c r="BS790" s="1"/>
      <c r="BT790" s="1"/>
      <c r="BU790" s="41"/>
    </row>
    <row r="791">
      <c r="A791" s="25"/>
      <c r="B791" s="31"/>
      <c r="C791" s="31"/>
      <c r="D791" s="31"/>
      <c r="E791" s="31"/>
      <c r="F791" s="3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36"/>
      <c r="BR791" s="1"/>
      <c r="BS791" s="1"/>
      <c r="BT791" s="1"/>
      <c r="BU791" s="41"/>
    </row>
    <row r="792">
      <c r="A792" s="25"/>
      <c r="B792" s="31"/>
      <c r="C792" s="31"/>
      <c r="D792" s="31"/>
      <c r="E792" s="31"/>
      <c r="F792" s="3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36"/>
      <c r="BR792" s="1"/>
      <c r="BS792" s="1"/>
      <c r="BT792" s="1"/>
      <c r="BU792" s="41"/>
    </row>
    <row r="793">
      <c r="A793" s="25"/>
      <c r="B793" s="31"/>
      <c r="C793" s="31"/>
      <c r="D793" s="31"/>
      <c r="E793" s="31"/>
      <c r="F793" s="3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36"/>
      <c r="BR793" s="1"/>
      <c r="BS793" s="1"/>
      <c r="BT793" s="1"/>
      <c r="BU793" s="41"/>
    </row>
    <row r="794">
      <c r="A794" s="25"/>
      <c r="B794" s="31"/>
      <c r="C794" s="31"/>
      <c r="D794" s="31"/>
      <c r="E794" s="31"/>
      <c r="F794" s="3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36"/>
      <c r="BR794" s="1"/>
      <c r="BS794" s="1"/>
      <c r="BT794" s="1"/>
      <c r="BU794" s="41"/>
    </row>
    <row r="795">
      <c r="A795" s="25"/>
      <c r="B795" s="31"/>
      <c r="C795" s="31"/>
      <c r="D795" s="31"/>
      <c r="E795" s="31"/>
      <c r="F795" s="3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36"/>
      <c r="BR795" s="1"/>
      <c r="BS795" s="1"/>
      <c r="BT795" s="1"/>
      <c r="BU795" s="41"/>
    </row>
    <row r="796">
      <c r="A796" s="25"/>
      <c r="B796" s="31"/>
      <c r="C796" s="31"/>
      <c r="D796" s="31"/>
      <c r="E796" s="31"/>
      <c r="F796" s="3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36"/>
      <c r="BR796" s="1"/>
      <c r="BS796" s="1"/>
      <c r="BT796" s="1"/>
      <c r="BU796" s="41"/>
    </row>
    <row r="797">
      <c r="A797" s="25"/>
      <c r="B797" s="31"/>
      <c r="C797" s="31"/>
      <c r="D797" s="31"/>
      <c r="E797" s="31"/>
      <c r="F797" s="3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36"/>
      <c r="BR797" s="1"/>
      <c r="BS797" s="1"/>
      <c r="BT797" s="1"/>
      <c r="BU797" s="41"/>
    </row>
    <row r="798">
      <c r="A798" s="25"/>
      <c r="B798" s="31"/>
      <c r="C798" s="31"/>
      <c r="D798" s="31"/>
      <c r="E798" s="31"/>
      <c r="F798" s="3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36"/>
      <c r="BR798" s="1"/>
      <c r="BS798" s="1"/>
      <c r="BT798" s="1"/>
      <c r="BU798" s="41"/>
    </row>
    <row r="799">
      <c r="A799" s="25"/>
      <c r="B799" s="31"/>
      <c r="C799" s="31"/>
      <c r="D799" s="31"/>
      <c r="E799" s="31"/>
      <c r="F799" s="3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36"/>
      <c r="BR799" s="1"/>
      <c r="BS799" s="1"/>
      <c r="BT799" s="1"/>
      <c r="BU799" s="41"/>
    </row>
    <row r="800">
      <c r="A800" s="25"/>
      <c r="B800" s="31"/>
      <c r="C800" s="31"/>
      <c r="D800" s="31"/>
      <c r="E800" s="31"/>
      <c r="F800" s="3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36"/>
      <c r="BR800" s="1"/>
      <c r="BS800" s="1"/>
      <c r="BT800" s="1"/>
      <c r="BU800" s="41"/>
    </row>
    <row r="801">
      <c r="A801" s="25"/>
      <c r="B801" s="31"/>
      <c r="C801" s="31"/>
      <c r="D801" s="31"/>
      <c r="E801" s="31"/>
      <c r="F801" s="3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36"/>
      <c r="BR801" s="1"/>
      <c r="BS801" s="1"/>
      <c r="BT801" s="1"/>
      <c r="BU801" s="41"/>
    </row>
    <row r="802">
      <c r="A802" s="25"/>
      <c r="B802" s="31"/>
      <c r="C802" s="31"/>
      <c r="D802" s="31"/>
      <c r="E802" s="31"/>
      <c r="F802" s="3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36"/>
      <c r="BR802" s="1"/>
      <c r="BS802" s="1"/>
      <c r="BT802" s="1"/>
      <c r="BU802" s="41"/>
    </row>
    <row r="803">
      <c r="A803" s="25"/>
      <c r="B803" s="31"/>
      <c r="C803" s="31"/>
      <c r="D803" s="31"/>
      <c r="E803" s="31"/>
      <c r="F803" s="3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36"/>
      <c r="BR803" s="1"/>
      <c r="BS803" s="1"/>
      <c r="BT803" s="1"/>
      <c r="BU803" s="41"/>
    </row>
    <row r="804">
      <c r="A804" s="25"/>
      <c r="B804" s="31"/>
      <c r="C804" s="31"/>
      <c r="D804" s="31"/>
      <c r="E804" s="31"/>
      <c r="F804" s="3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36"/>
      <c r="BR804" s="1"/>
      <c r="BS804" s="1"/>
      <c r="BT804" s="1"/>
      <c r="BU804" s="41"/>
    </row>
    <row r="805">
      <c r="A805" s="25"/>
      <c r="B805" s="31"/>
      <c r="C805" s="31"/>
      <c r="D805" s="31"/>
      <c r="E805" s="31"/>
      <c r="F805" s="3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36"/>
      <c r="BR805" s="1"/>
      <c r="BS805" s="1"/>
      <c r="BT805" s="1"/>
      <c r="BU805" s="41"/>
    </row>
    <row r="806">
      <c r="A806" s="25"/>
      <c r="B806" s="31"/>
      <c r="C806" s="31"/>
      <c r="D806" s="31"/>
      <c r="E806" s="31"/>
      <c r="F806" s="3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36"/>
      <c r="BR806" s="1"/>
      <c r="BS806" s="1"/>
      <c r="BT806" s="1"/>
      <c r="BU806" s="41"/>
    </row>
    <row r="807">
      <c r="A807" s="25"/>
      <c r="B807" s="31"/>
      <c r="C807" s="31"/>
      <c r="D807" s="31"/>
      <c r="E807" s="31"/>
      <c r="F807" s="3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36"/>
      <c r="BR807" s="1"/>
      <c r="BS807" s="1"/>
      <c r="BT807" s="1"/>
      <c r="BU807" s="41"/>
    </row>
    <row r="808">
      <c r="A808" s="25"/>
      <c r="B808" s="31"/>
      <c r="C808" s="31"/>
      <c r="D808" s="31"/>
      <c r="E808" s="31"/>
      <c r="F808" s="3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36"/>
      <c r="BR808" s="1"/>
      <c r="BS808" s="1"/>
      <c r="BT808" s="1"/>
      <c r="BU808" s="41"/>
    </row>
    <row r="809">
      <c r="A809" s="25"/>
      <c r="B809" s="31"/>
      <c r="C809" s="31"/>
      <c r="D809" s="31"/>
      <c r="E809" s="31"/>
      <c r="F809" s="3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36"/>
      <c r="BR809" s="1"/>
      <c r="BS809" s="1"/>
      <c r="BT809" s="1"/>
      <c r="BU809" s="41"/>
    </row>
    <row r="810">
      <c r="A810" s="25"/>
      <c r="B810" s="31"/>
      <c r="C810" s="31"/>
      <c r="D810" s="31"/>
      <c r="E810" s="31"/>
      <c r="F810" s="3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36"/>
      <c r="BR810" s="1"/>
      <c r="BS810" s="1"/>
      <c r="BT810" s="1"/>
      <c r="BU810" s="41"/>
    </row>
    <row r="811">
      <c r="A811" s="25"/>
      <c r="B811" s="31"/>
      <c r="C811" s="31"/>
      <c r="D811" s="31"/>
      <c r="E811" s="31"/>
      <c r="F811" s="3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36"/>
      <c r="BR811" s="1"/>
      <c r="BS811" s="1"/>
      <c r="BT811" s="1"/>
      <c r="BU811" s="41"/>
    </row>
    <row r="812">
      <c r="A812" s="25"/>
      <c r="B812" s="31"/>
      <c r="C812" s="31"/>
      <c r="D812" s="31"/>
      <c r="E812" s="31"/>
      <c r="F812" s="3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36"/>
      <c r="BR812" s="1"/>
      <c r="BS812" s="1"/>
      <c r="BT812" s="1"/>
      <c r="BU812" s="41"/>
    </row>
    <row r="813">
      <c r="A813" s="25"/>
      <c r="B813" s="31"/>
      <c r="C813" s="31"/>
      <c r="D813" s="31"/>
      <c r="E813" s="31"/>
      <c r="F813" s="3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36"/>
      <c r="BR813" s="1"/>
      <c r="BS813" s="1"/>
      <c r="BT813" s="1"/>
      <c r="BU813" s="41"/>
    </row>
    <row r="814">
      <c r="A814" s="25"/>
      <c r="B814" s="31"/>
      <c r="C814" s="31"/>
      <c r="D814" s="31"/>
      <c r="E814" s="31"/>
      <c r="F814" s="3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36"/>
      <c r="BR814" s="1"/>
      <c r="BS814" s="1"/>
      <c r="BT814" s="1"/>
      <c r="BU814" s="41"/>
    </row>
    <row r="815">
      <c r="A815" s="25"/>
      <c r="B815" s="31"/>
      <c r="C815" s="31"/>
      <c r="D815" s="31"/>
      <c r="E815" s="31"/>
      <c r="F815" s="3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36"/>
      <c r="BR815" s="1"/>
      <c r="BS815" s="1"/>
      <c r="BT815" s="1"/>
      <c r="BU815" s="41"/>
    </row>
    <row r="816">
      <c r="A816" s="25"/>
      <c r="B816" s="31"/>
      <c r="C816" s="31"/>
      <c r="D816" s="31"/>
      <c r="E816" s="31"/>
      <c r="F816" s="3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36"/>
      <c r="BR816" s="1"/>
      <c r="BS816" s="1"/>
      <c r="BT816" s="1"/>
      <c r="BU816" s="41"/>
    </row>
    <row r="817">
      <c r="A817" s="25"/>
      <c r="B817" s="31"/>
      <c r="C817" s="31"/>
      <c r="D817" s="31"/>
      <c r="E817" s="31"/>
      <c r="F817" s="3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36"/>
      <c r="BR817" s="1"/>
      <c r="BS817" s="1"/>
      <c r="BT817" s="1"/>
      <c r="BU817" s="41"/>
    </row>
    <row r="818">
      <c r="A818" s="25"/>
      <c r="B818" s="31"/>
      <c r="C818" s="31"/>
      <c r="D818" s="31"/>
      <c r="E818" s="31"/>
      <c r="F818" s="3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36"/>
      <c r="BR818" s="1"/>
      <c r="BS818" s="1"/>
      <c r="BT818" s="1"/>
      <c r="BU818" s="41"/>
    </row>
    <row r="819">
      <c r="A819" s="25"/>
      <c r="B819" s="31"/>
      <c r="C819" s="31"/>
      <c r="D819" s="31"/>
      <c r="E819" s="31"/>
      <c r="F819" s="3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36"/>
      <c r="BR819" s="1"/>
      <c r="BS819" s="1"/>
      <c r="BT819" s="1"/>
      <c r="BU819" s="41"/>
    </row>
    <row r="820">
      <c r="A820" s="25"/>
      <c r="B820" s="31"/>
      <c r="C820" s="31"/>
      <c r="D820" s="31"/>
      <c r="E820" s="31"/>
      <c r="F820" s="3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36"/>
      <c r="BR820" s="1"/>
      <c r="BS820" s="1"/>
      <c r="BT820" s="1"/>
      <c r="BU820" s="41"/>
    </row>
    <row r="821">
      <c r="A821" s="25"/>
      <c r="B821" s="31"/>
      <c r="C821" s="31"/>
      <c r="D821" s="31"/>
      <c r="E821" s="31"/>
      <c r="F821" s="3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36"/>
      <c r="BR821" s="1"/>
      <c r="BS821" s="1"/>
      <c r="BT821" s="1"/>
      <c r="BU821" s="41"/>
    </row>
    <row r="822">
      <c r="A822" s="25"/>
      <c r="B822" s="31"/>
      <c r="C822" s="31"/>
      <c r="D822" s="31"/>
      <c r="E822" s="31"/>
      <c r="F822" s="3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36"/>
      <c r="BR822" s="1"/>
      <c r="BS822" s="1"/>
      <c r="BT822" s="1"/>
      <c r="BU822" s="41"/>
    </row>
    <row r="823">
      <c r="A823" s="25"/>
      <c r="B823" s="31"/>
      <c r="C823" s="31"/>
      <c r="D823" s="31"/>
      <c r="E823" s="31"/>
      <c r="F823" s="3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36"/>
      <c r="BR823" s="1"/>
      <c r="BS823" s="1"/>
      <c r="BT823" s="1"/>
      <c r="BU823" s="41"/>
    </row>
    <row r="824">
      <c r="A824" s="25"/>
      <c r="B824" s="31"/>
      <c r="C824" s="31"/>
      <c r="D824" s="31"/>
      <c r="E824" s="31"/>
      <c r="F824" s="3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36"/>
      <c r="BR824" s="1"/>
      <c r="BS824" s="1"/>
      <c r="BT824" s="1"/>
      <c r="BU824" s="41"/>
    </row>
    <row r="825">
      <c r="A825" s="25"/>
      <c r="B825" s="31"/>
      <c r="C825" s="31"/>
      <c r="D825" s="31"/>
      <c r="E825" s="31"/>
      <c r="F825" s="3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36"/>
      <c r="BR825" s="1"/>
      <c r="BS825" s="1"/>
      <c r="BT825" s="1"/>
      <c r="BU825" s="41"/>
    </row>
    <row r="826">
      <c r="A826" s="25"/>
      <c r="B826" s="31"/>
      <c r="C826" s="31"/>
      <c r="D826" s="31"/>
      <c r="E826" s="31"/>
      <c r="F826" s="3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36"/>
      <c r="BR826" s="1"/>
      <c r="BS826" s="1"/>
      <c r="BT826" s="1"/>
      <c r="BU826" s="41"/>
    </row>
    <row r="827">
      <c r="A827" s="25"/>
      <c r="B827" s="31"/>
      <c r="C827" s="31"/>
      <c r="D827" s="31"/>
      <c r="E827" s="31"/>
      <c r="F827" s="3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36"/>
      <c r="BR827" s="1"/>
      <c r="BS827" s="1"/>
      <c r="BT827" s="1"/>
      <c r="BU827" s="41"/>
    </row>
    <row r="828">
      <c r="A828" s="25"/>
      <c r="B828" s="31"/>
      <c r="C828" s="31"/>
      <c r="D828" s="31"/>
      <c r="E828" s="31"/>
      <c r="F828" s="3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36"/>
      <c r="BR828" s="1"/>
      <c r="BS828" s="1"/>
      <c r="BT828" s="1"/>
      <c r="BU828" s="41"/>
    </row>
    <row r="829">
      <c r="A829" s="25"/>
      <c r="B829" s="31"/>
      <c r="C829" s="31"/>
      <c r="D829" s="31"/>
      <c r="E829" s="31"/>
      <c r="F829" s="3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36"/>
      <c r="BR829" s="1"/>
      <c r="BS829" s="1"/>
      <c r="BT829" s="1"/>
      <c r="BU829" s="41"/>
    </row>
    <row r="830">
      <c r="A830" s="25"/>
      <c r="B830" s="31"/>
      <c r="C830" s="31"/>
      <c r="D830" s="31"/>
      <c r="E830" s="31"/>
      <c r="F830" s="3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36"/>
      <c r="BR830" s="1"/>
      <c r="BS830" s="1"/>
      <c r="BT830" s="1"/>
      <c r="BU830" s="41"/>
    </row>
    <row r="831">
      <c r="A831" s="25"/>
      <c r="B831" s="31"/>
      <c r="C831" s="31"/>
      <c r="D831" s="31"/>
      <c r="E831" s="31"/>
      <c r="F831" s="3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36"/>
      <c r="BR831" s="1"/>
      <c r="BS831" s="1"/>
      <c r="BT831" s="1"/>
      <c r="BU831" s="41"/>
    </row>
    <row r="832">
      <c r="A832" s="25"/>
      <c r="B832" s="31"/>
      <c r="C832" s="31"/>
      <c r="D832" s="31"/>
      <c r="E832" s="31"/>
      <c r="F832" s="3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36"/>
      <c r="BR832" s="1"/>
      <c r="BS832" s="1"/>
      <c r="BT832" s="1"/>
      <c r="BU832" s="41"/>
    </row>
    <row r="833">
      <c r="A833" s="25"/>
      <c r="B833" s="31"/>
      <c r="C833" s="31"/>
      <c r="D833" s="31"/>
      <c r="E833" s="31"/>
      <c r="F833" s="3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36"/>
      <c r="BR833" s="1"/>
      <c r="BS833" s="1"/>
      <c r="BT833" s="1"/>
      <c r="BU833" s="41"/>
    </row>
    <row r="834">
      <c r="A834" s="25"/>
      <c r="B834" s="31"/>
      <c r="C834" s="31"/>
      <c r="D834" s="31"/>
      <c r="E834" s="31"/>
      <c r="F834" s="3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36"/>
      <c r="BR834" s="1"/>
      <c r="BS834" s="1"/>
      <c r="BT834" s="1"/>
      <c r="BU834" s="41"/>
    </row>
    <row r="835">
      <c r="A835" s="25"/>
      <c r="B835" s="31"/>
      <c r="C835" s="31"/>
      <c r="D835" s="31"/>
      <c r="E835" s="31"/>
      <c r="F835" s="3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36"/>
      <c r="BR835" s="1"/>
      <c r="BS835" s="1"/>
      <c r="BT835" s="1"/>
      <c r="BU835" s="41"/>
    </row>
    <row r="836">
      <c r="A836" s="25"/>
      <c r="B836" s="31"/>
      <c r="C836" s="31"/>
      <c r="D836" s="31"/>
      <c r="E836" s="31"/>
      <c r="F836" s="3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36"/>
      <c r="BR836" s="1"/>
      <c r="BS836" s="1"/>
      <c r="BT836" s="1"/>
      <c r="BU836" s="41"/>
    </row>
    <row r="837">
      <c r="A837" s="25"/>
      <c r="B837" s="31"/>
      <c r="C837" s="31"/>
      <c r="D837" s="31"/>
      <c r="E837" s="31"/>
      <c r="F837" s="3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36"/>
      <c r="BR837" s="1"/>
      <c r="BS837" s="1"/>
      <c r="BT837" s="1"/>
      <c r="BU837" s="41"/>
    </row>
    <row r="838">
      <c r="A838" s="25"/>
      <c r="B838" s="31"/>
      <c r="C838" s="31"/>
      <c r="D838" s="31"/>
      <c r="E838" s="31"/>
      <c r="F838" s="3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36"/>
      <c r="BR838" s="1"/>
      <c r="BS838" s="1"/>
      <c r="BT838" s="1"/>
      <c r="BU838" s="41"/>
    </row>
    <row r="839">
      <c r="A839" s="25"/>
      <c r="B839" s="31"/>
      <c r="C839" s="31"/>
      <c r="D839" s="31"/>
      <c r="E839" s="31"/>
      <c r="F839" s="3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36"/>
      <c r="BR839" s="1"/>
      <c r="BS839" s="1"/>
      <c r="BT839" s="1"/>
      <c r="BU839" s="41"/>
    </row>
    <row r="840">
      <c r="A840" s="25"/>
      <c r="B840" s="31"/>
      <c r="C840" s="31"/>
      <c r="D840" s="31"/>
      <c r="E840" s="31"/>
      <c r="F840" s="3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36"/>
      <c r="BR840" s="1"/>
      <c r="BS840" s="1"/>
      <c r="BT840" s="1"/>
      <c r="BU840" s="41"/>
    </row>
    <row r="841">
      <c r="A841" s="25"/>
      <c r="B841" s="31"/>
      <c r="C841" s="31"/>
      <c r="D841" s="31"/>
      <c r="E841" s="31"/>
      <c r="F841" s="3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36"/>
      <c r="BR841" s="1"/>
      <c r="BS841" s="1"/>
      <c r="BT841" s="1"/>
      <c r="BU841" s="41"/>
    </row>
    <row r="842">
      <c r="A842" s="25"/>
      <c r="B842" s="31"/>
      <c r="C842" s="31"/>
      <c r="D842" s="31"/>
      <c r="E842" s="31"/>
      <c r="F842" s="3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36"/>
      <c r="BR842" s="1"/>
      <c r="BS842" s="1"/>
      <c r="BT842" s="1"/>
      <c r="BU842" s="41"/>
    </row>
    <row r="843">
      <c r="A843" s="25"/>
      <c r="B843" s="31"/>
      <c r="C843" s="31"/>
      <c r="D843" s="31"/>
      <c r="E843" s="31"/>
      <c r="F843" s="3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36"/>
      <c r="BR843" s="1"/>
      <c r="BS843" s="1"/>
      <c r="BT843" s="1"/>
      <c r="BU843" s="41"/>
    </row>
    <row r="844">
      <c r="A844" s="25"/>
      <c r="B844" s="31"/>
      <c r="C844" s="31"/>
      <c r="D844" s="31"/>
      <c r="E844" s="31"/>
      <c r="F844" s="3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36"/>
      <c r="BR844" s="1"/>
      <c r="BS844" s="1"/>
      <c r="BT844" s="1"/>
      <c r="BU844" s="41"/>
    </row>
    <row r="845">
      <c r="A845" s="25"/>
      <c r="B845" s="31"/>
      <c r="C845" s="31"/>
      <c r="D845" s="31"/>
      <c r="E845" s="31"/>
      <c r="F845" s="3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36"/>
      <c r="BR845" s="1"/>
      <c r="BS845" s="1"/>
      <c r="BT845" s="1"/>
      <c r="BU845" s="41"/>
    </row>
    <row r="846">
      <c r="A846" s="25"/>
      <c r="B846" s="31"/>
      <c r="C846" s="31"/>
      <c r="D846" s="31"/>
      <c r="E846" s="31"/>
      <c r="F846" s="3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36"/>
      <c r="BR846" s="1"/>
      <c r="BS846" s="1"/>
      <c r="BT846" s="1"/>
      <c r="BU846" s="41"/>
    </row>
    <row r="847">
      <c r="A847" s="25"/>
      <c r="B847" s="31"/>
      <c r="C847" s="31"/>
      <c r="D847" s="31"/>
      <c r="E847" s="31"/>
      <c r="F847" s="3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36"/>
      <c r="BR847" s="1"/>
      <c r="BS847" s="1"/>
      <c r="BT847" s="1"/>
      <c r="BU847" s="41"/>
    </row>
    <row r="848">
      <c r="A848" s="25"/>
      <c r="B848" s="31"/>
      <c r="C848" s="31"/>
      <c r="D848" s="31"/>
      <c r="E848" s="31"/>
      <c r="F848" s="3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36"/>
      <c r="BR848" s="1"/>
      <c r="BS848" s="1"/>
      <c r="BT848" s="1"/>
      <c r="BU848" s="41"/>
    </row>
    <row r="849">
      <c r="A849" s="25"/>
      <c r="B849" s="31"/>
      <c r="C849" s="31"/>
      <c r="D849" s="31"/>
      <c r="E849" s="31"/>
      <c r="F849" s="3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36"/>
      <c r="BR849" s="1"/>
      <c r="BS849" s="1"/>
      <c r="BT849" s="1"/>
      <c r="BU849" s="41"/>
    </row>
    <row r="850">
      <c r="A850" s="25"/>
      <c r="B850" s="31"/>
      <c r="C850" s="31"/>
      <c r="D850" s="31"/>
      <c r="E850" s="31"/>
      <c r="F850" s="3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36"/>
      <c r="BR850" s="1"/>
      <c r="BS850" s="1"/>
      <c r="BT850" s="1"/>
      <c r="BU850" s="41"/>
    </row>
    <row r="851">
      <c r="A851" s="25"/>
      <c r="B851" s="31"/>
      <c r="C851" s="31"/>
      <c r="D851" s="31"/>
      <c r="E851" s="31"/>
      <c r="F851" s="3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36"/>
      <c r="BR851" s="1"/>
      <c r="BS851" s="1"/>
      <c r="BT851" s="1"/>
      <c r="BU851" s="41"/>
    </row>
    <row r="852">
      <c r="A852" s="25"/>
      <c r="B852" s="31"/>
      <c r="C852" s="31"/>
      <c r="D852" s="31"/>
      <c r="E852" s="31"/>
      <c r="F852" s="3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36"/>
      <c r="BR852" s="1"/>
      <c r="BS852" s="1"/>
      <c r="BT852" s="1"/>
      <c r="BU852" s="41"/>
    </row>
    <row r="853">
      <c r="A853" s="25"/>
      <c r="B853" s="31"/>
      <c r="C853" s="31"/>
      <c r="D853" s="31"/>
      <c r="E853" s="31"/>
      <c r="F853" s="3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36"/>
      <c r="BR853" s="1"/>
      <c r="BS853" s="1"/>
      <c r="BT853" s="1"/>
      <c r="BU853" s="41"/>
    </row>
    <row r="854">
      <c r="A854" s="25"/>
      <c r="B854" s="31"/>
      <c r="C854" s="31"/>
      <c r="D854" s="31"/>
      <c r="E854" s="31"/>
      <c r="F854" s="3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36"/>
      <c r="BR854" s="1"/>
      <c r="BS854" s="1"/>
      <c r="BT854" s="1"/>
      <c r="BU854" s="41"/>
    </row>
    <row r="855">
      <c r="A855" s="25"/>
      <c r="B855" s="31"/>
      <c r="C855" s="31"/>
      <c r="D855" s="31"/>
      <c r="E855" s="31"/>
      <c r="F855" s="3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36"/>
      <c r="BR855" s="1"/>
      <c r="BS855" s="1"/>
      <c r="BT855" s="1"/>
      <c r="BU855" s="41"/>
    </row>
    <row r="856">
      <c r="A856" s="25"/>
      <c r="B856" s="31"/>
      <c r="C856" s="31"/>
      <c r="D856" s="31"/>
      <c r="E856" s="31"/>
      <c r="F856" s="3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36"/>
      <c r="BR856" s="1"/>
      <c r="BS856" s="1"/>
      <c r="BT856" s="1"/>
      <c r="BU856" s="41"/>
    </row>
    <row r="857">
      <c r="A857" s="25"/>
      <c r="B857" s="31"/>
      <c r="C857" s="31"/>
      <c r="D857" s="31"/>
      <c r="E857" s="31"/>
      <c r="F857" s="3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36"/>
      <c r="BR857" s="1"/>
      <c r="BS857" s="1"/>
      <c r="BT857" s="1"/>
      <c r="BU857" s="41"/>
    </row>
    <row r="858">
      <c r="A858" s="25"/>
      <c r="B858" s="31"/>
      <c r="C858" s="31"/>
      <c r="D858" s="31"/>
      <c r="E858" s="31"/>
      <c r="F858" s="3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36"/>
      <c r="BR858" s="1"/>
      <c r="BS858" s="1"/>
      <c r="BT858" s="1"/>
      <c r="BU858" s="41"/>
    </row>
    <row r="859">
      <c r="A859" s="25"/>
      <c r="B859" s="31"/>
      <c r="C859" s="31"/>
      <c r="D859" s="31"/>
      <c r="E859" s="31"/>
      <c r="F859" s="3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36"/>
      <c r="BR859" s="1"/>
      <c r="BS859" s="1"/>
      <c r="BT859" s="1"/>
      <c r="BU859" s="41"/>
    </row>
    <row r="860">
      <c r="A860" s="25"/>
      <c r="B860" s="31"/>
      <c r="C860" s="31"/>
      <c r="D860" s="31"/>
      <c r="E860" s="31"/>
      <c r="F860" s="3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36"/>
      <c r="BR860" s="1"/>
      <c r="BS860" s="1"/>
      <c r="BT860" s="1"/>
      <c r="BU860" s="41"/>
    </row>
    <row r="861">
      <c r="A861" s="25"/>
      <c r="B861" s="31"/>
      <c r="C861" s="31"/>
      <c r="D861" s="31"/>
      <c r="E861" s="31"/>
      <c r="F861" s="3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36"/>
      <c r="BR861" s="1"/>
      <c r="BS861" s="1"/>
      <c r="BT861" s="1"/>
      <c r="BU861" s="41"/>
    </row>
    <row r="862">
      <c r="A862" s="1"/>
      <c r="B862" s="31"/>
      <c r="C862" s="31"/>
      <c r="D862" s="31"/>
      <c r="E862" s="31"/>
      <c r="F862" s="3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36"/>
      <c r="BR862" s="1"/>
      <c r="BS862" s="1"/>
      <c r="BT862" s="1"/>
      <c r="BU862" s="41"/>
    </row>
    <row r="863">
      <c r="A863" s="1"/>
      <c r="B863" s="31"/>
      <c r="C863" s="31"/>
      <c r="D863" s="31"/>
      <c r="E863" s="31"/>
      <c r="F863" s="3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36"/>
      <c r="BR863" s="1"/>
      <c r="BS863" s="1"/>
      <c r="BT863" s="1"/>
      <c r="BU863" s="41"/>
    </row>
    <row r="864">
      <c r="A864" s="1"/>
      <c r="B864" s="31"/>
      <c r="C864" s="31"/>
      <c r="D864" s="31"/>
      <c r="E864" s="31"/>
      <c r="F864" s="3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36"/>
      <c r="BR864" s="1"/>
      <c r="BS864" s="1"/>
      <c r="BT864" s="1"/>
      <c r="BU864" s="41"/>
    </row>
    <row r="865">
      <c r="A865" s="1"/>
      <c r="B865" s="31"/>
      <c r="C865" s="31"/>
      <c r="D865" s="31"/>
      <c r="E865" s="31"/>
      <c r="F865" s="3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36"/>
      <c r="BR865" s="1"/>
      <c r="BS865" s="1"/>
      <c r="BT865" s="1"/>
      <c r="BU865" s="41"/>
    </row>
    <row r="866">
      <c r="A866" s="1"/>
      <c r="B866" s="31"/>
      <c r="C866" s="31"/>
      <c r="D866" s="31"/>
      <c r="E866" s="31"/>
      <c r="F866" s="3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36"/>
      <c r="BR866" s="1"/>
      <c r="BS866" s="1"/>
      <c r="BT866" s="1"/>
      <c r="BU866" s="41"/>
    </row>
    <row r="867">
      <c r="A867" s="1"/>
      <c r="B867" s="31"/>
      <c r="C867" s="31"/>
      <c r="D867" s="31"/>
      <c r="E867" s="31"/>
      <c r="F867" s="3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36"/>
      <c r="BR867" s="1"/>
      <c r="BS867" s="1"/>
      <c r="BT867" s="1"/>
      <c r="BU867" s="41"/>
    </row>
    <row r="868">
      <c r="A868" s="1"/>
      <c r="B868" s="31"/>
      <c r="C868" s="31"/>
      <c r="D868" s="31"/>
      <c r="E868" s="31"/>
      <c r="F868" s="3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36"/>
      <c r="BR868" s="1"/>
      <c r="BS868" s="1"/>
      <c r="BT868" s="1"/>
      <c r="BU868" s="41"/>
    </row>
    <row r="869">
      <c r="A869" s="1"/>
      <c r="B869" s="31"/>
      <c r="C869" s="31"/>
      <c r="D869" s="31"/>
      <c r="E869" s="31"/>
      <c r="F869" s="3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36"/>
      <c r="BR869" s="1"/>
      <c r="BS869" s="1"/>
      <c r="BT869" s="1"/>
      <c r="BU869" s="41"/>
    </row>
    <row r="870">
      <c r="A870" s="1"/>
      <c r="B870" s="31"/>
      <c r="C870" s="31"/>
      <c r="D870" s="31"/>
      <c r="E870" s="31"/>
      <c r="F870" s="3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36"/>
      <c r="BR870" s="1"/>
      <c r="BS870" s="1"/>
      <c r="BT870" s="1"/>
      <c r="BU870" s="41"/>
    </row>
    <row r="871">
      <c r="A871" s="1"/>
      <c r="B871" s="31"/>
      <c r="C871" s="31"/>
      <c r="D871" s="31"/>
      <c r="E871" s="31"/>
      <c r="F871" s="3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36"/>
      <c r="BR871" s="1"/>
      <c r="BS871" s="1"/>
      <c r="BT871" s="1"/>
      <c r="BU871" s="41"/>
    </row>
    <row r="872">
      <c r="A872" s="1"/>
      <c r="B872" s="31"/>
      <c r="C872" s="31"/>
      <c r="D872" s="31"/>
      <c r="E872" s="31"/>
      <c r="F872" s="3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36"/>
      <c r="BR872" s="1"/>
      <c r="BS872" s="1"/>
      <c r="BT872" s="1"/>
      <c r="BU872" s="41"/>
    </row>
    <row r="873">
      <c r="A873" s="1"/>
      <c r="B873" s="31"/>
      <c r="C873" s="31"/>
      <c r="D873" s="31"/>
      <c r="E873" s="31"/>
      <c r="F873" s="3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36"/>
      <c r="BR873" s="1"/>
      <c r="BS873" s="1"/>
      <c r="BT873" s="1"/>
      <c r="BU873" s="41"/>
    </row>
    <row r="874">
      <c r="A874" s="1"/>
      <c r="B874" s="31"/>
      <c r="C874" s="31"/>
      <c r="D874" s="31"/>
      <c r="E874" s="31"/>
      <c r="F874" s="3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36"/>
      <c r="BR874" s="1"/>
      <c r="BS874" s="1"/>
      <c r="BT874" s="1"/>
      <c r="BU874" s="41"/>
    </row>
    <row r="875">
      <c r="A875" s="1"/>
      <c r="B875" s="31"/>
      <c r="C875" s="31"/>
      <c r="D875" s="31"/>
      <c r="E875" s="31"/>
      <c r="F875" s="3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36"/>
      <c r="BR875" s="1"/>
      <c r="BS875" s="1"/>
      <c r="BT875" s="1"/>
      <c r="BU875" s="41"/>
    </row>
    <row r="876">
      <c r="A876" s="1"/>
      <c r="B876" s="31"/>
      <c r="C876" s="31"/>
      <c r="D876" s="31"/>
      <c r="E876" s="31"/>
      <c r="F876" s="3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36"/>
      <c r="BR876" s="1"/>
      <c r="BS876" s="1"/>
      <c r="BT876" s="1"/>
      <c r="BU876" s="41"/>
    </row>
    <row r="877">
      <c r="A877" s="1"/>
      <c r="B877" s="31"/>
      <c r="C877" s="31"/>
      <c r="D877" s="31"/>
      <c r="E877" s="31"/>
      <c r="F877" s="3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36"/>
      <c r="BR877" s="1"/>
      <c r="BS877" s="1"/>
      <c r="BT877" s="1"/>
      <c r="BU877" s="41"/>
    </row>
    <row r="878">
      <c r="A878" s="1"/>
      <c r="B878" s="31"/>
      <c r="C878" s="31"/>
      <c r="D878" s="31"/>
      <c r="E878" s="31"/>
      <c r="F878" s="3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36"/>
      <c r="BR878" s="1"/>
      <c r="BS878" s="1"/>
      <c r="BT878" s="1"/>
      <c r="BU878" s="41"/>
    </row>
    <row r="879">
      <c r="A879" s="1"/>
      <c r="B879" s="31"/>
      <c r="C879" s="31"/>
      <c r="D879" s="31"/>
      <c r="E879" s="31"/>
      <c r="F879" s="3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36"/>
      <c r="BR879" s="1"/>
      <c r="BS879" s="1"/>
      <c r="BT879" s="1"/>
      <c r="BU879" s="41"/>
    </row>
    <row r="880">
      <c r="A880" s="1"/>
      <c r="B880" s="31"/>
      <c r="C880" s="31"/>
      <c r="D880" s="31"/>
      <c r="E880" s="31"/>
      <c r="F880" s="3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36"/>
      <c r="BR880" s="1"/>
      <c r="BS880" s="1"/>
      <c r="BT880" s="1"/>
      <c r="BU880" s="41"/>
    </row>
    <row r="881">
      <c r="A881" s="1"/>
      <c r="B881" s="31"/>
      <c r="C881" s="31"/>
      <c r="D881" s="31"/>
      <c r="E881" s="31"/>
      <c r="F881" s="3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36"/>
      <c r="BR881" s="1"/>
      <c r="BS881" s="1"/>
      <c r="BT881" s="1"/>
      <c r="BU881" s="41"/>
    </row>
    <row r="882">
      <c r="A882" s="1"/>
      <c r="B882" s="31"/>
      <c r="C882" s="31"/>
      <c r="D882" s="31"/>
      <c r="E882" s="31"/>
      <c r="F882" s="3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36"/>
      <c r="BR882" s="1"/>
      <c r="BS882" s="1"/>
      <c r="BT882" s="1"/>
      <c r="BU882" s="41"/>
    </row>
    <row r="883">
      <c r="A883" s="1"/>
      <c r="B883" s="31"/>
      <c r="C883" s="31"/>
      <c r="D883" s="31"/>
      <c r="E883" s="31"/>
      <c r="F883" s="3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36"/>
      <c r="BR883" s="1"/>
      <c r="BS883" s="1"/>
      <c r="BT883" s="1"/>
      <c r="BU883" s="41"/>
    </row>
    <row r="884">
      <c r="A884" s="1"/>
      <c r="B884" s="31"/>
      <c r="C884" s="31"/>
      <c r="D884" s="31"/>
      <c r="E884" s="31"/>
      <c r="F884" s="3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36"/>
      <c r="BR884" s="1"/>
      <c r="BS884" s="1"/>
      <c r="BT884" s="1"/>
      <c r="BU884" s="41"/>
    </row>
    <row r="885">
      <c r="A885" s="1"/>
      <c r="B885" s="31"/>
      <c r="C885" s="31"/>
      <c r="D885" s="31"/>
      <c r="E885" s="31"/>
      <c r="F885" s="3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36"/>
      <c r="BR885" s="1"/>
      <c r="BS885" s="1"/>
      <c r="BT885" s="1"/>
      <c r="BU885" s="41"/>
    </row>
    <row r="886">
      <c r="A886" s="1"/>
      <c r="B886" s="31"/>
      <c r="C886" s="31"/>
      <c r="D886" s="31"/>
      <c r="E886" s="31"/>
      <c r="F886" s="3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36"/>
      <c r="BR886" s="1"/>
      <c r="BS886" s="1"/>
      <c r="BT886" s="1"/>
      <c r="BU886" s="41"/>
    </row>
    <row r="887">
      <c r="A887" s="1"/>
      <c r="B887" s="31"/>
      <c r="C887" s="31"/>
      <c r="D887" s="31"/>
      <c r="E887" s="31"/>
      <c r="F887" s="3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36"/>
      <c r="BR887" s="1"/>
      <c r="BS887" s="1"/>
      <c r="BT887" s="1"/>
      <c r="BU887" s="41"/>
    </row>
    <row r="888">
      <c r="A888" s="1"/>
      <c r="B888" s="31"/>
      <c r="C888" s="31"/>
      <c r="D888" s="31"/>
      <c r="E888" s="31"/>
      <c r="F888" s="3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36"/>
      <c r="BR888" s="1"/>
      <c r="BS888" s="1"/>
      <c r="BT888" s="1"/>
      <c r="BU888" s="41"/>
    </row>
    <row r="889">
      <c r="A889" s="1"/>
      <c r="B889" s="31"/>
      <c r="C889" s="31"/>
      <c r="D889" s="31"/>
      <c r="E889" s="31"/>
      <c r="F889" s="3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36"/>
      <c r="BR889" s="1"/>
      <c r="BS889" s="1"/>
      <c r="BT889" s="1"/>
      <c r="BU889" s="41"/>
    </row>
    <row r="890">
      <c r="A890" s="1"/>
      <c r="B890" s="31"/>
      <c r="C890" s="31"/>
      <c r="D890" s="31"/>
      <c r="E890" s="31"/>
      <c r="F890" s="3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36"/>
      <c r="BR890" s="1"/>
      <c r="BS890" s="1"/>
      <c r="BT890" s="1"/>
      <c r="BU890" s="41"/>
    </row>
    <row r="891">
      <c r="A891" s="1"/>
      <c r="B891" s="31"/>
      <c r="C891" s="31"/>
      <c r="D891" s="31"/>
      <c r="E891" s="31"/>
      <c r="F891" s="3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36"/>
      <c r="BR891" s="1"/>
      <c r="BS891" s="1"/>
      <c r="BT891" s="1"/>
      <c r="BU891" s="41"/>
    </row>
    <row r="892">
      <c r="A892" s="1"/>
      <c r="B892" s="31"/>
      <c r="C892" s="31"/>
      <c r="D892" s="31"/>
      <c r="E892" s="31"/>
      <c r="F892" s="3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36"/>
      <c r="BR892" s="1"/>
      <c r="BS892" s="1"/>
      <c r="BT892" s="1"/>
      <c r="BU892" s="41"/>
    </row>
    <row r="893">
      <c r="A893" s="1"/>
      <c r="B893" s="31"/>
      <c r="C893" s="31"/>
      <c r="D893" s="31"/>
      <c r="E893" s="31"/>
      <c r="F893" s="3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36"/>
      <c r="BR893" s="1"/>
      <c r="BS893" s="1"/>
      <c r="BT893" s="1"/>
      <c r="BU893" s="41"/>
    </row>
    <row r="894">
      <c r="A894" s="1"/>
      <c r="B894" s="31"/>
      <c r="C894" s="31"/>
      <c r="D894" s="31"/>
      <c r="E894" s="31"/>
      <c r="F894" s="3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36"/>
      <c r="BR894" s="1"/>
      <c r="BS894" s="1"/>
      <c r="BT894" s="1"/>
      <c r="BU894" s="41"/>
    </row>
    <row r="895">
      <c r="A895" s="1"/>
      <c r="B895" s="31"/>
      <c r="C895" s="31"/>
      <c r="D895" s="31"/>
      <c r="E895" s="31"/>
      <c r="F895" s="3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36"/>
      <c r="BR895" s="1"/>
      <c r="BS895" s="1"/>
      <c r="BT895" s="1"/>
      <c r="BU895" s="41"/>
    </row>
    <row r="896">
      <c r="A896" s="1"/>
      <c r="B896" s="31"/>
      <c r="C896" s="31"/>
      <c r="D896" s="31"/>
      <c r="E896" s="31"/>
      <c r="F896" s="3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36"/>
      <c r="BR896" s="1"/>
      <c r="BS896" s="1"/>
      <c r="BT896" s="1"/>
      <c r="BU896" s="41"/>
    </row>
    <row r="897">
      <c r="A897" s="1"/>
      <c r="B897" s="31"/>
      <c r="C897" s="31"/>
      <c r="D897" s="31"/>
      <c r="E897" s="31"/>
      <c r="F897" s="3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36"/>
      <c r="BR897" s="1"/>
      <c r="BS897" s="1"/>
      <c r="BT897" s="1"/>
      <c r="BU897" s="41"/>
    </row>
    <row r="898">
      <c r="A898" s="1"/>
      <c r="B898" s="31"/>
      <c r="C898" s="31"/>
      <c r="D898" s="31"/>
      <c r="E898" s="31"/>
      <c r="F898" s="3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36"/>
      <c r="BR898" s="1"/>
      <c r="BS898" s="1"/>
      <c r="BT898" s="1"/>
      <c r="BU898" s="41"/>
    </row>
    <row r="899">
      <c r="A899" s="1"/>
      <c r="B899" s="31"/>
      <c r="C899" s="31"/>
      <c r="D899" s="31"/>
      <c r="E899" s="31"/>
      <c r="F899" s="3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36"/>
      <c r="BR899" s="1"/>
      <c r="BS899" s="1"/>
      <c r="BT899" s="1"/>
      <c r="BU899" s="41"/>
    </row>
    <row r="900">
      <c r="A900" s="1"/>
      <c r="B900" s="31"/>
      <c r="C900" s="31"/>
      <c r="D900" s="31"/>
      <c r="E900" s="31"/>
      <c r="F900" s="3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36"/>
      <c r="BR900" s="1"/>
      <c r="BS900" s="1"/>
      <c r="BT900" s="1"/>
      <c r="BU900" s="41"/>
    </row>
    <row r="901">
      <c r="A901" s="1"/>
      <c r="B901" s="31"/>
      <c r="C901" s="31"/>
      <c r="D901" s="31"/>
      <c r="E901" s="31"/>
      <c r="F901" s="3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36"/>
      <c r="BR901" s="1"/>
      <c r="BS901" s="1"/>
      <c r="BT901" s="1"/>
      <c r="BU901" s="41"/>
    </row>
    <row r="902">
      <c r="A902" s="1"/>
      <c r="B902" s="31"/>
      <c r="C902" s="31"/>
      <c r="D902" s="31"/>
      <c r="E902" s="31"/>
      <c r="F902" s="3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36"/>
      <c r="BR902" s="1"/>
      <c r="BS902" s="1"/>
      <c r="BT902" s="1"/>
      <c r="BU902" s="41"/>
    </row>
    <row r="903">
      <c r="A903" s="1"/>
      <c r="B903" s="31"/>
      <c r="C903" s="31"/>
      <c r="D903" s="31"/>
      <c r="E903" s="31"/>
      <c r="F903" s="3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36"/>
      <c r="BR903" s="1"/>
      <c r="BS903" s="1"/>
      <c r="BT903" s="1"/>
      <c r="BU903" s="41"/>
    </row>
    <row r="904">
      <c r="A904" s="1"/>
      <c r="B904" s="31"/>
      <c r="C904" s="31"/>
      <c r="D904" s="31"/>
      <c r="E904" s="31"/>
      <c r="F904" s="3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36"/>
      <c r="BR904" s="1"/>
      <c r="BS904" s="1"/>
      <c r="BT904" s="1"/>
      <c r="BU904" s="41"/>
    </row>
    <row r="905">
      <c r="A905" s="1"/>
      <c r="B905" s="31"/>
      <c r="C905" s="31"/>
      <c r="D905" s="31"/>
      <c r="E905" s="31"/>
      <c r="F905" s="3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36"/>
      <c r="BR905" s="1"/>
      <c r="BS905" s="1"/>
      <c r="BT905" s="1"/>
      <c r="BU905" s="41"/>
    </row>
    <row r="906">
      <c r="A906" s="1"/>
      <c r="B906" s="31"/>
      <c r="C906" s="31"/>
      <c r="D906" s="31"/>
      <c r="E906" s="31"/>
      <c r="F906" s="3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36"/>
      <c r="BR906" s="1"/>
      <c r="BS906" s="1"/>
      <c r="BT906" s="1"/>
      <c r="BU906" s="41"/>
    </row>
    <row r="907">
      <c r="A907" s="1"/>
      <c r="B907" s="31"/>
      <c r="C907" s="31"/>
      <c r="D907" s="31"/>
      <c r="E907" s="31"/>
      <c r="F907" s="3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36"/>
      <c r="BR907" s="1"/>
      <c r="BS907" s="1"/>
      <c r="BT907" s="1"/>
      <c r="BU907" s="41"/>
    </row>
    <row r="908">
      <c r="A908" s="1"/>
      <c r="B908" s="31"/>
      <c r="C908" s="31"/>
      <c r="D908" s="31"/>
      <c r="E908" s="31"/>
      <c r="F908" s="3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36"/>
      <c r="BR908" s="1"/>
      <c r="BS908" s="1"/>
      <c r="BT908" s="1"/>
      <c r="BU908" s="41"/>
    </row>
    <row r="909">
      <c r="A909" s="1"/>
      <c r="B909" s="31"/>
      <c r="C909" s="31"/>
      <c r="D909" s="31"/>
      <c r="E909" s="31"/>
      <c r="F909" s="3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36"/>
      <c r="BR909" s="1"/>
      <c r="BS909" s="1"/>
      <c r="BT909" s="1"/>
      <c r="BU909" s="41"/>
    </row>
    <row r="910">
      <c r="A910" s="1"/>
      <c r="B910" s="31"/>
      <c r="C910" s="31"/>
      <c r="D910" s="31"/>
      <c r="E910" s="31"/>
      <c r="F910" s="3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36"/>
      <c r="BR910" s="1"/>
      <c r="BS910" s="1"/>
      <c r="BT910" s="1"/>
      <c r="BU910" s="41"/>
    </row>
    <row r="911">
      <c r="A911" s="1"/>
      <c r="B911" s="31"/>
      <c r="C911" s="31"/>
      <c r="D911" s="31"/>
      <c r="E911" s="31"/>
      <c r="F911" s="3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36"/>
      <c r="BR911" s="1"/>
      <c r="BS911" s="1"/>
      <c r="BT911" s="1"/>
      <c r="BU911" s="41"/>
    </row>
    <row r="912">
      <c r="A912" s="1"/>
      <c r="B912" s="31"/>
      <c r="C912" s="31"/>
      <c r="D912" s="31"/>
      <c r="E912" s="31"/>
      <c r="F912" s="3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36"/>
      <c r="BR912" s="1"/>
      <c r="BS912" s="1"/>
      <c r="BT912" s="1"/>
      <c r="BU912" s="41"/>
    </row>
    <row r="913">
      <c r="A913" s="1"/>
      <c r="B913" s="31"/>
      <c r="C913" s="31"/>
      <c r="D913" s="31"/>
      <c r="E913" s="31"/>
      <c r="F913" s="3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36"/>
      <c r="BR913" s="1"/>
      <c r="BS913" s="1"/>
      <c r="BT913" s="1"/>
      <c r="BU913" s="41"/>
    </row>
    <row r="914">
      <c r="A914" s="1"/>
      <c r="B914" s="31"/>
      <c r="C914" s="31"/>
      <c r="D914" s="31"/>
      <c r="E914" s="31"/>
      <c r="F914" s="3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36"/>
      <c r="BR914" s="1"/>
      <c r="BS914" s="1"/>
      <c r="BT914" s="1"/>
      <c r="BU914" s="41"/>
    </row>
    <row r="915">
      <c r="A915" s="1"/>
      <c r="B915" s="31"/>
      <c r="C915" s="31"/>
      <c r="D915" s="31"/>
      <c r="E915" s="31"/>
      <c r="F915" s="3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36"/>
      <c r="BR915" s="1"/>
      <c r="BS915" s="1"/>
      <c r="BT915" s="1"/>
      <c r="BU915" s="41"/>
    </row>
    <row r="916">
      <c r="A916" s="1"/>
      <c r="B916" s="31"/>
      <c r="C916" s="31"/>
      <c r="D916" s="31"/>
      <c r="E916" s="31"/>
      <c r="F916" s="3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36"/>
      <c r="BR916" s="1"/>
      <c r="BS916" s="1"/>
      <c r="BT916" s="1"/>
      <c r="BU916" s="41"/>
    </row>
    <row r="917">
      <c r="A917" s="1"/>
      <c r="B917" s="31"/>
      <c r="C917" s="31"/>
      <c r="D917" s="31"/>
      <c r="E917" s="31"/>
      <c r="F917" s="3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36"/>
      <c r="BR917" s="1"/>
      <c r="BS917" s="1"/>
      <c r="BT917" s="1"/>
      <c r="BU917" s="41"/>
    </row>
    <row r="918">
      <c r="A918" s="1"/>
      <c r="B918" s="31"/>
      <c r="C918" s="31"/>
      <c r="D918" s="31"/>
      <c r="E918" s="31"/>
      <c r="F918" s="3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36"/>
      <c r="BR918" s="1"/>
      <c r="BS918" s="1"/>
      <c r="BT918" s="1"/>
      <c r="BU918" s="41"/>
    </row>
    <row r="919">
      <c r="A919" s="1"/>
      <c r="B919" s="31"/>
      <c r="C919" s="31"/>
      <c r="D919" s="31"/>
      <c r="E919" s="31"/>
      <c r="F919" s="3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36"/>
      <c r="BR919" s="1"/>
      <c r="BS919" s="1"/>
      <c r="BT919" s="1"/>
      <c r="BU919" s="41"/>
    </row>
    <row r="920">
      <c r="A920" s="1"/>
      <c r="B920" s="31"/>
      <c r="C920" s="31"/>
      <c r="D920" s="31"/>
      <c r="E920" s="31"/>
      <c r="F920" s="3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36"/>
      <c r="BR920" s="1"/>
      <c r="BS920" s="1"/>
      <c r="BT920" s="1"/>
      <c r="BU920" s="41"/>
    </row>
    <row r="921">
      <c r="A921" s="1"/>
      <c r="B921" s="31"/>
      <c r="C921" s="31"/>
      <c r="D921" s="31"/>
      <c r="E921" s="31"/>
      <c r="F921" s="3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36"/>
      <c r="BR921" s="1"/>
      <c r="BS921" s="1"/>
      <c r="BT921" s="1"/>
      <c r="BU921" s="41"/>
    </row>
    <row r="922">
      <c r="A922" s="1"/>
      <c r="B922" s="31"/>
      <c r="C922" s="31"/>
      <c r="D922" s="31"/>
      <c r="E922" s="31"/>
      <c r="F922" s="3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36"/>
      <c r="BR922" s="1"/>
      <c r="BS922" s="1"/>
      <c r="BT922" s="1"/>
      <c r="BU922" s="41"/>
    </row>
    <row r="923">
      <c r="A923" s="1"/>
      <c r="B923" s="31"/>
      <c r="C923" s="31"/>
      <c r="D923" s="31"/>
      <c r="E923" s="31"/>
      <c r="F923" s="3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36"/>
      <c r="BR923" s="1"/>
      <c r="BS923" s="1"/>
      <c r="BT923" s="1"/>
      <c r="BU923" s="41"/>
    </row>
    <row r="924">
      <c r="A924" s="1"/>
      <c r="B924" s="31"/>
      <c r="C924" s="31"/>
      <c r="D924" s="31"/>
      <c r="E924" s="31"/>
      <c r="F924" s="3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36"/>
      <c r="BR924" s="1"/>
      <c r="BS924" s="1"/>
      <c r="BT924" s="1"/>
      <c r="BU924" s="41"/>
    </row>
    <row r="925">
      <c r="A925" s="1"/>
      <c r="B925" s="31"/>
      <c r="C925" s="31"/>
      <c r="D925" s="31"/>
      <c r="E925" s="31"/>
      <c r="F925" s="3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36"/>
      <c r="BR925" s="1"/>
      <c r="BS925" s="1"/>
      <c r="BT925" s="1"/>
      <c r="BU925" s="41"/>
    </row>
    <row r="926">
      <c r="A926" s="1"/>
      <c r="B926" s="31"/>
      <c r="C926" s="31"/>
      <c r="D926" s="31"/>
      <c r="E926" s="31"/>
      <c r="F926" s="3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36"/>
      <c r="BR926" s="1"/>
      <c r="BS926" s="1"/>
      <c r="BT926" s="1"/>
      <c r="BU926" s="41"/>
    </row>
    <row r="927">
      <c r="A927" s="1"/>
      <c r="B927" s="31"/>
      <c r="C927" s="31"/>
      <c r="D927" s="31"/>
      <c r="E927" s="31"/>
      <c r="F927" s="3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36"/>
      <c r="BR927" s="1"/>
      <c r="BS927" s="1"/>
      <c r="BT927" s="1"/>
      <c r="BU927" s="41"/>
    </row>
    <row r="928">
      <c r="A928" s="1"/>
      <c r="B928" s="31"/>
      <c r="C928" s="31"/>
      <c r="D928" s="31"/>
      <c r="E928" s="31"/>
      <c r="F928" s="3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36"/>
      <c r="BR928" s="1"/>
      <c r="BS928" s="1"/>
      <c r="BT928" s="1"/>
      <c r="BU928" s="41"/>
    </row>
    <row r="929">
      <c r="A929" s="1"/>
      <c r="B929" s="31"/>
      <c r="C929" s="31"/>
      <c r="D929" s="31"/>
      <c r="E929" s="31"/>
      <c r="F929" s="3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36"/>
      <c r="BR929" s="1"/>
      <c r="BS929" s="1"/>
      <c r="BT929" s="1"/>
      <c r="BU929" s="41"/>
    </row>
    <row r="930">
      <c r="A930" s="1"/>
      <c r="B930" s="31"/>
      <c r="C930" s="31"/>
      <c r="D930" s="31"/>
      <c r="E930" s="31"/>
      <c r="F930" s="3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36"/>
      <c r="BR930" s="1"/>
      <c r="BS930" s="1"/>
      <c r="BT930" s="1"/>
      <c r="BU930" s="41"/>
    </row>
    <row r="931">
      <c r="A931" s="1"/>
      <c r="B931" s="31"/>
      <c r="C931" s="31"/>
      <c r="D931" s="31"/>
      <c r="E931" s="31"/>
      <c r="F931" s="3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36"/>
      <c r="BR931" s="1"/>
      <c r="BS931" s="1"/>
      <c r="BT931" s="1"/>
      <c r="BU931" s="41"/>
    </row>
    <row r="932">
      <c r="A932" s="1"/>
      <c r="B932" s="31"/>
      <c r="C932" s="31"/>
      <c r="D932" s="31"/>
      <c r="E932" s="31"/>
      <c r="F932" s="3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36"/>
      <c r="BR932" s="1"/>
      <c r="BS932" s="1"/>
      <c r="BT932" s="1"/>
      <c r="BU932" s="41"/>
    </row>
    <row r="933">
      <c r="A933" s="1"/>
      <c r="B933" s="31"/>
      <c r="C933" s="31"/>
      <c r="D933" s="31"/>
      <c r="E933" s="31"/>
      <c r="F933" s="3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36"/>
      <c r="BR933" s="1"/>
      <c r="BS933" s="1"/>
      <c r="BT933" s="1"/>
      <c r="BU933" s="41"/>
    </row>
    <row r="934">
      <c r="A934" s="1"/>
      <c r="B934" s="31"/>
      <c r="C934" s="31"/>
      <c r="D934" s="31"/>
      <c r="E934" s="31"/>
      <c r="F934" s="3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36"/>
      <c r="BR934" s="1"/>
      <c r="BS934" s="1"/>
      <c r="BT934" s="1"/>
      <c r="BU934" s="41"/>
    </row>
    <row r="935">
      <c r="A935" s="1"/>
      <c r="B935" s="31"/>
      <c r="C935" s="31"/>
      <c r="D935" s="31"/>
      <c r="E935" s="31"/>
      <c r="F935" s="3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36"/>
      <c r="BR935" s="1"/>
      <c r="BS935" s="1"/>
      <c r="BT935" s="1"/>
      <c r="BU935" s="41"/>
    </row>
    <row r="936">
      <c r="A936" s="1"/>
      <c r="B936" s="31"/>
      <c r="C936" s="31"/>
      <c r="D936" s="31"/>
      <c r="E936" s="31"/>
      <c r="F936" s="3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36"/>
      <c r="BR936" s="1"/>
      <c r="BS936" s="1"/>
      <c r="BT936" s="1"/>
      <c r="BU936" s="41"/>
    </row>
    <row r="937">
      <c r="A937" s="1"/>
      <c r="B937" s="31"/>
      <c r="C937" s="31"/>
      <c r="D937" s="31"/>
      <c r="E937" s="31"/>
      <c r="F937" s="3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36"/>
      <c r="BR937" s="1"/>
      <c r="BS937" s="1"/>
      <c r="BT937" s="1"/>
      <c r="BU937" s="41"/>
    </row>
    <row r="938">
      <c r="A938" s="1"/>
      <c r="B938" s="31"/>
      <c r="C938" s="31"/>
      <c r="D938" s="31"/>
      <c r="E938" s="31"/>
      <c r="F938" s="3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36"/>
      <c r="BR938" s="1"/>
      <c r="BS938" s="1"/>
      <c r="BT938" s="1"/>
      <c r="BU938" s="41"/>
    </row>
    <row r="939">
      <c r="A939" s="1"/>
      <c r="B939" s="31"/>
      <c r="C939" s="31"/>
      <c r="D939" s="31"/>
      <c r="E939" s="31"/>
      <c r="F939" s="3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36"/>
      <c r="BR939" s="1"/>
      <c r="BS939" s="1"/>
      <c r="BT939" s="1"/>
      <c r="BU939" s="41"/>
    </row>
    <row r="940">
      <c r="A940" s="1"/>
      <c r="B940" s="31"/>
      <c r="C940" s="31"/>
      <c r="D940" s="31"/>
      <c r="E940" s="31"/>
      <c r="F940" s="3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36"/>
      <c r="BR940" s="1"/>
      <c r="BS940" s="1"/>
      <c r="BT940" s="1"/>
      <c r="BU940" s="41"/>
    </row>
    <row r="941">
      <c r="A941" s="1"/>
      <c r="B941" s="31"/>
      <c r="C941" s="31"/>
      <c r="D941" s="31"/>
      <c r="E941" s="31"/>
      <c r="F941" s="3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36"/>
      <c r="BR941" s="1"/>
      <c r="BS941" s="1"/>
      <c r="BT941" s="1"/>
      <c r="BU941" s="41"/>
    </row>
    <row r="942">
      <c r="A942" s="1"/>
      <c r="B942" s="31"/>
      <c r="C942" s="31"/>
      <c r="D942" s="31"/>
      <c r="E942" s="31"/>
      <c r="F942" s="3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36"/>
      <c r="BR942" s="1"/>
      <c r="BS942" s="1"/>
      <c r="BT942" s="1"/>
      <c r="BU942" s="41"/>
    </row>
    <row r="943">
      <c r="A943" s="1"/>
      <c r="B943" s="31"/>
      <c r="C943" s="31"/>
      <c r="D943" s="31"/>
      <c r="E943" s="31"/>
      <c r="F943" s="3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36"/>
      <c r="BR943" s="1"/>
      <c r="BS943" s="1"/>
      <c r="BT943" s="1"/>
      <c r="BU943" s="41"/>
    </row>
    <row r="944">
      <c r="A944" s="1"/>
      <c r="B944" s="31"/>
      <c r="C944" s="31"/>
      <c r="D944" s="31"/>
      <c r="E944" s="31"/>
      <c r="F944" s="3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36"/>
      <c r="BR944" s="1"/>
      <c r="BS944" s="1"/>
      <c r="BT944" s="1"/>
      <c r="BU944" s="41"/>
    </row>
    <row r="945">
      <c r="A945" s="1"/>
      <c r="B945" s="31"/>
      <c r="C945" s="31"/>
      <c r="D945" s="31"/>
      <c r="E945" s="31"/>
      <c r="F945" s="3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36"/>
      <c r="BR945" s="1"/>
      <c r="BS945" s="1"/>
      <c r="BT945" s="1"/>
      <c r="BU945" s="41"/>
    </row>
    <row r="946">
      <c r="A946" s="1"/>
      <c r="B946" s="31"/>
      <c r="C946" s="31"/>
      <c r="D946" s="31"/>
      <c r="E946" s="31"/>
      <c r="F946" s="3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36"/>
      <c r="BR946" s="1"/>
      <c r="BS946" s="1"/>
      <c r="BT946" s="1"/>
      <c r="BU946" s="41"/>
    </row>
    <row r="947">
      <c r="A947" s="1"/>
      <c r="B947" s="31"/>
      <c r="C947" s="31"/>
      <c r="D947" s="31"/>
      <c r="E947" s="31"/>
      <c r="F947" s="3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36"/>
      <c r="BR947" s="1"/>
      <c r="BS947" s="1"/>
      <c r="BT947" s="1"/>
      <c r="BU947" s="41"/>
    </row>
    <row r="948">
      <c r="A948" s="1"/>
      <c r="B948" s="31"/>
      <c r="C948" s="31"/>
      <c r="D948" s="31"/>
      <c r="E948" s="31"/>
      <c r="F948" s="3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36"/>
      <c r="BR948" s="1"/>
      <c r="BS948" s="1"/>
      <c r="BT948" s="1"/>
      <c r="BU948" s="41"/>
    </row>
    <row r="949">
      <c r="A949" s="1"/>
      <c r="B949" s="31"/>
      <c r="C949" s="31"/>
      <c r="D949" s="31"/>
      <c r="E949" s="31"/>
      <c r="F949" s="3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36"/>
      <c r="BR949" s="1"/>
      <c r="BS949" s="1"/>
      <c r="BT949" s="1"/>
      <c r="BU949" s="41"/>
    </row>
    <row r="950">
      <c r="A950" s="1"/>
      <c r="B950" s="31"/>
      <c r="C950" s="31"/>
      <c r="D950" s="31"/>
      <c r="E950" s="31"/>
      <c r="F950" s="3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36"/>
      <c r="BR950" s="1"/>
      <c r="BS950" s="1"/>
      <c r="BT950" s="1"/>
      <c r="BU950" s="41"/>
    </row>
    <row r="951">
      <c r="A951" s="1"/>
      <c r="B951" s="31"/>
      <c r="C951" s="31"/>
      <c r="D951" s="31"/>
      <c r="E951" s="31"/>
      <c r="F951" s="3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36"/>
      <c r="BR951" s="1"/>
      <c r="BS951" s="1"/>
      <c r="BT951" s="1"/>
      <c r="BU951" s="41"/>
    </row>
    <row r="952">
      <c r="A952" s="1"/>
      <c r="B952" s="31"/>
      <c r="C952" s="31"/>
      <c r="D952" s="31"/>
      <c r="E952" s="31"/>
      <c r="F952" s="3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36"/>
      <c r="BR952" s="1"/>
      <c r="BS952" s="1"/>
      <c r="BT952" s="1"/>
      <c r="BU952" s="41"/>
    </row>
    <row r="953">
      <c r="A953" s="1"/>
      <c r="B953" s="31"/>
      <c r="C953" s="31"/>
      <c r="D953" s="31"/>
      <c r="E953" s="31"/>
      <c r="F953" s="3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36"/>
      <c r="BR953" s="1"/>
      <c r="BS953" s="1"/>
      <c r="BT953" s="1"/>
      <c r="BU953" s="41"/>
    </row>
    <row r="954">
      <c r="A954" s="1"/>
      <c r="B954" s="31"/>
      <c r="C954" s="31"/>
      <c r="D954" s="31"/>
      <c r="E954" s="31"/>
      <c r="F954" s="3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36"/>
      <c r="BR954" s="1"/>
      <c r="BS954" s="1"/>
      <c r="BT954" s="1"/>
      <c r="BU954" s="41"/>
    </row>
    <row r="955">
      <c r="A955" s="1"/>
      <c r="B955" s="31"/>
      <c r="C955" s="31"/>
      <c r="D955" s="31"/>
      <c r="E955" s="31"/>
      <c r="F955" s="3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36"/>
      <c r="BR955" s="1"/>
      <c r="BS955" s="1"/>
      <c r="BT955" s="1"/>
      <c r="BU955" s="41"/>
    </row>
    <row r="956">
      <c r="A956" s="1"/>
      <c r="B956" s="31"/>
      <c r="C956" s="31"/>
      <c r="D956" s="31"/>
      <c r="E956" s="31"/>
      <c r="F956" s="3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36"/>
      <c r="BR956" s="1"/>
      <c r="BS956" s="1"/>
      <c r="BT956" s="1"/>
      <c r="BU956" s="41"/>
    </row>
    <row r="957">
      <c r="A957" s="1"/>
      <c r="B957" s="31"/>
      <c r="C957" s="31"/>
      <c r="D957" s="31"/>
      <c r="E957" s="31"/>
      <c r="F957" s="3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36"/>
      <c r="BR957" s="1"/>
      <c r="BS957" s="1"/>
      <c r="BT957" s="1"/>
      <c r="BU957" s="41"/>
    </row>
    <row r="958">
      <c r="A958" s="1"/>
      <c r="B958" s="31"/>
      <c r="C958" s="31"/>
      <c r="D958" s="31"/>
      <c r="E958" s="31"/>
      <c r="F958" s="3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36"/>
      <c r="BR958" s="1"/>
      <c r="BS958" s="1"/>
      <c r="BT958" s="1"/>
      <c r="BU958" s="41"/>
    </row>
    <row r="959">
      <c r="A959" s="1"/>
      <c r="B959" s="31"/>
      <c r="C959" s="31"/>
      <c r="D959" s="31"/>
      <c r="E959" s="31"/>
      <c r="F959" s="3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36"/>
      <c r="BR959" s="1"/>
      <c r="BS959" s="1"/>
      <c r="BT959" s="1"/>
      <c r="BU959" s="41"/>
    </row>
    <row r="960">
      <c r="A960" s="1"/>
      <c r="B960" s="31"/>
      <c r="C960" s="31"/>
      <c r="D960" s="31"/>
      <c r="E960" s="31"/>
      <c r="F960" s="3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36"/>
      <c r="BR960" s="1"/>
      <c r="BS960" s="1"/>
      <c r="BT960" s="1"/>
      <c r="BU960" s="41"/>
    </row>
    <row r="961">
      <c r="A961" s="1"/>
      <c r="B961" s="31"/>
      <c r="C961" s="31"/>
      <c r="D961" s="31"/>
      <c r="E961" s="31"/>
      <c r="F961" s="3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36"/>
      <c r="BR961" s="1"/>
      <c r="BS961" s="1"/>
      <c r="BT961" s="1"/>
      <c r="BU961" s="41"/>
    </row>
    <row r="962">
      <c r="A962" s="1"/>
      <c r="B962" s="31"/>
      <c r="C962" s="31"/>
      <c r="D962" s="31"/>
      <c r="E962" s="31"/>
      <c r="F962" s="3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36"/>
      <c r="BR962" s="1"/>
      <c r="BS962" s="1"/>
      <c r="BT962" s="1"/>
      <c r="BU962" s="41"/>
    </row>
    <row r="963">
      <c r="A963" s="1"/>
      <c r="B963" s="31"/>
      <c r="C963" s="31"/>
      <c r="D963" s="31"/>
      <c r="E963" s="31"/>
      <c r="F963" s="3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36"/>
      <c r="BR963" s="1"/>
      <c r="BS963" s="1"/>
      <c r="BT963" s="1"/>
      <c r="BU963" s="41"/>
    </row>
    <row r="964">
      <c r="A964" s="1"/>
      <c r="B964" s="31"/>
      <c r="C964" s="31"/>
      <c r="D964" s="31"/>
      <c r="E964" s="31"/>
      <c r="F964" s="3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36"/>
      <c r="BR964" s="1"/>
      <c r="BS964" s="1"/>
      <c r="BT964" s="1"/>
      <c r="BU964" s="41"/>
    </row>
    <row r="965">
      <c r="A965" s="1"/>
      <c r="B965" s="31"/>
      <c r="C965" s="31"/>
      <c r="D965" s="31"/>
      <c r="E965" s="31"/>
      <c r="F965" s="3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36"/>
      <c r="BR965" s="1"/>
      <c r="BS965" s="1"/>
      <c r="BT965" s="1"/>
      <c r="BU965" s="41"/>
    </row>
    <row r="966">
      <c r="A966" s="1"/>
      <c r="B966" s="31"/>
      <c r="C966" s="31"/>
      <c r="D966" s="31"/>
      <c r="E966" s="31"/>
      <c r="F966" s="3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36"/>
      <c r="BR966" s="1"/>
      <c r="BS966" s="1"/>
      <c r="BT966" s="1"/>
      <c r="BU966" s="41"/>
    </row>
    <row r="967">
      <c r="A967" s="1"/>
      <c r="B967" s="31"/>
      <c r="C967" s="31"/>
      <c r="D967" s="31"/>
      <c r="E967" s="31"/>
      <c r="F967" s="3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36"/>
      <c r="BR967" s="1"/>
      <c r="BS967" s="1"/>
      <c r="BT967" s="1"/>
      <c r="BU967" s="41"/>
    </row>
    <row r="968">
      <c r="A968" s="1"/>
      <c r="B968" s="31"/>
      <c r="C968" s="31"/>
      <c r="D968" s="31"/>
      <c r="E968" s="31"/>
      <c r="F968" s="3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36"/>
      <c r="BR968" s="1"/>
      <c r="BS968" s="1"/>
      <c r="BT968" s="1"/>
      <c r="BU968" s="41"/>
    </row>
    <row r="969">
      <c r="A969" s="1"/>
      <c r="B969" s="31"/>
      <c r="C969" s="31"/>
      <c r="D969" s="31"/>
      <c r="E969" s="31"/>
      <c r="F969" s="3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36"/>
      <c r="BR969" s="1"/>
      <c r="BS969" s="1"/>
      <c r="BT969" s="1"/>
      <c r="BU969" s="41"/>
    </row>
    <row r="970">
      <c r="A970" s="1"/>
      <c r="B970" s="31"/>
      <c r="C970" s="31"/>
      <c r="D970" s="31"/>
      <c r="E970" s="31"/>
      <c r="F970" s="3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36"/>
      <c r="BR970" s="1"/>
      <c r="BS970" s="1"/>
      <c r="BT970" s="1"/>
      <c r="BU970" s="41"/>
    </row>
    <row r="971">
      <c r="A971" s="1"/>
      <c r="B971" s="31"/>
      <c r="C971" s="31"/>
      <c r="D971" s="31"/>
      <c r="E971" s="31"/>
      <c r="F971" s="3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36"/>
      <c r="BR971" s="1"/>
      <c r="BS971" s="1"/>
      <c r="BT971" s="1"/>
      <c r="BU971" s="41"/>
    </row>
    <row r="972">
      <c r="A972" s="1"/>
      <c r="B972" s="31"/>
      <c r="C972" s="31"/>
      <c r="D972" s="31"/>
      <c r="E972" s="31"/>
      <c r="F972" s="3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36"/>
      <c r="BR972" s="1"/>
      <c r="BS972" s="1"/>
      <c r="BT972" s="1"/>
      <c r="BU972" s="41"/>
    </row>
    <row r="973">
      <c r="A973" s="1"/>
      <c r="B973" s="31"/>
      <c r="C973" s="31"/>
      <c r="D973" s="31"/>
      <c r="E973" s="31"/>
      <c r="F973" s="3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36"/>
      <c r="BR973" s="1"/>
      <c r="BS973" s="1"/>
      <c r="BT973" s="1"/>
      <c r="BU973" s="41"/>
    </row>
    <row r="974">
      <c r="A974" s="1"/>
      <c r="B974" s="31"/>
      <c r="C974" s="31"/>
      <c r="D974" s="31"/>
      <c r="E974" s="31"/>
      <c r="F974" s="3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36"/>
      <c r="BR974" s="1"/>
      <c r="BS974" s="1"/>
      <c r="BT974" s="1"/>
      <c r="BU974" s="41"/>
    </row>
    <row r="975">
      <c r="A975" s="1"/>
      <c r="B975" s="31"/>
      <c r="C975" s="31"/>
      <c r="D975" s="31"/>
      <c r="E975" s="31"/>
      <c r="F975" s="3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36"/>
      <c r="BR975" s="1"/>
      <c r="BS975" s="1"/>
      <c r="BT975" s="1"/>
      <c r="BU975" s="41"/>
    </row>
    <row r="976">
      <c r="A976" s="1"/>
      <c r="B976" s="31"/>
      <c r="C976" s="31"/>
      <c r="D976" s="31"/>
      <c r="E976" s="31"/>
      <c r="F976" s="3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36"/>
      <c r="BR976" s="1"/>
      <c r="BS976" s="1"/>
      <c r="BT976" s="1"/>
      <c r="BU976" s="41"/>
    </row>
    <row r="977">
      <c r="A977" s="1"/>
      <c r="B977" s="31"/>
      <c r="C977" s="31"/>
      <c r="D977" s="31"/>
      <c r="E977" s="31"/>
      <c r="F977" s="3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36"/>
      <c r="BR977" s="1"/>
      <c r="BS977" s="1"/>
      <c r="BT977" s="1"/>
      <c r="BU977" s="41"/>
    </row>
    <row r="978">
      <c r="A978" s="1"/>
      <c r="B978" s="31"/>
      <c r="C978" s="31"/>
      <c r="D978" s="31"/>
      <c r="E978" s="31"/>
      <c r="F978" s="3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36"/>
      <c r="BR978" s="1"/>
      <c r="BS978" s="1"/>
      <c r="BT978" s="1"/>
      <c r="BU978" s="41"/>
    </row>
    <row r="979">
      <c r="A979" s="1"/>
      <c r="B979" s="31"/>
      <c r="C979" s="31"/>
      <c r="D979" s="31"/>
      <c r="E979" s="31"/>
      <c r="F979" s="3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36"/>
      <c r="BR979" s="1"/>
      <c r="BS979" s="1"/>
      <c r="BT979" s="1"/>
      <c r="BU979" s="41"/>
    </row>
    <row r="980">
      <c r="A980" s="1"/>
      <c r="B980" s="31"/>
      <c r="C980" s="31"/>
      <c r="D980" s="31"/>
      <c r="E980" s="31"/>
      <c r="F980" s="3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36"/>
      <c r="BR980" s="1"/>
      <c r="BS980" s="1"/>
      <c r="BT980" s="1"/>
      <c r="BU980" s="41"/>
    </row>
    <row r="981">
      <c r="A981" s="1"/>
      <c r="B981" s="31"/>
      <c r="C981" s="31"/>
      <c r="D981" s="31"/>
      <c r="E981" s="31"/>
      <c r="F981" s="3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36"/>
      <c r="BR981" s="1"/>
      <c r="BS981" s="1"/>
      <c r="BT981" s="1"/>
      <c r="BU981" s="41"/>
    </row>
    <row r="982">
      <c r="A982" s="1"/>
      <c r="B982" s="31"/>
      <c r="C982" s="31"/>
      <c r="D982" s="31"/>
      <c r="E982" s="31"/>
      <c r="F982" s="3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36"/>
      <c r="BR982" s="1"/>
      <c r="BS982" s="1"/>
      <c r="BT982" s="1"/>
      <c r="BU982" s="41"/>
    </row>
    <row r="983">
      <c r="A983" s="1"/>
      <c r="B983" s="31"/>
      <c r="C983" s="31"/>
      <c r="D983" s="31"/>
      <c r="E983" s="31"/>
      <c r="F983" s="3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36"/>
      <c r="BR983" s="1"/>
      <c r="BS983" s="1"/>
      <c r="BT983" s="1"/>
      <c r="BU983" s="41"/>
    </row>
    <row r="984">
      <c r="A984" s="1"/>
      <c r="B984" s="31"/>
      <c r="C984" s="31"/>
      <c r="D984" s="31"/>
      <c r="E984" s="31"/>
      <c r="F984" s="3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36"/>
      <c r="BR984" s="1"/>
      <c r="BS984" s="1"/>
      <c r="BT984" s="1"/>
      <c r="BU984" s="41"/>
    </row>
    <row r="985">
      <c r="A985" s="1"/>
      <c r="B985" s="31"/>
      <c r="C985" s="31"/>
      <c r="D985" s="31"/>
      <c r="E985" s="31"/>
      <c r="F985" s="3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36"/>
      <c r="BR985" s="1"/>
      <c r="BS985" s="1"/>
      <c r="BT985" s="1"/>
      <c r="BU985" s="41"/>
    </row>
    <row r="986">
      <c r="A986" s="1"/>
      <c r="B986" s="31"/>
      <c r="C986" s="31"/>
      <c r="D986" s="31"/>
      <c r="E986" s="31"/>
      <c r="F986" s="3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36"/>
      <c r="BR986" s="1"/>
      <c r="BS986" s="1"/>
      <c r="BT986" s="1"/>
      <c r="BU986" s="41"/>
    </row>
    <row r="987">
      <c r="A987" s="1"/>
      <c r="B987" s="31"/>
      <c r="C987" s="31"/>
      <c r="D987" s="31"/>
      <c r="E987" s="31"/>
      <c r="F987" s="3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36"/>
      <c r="BR987" s="1"/>
      <c r="BS987" s="1"/>
      <c r="BT987" s="1"/>
      <c r="BU987" s="41"/>
    </row>
    <row r="988">
      <c r="A988" s="1"/>
      <c r="B988" s="31"/>
      <c r="C988" s="31"/>
      <c r="D988" s="31"/>
      <c r="E988" s="31"/>
      <c r="F988" s="3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36"/>
      <c r="BR988" s="1"/>
      <c r="BS988" s="1"/>
      <c r="BT988" s="1"/>
      <c r="BU988" s="41"/>
    </row>
    <row r="989">
      <c r="A989" s="1"/>
      <c r="B989" s="31"/>
      <c r="C989" s="31"/>
      <c r="D989" s="31"/>
      <c r="E989" s="31"/>
      <c r="F989" s="3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36"/>
      <c r="BR989" s="1"/>
      <c r="BS989" s="1"/>
      <c r="BT989" s="1"/>
      <c r="BU989" s="41"/>
    </row>
    <row r="990">
      <c r="A990" s="1"/>
      <c r="B990" s="31"/>
      <c r="C990" s="31"/>
      <c r="D990" s="31"/>
      <c r="E990" s="31"/>
      <c r="F990" s="3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36"/>
      <c r="BR990" s="1"/>
      <c r="BS990" s="1"/>
      <c r="BT990" s="1"/>
      <c r="BU990" s="41"/>
    </row>
    <row r="991">
      <c r="A991" s="1"/>
      <c r="B991" s="31"/>
      <c r="C991" s="31"/>
      <c r="D991" s="31"/>
      <c r="E991" s="31"/>
      <c r="F991" s="3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36"/>
      <c r="BR991" s="1"/>
      <c r="BS991" s="1"/>
      <c r="BT991" s="1"/>
      <c r="BU991" s="41"/>
    </row>
    <row r="992">
      <c r="A992" s="1"/>
      <c r="B992" s="31"/>
      <c r="C992" s="31"/>
      <c r="D992" s="31"/>
      <c r="E992" s="31"/>
      <c r="F992" s="3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36"/>
      <c r="BR992" s="1"/>
      <c r="BS992" s="1"/>
      <c r="BT992" s="1"/>
      <c r="BU992" s="41"/>
    </row>
    <row r="993">
      <c r="A993" s="1"/>
      <c r="B993" s="31"/>
      <c r="C993" s="31"/>
      <c r="D993" s="31"/>
      <c r="E993" s="31"/>
      <c r="F993" s="3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36"/>
      <c r="BR993" s="1"/>
      <c r="BS993" s="1"/>
      <c r="BT993" s="1"/>
      <c r="BU993" s="41"/>
    </row>
    <row r="994">
      <c r="A994" s="1"/>
      <c r="B994" s="31"/>
      <c r="C994" s="31"/>
      <c r="D994" s="31"/>
      <c r="E994" s="31"/>
      <c r="F994" s="3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36"/>
      <c r="BR994" s="1"/>
      <c r="BS994" s="1"/>
      <c r="BT994" s="1"/>
      <c r="BU994" s="41"/>
    </row>
    <row r="995">
      <c r="A995" s="1"/>
      <c r="B995" s="31"/>
      <c r="C995" s="31"/>
      <c r="D995" s="31"/>
      <c r="E995" s="31"/>
      <c r="F995" s="3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36"/>
      <c r="BR995" s="1"/>
      <c r="BS995" s="1"/>
      <c r="BT995" s="1"/>
      <c r="BU995" s="41"/>
    </row>
    <row r="996">
      <c r="A996" s="1"/>
      <c r="B996" s="31"/>
      <c r="C996" s="31"/>
      <c r="D996" s="31"/>
      <c r="E996" s="31"/>
      <c r="F996" s="3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36"/>
      <c r="BR996" s="1"/>
      <c r="BS996" s="1"/>
      <c r="BT996" s="1"/>
      <c r="BU996" s="41"/>
    </row>
    <row r="997">
      <c r="A997" s="1"/>
      <c r="B997" s="31"/>
      <c r="C997" s="31"/>
      <c r="D997" s="31"/>
      <c r="E997" s="31"/>
      <c r="F997" s="3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36"/>
      <c r="BR997" s="1"/>
      <c r="BS997" s="1"/>
      <c r="BT997" s="1"/>
      <c r="BU997" s="41"/>
    </row>
    <row r="998">
      <c r="A998" s="1"/>
      <c r="B998" s="31"/>
      <c r="C998" s="31"/>
      <c r="D998" s="31"/>
      <c r="E998" s="31"/>
      <c r="F998" s="3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36"/>
      <c r="BR998" s="1"/>
      <c r="BS998" s="1"/>
      <c r="BT998" s="1"/>
      <c r="BU998" s="41"/>
    </row>
    <row r="999">
      <c r="A999" s="1"/>
      <c r="B999" s="31"/>
      <c r="C999" s="31"/>
      <c r="D999" s="31"/>
      <c r="E999" s="31"/>
      <c r="F999" s="3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36"/>
      <c r="BR999" s="1"/>
      <c r="BS999" s="1"/>
      <c r="BT999" s="1"/>
      <c r="BU999" s="41"/>
    </row>
    <row r="1000">
      <c r="A1000" s="1"/>
      <c r="B1000" s="31"/>
      <c r="C1000" s="31"/>
      <c r="D1000" s="31"/>
      <c r="E1000" s="31"/>
      <c r="F1000" s="3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36"/>
      <c r="BR1000" s="1"/>
      <c r="BS1000" s="1"/>
      <c r="BT1000" s="1"/>
      <c r="BU1000" s="4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</cols>
  <sheetData>
    <row r="1">
      <c r="A1" s="3" t="s">
        <v>105</v>
      </c>
      <c r="B1" s="42" t="s">
        <v>110</v>
      </c>
      <c r="C1" s="3" t="s">
        <v>111</v>
      </c>
      <c r="D1" s="3" t="s">
        <v>112</v>
      </c>
      <c r="E1" s="3" t="s">
        <v>113</v>
      </c>
      <c r="F1" s="3" t="s">
        <v>114</v>
      </c>
    </row>
    <row r="2">
      <c r="A2" s="43">
        <f>'Equity Price Data'!A4</f>
        <v>45426.66667</v>
      </c>
      <c r="B2" s="4">
        <f>(('Equity Price Data'!B4-'Equity Price Data'!B3)/'Equity Price Data'!B3)</f>
        <v>0.002466440618</v>
      </c>
      <c r="C2" s="4">
        <f>(('Equity Price Data'!C4-'Equity Price Data'!C3)/'Equity Price Data'!C3)</f>
        <v>0.00483776444</v>
      </c>
      <c r="D2" s="4">
        <f>(('Equity Price Data'!D4-'Equity Price Data'!D3)/'Equity Price Data'!D3)</f>
        <v>0.007501720746</v>
      </c>
      <c r="E2" s="4">
        <f>(('Equity Price Data'!E4-'Equity Price Data'!E3)/'Equity Price Data'!E3)</f>
        <v>0.00321063028</v>
      </c>
      <c r="F2" s="4">
        <f>(('Equity Price Data'!F4-'Equity Price Data'!F3)/'Equity Price Data'!F3)</f>
        <v>0.01142998468</v>
      </c>
    </row>
    <row r="3">
      <c r="A3" s="43">
        <f>'Equity Price Data'!A5</f>
        <v>45427.66667</v>
      </c>
      <c r="B3" s="4">
        <f>B2+(('Equity Price Data'!B5-'Equity Price Data'!B4)/'Equity Price Data'!B4)</f>
        <v>0.009959523262</v>
      </c>
      <c r="C3" s="4">
        <f>C2+(('Equity Price Data'!C5-'Equity Price Data'!C4)/'Equity Price Data'!C4)</f>
        <v>0.01655374483</v>
      </c>
      <c r="D3" s="4">
        <f>D2+(('Equity Price Data'!D5-'Equity Price Data'!D4)/'Equity Price Data'!D4)</f>
        <v>0.02150495976</v>
      </c>
      <c r="E3" s="4">
        <f>E2+(('Equity Price Data'!E5-'Equity Price Data'!E4)/'Equity Price Data'!E4)</f>
        <v>0.01205559279</v>
      </c>
      <c r="F3" s="4">
        <f>F2+(('Equity Price Data'!F5-'Equity Price Data'!F4)/'Equity Price Data'!F4)</f>
        <v>0.02282669272</v>
      </c>
    </row>
    <row r="4">
      <c r="A4" s="43">
        <f>'Equity Price Data'!A6</f>
        <v>45428.66667</v>
      </c>
      <c r="B4" s="4">
        <f>B3+(('Equity Price Data'!B6-'Equity Price Data'!B5)/'Equity Price Data'!B5)</f>
        <v>0.007441137154</v>
      </c>
      <c r="C4" s="4">
        <f>C3+(('Equity Price Data'!C6-'Equity Price Data'!C5)/'Equity Price Data'!C5)</f>
        <v>0.01447204028</v>
      </c>
      <c r="D4" s="4">
        <f>D3+(('Equity Price Data'!D6-'Equity Price Data'!D5)/'Equity Price Data'!D5)</f>
        <v>0.01887271909</v>
      </c>
      <c r="E4" s="4">
        <f>E3+(('Equity Price Data'!E6-'Equity Price Data'!E5)/'Equity Price Data'!E5)</f>
        <v>0.01108786702</v>
      </c>
      <c r="F4" s="4">
        <f>F3+(('Equity Price Data'!F6-'Equity Price Data'!F5)/'Equity Price Data'!F5)</f>
        <v>0.01656442655</v>
      </c>
    </row>
    <row r="5">
      <c r="A5" s="43">
        <f>'Equity Price Data'!A7</f>
        <v>45429.66667</v>
      </c>
      <c r="B5" s="4">
        <f>B4+(('Equity Price Data'!B7-'Equity Price Data'!B6)/'Equity Price Data'!B6)</f>
        <v>0.00966434673</v>
      </c>
      <c r="C5" s="4">
        <f>C4+(('Equity Price Data'!C7-'Equity Price Data'!C6)/'Equity Price Data'!C6)</f>
        <v>0.01563682856</v>
      </c>
      <c r="D5" s="4">
        <f>D4+(('Equity Price Data'!D7-'Equity Price Data'!D6)/'Equity Price Data'!D6)</f>
        <v>0.01813312373</v>
      </c>
      <c r="E5" s="4">
        <f>E4+(('Equity Price Data'!E7-'Equity Price Data'!E6)/'Equity Price Data'!E6)</f>
        <v>0.01445410949</v>
      </c>
      <c r="F5" s="4">
        <f>F4+(('Equity Price Data'!F7-'Equity Price Data'!F6)/'Equity Price Data'!F6)</f>
        <v>0.01631159411</v>
      </c>
    </row>
    <row r="6">
      <c r="A6" s="43">
        <f>'Equity Price Data'!A8</f>
        <v>45432.66667</v>
      </c>
      <c r="B6" s="4">
        <f>B5+(('Equity Price Data'!B8-'Equity Price Data'!B7)/'Equity Price Data'!B7)</f>
        <v>0.006575543364</v>
      </c>
      <c r="C6" s="4">
        <f>C5+(('Equity Price Data'!C8-'Equity Price Data'!C7)/'Equity Price Data'!C7)</f>
        <v>0.01655324428</v>
      </c>
      <c r="D6" s="4">
        <f>D5+(('Equity Price Data'!D8-'Equity Price Data'!D7)/'Equity Price Data'!D7)</f>
        <v>0.0246595648</v>
      </c>
      <c r="E6" s="4">
        <f>E5+(('Equity Price Data'!E8-'Equity Price Data'!E7)/'Equity Price Data'!E7)</f>
        <v>0.009534051063</v>
      </c>
      <c r="F6" s="4">
        <f>F5+(('Equity Price Data'!F8-'Equity Price Data'!F7)/'Equity Price Data'!F7)</f>
        <v>0.01954675911</v>
      </c>
    </row>
    <row r="7">
      <c r="A7" s="43">
        <f>'Equity Price Data'!A9</f>
        <v>45433.66667</v>
      </c>
      <c r="B7" s="4">
        <f>B6+(('Equity Price Data'!B9-'Equity Price Data'!B8)/'Equity Price Data'!B8)</f>
        <v>0.007089881812</v>
      </c>
      <c r="C7" s="4">
        <f>C6+(('Equity Price Data'!C9-'Equity Price Data'!C8)/'Equity Price Data'!C8)</f>
        <v>0.01905506696</v>
      </c>
      <c r="D7" s="4">
        <f>D6+(('Equity Price Data'!D9-'Equity Price Data'!D8)/'Equity Price Data'!D8)</f>
        <v>0.02690727497</v>
      </c>
      <c r="E7" s="4">
        <f>E6+(('Equity Price Data'!E9-'Equity Price Data'!E8)/'Equity Price Data'!E8)</f>
        <v>0.01119758719</v>
      </c>
      <c r="F7" s="4">
        <f>F6+(('Equity Price Data'!F9-'Equity Price Data'!F8)/'Equity Price Data'!F8)</f>
        <v>0.01757767469</v>
      </c>
    </row>
    <row r="8">
      <c r="A8" s="43">
        <f>'Equity Price Data'!A10</f>
        <v>45434.66667</v>
      </c>
      <c r="B8" s="4">
        <f>B7+(('Equity Price Data'!B10-'Equity Price Data'!B9)/'Equity Price Data'!B9)</f>
        <v>0.002275359686</v>
      </c>
      <c r="C8" s="4">
        <f>C7+(('Equity Price Data'!C10-'Equity Price Data'!C9)/'Equity Price Data'!C9)</f>
        <v>0.01634901725</v>
      </c>
      <c r="D8" s="4">
        <f>D7+(('Equity Price Data'!D10-'Equity Price Data'!D9)/'Equity Price Data'!D9)</f>
        <v>0.02506086009</v>
      </c>
      <c r="E8" s="4">
        <f>E7+(('Equity Price Data'!E10-'Equity Price Data'!E9)/'Equity Price Data'!E9)</f>
        <v>0.006132755082</v>
      </c>
      <c r="F8" s="4">
        <f>F7+(('Equity Price Data'!F10-'Equity Price Data'!F9)/'Equity Price Data'!F9)</f>
        <v>0.009642906584</v>
      </c>
    </row>
    <row r="9">
      <c r="A9" s="43">
        <f>'Equity Price Data'!A11</f>
        <v>45435.66667</v>
      </c>
      <c r="B9" s="4">
        <f>B8+(('Equity Price Data'!B11-'Equity Price Data'!B10)/'Equity Price Data'!B10)</f>
        <v>-0.003286718585</v>
      </c>
      <c r="C9" s="4">
        <f>C8+(('Equity Price Data'!C11-'Equity Price Data'!C10)/'Equity Price Data'!C10)</f>
        <v>0.008968213367</v>
      </c>
      <c r="D9" s="4">
        <f>D8+(('Equity Price Data'!D11-'Equity Price Data'!D10)/'Equity Price Data'!D10)</f>
        <v>0.02116181274</v>
      </c>
      <c r="E9" s="4">
        <f>E8+(('Equity Price Data'!E11-'Equity Price Data'!E10)/'Equity Price Data'!E10)</f>
        <v>-0.009137326065</v>
      </c>
      <c r="F9" s="4">
        <f>F8+(('Equity Price Data'!F11-'Equity Price Data'!F10)/'Equity Price Data'!F10)</f>
        <v>-0.006353557861</v>
      </c>
    </row>
    <row r="10">
      <c r="A10" s="43">
        <f>'Equity Price Data'!A12</f>
        <v>45436.66667</v>
      </c>
      <c r="B10" s="4">
        <f>B9+(('Equity Price Data'!B12-'Equity Price Data'!B11)/'Equity Price Data'!B11)</f>
        <v>0.001954431122</v>
      </c>
      <c r="C10" s="4">
        <f>C9+(('Equity Price Data'!C12-'Equity Price Data'!C11)/'Equity Price Data'!C11)</f>
        <v>0.0159691853</v>
      </c>
      <c r="D10" s="4">
        <f>D9+(('Equity Price Data'!D12-'Equity Price Data'!D11)/'Equity Price Data'!D11)</f>
        <v>0.0322014679</v>
      </c>
      <c r="E10" s="4">
        <f>E9+(('Equity Price Data'!E12-'Equity Price Data'!E11)/'Equity Price Data'!E11)</f>
        <v>-0.009026485897</v>
      </c>
      <c r="F10" s="4">
        <f>F9+(('Equity Price Data'!F12-'Equity Price Data'!F11)/'Equity Price Data'!F11)</f>
        <v>0.00402522373</v>
      </c>
    </row>
    <row r="11">
      <c r="A11" s="43">
        <f>'Equity Price Data'!A13</f>
        <v>45440.66667</v>
      </c>
      <c r="B11" s="4">
        <f>B10+(('Equity Price Data'!B13-'Equity Price Data'!B12)/'Equity Price Data'!B12)</f>
        <v>0.001872810074</v>
      </c>
      <c r="C11" s="4">
        <f>C10+(('Equity Price Data'!C13-'Equity Price Data'!C12)/'Equity Price Data'!C12)</f>
        <v>0.0162180203</v>
      </c>
      <c r="D11" s="4">
        <f>D10+(('Equity Price Data'!D13-'Equity Price Data'!D12)/'Equity Price Data'!D12)</f>
        <v>0.03805757746</v>
      </c>
      <c r="E11" s="4">
        <f>E10+(('Equity Price Data'!E13-'Equity Price Data'!E12)/'Equity Price Data'!E12)</f>
        <v>-0.01457376704</v>
      </c>
      <c r="F11" s="4">
        <f>F10+(('Equity Price Data'!F13-'Equity Price Data'!F12)/'Equity Price Data'!F12)</f>
        <v>0.002662687674</v>
      </c>
    </row>
    <row r="12">
      <c r="A12" s="43">
        <f>'Equity Price Data'!A14</f>
        <v>45441.66667</v>
      </c>
      <c r="B12" s="4">
        <f>B11+(('Equity Price Data'!B14-'Equity Price Data'!B13)/'Equity Price Data'!B13)</f>
        <v>-0.005591138521</v>
      </c>
      <c r="C12" s="4">
        <f>C11+(('Equity Price Data'!C14-'Equity Price Data'!C13)/'Equity Price Data'!C13)</f>
        <v>0.00885094429</v>
      </c>
      <c r="D12" s="4">
        <f>D11+(('Equity Price Data'!D14-'Equity Price Data'!D13)/'Equity Price Data'!D13)</f>
        <v>0.03222322375</v>
      </c>
      <c r="E12" s="4">
        <f>E11+(('Equity Price Data'!E14-'Equity Price Data'!E13)/'Equity Price Data'!E13)</f>
        <v>-0.02516037508</v>
      </c>
      <c r="F12" s="4">
        <f>F11+(('Equity Price Data'!F14-'Equity Price Data'!F13)/'Equity Price Data'!F13)</f>
        <v>-0.01217148026</v>
      </c>
    </row>
    <row r="13">
      <c r="A13" s="43">
        <f>'Equity Price Data'!A15</f>
        <v>45442.66667</v>
      </c>
      <c r="B13" s="4">
        <f>B12+(('Equity Price Data'!B15-'Equity Price Data'!B14)/'Equity Price Data'!B14)</f>
        <v>-0.006551923528</v>
      </c>
      <c r="C13" s="4">
        <f>C12+(('Equity Price Data'!C15-'Equity Price Data'!C14)/'Equity Price Data'!C14)</f>
        <v>0.002875949274</v>
      </c>
      <c r="D13" s="4">
        <f>D12+(('Equity Price Data'!D15-'Equity Price Data'!D14)/'Equity Price Data'!D14)</f>
        <v>0.02137844183</v>
      </c>
      <c r="E13" s="4">
        <f>E12+(('Equity Price Data'!E15-'Equity Price Data'!E14)/'Equity Price Data'!E14)</f>
        <v>-0.03374639947</v>
      </c>
      <c r="F13" s="4">
        <f>F12+(('Equity Price Data'!F15-'Equity Price Data'!F14)/'Equity Price Data'!F14)</f>
        <v>-0.002147857713</v>
      </c>
    </row>
    <row r="14">
      <c r="A14" s="43">
        <f>'Equity Price Data'!A16</f>
        <v>45443.66667</v>
      </c>
      <c r="B14" s="4">
        <f>B13+(('Equity Price Data'!B16-'Equity Price Data'!B15)/'Equity Price Data'!B15)</f>
        <v>0.00497142886</v>
      </c>
      <c r="C14" s="4">
        <f>C13+(('Equity Price Data'!C16-'Equity Price Data'!C15)/'Equity Price Data'!C15)</f>
        <v>0.01090386649</v>
      </c>
      <c r="D14" s="4">
        <f>D13+(('Equity Price Data'!D16-'Equity Price Data'!D15)/'Equity Price Data'!D15)</f>
        <v>0.02125536182</v>
      </c>
      <c r="E14" s="4">
        <f>E13+(('Equity Price Data'!E16-'Equity Price Data'!E15)/'Equity Price Data'!E15)</f>
        <v>-0.01866328016</v>
      </c>
      <c r="F14" s="4">
        <f>F13+(('Equity Price Data'!F16-'Equity Price Data'!F15)/'Equity Price Data'!F15)</f>
        <v>0.004430961698</v>
      </c>
    </row>
    <row r="15">
      <c r="A15" s="43">
        <f>'Equity Price Data'!A17</f>
        <v>45446.66667</v>
      </c>
      <c r="B15" s="4">
        <f>B14+(('Equity Price Data'!B17-'Equity Price Data'!B16)/'Equity Price Data'!B16)</f>
        <v>0.003635603689</v>
      </c>
      <c r="C15" s="4">
        <f>C14+(('Equity Price Data'!C17-'Equity Price Data'!C16)/'Equity Price Data'!C16)</f>
        <v>0.01201992311</v>
      </c>
      <c r="D15" s="4">
        <f>D14+(('Equity Price Data'!D17-'Equity Price Data'!D16)/'Equity Price Data'!D16)</f>
        <v>0.0268514113</v>
      </c>
      <c r="E15" s="4">
        <f>E14+(('Equity Price Data'!E17-'Equity Price Data'!E16)/'Equity Price Data'!E16)</f>
        <v>-0.02164340337</v>
      </c>
      <c r="F15" s="4">
        <f>F14+(('Equity Price Data'!F17-'Equity Price Data'!F16)/'Equity Price Data'!F16)</f>
        <v>-0.0006170304576</v>
      </c>
    </row>
    <row r="16">
      <c r="A16" s="43">
        <f>'Equity Price Data'!A18</f>
        <v>45447.66667</v>
      </c>
      <c r="B16" s="4">
        <f>B15+(('Equity Price Data'!B18-'Equity Price Data'!B17)/'Equity Price Data'!B17)</f>
        <v>0.004822040047</v>
      </c>
      <c r="C16" s="4">
        <f>C15+(('Equity Price Data'!C18-'Equity Price Data'!C17)/'Equity Price Data'!C17)</f>
        <v>0.01352274326</v>
      </c>
      <c r="D16" s="4">
        <f>D15+(('Equity Price Data'!D18-'Equity Price Data'!D17)/'Equity Price Data'!D17)</f>
        <v>0.02853781908</v>
      </c>
      <c r="E16" s="4">
        <f>E15+(('Equity Price Data'!E18-'Equity Price Data'!E17)/'Equity Price Data'!E17)</f>
        <v>-0.01800699542</v>
      </c>
      <c r="F16" s="4">
        <f>F15+(('Equity Price Data'!F18-'Equity Price Data'!F17)/'Equity Price Data'!F17)</f>
        <v>-0.01311411738</v>
      </c>
    </row>
    <row r="17">
      <c r="A17" s="43">
        <f>'Equity Price Data'!A19</f>
        <v>45448.66667</v>
      </c>
      <c r="B17" s="4">
        <f>B16+(('Equity Price Data'!B19-'Equity Price Data'!B18)/'Equity Price Data'!B18)</f>
        <v>0.01023233017</v>
      </c>
      <c r="C17" s="4">
        <f>C16+(('Equity Price Data'!C19-'Equity Price Data'!C18)/'Equity Price Data'!C18)</f>
        <v>0.02537040378</v>
      </c>
      <c r="D17" s="4">
        <f>D16+(('Equity Price Data'!D19-'Equity Price Data'!D18)/'Equity Price Data'!D18)</f>
        <v>0.04816521533</v>
      </c>
      <c r="E17" s="4">
        <f>E16+(('Equity Price Data'!E19-'Equity Price Data'!E18)/'Equity Price Data'!E18)</f>
        <v>-0.01552606544</v>
      </c>
      <c r="F17" s="4">
        <f>F16+(('Equity Price Data'!F19-'Equity Price Data'!F18)/'Equity Price Data'!F18)</f>
        <v>0.001601164286</v>
      </c>
    </row>
    <row r="18">
      <c r="A18" s="43">
        <f>'Equity Price Data'!A20</f>
        <v>45449.66667</v>
      </c>
      <c r="B18" s="4">
        <f>B17+(('Equity Price Data'!B20-'Equity Price Data'!B19)/'Equity Price Data'!B19)</f>
        <v>0.01016233056</v>
      </c>
      <c r="C18" s="4">
        <f>C17+(('Equity Price Data'!C20-'Equity Price Data'!C19)/'Equity Price Data'!C19)</f>
        <v>0.02517055432</v>
      </c>
      <c r="D18" s="4">
        <f>D17+(('Equity Price Data'!D20-'Equity Price Data'!D19)/'Equity Price Data'!D19)</f>
        <v>0.04730472677</v>
      </c>
      <c r="E18" s="4">
        <f>E17+(('Equity Price Data'!E20-'Equity Price Data'!E19)/'Equity Price Data'!E19)</f>
        <v>-0.01349449047</v>
      </c>
      <c r="F18" s="4">
        <f>F17+(('Equity Price Data'!F20-'Equity Price Data'!F19)/'Equity Price Data'!F19)</f>
        <v>-0.005390555153</v>
      </c>
    </row>
    <row r="19">
      <c r="A19" s="43">
        <f>'Equity Price Data'!A21</f>
        <v>45450.66667</v>
      </c>
      <c r="B19" s="4">
        <f>B18+(('Equity Price Data'!B21-'Equity Price Data'!B20)/'Equity Price Data'!B20)</f>
        <v>0.009322731996</v>
      </c>
      <c r="C19" s="4">
        <f>C18+(('Equity Price Data'!C21-'Equity Price Data'!C20)/'Equity Price Data'!C20)</f>
        <v>0.02405528352</v>
      </c>
      <c r="D19" s="4">
        <f>D18+(('Equity Price Data'!D21-'Equity Price Data'!D20)/'Equity Price Data'!D20)</f>
        <v>0.04497608759</v>
      </c>
      <c r="E19" s="4">
        <f>E18+(('Equity Price Data'!E21-'Equity Price Data'!E20)/'Equity Price Data'!E20)</f>
        <v>-0.01573641865</v>
      </c>
      <c r="F19" s="4">
        <f>F18+(('Equity Price Data'!F21-'Equity Price Data'!F20)/'Equity Price Data'!F20)</f>
        <v>-0.01655945983</v>
      </c>
    </row>
    <row r="20">
      <c r="A20" s="43">
        <f>'Equity Price Data'!A22</f>
        <v>45453.66667</v>
      </c>
      <c r="B20" s="4">
        <f>B19+(('Equity Price Data'!B22-'Equity Price Data'!B21)/'Equity Price Data'!B21)</f>
        <v>0.01377486825</v>
      </c>
      <c r="C20" s="4">
        <f>C19+(('Equity Price Data'!C22-'Equity Price Data'!C21)/'Equity Price Data'!C21)</f>
        <v>0.02663617482</v>
      </c>
      <c r="D20" s="4">
        <f>D19+(('Equity Price Data'!D22-'Equity Price Data'!D21)/'Equity Price Data'!D21)</f>
        <v>0.04844305481</v>
      </c>
      <c r="E20" s="4">
        <f>E19+(('Equity Price Data'!E22-'Equity Price Data'!E21)/'Equity Price Data'!E21)</f>
        <v>-0.01395673314</v>
      </c>
      <c r="F20" s="4">
        <f>F19+(('Equity Price Data'!F22-'Equity Price Data'!F21)/'Equity Price Data'!F21)</f>
        <v>-0.01406260557</v>
      </c>
    </row>
    <row r="21">
      <c r="A21" s="43">
        <f>'Equity Price Data'!A23</f>
        <v>45454.66667</v>
      </c>
      <c r="B21" s="4">
        <f>B20+(('Equity Price Data'!B23-'Equity Price Data'!B22)/'Equity Price Data'!B22)</f>
        <v>0.009947584263</v>
      </c>
      <c r="C21" s="4">
        <f>C20+(('Equity Price Data'!C23-'Equity Price Data'!C22)/'Equity Price Data'!C22)</f>
        <v>0.02934659624</v>
      </c>
      <c r="D21" s="4">
        <f>D20+(('Equity Price Data'!D23-'Equity Price Data'!D22)/'Equity Price Data'!D22)</f>
        <v>0.0572271023</v>
      </c>
      <c r="E21" s="4">
        <f>E20+(('Equity Price Data'!E23-'Equity Price Data'!E22)/'Equity Price Data'!E22)</f>
        <v>-0.01706005402</v>
      </c>
      <c r="F21" s="4">
        <f>F20+(('Equity Price Data'!F23-'Equity Price Data'!F22)/'Equity Price Data'!F22)</f>
        <v>-0.01763612608</v>
      </c>
    </row>
    <row r="22">
      <c r="A22" s="43">
        <f>'Equity Price Data'!A24</f>
        <v>45455.66667</v>
      </c>
      <c r="B22" s="4">
        <f>B21+(('Equity Price Data'!B24-'Equity Price Data'!B23)/'Equity Price Data'!B23)</f>
        <v>0.01486106548</v>
      </c>
      <c r="C22" s="4">
        <f>C21+(('Equity Price Data'!C24-'Equity Price Data'!C23)/'Equity Price Data'!C23)</f>
        <v>0.03785027602</v>
      </c>
      <c r="D22" s="4">
        <f>D21+(('Equity Price Data'!D24-'Equity Price Data'!D23)/'Equity Price Data'!D23)</f>
        <v>0.07250021536</v>
      </c>
      <c r="E22" s="4">
        <f>E21+(('Equity Price Data'!E24-'Equity Price Data'!E23)/'Equity Price Data'!E23)</f>
        <v>-0.01796875968</v>
      </c>
      <c r="F22" s="4">
        <f>F21+(('Equity Price Data'!F24-'Equity Price Data'!F23)/'Equity Price Data'!F23)</f>
        <v>-0.001458093624</v>
      </c>
    </row>
    <row r="23">
      <c r="A23" s="43">
        <f>'Equity Price Data'!A25</f>
        <v>45456.66667</v>
      </c>
      <c r="B23" s="4">
        <f>B22+(('Equity Price Data'!B25-'Equity Price Data'!B24)/'Equity Price Data'!B24)</f>
        <v>0.01364597273</v>
      </c>
      <c r="C23" s="4">
        <f>C22+(('Equity Price Data'!C25-'Equity Price Data'!C24)/'Equity Price Data'!C24)</f>
        <v>0.04019484891</v>
      </c>
      <c r="D23" s="4">
        <f>D22+(('Equity Price Data'!D25-'Equity Price Data'!D24)/'Equity Price Data'!D24)</f>
        <v>0.0758576962</v>
      </c>
      <c r="E23" s="4">
        <f>E22+(('Equity Price Data'!E25-'Equity Price Data'!E24)/'Equity Price Data'!E24)</f>
        <v>-0.01965065798</v>
      </c>
      <c r="F23" s="4">
        <f>F22+(('Equity Price Data'!F25-'Equity Price Data'!F24)/'Equity Price Data'!F24)</f>
        <v>-0.01030063895</v>
      </c>
    </row>
    <row r="24">
      <c r="A24" s="43">
        <f>'Equity Price Data'!A26</f>
        <v>45457.66667</v>
      </c>
      <c r="B24" s="4">
        <f>B23+(('Equity Price Data'!B26-'Equity Price Data'!B25)/'Equity Price Data'!B25)</f>
        <v>0.01190833846</v>
      </c>
      <c r="C24" s="4">
        <f>C23+(('Equity Price Data'!C26-'Equity Price Data'!C25)/'Equity Price Data'!C25)</f>
        <v>0.03980101336</v>
      </c>
      <c r="D24" s="4">
        <f>D23+(('Equity Price Data'!D26-'Equity Price Data'!D25)/'Equity Price Data'!D25)</f>
        <v>0.07706442764</v>
      </c>
      <c r="E24" s="4">
        <f>E23+(('Equity Price Data'!E26-'Equity Price Data'!E25)/'Equity Price Data'!E25)</f>
        <v>-0.02114986491</v>
      </c>
      <c r="F24" s="4">
        <f>F23+(('Equity Price Data'!F26-'Equity Price Data'!F25)/'Equity Price Data'!F25)</f>
        <v>-0.02636314294</v>
      </c>
    </row>
    <row r="25">
      <c r="A25" s="43">
        <f>'Equity Price Data'!A27</f>
        <v>45460.66667</v>
      </c>
      <c r="B25" s="4">
        <f>B24+(('Equity Price Data'!B27-'Equity Price Data'!B26)/'Equity Price Data'!B26)</f>
        <v>0.01547128441</v>
      </c>
      <c r="C25" s="4">
        <f>C24+(('Equity Price Data'!C27-'Equity Price Data'!C26)/'Equity Price Data'!C26)</f>
        <v>0.04746542164</v>
      </c>
      <c r="D25" s="4">
        <f>D24+(('Equity Price Data'!D27-'Equity Price Data'!D26)/'Equity Price Data'!D26)</f>
        <v>0.08656983442</v>
      </c>
      <c r="E25" s="4">
        <f>E24+(('Equity Price Data'!E27-'Equity Price Data'!E26)/'Equity Price Data'!E26)</f>
        <v>-0.01625367126</v>
      </c>
      <c r="F25" s="4">
        <f>F24+(('Equity Price Data'!F27-'Equity Price Data'!F26)/'Equity Price Data'!F26)</f>
        <v>-0.01846247699</v>
      </c>
    </row>
    <row r="26">
      <c r="A26" s="43">
        <f>'Equity Price Data'!A28</f>
        <v>45461.66667</v>
      </c>
      <c r="B26" s="4">
        <f>B25+(('Equity Price Data'!B28-'Equity Price Data'!B27)/'Equity Price Data'!B27)</f>
        <v>0.01872907515</v>
      </c>
      <c r="C26" s="4">
        <f>C25+(('Equity Price Data'!C28-'Equity Price Data'!C27)/'Equity Price Data'!C27)</f>
        <v>0.04998678471</v>
      </c>
      <c r="D26" s="4">
        <f>D25+(('Equity Price Data'!D28-'Equity Price Data'!D27)/'Equity Price Data'!D27)</f>
        <v>0.08686159643</v>
      </c>
      <c r="E26" s="4">
        <f>E25+(('Equity Price Data'!E28-'Equity Price Data'!E27)/'Equity Price Data'!E27)</f>
        <v>-0.01478995849</v>
      </c>
      <c r="F26" s="4">
        <f>F25+(('Equity Price Data'!F28-'Equity Price Data'!F27)/'Equity Price Data'!F27)</f>
        <v>-0.01687000218</v>
      </c>
    </row>
    <row r="27">
      <c r="A27" s="43">
        <f>'Equity Price Data'!A29</f>
        <v>45463.66667</v>
      </c>
      <c r="B27" s="4">
        <f>B26+(('Equity Price Data'!B29-'Equity Price Data'!B28)/'Equity Price Data'!B28)</f>
        <v>0.01973098839</v>
      </c>
      <c r="C27" s="4">
        <f>C26+(('Equity Price Data'!C29-'Equity Price Data'!C28)/'Equity Price Data'!C28)</f>
        <v>0.04746082804</v>
      </c>
      <c r="D27" s="4">
        <f>D26+(('Equity Price Data'!D29-'Equity Price Data'!D28)/'Equity Price Data'!D28)</f>
        <v>0.07898799946</v>
      </c>
      <c r="E27" s="4">
        <f>E26+(('Equity Price Data'!E29-'Equity Price Data'!E28)/'Equity Price Data'!E28)</f>
        <v>-0.007067515307</v>
      </c>
      <c r="F27" s="4">
        <f>F26+(('Equity Price Data'!F29-'Equity Price Data'!F28)/'Equity Price Data'!F28)</f>
        <v>-0.02074116743</v>
      </c>
    </row>
    <row r="28">
      <c r="A28" s="43">
        <f>'Equity Price Data'!A30</f>
        <v>45464.66667</v>
      </c>
      <c r="B28" s="4">
        <f>B27+(('Equity Price Data'!B30-'Equity Price Data'!B29)/'Equity Price Data'!B29)</f>
        <v>0.01717739768</v>
      </c>
      <c r="C28" s="4">
        <f>C27+(('Equity Price Data'!C30-'Equity Price Data'!C29)/'Equity Price Data'!C29)</f>
        <v>0.04589866206</v>
      </c>
      <c r="D28" s="4">
        <f>D27+(('Equity Price Data'!D30-'Equity Price Data'!D29)/'Equity Price Data'!D29)</f>
        <v>0.07716931389</v>
      </c>
      <c r="E28" s="4">
        <f>E27+(('Equity Price Data'!E30-'Equity Price Data'!E29)/'Equity Price Data'!E29)</f>
        <v>-0.006669659284</v>
      </c>
      <c r="F28" s="4">
        <f>F27+(('Equity Price Data'!F30-'Equity Price Data'!F29)/'Equity Price Data'!F29)</f>
        <v>-0.01844116594</v>
      </c>
    </row>
    <row r="29">
      <c r="A29" s="43">
        <f>'Equity Price Data'!A31</f>
        <v>45467.66667</v>
      </c>
      <c r="B29" s="4">
        <f>B28+(('Equity Price Data'!B31-'Equity Price Data'!B30)/'Equity Price Data'!B30)</f>
        <v>0.01761212012</v>
      </c>
      <c r="C29" s="4">
        <f>C28+(('Equity Price Data'!C31-'Equity Price Data'!C30)/'Equity Price Data'!C30)</f>
        <v>0.0428334901</v>
      </c>
      <c r="D29" s="4">
        <f>D28+(('Equity Price Data'!D31-'Equity Price Data'!D30)/'Equity Price Data'!D30)</f>
        <v>0.06628480478</v>
      </c>
      <c r="E29" s="4">
        <f>E28+(('Equity Price Data'!E31-'Equity Price Data'!E30)/'Equity Price Data'!E30)</f>
        <v>-0.000006113919083</v>
      </c>
      <c r="F29" s="4">
        <f>F28+(('Equity Price Data'!F31-'Equity Price Data'!F30)/'Equity Price Data'!F30)</f>
        <v>-0.01409899495</v>
      </c>
    </row>
    <row r="30">
      <c r="A30" s="43">
        <f>'Equity Price Data'!A32</f>
        <v>45468.66667</v>
      </c>
      <c r="B30" s="4">
        <f>B29+(('Equity Price Data'!B32-'Equity Price Data'!B31)/'Equity Price Data'!B31)</f>
        <v>0.01767082778</v>
      </c>
      <c r="C30" s="4">
        <f>C29+(('Equity Price Data'!C32-'Equity Price Data'!C31)/'Equity Price Data'!C31)</f>
        <v>0.04676713756</v>
      </c>
      <c r="D30" s="4">
        <f>D29+(('Equity Price Data'!D32-'Equity Price Data'!D31)/'Equity Price Data'!D31)</f>
        <v>0.07890595537</v>
      </c>
      <c r="E30" s="4">
        <f>E29+(('Equity Price Data'!E32-'Equity Price Data'!E31)/'Equity Price Data'!E31)</f>
        <v>-0.007594056537</v>
      </c>
      <c r="F30" s="4">
        <f>F29+(('Equity Price Data'!F32-'Equity Price Data'!F31)/'Equity Price Data'!F31)</f>
        <v>-0.01826482041</v>
      </c>
    </row>
    <row r="31">
      <c r="A31" s="43">
        <f>'Equity Price Data'!A33</f>
        <v>45469.66667</v>
      </c>
      <c r="B31" s="4">
        <f>B30+(('Equity Price Data'!B33-'Equity Price Data'!B32)/'Equity Price Data'!B32)</f>
        <v>0.0183930268</v>
      </c>
      <c r="C31" s="4">
        <f>C30+(('Equity Price Data'!C33-'Equity Price Data'!C32)/'Equity Price Data'!C32)</f>
        <v>0.04833955085</v>
      </c>
      <c r="D31" s="4">
        <f>D30+(('Equity Price Data'!D33-'Equity Price Data'!D32)/'Equity Price Data'!D32)</f>
        <v>0.08384509798</v>
      </c>
      <c r="E31" s="4">
        <f>E30+(('Equity Price Data'!E33-'Equity Price Data'!E32)/'Equity Price Data'!E32)</f>
        <v>-0.007194180898</v>
      </c>
      <c r="F31" s="4">
        <f>F30+(('Equity Price Data'!F33-'Equity Price Data'!F32)/'Equity Price Data'!F32)</f>
        <v>-0.02035644649</v>
      </c>
    </row>
    <row r="32">
      <c r="A32" s="43">
        <f>'Equity Price Data'!A34</f>
        <v>45470.66667</v>
      </c>
      <c r="B32" s="4">
        <f>B31+(('Equity Price Data'!B34-'Equity Price Data'!B33)/'Equity Price Data'!B33)</f>
        <v>0.02069203039</v>
      </c>
      <c r="C32" s="4">
        <f>C31+(('Equity Price Data'!C34-'Equity Price Data'!C33)/'Equity Price Data'!C33)</f>
        <v>0.04924683283</v>
      </c>
      <c r="D32" s="4">
        <f>D31+(('Equity Price Data'!D34-'Equity Price Data'!D33)/'Equity Price Data'!D33)</f>
        <v>0.08685096819</v>
      </c>
      <c r="E32" s="4">
        <f>E31+(('Equity Price Data'!E34-'Equity Price Data'!E33)/'Equity Price Data'!E33)</f>
        <v>-0.006267474055</v>
      </c>
      <c r="F32" s="4">
        <f>F31+(('Equity Price Data'!F34-'Equity Price Data'!F33)/'Equity Price Data'!F33)</f>
        <v>-0.01033722068</v>
      </c>
    </row>
    <row r="33">
      <c r="A33" s="43">
        <f>'Equity Price Data'!A35</f>
        <v>45471.66667</v>
      </c>
      <c r="B33" s="4">
        <f>B32+(('Equity Price Data'!B35-'Equity Price Data'!B34)/'Equity Price Data'!B34)</f>
        <v>0.02233327401</v>
      </c>
      <c r="C33" s="4">
        <f>C32+(('Equity Price Data'!C35-'Equity Price Data'!C34)/'Equity Price Data'!C34)</f>
        <v>0.0451632051</v>
      </c>
      <c r="D33" s="4">
        <f>D32+(('Equity Price Data'!D35-'Equity Price Data'!D34)/'Equity Price Data'!D34)</f>
        <v>0.0797910959</v>
      </c>
      <c r="E33" s="4">
        <f>E32+(('Equity Price Data'!E35-'Equity Price Data'!E34)/'Equity Price Data'!E34)</f>
        <v>-0.007421593419</v>
      </c>
      <c r="F33" s="4">
        <f>F32+(('Equity Price Data'!F35-'Equity Price Data'!F34)/'Equity Price Data'!F34)</f>
        <v>-0.00575015473</v>
      </c>
    </row>
    <row r="34">
      <c r="A34" s="43">
        <f>'Equity Price Data'!A36</f>
        <v>45474.66667</v>
      </c>
      <c r="B34" s="4">
        <f>B33+(('Equity Price Data'!B36-'Equity Price Data'!B35)/'Equity Price Data'!B35)</f>
        <v>0.02235933907</v>
      </c>
      <c r="C34" s="4">
        <f>C33+(('Equity Price Data'!C36-'Equity Price Data'!C35)/'Equity Price Data'!C35)</f>
        <v>0.04783879406</v>
      </c>
      <c r="D34" s="4">
        <f>D33+(('Equity Price Data'!D36-'Equity Price Data'!D35)/'Equity Price Data'!D35)</f>
        <v>0.0880639944</v>
      </c>
      <c r="E34" s="4">
        <f>E33+(('Equity Price Data'!E36-'Equity Price Data'!E35)/'Equity Price Data'!E35)</f>
        <v>-0.006126565905</v>
      </c>
      <c r="F34" s="4">
        <f>F33+(('Equity Price Data'!F36-'Equity Price Data'!F35)/'Equity Price Data'!F35)</f>
        <v>-0.01435497284</v>
      </c>
    </row>
    <row r="35">
      <c r="A35" s="43">
        <f>'Equity Price Data'!A37</f>
        <v>45475.66667</v>
      </c>
      <c r="B35" s="4">
        <f>B34+(('Equity Price Data'!B37-'Equity Price Data'!B36)/'Equity Price Data'!B36)</f>
        <v>0.02512547477</v>
      </c>
      <c r="C35" s="4">
        <f>C34+(('Equity Price Data'!C37-'Equity Price Data'!C36)/'Equity Price Data'!C36)</f>
        <v>0.05403412601</v>
      </c>
      <c r="D35" s="4">
        <f>D34+(('Equity Price Data'!D37-'Equity Price Data'!D36)/'Equity Price Data'!D36)</f>
        <v>0.09642338207</v>
      </c>
      <c r="E35" s="4">
        <f>E34+(('Equity Price Data'!E37-'Equity Price Data'!E36)/'Equity Price Data'!E36)</f>
        <v>-0.001982272077</v>
      </c>
      <c r="F35" s="4">
        <f>F34+(('Equity Price Data'!F37-'Equity Price Data'!F36)/'Equity Price Data'!F36)</f>
        <v>-0.01248311621</v>
      </c>
    </row>
    <row r="36">
      <c r="A36" s="43">
        <f>'Equity Price Data'!A38</f>
        <v>45476.54514</v>
      </c>
      <c r="B36" s="4">
        <f>B35+(('Equity Price Data'!B38-'Equity Price Data'!B37)/'Equity Price Data'!B37)</f>
        <v>0.02738057709</v>
      </c>
      <c r="C36" s="4">
        <f>C35+(('Equity Price Data'!C38-'Equity Price Data'!C37)/'Equity Price Data'!C37)</f>
        <v>0.05911852411</v>
      </c>
      <c r="D36" s="4">
        <f>D35+(('Equity Price Data'!D38-'Equity Price Data'!D37)/'Equity Price Data'!D37)</f>
        <v>0.1052725764</v>
      </c>
      <c r="E36" s="4">
        <f>E35+(('Equity Price Data'!E38-'Equity Price Data'!E37)/'Equity Price Data'!E37)</f>
        <v>-0.002588650876</v>
      </c>
      <c r="F36" s="4">
        <f>F35+(('Equity Price Data'!F38-'Equity Price Data'!F37)/'Equity Price Data'!F37)</f>
        <v>-0.01113101406</v>
      </c>
    </row>
    <row r="37">
      <c r="A37" s="43">
        <f>'Equity Price Data'!A39</f>
        <v>45478.66667</v>
      </c>
      <c r="B37" s="4">
        <f>B36+(('Equity Price Data'!B39-'Equity Price Data'!B38)/'Equity Price Data'!B38)</f>
        <v>0.02814644974</v>
      </c>
      <c r="C37" s="4">
        <f>C36+(('Equity Price Data'!C39-'Equity Price Data'!C38)/'Equity Price Data'!C38)</f>
        <v>0.06456730342</v>
      </c>
      <c r="D37" s="4">
        <f>D36+(('Equity Price Data'!D39-'Equity Price Data'!D38)/'Equity Price Data'!D38)</f>
        <v>0.1143146529</v>
      </c>
      <c r="E37" s="4">
        <f>E36+(('Equity Price Data'!E39-'Equity Price Data'!E38)/'Equity Price Data'!E38)</f>
        <v>-0.0008620303411</v>
      </c>
      <c r="F37" s="4">
        <f>F36+(('Equity Price Data'!F39-'Equity Price Data'!F38)/'Equity Price Data'!F38)</f>
        <v>-0.01598709914</v>
      </c>
    </row>
    <row r="38">
      <c r="A38" s="43">
        <f>'Equity Price Data'!A40</f>
        <v>45481.66667</v>
      </c>
      <c r="B38" s="4">
        <f>B37+(('Equity Price Data'!B40-'Equity Price Data'!B39)/'Equity Price Data'!B39)</f>
        <v>0.02915065308</v>
      </c>
      <c r="C38" s="4">
        <f>C37+(('Equity Price Data'!C40-'Equity Price Data'!C39)/'Equity Price Data'!C39)</f>
        <v>0.06558397431</v>
      </c>
      <c r="D38" s="4">
        <f>D37+(('Equity Price Data'!D40-'Equity Price Data'!D39)/'Equity Price Data'!D39)</f>
        <v>0.1170924367</v>
      </c>
      <c r="E38" s="4">
        <f>E37+(('Equity Price Data'!E40-'Equity Price Data'!E39)/'Equity Price Data'!E39)</f>
        <v>-0.001651346234</v>
      </c>
      <c r="F38" s="4">
        <f>F37+(('Equity Price Data'!F40-'Equity Price Data'!F39)/'Equity Price Data'!F39)</f>
        <v>-0.01009583587</v>
      </c>
    </row>
    <row r="39">
      <c r="A39" s="43">
        <f>'Equity Price Data'!A41</f>
        <v>45482.66667</v>
      </c>
      <c r="B39" s="4">
        <f>B38+(('Equity Price Data'!B41-'Equity Price Data'!B40)/'Equity Price Data'!B40)</f>
        <v>0.02912214657</v>
      </c>
      <c r="C39" s="4">
        <f>C38+(('Equity Price Data'!C41-'Equity Price Data'!C40)/'Equity Price Data'!C40)</f>
        <v>0.06632506728</v>
      </c>
      <c r="D39" s="4">
        <f>D38+(('Equity Price Data'!D41-'Equity Price Data'!D40)/'Equity Price Data'!D40)</f>
        <v>0.1184807415</v>
      </c>
      <c r="E39" s="4">
        <f>E38+(('Equity Price Data'!E41-'Equity Price Data'!E40)/'Equity Price Data'!E40)</f>
        <v>-0.002993836562</v>
      </c>
      <c r="F39" s="4">
        <f>F38+(('Equity Price Data'!F41-'Equity Price Data'!F40)/'Equity Price Data'!F40)</f>
        <v>-0.01460858193</v>
      </c>
    </row>
    <row r="40">
      <c r="A40" s="43">
        <f>'Equity Price Data'!A42</f>
        <v>45483.66667</v>
      </c>
      <c r="B40" s="4">
        <f>B39+(('Equity Price Data'!B42-'Equity Price Data'!B41)/'Equity Price Data'!B41)</f>
        <v>0.0358918645</v>
      </c>
      <c r="C40" s="4">
        <f>C39+(('Equity Price Data'!C42-'Equity Price Data'!C41)/'Equity Price Data'!C41)</f>
        <v>0.07653310102</v>
      </c>
      <c r="D40" s="4">
        <f>D39+(('Equity Price Data'!D42-'Equity Price Data'!D41)/'Equity Price Data'!D41)</f>
        <v>0.1303184194</v>
      </c>
      <c r="E40" s="4">
        <f>E39+(('Equity Price Data'!E42-'Equity Price Data'!E41)/'Equity Price Data'!E41)</f>
        <v>0.007934350546</v>
      </c>
      <c r="F40" s="4">
        <f>F39+(('Equity Price Data'!F42-'Equity Price Data'!F41)/'Equity Price Data'!F41)</f>
        <v>-0.00363034623</v>
      </c>
    </row>
    <row r="41">
      <c r="A41" s="43">
        <f>'Equity Price Data'!A43</f>
        <v>45484.66667</v>
      </c>
      <c r="B41" s="4">
        <f>B40+(('Equity Price Data'!B43-'Equity Price Data'!B42)/'Equity Price Data'!B42)</f>
        <v>0.03685507168</v>
      </c>
      <c r="C41" s="4">
        <f>C40+(('Equity Price Data'!C43-'Equity Price Data'!C42)/'Equity Price Data'!C42)</f>
        <v>0.06777009274</v>
      </c>
      <c r="D41" s="4">
        <f>D40+(('Equity Price Data'!D43-'Equity Price Data'!D42)/'Equity Price Data'!D42)</f>
        <v>0.1107961791</v>
      </c>
      <c r="E41" s="4">
        <f>E40+(('Equity Price Data'!E43-'Equity Price Data'!E42)/'Equity Price Data'!E42)</f>
        <v>0.008749780834</v>
      </c>
      <c r="F41" s="4">
        <f>F40+(('Equity Price Data'!F43-'Equity Price Data'!F42)/'Equity Price Data'!F42)</f>
        <v>0.03209037998</v>
      </c>
    </row>
    <row r="42">
      <c r="A42" s="43">
        <f>'Equity Price Data'!A44</f>
        <v>45485.66667</v>
      </c>
      <c r="B42" s="4">
        <f>B41+(('Equity Price Data'!B44-'Equity Price Data'!B43)/'Equity Price Data'!B43)</f>
        <v>0.04266975627</v>
      </c>
      <c r="C42" s="4">
        <f>C41+(('Equity Price Data'!C44-'Equity Price Data'!C43)/'Equity Price Data'!C43)</f>
        <v>0.07328710936</v>
      </c>
      <c r="D42" s="4">
        <f>D41+(('Equity Price Data'!D44-'Equity Price Data'!D43)/'Equity Price Data'!D43)</f>
        <v>0.117088222</v>
      </c>
      <c r="E42" s="4">
        <f>E41+(('Equity Price Data'!E44-'Equity Price Data'!E43)/'Equity Price Data'!E43)</f>
        <v>0.01496680439</v>
      </c>
      <c r="F42" s="4">
        <f>F41+(('Equity Price Data'!F44-'Equity Price Data'!F43)/'Equity Price Data'!F43)</f>
        <v>0.04302193891</v>
      </c>
    </row>
    <row r="43">
      <c r="A43" s="43">
        <f>'Equity Price Data'!A45</f>
        <v>45488.66667</v>
      </c>
      <c r="B43" s="4">
        <f>B42+(('Equity Price Data'!B45-'Equity Price Data'!B44)/'Equity Price Data'!B44)</f>
        <v>0.04560734166</v>
      </c>
      <c r="C43" s="4">
        <f>C42+(('Equity Price Data'!C45-'Equity Price Data'!C44)/'Equity Price Data'!C44)</f>
        <v>0.07611329117</v>
      </c>
      <c r="D43" s="4">
        <f>D42+(('Equity Price Data'!D45-'Equity Price Data'!D44)/'Equity Price Data'!D44)</f>
        <v>0.1211168222</v>
      </c>
      <c r="E43" s="4">
        <f>E42+(('Equity Price Data'!E45-'Equity Price Data'!E44)/'Equity Price Data'!E44)</f>
        <v>0.0202371858</v>
      </c>
      <c r="F43" s="4">
        <f>F42+(('Equity Price Data'!F45-'Equity Price Data'!F44)/'Equity Price Data'!F44)</f>
        <v>0.06105970884</v>
      </c>
    </row>
    <row r="44">
      <c r="A44" s="43">
        <f>'Equity Price Data'!A46</f>
        <v>45489.66667</v>
      </c>
      <c r="B44" s="4">
        <f>B43+(('Equity Price Data'!B46-'Equity Price Data'!B45)/'Equity Price Data'!B45)</f>
        <v>0.05872677218</v>
      </c>
      <c r="C44" s="4">
        <f>C43+(('Equity Price Data'!C46-'Equity Price Data'!C45)/'Equity Price Data'!C45)</f>
        <v>0.08250267038</v>
      </c>
      <c r="D44" s="4">
        <f>D43+(('Equity Price Data'!D46-'Equity Price Data'!D45)/'Equity Price Data'!D45)</f>
        <v>0.1231073412</v>
      </c>
      <c r="E44" s="4">
        <f>E43+(('Equity Price Data'!E46-'Equity Price Data'!E45)/'Equity Price Data'!E45)</f>
        <v>0.03870841757</v>
      </c>
      <c r="F44" s="4">
        <f>F43+(('Equity Price Data'!F46-'Equity Price Data'!F45)/'Equity Price Data'!F45)</f>
        <v>0.09610739931</v>
      </c>
    </row>
    <row r="45">
      <c r="A45" s="43">
        <f>'Equity Price Data'!A47</f>
        <v>45490.66667</v>
      </c>
      <c r="B45" s="4">
        <f>B44+(('Equity Price Data'!B47-'Equity Price Data'!B46)/'Equity Price Data'!B46)</f>
        <v>0.05431484488</v>
      </c>
      <c r="C45" s="4">
        <f>C44+(('Equity Price Data'!C47-'Equity Price Data'!C46)/'Equity Price Data'!C46)</f>
        <v>0.06857515767</v>
      </c>
      <c r="D45" s="4">
        <f>D44+(('Equity Price Data'!D47-'Equity Price Data'!D46)/'Equity Price Data'!D46)</f>
        <v>0.09542347993</v>
      </c>
      <c r="E45" s="4">
        <f>E44+(('Equity Price Data'!E47-'Equity Price Data'!E46)/'Equity Price Data'!E46)</f>
        <v>0.04465648479</v>
      </c>
      <c r="F45" s="4">
        <f>F44+(('Equity Price Data'!F47-'Equity Price Data'!F46)/'Equity Price Data'!F46)</f>
        <v>0.08550514721</v>
      </c>
    </row>
    <row r="46">
      <c r="A46" s="43">
        <f>'Equity Price Data'!A48</f>
        <v>45491.66667</v>
      </c>
      <c r="B46" s="4">
        <f>B45+(('Equity Price Data'!B48-'Equity Price Data'!B47)/'Equity Price Data'!B47)</f>
        <v>0.04600435386</v>
      </c>
      <c r="C46" s="4">
        <f>C45+(('Equity Price Data'!C48-'Equity Price Data'!C47)/'Equity Price Data'!C47)</f>
        <v>0.06075878516</v>
      </c>
      <c r="D46" s="4">
        <f>D45+(('Equity Price Data'!D48-'Equity Price Data'!D47)/'Equity Price Data'!D47)</f>
        <v>0.0884383997</v>
      </c>
      <c r="E46" s="4">
        <f>E45+(('Equity Price Data'!E48-'Equity Price Data'!E47)/'Equity Price Data'!E47)</f>
        <v>0.0317175323</v>
      </c>
      <c r="F46" s="4">
        <f>F45+(('Equity Price Data'!F48-'Equity Price Data'!F47)/'Equity Price Data'!F47)</f>
        <v>0.06702921102</v>
      </c>
    </row>
    <row r="47">
      <c r="A47" s="43">
        <f>'Equity Price Data'!A49</f>
        <v>45492.66667</v>
      </c>
      <c r="B47" s="4">
        <f>B46+(('Equity Price Data'!B49-'Equity Price Data'!B48)/'Equity Price Data'!B48)</f>
        <v>0.03918504806</v>
      </c>
      <c r="C47" s="4">
        <f>C46+(('Equity Price Data'!C49-'Equity Price Data'!C48)/'Equity Price Data'!C48)</f>
        <v>0.05361849165</v>
      </c>
      <c r="D47" s="4">
        <f>D46+(('Equity Price Data'!D49-'Equity Price Data'!D48)/'Equity Price Data'!D48)</f>
        <v>0.08036508405</v>
      </c>
      <c r="E47" s="4">
        <f>E46+(('Equity Price Data'!E49-'Equity Price Data'!E48)/'Equity Price Data'!E48)</f>
        <v>0.02243461543</v>
      </c>
      <c r="F47" s="4">
        <f>F46+(('Equity Price Data'!F49-'Equity Price Data'!F48)/'Equity Price Data'!F48)</f>
        <v>0.06068791847</v>
      </c>
    </row>
    <row r="48">
      <c r="A48" s="43">
        <f>'Equity Price Data'!A50</f>
        <v>45495.66667</v>
      </c>
      <c r="B48" s="4">
        <f>B47+(('Equity Price Data'!B50-'Equity Price Data'!B49)/'Equity Price Data'!B49)</f>
        <v>0.04490084551</v>
      </c>
      <c r="C48" s="4">
        <f>C47+(('Equity Price Data'!C50-'Equity Price Data'!C49)/'Equity Price Data'!C49)</f>
        <v>0.06441049892</v>
      </c>
      <c r="D48" s="4">
        <f>D47+(('Equity Price Data'!D50-'Equity Price Data'!D49)/'Equity Price Data'!D49)</f>
        <v>0.09619579144</v>
      </c>
      <c r="E48" s="4">
        <f>E47+(('Equity Price Data'!E50-'Equity Price Data'!E49)/'Equity Price Data'!E49)</f>
        <v>0.02560954326</v>
      </c>
      <c r="F48" s="4">
        <f>F47+(('Equity Price Data'!F50-'Equity Price Data'!F49)/'Equity Price Data'!F49)</f>
        <v>0.07730613442</v>
      </c>
    </row>
    <row r="49">
      <c r="A49" s="43">
        <f>'Equity Price Data'!A51</f>
        <v>45496.66667</v>
      </c>
      <c r="B49" s="4">
        <f>B48+(('Equity Price Data'!B51-'Equity Price Data'!B50)/'Equity Price Data'!B50)</f>
        <v>0.04426659794</v>
      </c>
      <c r="C49" s="4">
        <f>C48+(('Equity Price Data'!C51-'Equity Price Data'!C50)/'Equity Price Data'!C50)</f>
        <v>0.06285238224</v>
      </c>
      <c r="D49" s="4">
        <f>D48+(('Equity Price Data'!D51-'Equity Price Data'!D50)/'Equity Price Data'!D50)</f>
        <v>0.09562825234</v>
      </c>
      <c r="E49" s="4">
        <f>E48+(('Equity Price Data'!E51-'Equity Price Data'!E50)/'Equity Price Data'!E50)</f>
        <v>0.02419053112</v>
      </c>
      <c r="F49" s="4">
        <f>F48+(('Equity Price Data'!F51-'Equity Price Data'!F50)/'Equity Price Data'!F50)</f>
        <v>0.08749234116</v>
      </c>
    </row>
    <row r="50">
      <c r="A50" s="43">
        <f>'Equity Price Data'!A52</f>
        <v>45497.66667</v>
      </c>
      <c r="B50" s="4">
        <f>B49+(('Equity Price Data'!B52-'Equity Price Data'!B51)/'Equity Price Data'!B51)</f>
        <v>0.03346201364</v>
      </c>
      <c r="C50" s="4">
        <f>C49+(('Equity Price Data'!C52-'Equity Price Data'!C51)/'Equity Price Data'!C51)</f>
        <v>0.03970335079</v>
      </c>
      <c r="D50" s="4">
        <f>D49+(('Equity Price Data'!D52-'Equity Price Data'!D51)/'Equity Price Data'!D51)</f>
        <v>0.05923733924</v>
      </c>
      <c r="E50" s="4">
        <f>E49+(('Equity Price Data'!E52-'Equity Price Data'!E51)/'Equity Price Data'!E51)</f>
        <v>0.01169687743</v>
      </c>
      <c r="F50" s="4">
        <f>F49+(('Equity Price Data'!F52-'Equity Price Data'!F51)/'Equity Price Data'!F51)</f>
        <v>0.0661395838</v>
      </c>
    </row>
    <row r="51">
      <c r="A51" s="43">
        <f>'Equity Price Data'!A53</f>
        <v>45498.66667</v>
      </c>
      <c r="B51" s="4">
        <f>B50+(('Equity Price Data'!B53-'Equity Price Data'!B52)/'Equity Price Data'!B52)</f>
        <v>0.03197137834</v>
      </c>
      <c r="C51" s="4">
        <f>C50+(('Equity Price Data'!C53-'Equity Price Data'!C52)/'Equity Price Data'!C52)</f>
        <v>0.03456066949</v>
      </c>
      <c r="D51" s="4">
        <f>D50+(('Equity Price Data'!D53-'Equity Price Data'!D52)/'Equity Price Data'!D52)</f>
        <v>0.04997161435</v>
      </c>
      <c r="E51" s="4">
        <f>E50+(('Equity Price Data'!E53-'Equity Price Data'!E52)/'Equity Price Data'!E52)</f>
        <v>0.01373432072</v>
      </c>
      <c r="F51" s="4">
        <f>F50+(('Equity Price Data'!F53-'Equity Price Data'!F52)/'Equity Price Data'!F52)</f>
        <v>0.07871605155</v>
      </c>
    </row>
    <row r="52">
      <c r="A52" s="43">
        <f>'Equity Price Data'!A54</f>
        <v>45499.66667</v>
      </c>
      <c r="B52" s="4">
        <f>B51+(('Equity Price Data'!B54-'Equity Price Data'!B53)/'Equity Price Data'!B53)</f>
        <v>0.03850681884</v>
      </c>
      <c r="C52" s="4">
        <f>C51+(('Equity Price Data'!C54-'Equity Price Data'!C53)/'Equity Price Data'!C53)</f>
        <v>0.04565116033</v>
      </c>
      <c r="D52" s="4">
        <f>D51+(('Equity Price Data'!D54-'Equity Price Data'!D53)/'Equity Price Data'!D53)</f>
        <v>0.06022437135</v>
      </c>
      <c r="E52" s="4">
        <f>E51+(('Equity Price Data'!E54-'Equity Price Data'!E53)/'Equity Price Data'!E53)</f>
        <v>0.03011766498</v>
      </c>
      <c r="F52" s="4">
        <f>F51+(('Equity Price Data'!F54-'Equity Price Data'!F53)/'Equity Price Data'!F53)</f>
        <v>0.09540086203</v>
      </c>
    </row>
    <row r="53">
      <c r="A53" s="43">
        <f>'Equity Price Data'!A55</f>
        <v>45502.66667</v>
      </c>
      <c r="B53" s="4">
        <f>B52+(('Equity Price Data'!B55-'Equity Price Data'!B54)/'Equity Price Data'!B54)</f>
        <v>0.03857788134</v>
      </c>
      <c r="C53" s="4">
        <f>C52+(('Equity Price Data'!C55-'Equity Price Data'!C54)/'Equity Price Data'!C54)</f>
        <v>0.04646448121</v>
      </c>
      <c r="D53" s="4">
        <f>D52+(('Equity Price Data'!D55-'Equity Price Data'!D54)/'Equity Price Data'!D54)</f>
        <v>0.06093413544</v>
      </c>
      <c r="E53" s="4">
        <f>E52+(('Equity Price Data'!E55-'Equity Price Data'!E54)/'Equity Price Data'!E54)</f>
        <v>0.02890035029</v>
      </c>
      <c r="F53" s="4">
        <f>F52+(('Equity Price Data'!F55-'Equity Price Data'!F54)/'Equity Price Data'!F54)</f>
        <v>0.08445429843</v>
      </c>
    </row>
    <row r="54">
      <c r="A54" s="43">
        <f>'Equity Price Data'!A56</f>
        <v>45503.66667</v>
      </c>
      <c r="B54" s="4">
        <f>B53+(('Equity Price Data'!B56-'Equity Price Data'!B55)/'Equity Price Data'!B55)</f>
        <v>0.03991791094</v>
      </c>
      <c r="C54" s="4">
        <f>C53+(('Equity Price Data'!C56-'Equity Price Data'!C55)/'Equity Price Data'!C55)</f>
        <v>0.04150432717</v>
      </c>
      <c r="D54" s="4">
        <f>D53+(('Equity Price Data'!D56-'Equity Price Data'!D55)/'Equity Price Data'!D55)</f>
        <v>0.0481087218</v>
      </c>
      <c r="E54" s="4">
        <f>E53+(('Equity Price Data'!E56-'Equity Price Data'!E55)/'Equity Price Data'!E55)</f>
        <v>0.03391762585</v>
      </c>
      <c r="F54" s="4">
        <f>F53+(('Equity Price Data'!F56-'Equity Price Data'!F55)/'Equity Price Data'!F55)</f>
        <v>0.08794818971</v>
      </c>
    </row>
    <row r="55">
      <c r="A55" s="43">
        <f>'Equity Price Data'!A57</f>
        <v>45504.66667</v>
      </c>
      <c r="B55" s="4">
        <f>B54+(('Equity Price Data'!B57-'Equity Price Data'!B56)/'Equity Price Data'!B56)</f>
        <v>0.05130615554</v>
      </c>
      <c r="C55" s="4">
        <f>C54+(('Equity Price Data'!C57-'Equity Price Data'!C56)/'Equity Price Data'!C56)</f>
        <v>0.05729775081</v>
      </c>
      <c r="D55" s="4">
        <f>D54+(('Equity Price Data'!D57-'Equity Price Data'!D56)/'Equity Price Data'!D56)</f>
        <v>0.07446720605</v>
      </c>
      <c r="E55" s="4">
        <f>E54+(('Equity Price Data'!E57-'Equity Price Data'!E56)/'Equity Price Data'!E56)</f>
        <v>0.03635876161</v>
      </c>
      <c r="F55" s="4">
        <f>F54+(('Equity Price Data'!F57-'Equity Price Data'!F56)/'Equity Price Data'!F56)</f>
        <v>0.0930036031</v>
      </c>
    </row>
    <row r="56">
      <c r="A56" s="43">
        <f>'Equity Price Data'!A58</f>
        <v>45505.66667</v>
      </c>
      <c r="B56" s="4">
        <f>B55+(('Equity Price Data'!B58-'Equity Price Data'!B57)/'Equity Price Data'!B57)</f>
        <v>0.03980093432</v>
      </c>
      <c r="C56" s="4">
        <f>C55+(('Equity Price Data'!C58-'Equity Price Data'!C57)/'Equity Price Data'!C57)</f>
        <v>0.0436041811</v>
      </c>
      <c r="D56" s="4">
        <f>D55+(('Equity Price Data'!D58-'Equity Price Data'!D57)/'Equity Price Data'!D57)</f>
        <v>0.05144085288</v>
      </c>
      <c r="E56" s="4">
        <f>E55+(('Equity Price Data'!E58-'Equity Price Data'!E57)/'Equity Price Data'!E57)</f>
        <v>0.02424352658</v>
      </c>
      <c r="F56" s="4">
        <f>F55+(('Equity Price Data'!F58-'Equity Price Data'!F57)/'Equity Price Data'!F57)</f>
        <v>0.0626994975</v>
      </c>
    </row>
    <row r="57">
      <c r="A57" s="43">
        <f>'Equity Price Data'!A59</f>
        <v>45506.66667</v>
      </c>
      <c r="B57" s="4">
        <f>B56+(('Equity Price Data'!B59-'Equity Price Data'!B58)/'Equity Price Data'!B58)</f>
        <v>0.02554984592</v>
      </c>
      <c r="C57" s="4">
        <f>C56+(('Equity Price Data'!C59-'Equity Price Data'!C58)/'Equity Price Data'!C58)</f>
        <v>0.02522234115</v>
      </c>
      <c r="D57" s="4">
        <f>D56+(('Equity Price Data'!D59-'Equity Price Data'!D58)/'Equity Price Data'!D58)</f>
        <v>0.02713084046</v>
      </c>
      <c r="E57" s="4">
        <f>E56+(('Equity Price Data'!E59-'Equity Price Data'!E58)/'Equity Price Data'!E58)</f>
        <v>0.009107449106</v>
      </c>
      <c r="F57" s="4">
        <f>F56+(('Equity Price Data'!F59-'Equity Price Data'!F58)/'Equity Price Data'!F58)</f>
        <v>0.02754653523</v>
      </c>
    </row>
    <row r="58">
      <c r="A58" s="43">
        <f>'Equity Price Data'!A60</f>
        <v>45509.66667</v>
      </c>
      <c r="B58" s="4">
        <f>B57+(('Equity Price Data'!B60-'Equity Price Data'!B59)/'Equity Price Data'!B59)</f>
        <v>0.001597811689</v>
      </c>
      <c r="C58" s="4">
        <f>C57+(('Equity Price Data'!C60-'Equity Price Data'!C59)/'Equity Price Data'!C59)</f>
        <v>-0.004746461216</v>
      </c>
      <c r="D58" s="4">
        <f>D57+(('Equity Price Data'!D60-'Equity Price Data'!D59)/'Equity Price Data'!D59)</f>
        <v>-0.007208364693</v>
      </c>
      <c r="E58" s="4">
        <f>E57+(('Equity Price Data'!E60-'Equity Price Data'!E59)/'Equity Price Data'!E59)</f>
        <v>-0.01691321764</v>
      </c>
      <c r="F58" s="4">
        <f>F57+(('Equity Price Data'!F60-'Equity Price Data'!F59)/'Equity Price Data'!F59)</f>
        <v>-0.005710785886</v>
      </c>
    </row>
    <row r="59">
      <c r="A59" s="43">
        <f>'Equity Price Data'!A61</f>
        <v>45510.66667</v>
      </c>
      <c r="B59" s="4">
        <f>B58+(('Equity Price Data'!B61-'Equity Price Data'!B60)/'Equity Price Data'!B60)</f>
        <v>0.01163965517</v>
      </c>
      <c r="C59" s="4">
        <f>C58+(('Equity Price Data'!C61-'Equity Price Data'!C60)/'Equity Price Data'!C60)</f>
        <v>0.005607681309</v>
      </c>
      <c r="D59" s="4">
        <f>D58+(('Equity Price Data'!D61-'Equity Price Data'!D60)/'Equity Price Data'!D60)</f>
        <v>0.003086646196</v>
      </c>
      <c r="E59" s="4">
        <f>E58+(('Equity Price Data'!E61-'Equity Price Data'!E60)/'Equity Price Data'!E60)</f>
        <v>-0.009306883605</v>
      </c>
      <c r="F59" s="4">
        <f>F58+(('Equity Price Data'!F61-'Equity Price Data'!F60)/'Equity Price Data'!F60)</f>
        <v>0.00661782001</v>
      </c>
    </row>
    <row r="60">
      <c r="A60" s="43">
        <f>'Equity Price Data'!A62</f>
        <v>45511.66667</v>
      </c>
      <c r="B60" s="4">
        <f>B59+(('Equity Price Data'!B62-'Equity Price Data'!B61)/'Equity Price Data'!B61)</f>
        <v>0.00536795076</v>
      </c>
      <c r="C60" s="4">
        <f>C59+(('Equity Price Data'!C62-'Equity Price Data'!C61)/'Equity Price Data'!C61)</f>
        <v>-0.002127007233</v>
      </c>
      <c r="D60" s="4">
        <f>D59+(('Equity Price Data'!D62-'Equity Price Data'!D61)/'Equity Price Data'!D61)</f>
        <v>-0.007364350514</v>
      </c>
      <c r="E60" s="4">
        <f>E59+(('Equity Price Data'!E62-'Equity Price Data'!E61)/'Equity Price Data'!E61)</f>
        <v>-0.01531262857</v>
      </c>
      <c r="F60" s="4">
        <f>F59+(('Equity Price Data'!F62-'Equity Price Data'!F61)/'Equity Price Data'!F61)</f>
        <v>-0.007522566562</v>
      </c>
    </row>
    <row r="61">
      <c r="A61" s="43">
        <f>'Equity Price Data'!A63</f>
        <v>45512.66667</v>
      </c>
      <c r="B61" s="4">
        <f>B60+(('Equity Price Data'!B63-'Equity Price Data'!B62)/'Equity Price Data'!B62)</f>
        <v>0.02455273495</v>
      </c>
      <c r="C61" s="4">
        <f>C60+(('Equity Price Data'!C63-'Equity Price Data'!C62)/'Equity Price Data'!C62)</f>
        <v>0.02091559302</v>
      </c>
      <c r="D61" s="4">
        <f>D60+(('Equity Price Data'!D63-'Equity Price Data'!D62)/'Equity Price Data'!D62)</f>
        <v>0.02129800105</v>
      </c>
      <c r="E61" s="4">
        <f>E60+(('Equity Price Data'!E63-'Equity Price Data'!E62)/'Equity Price Data'!E62)</f>
        <v>0.002308094049</v>
      </c>
      <c r="F61" s="4">
        <f>F60+(('Equity Price Data'!F63-'Equity Price Data'!F62)/'Equity Price Data'!F62)</f>
        <v>0.01670708196</v>
      </c>
    </row>
    <row r="62">
      <c r="A62" s="43">
        <f>'Equity Price Data'!A64</f>
        <v>45513.66667</v>
      </c>
      <c r="B62" s="4">
        <f>B61+(('Equity Price Data'!B64-'Equity Price Data'!B63)/'Equity Price Data'!B63)</f>
        <v>0.02696912764</v>
      </c>
      <c r="C62" s="4">
        <f>C61+(('Equity Price Data'!C64-'Equity Price Data'!C63)/'Equity Price Data'!C63)</f>
        <v>0.02558725156</v>
      </c>
      <c r="D62" s="4">
        <f>D61+(('Equity Price Data'!D64-'Equity Price Data'!D63)/'Equity Price Data'!D63)</f>
        <v>0.02641684244</v>
      </c>
      <c r="E62" s="4">
        <f>E61+(('Equity Price Data'!E64-'Equity Price Data'!E63)/'Equity Price Data'!E63)</f>
        <v>0.003602252287</v>
      </c>
      <c r="F62" s="4">
        <f>F61+(('Equity Price Data'!F64-'Equity Price Data'!F63)/'Equity Price Data'!F63)</f>
        <v>0.01502795779</v>
      </c>
    </row>
    <row r="63">
      <c r="A63" s="43">
        <f>'Equity Price Data'!A65</f>
        <v>45516.66667</v>
      </c>
      <c r="B63" s="4">
        <f>B62+(('Equity Price Data'!B65-'Equity Price Data'!B64)/'Equity Price Data'!B64)</f>
        <v>0.0272360297</v>
      </c>
      <c r="C63" s="4">
        <f>C62+(('Equity Price Data'!C65-'Equity Price Data'!C64)/'Equity Price Data'!C64)</f>
        <v>0.02563028919</v>
      </c>
      <c r="D63" s="4">
        <f>D62+(('Equity Price Data'!D65-'Equity Price Data'!D64)/'Equity Price Data'!D64)</f>
        <v>0.02852549382</v>
      </c>
      <c r="E63" s="4">
        <f>E62+(('Equity Price Data'!E65-'Equity Price Data'!E64)/'Equity Price Data'!E64)</f>
        <v>0.00004430918447</v>
      </c>
      <c r="F63" s="4">
        <f>F62+(('Equity Price Data'!F65-'Equity Price Data'!F64)/'Equity Price Data'!F64)</f>
        <v>0.005974269998</v>
      </c>
    </row>
    <row r="64">
      <c r="A64" s="43">
        <f>'Equity Price Data'!A66</f>
        <v>45517.66667</v>
      </c>
      <c r="B64" s="4">
        <f>B63+(('Equity Price Data'!B66-'Equity Price Data'!B65)/'Equity Price Data'!B65)</f>
        <v>0.03765855784</v>
      </c>
      <c r="C64" s="4">
        <f>C63+(('Equity Price Data'!C66-'Equity Price Data'!C65)/'Equity Price Data'!C65)</f>
        <v>0.04247786207</v>
      </c>
      <c r="D64" s="4">
        <f>D63+(('Equity Price Data'!D66-'Equity Price Data'!D65)/'Equity Price Data'!D65)</f>
        <v>0.05277967767</v>
      </c>
      <c r="E64" s="4">
        <f>E63+(('Equity Price Data'!E66-'Equity Price Data'!E65)/'Equity Price Data'!E65)</f>
        <v>0.01042695766</v>
      </c>
      <c r="F64" s="4">
        <f>F63+(('Equity Price Data'!F66-'Equity Price Data'!F65)/'Equity Price Data'!F65)</f>
        <v>0.02203087304</v>
      </c>
    </row>
    <row r="65">
      <c r="A65" s="43">
        <f>'Equity Price Data'!A67</f>
        <v>45518.66667</v>
      </c>
      <c r="B65" s="4">
        <f>B64+(('Equity Price Data'!B67-'Equity Price Data'!B66)/'Equity Price Data'!B66)</f>
        <v>0.04335242601</v>
      </c>
      <c r="C65" s="4">
        <f>C64+(('Equity Price Data'!C67-'Equity Price Data'!C66)/'Equity Price Data'!C66)</f>
        <v>0.04630163015</v>
      </c>
      <c r="D65" s="4">
        <f>D64+(('Equity Price Data'!D67-'Equity Price Data'!D66)/'Equity Price Data'!D66)</f>
        <v>0.05307000308</v>
      </c>
      <c r="E65" s="4">
        <f>E64+(('Equity Price Data'!E67-'Equity Price Data'!E66)/'Equity Price Data'!E66)</f>
        <v>0.01653147402</v>
      </c>
      <c r="F65" s="4">
        <f>F64+(('Equity Price Data'!F67-'Equity Price Data'!F66)/'Equity Price Data'!F66)</f>
        <v>0.0168427994</v>
      </c>
    </row>
    <row r="66">
      <c r="A66" s="43">
        <f>'Equity Price Data'!A68</f>
        <v>45519.66667</v>
      </c>
      <c r="B66" s="4">
        <f>B65+(('Equity Price Data'!B68-'Equity Price Data'!B67)/'Equity Price Data'!B67)</f>
        <v>0.05593761944</v>
      </c>
      <c r="C66" s="4">
        <f>C65+(('Equity Price Data'!C68-'Equity Price Data'!C67)/'Equity Price Data'!C67)</f>
        <v>0.06243483126</v>
      </c>
      <c r="D66" s="4">
        <f>D65+(('Equity Price Data'!D68-'Equity Price Data'!D67)/'Equity Price Data'!D67)</f>
        <v>0.07644633941</v>
      </c>
      <c r="E66" s="4">
        <f>E65+(('Equity Price Data'!E68-'Equity Price Data'!E67)/'Equity Price Data'!E67)</f>
        <v>0.03039531608</v>
      </c>
      <c r="F66" s="4">
        <f>F65+(('Equity Price Data'!F68-'Equity Price Data'!F67)/'Equity Price Data'!F67)</f>
        <v>0.04138317708</v>
      </c>
    </row>
    <row r="67">
      <c r="A67" s="43">
        <f>'Equity Price Data'!A69</f>
        <v>45520.66667</v>
      </c>
      <c r="B67" s="4">
        <f>B66+(('Equity Price Data'!B69-'Equity Price Data'!B68)/'Equity Price Data'!B68)</f>
        <v>0.05931700905</v>
      </c>
      <c r="C67" s="4">
        <f>C66+(('Equity Price Data'!C69-'Equity Price Data'!C68)/'Equity Price Data'!C68)</f>
        <v>0.06442464945</v>
      </c>
      <c r="D67" s="4">
        <f>D66+(('Equity Price Data'!D69-'Equity Price Data'!D68)/'Equity Price Data'!D68)</f>
        <v>0.07856177321</v>
      </c>
      <c r="E67" s="4">
        <f>E66+(('Equity Price Data'!E69-'Equity Price Data'!E68)/'Equity Price Data'!E68)</f>
        <v>0.03277925852</v>
      </c>
      <c r="F67" s="4">
        <f>F66+(('Equity Price Data'!F69-'Equity Price Data'!F68)/'Equity Price Data'!F68)</f>
        <v>0.04440358945</v>
      </c>
    </row>
    <row r="68">
      <c r="A68" s="43">
        <f>'Equity Price Data'!A70</f>
        <v>45523.66667</v>
      </c>
      <c r="B68" s="4">
        <f>B67+(('Equity Price Data'!B70-'Equity Price Data'!B69)/'Equity Price Data'!B69)</f>
        <v>0.06545292744</v>
      </c>
      <c r="C68" s="4">
        <f>C67+(('Equity Price Data'!C70-'Equity Price Data'!C69)/'Equity Price Data'!C69)</f>
        <v>0.07414693419</v>
      </c>
      <c r="D68" s="4">
        <f>D67+(('Equity Price Data'!D70-'Equity Price Data'!D69)/'Equity Price Data'!D69)</f>
        <v>0.09246002024</v>
      </c>
      <c r="E68" s="4">
        <f>E67+(('Equity Price Data'!E70-'Equity Price Data'!E69)/'Equity Price Data'!E69)</f>
        <v>0.03860246062</v>
      </c>
      <c r="F68" s="4">
        <f>F67+(('Equity Price Data'!F70-'Equity Price Data'!F69)/'Equity Price Data'!F69)</f>
        <v>0.05634614566</v>
      </c>
    </row>
    <row r="69">
      <c r="A69" s="43">
        <f>'Equity Price Data'!A71</f>
        <v>45524.66667</v>
      </c>
      <c r="B69" s="4">
        <f>B68+(('Equity Price Data'!B71-'Equity Price Data'!B70)/'Equity Price Data'!B70)</f>
        <v>0.06317712924</v>
      </c>
      <c r="C69" s="4">
        <f>C68+(('Equity Price Data'!C71-'Equity Price Data'!C70)/'Equity Price Data'!C70)</f>
        <v>0.07216235789</v>
      </c>
      <c r="D69" s="4">
        <f>D68+(('Equity Price Data'!D71-'Equity Price Data'!D70)/'Equity Price Data'!D70)</f>
        <v>0.08911321877</v>
      </c>
      <c r="E69" s="4">
        <f>E68+(('Equity Price Data'!E71-'Equity Price Data'!E70)/'Equity Price Data'!E70)</f>
        <v>0.03709719844</v>
      </c>
      <c r="F69" s="4">
        <f>F68+(('Equity Price Data'!F71-'Equity Price Data'!F70)/'Equity Price Data'!F70)</f>
        <v>0.04466909837</v>
      </c>
    </row>
    <row r="70">
      <c r="A70" s="43">
        <f>'Equity Price Data'!A72</f>
        <v>45525.66667</v>
      </c>
      <c r="B70" s="4">
        <f>B69+(('Equity Price Data'!B72-'Equity Price Data'!B71)/'Equity Price Data'!B71)</f>
        <v>0.06737695722</v>
      </c>
      <c r="C70" s="4">
        <f>C69+(('Equity Price Data'!C72-'Equity Price Data'!C71)/'Equity Price Data'!C71)</f>
        <v>0.0764020383</v>
      </c>
      <c r="D70" s="4">
        <f>D69+(('Equity Price Data'!D72-'Equity Price Data'!D71)/'Equity Price Data'!D71)</f>
        <v>0.09484091388</v>
      </c>
      <c r="E70" s="4">
        <f>E69+(('Equity Price Data'!E72-'Equity Price Data'!E71)/'Equity Price Data'!E71)</f>
        <v>0.03845681741</v>
      </c>
      <c r="F70" s="4">
        <f>F69+(('Equity Price Data'!F72-'Equity Price Data'!F71)/'Equity Price Data'!F71)</f>
        <v>0.05791255483</v>
      </c>
    </row>
    <row r="71">
      <c r="A71" s="43">
        <f>'Equity Price Data'!A73</f>
        <v>45526.66667</v>
      </c>
      <c r="B71" s="4">
        <f>B70+(('Equity Price Data'!B73-'Equity Price Data'!B72)/'Equity Price Data'!B72)</f>
        <v>0.06265803282</v>
      </c>
      <c r="C71" s="4">
        <f>C70+(('Equity Price Data'!C73-'Equity Price Data'!C72)/'Equity Price Data'!C72)</f>
        <v>0.06746922565</v>
      </c>
      <c r="D71" s="4">
        <f>D70+(('Equity Price Data'!D73-'Equity Price Data'!D72)/'Equity Price Data'!D72)</f>
        <v>0.07811898926</v>
      </c>
      <c r="E71" s="4">
        <f>E70+(('Equity Price Data'!E73-'Equity Price Data'!E72)/'Equity Price Data'!E72)</f>
        <v>0.03411081911</v>
      </c>
      <c r="F71" s="4">
        <f>F70+(('Equity Price Data'!F73-'Equity Price Data'!F72)/'Equity Price Data'!F72)</f>
        <v>0.04845416622</v>
      </c>
    </row>
    <row r="72">
      <c r="A72" s="43">
        <f>'Equity Price Data'!A74</f>
        <v>45527.66667</v>
      </c>
      <c r="B72" s="4">
        <f>B71+(('Equity Price Data'!B74-'Equity Price Data'!B73)/'Equity Price Data'!B73)</f>
        <v>0.07461654326</v>
      </c>
      <c r="C72" s="4">
        <f>C71+(('Equity Price Data'!C74-'Equity Price Data'!C73)/'Equity Price Data'!C73)</f>
        <v>0.07895264587</v>
      </c>
      <c r="D72" s="4">
        <f>D71+(('Equity Price Data'!D74-'Equity Price Data'!D73)/'Equity Price Data'!D73)</f>
        <v>0.09278695374</v>
      </c>
      <c r="E72" s="4">
        <f>E71+(('Equity Price Data'!E74-'Equity Price Data'!E73)/'Equity Price Data'!E73)</f>
        <v>0.0454659759</v>
      </c>
      <c r="F72" s="4">
        <f>F71+(('Equity Price Data'!F74-'Equity Price Data'!F73)/'Equity Price Data'!F73)</f>
        <v>0.08039325544</v>
      </c>
    </row>
    <row r="73">
      <c r="A73" s="43">
        <f>'Equity Price Data'!A75</f>
        <v>45530.66667</v>
      </c>
      <c r="B73" s="4">
        <f>B72+(('Equity Price Data'!B75-'Equity Price Data'!B74)/'Equity Price Data'!B74)</f>
        <v>0.07346687832</v>
      </c>
      <c r="C73" s="4">
        <f>C72+(('Equity Price Data'!C75-'Equity Price Data'!C74)/'Equity Price Data'!C74)</f>
        <v>0.07579892272</v>
      </c>
      <c r="D73" s="4">
        <f>D72+(('Equity Price Data'!D75-'Equity Price Data'!D74)/'Equity Price Data'!D74)</f>
        <v>0.08428366558</v>
      </c>
      <c r="E73" s="4">
        <f>E72+(('Equity Price Data'!E75-'Equity Price Data'!E74)/'Equity Price Data'!E74)</f>
        <v>0.04705528671</v>
      </c>
      <c r="F73" s="4">
        <f>F72+(('Equity Price Data'!F75-'Equity Price Data'!F74)/'Equity Price Data'!F74)</f>
        <v>0.08004169822</v>
      </c>
    </row>
    <row r="74">
      <c r="A74" s="43">
        <f>'Equity Price Data'!A76</f>
        <v>45531.66667</v>
      </c>
      <c r="B74" s="4">
        <f>B73+(('Equity Price Data'!B76-'Equity Price Data'!B75)/'Equity Price Data'!B75)</f>
        <v>0.07645874408</v>
      </c>
      <c r="C74" s="4">
        <f>C73+(('Equity Price Data'!C76-'Equity Price Data'!C75)/'Equity Price Data'!C75)</f>
        <v>0.07739412571</v>
      </c>
      <c r="D74" s="4">
        <f>D73+(('Equity Price Data'!D76-'Equity Price Data'!D75)/'Equity Price Data'!D75)</f>
        <v>0.08592252246</v>
      </c>
      <c r="E74" s="4">
        <f>E73+(('Equity Price Data'!E76-'Equity Price Data'!E75)/'Equity Price Data'!E75)</f>
        <v>0.04729728172</v>
      </c>
      <c r="F74" s="4">
        <f>F73+(('Equity Price Data'!F76-'Equity Price Data'!F75)/'Equity Price Data'!F75)</f>
        <v>0.0733146747</v>
      </c>
    </row>
    <row r="75">
      <c r="A75" s="43">
        <f>'Equity Price Data'!A77</f>
        <v>45532.66667</v>
      </c>
      <c r="B75" s="4">
        <f>B74+(('Equity Price Data'!B77-'Equity Price Data'!B76)/'Equity Price Data'!B76)</f>
        <v>0.07172578459</v>
      </c>
      <c r="C75" s="4">
        <f>C74+(('Equity Price Data'!C77-'Equity Price Data'!C76)/'Equity Price Data'!C76)</f>
        <v>0.07141808675</v>
      </c>
      <c r="D75" s="4">
        <f>D74+(('Equity Price Data'!D77-'Equity Price Data'!D76)/'Equity Price Data'!D76)</f>
        <v>0.07472612621</v>
      </c>
      <c r="E75" s="4">
        <f>E74+(('Equity Price Data'!E77-'Equity Price Data'!E76)/'Equity Price Data'!E76)</f>
        <v>0.04344084362</v>
      </c>
      <c r="F75" s="4">
        <f>F74+(('Equity Price Data'!F77-'Equity Price Data'!F76)/'Equity Price Data'!F76)</f>
        <v>0.06679629068</v>
      </c>
    </row>
    <row r="76">
      <c r="A76" s="43">
        <f>'Equity Price Data'!A78</f>
        <v>45533.66667</v>
      </c>
      <c r="B76" s="4">
        <f>B75+(('Equity Price Data'!B78-'Equity Price Data'!B77)/'Equity Price Data'!B77)</f>
        <v>0.07058121439</v>
      </c>
      <c r="C76" s="4">
        <f>C75+(('Equity Price Data'!C78-'Equity Price Data'!C77)/'Equity Price Data'!C77)</f>
        <v>0.0713787461</v>
      </c>
      <c r="D76" s="4">
        <f>D75+(('Equity Price Data'!D78-'Equity Price Data'!D77)/'Equity Price Data'!D77)</f>
        <v>0.07247049097</v>
      </c>
      <c r="E76" s="4">
        <f>E75+(('Equity Price Data'!E78-'Equity Price Data'!E77)/'Equity Price Data'!E77)</f>
        <v>0.04936981857</v>
      </c>
      <c r="F76" s="4">
        <f>F75+(('Equity Price Data'!F78-'Equity Price Data'!F77)/'Equity Price Data'!F77)</f>
        <v>0.07334830472</v>
      </c>
    </row>
    <row r="77">
      <c r="A77" s="43">
        <f>'Equity Price Data'!A79</f>
        <v>45534.66667</v>
      </c>
      <c r="B77" s="4">
        <f>B76+(('Equity Price Data'!B79-'Equity Price Data'!B78)/'Equity Price Data'!B78)</f>
        <v>0.07739966057</v>
      </c>
      <c r="C77" s="4">
        <f>C76+(('Equity Price Data'!C79-'Equity Price Data'!C78)/'Equity Price Data'!C78)</f>
        <v>0.08147180828</v>
      </c>
      <c r="D77" s="4">
        <f>D76+(('Equity Price Data'!D79-'Equity Price Data'!D78)/'Equity Price Data'!D78)</f>
        <v>0.08372792185</v>
      </c>
      <c r="E77" s="4">
        <f>E76+(('Equity Price Data'!E79-'Equity Price Data'!E78)/'Equity Price Data'!E78)</f>
        <v>0.05488644429</v>
      </c>
      <c r="F77" s="4">
        <f>F76+(('Equity Price Data'!F79-'Equity Price Data'!F78)/'Equity Price Data'!F78)</f>
        <v>0.07999838779</v>
      </c>
    </row>
    <row r="78">
      <c r="A78" s="43">
        <f>'Equity Price Data'!A80</f>
        <v>45538.66667</v>
      </c>
      <c r="B78" s="4">
        <f>B77+(('Equity Price Data'!B80-'Equity Price Data'!B79)/'Equity Price Data'!B79)</f>
        <v>0.06105042867</v>
      </c>
      <c r="C78" s="4">
        <f>C77+(('Equity Price Data'!C80-'Equity Price Data'!C79)/'Equity Price Data'!C79)</f>
        <v>0.06032068584</v>
      </c>
      <c r="D78" s="4">
        <f>D77+(('Equity Price Data'!D80-'Equity Price Data'!D79)/'Equity Price Data'!D79)</f>
        <v>0.05113605186</v>
      </c>
      <c r="E78" s="4">
        <f>E77+(('Equity Price Data'!E80-'Equity Price Data'!E79)/'Equity Price Data'!E79)</f>
        <v>0.03982139137</v>
      </c>
      <c r="F78" s="4">
        <f>F77+(('Equity Price Data'!F80-'Equity Price Data'!F79)/'Equity Price Data'!F79)</f>
        <v>0.04914563056</v>
      </c>
    </row>
    <row r="79">
      <c r="A79" s="43">
        <f>'Equity Price Data'!A81</f>
        <v>45539.66667</v>
      </c>
      <c r="B79" s="4">
        <f>B78+(('Equity Price Data'!B81-'Equity Price Data'!B80)/'Equity Price Data'!B80)</f>
        <v>0.05454804476</v>
      </c>
      <c r="C79" s="4">
        <f>C78+(('Equity Price Data'!C81-'Equity Price Data'!C80)/'Equity Price Data'!C80)</f>
        <v>0.05871820579</v>
      </c>
      <c r="D79" s="4">
        <f>D78+(('Equity Price Data'!D81-'Equity Price Data'!D80)/'Equity Price Data'!D80)</f>
        <v>0.04810155784</v>
      </c>
      <c r="E79" s="4">
        <f>E78+(('Equity Price Data'!E81-'Equity Price Data'!E80)/'Equity Price Data'!E80)</f>
        <v>0.04075062568</v>
      </c>
      <c r="F79" s="4">
        <f>F78+(('Equity Price Data'!F81-'Equity Price Data'!F80)/'Equity Price Data'!F80)</f>
        <v>0.04728913445</v>
      </c>
    </row>
    <row r="80">
      <c r="A80" s="43">
        <f>'Equity Price Data'!A82</f>
        <v>45540.66667</v>
      </c>
      <c r="B80" s="4">
        <f>B79+(('Equity Price Data'!B82-'Equity Price Data'!B81)/'Equity Price Data'!B81)</f>
        <v>0.04845427656</v>
      </c>
      <c r="C80" s="4">
        <f>C79+(('Equity Price Data'!C82-'Equity Price Data'!C81)/'Equity Price Data'!C81)</f>
        <v>0.05570012812</v>
      </c>
      <c r="D80" s="4">
        <f>D79+(('Equity Price Data'!D82-'Equity Price Data'!D81)/'Equity Price Data'!D81)</f>
        <v>0.05063956056</v>
      </c>
      <c r="E80" s="4">
        <f>E79+(('Equity Price Data'!E82-'Equity Price Data'!E81)/'Equity Price Data'!E81)</f>
        <v>0.03540053024</v>
      </c>
      <c r="F80" s="4">
        <f>F79+(('Equity Price Data'!F82-'Equity Price Data'!F81)/'Equity Price Data'!F81)</f>
        <v>0.04114990398</v>
      </c>
    </row>
    <row r="81">
      <c r="A81" s="43">
        <f>'Equity Price Data'!A83</f>
        <v>45541.66667</v>
      </c>
      <c r="B81" s="4">
        <f>B80+(('Equity Price Data'!B83-'Equity Price Data'!B82)/'Equity Price Data'!B82)</f>
        <v>0.03561150922</v>
      </c>
      <c r="C81" s="4">
        <f>C80+(('Equity Price Data'!C83-'Equity Price Data'!C82)/'Equity Price Data'!C82)</f>
        <v>0.03843992036</v>
      </c>
      <c r="D81" s="4">
        <f>D80+(('Equity Price Data'!D83-'Equity Price Data'!D82)/'Equity Price Data'!D82)</f>
        <v>0.02513520095</v>
      </c>
      <c r="E81" s="4">
        <f>E80+(('Equity Price Data'!E83-'Equity Price Data'!E82)/'Equity Price Data'!E82)</f>
        <v>0.02533225767</v>
      </c>
      <c r="F81" s="4">
        <f>F80+(('Equity Price Data'!F83-'Equity Price Data'!F82)/'Equity Price Data'!F82)</f>
        <v>0.02208843732</v>
      </c>
    </row>
    <row r="82">
      <c r="A82" s="43">
        <f>'Equity Price Data'!A84</f>
        <v>45544.66667</v>
      </c>
      <c r="B82" s="4">
        <f>B81+(('Equity Price Data'!B84-'Equity Price Data'!B83)/'Equity Price Data'!B83)</f>
        <v>0.04556456301</v>
      </c>
      <c r="C82" s="4">
        <f>C81+(('Equity Price Data'!C84-'Equity Price Data'!C83)/'Equity Price Data'!C83)</f>
        <v>0.05002001214</v>
      </c>
      <c r="D82" s="4">
        <f>D81+(('Equity Price Data'!D84-'Equity Price Data'!D83)/'Equity Price Data'!D83)</f>
        <v>0.03674456969</v>
      </c>
      <c r="E82" s="4">
        <f>E81+(('Equity Price Data'!E84-'Equity Price Data'!E83)/'Equity Price Data'!E83)</f>
        <v>0.03733312716</v>
      </c>
      <c r="F82" s="4">
        <f>F81+(('Equity Price Data'!F84-'Equity Price Data'!F83)/'Equity Price Data'!F83)</f>
        <v>0.02513422939</v>
      </c>
    </row>
    <row r="83">
      <c r="A83" s="43">
        <f>'Equity Price Data'!A85</f>
        <v>45545.66667</v>
      </c>
      <c r="B83" s="4">
        <f>B82+(('Equity Price Data'!B85-'Equity Price Data'!B84)/'Equity Price Data'!B84)</f>
        <v>0.04464640803</v>
      </c>
      <c r="C83" s="4">
        <f>C82+(('Equity Price Data'!C85-'Equity Price Data'!C84)/'Equity Price Data'!C84)</f>
        <v>0.05449264537</v>
      </c>
      <c r="D83" s="4">
        <f>D82+(('Equity Price Data'!D85-'Equity Price Data'!D84)/'Equity Price Data'!D84)</f>
        <v>0.04511195772</v>
      </c>
      <c r="E83" s="4">
        <f>E82+(('Equity Price Data'!E85-'Equity Price Data'!E84)/'Equity Price Data'!E84)</f>
        <v>0.03506442938</v>
      </c>
      <c r="F83" s="4">
        <f>F82+(('Equity Price Data'!F85-'Equity Price Data'!F84)/'Equity Price Data'!F84)</f>
        <v>0.02497215329</v>
      </c>
    </row>
    <row r="84">
      <c r="A84" s="43">
        <f>'Equity Price Data'!A86</f>
        <v>45546.66667</v>
      </c>
      <c r="B84" s="4">
        <f>B83+(('Equity Price Data'!B86-'Equity Price Data'!B85)/'Equity Price Data'!B85)</f>
        <v>0.0520327495</v>
      </c>
      <c r="C84" s="4">
        <f>C83+(('Equity Price Data'!C86-'Equity Price Data'!C85)/'Equity Price Data'!C85)</f>
        <v>0.06515769617</v>
      </c>
      <c r="D84" s="4">
        <f>D83+(('Equity Price Data'!D86-'Equity Price Data'!D85)/'Equity Price Data'!D85)</f>
        <v>0.06682302346</v>
      </c>
      <c r="E84" s="4">
        <f>E83+(('Equity Price Data'!E86-'Equity Price Data'!E85)/'Equity Price Data'!E85)</f>
        <v>0.03812675902</v>
      </c>
      <c r="F84" s="4">
        <f>F83+(('Equity Price Data'!F86-'Equity Price Data'!F85)/'Equity Price Data'!F85)</f>
        <v>0.02802825978</v>
      </c>
    </row>
    <row r="85">
      <c r="A85" s="43">
        <f>'Equity Price Data'!A87</f>
        <v>45547.66667</v>
      </c>
      <c r="B85" s="4">
        <f>B84+(('Equity Price Data'!B87-'Equity Price Data'!B86)/'Equity Price Data'!B86)</f>
        <v>0.05954765391</v>
      </c>
      <c r="C85" s="4">
        <f>C84+(('Equity Price Data'!C87-'Equity Price Data'!C86)/'Equity Price Data'!C86)</f>
        <v>0.07265301947</v>
      </c>
      <c r="D85" s="4">
        <f>D84+(('Equity Price Data'!D87-'Equity Price Data'!D86)/'Equity Price Data'!D86)</f>
        <v>0.07683421599</v>
      </c>
      <c r="E85" s="4">
        <f>E84+(('Equity Price Data'!E87-'Equity Price Data'!E86)/'Equity Price Data'!E86)</f>
        <v>0.04387933277</v>
      </c>
      <c r="F85" s="4">
        <f>F84+(('Equity Price Data'!F87-'Equity Price Data'!F86)/'Equity Price Data'!F86)</f>
        <v>0.04018692128</v>
      </c>
    </row>
    <row r="86">
      <c r="A86" s="43">
        <f>'Equity Price Data'!A88</f>
        <v>45548.66667</v>
      </c>
      <c r="B86" s="4">
        <f>B85+(('Equity Price Data'!B88-'Equity Price Data'!B87)/'Equity Price Data'!B87)</f>
        <v>0.06357084127</v>
      </c>
      <c r="C86" s="4">
        <f>C85+(('Equity Price Data'!C88-'Equity Price Data'!C87)/'Equity Price Data'!C87)</f>
        <v>0.07806068528</v>
      </c>
      <c r="D86" s="4">
        <f>D85+(('Equity Price Data'!D88-'Equity Price Data'!D87)/'Equity Price Data'!D87)</f>
        <v>0.08333974142</v>
      </c>
      <c r="E86" s="4">
        <f>E85+(('Equity Price Data'!E88-'Equity Price Data'!E87)/'Equity Price Data'!E87)</f>
        <v>0.05110642141</v>
      </c>
      <c r="F86" s="4">
        <f>F85+(('Equity Price Data'!F88-'Equity Price Data'!F87)/'Equity Price Data'!F87)</f>
        <v>0.06510438746</v>
      </c>
    </row>
    <row r="87">
      <c r="A87" s="43">
        <f>'Equity Price Data'!A89</f>
        <v>45551.66667</v>
      </c>
      <c r="B87" s="4">
        <f>B86+(('Equity Price Data'!B89-'Equity Price Data'!B88)/'Equity Price Data'!B88)</f>
        <v>0.06652076708</v>
      </c>
      <c r="C87" s="4">
        <f>C86+(('Equity Price Data'!C89-'Equity Price Data'!C88)/'Equity Price Data'!C88)</f>
        <v>0.07931734629</v>
      </c>
      <c r="D87" s="4">
        <f>D86+(('Equity Price Data'!D89-'Equity Price Data'!D88)/'Equity Price Data'!D88)</f>
        <v>0.0781457749</v>
      </c>
      <c r="E87" s="4">
        <f>E86+(('Equity Price Data'!E89-'Equity Price Data'!E88)/'Equity Price Data'!E88)</f>
        <v>0.0566217428</v>
      </c>
      <c r="F87" s="4">
        <f>F86+(('Equity Price Data'!F89-'Equity Price Data'!F88)/'Equity Price Data'!F88)</f>
        <v>0.06816511168</v>
      </c>
    </row>
    <row r="88">
      <c r="A88" s="43">
        <f>'Equity Price Data'!A90</f>
        <v>45552.66667</v>
      </c>
      <c r="B88" s="4">
        <f>B87+(('Equity Price Data'!B90-'Equity Price Data'!B89)/'Equity Price Data'!B89)</f>
        <v>0.06770741386</v>
      </c>
      <c r="C88" s="4">
        <f>C87+(('Equity Price Data'!C90-'Equity Price Data'!C89)/'Equity Price Data'!C89)</f>
        <v>0.07958185476</v>
      </c>
      <c r="D88" s="4">
        <f>D87+(('Equity Price Data'!D90-'Equity Price Data'!D89)/'Equity Price Data'!D89)</f>
        <v>0.08018816545</v>
      </c>
      <c r="E88" s="4">
        <f>E87+(('Equity Price Data'!E90-'Equity Price Data'!E89)/'Equity Price Data'!E89)</f>
        <v>0.05623973402</v>
      </c>
      <c r="F88" s="4">
        <f>F87+(('Equity Price Data'!F90-'Equity Price Data'!F89)/'Equity Price Data'!F89)</f>
        <v>0.0756154239</v>
      </c>
    </row>
    <row r="89">
      <c r="A89" s="43">
        <f>'Equity Price Data'!A91</f>
        <v>45553.66667</v>
      </c>
      <c r="B89" s="4">
        <f>B88+(('Equity Price Data'!B91-'Equity Price Data'!B90)/'Equity Price Data'!B90)</f>
        <v>0.06542461823</v>
      </c>
      <c r="C89" s="4">
        <f>C88+(('Equity Price Data'!C91-'Equity Price Data'!C90)/'Equity Price Data'!C90)</f>
        <v>0.07668545432</v>
      </c>
      <c r="D89" s="4">
        <f>D88+(('Equity Price Data'!D91-'Equity Price Data'!D90)/'Equity Price Data'!D90)</f>
        <v>0.07708175442</v>
      </c>
      <c r="E89" s="4">
        <f>E88+(('Equity Price Data'!E91-'Equity Price Data'!E90)/'Equity Price Data'!E90)</f>
        <v>0.05376221746</v>
      </c>
      <c r="F89" s="4">
        <f>F88+(('Equity Price Data'!F91-'Equity Price Data'!F90)/'Equity Price Data'!F90)</f>
        <v>0.07600536169</v>
      </c>
    </row>
    <row r="90">
      <c r="A90" s="43">
        <f>'Equity Price Data'!A92</f>
        <v>45554.66667</v>
      </c>
      <c r="B90" s="4">
        <f>B89+(('Equity Price Data'!B92-'Equity Price Data'!B91)/'Equity Price Data'!B91)</f>
        <v>0.08132727525</v>
      </c>
      <c r="C90" s="4">
        <f>C89+(('Equity Price Data'!C92-'Equity Price Data'!C91)/'Equity Price Data'!C91)</f>
        <v>0.09366224072</v>
      </c>
      <c r="D90" s="4">
        <f>D89+(('Equity Price Data'!D92-'Equity Price Data'!D91)/'Equity Price Data'!D91)</f>
        <v>0.1021584332</v>
      </c>
      <c r="E90" s="4">
        <f>E89+(('Equity Price Data'!E92-'Equity Price Data'!E91)/'Equity Price Data'!E91)</f>
        <v>0.06634175971</v>
      </c>
      <c r="F90" s="4">
        <f>F89+(('Equity Price Data'!F92-'Equity Price Data'!F91)/'Equity Price Data'!F91)</f>
        <v>0.09702206809</v>
      </c>
    </row>
    <row r="91">
      <c r="A91" s="43">
        <f>'Equity Price Data'!A93</f>
        <v>45555.66667</v>
      </c>
      <c r="B91" s="4">
        <f>B90+(('Equity Price Data'!B93-'Equity Price Data'!B92)/'Equity Price Data'!B92)</f>
        <v>0.0786144658</v>
      </c>
      <c r="C91" s="4">
        <f>C90+(('Equity Price Data'!C93-'Equity Price Data'!C92)/'Equity Price Data'!C92)</f>
        <v>0.0917212714</v>
      </c>
      <c r="D91" s="4">
        <f>D90+(('Equity Price Data'!D93-'Equity Price Data'!D92)/'Equity Price Data'!D92)</f>
        <v>0.09851348638</v>
      </c>
      <c r="E91" s="4">
        <f>E90+(('Equity Price Data'!E93-'Equity Price Data'!E92)/'Equity Price Data'!E92)</f>
        <v>0.06725002449</v>
      </c>
      <c r="F91" s="4">
        <f>F90+(('Equity Price Data'!F93-'Equity Price Data'!F92)/'Equity Price Data'!F92)</f>
        <v>0.08600422735</v>
      </c>
    </row>
    <row r="92">
      <c r="A92" s="43">
        <f>'Equity Price Data'!A94</f>
        <v>45558.66667</v>
      </c>
      <c r="B92" s="4">
        <f>B91+(('Equity Price Data'!B94-'Equity Price Data'!B93)/'Equity Price Data'!B93)</f>
        <v>0.0800115312</v>
      </c>
      <c r="C92" s="4">
        <f>C91+(('Equity Price Data'!C94-'Equity Price Data'!C93)/'Equity Price Data'!C93)</f>
        <v>0.09453054093</v>
      </c>
      <c r="D92" s="4">
        <f>D91+(('Equity Price Data'!D94-'Equity Price Data'!D93)/'Equity Price Data'!D93)</f>
        <v>0.09995930415</v>
      </c>
      <c r="E92" s="4">
        <f>E91+(('Equity Price Data'!E94-'Equity Price Data'!E93)/'Equity Price Data'!E93)</f>
        <v>0.06870711208</v>
      </c>
      <c r="F92" s="4">
        <f>F91+(('Equity Price Data'!F94-'Equity Price Data'!F93)/'Equity Price Data'!F93)</f>
        <v>0.08258843932</v>
      </c>
    </row>
    <row r="93">
      <c r="A93" s="43">
        <f>'Equity Price Data'!A95</f>
        <v>45559.66667</v>
      </c>
      <c r="B93" s="4">
        <f>B92+(('Equity Price Data'!B95-'Equity Price Data'!B94)/'Equity Price Data'!B94)</f>
        <v>0.08246775598</v>
      </c>
      <c r="C93" s="4">
        <f>C92+(('Equity Price Data'!C95-'Equity Price Data'!C94)/'Equity Price Data'!C94)</f>
        <v>0.09704165822</v>
      </c>
      <c r="D93" s="4">
        <f>D92+(('Equity Price Data'!D95-'Equity Price Data'!D94)/'Equity Price Data'!D94)</f>
        <v>0.1055367212</v>
      </c>
      <c r="E93" s="4">
        <f>E92+(('Equity Price Data'!E95-'Equity Price Data'!E94)/'Equity Price Data'!E94)</f>
        <v>0.07069098613</v>
      </c>
      <c r="F93" s="4">
        <f>F92+(('Equity Price Data'!F95-'Equity Price Data'!F94)/'Equity Price Data'!F94)</f>
        <v>0.08425939974</v>
      </c>
    </row>
    <row r="94">
      <c r="A94" s="43">
        <f>'Equity Price Data'!A96</f>
        <v>45560.66667</v>
      </c>
      <c r="B94" s="4">
        <f>B93+(('Equity Price Data'!B96-'Equity Price Data'!B95)/'Equity Price Data'!B95)</f>
        <v>0.07582249788</v>
      </c>
      <c r="C94" s="4">
        <f>C93+(('Equity Price Data'!C96-'Equity Price Data'!C95)/'Equity Price Data'!C95)</f>
        <v>0.09518048078</v>
      </c>
      <c r="D94" s="4">
        <f>D93+(('Equity Price Data'!D96-'Equity Price Data'!D95)/'Equity Price Data'!D95)</f>
        <v>0.105962182</v>
      </c>
      <c r="E94" s="4">
        <f>E93+(('Equity Price Data'!E96-'Equity Price Data'!E95)/'Equity Price Data'!E95)</f>
        <v>0.06373807507</v>
      </c>
      <c r="F94" s="4">
        <f>F93+(('Equity Price Data'!F96-'Equity Price Data'!F95)/'Equity Price Data'!F95)</f>
        <v>0.07232589285</v>
      </c>
    </row>
    <row r="95">
      <c r="A95" s="43">
        <f>'Equity Price Data'!A97</f>
        <v>45561.66667</v>
      </c>
      <c r="B95" s="4">
        <f>B94+(('Equity Price Data'!B97-'Equity Price Data'!B96)/'Equity Price Data'!B96)</f>
        <v>0.07977593339</v>
      </c>
      <c r="C95" s="4">
        <f>C94+(('Equity Price Data'!C97-'Equity Price Data'!C96)/'Equity Price Data'!C96)</f>
        <v>0.09921909489</v>
      </c>
      <c r="D95" s="4">
        <f>D94+(('Equity Price Data'!D97-'Equity Price Data'!D96)/'Equity Price Data'!D96)</f>
        <v>0.1119393275</v>
      </c>
      <c r="E95" s="4">
        <f>E94+(('Equity Price Data'!E97-'Equity Price Data'!E96)/'Equity Price Data'!E96)</f>
        <v>0.06994973087</v>
      </c>
      <c r="F95" s="4">
        <f>F94+(('Equity Price Data'!F97-'Equity Price Data'!F96)/'Equity Price Data'!F96)</f>
        <v>0.07797789858</v>
      </c>
    </row>
    <row r="96">
      <c r="A96" s="43">
        <f>'Equity Price Data'!A98</f>
        <v>45562.66667</v>
      </c>
      <c r="B96" s="4">
        <f>B95+(('Equity Price Data'!B98-'Equity Price Data'!B97)/'Equity Price Data'!B97)</f>
        <v>0.1074054738</v>
      </c>
      <c r="C96" s="4">
        <f>C95+(('Equity Price Data'!C98-'Equity Price Data'!C97)/'Equity Price Data'!C97)</f>
        <v>0.0979659119</v>
      </c>
      <c r="D96" s="4">
        <f>D95+(('Equity Price Data'!D98-'Equity Price Data'!D97)/'Equity Price Data'!D97)</f>
        <v>0.1080526385</v>
      </c>
      <c r="E96" s="4">
        <f>E95+(('Equity Price Data'!E98-'Equity Price Data'!E97)/'Equity Price Data'!E97)</f>
        <v>0.07321919478</v>
      </c>
      <c r="F96" s="4">
        <f>F95+(('Equity Price Data'!F98-'Equity Price Data'!F97)/'Equity Price Data'!F97)</f>
        <v>0.08468870057</v>
      </c>
    </row>
    <row r="97">
      <c r="A97" s="43">
        <f>'Equity Price Data'!A99</f>
        <v>45565.66667</v>
      </c>
      <c r="B97" s="4">
        <f>B96+(('Equity Price Data'!B99-'Equity Price Data'!B98)/'Equity Price Data'!B98)</f>
        <v>0.1089931361</v>
      </c>
      <c r="C97" s="4">
        <f>C96+(('Equity Price Data'!C99-'Equity Price Data'!C98)/'Equity Price Data'!C98)</f>
        <v>0.1022024542</v>
      </c>
      <c r="D97" s="4">
        <f>D96+(('Equity Price Data'!D99-'Equity Price Data'!D98)/'Equity Price Data'!D98)</f>
        <v>0.1118926812</v>
      </c>
      <c r="E97" s="4">
        <f>E96+(('Equity Price Data'!E99-'Equity Price Data'!E98)/'Equity Price Data'!E98)</f>
        <v>0.07362450756</v>
      </c>
      <c r="F97" s="4">
        <f>F96+(('Equity Price Data'!F99-'Equity Price Data'!F98)/'Equity Price Data'!F98)</f>
        <v>0.0870575593</v>
      </c>
    </row>
    <row r="98">
      <c r="A98" s="43">
        <f>'Equity Price Data'!A100</f>
        <v>45566.66667</v>
      </c>
      <c r="B98" s="4">
        <f>B97+(('Equity Price Data'!B100-'Equity Price Data'!B99)/'Equity Price Data'!B99)</f>
        <v>0.1018483498</v>
      </c>
      <c r="C98" s="4">
        <f>C97+(('Equity Price Data'!C100-'Equity Price Data'!C99)/'Equity Price Data'!C99)</f>
        <v>0.09287834376</v>
      </c>
      <c r="D98" s="4">
        <f>D97+(('Equity Price Data'!D100-'Equity Price Data'!D99)/'Equity Price Data'!D99)</f>
        <v>0.09656432927</v>
      </c>
      <c r="E98" s="4">
        <f>E97+(('Equity Price Data'!E100-'Equity Price Data'!E99)/'Equity Price Data'!E99)</f>
        <v>0.06953333378</v>
      </c>
      <c r="F98" s="4">
        <f>F97+(('Equity Price Data'!F100-'Equity Price Data'!F99)/'Equity Price Data'!F99)</f>
        <v>0.07228606013</v>
      </c>
    </row>
    <row r="99">
      <c r="A99" s="43">
        <f>'Equity Price Data'!A101</f>
        <v>45567.66667</v>
      </c>
      <c r="B99" s="4">
        <f>B98+(('Equity Price Data'!B101-'Equity Price Data'!B100)/'Equity Price Data'!B100)</f>
        <v>0.1021996523</v>
      </c>
      <c r="C99" s="4">
        <f>C98+(('Equity Price Data'!C101-'Equity Price Data'!C100)/'Equity Price Data'!C100)</f>
        <v>0.09301672781</v>
      </c>
      <c r="D99" s="4">
        <f>D98+(('Equity Price Data'!D101-'Equity Price Data'!D100)/'Equity Price Data'!D100)</f>
        <v>0.09738843331</v>
      </c>
      <c r="E99" s="4">
        <f>E98+(('Equity Price Data'!E101-'Equity Price Data'!E100)/'Equity Price Data'!E100)</f>
        <v>0.07047149418</v>
      </c>
      <c r="F99" s="4">
        <f>F98+(('Equity Price Data'!F101-'Equity Price Data'!F100)/'Equity Price Data'!F100)</f>
        <v>0.07136663709</v>
      </c>
    </row>
    <row r="100">
      <c r="A100" s="43">
        <f>'Equity Price Data'!A102</f>
        <v>45568.66667</v>
      </c>
      <c r="B100" s="4">
        <f>B99+(('Equity Price Data'!B102-'Equity Price Data'!B101)/'Equity Price Data'!B101)</f>
        <v>0.09874859054</v>
      </c>
      <c r="C100" s="4">
        <f>C99+(('Equity Price Data'!C102-'Equity Price Data'!C101)/'Equity Price Data'!C101)</f>
        <v>0.09133533141</v>
      </c>
      <c r="D100" s="4">
        <f>D99+(('Equity Price Data'!D102-'Equity Price Data'!D101)/'Equity Price Data'!D101)</f>
        <v>0.09701800343</v>
      </c>
      <c r="E100" s="4">
        <f>E99+(('Equity Price Data'!E102-'Equity Price Data'!E101)/'Equity Price Data'!E101)</f>
        <v>0.06608890529</v>
      </c>
      <c r="F100" s="4">
        <f>F99+(('Equity Price Data'!F102-'Equity Price Data'!F101)/'Equity Price Data'!F101)</f>
        <v>0.06459673627</v>
      </c>
    </row>
    <row r="101">
      <c r="A101" s="43">
        <f>'Equity Price Data'!A103</f>
        <v>45569.66667</v>
      </c>
      <c r="B101" s="4">
        <f>B100+(('Equity Price Data'!B103-'Equity Price Data'!B102)/'Equity Price Data'!B102)</f>
        <v>0.1051817734</v>
      </c>
      <c r="C101" s="4">
        <f>C100+(('Equity Price Data'!C103-'Equity Price Data'!C102)/'Equity Price Data'!C102)</f>
        <v>0.1003056013</v>
      </c>
      <c r="D101" s="4">
        <f>D100+(('Equity Price Data'!D103-'Equity Price Data'!D102)/'Equity Price Data'!D102)</f>
        <v>0.1092606713</v>
      </c>
      <c r="E101" s="4">
        <f>E100+(('Equity Price Data'!E103-'Equity Price Data'!E102)/'Equity Price Data'!E102)</f>
        <v>0.07420952153</v>
      </c>
      <c r="F101" s="4">
        <f>F100+(('Equity Price Data'!F103-'Equity Price Data'!F102)/'Equity Price Data'!F102)</f>
        <v>0.07957277003</v>
      </c>
    </row>
    <row r="102">
      <c r="A102" s="43">
        <f>'Equity Price Data'!A104</f>
        <v>45572.66667</v>
      </c>
      <c r="B102" s="4">
        <f>B101+(('Equity Price Data'!B104-'Equity Price Data'!B103)/'Equity Price Data'!B103)</f>
        <v>0.09608396683</v>
      </c>
      <c r="C102" s="4">
        <f>C101+(('Equity Price Data'!C104-'Equity Price Data'!C103)/'Equity Price Data'!C103)</f>
        <v>0.09071955903</v>
      </c>
      <c r="D102" s="4">
        <f>D101+(('Equity Price Data'!D104-'Equity Price Data'!D103)/'Equity Price Data'!D103)</f>
        <v>0.0974648962</v>
      </c>
      <c r="E102" s="4">
        <f>E101+(('Equity Price Data'!E104-'Equity Price Data'!E103)/'Equity Price Data'!E103)</f>
        <v>0.06480021516</v>
      </c>
      <c r="F102" s="4">
        <f>F101+(('Equity Price Data'!F104-'Equity Price Data'!F103)/'Equity Price Data'!F103)</f>
        <v>0.07066550322</v>
      </c>
    </row>
    <row r="103">
      <c r="A103" s="43">
        <f>'Equity Price Data'!A105</f>
        <v>45573.66667</v>
      </c>
      <c r="B103" s="4">
        <f>B102+(('Equity Price Data'!B105-'Equity Price Data'!B104)/'Equity Price Data'!B104)</f>
        <v>0.1013221752</v>
      </c>
      <c r="C103" s="4">
        <f>C102+(('Equity Price Data'!C105-'Equity Price Data'!C104)/'Equity Price Data'!C104)</f>
        <v>0.1004089167</v>
      </c>
      <c r="D103" s="4">
        <f>D102+(('Equity Price Data'!D105-'Equity Price Data'!D104)/'Equity Price Data'!D104)</f>
        <v>0.1119159922</v>
      </c>
      <c r="E103" s="4">
        <f>E102+(('Equity Price Data'!E105-'Equity Price Data'!E104)/'Equity Price Data'!E104)</f>
        <v>0.06780658592</v>
      </c>
      <c r="F103" s="4">
        <f>F102+(('Equity Price Data'!F105-'Equity Price Data'!F104)/'Equity Price Data'!F104)</f>
        <v>0.07152730095</v>
      </c>
    </row>
    <row r="104">
      <c r="A104" s="43">
        <f>'Equity Price Data'!A106</f>
        <v>45574.66667</v>
      </c>
      <c r="B104" s="4">
        <f>B103+(('Equity Price Data'!B106-'Equity Price Data'!B105)/'Equity Price Data'!B105)</f>
        <v>0.1078726623</v>
      </c>
      <c r="C104" s="4">
        <f>C103+(('Equity Price Data'!C106-'Equity Price Data'!C105)/'Equity Price Data'!C105)</f>
        <v>0.1075223014</v>
      </c>
      <c r="D104" s="4">
        <f>D103+(('Equity Price Data'!D106-'Equity Price Data'!D105)/'Equity Price Data'!D105)</f>
        <v>0.1178941299</v>
      </c>
      <c r="E104" s="4">
        <f>E103+(('Equity Price Data'!E106-'Equity Price Data'!E105)/'Equity Price Data'!E105)</f>
        <v>0.07806386265</v>
      </c>
      <c r="F104" s="4">
        <f>F103+(('Equity Price Data'!F106-'Equity Price Data'!F105)/'Equity Price Data'!F105)</f>
        <v>0.0740831329</v>
      </c>
    </row>
    <row r="105">
      <c r="A105" s="43">
        <f>'Equity Price Data'!A107</f>
        <v>45575.66667</v>
      </c>
      <c r="B105" s="4">
        <f>B104+(('Equity Price Data'!B107-'Equity Price Data'!B106)/'Equity Price Data'!B106)</f>
        <v>0.1074254315</v>
      </c>
      <c r="C105" s="4">
        <f>C104+(('Equity Price Data'!C107-'Equity Price Data'!C106)/'Equity Price Data'!C106)</f>
        <v>0.105452219</v>
      </c>
      <c r="D105" s="4">
        <f>D104+(('Equity Price Data'!D107-'Equity Price Data'!D106)/'Equity Price Data'!D106)</f>
        <v>0.1173709395</v>
      </c>
      <c r="E105" s="4">
        <f>E104+(('Equity Price Data'!E107-'Equity Price Data'!E106)/'Equity Price Data'!E106)</f>
        <v>0.07670236472</v>
      </c>
      <c r="F105" s="4">
        <f>F104+(('Equity Price Data'!F107-'Equity Price Data'!F106)/'Equity Price Data'!F106)</f>
        <v>0.06855279785</v>
      </c>
    </row>
    <row r="106">
      <c r="A106" s="43">
        <f>'Equity Price Data'!A108</f>
        <v>45576.66667</v>
      </c>
      <c r="B106" s="4">
        <f>B105+(('Equity Price Data'!B108-'Equity Price Data'!B107)/'Equity Price Data'!B107)</f>
        <v>0.1148906008</v>
      </c>
      <c r="C106" s="4">
        <f>C105+(('Equity Price Data'!C108-'Equity Price Data'!C107)/'Equity Price Data'!C107)</f>
        <v>0.1115040698</v>
      </c>
      <c r="D106" s="4">
        <f>D105+(('Equity Price Data'!D108-'Equity Price Data'!D107)/'Equity Price Data'!D107)</f>
        <v>0.1207015288</v>
      </c>
      <c r="E106" s="4">
        <f>E105+(('Equity Price Data'!E108-'Equity Price Data'!E107)/'Equity Price Data'!E107)</f>
        <v>0.08635372482</v>
      </c>
      <c r="F106" s="4">
        <f>F105+(('Equity Price Data'!F108-'Equity Price Data'!F107)/'Equity Price Data'!F107)</f>
        <v>0.08956795947</v>
      </c>
    </row>
    <row r="107">
      <c r="A107" s="43">
        <f>'Equity Price Data'!A109</f>
        <v>45579.66667</v>
      </c>
      <c r="B107" s="4">
        <f>B106+(('Equity Price Data'!B109-'Equity Price Data'!B108)/'Equity Price Data'!B108)</f>
        <v>0.1204546564</v>
      </c>
      <c r="C107" s="4">
        <f>C106+(('Equity Price Data'!C109-'Equity Price Data'!C108)/'Equity Price Data'!C108)</f>
        <v>0.1192116826</v>
      </c>
      <c r="D107" s="4">
        <f>D106+(('Equity Price Data'!D109-'Equity Price Data'!D108)/'Equity Price Data'!D108)</f>
        <v>0.1294106017</v>
      </c>
      <c r="E107" s="4">
        <f>E106+(('Equity Price Data'!E109-'Equity Price Data'!E108)/'Equity Price Data'!E108)</f>
        <v>0.09105138854</v>
      </c>
      <c r="F107" s="4">
        <f>F106+(('Equity Price Data'!F109-'Equity Price Data'!F108)/'Equity Price Data'!F108)</f>
        <v>0.09593653104</v>
      </c>
    </row>
    <row r="108">
      <c r="A108" s="43">
        <f>'Equity Price Data'!A110</f>
        <v>45580.66667</v>
      </c>
      <c r="B108" s="4">
        <f>B107+(('Equity Price Data'!B110-'Equity Price Data'!B109)/'Equity Price Data'!B109)</f>
        <v>0.1144940537</v>
      </c>
      <c r="C108" s="4">
        <f>C107+(('Equity Price Data'!C110-'Equity Price Data'!C109)/'Equity Price Data'!C109)</f>
        <v>0.1116022728</v>
      </c>
      <c r="D108" s="4">
        <f>D107+(('Equity Price Data'!D110-'Equity Price Data'!D109)/'Equity Price Data'!D109)</f>
        <v>0.1192985585</v>
      </c>
      <c r="E108" s="4">
        <f>E107+(('Equity Price Data'!E110-'Equity Price Data'!E109)/'Equity Price Data'!E109)</f>
        <v>0.08350933953</v>
      </c>
      <c r="F108" s="4">
        <f>F107+(('Equity Price Data'!F110-'Equity Price Data'!F109)/'Equity Price Data'!F109)</f>
        <v>0.09646129268</v>
      </c>
    </row>
    <row r="109">
      <c r="A109" s="43">
        <f>'Equity Price Data'!A111</f>
        <v>45581.66667</v>
      </c>
      <c r="B109" s="4">
        <f>B108+(('Equity Price Data'!B111-'Equity Price Data'!B110)/'Equity Price Data'!B110)</f>
        <v>0.1191430766</v>
      </c>
      <c r="C109" s="4">
        <f>C108+(('Equity Price Data'!C111-'Equity Price Data'!C110)/'Equity Price Data'!C110)</f>
        <v>0.1162813413</v>
      </c>
      <c r="D109" s="4">
        <f>D108+(('Equity Price Data'!D111-'Equity Price Data'!D110)/'Equity Price Data'!D110)</f>
        <v>0.1221098247</v>
      </c>
      <c r="E109" s="4">
        <f>E108+(('Equity Price Data'!E111-'Equity Price Data'!E110)/'Equity Price Data'!E110)</f>
        <v>0.09140069857</v>
      </c>
      <c r="F109" s="4">
        <f>F108+(('Equity Price Data'!F111-'Equity Price Data'!F110)/'Equity Price Data'!F110)</f>
        <v>0.1128448256</v>
      </c>
    </row>
    <row r="110">
      <c r="A110" s="43">
        <f>'Equity Price Data'!A112</f>
        <v>45582.66667</v>
      </c>
      <c r="B110" s="4">
        <f>B109+(('Equity Price Data'!B112-'Equity Price Data'!B111)/'Equity Price Data'!B111)</f>
        <v>0.1181718386</v>
      </c>
      <c r="C110" s="4">
        <f>C109+(('Equity Price Data'!C112-'Equity Price Data'!C111)/'Equity Price Data'!C111)</f>
        <v>0.1161101809</v>
      </c>
      <c r="D110" s="4">
        <f>D109+(('Equity Price Data'!D112-'Equity Price Data'!D111)/'Equity Price Data'!D111)</f>
        <v>0.1224653521</v>
      </c>
      <c r="E110" s="4">
        <f>E109+(('Equity Price Data'!E112-'Equity Price Data'!E111)/'Equity Price Data'!E111)</f>
        <v>0.09514625602</v>
      </c>
      <c r="F110" s="4">
        <f>F109+(('Equity Price Data'!F112-'Equity Price Data'!F111)/'Equity Price Data'!F111)</f>
        <v>0.1102952778</v>
      </c>
    </row>
    <row r="111">
      <c r="A111" s="43">
        <f>'Equity Price Data'!A113</f>
        <v>45583.66667</v>
      </c>
      <c r="B111" s="4">
        <f>B110+(('Equity Price Data'!B113-'Equity Price Data'!B112)/'Equity Price Data'!B112)</f>
        <v>0.1208180374</v>
      </c>
      <c r="C111" s="4">
        <f>C110+(('Equity Price Data'!C113-'Equity Price Data'!C112)/'Equity Price Data'!C112)</f>
        <v>0.1200817839</v>
      </c>
      <c r="D111" s="4">
        <f>D110+(('Equity Price Data'!D113-'Equity Price Data'!D112)/'Equity Price Data'!D112)</f>
        <v>0.1287754893</v>
      </c>
      <c r="E111" s="4">
        <f>E110+(('Equity Price Data'!E113-'Equity Price Data'!E112)/'Equity Price Data'!E112)</f>
        <v>0.09599872618</v>
      </c>
      <c r="F111" s="4">
        <f>F110+(('Equity Price Data'!F113-'Equity Price Data'!F112)/'Equity Price Data'!F112)</f>
        <v>0.1082083365</v>
      </c>
    </row>
    <row r="112">
      <c r="A112" s="43">
        <f>'Equity Price Data'!A114</f>
        <v>45586.66667</v>
      </c>
      <c r="B112" s="4">
        <f>B111+(('Equity Price Data'!B114-'Equity Price Data'!B113)/'Equity Price Data'!B113)</f>
        <v>0.1149527016</v>
      </c>
      <c r="C112" s="4">
        <f>C111+(('Equity Price Data'!C114-'Equity Price Data'!C113)/'Equity Price Data'!C113)</f>
        <v>0.1182590044</v>
      </c>
      <c r="D112" s="4">
        <f>D111+(('Equity Price Data'!D114-'Equity Price Data'!D113)/'Equity Price Data'!D113)</f>
        <v>0.1315045985</v>
      </c>
      <c r="E112" s="4">
        <f>E111+(('Equity Price Data'!E114-'Equity Price Data'!E113)/'Equity Price Data'!E113)</f>
        <v>0.08804256766</v>
      </c>
      <c r="F112" s="4">
        <f>F111+(('Equity Price Data'!F114-'Equity Price Data'!F113)/'Equity Price Data'!F113)</f>
        <v>0.09222478576</v>
      </c>
    </row>
    <row r="113">
      <c r="A113" s="43">
        <f>'Equity Price Data'!A115</f>
        <v>45587.66667</v>
      </c>
      <c r="B113" s="4">
        <f>B112+(('Equity Price Data'!B115-'Equity Price Data'!B114)/'Equity Price Data'!B114)</f>
        <v>0.1126242642</v>
      </c>
      <c r="C113" s="4">
        <f>C112+(('Equity Price Data'!C115-'Equity Price Data'!C114)/'Equity Price Data'!C114)</f>
        <v>0.1177841138</v>
      </c>
      <c r="D113" s="4">
        <f>D112+(('Equity Price Data'!D115-'Equity Price Data'!D114)/'Equity Price Data'!D114)</f>
        <v>0.1332910053</v>
      </c>
      <c r="E113" s="4">
        <f>E112+(('Equity Price Data'!E115-'Equity Price Data'!E114)/'Equity Price Data'!E114)</f>
        <v>0.08788627253</v>
      </c>
      <c r="F113" s="4">
        <f>F112+(('Equity Price Data'!F115-'Equity Price Data'!F114)/'Equity Price Data'!F114)</f>
        <v>0.0885725272</v>
      </c>
    </row>
    <row r="114">
      <c r="A114" s="43">
        <f>'Equity Price Data'!A116</f>
        <v>45588.66667</v>
      </c>
      <c r="B114" s="4">
        <f>B113+(('Equity Price Data'!B116-'Equity Price Data'!B115)/'Equity Price Data'!B115)</f>
        <v>0.1056109804</v>
      </c>
      <c r="C114" s="4">
        <f>C113+(('Equity Price Data'!C116-'Equity Price Data'!C115)/'Equity Price Data'!C115)</f>
        <v>0.1085928368</v>
      </c>
      <c r="D114" s="4">
        <f>D113+(('Equity Price Data'!D116-'Equity Price Data'!D115)/'Equity Price Data'!D115)</f>
        <v>0.11732816</v>
      </c>
      <c r="E114" s="4">
        <f>E113+(('Equity Price Data'!E116-'Equity Price Data'!E115)/'Equity Price Data'!E115)</f>
        <v>0.07833610246</v>
      </c>
      <c r="F114" s="4">
        <f>F113+(('Equity Price Data'!F116-'Equity Price Data'!F115)/'Equity Price Data'!F115)</f>
        <v>0.08064523069</v>
      </c>
    </row>
    <row r="115">
      <c r="A115" s="43">
        <f>'Equity Price Data'!A117</f>
        <v>45589.66667</v>
      </c>
      <c r="B115" s="4">
        <f>B114+(('Equity Price Data'!B117-'Equity Price Data'!B116)/'Equity Price Data'!B116)</f>
        <v>0.1068811839</v>
      </c>
      <c r="C115" s="4">
        <f>C114+(('Equity Price Data'!C117-'Equity Price Data'!C116)/'Equity Price Data'!C116)</f>
        <v>0.1107386189</v>
      </c>
      <c r="D115" s="4">
        <f>D114+(('Equity Price Data'!D117-'Equity Price Data'!D116)/'Equity Price Data'!D116)</f>
        <v>0.1249247382</v>
      </c>
      <c r="E115" s="4">
        <f>E114+(('Equity Price Data'!E117-'Equity Price Data'!E116)/'Equity Price Data'!E116)</f>
        <v>0.07502926568</v>
      </c>
      <c r="F115" s="4">
        <f>F114+(('Equity Price Data'!F117-'Equity Price Data'!F116)/'Equity Price Data'!F116)</f>
        <v>0.08293988613</v>
      </c>
    </row>
    <row r="116">
      <c r="A116" s="43">
        <f>'Equity Price Data'!A118</f>
        <v>45590.66667</v>
      </c>
      <c r="B116" s="4">
        <f>B115+(('Equity Price Data'!B118-'Equity Price Data'!B117)/'Equity Price Data'!B117)</f>
        <v>0.08569724205</v>
      </c>
      <c r="C116" s="4">
        <f>C115+(('Equity Price Data'!C118-'Equity Price Data'!C117)/'Equity Price Data'!C117)</f>
        <v>0.1104391281</v>
      </c>
      <c r="D116" s="4">
        <f>D115+(('Equity Price Data'!D118-'Equity Price Data'!D117)/'Equity Price Data'!D117)</f>
        <v>0.130524372</v>
      </c>
      <c r="E116" s="4">
        <f>E115+(('Equity Price Data'!E118-'Equity Price Data'!E117)/'Equity Price Data'!E117)</f>
        <v>0.06889442377</v>
      </c>
      <c r="F116" s="4">
        <f>F115+(('Equity Price Data'!F118-'Equity Price Data'!F117)/'Equity Price Data'!F117)</f>
        <v>0.07801406636</v>
      </c>
    </row>
    <row r="117">
      <c r="A117" s="43">
        <f>'Equity Price Data'!A119</f>
        <v>45593.66667</v>
      </c>
      <c r="B117" s="4">
        <f>B116+(('Equity Price Data'!B119-'Equity Price Data'!B118)/'Equity Price Data'!B118)</f>
        <v>0.09154821666</v>
      </c>
      <c r="C117" s="4">
        <f>C116+(('Equity Price Data'!C119-'Equity Price Data'!C118)/'Equity Price Data'!C118)</f>
        <v>0.1130905884</v>
      </c>
      <c r="D117" s="4">
        <f>D116+(('Equity Price Data'!D119-'Equity Price Data'!D118)/'Equity Price Data'!D118)</f>
        <v>0.133147679</v>
      </c>
      <c r="E117" s="4">
        <f>E116+(('Equity Price Data'!E119-'Equity Price Data'!E118)/'Equity Price Data'!E118)</f>
        <v>0.07538080372</v>
      </c>
      <c r="F117" s="4">
        <f>F116+(('Equity Price Data'!F119-'Equity Price Data'!F118)/'Equity Price Data'!F118)</f>
        <v>0.09435472007</v>
      </c>
    </row>
    <row r="118">
      <c r="A118" s="43">
        <f>'Equity Price Data'!A120</f>
        <v>45594.66667</v>
      </c>
      <c r="B118" s="4">
        <f>B117+(('Equity Price Data'!B120-'Equity Price Data'!B119)/'Equity Price Data'!B119)</f>
        <v>0.07618880539</v>
      </c>
      <c r="C118" s="4">
        <f>C117+(('Equity Price Data'!C120-'Equity Price Data'!C119)/'Equity Price Data'!C119)</f>
        <v>0.1147047325</v>
      </c>
      <c r="D118" s="4">
        <f>D117+(('Equity Price Data'!D120-'Equity Price Data'!D119)/'Equity Price Data'!D119)</f>
        <v>0.1409873144</v>
      </c>
      <c r="E118" s="4">
        <f>E117+(('Equity Price Data'!E120-'Equity Price Data'!E119)/'Equity Price Data'!E119)</f>
        <v>0.07173539541</v>
      </c>
      <c r="F118" s="4">
        <f>F117+(('Equity Price Data'!F120-'Equity Price Data'!F119)/'Equity Price Data'!F119)</f>
        <v>0.09168991907</v>
      </c>
    </row>
    <row r="119">
      <c r="A119" s="43">
        <f>'Equity Price Data'!A121</f>
        <v>45595.66667</v>
      </c>
      <c r="B119" s="4">
        <f>B118+(('Equity Price Data'!B121-'Equity Price Data'!B120)/'Equity Price Data'!B120)</f>
        <v>0.07171932477</v>
      </c>
      <c r="C119" s="4">
        <f>C118+(('Equity Price Data'!C121-'Equity Price Data'!C120)/'Equity Price Data'!C120)</f>
        <v>0.1114044986</v>
      </c>
      <c r="D119" s="4">
        <f>D118+(('Equity Price Data'!D121-'Equity Price Data'!D120)/'Equity Price Data'!D120)</f>
        <v>0.135385786</v>
      </c>
      <c r="E119" s="4">
        <f>E118+(('Equity Price Data'!E121-'Equity Price Data'!E120)/'Equity Price Data'!E120)</f>
        <v>0.06956860897</v>
      </c>
      <c r="F119" s="4">
        <f>F118+(('Equity Price Data'!F121-'Equity Price Data'!F120)/'Equity Price Data'!F120)</f>
        <v>0.08943353081</v>
      </c>
    </row>
    <row r="120">
      <c r="A120" s="43">
        <f>'Equity Price Data'!A122</f>
        <v>45596.66667</v>
      </c>
      <c r="B120" s="4">
        <f>B119+(('Equity Price Data'!B122-'Equity Price Data'!B121)/'Equity Price Data'!B121)</f>
        <v>0.05889929503</v>
      </c>
      <c r="C120" s="4">
        <f>C119+(('Equity Price Data'!C122-'Equity Price Data'!C121)/'Equity Price Data'!C121)</f>
        <v>0.09278975096</v>
      </c>
      <c r="D120" s="4">
        <f>D119+(('Equity Price Data'!D122-'Equity Price Data'!D121)/'Equity Price Data'!D121)</f>
        <v>0.1078287176</v>
      </c>
      <c r="E120" s="4">
        <f>E119+(('Equity Price Data'!E122-'Equity Price Data'!E121)/'Equity Price Data'!E121)</f>
        <v>0.06059693874</v>
      </c>
      <c r="F120" s="4">
        <f>F119+(('Equity Price Data'!F122-'Equity Price Data'!F121)/'Equity Price Data'!F121)</f>
        <v>0.07313736056</v>
      </c>
    </row>
    <row r="121">
      <c r="A121" s="43">
        <f>'Equity Price Data'!A123</f>
        <v>45597.66667</v>
      </c>
      <c r="B121" s="4">
        <f>B120+(('Equity Price Data'!B123-'Equity Price Data'!B122)/'Equity Price Data'!B122)</f>
        <v>0.06281155538</v>
      </c>
      <c r="C121" s="4">
        <f>C120+(('Equity Price Data'!C123-'Equity Price Data'!C122)/'Equity Price Data'!C122)</f>
        <v>0.09688232911</v>
      </c>
      <c r="D121" s="4">
        <f>D120+(('Equity Price Data'!D123-'Equity Price Data'!D122)/'Equity Price Data'!D122)</f>
        <v>0.1158292039</v>
      </c>
      <c r="E121" s="4">
        <f>E120+(('Equity Price Data'!E123-'Equity Price Data'!E122)/'Equity Price Data'!E122)</f>
        <v>0.06751039849</v>
      </c>
      <c r="F121" s="4">
        <f>F120+(('Equity Price Data'!F123-'Equity Price Data'!F122)/'Equity Price Data'!F122)</f>
        <v>0.07927397768</v>
      </c>
    </row>
    <row r="122">
      <c r="A122" s="43">
        <f>'Equity Price Data'!A124</f>
        <v>45600.66667</v>
      </c>
      <c r="B122" s="4">
        <f>B121+(('Equity Price Data'!B124-'Equity Price Data'!B123)/'Equity Price Data'!B123)</f>
        <v>0.05862481023</v>
      </c>
      <c r="C122" s="4">
        <f>C121+(('Equity Price Data'!C124-'Equity Price Data'!C123)/'Equity Price Data'!C123)</f>
        <v>0.09407022186</v>
      </c>
      <c r="D122" s="4">
        <f>D121+(('Equity Price Data'!D124-'Equity Price Data'!D123)/'Equity Price Data'!D123)</f>
        <v>0.1125430053</v>
      </c>
      <c r="E122" s="4">
        <f>E121+(('Equity Price Data'!E124-'Equity Price Data'!E123)/'Equity Price Data'!E123)</f>
        <v>0.0613849149</v>
      </c>
      <c r="F122" s="4">
        <f>F121+(('Equity Price Data'!F124-'Equity Price Data'!F123)/'Equity Price Data'!F123)</f>
        <v>0.08330089013</v>
      </c>
    </row>
    <row r="123">
      <c r="A123" s="43">
        <f>'Equity Price Data'!A125</f>
        <v>45601.66667</v>
      </c>
      <c r="B123" s="4">
        <f>B122+(('Equity Price Data'!B125-'Equity Price Data'!B124)/'Equity Price Data'!B124)</f>
        <v>0.07047063683</v>
      </c>
      <c r="C123" s="4">
        <f>C122+(('Equity Price Data'!C125-'Equity Price Data'!C124)/'Equity Price Data'!C124)</f>
        <v>0.1063358971</v>
      </c>
      <c r="D123" s="4">
        <f>D122+(('Equity Price Data'!D125-'Equity Price Data'!D124)/'Equity Price Data'!D124)</f>
        <v>0.1267998967</v>
      </c>
      <c r="E123" s="4">
        <f>E122+(('Equity Price Data'!E125-'Equity Price Data'!E124)/'Equity Price Data'!E124)</f>
        <v>0.07160824519</v>
      </c>
      <c r="F123" s="4">
        <f>F122+(('Equity Price Data'!F125-'Equity Price Data'!F124)/'Equity Price Data'!F124)</f>
        <v>0.102142456</v>
      </c>
    </row>
    <row r="124">
      <c r="A124" s="43">
        <f>'Equity Price Data'!A126</f>
        <v>45602.66667</v>
      </c>
      <c r="B124" s="4">
        <f>B123+(('Equity Price Data'!B126-'Equity Price Data'!B125)/'Equity Price Data'!B125)</f>
        <v>0.09549392842</v>
      </c>
      <c r="C124" s="4">
        <f>C123+(('Equity Price Data'!C126-'Equity Price Data'!C125)/'Equity Price Data'!C125)</f>
        <v>0.1316317765</v>
      </c>
      <c r="D124" s="4">
        <f>D123+(('Equity Price Data'!D126-'Equity Price Data'!D125)/'Equity Price Data'!D125)</f>
        <v>0.1563185789</v>
      </c>
      <c r="E124" s="4">
        <f>E123+(('Equity Price Data'!E126-'Equity Price Data'!E125)/'Equity Price Data'!E125)</f>
        <v>0.1073255084</v>
      </c>
      <c r="F124" s="4">
        <f>F123+(('Equity Price Data'!F126-'Equity Price Data'!F125)/'Equity Price Data'!F125)</f>
        <v>0.16056322</v>
      </c>
    </row>
    <row r="125">
      <c r="A125" s="43">
        <f>'Equity Price Data'!A127</f>
        <v>45603.66667</v>
      </c>
      <c r="B125" s="4">
        <f>B124+(('Equity Price Data'!B127-'Equity Price Data'!B126)/'Equity Price Data'!B126)</f>
        <v>0.09781667815</v>
      </c>
      <c r="C125" s="4">
        <f>C124+(('Equity Price Data'!C127-'Equity Price Data'!C126)/'Equity Price Data'!C126)</f>
        <v>0.1390629964</v>
      </c>
      <c r="D125" s="4">
        <f>D124+(('Equity Price Data'!D127-'Equity Price Data'!D126)/'Equity Price Data'!D126)</f>
        <v>0.1713837909</v>
      </c>
      <c r="E125" s="4">
        <f>E124+(('Equity Price Data'!E127-'Equity Price Data'!E126)/'Equity Price Data'!E126)</f>
        <v>0.1073120165</v>
      </c>
      <c r="F125" s="4">
        <f>F124+(('Equity Price Data'!F127-'Equity Price Data'!F126)/'Equity Price Data'!F126)</f>
        <v>0.1562881084</v>
      </c>
    </row>
    <row r="126">
      <c r="A126" s="43">
        <f>'Equity Price Data'!A128</f>
        <v>45604.66667</v>
      </c>
      <c r="B126" s="4">
        <f>B125+(('Equity Price Data'!B128-'Equity Price Data'!B127)/'Equity Price Data'!B127)</f>
        <v>0.09811096977</v>
      </c>
      <c r="C126" s="4">
        <f>C125+(('Equity Price Data'!C128-'Equity Price Data'!C127)/'Equity Price Data'!C127)</f>
        <v>0.1428198396</v>
      </c>
      <c r="D126" s="4">
        <f>D125+(('Equity Price Data'!D128-'Equity Price Data'!D127)/'Equity Price Data'!D127)</f>
        <v>0.1722826225</v>
      </c>
      <c r="E126" s="4">
        <f>E125+(('Equity Price Data'!E128-'Equity Price Data'!E127)/'Equity Price Data'!E127)</f>
        <v>0.1132496775</v>
      </c>
      <c r="F126" s="4">
        <f>F125+(('Equity Price Data'!F128-'Equity Price Data'!F127)/'Equity Price Data'!F127)</f>
        <v>0.1634019168</v>
      </c>
    </row>
    <row r="127">
      <c r="A127" s="43">
        <f>'Equity Price Data'!A129</f>
        <v>45607.66667</v>
      </c>
      <c r="B127" s="4">
        <f>B126+(('Equity Price Data'!B129-'Equity Price Data'!B128)/'Equity Price Data'!B128)</f>
        <v>0.1046885443</v>
      </c>
      <c r="C127" s="4">
        <f>C126+(('Equity Price Data'!C129-'Equity Price Data'!C128)/'Equity Price Data'!C128)</f>
        <v>0.1437888933</v>
      </c>
      <c r="D127" s="4">
        <f>D126+(('Equity Price Data'!D129-'Equity Price Data'!D128)/'Equity Price Data'!D128)</f>
        <v>0.1729037734</v>
      </c>
      <c r="E127" s="4">
        <f>E126+(('Equity Price Data'!E129-'Equity Price Data'!E128)/'Equity Price Data'!E128)</f>
        <v>0.1201636803</v>
      </c>
      <c r="F127" s="4">
        <f>F126+(('Equity Price Data'!F129-'Equity Price Data'!F128)/'Equity Price Data'!F128)</f>
        <v>0.1781291258</v>
      </c>
    </row>
    <row r="128">
      <c r="A128" s="43">
        <f>'Equity Price Data'!A130</f>
        <v>45608.66667</v>
      </c>
      <c r="B128" s="4">
        <f>B127+(('Equity Price Data'!B130-'Equity Price Data'!B129)/'Equity Price Data'!B129)</f>
        <v>0.1014457472</v>
      </c>
      <c r="C128" s="4">
        <f>C127+(('Equity Price Data'!C130-'Equity Price Data'!C129)/'Equity Price Data'!C129)</f>
        <v>0.1408962108</v>
      </c>
      <c r="D128" s="4">
        <f>D127+(('Equity Price Data'!D130-'Equity Price Data'!D129)/'Equity Price Data'!D129)</f>
        <v>0.1720042337</v>
      </c>
      <c r="E128" s="4">
        <f>E127+(('Equity Price Data'!E130-'Equity Price Data'!E129)/'Equity Price Data'!E129)</f>
        <v>0.1115359315</v>
      </c>
      <c r="F128" s="4">
        <f>F127+(('Equity Price Data'!F130-'Equity Price Data'!F129)/'Equity Price Data'!F129)</f>
        <v>0.1604164547</v>
      </c>
    </row>
    <row r="129">
      <c r="A129" s="43">
        <f>'Equity Price Data'!A131</f>
        <v>45609.66667</v>
      </c>
      <c r="B129" s="4">
        <f>B128+(('Equity Price Data'!B131-'Equity Price Data'!B130)/'Equity Price Data'!B130)</f>
        <v>0.102324203</v>
      </c>
      <c r="C129" s="4">
        <f>C128+(('Equity Price Data'!C131-'Equity Price Data'!C130)/'Equity Price Data'!C130)</f>
        <v>0.1411284973</v>
      </c>
      <c r="D129" s="4">
        <f>D128+(('Equity Price Data'!D131-'Equity Price Data'!D130)/'Equity Price Data'!D130)</f>
        <v>0.1693757939</v>
      </c>
      <c r="E129" s="4">
        <f>E128+(('Equity Price Data'!E131-'Equity Price Data'!E130)/'Equity Price Data'!E130)</f>
        <v>0.1126110612</v>
      </c>
      <c r="F129" s="4">
        <f>F128+(('Equity Price Data'!F131-'Equity Price Data'!F130)/'Equity Price Data'!F130)</f>
        <v>0.151017872</v>
      </c>
    </row>
    <row r="130">
      <c r="A130" s="43">
        <f>'Equity Price Data'!A132</f>
        <v>45610.66667</v>
      </c>
      <c r="B130" s="4">
        <f>B129+(('Equity Price Data'!B132-'Equity Price Data'!B131)/'Equity Price Data'!B131)</f>
        <v>0.1341787833</v>
      </c>
      <c r="C130" s="4">
        <f>C129+(('Equity Price Data'!C132-'Equity Price Data'!C131)/'Equity Price Data'!C131)</f>
        <v>0.1350787561</v>
      </c>
      <c r="D130" s="4">
        <f>D129+(('Equity Price Data'!D132-'Equity Price Data'!D131)/'Equity Price Data'!D131)</f>
        <v>0.1629761375</v>
      </c>
      <c r="E130" s="4">
        <f>E129+(('Equity Price Data'!E132-'Equity Price Data'!E131)/'Equity Price Data'!E131)</f>
        <v>0.107894534</v>
      </c>
      <c r="F130" s="4">
        <f>F129+(('Equity Price Data'!F132-'Equity Price Data'!F131)/'Equity Price Data'!F131)</f>
        <v>0.1373306893</v>
      </c>
    </row>
    <row r="131">
      <c r="A131" s="43">
        <f>'Equity Price Data'!A133</f>
        <v>45611.66667</v>
      </c>
      <c r="B131" s="4">
        <f>B130+(('Equity Price Data'!B133-'Equity Price Data'!B132)/'Equity Price Data'!B132)</f>
        <v>0.1158022609</v>
      </c>
      <c r="C131" s="4">
        <f>C130+(('Equity Price Data'!C133-'Equity Price Data'!C132)/'Equity Price Data'!C132)</f>
        <v>0.1218752336</v>
      </c>
      <c r="D131" s="4">
        <f>D130+(('Equity Price Data'!D133-'Equity Price Data'!D132)/'Equity Price Data'!D132)</f>
        <v>0.1406013295</v>
      </c>
      <c r="E131" s="4">
        <f>E130+(('Equity Price Data'!E133-'Equity Price Data'!E132)/'Equity Price Data'!E132)</f>
        <v>0.1009033572</v>
      </c>
      <c r="F131" s="4">
        <f>F130+(('Equity Price Data'!F133-'Equity Price Data'!F132)/'Equity Price Data'!F132)</f>
        <v>0.1231668683</v>
      </c>
    </row>
    <row r="132">
      <c r="A132" s="43">
        <f>'Equity Price Data'!A134</f>
        <v>45614.66667</v>
      </c>
      <c r="B132" s="4">
        <f>B131+(('Equity Price Data'!B134-'Equity Price Data'!B133)/'Equity Price Data'!B133)</f>
        <v>0.1153040612</v>
      </c>
      <c r="C132" s="4">
        <f>C131+(('Equity Price Data'!C134-'Equity Price Data'!C133)/'Equity Price Data'!C133)</f>
        <v>0.125793048</v>
      </c>
      <c r="D132" s="4">
        <f>D131+(('Equity Price Data'!D134-'Equity Price Data'!D133)/'Equity Price Data'!D133)</f>
        <v>0.1465804132</v>
      </c>
      <c r="E132" s="4">
        <f>E131+(('Equity Price Data'!E134-'Equity Price Data'!E133)/'Equity Price Data'!E133)</f>
        <v>0.09962841154</v>
      </c>
      <c r="F132" s="4">
        <f>F131+(('Equity Price Data'!F134-'Equity Price Data'!F133)/'Equity Price Data'!F133)</f>
        <v>0.1242520131</v>
      </c>
    </row>
    <row r="133">
      <c r="A133" s="43">
        <f>'Equity Price Data'!A135</f>
        <v>45615.66667</v>
      </c>
      <c r="B133" s="4">
        <f>B132+(('Equity Price Data'!B135-'Equity Price Data'!B134)/'Equity Price Data'!B134)</f>
        <v>0.1145448508</v>
      </c>
      <c r="C133" s="4">
        <f>C132+(('Equity Price Data'!C135-'Equity Price Data'!C134)/'Equity Price Data'!C134)</f>
        <v>0.1297566561</v>
      </c>
      <c r="D133" s="4">
        <f>D132+(('Equity Price Data'!D135-'Equity Price Data'!D134)/'Equity Price Data'!D134)</f>
        <v>0.1569923958</v>
      </c>
      <c r="E133" s="4">
        <f>E132+(('Equity Price Data'!E135-'Equity Price Data'!E134)/'Equity Price Data'!E134)</f>
        <v>0.09684756083</v>
      </c>
      <c r="F133" s="4">
        <f>F132+(('Equity Price Data'!F135-'Equity Price Data'!F134)/'Equity Price Data'!F134)</f>
        <v>0.1322690444</v>
      </c>
    </row>
    <row r="134">
      <c r="A134" s="43">
        <f>'Equity Price Data'!A136</f>
        <v>45616.66667</v>
      </c>
      <c r="B134" s="4">
        <f>B133+(('Equity Price Data'!B136-'Equity Price Data'!B135)/'Equity Price Data'!B135)</f>
        <v>0.1141991826</v>
      </c>
      <c r="C134" s="4">
        <f>C133+(('Equity Price Data'!C136-'Equity Price Data'!C135)/'Equity Price Data'!C135)</f>
        <v>0.1297786268</v>
      </c>
      <c r="D134" s="4">
        <f>D133+(('Equity Price Data'!D136-'Equity Price Data'!D135)/'Equity Price Data'!D135)</f>
        <v>0.1558690234</v>
      </c>
      <c r="E134" s="4">
        <f>E133+(('Equity Price Data'!E136-'Equity Price Data'!E135)/'Equity Price Data'!E135)</f>
        <v>0.1000722758</v>
      </c>
      <c r="F134" s="4">
        <f>F133+(('Equity Price Data'!F136-'Equity Price Data'!F135)/'Equity Price Data'!F135)</f>
        <v>0.1325701417</v>
      </c>
    </row>
    <row r="135">
      <c r="A135" s="43">
        <f>'Equity Price Data'!A137</f>
        <v>45617.66667</v>
      </c>
      <c r="B135" s="4">
        <f>B134+(('Equity Price Data'!B137-'Equity Price Data'!B136)/'Equity Price Data'!B136)</f>
        <v>0.1238678116</v>
      </c>
      <c r="C135" s="4">
        <f>C134+(('Equity Price Data'!C137-'Equity Price Data'!C136)/'Equity Price Data'!C136)</f>
        <v>0.1351190717</v>
      </c>
      <c r="D135" s="4">
        <f>D134+(('Equity Price Data'!D137-'Equity Price Data'!D136)/'Equity Price Data'!D136)</f>
        <v>0.1562001398</v>
      </c>
      <c r="E135" s="4">
        <f>E134+(('Equity Price Data'!E137-'Equity Price Data'!E136)/'Equity Price Data'!E136)</f>
        <v>0.1107125956</v>
      </c>
      <c r="F135" s="4">
        <f>F134+(('Equity Price Data'!F137-'Equity Price Data'!F136)/'Equity Price Data'!F136)</f>
        <v>0.1491212075</v>
      </c>
    </row>
    <row r="136">
      <c r="A136" s="43">
        <f>'Equity Price Data'!A138</f>
        <v>45618.66667</v>
      </c>
      <c r="B136" s="4">
        <f>B135+(('Equity Price Data'!B138-'Equity Price Data'!B137)/'Equity Price Data'!B137)</f>
        <v>0.1291288495</v>
      </c>
      <c r="C136" s="4">
        <f>C135+(('Equity Price Data'!C138-'Equity Price Data'!C137)/'Equity Price Data'!C137)</f>
        <v>0.1385870505</v>
      </c>
      <c r="D136" s="4">
        <f>D135+(('Equity Price Data'!D138-'Equity Price Data'!D137)/'Equity Price Data'!D137)</f>
        <v>0.1578462134</v>
      </c>
      <c r="E136" s="4">
        <f>E135+(('Equity Price Data'!E138-'Equity Price Data'!E137)/'Equity Price Data'!E137)</f>
        <v>0.1204266735</v>
      </c>
      <c r="F136" s="4">
        <f>F135+(('Equity Price Data'!F138-'Equity Price Data'!F137)/'Equity Price Data'!F137)</f>
        <v>0.16716251</v>
      </c>
    </row>
    <row r="137">
      <c r="A137" s="43">
        <f>'Equity Price Data'!A139</f>
        <v>45621.66667</v>
      </c>
      <c r="B137" s="4">
        <f>B136+(('Equity Price Data'!B139-'Equity Price Data'!B138)/'Equity Price Data'!B138)</f>
        <v>0.1348784029</v>
      </c>
      <c r="C137" s="4">
        <f>C136+(('Equity Price Data'!C139-'Equity Price Data'!C138)/'Equity Price Data'!C138)</f>
        <v>0.1416074849</v>
      </c>
      <c r="D137" s="4">
        <f>D136+(('Equity Price Data'!D139-'Equity Price Data'!D138)/'Equity Price Data'!D138)</f>
        <v>0.1605399065</v>
      </c>
      <c r="E137" s="4">
        <f>E136+(('Equity Price Data'!E139-'Equity Price Data'!E138)/'Equity Price Data'!E138)</f>
        <v>0.1303610905</v>
      </c>
      <c r="F137" s="4">
        <f>F136+(('Equity Price Data'!F139-'Equity Price Data'!F138)/'Equity Price Data'!F138)</f>
        <v>0.1818550104</v>
      </c>
    </row>
    <row r="138">
      <c r="A138" s="43">
        <f>'Equity Price Data'!A140</f>
        <v>45622.66667</v>
      </c>
      <c r="B138" s="4">
        <f>B137+(('Equity Price Data'!B140-'Equity Price Data'!B139)/'Equity Price Data'!B139)</f>
        <v>0.137788289</v>
      </c>
      <c r="C138" s="4">
        <f>C137+(('Equity Price Data'!C140-'Equity Price Data'!C139)/'Equity Price Data'!C139)</f>
        <v>0.1473295298</v>
      </c>
      <c r="D138" s="4">
        <f>D137+(('Equity Price Data'!D140-'Equity Price Data'!D139)/'Equity Price Data'!D139)</f>
        <v>0.1668763543</v>
      </c>
      <c r="E138" s="4">
        <f>E137+(('Equity Price Data'!E140-'Equity Price Data'!E139)/'Equity Price Data'!E139)</f>
        <v>0.1331270602</v>
      </c>
      <c r="F138" s="4">
        <f>F137+(('Equity Price Data'!F140-'Equity Price Data'!F139)/'Equity Price Data'!F139)</f>
        <v>0.1745987523</v>
      </c>
    </row>
    <row r="139">
      <c r="A139" s="43">
        <f>'Equity Price Data'!A141</f>
        <v>45623.66667</v>
      </c>
      <c r="B139" s="4">
        <f>B138+(('Equity Price Data'!B141-'Equity Price Data'!B140)/'Equity Price Data'!B140)</f>
        <v>0.1392176785</v>
      </c>
      <c r="C139" s="4">
        <f>C138+(('Equity Price Data'!C141-'Equity Price Data'!C140)/'Equity Price Data'!C140)</f>
        <v>0.1435282335</v>
      </c>
      <c r="D139" s="4">
        <f>D138+(('Equity Price Data'!D141-'Equity Price Data'!D140)/'Equity Price Data'!D140)</f>
        <v>0.1608739283</v>
      </c>
      <c r="E139" s="4">
        <f>E138+(('Equity Price Data'!E141-'Equity Price Data'!E140)/'Equity Price Data'!E140)</f>
        <v>0.1300452715</v>
      </c>
      <c r="F139" s="4">
        <f>F138+(('Equity Price Data'!F141-'Equity Price Data'!F140)/'Equity Price Data'!F140)</f>
        <v>0.1753742307</v>
      </c>
    </row>
    <row r="140">
      <c r="A140" s="43">
        <f>'Equity Price Data'!A142</f>
        <v>45625.54514</v>
      </c>
      <c r="B140" s="4">
        <f>B139+(('Equity Price Data'!B142-'Equity Price Data'!B141)/'Equity Price Data'!B141)</f>
        <v>0.1431224725</v>
      </c>
      <c r="C140" s="4">
        <f>C139+(('Equity Price Data'!C142-'Equity Price Data'!C141)/'Equity Price Data'!C141)</f>
        <v>0.1491360778</v>
      </c>
      <c r="D140" s="4">
        <f>D139+(('Equity Price Data'!D142-'Equity Price Data'!D141)/'Equity Price Data'!D141)</f>
        <v>0.1691470673</v>
      </c>
      <c r="E140" s="4">
        <f>E139+(('Equity Price Data'!E142-'Equity Price Data'!E141)/'Equity Price Data'!E141)</f>
        <v>0.134262206</v>
      </c>
      <c r="F140" s="4">
        <f>F139+(('Equity Price Data'!F142-'Equity Price Data'!F141)/'Equity Price Data'!F141)</f>
        <v>0.1789106396</v>
      </c>
    </row>
    <row r="141">
      <c r="A141" s="43">
        <f>'Equity Price Data'!A143</f>
        <v>45628.66667</v>
      </c>
      <c r="B141" s="4">
        <f>B140+(('Equity Price Data'!B143-'Equity Price Data'!B142)/'Equity Price Data'!B142)</f>
        <v>0.1402172848</v>
      </c>
      <c r="C141" s="4">
        <f>C140+(('Equity Price Data'!C143-'Equity Price Data'!C142)/'Equity Price Data'!C142)</f>
        <v>0.151584531</v>
      </c>
      <c r="D141" s="4">
        <f>D140+(('Equity Price Data'!D143-'Equity Price Data'!D142)/'Equity Price Data'!D142)</f>
        <v>0.1788139607</v>
      </c>
      <c r="E141" s="4">
        <f>E140+(('Equity Price Data'!E143-'Equity Price Data'!E142)/'Equity Price Data'!E142)</f>
        <v>0.1313976293</v>
      </c>
      <c r="F141" s="4">
        <f>F140+(('Equity Price Data'!F143-'Equity Price Data'!F142)/'Equity Price Data'!F142)</f>
        <v>0.1786518883</v>
      </c>
    </row>
    <row r="142">
      <c r="A142" s="43">
        <f>'Equity Price Data'!A144</f>
        <v>45629.66667</v>
      </c>
      <c r="B142" s="4">
        <f>B141+(('Equity Price Data'!B144-'Equity Price Data'!B143)/'Equity Price Data'!B143)</f>
        <v>0.1364329033</v>
      </c>
      <c r="C142" s="4">
        <f>C141+(('Equity Price Data'!C144-'Equity Price Data'!C143)/'Equity Price Data'!C143)</f>
        <v>0.1520359833</v>
      </c>
      <c r="D142" s="4">
        <f>D141+(('Equity Price Data'!D144-'Equity Price Data'!D143)/'Equity Price Data'!D143)</f>
        <v>0.1827801634</v>
      </c>
      <c r="E142" s="4">
        <f>E141+(('Equity Price Data'!E144-'Equity Price Data'!E143)/'Equity Price Data'!E143)</f>
        <v>0.1296900236</v>
      </c>
      <c r="F142" s="4">
        <f>F141+(('Equity Price Data'!F144-'Equity Price Data'!F143)/'Equity Price Data'!F143)</f>
        <v>0.1713433522</v>
      </c>
    </row>
    <row r="143">
      <c r="A143" s="43">
        <f>'Equity Price Data'!A145</f>
        <v>45630.66667</v>
      </c>
      <c r="B143" s="4">
        <f>B142+(('Equity Price Data'!B145-'Equity Price Data'!B144)/'Equity Price Data'!B144)</f>
        <v>0.1368814035</v>
      </c>
      <c r="C143" s="4">
        <f>C142+(('Equity Price Data'!C145-'Equity Price Data'!C144)/'Equity Price Data'!C144)</f>
        <v>0.158087343</v>
      </c>
      <c r="D143" s="4">
        <f>D142+(('Equity Price Data'!D145-'Equity Price Data'!D144)/'Equity Price Data'!D144)</f>
        <v>0.1958293485</v>
      </c>
      <c r="E143" s="4">
        <f>E142+(('Equity Price Data'!E145-'Equity Price Data'!E144)/'Equity Price Data'!E144)</f>
        <v>0.1365909596</v>
      </c>
      <c r="F143" s="4">
        <f>F142+(('Equity Price Data'!F145-'Equity Price Data'!F144)/'Equity Price Data'!F144)</f>
        <v>0.1755687335</v>
      </c>
    </row>
    <row r="144">
      <c r="A144" s="43">
        <f>'Equity Price Data'!A146</f>
        <v>45631.66667</v>
      </c>
      <c r="B144" s="4">
        <f>B143+(('Equity Price Data'!B146-'Equity Price Data'!B145)/'Equity Price Data'!B145)</f>
        <v>0.1346387993</v>
      </c>
      <c r="C144" s="4">
        <f>C143+(('Equity Price Data'!C146-'Equity Price Data'!C145)/'Equity Price Data'!C145)</f>
        <v>0.1562176283</v>
      </c>
      <c r="D144" s="4">
        <f>D143+(('Equity Price Data'!D146-'Equity Price Data'!D145)/'Equity Price Data'!D145)</f>
        <v>0.1940862631</v>
      </c>
      <c r="E144" s="4">
        <f>E143+(('Equity Price Data'!E146-'Equity Price Data'!E145)/'Equity Price Data'!E145)</f>
        <v>0.1310742364</v>
      </c>
      <c r="F144" s="4">
        <f>F143+(('Equity Price Data'!F146-'Equity Price Data'!F145)/'Equity Price Data'!F145)</f>
        <v>0.1630448313</v>
      </c>
    </row>
    <row r="145">
      <c r="A145" s="43">
        <f>'Equity Price Data'!A147</f>
        <v>45632.66667</v>
      </c>
      <c r="B145" s="4">
        <f>B144+(('Equity Price Data'!B147-'Equity Price Data'!B146)/'Equity Price Data'!B146)</f>
        <v>0.1362245238</v>
      </c>
      <c r="C145" s="4">
        <f>C144+(('Equity Price Data'!C147-'Equity Price Data'!C146)/'Equity Price Data'!C146)</f>
        <v>0.1587130564</v>
      </c>
      <c r="D145" s="4">
        <f>D144+(('Equity Price Data'!D147-'Equity Price Data'!D146)/'Equity Price Data'!D146)</f>
        <v>0.2021595721</v>
      </c>
      <c r="E145" s="4">
        <f>E144+(('Equity Price Data'!E147-'Equity Price Data'!E146)/'Equity Price Data'!E146)</f>
        <v>0.1283223533</v>
      </c>
      <c r="F145" s="4">
        <f>F144+(('Equity Price Data'!F147-'Equity Price Data'!F146)/'Equity Price Data'!F146)</f>
        <v>0.168395036</v>
      </c>
    </row>
    <row r="146">
      <c r="A146" s="43">
        <f>'Equity Price Data'!A148</f>
        <v>45635.66667</v>
      </c>
      <c r="B146" s="4">
        <f>B145+(('Equity Price Data'!B148-'Equity Price Data'!B147)/'Equity Price Data'!B147)</f>
        <v>0.1295660824</v>
      </c>
      <c r="C146" s="4">
        <f>C145+(('Equity Price Data'!C148-'Equity Price Data'!C147)/'Equity Price Data'!C147)</f>
        <v>0.1525688296</v>
      </c>
      <c r="D146" s="4">
        <f>D145+(('Equity Price Data'!D148-'Equity Price Data'!D147)/'Equity Price Data'!D147)</f>
        <v>0.1959621186</v>
      </c>
      <c r="E146" s="4">
        <f>E145+(('Equity Price Data'!E148-'Equity Price Data'!E147)/'Equity Price Data'!E147)</f>
        <v>0.1229330966</v>
      </c>
      <c r="F146" s="4">
        <f>F145+(('Equity Price Data'!F148-'Equity Price Data'!F147)/'Equity Price Data'!F147)</f>
        <v>0.1616909816</v>
      </c>
    </row>
    <row r="147">
      <c r="A147" s="43">
        <f>'Equity Price Data'!A149</f>
        <v>45636.66667</v>
      </c>
      <c r="B147" s="4">
        <f>B146+(('Equity Price Data'!B149-'Equity Price Data'!B148)/'Equity Price Data'!B148)</f>
        <v>0.1255733847</v>
      </c>
      <c r="C147" s="4">
        <f>C146+(('Equity Price Data'!C149-'Equity Price Data'!C148)/'Equity Price Data'!C148)</f>
        <v>0.1496049365</v>
      </c>
      <c r="D147" s="4">
        <f>D146+(('Equity Price Data'!D149-'Equity Price Data'!D148)/'Equity Price Data'!D148)</f>
        <v>0.1934566327</v>
      </c>
      <c r="E147" s="4">
        <f>E146+(('Equity Price Data'!E149-'Equity Price Data'!E148)/'Equity Price Data'!E148)</f>
        <v>0.1194625267</v>
      </c>
      <c r="F147" s="4">
        <f>F146+(('Equity Price Data'!F149-'Equity Price Data'!F148)/'Equity Price Data'!F148)</f>
        <v>0.1574825933</v>
      </c>
    </row>
    <row r="148">
      <c r="A148" s="43">
        <f>'Equity Price Data'!A150</f>
        <v>45637.66667</v>
      </c>
      <c r="B148" s="4">
        <f>B147+(('Equity Price Data'!B150-'Equity Price Data'!B149)/'Equity Price Data'!B149)</f>
        <v>0.1246938729</v>
      </c>
      <c r="C148" s="4">
        <f>C147+(('Equity Price Data'!C150-'Equity Price Data'!C149)/'Equity Price Data'!C149)</f>
        <v>0.1577707584</v>
      </c>
      <c r="D148" s="4">
        <f>D147+(('Equity Price Data'!D150-'Equity Price Data'!D149)/'Equity Price Data'!D149)</f>
        <v>0.2111152786</v>
      </c>
      <c r="E148" s="4">
        <f>E147+(('Equity Price Data'!E150-'Equity Price Data'!E149)/'Equity Price Data'!E149)</f>
        <v>0.1172190269</v>
      </c>
      <c r="F148" s="4">
        <f>F147+(('Equity Price Data'!F150-'Equity Price Data'!F149)/'Equity Price Data'!F149)</f>
        <v>0.1622627441</v>
      </c>
    </row>
    <row r="149">
      <c r="A149" s="43">
        <f>'Equity Price Data'!A151</f>
        <v>45638.66667</v>
      </c>
      <c r="B149" s="4">
        <f>B148+(('Equity Price Data'!B151-'Equity Price Data'!B150)/'Equity Price Data'!B150)</f>
        <v>0.1178651569</v>
      </c>
      <c r="C149" s="4">
        <f>C148+(('Equity Price Data'!C151-'Equity Price Data'!C150)/'Equity Price Data'!C150)</f>
        <v>0.1523567263</v>
      </c>
      <c r="D149" s="4">
        <f>D148+(('Equity Price Data'!D151-'Equity Price Data'!D150)/'Equity Price Data'!D150)</f>
        <v>0.2045242766</v>
      </c>
      <c r="E149" s="4">
        <f>E148+(('Equity Price Data'!E151-'Equity Price Data'!E150)/'Equity Price Data'!E150)</f>
        <v>0.1119087744</v>
      </c>
      <c r="F149" s="4">
        <f>F148+(('Equity Price Data'!F151-'Equity Price Data'!F150)/'Equity Price Data'!F150)</f>
        <v>0.1484457895</v>
      </c>
    </row>
    <row r="150">
      <c r="A150" s="43">
        <f>'Equity Price Data'!A152</f>
        <v>45639.66667</v>
      </c>
      <c r="B150" s="4">
        <f>B149+(('Equity Price Data'!B152-'Equity Price Data'!B151)/'Equity Price Data'!B151)</f>
        <v>0.1149656583</v>
      </c>
      <c r="C150" s="4">
        <f>C149+(('Equity Price Data'!C152-'Equity Price Data'!C151)/'Equity Price Data'!C151)</f>
        <v>0.1523302855</v>
      </c>
      <c r="D150" s="4">
        <f>D149+(('Equity Price Data'!D152-'Equity Price Data'!D151)/'Equity Price Data'!D151)</f>
        <v>0.2057241053</v>
      </c>
      <c r="E150" s="4">
        <f>E149+(('Equity Price Data'!E152-'Equity Price Data'!E151)/'Equity Price Data'!E151)</f>
        <v>0.1099490403</v>
      </c>
      <c r="F150" s="4">
        <f>F149+(('Equity Price Data'!F152-'Equity Price Data'!F151)/'Equity Price Data'!F151)</f>
        <v>0.1424400633</v>
      </c>
    </row>
    <row r="151">
      <c r="A151" s="43">
        <f>'Equity Price Data'!A153</f>
        <v>45642.66667</v>
      </c>
      <c r="B151" s="4">
        <f>B150+(('Equity Price Data'!B153-'Equity Price Data'!B152)/'Equity Price Data'!B152)</f>
        <v>0.1114849314</v>
      </c>
      <c r="C151" s="4">
        <f>C150+(('Equity Price Data'!C153-'Equity Price Data'!C152)/'Equity Price Data'!C152)</f>
        <v>0.156129601</v>
      </c>
      <c r="D151" s="4">
        <f>D150+(('Equity Price Data'!D153-'Equity Price Data'!D152)/'Equity Price Data'!D152)</f>
        <v>0.2181280534</v>
      </c>
      <c r="E151" s="4">
        <f>E150+(('Equity Price Data'!E153-'Equity Price Data'!E152)/'Equity Price Data'!E152)</f>
        <v>0.1074259991</v>
      </c>
      <c r="F151" s="4">
        <f>F150+(('Equity Price Data'!F153-'Equity Price Data'!F152)/'Equity Price Data'!F152)</f>
        <v>0.1488698217</v>
      </c>
    </row>
    <row r="152">
      <c r="A152" s="43">
        <f>'Equity Price Data'!A154</f>
        <v>45643.66667</v>
      </c>
      <c r="B152" s="4">
        <f>B151+(('Equity Price Data'!B154-'Equity Price Data'!B153)/'Equity Price Data'!B153)</f>
        <v>0.1051825089</v>
      </c>
      <c r="C152" s="4">
        <f>C151+(('Equity Price Data'!C154-'Equity Price Data'!C153)/'Equity Price Data'!C153)</f>
        <v>0.1522656413</v>
      </c>
      <c r="D152" s="4">
        <f>D151+(('Equity Price Data'!D154-'Equity Price Data'!D153)/'Equity Price Data'!D153)</f>
        <v>0.2149144937</v>
      </c>
      <c r="E152" s="4">
        <f>E151+(('Equity Price Data'!E154-'Equity Price Data'!E153)/'Equity Price Data'!E153)</f>
        <v>0.1013053352</v>
      </c>
      <c r="F152" s="4">
        <f>F151+(('Equity Price Data'!F154-'Equity Price Data'!F153)/'Equity Price Data'!F153)</f>
        <v>0.1370535143</v>
      </c>
    </row>
    <row r="153">
      <c r="A153" s="43">
        <f>'Equity Price Data'!A155</f>
        <v>45644.66667</v>
      </c>
      <c r="B153" s="4">
        <f>B152+(('Equity Price Data'!B155-'Equity Price Data'!B154)/'Equity Price Data'!B154)</f>
        <v>0.08320496841</v>
      </c>
      <c r="C153" s="4">
        <f>C152+(('Equity Price Data'!C155-'Equity Price Data'!C154)/'Equity Price Data'!C154)</f>
        <v>0.1227727472</v>
      </c>
      <c r="D153" s="4">
        <f>D152+(('Equity Price Data'!D155-'Equity Price Data'!D154)/'Equity Price Data'!D154)</f>
        <v>0.1792902527</v>
      </c>
      <c r="E153" s="4">
        <f>E152+(('Equity Price Data'!E155-'Equity Price Data'!E154)/'Equity Price Data'!E154)</f>
        <v>0.07545878551</v>
      </c>
      <c r="F153" s="4">
        <f>F152+(('Equity Price Data'!F155-'Equity Price Data'!F154)/'Equity Price Data'!F154)</f>
        <v>0.09310900509</v>
      </c>
    </row>
    <row r="154">
      <c r="A154" s="43">
        <f>'Equity Price Data'!A156</f>
        <v>45645.66667</v>
      </c>
      <c r="B154" s="4">
        <f>B153+(('Equity Price Data'!B156-'Equity Price Data'!B155)/'Equity Price Data'!B155)</f>
        <v>0.08352363613</v>
      </c>
      <c r="C154" s="4">
        <f>C153+(('Equity Price Data'!C156-'Equity Price Data'!C155)/'Equity Price Data'!C155)</f>
        <v>0.1219076482</v>
      </c>
      <c r="D154" s="4">
        <f>D153+(('Equity Price Data'!D156-'Equity Price Data'!D155)/'Equity Price Data'!D155)</f>
        <v>0.1782630615</v>
      </c>
      <c r="E154" s="4">
        <f>E153+(('Equity Price Data'!E156-'Equity Price Data'!E155)/'Equity Price Data'!E155)</f>
        <v>0.07582191182</v>
      </c>
      <c r="F154" s="4">
        <f>F153+(('Equity Price Data'!F156-'Equity Price Data'!F155)/'Equity Price Data'!F155)</f>
        <v>0.08862325329</v>
      </c>
    </row>
    <row r="155">
      <c r="A155" s="43">
        <f>'Equity Price Data'!A157</f>
        <v>45646.66667</v>
      </c>
      <c r="B155" s="4">
        <f>B154+(('Equity Price Data'!B157-'Equity Price Data'!B156)/'Equity Price Data'!B156)</f>
        <v>0.09622231071</v>
      </c>
      <c r="C155" s="4">
        <f>C154+(('Equity Price Data'!C157-'Equity Price Data'!C156)/'Equity Price Data'!C156)</f>
        <v>0.1327767688</v>
      </c>
      <c r="D155" s="4">
        <f>D154+(('Equity Price Data'!D157-'Equity Price Data'!D156)/'Equity Price Data'!D156)</f>
        <v>0.1885780552</v>
      </c>
      <c r="E155" s="4">
        <f>E154+(('Equity Price Data'!E157-'Equity Price Data'!E156)/'Equity Price Data'!E156)</f>
        <v>0.08758368918</v>
      </c>
      <c r="F155" s="4">
        <f>F154+(('Equity Price Data'!F157-'Equity Price Data'!F156)/'Equity Price Data'!F156)</f>
        <v>0.09801780652</v>
      </c>
    </row>
    <row r="156">
      <c r="A156" s="43">
        <f>'Equity Price Data'!A158</f>
        <v>45649.66667</v>
      </c>
      <c r="B156" s="4">
        <f>B155+(('Equity Price Data'!B158-'Equity Price Data'!B157)/'Equity Price Data'!B157)</f>
        <v>0.09939985385</v>
      </c>
      <c r="C156" s="4">
        <f>C155+(('Equity Price Data'!C158-'Equity Price Data'!C157)/'Equity Price Data'!C157)</f>
        <v>0.1400640885</v>
      </c>
      <c r="D156" s="4">
        <f>D155+(('Equity Price Data'!D158-'Equity Price Data'!D157)/'Equity Price Data'!D157)</f>
        <v>0.1984019927</v>
      </c>
      <c r="E156" s="4">
        <f>E155+(('Equity Price Data'!E158-'Equity Price Data'!E157)/'Equity Price Data'!E157)</f>
        <v>0.08914040243</v>
      </c>
      <c r="F156" s="4">
        <f>F155+(('Equity Price Data'!F158-'Equity Price Data'!F157)/'Equity Price Data'!F157)</f>
        <v>0.09581923982</v>
      </c>
    </row>
    <row r="157">
      <c r="A157" s="43">
        <f>'Equity Price Data'!A159</f>
        <v>45650.54514</v>
      </c>
      <c r="B157" s="4">
        <f>B156+(('Equity Price Data'!B159-'Equity Price Data'!B158)/'Equity Price Data'!B158)</f>
        <v>0.1060672768</v>
      </c>
      <c r="C157" s="4">
        <f>C156+(('Equity Price Data'!C159-'Equity Price Data'!C158)/'Equity Price Data'!C158)</f>
        <v>0.1511068114</v>
      </c>
      <c r="D157" s="4">
        <f>D156+(('Equity Price Data'!D159-'Equity Price Data'!D158)/'Equity Price Data'!D158)</f>
        <v>0.2118728562</v>
      </c>
      <c r="E157" s="4">
        <f>E156+(('Equity Price Data'!E159-'Equity Price Data'!E158)/'Equity Price Data'!E158)</f>
        <v>0.09823170349</v>
      </c>
      <c r="F157" s="4">
        <f>F156+(('Equity Price Data'!F159-'Equity Price Data'!F158)/'Equity Price Data'!F158)</f>
        <v>0.1058351509</v>
      </c>
    </row>
    <row r="158">
      <c r="A158" s="43">
        <f>'Equity Price Data'!A160</f>
        <v>45652.66667</v>
      </c>
      <c r="B158" s="4">
        <f>B157+(('Equity Price Data'!B160-'Equity Price Data'!B159)/'Equity Price Data'!B159)</f>
        <v>0.1073432567</v>
      </c>
      <c r="C158" s="4">
        <f>C157+(('Equity Price Data'!C160-'Equity Price Data'!C159)/'Equity Price Data'!C159)</f>
        <v>0.150701185</v>
      </c>
      <c r="D158" s="4">
        <f>D157+(('Equity Price Data'!D160-'Equity Price Data'!D159)/'Equity Price Data'!D159)</f>
        <v>0.2113351931</v>
      </c>
      <c r="E158" s="4">
        <f>E157+(('Equity Price Data'!E160-'Equity Price Data'!E159)/'Equity Price Data'!E159)</f>
        <v>0.09889618324</v>
      </c>
      <c r="F158" s="4">
        <f>F157+(('Equity Price Data'!F160-'Equity Price Data'!F159)/'Equity Price Data'!F159)</f>
        <v>0.1148357482</v>
      </c>
    </row>
    <row r="159">
      <c r="A159" s="43">
        <f>'Equity Price Data'!A161</f>
        <v>45653.66667</v>
      </c>
      <c r="B159" s="4">
        <f>B158+(('Equity Price Data'!B161-'Equity Price Data'!B160)/'Equity Price Data'!B160)</f>
        <v>0.1004707555</v>
      </c>
      <c r="C159" s="4">
        <f>C158+(('Equity Price Data'!C161-'Equity Price Data'!C160)/'Equity Price Data'!C160)</f>
        <v>0.1396454492</v>
      </c>
      <c r="D159" s="4">
        <f>D158+(('Equity Price Data'!D161-'Equity Price Data'!D160)/'Equity Price Data'!D160)</f>
        <v>0.1964338626</v>
      </c>
      <c r="E159" s="4">
        <f>E158+(('Equity Price Data'!E161-'Equity Price Data'!E160)/'Equity Price Data'!E160)</f>
        <v>0.09119661393</v>
      </c>
      <c r="F159" s="4">
        <f>F158+(('Equity Price Data'!F161-'Equity Price Data'!F160)/'Equity Price Data'!F160)</f>
        <v>0.09922301422</v>
      </c>
    </row>
    <row r="160">
      <c r="A160" s="43">
        <f>'Equity Price Data'!A162</f>
        <v>45656.66667</v>
      </c>
      <c r="B160" s="4">
        <f>B159+(('Equity Price Data'!B162-'Equity Price Data'!B161)/'Equity Price Data'!B161)</f>
        <v>0.09199951841</v>
      </c>
      <c r="C160" s="4">
        <f>C159+(('Equity Price Data'!C162-'Equity Price Data'!C161)/'Equity Price Data'!C161)</f>
        <v>0.1289434374</v>
      </c>
      <c r="D160" s="4">
        <f>D159+(('Equity Price Data'!D162-'Equity Price Data'!D161)/'Equity Price Data'!D161)</f>
        <v>0.1845060844</v>
      </c>
      <c r="E160" s="4">
        <f>E159+(('Equity Price Data'!E162-'Equity Price Data'!E161)/'Equity Price Data'!E161)</f>
        <v>0.0814627575</v>
      </c>
      <c r="F160" s="4">
        <f>F159+(('Equity Price Data'!F162-'Equity Price Data'!F161)/'Equity Price Data'!F161)</f>
        <v>0.09173389594</v>
      </c>
    </row>
    <row r="161">
      <c r="A161" s="43">
        <f>'Equity Price Data'!A163</f>
        <v>45657.66667</v>
      </c>
      <c r="B161" s="4">
        <f>B160+(('Equity Price Data'!B163-'Equity Price Data'!B162)/'Equity Price Data'!B162)</f>
        <v>0.09154446737</v>
      </c>
      <c r="C161" s="4">
        <f>C160+(('Equity Price Data'!C163-'Equity Price Data'!C162)/'Equity Price Data'!C162)</f>
        <v>0.1246586469</v>
      </c>
      <c r="D161" s="4">
        <f>D160+(('Equity Price Data'!D163-'Equity Price Data'!D162)/'Equity Price Data'!D162)</f>
        <v>0.1754743249</v>
      </c>
      <c r="E161" s="4">
        <f>E160+(('Equity Price Data'!E163-'Equity Price Data'!E162)/'Equity Price Data'!E162)</f>
        <v>0.08076960705</v>
      </c>
      <c r="F161" s="4">
        <f>F160+(('Equity Price Data'!F163-'Equity Price Data'!F162)/'Equity Price Data'!F162)</f>
        <v>0.09280222405</v>
      </c>
    </row>
    <row r="162">
      <c r="A162" s="43">
        <f>'Equity Price Data'!A164</f>
        <v>45659.66667</v>
      </c>
      <c r="B162" s="4">
        <f>B161+(('Equity Price Data'!B164-'Equity Price Data'!B163)/'Equity Price Data'!B163)</f>
        <v>0.08907164906</v>
      </c>
      <c r="C162" s="4">
        <f>C161+(('Equity Price Data'!C164-'Equity Price Data'!C163)/'Equity Price Data'!C163)</f>
        <v>0.1224347736</v>
      </c>
      <c r="D162" s="4">
        <f>D161+(('Equity Price Data'!D164-'Equity Price Data'!D163)/'Equity Price Data'!D163)</f>
        <v>0.1739207893</v>
      </c>
      <c r="E162" s="4">
        <f>E161+(('Equity Price Data'!E164-'Equity Price Data'!E163)/'Equity Price Data'!E163)</f>
        <v>0.07719802905</v>
      </c>
      <c r="F162" s="4">
        <f>F161+(('Equity Price Data'!F164-'Equity Price Data'!F163)/'Equity Price Data'!F163)</f>
        <v>0.09347930552</v>
      </c>
    </row>
    <row r="163">
      <c r="A163" s="43">
        <f>'Equity Price Data'!A165</f>
        <v>45660.66667</v>
      </c>
      <c r="B163" s="4">
        <f>B162+(('Equity Price Data'!B165-'Equity Price Data'!B164)/'Equity Price Data'!B164)</f>
        <v>0.09810338884</v>
      </c>
      <c r="C163" s="4">
        <f>C162+(('Equity Price Data'!C165-'Equity Price Data'!C164)/'Equity Price Data'!C164)</f>
        <v>0.13503073</v>
      </c>
      <c r="D163" s="4">
        <f>D162+(('Equity Price Data'!D165-'Equity Price Data'!D164)/'Equity Price Data'!D164)</f>
        <v>0.1916010815</v>
      </c>
      <c r="E163" s="4">
        <f>E162+(('Equity Price Data'!E165-'Equity Price Data'!E164)/'Equity Price Data'!E164)</f>
        <v>0.08521505669</v>
      </c>
      <c r="F163" s="4">
        <f>F162+(('Equity Price Data'!F165-'Equity Price Data'!F164)/'Equity Price Data'!F164)</f>
        <v>0.1099691987</v>
      </c>
    </row>
    <row r="164">
      <c r="A164" s="43">
        <f>'Equity Price Data'!A166</f>
        <v>45663.66667</v>
      </c>
      <c r="B164" s="4">
        <f>B163+(('Equity Price Data'!B166-'Equity Price Data'!B165)/'Equity Price Data'!B165)</f>
        <v>0.09845188506</v>
      </c>
      <c r="C164" s="4">
        <f>C163+(('Equity Price Data'!C166-'Equity Price Data'!C165)/'Equity Price Data'!C165)</f>
        <v>0.1405688312</v>
      </c>
      <c r="D164" s="4">
        <f>D163+(('Equity Price Data'!D166-'Equity Price Data'!D165)/'Equity Price Data'!D165)</f>
        <v>0.2040006314</v>
      </c>
      <c r="E164" s="4">
        <f>E163+(('Equity Price Data'!E166-'Equity Price Data'!E165)/'Equity Price Data'!E165)</f>
        <v>0.0846166779</v>
      </c>
      <c r="F164" s="4">
        <f>F163+(('Equity Price Data'!F166-'Equity Price Data'!F165)/'Equity Price Data'!F165)</f>
        <v>0.1091668959</v>
      </c>
    </row>
    <row r="165">
      <c r="A165" s="43">
        <f>'Equity Price Data'!A167</f>
        <v>45664.66667</v>
      </c>
      <c r="B165" s="4">
        <f>B164+(('Equity Price Data'!B167-'Equity Price Data'!B166)/'Equity Price Data'!B166)</f>
        <v>0.09242302732</v>
      </c>
      <c r="C165" s="4">
        <f>C164+(('Equity Price Data'!C167-'Equity Price Data'!C166)/'Equity Price Data'!C166)</f>
        <v>0.1294649349</v>
      </c>
      <c r="D165" s="4">
        <f>D164+(('Equity Price Data'!D167-'Equity Price Data'!D166)/'Equity Price Data'!D166)</f>
        <v>0.1851080878</v>
      </c>
      <c r="E165" s="4">
        <f>E164+(('Equity Price Data'!E167-'Equity Price Data'!E166)/'Equity Price Data'!E166)</f>
        <v>0.08044401684</v>
      </c>
      <c r="F165" s="4">
        <f>F164+(('Equity Price Data'!F167-'Equity Price Data'!F166)/'Equity Price Data'!F166)</f>
        <v>0.1017330177</v>
      </c>
    </row>
    <row r="166">
      <c r="A166" s="43">
        <f>'Equity Price Data'!A168</f>
        <v>45665.66667</v>
      </c>
      <c r="B166" s="4">
        <f>B165+(('Equity Price Data'!B168-'Equity Price Data'!B167)/'Equity Price Data'!B167)</f>
        <v>0.09442306156</v>
      </c>
      <c r="C166" s="4">
        <f>C165+(('Equity Price Data'!C168-'Equity Price Data'!C167)/'Equity Price Data'!C167)</f>
        <v>0.1310252587</v>
      </c>
      <c r="D166" s="4">
        <f>D165+(('Equity Price Data'!D168-'Equity Price Data'!D167)/'Equity Price Data'!D167)</f>
        <v>0.1845539484</v>
      </c>
      <c r="E166" s="4">
        <f>E165+(('Equity Price Data'!E168-'Equity Price Data'!E167)/'Equity Price Data'!E167)</f>
        <v>0.08295622281</v>
      </c>
      <c r="F166" s="4">
        <f>F165+(('Equity Price Data'!F168-'Equity Price Data'!F167)/'Equity Price Data'!F167)</f>
        <v>0.09691481161</v>
      </c>
    </row>
    <row r="167">
      <c r="A167" s="43">
        <f>'Equity Price Data'!A169</f>
        <v>45667.66667</v>
      </c>
      <c r="B167" s="4">
        <f>B166+(('Equity Price Data'!B169-'Equity Price Data'!B168)/'Equity Price Data'!B168)</f>
        <v>0.07854781687</v>
      </c>
      <c r="C167" s="4">
        <f>C166+(('Equity Price Data'!C169-'Equity Price Data'!C168)/'Equity Price Data'!C168)</f>
        <v>0.1156136082</v>
      </c>
      <c r="D167" s="4">
        <f>D166+(('Equity Price Data'!D169-'Equity Price Data'!D168)/'Equity Price Data'!D168)</f>
        <v>0.1682670777</v>
      </c>
      <c r="E167" s="4">
        <f>E166+(('Equity Price Data'!E169-'Equity Price Data'!E168)/'Equity Price Data'!E168)</f>
        <v>0.06661409237</v>
      </c>
      <c r="F167" s="4">
        <f>F166+(('Equity Price Data'!F169-'Equity Price Data'!F168)/'Equity Price Data'!F168)</f>
        <v>0.07470360641</v>
      </c>
    </row>
    <row r="168">
      <c r="A168" s="43">
        <f>'Equity Price Data'!A170</f>
        <v>45670.66667</v>
      </c>
      <c r="B168" s="4">
        <f>B167+(('Equity Price Data'!B170-'Equity Price Data'!B169)/'Equity Price Data'!B169)</f>
        <v>0.08227140727</v>
      </c>
      <c r="C168" s="4">
        <f>C167+(('Equity Price Data'!C170-'Equity Price Data'!C169)/'Equity Price Data'!C169)</f>
        <v>0.1171890222</v>
      </c>
      <c r="D168" s="4">
        <f>D167+(('Equity Price Data'!D170-'Equity Price Data'!D169)/'Equity Price Data'!D169)</f>
        <v>0.1644297215</v>
      </c>
      <c r="E168" s="4">
        <f>E167+(('Equity Price Data'!E170-'Equity Price Data'!E169)/'Equity Price Data'!E169)</f>
        <v>0.07516638746</v>
      </c>
      <c r="F168" s="4">
        <f>F167+(('Equity Price Data'!F170-'Equity Price Data'!F169)/'Equity Price Data'!F169)</f>
        <v>0.07706516732</v>
      </c>
    </row>
    <row r="169">
      <c r="A169" s="43">
        <f>'Equity Price Data'!A171</f>
        <v>45671.66667</v>
      </c>
      <c r="B169" s="4">
        <f>B168+(('Equity Price Data'!B171-'Equity Price Data'!B170)/'Equity Price Data'!B170)</f>
        <v>0.08835503914</v>
      </c>
      <c r="C169" s="4">
        <f>C168+(('Equity Price Data'!C171-'Equity Price Data'!C170)/'Equity Price Data'!C170)</f>
        <v>0.1183353121</v>
      </c>
      <c r="D169" s="4">
        <f>D168+(('Equity Price Data'!D171-'Equity Price Data'!D170)/'Equity Price Data'!D170)</f>
        <v>0.1621398131</v>
      </c>
      <c r="E169" s="4">
        <f>E168+(('Equity Price Data'!E171-'Equity Price Data'!E170)/'Equity Price Data'!E170)</f>
        <v>0.08039511225</v>
      </c>
      <c r="F169" s="4">
        <f>F168+(('Equity Price Data'!F171-'Equity Price Data'!F170)/'Equity Price Data'!F170)</f>
        <v>0.08838489025</v>
      </c>
    </row>
    <row r="170">
      <c r="A170" s="43">
        <f>'Equity Price Data'!A172</f>
        <v>45672.66667</v>
      </c>
      <c r="B170" s="4">
        <f>B169+(('Equity Price Data'!B172-'Equity Price Data'!B171)/'Equity Price Data'!B171)</f>
        <v>0.1026254435</v>
      </c>
      <c r="C170" s="4">
        <f>C169+(('Equity Price Data'!C172-'Equity Price Data'!C171)/'Equity Price Data'!C171)</f>
        <v>0.1366481048</v>
      </c>
      <c r="D170" s="4">
        <f>D169+(('Equity Price Data'!D172-'Equity Price Data'!D171)/'Equity Price Data'!D171)</f>
        <v>0.1866530687</v>
      </c>
      <c r="E170" s="4">
        <f>E169+(('Equity Price Data'!E172-'Equity Price Data'!E171)/'Equity Price Data'!E171)</f>
        <v>0.09693552734</v>
      </c>
      <c r="F170" s="4">
        <f>F169+(('Equity Price Data'!F172-'Equity Price Data'!F171)/'Equity Price Data'!F171)</f>
        <v>0.1082340278</v>
      </c>
    </row>
    <row r="171">
      <c r="A171" s="43">
        <f>'Equity Price Data'!A173</f>
        <v>45673.66667</v>
      </c>
      <c r="B171" s="4">
        <f>B170+(('Equity Price Data'!B173-'Equity Price Data'!B172)/'Equity Price Data'!B172)</f>
        <v>0.1032802999</v>
      </c>
      <c r="C171" s="4">
        <f>C170+(('Equity Price Data'!C173-'Equity Price Data'!C172)/'Equity Price Data'!C172)</f>
        <v>0.1345354678</v>
      </c>
      <c r="D171" s="4">
        <f>D170+(('Equity Price Data'!D173-'Equity Price Data'!D172)/'Equity Price Data'!D172)</f>
        <v>0.1777894553</v>
      </c>
      <c r="E171" s="4">
        <f>E170+(('Equity Price Data'!E173-'Equity Price Data'!E172)/'Equity Price Data'!E172)</f>
        <v>0.09535252071</v>
      </c>
      <c r="F171" s="4">
        <f>F170+(('Equity Price Data'!F173-'Equity Price Data'!F172)/'Equity Price Data'!F172)</f>
        <v>0.1097804492</v>
      </c>
    </row>
    <row r="172">
      <c r="A172" s="43">
        <f>'Equity Price Data'!A174</f>
        <v>45674.66667</v>
      </c>
      <c r="B172" s="4">
        <f>B171+(('Equity Price Data'!B174-'Equity Price Data'!B173)/'Equity Price Data'!B173)</f>
        <v>0.1118924264</v>
      </c>
      <c r="C172" s="4">
        <f>C171+(('Equity Price Data'!C174-'Equity Price Data'!C173)/'Equity Price Data'!C173)</f>
        <v>0.1445264739</v>
      </c>
      <c r="D172" s="4">
        <f>D171+(('Equity Price Data'!D174-'Equity Price Data'!D173)/'Equity Price Data'!D173)</f>
        <v>0.1928843784</v>
      </c>
      <c r="E172" s="4">
        <f>E171+(('Equity Price Data'!E174-'Equity Price Data'!E173)/'Equity Price Data'!E173)</f>
        <v>0.1031086209</v>
      </c>
      <c r="F172" s="4">
        <f>F171+(('Equity Price Data'!F174-'Equity Price Data'!F173)/'Equity Price Data'!F173)</f>
        <v>0.1137905251</v>
      </c>
    </row>
    <row r="173">
      <c r="A173" s="43">
        <f>'Equity Price Data'!A175</f>
        <v>45678.66667</v>
      </c>
      <c r="B173" s="4">
        <f>B172+(('Equity Price Data'!B175-'Equity Price Data'!B174)/'Equity Price Data'!B174)</f>
        <v>0.1220214014</v>
      </c>
      <c r="C173" s="4">
        <f>C172+(('Equity Price Data'!C175-'Equity Price Data'!C174)/'Equity Price Data'!C174)</f>
        <v>0.1532946882</v>
      </c>
      <c r="D173" s="4">
        <f>D172+(('Equity Price Data'!D175-'Equity Price Data'!D174)/'Equity Price Data'!D174)</f>
        <v>0.1993326061</v>
      </c>
      <c r="E173" s="4">
        <f>E172+(('Equity Price Data'!E175-'Equity Price Data'!E174)/'Equity Price Data'!E174)</f>
        <v>0.1154794382</v>
      </c>
      <c r="F173" s="4">
        <f>F172+(('Equity Price Data'!F175-'Equity Price Data'!F174)/'Equity Price Data'!F174)</f>
        <v>0.1322844703</v>
      </c>
    </row>
    <row r="174">
      <c r="A174" s="43">
        <f>'Equity Price Data'!A176</f>
        <v>45679.66667</v>
      </c>
      <c r="B174" s="4">
        <f>B173+(('Equity Price Data'!B176-'Equity Price Data'!B175)/'Equity Price Data'!B175)</f>
        <v>0.1229834178</v>
      </c>
      <c r="C174" s="4">
        <f>C173+(('Equity Price Data'!C176-'Equity Price Data'!C175)/'Equity Price Data'!C175)</f>
        <v>0.1594326494</v>
      </c>
      <c r="D174" s="4">
        <f>D173+(('Equity Price Data'!D176-'Equity Price Data'!D175)/'Equity Price Data'!D175)</f>
        <v>0.2121160657</v>
      </c>
      <c r="E174" s="4">
        <f>E173+(('Equity Price Data'!E176-'Equity Price Data'!E175)/'Equity Price Data'!E175)</f>
        <v>0.1184531484</v>
      </c>
      <c r="F174" s="4">
        <f>F173+(('Equity Price Data'!F176-'Equity Price Data'!F175)/'Equity Price Data'!F175)</f>
        <v>0.1261368497</v>
      </c>
    </row>
    <row r="175">
      <c r="A175" s="43">
        <f>'Equity Price Data'!A177</f>
        <v>45680.66667</v>
      </c>
      <c r="B175" s="4">
        <f>B174+(('Equity Price Data'!B177-'Equity Price Data'!B176)/'Equity Price Data'!B176)</f>
        <v>0.1299496711</v>
      </c>
      <c r="C175" s="4">
        <f>C174+(('Equity Price Data'!C177-'Equity Price Data'!C176)/'Equity Price Data'!C176)</f>
        <v>0.1647461614</v>
      </c>
      <c r="D175" s="4">
        <f>D174+(('Equity Price Data'!D177-'Equity Price Data'!D176)/'Equity Price Data'!D176)</f>
        <v>0.2143320309</v>
      </c>
      <c r="E175" s="4">
        <f>E174+(('Equity Price Data'!E177-'Equity Price Data'!E176)/'Equity Price Data'!E176)</f>
        <v>0.1277006629</v>
      </c>
      <c r="F175" s="4">
        <f>F174+(('Equity Price Data'!F177-'Equity Price Data'!F176)/'Equity Price Data'!F176)</f>
        <v>0.1308596459</v>
      </c>
    </row>
    <row r="176">
      <c r="A176" s="43">
        <f>'Equity Price Data'!A178</f>
        <v>45681.66667</v>
      </c>
      <c r="B176" s="4">
        <f>B175+(('Equity Price Data'!B178-'Equity Price Data'!B177)/'Equity Price Data'!B177)</f>
        <v>0.1284977668</v>
      </c>
      <c r="C176" s="4">
        <f>C175+(('Equity Price Data'!C178-'Equity Price Data'!C177)/'Equity Price Data'!C177)</f>
        <v>0.1618909844</v>
      </c>
      <c r="D176" s="4">
        <f>D175+(('Equity Price Data'!D178-'Equity Price Data'!D177)/'Equity Price Data'!D177)</f>
        <v>0.209376332</v>
      </c>
      <c r="E176" s="4">
        <f>E175+(('Equity Price Data'!E178-'Equity Price Data'!E177)/'Equity Price Data'!E177)</f>
        <v>0.124540789</v>
      </c>
      <c r="F176" s="4">
        <f>F175+(('Equity Price Data'!F178-'Equity Price Data'!F177)/'Equity Price Data'!F177)</f>
        <v>0.1278958509</v>
      </c>
    </row>
    <row r="177">
      <c r="A177" s="43">
        <f>'Equity Price Data'!A179</f>
        <v>45684.66667</v>
      </c>
      <c r="B177" s="4">
        <f>B176+(('Equity Price Data'!B179-'Equity Price Data'!B178)/'Equity Price Data'!B178)</f>
        <v>0.1294059025</v>
      </c>
      <c r="C177" s="4">
        <f>C176+(('Equity Price Data'!C179-'Equity Price Data'!C178)/'Equity Price Data'!C178)</f>
        <v>0.1473103417</v>
      </c>
      <c r="D177" s="4">
        <f>D176+(('Equity Price Data'!D179-'Equity Price Data'!D178)/'Equity Price Data'!D178)</f>
        <v>0.178682697</v>
      </c>
      <c r="E177" s="4">
        <f>E176+(('Equity Price Data'!E179-'Equity Price Data'!E178)/'Equity Price Data'!E178)</f>
        <v>0.1310536733</v>
      </c>
      <c r="F177" s="4">
        <f>F176+(('Equity Price Data'!F179-'Equity Price Data'!F178)/'Equity Price Data'!F178)</f>
        <v>0.1176173966</v>
      </c>
    </row>
    <row r="178">
      <c r="A178" s="43">
        <f>'Equity Price Data'!A180</f>
        <v>45685.66667</v>
      </c>
      <c r="B178" s="4">
        <f>B177+(('Equity Price Data'!B180-'Equity Price Data'!B179)/'Equity Price Data'!B179)</f>
        <v>0.1292561392</v>
      </c>
      <c r="C178" s="4">
        <f>C177+(('Equity Price Data'!C180-'Equity Price Data'!C179)/'Equity Price Data'!C179)</f>
        <v>0.1565281426</v>
      </c>
      <c r="D178" s="4">
        <f>D177+(('Equity Price Data'!D180-'Equity Price Data'!D179)/'Equity Price Data'!D179)</f>
        <v>0.1989372438</v>
      </c>
      <c r="E178" s="4">
        <f>E177+(('Equity Price Data'!E180-'Equity Price Data'!E179)/'Equity Price Data'!E179)</f>
        <v>0.1341124756</v>
      </c>
      <c r="F178" s="4">
        <f>F177+(('Equity Price Data'!F180-'Equity Price Data'!F179)/'Equity Price Data'!F179)</f>
        <v>0.1197364674</v>
      </c>
    </row>
    <row r="179">
      <c r="A179" s="43">
        <f>'Equity Price Data'!A181</f>
        <v>45686.66667</v>
      </c>
      <c r="B179" s="4">
        <f>B178+(('Equity Price Data'!B181-'Equity Price Data'!B180)/'Equity Price Data'!B180)</f>
        <v>0.12883235</v>
      </c>
      <c r="C179" s="4">
        <f>C178+(('Equity Price Data'!C181-'Equity Price Data'!C180)/'Equity Price Data'!C180)</f>
        <v>0.1518492693</v>
      </c>
      <c r="D179" s="4">
        <f>D178+(('Equity Price Data'!D181-'Equity Price Data'!D180)/'Equity Price Data'!D180)</f>
        <v>0.1938053848</v>
      </c>
      <c r="E179" s="4">
        <f>E178+(('Equity Price Data'!E181-'Equity Price Data'!E180)/'Equity Price Data'!E180)</f>
        <v>0.1310616633</v>
      </c>
      <c r="F179" s="4">
        <f>F178+(('Equity Price Data'!F181-'Equity Price Data'!F180)/'Equity Price Data'!F180)</f>
        <v>0.1172199308</v>
      </c>
    </row>
    <row r="180">
      <c r="A180" s="43">
        <f>'Equity Price Data'!A182</f>
        <v>45687.66667</v>
      </c>
      <c r="B180" s="4">
        <f>B179+(('Equity Price Data'!B182-'Equity Price Data'!B181)/'Equity Price Data'!B181)</f>
        <v>0.110599343</v>
      </c>
      <c r="C180" s="4">
        <f>C179+(('Equity Price Data'!C182-'Equity Price Data'!C181)/'Equity Price Data'!C181)</f>
        <v>0.1571247064</v>
      </c>
      <c r="D180" s="4">
        <f>D179+(('Equity Price Data'!D182-'Equity Price Data'!D181)/'Equity Price Data'!D181)</f>
        <v>0.1963231718</v>
      </c>
      <c r="E180" s="4">
        <f>E179+(('Equity Price Data'!E182-'Equity Price Data'!E181)/'Equity Price Data'!E181)</f>
        <v>0.1348325585</v>
      </c>
      <c r="F180" s="4">
        <f>F179+(('Equity Price Data'!F182-'Equity Price Data'!F181)/'Equity Price Data'!F181)</f>
        <v>0.1278852542</v>
      </c>
    </row>
    <row r="181">
      <c r="A181" s="43">
        <f>'Equity Price Data'!A183</f>
        <v>45688.66667</v>
      </c>
      <c r="B181" s="4">
        <f>B180+(('Equity Price Data'!B183-'Equity Price Data'!B182)/'Equity Price Data'!B182)</f>
        <v>0.09786379075</v>
      </c>
      <c r="C181" s="4">
        <f>C180+(('Equity Price Data'!C183-'Equity Price Data'!C182)/'Equity Price Data'!C182)</f>
        <v>0.1520779032</v>
      </c>
      <c r="D181" s="4">
        <f>D180+(('Equity Price Data'!D183-'Equity Price Data'!D182)/'Equity Price Data'!D182)</f>
        <v>0.1935637627</v>
      </c>
      <c r="E181" s="4">
        <f>E180+(('Equity Price Data'!E183-'Equity Price Data'!E182)/'Equity Price Data'!E182)</f>
        <v>0.1273135303</v>
      </c>
      <c r="F181" s="4">
        <f>F180+(('Equity Price Data'!F183-'Equity Price Data'!F182)/'Equity Price Data'!F182)</f>
        <v>0.1193216884</v>
      </c>
    </row>
    <row r="182">
      <c r="A182" s="43">
        <f>'Equity Price Data'!A184</f>
        <v>45691.66667</v>
      </c>
      <c r="B182" s="4">
        <f>B181+(('Equity Price Data'!B184-'Equity Price Data'!B183)/'Equity Price Data'!B183)</f>
        <v>0.09138623373</v>
      </c>
      <c r="C182" s="4">
        <f>C181+(('Equity Price Data'!C184-'Equity Price Data'!C183)/'Equity Price Data'!C183)</f>
        <v>0.1444692993</v>
      </c>
      <c r="D182" s="4">
        <f>D181+(('Equity Price Data'!D184-'Equity Price Data'!D183)/'Equity Price Data'!D183)</f>
        <v>0.1815662735</v>
      </c>
      <c r="E182" s="4">
        <f>E181+(('Equity Price Data'!E184-'Equity Price Data'!E183)/'Equity Price Data'!E183)</f>
        <v>0.1245578689</v>
      </c>
      <c r="F182" s="4">
        <f>F181+(('Equity Price Data'!F184-'Equity Price Data'!F183)/'Equity Price Data'!F183)</f>
        <v>0.1065271227</v>
      </c>
    </row>
    <row r="183">
      <c r="A183" s="43">
        <f>'Equity Price Data'!A185</f>
        <v>45692.66667</v>
      </c>
      <c r="B183" s="4">
        <f>B182+(('Equity Price Data'!B185-'Equity Price Data'!B184)/'Equity Price Data'!B184)</f>
        <v>0.1014867667</v>
      </c>
      <c r="C183" s="4">
        <f>C182+(('Equity Price Data'!C185-'Equity Price Data'!C184)/'Equity Price Data'!C184)</f>
        <v>0.1516941711</v>
      </c>
      <c r="D183" s="4">
        <f>D182+(('Equity Price Data'!D185-'Equity Price Data'!D184)/'Equity Price Data'!D184)</f>
        <v>0.1950801215</v>
      </c>
      <c r="E183" s="4">
        <f>E182+(('Equity Price Data'!E185-'Equity Price Data'!E184)/'Equity Price Data'!E184)</f>
        <v>0.1275773249</v>
      </c>
      <c r="F183" s="4">
        <f>F182+(('Equity Price Data'!F185-'Equity Price Data'!F184)/'Equity Price Data'!F184)</f>
        <v>0.1206033353</v>
      </c>
    </row>
    <row r="184">
      <c r="A184" s="43">
        <f>'Equity Price Data'!A186</f>
        <v>45693.66667</v>
      </c>
      <c r="B184" s="4">
        <f>B183+(('Equity Price Data'!B186-'Equity Price Data'!B185)/'Equity Price Data'!B185)</f>
        <v>0.1057724406</v>
      </c>
      <c r="C184" s="4">
        <f>C183+(('Equity Price Data'!C186-'Equity Price Data'!C185)/'Equity Price Data'!C185)</f>
        <v>0.1556028278</v>
      </c>
      <c r="D184" s="4">
        <f>D183+(('Equity Price Data'!D186-'Equity Price Data'!D185)/'Equity Price Data'!D185)</f>
        <v>0.1970293411</v>
      </c>
      <c r="E184" s="4">
        <f>E183+(('Equity Price Data'!E186-'Equity Price Data'!E185)/'Equity Price Data'!E185)</f>
        <v>0.1346973472</v>
      </c>
      <c r="F184" s="4">
        <f>F183+(('Equity Price Data'!F186-'Equity Price Data'!F185)/'Equity Price Data'!F185)</f>
        <v>0.1319647388</v>
      </c>
    </row>
    <row r="185">
      <c r="A185" s="43">
        <f>'Equity Price Data'!A187</f>
        <v>45694.66667</v>
      </c>
      <c r="B185" s="4">
        <f>B184+(('Equity Price Data'!B187-'Equity Price Data'!B186)/'Equity Price Data'!B186)</f>
        <v>0.1112778604</v>
      </c>
      <c r="C185" s="4">
        <f>C184+(('Equity Price Data'!C187-'Equity Price Data'!C186)/'Equity Price Data'!C186)</f>
        <v>0.1592471523</v>
      </c>
      <c r="D185" s="4">
        <f>D184+(('Equity Price Data'!D187-'Equity Price Data'!D186)/'Equity Price Data'!D186)</f>
        <v>0.2020901947</v>
      </c>
      <c r="E185" s="4">
        <f>E184+(('Equity Price Data'!E187-'Equity Price Data'!E186)/'Equity Price Data'!E186)</f>
        <v>0.1318972399</v>
      </c>
      <c r="F185" s="4">
        <f>F184+(('Equity Price Data'!F187-'Equity Price Data'!F186)/'Equity Price Data'!F186)</f>
        <v>0.1280316233</v>
      </c>
    </row>
    <row r="186">
      <c r="A186" s="43">
        <f>'Equity Price Data'!A188</f>
        <v>45695.66667</v>
      </c>
      <c r="B186" s="4">
        <f>B185+(('Equity Price Data'!B188-'Equity Price Data'!B187)/'Equity Price Data'!B187)</f>
        <v>0.1027455536</v>
      </c>
      <c r="C186" s="4">
        <f>C185+(('Equity Price Data'!C188-'Equity Price Data'!C187)/'Equity Price Data'!C187)</f>
        <v>0.1497823151</v>
      </c>
      <c r="D186" s="4">
        <f>D185+(('Equity Price Data'!D188-'Equity Price Data'!D187)/'Equity Price Data'!D187)</f>
        <v>0.1885195533</v>
      </c>
      <c r="E186" s="4">
        <f>E185+(('Equity Price Data'!E188-'Equity Price Data'!E187)/'Equity Price Data'!E187)</f>
        <v>0.1219697868</v>
      </c>
      <c r="F186" s="4">
        <f>F185+(('Equity Price Data'!F188-'Equity Price Data'!F187)/'Equity Price Data'!F187)</f>
        <v>0.1161510103</v>
      </c>
    </row>
    <row r="187">
      <c r="A187" s="43">
        <f>'Equity Price Data'!A189</f>
        <v>45698.66667</v>
      </c>
      <c r="B187" s="4">
        <f>B186+(('Equity Price Data'!B189-'Equity Price Data'!B188)/'Equity Price Data'!B188)</f>
        <v>0.1098057922</v>
      </c>
      <c r="C187" s="4">
        <f>C186+(('Equity Price Data'!C189-'Equity Price Data'!C188)/'Equity Price Data'!C188)</f>
        <v>0.156494905</v>
      </c>
      <c r="D187" s="4">
        <f>D186+(('Equity Price Data'!D189-'Equity Price Data'!D188)/'Equity Price Data'!D188)</f>
        <v>0.1982960266</v>
      </c>
      <c r="E187" s="4">
        <f>E186+(('Equity Price Data'!E189-'Equity Price Data'!E188)/'Equity Price Data'!E188)</f>
        <v>0.1257394749</v>
      </c>
      <c r="F187" s="4">
        <f>F186+(('Equity Price Data'!F189-'Equity Price Data'!F188)/'Equity Price Data'!F188)</f>
        <v>0.1197611186</v>
      </c>
    </row>
    <row r="188">
      <c r="A188" s="43">
        <f>'Equity Price Data'!A190</f>
        <v>45699.66667</v>
      </c>
      <c r="B188" s="4">
        <f>B187+(('Equity Price Data'!B190-'Equity Price Data'!B189)/'Equity Price Data'!B189)</f>
        <v>0.1119782257</v>
      </c>
      <c r="C188" s="4">
        <f>C187+(('Equity Price Data'!C190-'Equity Price Data'!C189)/'Equity Price Data'!C189)</f>
        <v>0.1568344781</v>
      </c>
      <c r="D188" s="4">
        <f>D187+(('Equity Price Data'!D190-'Equity Price Data'!D189)/'Equity Price Data'!D189)</f>
        <v>0.194724502</v>
      </c>
      <c r="E188" s="4">
        <f>E187+(('Equity Price Data'!E190-'Equity Price Data'!E189)/'Equity Price Data'!E189)</f>
        <v>0.1285107558</v>
      </c>
      <c r="F188" s="4">
        <f>F187+(('Equity Price Data'!F190-'Equity Price Data'!F189)/'Equity Price Data'!F189)</f>
        <v>0.114411328</v>
      </c>
    </row>
    <row r="189">
      <c r="A189" s="43">
        <f>'Equity Price Data'!A191</f>
        <v>45700.66667</v>
      </c>
      <c r="B189" s="4">
        <f>B188+(('Equity Price Data'!B191-'Equity Price Data'!B190)/'Equity Price Data'!B190)</f>
        <v>0.1088602373</v>
      </c>
      <c r="C189" s="4">
        <f>C188+(('Equity Price Data'!C191-'Equity Price Data'!C190)/'Equity Price Data'!C190)</f>
        <v>0.154110576</v>
      </c>
      <c r="D189" s="4">
        <f>D188+(('Equity Price Data'!D191-'Equity Price Data'!D190)/'Equity Price Data'!D190)</f>
        <v>0.1950345226</v>
      </c>
      <c r="E189" s="4">
        <f>E188+(('Equity Price Data'!E191-'Equity Price Data'!E190)/'Equity Price Data'!E190)</f>
        <v>0.1234631762</v>
      </c>
      <c r="F189" s="4">
        <f>F188+(('Equity Price Data'!F191-'Equity Price Data'!F190)/'Equity Price Data'!F190)</f>
        <v>0.1057063141</v>
      </c>
    </row>
    <row r="190">
      <c r="A190" s="43">
        <f>'Equity Price Data'!A192</f>
        <v>45701.66667</v>
      </c>
      <c r="B190" s="4">
        <f>B189+(('Equity Price Data'!B192-'Equity Price Data'!B191)/'Equity Price Data'!B191)</f>
        <v>0.1245683631</v>
      </c>
      <c r="C190" s="4">
        <f>C189+(('Equity Price Data'!C192-'Equity Price Data'!C191)/'Equity Price Data'!C191)</f>
        <v>0.1645369331</v>
      </c>
      <c r="D190" s="4">
        <f>D189+(('Equity Price Data'!D192-'Equity Price Data'!D191)/'Equity Price Data'!D191)</f>
        <v>0.210082398</v>
      </c>
      <c r="E190" s="4">
        <f>E189+(('Equity Price Data'!E192-'Equity Price Data'!E191)/'Equity Price Data'!E191)</f>
        <v>0.1311909456</v>
      </c>
      <c r="F190" s="4">
        <f>F189+(('Equity Price Data'!F192-'Equity Price Data'!F191)/'Equity Price Data'!F191)</f>
        <v>0.1173602511</v>
      </c>
    </row>
    <row r="191">
      <c r="A191" s="43">
        <f>'Equity Price Data'!A193</f>
        <v>45702.66667</v>
      </c>
      <c r="B191" s="4">
        <f>B190+(('Equity Price Data'!B193-'Equity Price Data'!B192)/'Equity Price Data'!B192)</f>
        <v>0.1227555201</v>
      </c>
      <c r="C191" s="4">
        <f>C190+(('Equity Price Data'!C193-'Equity Price Data'!C192)/'Equity Price Data'!C192)</f>
        <v>0.1644649797</v>
      </c>
      <c r="D191" s="4">
        <f>D190+(('Equity Price Data'!D193-'Equity Price Data'!D192)/'Equity Price Data'!D192)</f>
        <v>0.2141499536</v>
      </c>
      <c r="E191" s="4">
        <f>E190+(('Equity Price Data'!E193-'Equity Price Data'!E192)/'Equity Price Data'!E192)</f>
        <v>0.127492786</v>
      </c>
      <c r="F191" s="4">
        <f>F190+(('Equity Price Data'!F193-'Equity Price Data'!F192)/'Equity Price Data'!F192)</f>
        <v>0.1163962606</v>
      </c>
    </row>
    <row r="192">
      <c r="A192" s="43">
        <f>'Equity Price Data'!A194</f>
        <v>45706.66667</v>
      </c>
      <c r="B192" s="4">
        <f>B191+(('Equity Price Data'!B194-'Equity Price Data'!B193)/'Equity Price Data'!B193)</f>
        <v>0.125159159</v>
      </c>
      <c r="C192" s="4">
        <f>C191+(('Equity Price Data'!C194-'Equity Price Data'!C193)/'Equity Price Data'!C193)</f>
        <v>0.1669099355</v>
      </c>
      <c r="D192" s="4">
        <f>D191+(('Equity Price Data'!D194-'Equity Price Data'!D193)/'Equity Price Data'!D193)</f>
        <v>0.2148734852</v>
      </c>
      <c r="E192" s="4">
        <f>E191+(('Equity Price Data'!E194-'Equity Price Data'!E193)/'Equity Price Data'!E193)</f>
        <v>0.1277231093</v>
      </c>
      <c r="F192" s="4">
        <f>F191+(('Equity Price Data'!F194-'Equity Price Data'!F193)/'Equity Price Data'!F193)</f>
        <v>0.1209445461</v>
      </c>
    </row>
    <row r="193">
      <c r="A193" s="43">
        <f>'Equity Price Data'!A195</f>
        <v>45707.66667</v>
      </c>
      <c r="B193" s="4">
        <f>B192+(('Equity Price Data'!B195-'Equity Price Data'!B194)/'Equity Price Data'!B194)</f>
        <v>0.123547856</v>
      </c>
      <c r="C193" s="4">
        <f>C192+(('Equity Price Data'!C195-'Equity Price Data'!C194)/'Equity Price Data'!C194)</f>
        <v>0.1692869336</v>
      </c>
      <c r="D193" s="4">
        <f>D192+(('Equity Price Data'!D195-'Equity Price Data'!D194)/'Equity Price Data'!D194)</f>
        <v>0.2156214421</v>
      </c>
      <c r="E193" s="4">
        <f>E192+(('Equity Price Data'!E195-'Equity Price Data'!E194)/'Equity Price Data'!E194)</f>
        <v>0.1293222084</v>
      </c>
      <c r="F193" s="4">
        <f>F192+(('Equity Price Data'!F195-'Equity Price Data'!F194)/'Equity Price Data'!F194)</f>
        <v>0.1174996577</v>
      </c>
    </row>
    <row r="194">
      <c r="A194" s="43">
        <f>'Equity Price Data'!A196</f>
        <v>45708.66667</v>
      </c>
      <c r="B194" s="4">
        <f>B193+(('Equity Price Data'!B196-'Equity Price Data'!B195)/'Equity Price Data'!B195)</f>
        <v>0.1195971636</v>
      </c>
      <c r="C194" s="4">
        <f>C193+(('Equity Price Data'!C196-'Equity Price Data'!C195)/'Equity Price Data'!C195)</f>
        <v>0.1649527295</v>
      </c>
      <c r="D194" s="4">
        <f>D193+(('Equity Price Data'!D196-'Equity Price Data'!D195)/'Equity Price Data'!D195)</f>
        <v>0.2109401084</v>
      </c>
      <c r="E194" s="4">
        <f>E193+(('Equity Price Data'!E196-'Equity Price Data'!E195)/'Equity Price Data'!E195)</f>
        <v>0.1192176968</v>
      </c>
      <c r="F194" s="4">
        <f>F193+(('Equity Price Data'!F196-'Equity Price Data'!F195)/'Equity Price Data'!F195)</f>
        <v>0.108421733</v>
      </c>
    </row>
    <row r="195">
      <c r="A195" s="43">
        <f>'Equity Price Data'!A197</f>
        <v>45709.66667</v>
      </c>
      <c r="B195" s="4">
        <f>B194+(('Equity Price Data'!B197-'Equity Price Data'!B196)/'Equity Price Data'!B196)</f>
        <v>0.1051771912</v>
      </c>
      <c r="C195" s="4">
        <f>C194+(('Equity Price Data'!C197-'Equity Price Data'!C196)/'Equity Price Data'!C196)</f>
        <v>0.1478886251</v>
      </c>
      <c r="D195" s="4">
        <f>D194+(('Equity Price Data'!D197-'Equity Price Data'!D196)/'Equity Price Data'!D196)</f>
        <v>0.1889812819</v>
      </c>
      <c r="E195" s="4">
        <f>E194+(('Equity Price Data'!E197-'Equity Price Data'!E196)/'Equity Price Data'!E196)</f>
        <v>0.1022714141</v>
      </c>
      <c r="F195" s="4">
        <f>F194+(('Equity Price Data'!F197-'Equity Price Data'!F196)/'Equity Price Data'!F196)</f>
        <v>0.07906822645</v>
      </c>
    </row>
    <row r="196">
      <c r="A196" s="43">
        <f>'Equity Price Data'!A198</f>
        <v>45712.66667</v>
      </c>
      <c r="B196" s="4">
        <f>B195+(('Equity Price Data'!B198-'Equity Price Data'!B197)/'Equity Price Data'!B197)</f>
        <v>0.1031535309</v>
      </c>
      <c r="C196" s="4">
        <f>C195+(('Equity Price Data'!C198-'Equity Price Data'!C197)/'Equity Price Data'!C197)</f>
        <v>0.1429194992</v>
      </c>
      <c r="D196" s="4">
        <f>D195+(('Equity Price Data'!D198-'Equity Price Data'!D197)/'Equity Price Data'!D197)</f>
        <v>0.1768382846</v>
      </c>
      <c r="E196" s="4">
        <f>E195+(('Equity Price Data'!E198-'Equity Price Data'!E197)/'Equity Price Data'!E197)</f>
        <v>0.1030356672</v>
      </c>
      <c r="F196" s="4">
        <f>F195+(('Equity Price Data'!F198-'Equity Price Data'!F197)/'Equity Price Data'!F197)</f>
        <v>0.07128814583</v>
      </c>
    </row>
    <row r="197">
      <c r="A197" s="43">
        <f>'Equity Price Data'!A199</f>
        <v>45713.66667</v>
      </c>
      <c r="B197" s="4">
        <f>B196+(('Equity Price Data'!B199-'Equity Price Data'!B198)/'Equity Price Data'!B198)</f>
        <v>0.1051679478</v>
      </c>
      <c r="C197" s="4">
        <f>C196+(('Equity Price Data'!C199-'Equity Price Data'!C198)/'Equity Price Data'!C198)</f>
        <v>0.1382397683</v>
      </c>
      <c r="D197" s="4">
        <f>D196+(('Equity Price Data'!D199-'Equity Price Data'!D198)/'Equity Price Data'!D198)</f>
        <v>0.1633296547</v>
      </c>
      <c r="E197" s="4">
        <f>E196+(('Equity Price Data'!E199-'Equity Price Data'!E198)/'Equity Price Data'!E198)</f>
        <v>0.1067159605</v>
      </c>
      <c r="F197" s="4">
        <f>F196+(('Equity Price Data'!F199-'Equity Price Data'!F198)/'Equity Price Data'!F198)</f>
        <v>0.06752828135</v>
      </c>
    </row>
    <row r="198">
      <c r="A198" s="43">
        <f>'Equity Price Data'!A200</f>
        <v>45714.66667</v>
      </c>
      <c r="B198" s="4">
        <f>B197+(('Equity Price Data'!B200-'Equity Price Data'!B199)/'Equity Price Data'!B199)</f>
        <v>0.1049700431</v>
      </c>
      <c r="C198" s="4">
        <f>C197+(('Equity Price Data'!C200-'Equity Price Data'!C199)/'Equity Price Data'!C199)</f>
        <v>0.1383757827</v>
      </c>
      <c r="D198" s="4">
        <f>D197+(('Equity Price Data'!D200-'Equity Price Data'!D199)/'Equity Price Data'!D199)</f>
        <v>0.1658981924</v>
      </c>
      <c r="E198" s="4">
        <f>E197+(('Equity Price Data'!E200-'Equity Price Data'!E199)/'Equity Price Data'!E199)</f>
        <v>0.1024052086</v>
      </c>
      <c r="F198" s="4">
        <f>F197+(('Equity Price Data'!F200-'Equity Price Data'!F199)/'Equity Price Data'!F199)</f>
        <v>0.06941300449</v>
      </c>
    </row>
    <row r="199">
      <c r="A199" s="43">
        <f>'Equity Price Data'!A201</f>
        <v>45715.66667</v>
      </c>
      <c r="B199" s="4">
        <f>B198+(('Equity Price Data'!B201-'Equity Price Data'!B200)/'Equity Price Data'!B200)</f>
        <v>0.0965336334</v>
      </c>
      <c r="C199" s="4">
        <f>C198+(('Equity Price Data'!C201-'Equity Price Data'!C200)/'Equity Price Data'!C200)</f>
        <v>0.1225112682</v>
      </c>
      <c r="D199" s="4">
        <f>D198+(('Equity Price Data'!D201-'Equity Price Data'!D200)/'Equity Price Data'!D200)</f>
        <v>0.138069476</v>
      </c>
      <c r="E199" s="4">
        <f>E198+(('Equity Price Data'!E201-'Equity Price Data'!E200)/'Equity Price Data'!E200)</f>
        <v>0.09794732021</v>
      </c>
      <c r="F199" s="4">
        <f>F198+(('Equity Price Data'!F201-'Equity Price Data'!F200)/'Equity Price Data'!F200)</f>
        <v>0.05354028065</v>
      </c>
    </row>
    <row r="200">
      <c r="A200" s="43">
        <f>'Equity Price Data'!A202</f>
        <v>45716.66667</v>
      </c>
      <c r="B200" s="4">
        <f>B199+(('Equity Price Data'!B202-'Equity Price Data'!B201)/'Equity Price Data'!B201)</f>
        <v>0.1109967766</v>
      </c>
      <c r="C200" s="4">
        <f>C199+(('Equity Price Data'!C202-'Equity Price Data'!C201)/'Equity Price Data'!C201)</f>
        <v>0.1383653824</v>
      </c>
      <c r="D200" s="4">
        <f>D199+(('Equity Price Data'!D202-'Equity Price Data'!D201)/'Equity Price Data'!D201)</f>
        <v>0.1544010733</v>
      </c>
      <c r="E200" s="4">
        <f>E199+(('Equity Price Data'!E202-'Equity Price Data'!E201)/'Equity Price Data'!E201)</f>
        <v>0.1118561304</v>
      </c>
      <c r="F200" s="4">
        <f>F199+(('Equity Price Data'!F202-'Equity Price Data'!F201)/'Equity Price Data'!F201)</f>
        <v>0.06448127127</v>
      </c>
    </row>
    <row r="201">
      <c r="A201" s="43">
        <f>'Equity Price Data'!A203</f>
        <v>45719.66667</v>
      </c>
      <c r="B201" s="4">
        <f>B200+(('Equity Price Data'!B203-'Equity Price Data'!B202)/'Equity Price Data'!B202)</f>
        <v>0.0990918854</v>
      </c>
      <c r="C201" s="4">
        <f>C200+(('Equity Price Data'!C203-'Equity Price Data'!C202)/'Equity Price Data'!C202)</f>
        <v>0.1207686069</v>
      </c>
      <c r="D201" s="4">
        <f>D200+(('Equity Price Data'!D203-'Equity Price Data'!D202)/'Equity Price Data'!D202)</f>
        <v>0.1280264453</v>
      </c>
      <c r="E201" s="4">
        <f>E200+(('Equity Price Data'!E203-'Equity Price Data'!E202)/'Equity Price Data'!E202)</f>
        <v>0.09703732308</v>
      </c>
      <c r="F201" s="4">
        <f>F200+(('Equity Price Data'!F203-'Equity Price Data'!F202)/'Equity Price Data'!F202)</f>
        <v>0.03635920403</v>
      </c>
    </row>
    <row r="202">
      <c r="A202" s="43">
        <f>'Equity Price Data'!A204</f>
        <v>45720.66667</v>
      </c>
      <c r="B202" s="4">
        <f>B201+(('Equity Price Data'!B204-'Equity Price Data'!B203)/'Equity Price Data'!B203)</f>
        <v>0.08651414862</v>
      </c>
      <c r="C202" s="4">
        <f>C201+(('Equity Price Data'!C204-'Equity Price Data'!C203)/'Equity Price Data'!C203)</f>
        <v>0.1085338332</v>
      </c>
      <c r="D202" s="4">
        <f>D201+(('Equity Price Data'!D204-'Equity Price Data'!D203)/'Equity Price Data'!D203)</f>
        <v>0.1244826128</v>
      </c>
      <c r="E202" s="4">
        <f>E201+(('Equity Price Data'!E204-'Equity Price Data'!E203)/'Equity Price Data'!E203)</f>
        <v>0.08151913004</v>
      </c>
      <c r="F202" s="4">
        <f>F201+(('Equity Price Data'!F204-'Equity Price Data'!F203)/'Equity Price Data'!F203)</f>
        <v>0.02555644126</v>
      </c>
    </row>
    <row r="203">
      <c r="A203" s="43">
        <f>'Equity Price Data'!A205</f>
        <v>45721.66667</v>
      </c>
      <c r="B203" s="4">
        <f>B202+(('Equity Price Data'!B205-'Equity Price Data'!B204)/'Equity Price Data'!B204)</f>
        <v>0.09832935614</v>
      </c>
      <c r="C203" s="4">
        <f>C202+(('Equity Price Data'!C205-'Equity Price Data'!C204)/'Equity Price Data'!C204)</f>
        <v>0.1196931143</v>
      </c>
      <c r="D203" s="4">
        <f>D202+(('Equity Price Data'!D205-'Equity Price Data'!D204)/'Equity Price Data'!D204)</f>
        <v>0.1391157907</v>
      </c>
      <c r="E203" s="4">
        <f>E202+(('Equity Price Data'!E205-'Equity Price Data'!E204)/'Equity Price Data'!E204)</f>
        <v>0.09293937214</v>
      </c>
      <c r="F203" s="4">
        <f>F202+(('Equity Price Data'!F205-'Equity Price Data'!F204)/'Equity Price Data'!F204)</f>
        <v>0.0357606701</v>
      </c>
    </row>
    <row r="204">
      <c r="A204" s="43">
        <f>'Equity Price Data'!A206</f>
        <v>45722.66667</v>
      </c>
      <c r="B204" s="4">
        <f>B203+(('Equity Price Data'!B206-'Equity Price Data'!B205)/'Equity Price Data'!B205)</f>
        <v>0.096952079</v>
      </c>
      <c r="C204" s="4">
        <f>C203+(('Equity Price Data'!C206-'Equity Price Data'!C205)/'Equity Price Data'!C205)</f>
        <v>0.1018740842</v>
      </c>
      <c r="D204" s="4">
        <f>D203+(('Equity Price Data'!D206-'Equity Price Data'!D205)/'Equity Price Data'!D205)</f>
        <v>0.1130565531</v>
      </c>
      <c r="E204" s="4">
        <f>E203+(('Equity Price Data'!E206-'Equity Price Data'!E205)/'Equity Price Data'!E205)</f>
        <v>0.08299880256</v>
      </c>
      <c r="F204" s="4">
        <f>F203+(('Equity Price Data'!F206-'Equity Price Data'!F205)/'Equity Price Data'!F205)</f>
        <v>0.01948077006</v>
      </c>
    </row>
    <row r="205">
      <c r="A205" s="43">
        <f>'Equity Price Data'!A207</f>
        <v>45723.66667</v>
      </c>
      <c r="B205" s="4">
        <f>B204+(('Equity Price Data'!B207-'Equity Price Data'!B206)/'Equity Price Data'!B206)</f>
        <v>0.1055206573</v>
      </c>
      <c r="C205" s="4">
        <f>C204+(('Equity Price Data'!C207-'Equity Price Data'!C206)/'Equity Price Data'!C206)</f>
        <v>0.1073946714</v>
      </c>
      <c r="D205" s="4">
        <f>D204+(('Equity Price Data'!D207-'Equity Price Data'!D206)/'Equity Price Data'!D206)</f>
        <v>0.1200828508</v>
      </c>
      <c r="E205" s="4">
        <f>E204+(('Equity Price Data'!E207-'Equity Price Data'!E206)/'Equity Price Data'!E206)</f>
        <v>0.08822766143</v>
      </c>
      <c r="F205" s="4">
        <f>F204+(('Equity Price Data'!F207-'Equity Price Data'!F206)/'Equity Price Data'!F206)</f>
        <v>0.02380198175</v>
      </c>
    </row>
    <row r="206">
      <c r="A206" s="43">
        <f>'Equity Price Data'!A208</f>
        <v>45726.66667</v>
      </c>
      <c r="B206" s="4">
        <f>B205+(('Equity Price Data'!B208-'Equity Price Data'!B207)/'Equity Price Data'!B207)</f>
        <v>0.0871260409</v>
      </c>
      <c r="C206" s="4">
        <f>C205+(('Equity Price Data'!C208-'Equity Price Data'!C207)/'Equity Price Data'!C207)</f>
        <v>0.08042160286</v>
      </c>
      <c r="D206" s="4">
        <f>D205+(('Equity Price Data'!D208-'Equity Price Data'!D207)/'Equity Price Data'!D207)</f>
        <v>0.08008003699</v>
      </c>
      <c r="E206" s="4">
        <f>E205+(('Equity Price Data'!E208-'Equity Price Data'!E207)/'Equity Price Data'!E207)</f>
        <v>0.0674338709</v>
      </c>
      <c r="F206" s="4">
        <f>F205+(('Equity Price Data'!F208-'Equity Price Data'!F207)/'Equity Price Data'!F207)</f>
        <v>-0.003377273173</v>
      </c>
    </row>
    <row r="207">
      <c r="A207" s="43">
        <f>'Equity Price Data'!A209</f>
        <v>45727.66667</v>
      </c>
      <c r="B207" s="4">
        <f>B206+(('Equity Price Data'!B209-'Equity Price Data'!B208)/'Equity Price Data'!B208)</f>
        <v>0.07701312746</v>
      </c>
      <c r="C207" s="4">
        <f>C206+(('Equity Price Data'!C209-'Equity Price Data'!C208)/'Equity Price Data'!C208)</f>
        <v>0.0728537792</v>
      </c>
      <c r="D207" s="4">
        <f>D206+(('Equity Price Data'!D209-'Equity Price Data'!D208)/'Equity Price Data'!D208)</f>
        <v>0.0782355551</v>
      </c>
      <c r="E207" s="4">
        <f>E206+(('Equity Price Data'!E209-'Equity Price Data'!E208)/'Equity Price Data'!E208)</f>
        <v>0.05602345601</v>
      </c>
      <c r="F207" s="4">
        <f>F206+(('Equity Price Data'!F209-'Equity Price Data'!F208)/'Equity Price Data'!F208)</f>
        <v>-0.001138618743</v>
      </c>
    </row>
    <row r="208">
      <c r="A208" s="43">
        <f>'Equity Price Data'!A210</f>
        <v>45728.66667</v>
      </c>
      <c r="B208" s="4">
        <f>B207+(('Equity Price Data'!B210-'Equity Price Data'!B209)/'Equity Price Data'!B209)</f>
        <v>0.07750443807</v>
      </c>
      <c r="C208" s="4">
        <f>C207+(('Equity Price Data'!C210-'Equity Price Data'!C209)/'Equity Price Data'!C209)</f>
        <v>0.07774065248</v>
      </c>
      <c r="D208" s="4">
        <f>D207+(('Equity Price Data'!D210-'Equity Price Data'!D209)/'Equity Price Data'!D209)</f>
        <v>0.09041431067</v>
      </c>
      <c r="E208" s="4">
        <f>E207+(('Equity Price Data'!E210-'Equity Price Data'!E209)/'Equity Price Data'!E209)</f>
        <v>0.05403110586</v>
      </c>
      <c r="F208" s="4">
        <f>F207+(('Equity Price Data'!F210-'Equity Price Data'!F209)/'Equity Price Data'!F209)</f>
        <v>0.0002845944571</v>
      </c>
    </row>
    <row r="209">
      <c r="A209" s="43">
        <f>'Equity Price Data'!A211</f>
        <v>45729.66667</v>
      </c>
      <c r="B209" s="4">
        <f>B208+(('Equity Price Data'!B211-'Equity Price Data'!B210)/'Equity Price Data'!B210)</f>
        <v>0.06675293533</v>
      </c>
      <c r="C209" s="4">
        <f>C208+(('Equity Price Data'!C211-'Equity Price Data'!C210)/'Equity Price Data'!C210)</f>
        <v>0.06384963039</v>
      </c>
      <c r="D209" s="4">
        <f>D208+(('Equity Price Data'!D211-'Equity Price Data'!D210)/'Equity Price Data'!D210)</f>
        <v>0.07084092037</v>
      </c>
      <c r="E209" s="4">
        <f>E208+(('Equity Price Data'!E211-'Equity Price Data'!E210)/'Equity Price Data'!E210)</f>
        <v>0.04103599305</v>
      </c>
      <c r="F209" s="4">
        <f>F208+(('Equity Price Data'!F211-'Equity Price Data'!F210)/'Equity Price Data'!F210)</f>
        <v>-0.01589131735</v>
      </c>
    </row>
    <row r="210">
      <c r="A210" s="43">
        <f>'Equity Price Data'!A212</f>
        <v>45730.66667</v>
      </c>
      <c r="B210" s="4">
        <f>B209+(('Equity Price Data'!B212-'Equity Price Data'!B211)/'Equity Price Data'!B211)</f>
        <v>0.08492225804</v>
      </c>
      <c r="C210" s="4">
        <f>C209+(('Equity Price Data'!C212-'Equity Price Data'!C211)/'Equity Price Data'!C211)</f>
        <v>0.0851155137</v>
      </c>
      <c r="D210" s="4">
        <f>D209+(('Equity Price Data'!D212-'Equity Price Data'!D211)/'Equity Price Data'!D211)</f>
        <v>0.09691037303</v>
      </c>
      <c r="E210" s="4">
        <f>E209+(('Equity Price Data'!E212-'Equity Price Data'!E211)/'Equity Price Data'!E211)</f>
        <v>0.05756529936</v>
      </c>
      <c r="F210" s="4">
        <f>F209+(('Equity Price Data'!F212-'Equity Price Data'!F211)/'Equity Price Data'!F211)</f>
        <v>0.00939345611</v>
      </c>
    </row>
    <row r="211">
      <c r="A211" s="43">
        <f>'Equity Price Data'!A213</f>
        <v>45733.66667</v>
      </c>
      <c r="B211" s="4">
        <f>B210+(('Equity Price Data'!B213-'Equity Price Data'!B212)/'Equity Price Data'!B212)</f>
        <v>0.09337039518</v>
      </c>
      <c r="C211" s="4">
        <f>C210+(('Equity Price Data'!C213-'Equity Price Data'!C212)/'Equity Price Data'!C212)</f>
        <v>0.09153161318</v>
      </c>
      <c r="D211" s="4">
        <f>D210+(('Equity Price Data'!D213-'Equity Price Data'!D212)/'Equity Price Data'!D212)</f>
        <v>0.09998403098</v>
      </c>
      <c r="E211" s="4">
        <f>E210+(('Equity Price Data'!E213-'Equity Price Data'!E212)/'Equity Price Data'!E212)</f>
        <v>0.0660843502</v>
      </c>
      <c r="F211" s="4">
        <f>F210+(('Equity Price Data'!F213-'Equity Price Data'!F212)/'Equity Price Data'!F212)</f>
        <v>0.02124708362</v>
      </c>
    </row>
    <row r="212">
      <c r="A212" s="43">
        <f>'Equity Price Data'!A214</f>
        <v>45734.66667</v>
      </c>
      <c r="B212" s="4">
        <f>B211+(('Equity Price Data'!B214-'Equity Price Data'!B213)/'Equity Price Data'!B213)</f>
        <v>0.08873865935</v>
      </c>
      <c r="C212" s="4">
        <f>C211+(('Equity Price Data'!C214-'Equity Price Data'!C213)/'Equity Price Data'!C213)</f>
        <v>0.08087809396</v>
      </c>
      <c r="D212" s="4">
        <f>D211+(('Equity Price Data'!D214-'Equity Price Data'!D213)/'Equity Price Data'!D213)</f>
        <v>0.08288336198</v>
      </c>
      <c r="E212" s="4">
        <f>E211+(('Equity Price Data'!E214-'Equity Price Data'!E213)/'Equity Price Data'!E213)</f>
        <v>0.05986279526</v>
      </c>
      <c r="F212" s="4">
        <f>F211+(('Equity Price Data'!F214-'Equity Price Data'!F213)/'Equity Price Data'!F213)</f>
        <v>0.01235585253</v>
      </c>
    </row>
    <row r="213">
      <c r="A213" s="43">
        <f>'Equity Price Data'!A215</f>
        <v>45735.66667</v>
      </c>
      <c r="B213" s="4">
        <f>B212+(('Equity Price Data'!B215-'Equity Price Data'!B214)/'Equity Price Data'!B214)</f>
        <v>0.09537885946</v>
      </c>
      <c r="C213" s="4">
        <f>C212+(('Equity Price Data'!C215-'Equity Price Data'!C214)/'Equity Price Data'!C214)</f>
        <v>0.0916766107</v>
      </c>
      <c r="D213" s="4">
        <f>D212+(('Equity Price Data'!D215-'Equity Price Data'!D214)/'Equity Price Data'!D214)</f>
        <v>0.09697547287</v>
      </c>
      <c r="E213" s="4">
        <f>E212+(('Equity Price Data'!E215-'Equity Price Data'!E214)/'Equity Price Data'!E214)</f>
        <v>0.06908136004</v>
      </c>
      <c r="F213" s="4">
        <f>F212+(('Equity Price Data'!F215-'Equity Price Data'!F214)/'Equity Price Data'!F214)</f>
        <v>0.0280343602</v>
      </c>
    </row>
    <row r="214">
      <c r="A214" s="43">
        <f>'Equity Price Data'!A216</f>
        <v>45736.66667</v>
      </c>
      <c r="B214" s="4">
        <f>B213+(('Equity Price Data'!B216-'Equity Price Data'!B215)/'Equity Price Data'!B215)</f>
        <v>0.09379988615</v>
      </c>
      <c r="C214" s="4">
        <f>C213+(('Equity Price Data'!C216-'Equity Price Data'!C215)/'Equity Price Data'!C215)</f>
        <v>0.08949170032</v>
      </c>
      <c r="D214" s="4">
        <f>D213+(('Equity Price Data'!D216-'Equity Price Data'!D215)/'Equity Price Data'!D215)</f>
        <v>0.09364266346</v>
      </c>
      <c r="E214" s="4">
        <f>E213+(('Equity Price Data'!E216-'Equity Price Data'!E215)/'Equity Price Data'!E215)</f>
        <v>0.06881184736</v>
      </c>
      <c r="F214" s="4">
        <f>F213+(('Equity Price Data'!F216-'Equity Price Data'!F215)/'Equity Price Data'!F215)</f>
        <v>0.02157447393</v>
      </c>
    </row>
    <row r="215">
      <c r="A215" s="43">
        <f>'Equity Price Data'!A217</f>
        <v>45737.66667</v>
      </c>
      <c r="B215" s="4">
        <f>B214+(('Equity Price Data'!B217-'Equity Price Data'!B216)/'Equity Price Data'!B216)</f>
        <v>0.09032720376</v>
      </c>
      <c r="C215" s="4">
        <f>C214+(('Equity Price Data'!C217-'Equity Price Data'!C216)/'Equity Price Data'!C216)</f>
        <v>0.09031636759</v>
      </c>
      <c r="D215" s="4">
        <f>D214+(('Equity Price Data'!D217-'Equity Price Data'!D216)/'Equity Price Data'!D216)</f>
        <v>0.09886660269</v>
      </c>
      <c r="E215" s="4">
        <f>E214+(('Equity Price Data'!E217-'Equity Price Data'!E216)/'Equity Price Data'!E216)</f>
        <v>0.06957531495</v>
      </c>
      <c r="F215" s="4">
        <f>F214+(('Equity Price Data'!F217-'Equity Price Data'!F216)/'Equity Price Data'!F216)</f>
        <v>0.01594272731</v>
      </c>
    </row>
    <row r="216">
      <c r="A216" s="43">
        <f>'Equity Price Data'!A218</f>
        <v>45740.66667</v>
      </c>
      <c r="B216" s="4">
        <f>B215+(('Equity Price Data'!B218-'Equity Price Data'!B217)/'Equity Price Data'!B217)</f>
        <v>0.104224497</v>
      </c>
      <c r="C216" s="4">
        <f>C215+(('Equity Price Data'!C218-'Equity Price Data'!C217)/'Equity Price Data'!C217)</f>
        <v>0.1079624093</v>
      </c>
      <c r="D216" s="4">
        <f>D215+(('Equity Price Data'!D218-'Equity Price Data'!D217)/'Equity Price Data'!D217)</f>
        <v>0.1216139521</v>
      </c>
      <c r="E216" s="4">
        <f>E215+(('Equity Price Data'!E218-'Equity Price Data'!E217)/'Equity Price Data'!E217)</f>
        <v>0.08381766376</v>
      </c>
      <c r="F216" s="4">
        <f>F215+(('Equity Price Data'!F218-'Equity Price Data'!F217)/'Equity Price Data'!F217)</f>
        <v>0.04141696625</v>
      </c>
    </row>
    <row r="217">
      <c r="A217" s="43">
        <f>'Equity Price Data'!A219</f>
        <v>45741.66667</v>
      </c>
      <c r="B217" s="4">
        <f>B216+(('Equity Price Data'!B219-'Equity Price Data'!B218)/'Equity Price Data'!B218)</f>
        <v>0.1059596407</v>
      </c>
      <c r="C217" s="4">
        <f>C216+(('Equity Price Data'!C219-'Equity Price Data'!C218)/'Equity Price Data'!C218)</f>
        <v>0.1095367291</v>
      </c>
      <c r="D217" s="4">
        <f>D216+(('Equity Price Data'!D219-'Equity Price Data'!D218)/'Equity Price Data'!D218)</f>
        <v>0.126192097</v>
      </c>
      <c r="E217" s="4">
        <f>E216+(('Equity Price Data'!E219-'Equity Price Data'!E218)/'Equity Price Data'!E218)</f>
        <v>0.08391582426</v>
      </c>
      <c r="F217" s="4">
        <f>F216+(('Equity Price Data'!F219-'Equity Price Data'!F218)/'Equity Price Data'!F218)</f>
        <v>0.03477994494</v>
      </c>
    </row>
    <row r="218">
      <c r="A218" s="43">
        <f>'Equity Price Data'!A220</f>
        <v>45742.66667</v>
      </c>
      <c r="B218" s="4">
        <f>B217+(('Equity Price Data'!B220-'Equity Price Data'!B219)/'Equity Price Data'!B219)</f>
        <v>0.1015210507</v>
      </c>
      <c r="C218" s="4">
        <f>C217+(('Equity Price Data'!C220-'Equity Price Data'!C219)/'Equity Price Data'!C219)</f>
        <v>0.09837974368</v>
      </c>
      <c r="D218" s="4">
        <f>D217+(('Equity Price Data'!D220-'Equity Price Data'!D219)/'Equity Price Data'!D219)</f>
        <v>0.1057869494</v>
      </c>
      <c r="E218" s="4">
        <f>E217+(('Equity Price Data'!E220-'Equity Price Data'!E219)/'Equity Price Data'!E219)</f>
        <v>0.08079965168</v>
      </c>
      <c r="F218" s="4">
        <f>F217+(('Equity Price Data'!F220-'Equity Price Data'!F219)/'Equity Price Data'!F219)</f>
        <v>0.02449541421</v>
      </c>
    </row>
    <row r="219">
      <c r="A219" s="43">
        <f>'Equity Price Data'!A221</f>
        <v>45743.66667</v>
      </c>
      <c r="B219" s="4">
        <f>B218+(('Equity Price Data'!B221-'Equity Price Data'!B220)/'Equity Price Data'!B220)</f>
        <v>0.1008341616</v>
      </c>
      <c r="C219" s="4">
        <f>C218+(('Equity Price Data'!C221-'Equity Price Data'!C220)/'Equity Price Data'!C220)</f>
        <v>0.09507278664</v>
      </c>
      <c r="D219" s="4">
        <f>D218+(('Equity Price Data'!D221-'Equity Price Data'!D220)/'Equity Price Data'!D220)</f>
        <v>0.100479955</v>
      </c>
      <c r="E219" s="4">
        <f>E218+(('Equity Price Data'!E221-'Equity Price Data'!E220)/'Equity Price Data'!E220)</f>
        <v>0.07714658921</v>
      </c>
      <c r="F219" s="4">
        <f>F218+(('Equity Price Data'!F221-'Equity Price Data'!F220)/'Equity Price Data'!F220)</f>
        <v>0.02057513145</v>
      </c>
    </row>
    <row r="220">
      <c r="A220" s="43">
        <f>'Equity Price Data'!A222</f>
        <v>45744.66667</v>
      </c>
      <c r="B220" s="4">
        <f>B219+(('Equity Price Data'!B222-'Equity Price Data'!B221)/'Equity Price Data'!B221)</f>
        <v>0.08419443437</v>
      </c>
      <c r="C220" s="4">
        <f>C219+(('Equity Price Data'!C222-'Equity Price Data'!C221)/'Equity Price Data'!C221)</f>
        <v>0.07533558631</v>
      </c>
      <c r="D220" s="4">
        <f>D219+(('Equity Price Data'!D222-'Equity Price Data'!D221)/'Equity Price Data'!D221)</f>
        <v>0.07346135299</v>
      </c>
      <c r="E220" s="4">
        <f>E219+(('Equity Price Data'!E222-'Equity Price Data'!E221)/'Equity Price Data'!E221)</f>
        <v>0.06022448338</v>
      </c>
      <c r="F220" s="4">
        <f>F219+(('Equity Price Data'!F222-'Equity Price Data'!F221)/'Equity Price Data'!F221)</f>
        <v>0.00003487875253</v>
      </c>
    </row>
    <row r="221">
      <c r="A221" s="43">
        <f>'Equity Price Data'!A223</f>
        <v>45747.66667</v>
      </c>
      <c r="B221" s="4">
        <f>B220+(('Equity Price Data'!B223-'Equity Price Data'!B222)/'Equity Price Data'!B222)</f>
        <v>0.08774434033</v>
      </c>
      <c r="C221" s="4">
        <f>C220+(('Equity Price Data'!C223-'Equity Price Data'!C222)/'Equity Price Data'!C222)</f>
        <v>0.08087407983</v>
      </c>
      <c r="D221" s="4">
        <f>D220+(('Equity Price Data'!D223-'Equity Price Data'!D222)/'Equity Price Data'!D222)</f>
        <v>0.0720932289</v>
      </c>
      <c r="E221" s="4">
        <f>E220+(('Equity Price Data'!E223-'Equity Price Data'!E222)/'Equity Price Data'!E222)</f>
        <v>0.07027308392</v>
      </c>
      <c r="F221" s="4">
        <f>F220+(('Equity Price Data'!F223-'Equity Price Data'!F222)/'Equity Price Data'!F222)</f>
        <v>-0.005579794524</v>
      </c>
    </row>
    <row r="222">
      <c r="A222" s="43">
        <f>'Equity Price Data'!A224</f>
        <v>45748.66667</v>
      </c>
      <c r="B222" s="4">
        <f>B221+(('Equity Price Data'!B224-'Equity Price Data'!B223)/'Equity Price Data'!B223)</f>
        <v>0.08998752985</v>
      </c>
      <c r="C222" s="4">
        <f>C221+(('Equity Price Data'!C224-'Equity Price Data'!C223)/'Equity Price Data'!C223)</f>
        <v>0.08465536407</v>
      </c>
      <c r="D222" s="4">
        <f>D221+(('Equity Price Data'!D224-'Equity Price Data'!D223)/'Equity Price Data'!D223)</f>
        <v>0.08079878849</v>
      </c>
      <c r="E222" s="4">
        <f>E221+(('Equity Price Data'!E224-'Equity Price Data'!E223)/'Equity Price Data'!E223)</f>
        <v>0.06999214331</v>
      </c>
      <c r="F222" s="4">
        <f>F221+(('Equity Price Data'!F224-'Equity Price Data'!F223)/'Equity Price Data'!F223)</f>
        <v>-0.005415771282</v>
      </c>
    </row>
    <row r="223">
      <c r="A223" s="43">
        <f>'Equity Price Data'!A225</f>
        <v>45749.66667</v>
      </c>
      <c r="B223" s="4">
        <f>B222+(('Equity Price Data'!B225-'Equity Price Data'!B224)/'Equity Price Data'!B224)</f>
        <v>0.09738012168</v>
      </c>
      <c r="C223" s="4">
        <f>C222+(('Equity Price Data'!C225-'Equity Price Data'!C224)/'Equity Price Data'!C224)</f>
        <v>0.09138348924</v>
      </c>
      <c r="D223" s="4">
        <f>D222+(('Equity Price Data'!D225-'Equity Price Data'!D224)/'Equity Price Data'!D224)</f>
        <v>0.08946130728</v>
      </c>
      <c r="E223" s="4">
        <f>E222+(('Equity Price Data'!E225-'Equity Price Data'!E224)/'Equity Price Data'!E224)</f>
        <v>0.07559729273</v>
      </c>
      <c r="F223" s="4">
        <f>F222+(('Equity Price Data'!F225-'Equity Price Data'!F224)/'Equity Price Data'!F224)</f>
        <v>0.01104349799</v>
      </c>
    </row>
    <row r="224">
      <c r="A224" s="43">
        <f>'Equity Price Data'!A226</f>
        <v>45750.66667</v>
      </c>
      <c r="B224" s="4">
        <f>B223+(('Equity Price Data'!B226-'Equity Price Data'!B225)/'Equity Price Data'!B225)</f>
        <v>0.06330069154</v>
      </c>
      <c r="C224" s="4">
        <f>C223+(('Equity Price Data'!C226-'Equity Price Data'!C225)/'Equity Price Data'!C225)</f>
        <v>0.04298788848</v>
      </c>
      <c r="D224" s="4">
        <f>D223+(('Equity Price Data'!D226-'Equity Price Data'!D225)/'Equity Price Data'!D225)</f>
        <v>0.02978077685</v>
      </c>
      <c r="E224" s="4">
        <f>E223+(('Equity Price Data'!E226-'Equity Price Data'!E225)/'Equity Price Data'!E225)</f>
        <v>0.03582518443</v>
      </c>
      <c r="F224" s="4">
        <f>F223+(('Equity Price Data'!F226-'Equity Price Data'!F225)/'Equity Price Data'!F225)</f>
        <v>-0.05486665964</v>
      </c>
    </row>
    <row r="225">
      <c r="A225" s="43">
        <f>'Equity Price Data'!A227</f>
        <v>45751.66667</v>
      </c>
      <c r="B225" s="4">
        <f>B224+(('Equity Price Data'!B227-'Equity Price Data'!B226)/'Equity Price Data'!B226)</f>
        <v>-0.00007663965521</v>
      </c>
      <c r="C225" s="4">
        <f>C224+(('Equity Price Data'!C227-'Equity Price Data'!C226)/'Equity Price Data'!C226)</f>
        <v>-0.01676172794</v>
      </c>
      <c r="D225" s="4">
        <f>D224+(('Equity Price Data'!D227-'Equity Price Data'!D226)/'Equity Price Data'!D226)</f>
        <v>-0.028393514</v>
      </c>
      <c r="E225" s="4">
        <f>E224+(('Equity Price Data'!E227-'Equity Price Data'!E226)/'Equity Price Data'!E226)</f>
        <v>-0.01920056044</v>
      </c>
      <c r="F225" s="4">
        <f>F224+(('Equity Price Data'!F227-'Equity Price Data'!F226)/'Equity Price Data'!F226)</f>
        <v>-0.09858182019</v>
      </c>
    </row>
    <row r="226">
      <c r="A226" s="43">
        <f>'Equity Price Data'!A228</f>
        <v>45754.66667</v>
      </c>
      <c r="B226" s="4">
        <f>B225+(('Equity Price Data'!B228-'Equity Price Data'!B227)/'Equity Price Data'!B227)</f>
        <v>-0.006363937884</v>
      </c>
      <c r="C226" s="4">
        <f>C225+(('Equity Price Data'!C228-'Equity Price Data'!C227)/'Equity Price Data'!C227)</f>
        <v>-0.01909318507</v>
      </c>
      <c r="D226" s="4">
        <f>D225+(('Equity Price Data'!D228-'Equity Price Data'!D227)/'Equity Price Data'!D227)</f>
        <v>-0.02740107056</v>
      </c>
      <c r="E226" s="4">
        <f>E225+(('Equity Price Data'!E228-'Equity Price Data'!E227)/'Equity Price Data'!E227)</f>
        <v>-0.02831608377</v>
      </c>
      <c r="F226" s="4">
        <f>F225+(('Equity Price Data'!F228-'Equity Price Data'!F227)/'Equity Price Data'!F227)</f>
        <v>-0.1078263318</v>
      </c>
    </row>
    <row r="227">
      <c r="A227" s="43">
        <f>'Equity Price Data'!A229</f>
        <v>45755.66667</v>
      </c>
      <c r="B227" s="4">
        <f>B226+(('Equity Price Data'!B229-'Equity Price Data'!B228)/'Equity Price Data'!B228)</f>
        <v>-0.01257706948</v>
      </c>
      <c r="C227" s="4">
        <f>C226+(('Equity Price Data'!C229-'Equity Price Data'!C228)/'Equity Price Data'!C228)</f>
        <v>-0.03479371349</v>
      </c>
      <c r="D227" s="4">
        <f>D226+(('Equity Price Data'!D229-'Equity Price Data'!D228)/'Equity Price Data'!D228)</f>
        <v>-0.04889337409</v>
      </c>
      <c r="E227" s="4">
        <f>E226+(('Equity Price Data'!E229-'Equity Price Data'!E228)/'Equity Price Data'!E228)</f>
        <v>-0.03674502997</v>
      </c>
      <c r="F227" s="4">
        <f>F226+(('Equity Price Data'!F229-'Equity Price Data'!F228)/'Equity Price Data'!F228)</f>
        <v>-0.1351336119</v>
      </c>
    </row>
    <row r="228">
      <c r="A228" s="43">
        <f>'Equity Price Data'!A230</f>
        <v>45756.66667</v>
      </c>
      <c r="B228" s="4">
        <f>B227+(('Equity Price Data'!B230-'Equity Price Data'!B229)/'Equity Price Data'!B229)</f>
        <v>0.05841135549</v>
      </c>
      <c r="C228" s="4">
        <f>C227+(('Equity Price Data'!C230-'Equity Price Data'!C229)/'Equity Price Data'!C229)</f>
        <v>0.06036018685</v>
      </c>
      <c r="D228" s="4">
        <f>D227+(('Equity Price Data'!D230-'Equity Price Data'!D229)/'Equity Price Data'!D229)</f>
        <v>0.07273820482</v>
      </c>
      <c r="E228" s="4">
        <f>E227+(('Equity Price Data'!E230-'Equity Price Data'!E229)/'Equity Price Data'!E229)</f>
        <v>0.04195900946</v>
      </c>
      <c r="F228" s="4">
        <f>F227+(('Equity Price Data'!F230-'Equity Price Data'!F229)/'Equity Price Data'!F229)</f>
        <v>-0.04854922262</v>
      </c>
    </row>
    <row r="229">
      <c r="A229" s="43">
        <f>'Equity Price Data'!A231</f>
        <v>45757.66667</v>
      </c>
      <c r="B229" s="4">
        <f>B228+(('Equity Price Data'!B231-'Equity Price Data'!B230)/'Equity Price Data'!B230)</f>
        <v>0.03597600449</v>
      </c>
      <c r="C229" s="4">
        <f>C228+(('Equity Price Data'!C231-'Equity Price Data'!C230)/'Equity Price Data'!C230)</f>
        <v>0.02575262578</v>
      </c>
      <c r="D229" s="4">
        <f>D228+(('Equity Price Data'!D231-'Equity Price Data'!D230)/'Equity Price Data'!D230)</f>
        <v>0.02966309287</v>
      </c>
      <c r="E229" s="4">
        <f>E228+(('Equity Price Data'!E231-'Equity Price Data'!E230)/'Equity Price Data'!E230)</f>
        <v>0.01696938292</v>
      </c>
      <c r="F229" s="4">
        <f>F228+(('Equity Price Data'!F231-'Equity Price Data'!F230)/'Equity Price Data'!F230)</f>
        <v>-0.09129002841</v>
      </c>
    </row>
    <row r="230">
      <c r="A230" s="43">
        <f>'Equity Price Data'!A232</f>
        <v>45758.66667</v>
      </c>
      <c r="B230" s="4">
        <f>B229+(('Equity Price Data'!B232-'Equity Price Data'!B231)/'Equity Price Data'!B231)</f>
        <v>0.05104778797</v>
      </c>
      <c r="C230" s="4">
        <f>C229+(('Equity Price Data'!C232-'Equity Price Data'!C231)/'Equity Price Data'!C231)</f>
        <v>0.04384470919</v>
      </c>
      <c r="D230" s="4">
        <f>D229+(('Equity Price Data'!D232-'Equity Price Data'!D231)/'Equity Price Data'!D231)</f>
        <v>0.05023693934</v>
      </c>
      <c r="E230" s="4">
        <f>E229+(('Equity Price Data'!E232-'Equity Price Data'!E231)/'Equity Price Data'!E231)</f>
        <v>0.03260446187</v>
      </c>
      <c r="F230" s="4">
        <f>F229+(('Equity Price Data'!F232-'Equity Price Data'!F231)/'Equity Price Data'!F231)</f>
        <v>-0.07555880786</v>
      </c>
    </row>
    <row r="231">
      <c r="A231" s="43">
        <f>'Equity Price Data'!A233</f>
        <v>45761.66667</v>
      </c>
      <c r="B231" s="4">
        <f>B230+(('Equity Price Data'!B233-'Equity Price Data'!B232)/'Equity Price Data'!B232)</f>
        <v>0.0630488376</v>
      </c>
      <c r="C231" s="4">
        <f>C230+(('Equity Price Data'!C233-'Equity Price Data'!C232)/'Equity Price Data'!C232)</f>
        <v>0.05178935583</v>
      </c>
      <c r="D231" s="4">
        <f>D230+(('Equity Price Data'!D233-'Equity Price Data'!D232)/'Equity Price Data'!D232)</f>
        <v>0.05663595013</v>
      </c>
      <c r="E231" s="4">
        <f>E230+(('Equity Price Data'!E233-'Equity Price Data'!E232)/'Equity Price Data'!E232)</f>
        <v>0.04036519225</v>
      </c>
      <c r="F231" s="4">
        <f>F230+(('Equity Price Data'!F233-'Equity Price Data'!F232)/'Equity Price Data'!F232)</f>
        <v>-0.06444172368</v>
      </c>
    </row>
    <row r="232">
      <c r="A232" s="43">
        <f>'Equity Price Data'!A234</f>
        <v>45762.66667</v>
      </c>
      <c r="B232" s="4">
        <f>B231+(('Equity Price Data'!B234-'Equity Price Data'!B233)/'Equity Price Data'!B233)</f>
        <v>0.06165463769</v>
      </c>
      <c r="C232" s="4">
        <f>C231+(('Equity Price Data'!C234-'Equity Price Data'!C233)/'Equity Price Data'!C233)</f>
        <v>0.05006163629</v>
      </c>
      <c r="D232" s="4">
        <f>D231+(('Equity Price Data'!D234-'Equity Price Data'!D233)/'Equity Price Data'!D233)</f>
        <v>0.0561422324</v>
      </c>
      <c r="E232" s="4">
        <f>E231+(('Equity Price Data'!E234-'Equity Price Data'!E233)/'Equity Price Data'!E233)</f>
        <v>0.03651989163</v>
      </c>
      <c r="F232" s="4">
        <f>F231+(('Equity Price Data'!F234-'Equity Price Data'!F233)/'Equity Price Data'!F233)</f>
        <v>-0.06335712498</v>
      </c>
    </row>
    <row r="233">
      <c r="A233" s="43">
        <f>'Equity Price Data'!A235</f>
        <v>45763.66667</v>
      </c>
      <c r="B233" s="4">
        <f>B232+(('Equity Price Data'!B235-'Equity Price Data'!B234)/'Equity Price Data'!B234)</f>
        <v>0.04726186239</v>
      </c>
      <c r="C233" s="4">
        <f>C232+(('Equity Price Data'!C235-'Equity Price Data'!C234)/'Equity Price Data'!C234)</f>
        <v>0.02765320733</v>
      </c>
      <c r="D233" s="4">
        <f>D232+(('Equity Price Data'!D235-'Equity Price Data'!D234)/'Equity Price Data'!D234)</f>
        <v>0.02546965405</v>
      </c>
      <c r="E233" s="4">
        <f>E232+(('Equity Price Data'!E235-'Equity Price Data'!E234)/'Equity Price Data'!E234)</f>
        <v>0.01919048805</v>
      </c>
      <c r="F233" s="4">
        <f>F232+(('Equity Price Data'!F235-'Equity Price Data'!F234)/'Equity Price Data'!F234)</f>
        <v>-0.07368151476</v>
      </c>
    </row>
    <row r="234">
      <c r="A234" s="43">
        <f>'Equity Price Data'!A236</f>
        <v>45764.66667</v>
      </c>
      <c r="B234" s="4">
        <f>B233+(('Equity Price Data'!B236-'Equity Price Data'!B235)/'Equity Price Data'!B235)</f>
        <v>0.04530493381</v>
      </c>
      <c r="C234" s="4">
        <f>C233+(('Equity Price Data'!C236-'Equity Price Data'!C235)/'Equity Price Data'!C235)</f>
        <v>0.02898004547</v>
      </c>
      <c r="D234" s="4">
        <f>D233+(('Equity Price Data'!D236-'Equity Price Data'!D235)/'Equity Price Data'!D235)</f>
        <v>0.02419965976</v>
      </c>
      <c r="E234" s="4">
        <f>E233+(('Equity Price Data'!E236-'Equity Price Data'!E235)/'Equity Price Data'!E235)</f>
        <v>0.005901652501</v>
      </c>
      <c r="F234" s="4">
        <f>F233+(('Equity Price Data'!F236-'Equity Price Data'!F235)/'Equity Price Data'!F235)</f>
        <v>-0.06448366986</v>
      </c>
    </row>
    <row r="235">
      <c r="A235" s="43">
        <f>'Equity Price Data'!A237</f>
        <v>45768.66667</v>
      </c>
      <c r="B235" s="4">
        <f>B234+(('Equity Price Data'!B237-'Equity Price Data'!B236)/'Equity Price Data'!B236)</f>
        <v>0.02499553663</v>
      </c>
      <c r="C235" s="4">
        <f>C234+(('Equity Price Data'!C237-'Equity Price Data'!C236)/'Equity Price Data'!C236)</f>
        <v>0.005412551576</v>
      </c>
      <c r="D235" s="4">
        <f>D234+(('Equity Price Data'!D237-'Equity Price Data'!D236)/'Equity Price Data'!D236)</f>
        <v>-0.001315415652</v>
      </c>
      <c r="E235" s="4">
        <f>E234+(('Equity Price Data'!E237-'Equity Price Data'!E236)/'Equity Price Data'!E236)</f>
        <v>-0.01892626354</v>
      </c>
      <c r="F235" s="4">
        <f>F234+(('Equity Price Data'!F237-'Equity Price Data'!F236)/'Equity Price Data'!F236)</f>
        <v>-0.08591277303</v>
      </c>
    </row>
    <row r="236">
      <c r="A236" s="43">
        <f>'Equity Price Data'!A238</f>
        <v>45769.66667</v>
      </c>
      <c r="B236" s="4">
        <f>B235+(('Equity Price Data'!B238-'Equity Price Data'!B237)/'Equity Price Data'!B237)</f>
        <v>0.04470047549</v>
      </c>
      <c r="C236" s="4">
        <f>C235+(('Equity Price Data'!C238-'Equity Price Data'!C237)/'Equity Price Data'!C237)</f>
        <v>0.03052984055</v>
      </c>
      <c r="D236" s="4">
        <f>D235+(('Equity Price Data'!D238-'Equity Price Data'!D237)/'Equity Price Data'!D237)</f>
        <v>0.0257479519</v>
      </c>
      <c r="E236" s="4">
        <f>E235+(('Equity Price Data'!E238-'Equity Price Data'!E237)/'Equity Price Data'!E237)</f>
        <v>0.007706146227</v>
      </c>
      <c r="F236" s="4">
        <f>F235+(('Equity Price Data'!F238-'Equity Price Data'!F237)/'Equity Price Data'!F237)</f>
        <v>-0.05876532042</v>
      </c>
    </row>
    <row r="237">
      <c r="A237" s="43">
        <f>'Equity Price Data'!A239</f>
        <v>45770.66667</v>
      </c>
      <c r="B237" s="4">
        <f>B236+(('Equity Price Data'!B239-'Equity Price Data'!B238)/'Equity Price Data'!B238)</f>
        <v>0.05597473354</v>
      </c>
      <c r="C237" s="4">
        <f>C236+(('Equity Price Data'!C239-'Equity Price Data'!C238)/'Equity Price Data'!C238)</f>
        <v>0.04719095982</v>
      </c>
      <c r="D237" s="4">
        <f>D236+(('Equity Price Data'!D239-'Equity Price Data'!D238)/'Equity Price Data'!D238)</f>
        <v>0.05075528299</v>
      </c>
      <c r="E237" s="4">
        <f>E236+(('Equity Price Data'!E239-'Equity Price Data'!E238)/'Equity Price Data'!E238)</f>
        <v>0.01841352914</v>
      </c>
      <c r="F237" s="4">
        <f>F236+(('Equity Price Data'!F239-'Equity Price Data'!F238)/'Equity Price Data'!F238)</f>
        <v>-0.04349774101</v>
      </c>
    </row>
    <row r="238">
      <c r="A238" s="43">
        <f>'Equity Price Data'!A240</f>
        <v>45771.66667</v>
      </c>
      <c r="B238" s="4">
        <f>B237+(('Equity Price Data'!B240-'Equity Price Data'!B239)/'Equity Price Data'!B239)</f>
        <v>0.07204027626</v>
      </c>
      <c r="C238" s="4">
        <f>C237+(('Equity Price Data'!C240-'Equity Price Data'!C239)/'Equity Price Data'!C239)</f>
        <v>0.06745004394</v>
      </c>
      <c r="D238" s="4">
        <f>D237+(('Equity Price Data'!D240-'Equity Price Data'!D239)/'Equity Price Data'!D239)</f>
        <v>0.07816662064</v>
      </c>
      <c r="E238" s="4">
        <f>E237+(('Equity Price Data'!E240-'Equity Price Data'!E239)/'Equity Price Data'!E239)</f>
        <v>0.03070517671</v>
      </c>
      <c r="F238" s="4">
        <f>F237+(('Equity Price Data'!F240-'Equity Price Data'!F239)/'Equity Price Data'!F239)</f>
        <v>-0.02346272533</v>
      </c>
    </row>
    <row r="239">
      <c r="A239" s="43">
        <f>'Equity Price Data'!A241</f>
        <v>45772.66667</v>
      </c>
      <c r="B239" s="4">
        <f>B238+(('Equity Price Data'!B241-'Equity Price Data'!B240)/'Equity Price Data'!B240)</f>
        <v>0.06895843326</v>
      </c>
      <c r="C239" s="4">
        <f>C238+(('Equity Price Data'!C241-'Equity Price Data'!C240)/'Equity Price Data'!C240)</f>
        <v>0.07482318812</v>
      </c>
      <c r="D239" s="4">
        <f>D238+(('Equity Price Data'!D241-'Equity Price Data'!D240)/'Equity Price Data'!D240)</f>
        <v>0.09080203335</v>
      </c>
      <c r="E239" s="4">
        <f>E238+(('Equity Price Data'!E241-'Equity Price Data'!E240)/'Equity Price Data'!E240)</f>
        <v>0.03120650611</v>
      </c>
      <c r="F239" s="4">
        <f>F238+(('Equity Price Data'!F241-'Equity Price Data'!F240)/'Equity Price Data'!F240)</f>
        <v>-0.02344740036</v>
      </c>
    </row>
    <row r="240">
      <c r="A240" s="43">
        <f>'Equity Price Data'!A242</f>
        <v>45775.66667</v>
      </c>
      <c r="B240" s="4">
        <f>B239+(('Equity Price Data'!B242-'Equity Price Data'!B241)/'Equity Price Data'!B241)</f>
        <v>0.07225105012</v>
      </c>
      <c r="C240" s="4">
        <f>C239+(('Equity Price Data'!C242-'Equity Price Data'!C241)/'Equity Price Data'!C241)</f>
        <v>0.07546388775</v>
      </c>
      <c r="D240" s="4">
        <f>D239+(('Equity Price Data'!D242-'Equity Price Data'!D241)/'Equity Price Data'!D241)</f>
        <v>0.08983499326</v>
      </c>
      <c r="E240" s="4">
        <f>E239+(('Equity Price Data'!E242-'Equity Price Data'!E241)/'Equity Price Data'!E241)</f>
        <v>0.03405068575</v>
      </c>
      <c r="F240" s="4">
        <f>F239+(('Equity Price Data'!F242-'Equity Price Data'!F241)/'Equity Price Data'!F241)</f>
        <v>-0.01939656312</v>
      </c>
    </row>
    <row r="241">
      <c r="A241" s="43">
        <f>'Equity Price Data'!A243</f>
        <v>45776.66667</v>
      </c>
      <c r="B241" s="4">
        <f>B240+(('Equity Price Data'!B243-'Equity Price Data'!B242)/'Equity Price Data'!B242)</f>
        <v>0.07711656158</v>
      </c>
      <c r="C241" s="4">
        <f>C240+(('Equity Price Data'!C243-'Equity Price Data'!C242)/'Equity Price Data'!C242)</f>
        <v>0.08126628432</v>
      </c>
      <c r="D241" s="4">
        <f>D240+(('Equity Price Data'!D243-'Equity Price Data'!D242)/'Equity Price Data'!D242)</f>
        <v>0.09531635266</v>
      </c>
      <c r="E241" s="4">
        <f>E240+(('Equity Price Data'!E243-'Equity Price Data'!E242)/'Equity Price Data'!E242)</f>
        <v>0.0415089998</v>
      </c>
      <c r="F241" s="4">
        <f>F240+(('Equity Price Data'!F243-'Equity Price Data'!F242)/'Equity Price Data'!F242)</f>
        <v>-0.01381542807</v>
      </c>
    </row>
    <row r="242">
      <c r="A242" s="43">
        <f>'Equity Price Data'!A244</f>
        <v>45777.66667</v>
      </c>
      <c r="B242" s="4">
        <f>B241+(('Equity Price Data'!B244-'Equity Price Data'!B243)/'Equity Price Data'!B243)</f>
        <v>0.07948430708</v>
      </c>
      <c r="C242" s="4">
        <f>C241+(('Equity Price Data'!C244-'Equity Price Data'!C243)/'Equity Price Data'!C243)</f>
        <v>0.08274627921</v>
      </c>
      <c r="D242" s="4">
        <f>D241+(('Equity Price Data'!D244-'Equity Price Data'!D243)/'Equity Price Data'!D243)</f>
        <v>0.09445845646</v>
      </c>
      <c r="E242" s="4">
        <f>E241+(('Equity Price Data'!E244-'Equity Price Data'!E243)/'Equity Price Data'!E243)</f>
        <v>0.04500636777</v>
      </c>
      <c r="F242" s="4">
        <f>F241+(('Equity Price Data'!F244-'Equity Price Data'!F243)/'Equity Price Data'!F243)</f>
        <v>-0.02008908075</v>
      </c>
    </row>
    <row r="243">
      <c r="A243" s="43">
        <f>'Equity Price Data'!A245</f>
        <v>45778.66667</v>
      </c>
      <c r="B243" s="4">
        <f>B242+(('Equity Price Data'!B245-'Equity Price Data'!B244)/'Equity Price Data'!B244)</f>
        <v>0.08205183407</v>
      </c>
      <c r="C243" s="4">
        <f>C242+(('Equity Price Data'!C245-'Equity Price Data'!C244)/'Equity Price Data'!C244)</f>
        <v>0.08904536739</v>
      </c>
      <c r="D243" s="4">
        <f>D242+(('Equity Price Data'!D245-'Equity Price Data'!D244)/'Equity Price Data'!D244)</f>
        <v>0.1096134976</v>
      </c>
      <c r="E243" s="4">
        <f>E242+(('Equity Price Data'!E245-'Equity Price Data'!E244)/'Equity Price Data'!E244)</f>
        <v>0.04706196934</v>
      </c>
      <c r="F243" s="4">
        <f>F242+(('Equity Price Data'!F245-'Equity Price Data'!F244)/'Equity Price Data'!F244)</f>
        <v>-0.01411184922</v>
      </c>
    </row>
    <row r="244">
      <c r="A244" s="43">
        <f>'Equity Price Data'!A246</f>
        <v>45779.66667</v>
      </c>
      <c r="B244" s="4">
        <f>B243+(('Equity Price Data'!B246-'Equity Price Data'!B245)/'Equity Price Data'!B245)</f>
        <v>0.09526435594</v>
      </c>
      <c r="C244" s="4">
        <f>C243+(('Equity Price Data'!C246-'Equity Price Data'!C245)/'Equity Price Data'!C245)</f>
        <v>0.1037719802</v>
      </c>
      <c r="D244" s="4">
        <f>D243+(('Equity Price Data'!D246-'Equity Price Data'!D245)/'Equity Price Data'!D245)</f>
        <v>0.1246885311</v>
      </c>
      <c r="E244" s="4">
        <f>E243+(('Equity Price Data'!E246-'Equity Price Data'!E245)/'Equity Price Data'!E245)</f>
        <v>0.06091298776</v>
      </c>
      <c r="F244" s="4">
        <f>F243+(('Equity Price Data'!F246-'Equity Price Data'!F245)/'Equity Price Data'!F245)</f>
        <v>0.008602310694</v>
      </c>
    </row>
    <row r="245">
      <c r="A245" s="43">
        <f>'Equity Price Data'!A247</f>
        <v>45782.66667</v>
      </c>
      <c r="B245" s="4">
        <f>B244+(('Equity Price Data'!B247-'Equity Price Data'!B246)/'Equity Price Data'!B246)</f>
        <v>0.08953403439</v>
      </c>
      <c r="C245" s="4">
        <f>C244+(('Equity Price Data'!C247-'Equity Price Data'!C246)/'Equity Price Data'!C246)</f>
        <v>0.09739038958</v>
      </c>
      <c r="D245" s="4">
        <f>D244+(('Equity Price Data'!D247-'Equity Price Data'!D246)/'Equity Price Data'!D246)</f>
        <v>0.1172632333</v>
      </c>
      <c r="E245" s="4">
        <f>E244+(('Equity Price Data'!E247-'Equity Price Data'!E246)/'Equity Price Data'!E246)</f>
        <v>0.05852658571</v>
      </c>
      <c r="F245" s="4">
        <f>F244+(('Equity Price Data'!F247-'Equity Price Data'!F246)/'Equity Price Data'!F246)</f>
        <v>0.0004468824848</v>
      </c>
    </row>
    <row r="246">
      <c r="A246" s="43">
        <f>'Equity Price Data'!A248</f>
        <v>45783.66667</v>
      </c>
      <c r="B246" s="4">
        <f>B245+(('Equity Price Data'!B248-'Equity Price Data'!B247)/'Equity Price Data'!B247)</f>
        <v>0.08127414764</v>
      </c>
      <c r="C246" s="4">
        <f>C245+(('Equity Price Data'!C248-'Equity Price Data'!C247)/'Equity Price Data'!C247)</f>
        <v>0.08969710169</v>
      </c>
      <c r="D246" s="4">
        <f>D245+(('Equity Price Data'!D248-'Equity Price Data'!D247)/'Equity Price Data'!D247)</f>
        <v>0.1086004939</v>
      </c>
      <c r="E246" s="4">
        <f>E245+(('Equity Price Data'!E248-'Equity Price Data'!E247)/'Equity Price Data'!E247)</f>
        <v>0.04906901498</v>
      </c>
      <c r="F246" s="4">
        <f>F245+(('Equity Price Data'!F248-'Equity Price Data'!F247)/'Equity Price Data'!F247)</f>
        <v>-0.01006572566</v>
      </c>
    </row>
    <row r="247">
      <c r="A247" s="43">
        <f>'Equity Price Data'!A249</f>
        <v>45784.66667</v>
      </c>
      <c r="B247" s="4">
        <f>B246+(('Equity Price Data'!B249-'Equity Price Data'!B248)/'Equity Price Data'!B248)</f>
        <v>0.08658364242</v>
      </c>
      <c r="C247" s="4">
        <f>C246+(('Equity Price Data'!C249-'Equity Price Data'!C248)/'Equity Price Data'!C248)</f>
        <v>0.09404352423</v>
      </c>
      <c r="D247" s="4">
        <f>D246+(('Equity Price Data'!D249-'Equity Price Data'!D248)/'Equity Price Data'!D248)</f>
        <v>0.1113422086</v>
      </c>
      <c r="E247" s="4">
        <f>E246+(('Equity Price Data'!E249-'Equity Price Data'!E248)/'Equity Price Data'!E248)</f>
        <v>0.05604861281</v>
      </c>
      <c r="F247" s="4">
        <f>F246+(('Equity Price Data'!F249-'Equity Price Data'!F248)/'Equity Price Data'!F248)</f>
        <v>-0.006803305014</v>
      </c>
    </row>
    <row r="248">
      <c r="A248" s="43">
        <f>'Equity Price Data'!A250</f>
        <v>45785.66667</v>
      </c>
      <c r="B248" s="4">
        <f>B247+(('Equity Price Data'!B250-'Equity Price Data'!B249)/'Equity Price Data'!B249)</f>
        <v>0.09355260939</v>
      </c>
      <c r="C248" s="4">
        <f>C247+(('Equity Price Data'!C250-'Equity Price Data'!C249)/'Equity Price Data'!C249)</f>
        <v>0.09984327136</v>
      </c>
      <c r="D248" s="4">
        <f>D247+(('Equity Price Data'!D250-'Equity Price Data'!D249)/'Equity Price Data'!D249)</f>
        <v>0.1220524514</v>
      </c>
      <c r="E248" s="4">
        <f>E247+(('Equity Price Data'!E250-'Equity Price Data'!E249)/'Equity Price Data'!E249)</f>
        <v>0.06223823644</v>
      </c>
      <c r="F248" s="4">
        <f>F247+(('Equity Price Data'!F250-'Equity Price Data'!F249)/'Equity Price Data'!F249)</f>
        <v>0.01166718743</v>
      </c>
    </row>
    <row r="249">
      <c r="A249" s="43">
        <f>'Equity Price Data'!A251</f>
        <v>45786.66667</v>
      </c>
      <c r="B249" s="4">
        <f>B248+(('Equity Price Data'!B251-'Equity Price Data'!B250)/'Equity Price Data'!B250)</f>
        <v>0.09576165453</v>
      </c>
      <c r="C249" s="4">
        <f>C248+(('Equity Price Data'!C251-'Equity Price Data'!C250)/'Equity Price Data'!C250)</f>
        <v>0.09913175252</v>
      </c>
      <c r="D249" s="4">
        <f>D248+(('Equity Price Data'!D251-'Equity Price Data'!D250)/'Equity Price Data'!D250)</f>
        <v>0.1220959584</v>
      </c>
      <c r="E249" s="4">
        <f>E248+(('Equity Price Data'!E251-'Equity Price Data'!E250)/'Equity Price Data'!E250)</f>
        <v>0.05935995601</v>
      </c>
      <c r="F249" s="4">
        <f>F248+(('Equity Price Data'!F251-'Equity Price Data'!F250)/'Equity Price Data'!F250)</f>
        <v>0.01001895238</v>
      </c>
    </row>
    <row r="250">
      <c r="A250" s="43">
        <f>'Equity Price Data'!A252</f>
        <v>45789.66667</v>
      </c>
      <c r="B250" s="4">
        <f>B249+(('Equity Price Data'!B252-'Equity Price Data'!B251)/'Equity Price Data'!B251)</f>
        <v>0.116403986</v>
      </c>
      <c r="C250" s="4">
        <f>C249+(('Equity Price Data'!C252-'Equity Price Data'!C251)/'Equity Price Data'!C251)</f>
        <v>0.1316905741</v>
      </c>
      <c r="D250" s="4">
        <f>D249+(('Equity Price Data'!D252-'Equity Price Data'!D251)/'Equity Price Data'!D251)</f>
        <v>0.1655687387</v>
      </c>
      <c r="E250" s="4">
        <f>E249+(('Equity Price Data'!E252-'Equity Price Data'!E251)/'Equity Price Data'!E251)</f>
        <v>0.08749904562</v>
      </c>
      <c r="F250" s="4">
        <f>F249+(('Equity Price Data'!F252-'Equity Price Data'!F251)/'Equity Price Data'!F251)</f>
        <v>0.04418979174</v>
      </c>
    </row>
    <row r="251">
      <c r="A251" s="43">
        <f>'Equity Price Data'!A253</f>
        <v>45790.66667</v>
      </c>
      <c r="B251" s="4">
        <f>B250+(('Equity Price Data'!B253-'Equity Price Data'!B252)/'Equity Price Data'!B252)</f>
        <v>0.116441017</v>
      </c>
      <c r="C251" s="4">
        <f>C250+(('Equity Price Data'!C253-'Equity Price Data'!C252)/'Equity Price Data'!C252)</f>
        <v>0.1389387984</v>
      </c>
      <c r="D251" s="4">
        <f>D250+(('Equity Price Data'!D253-'Equity Price Data'!D252)/'Equity Price Data'!D252)</f>
        <v>0.1816979089</v>
      </c>
      <c r="E251" s="4">
        <f>E250+(('Equity Price Data'!E253-'Equity Price Data'!E252)/'Equity Price Data'!E252)</f>
        <v>0.08114041878</v>
      </c>
      <c r="F251" s="4">
        <f>F250+(('Equity Price Data'!F253-'Equity Price Data'!F252)/'Equity Price Data'!F252)</f>
        <v>0.04904114439</v>
      </c>
    </row>
    <row r="252">
      <c r="A252" s="43">
        <f>'Equity Price Data'!A254</f>
        <v>45791.66667</v>
      </c>
      <c r="B252" s="4">
        <f>B251+(('Equity Price Data'!B254-'Equity Price Data'!B253)/'Equity Price Data'!B253)</f>
        <v>0.1143172763</v>
      </c>
      <c r="C252" s="4">
        <f>C251+(('Equity Price Data'!C254-'Equity Price Data'!C253)/'Equity Price Data'!C253)</f>
        <v>0.1399631675</v>
      </c>
      <c r="D252" s="4">
        <f>D251+(('Equity Price Data'!D254-'Equity Price Data'!D253)/'Equity Price Data'!D253)</f>
        <v>0.188889879</v>
      </c>
      <c r="E252" s="4">
        <f>E251+(('Equity Price Data'!E254-'Equity Price Data'!E253)/'Equity Price Data'!E253)</f>
        <v>0.07901965257</v>
      </c>
      <c r="F252" s="4">
        <f>F251+(('Equity Price Data'!F254-'Equity Price Data'!F253)/'Equity Price Data'!F253)</f>
        <v>0.04021768492</v>
      </c>
    </row>
    <row r="253">
      <c r="A253" s="43">
        <f>'Equity Price Data'!A255</f>
        <v>45792.66667</v>
      </c>
      <c r="B253" s="4">
        <f>B252+(('Equity Price Data'!B255-'Equity Price Data'!B254)/'Equity Price Data'!B254)</f>
        <v>0.1180819418</v>
      </c>
      <c r="C253" s="4">
        <f>C252+(('Equity Price Data'!C255-'Equity Price Data'!C254)/'Equity Price Data'!C254)</f>
        <v>0.1440954831</v>
      </c>
      <c r="D253" s="4">
        <f>D252+(('Equity Price Data'!D255-'Equity Price Data'!D254)/'Equity Price Data'!D254)</f>
        <v>0.1870885346</v>
      </c>
      <c r="E253" s="4">
        <f>E252+(('Equity Price Data'!E255-'Equity Price Data'!E254)/'Equity Price Data'!E254)</f>
        <v>0.08548060742</v>
      </c>
      <c r="F253" s="4">
        <f>F252+(('Equity Price Data'!F255-'Equity Price Data'!F254)/'Equity Price Data'!F254)</f>
        <v>0.04544371429</v>
      </c>
    </row>
    <row r="254">
      <c r="A254" s="43">
        <f>'Equity Price Data'!A256</f>
        <v>45793.66667</v>
      </c>
      <c r="B254" s="4">
        <f>B253+(('Equity Price Data'!B256-'Equity Price Data'!B255)/'Equity Price Data'!B255)</f>
        <v>0.1253966842</v>
      </c>
      <c r="C254" s="4">
        <f>C253+(('Equity Price Data'!C256-'Equity Price Data'!C255)/'Equity Price Data'!C255)</f>
        <v>0.1511008051</v>
      </c>
      <c r="D254" s="4">
        <f>D253+(('Equity Price Data'!D256-'Equity Price Data'!D255)/'Equity Price Data'!D255)</f>
        <v>0.1922569286</v>
      </c>
      <c r="E254" s="4">
        <f>E253+(('Equity Price Data'!E256-'Equity Price Data'!E255)/'Equity Price Data'!E255)</f>
        <v>0.09332485194</v>
      </c>
      <c r="F254" s="4">
        <f>F253+(('Equity Price Data'!F256-'Equity Price Data'!F255)/'Equity Price Data'!F255)</f>
        <v>0.05430421394</v>
      </c>
    </row>
    <row r="255">
      <c r="A255" s="43">
        <f>'Equity Price Data'!A257</f>
        <v>45796.66667</v>
      </c>
      <c r="B255" s="4">
        <f>B254+(('Equity Price Data'!B257-'Equity Price Data'!B256)/'Equity Price Data'!B256)</f>
        <v>0.1264901075</v>
      </c>
      <c r="C255" s="4">
        <f>C254+(('Equity Price Data'!C257-'Equity Price Data'!C256)/'Equity Price Data'!C256)</f>
        <v>0.1519768822</v>
      </c>
      <c r="D255" s="4">
        <f>D254+(('Equity Price Data'!D257-'Equity Price Data'!D256)/'Equity Price Data'!D256)</f>
        <v>0.1924838807</v>
      </c>
      <c r="E255" s="4">
        <f>E254+(('Equity Price Data'!E257-'Equity Price Data'!E256)/'Equity Price Data'!E256)</f>
        <v>0.09654442379</v>
      </c>
      <c r="F255" s="4">
        <f>F254+(('Equity Price Data'!F257-'Equity Price Data'!F256)/'Equity Price Data'!F256)</f>
        <v>0.05013054778</v>
      </c>
    </row>
    <row r="256">
      <c r="A256" s="43">
        <f>'Equity Price Data'!A258</f>
        <v>45797.66667</v>
      </c>
      <c r="B256" s="4">
        <f>B255+(('Equity Price Data'!B258-'Equity Price Data'!B257)/'Equity Price Data'!B257)</f>
        <v>0.1248933588</v>
      </c>
      <c r="C256" s="4">
        <f>C255+(('Equity Price Data'!C258-'Equity Price Data'!C257)/'Equity Price Data'!C257)</f>
        <v>0.1480966756</v>
      </c>
      <c r="D256" s="4">
        <f>D255+(('Equity Price Data'!D258-'Equity Price Data'!D257)/'Equity Price Data'!D257)</f>
        <v>0.1886978667</v>
      </c>
      <c r="E256" s="4">
        <f>E255+(('Equity Price Data'!E258-'Equity Price Data'!E257)/'Equity Price Data'!E257)</f>
        <v>0.09386098268</v>
      </c>
      <c r="F256" s="4">
        <f>F255+(('Equity Price Data'!F258-'Equity Price Data'!F257)/'Equity Price Data'!F257)</f>
        <v>0.05067701405</v>
      </c>
    </row>
    <row r="257">
      <c r="A257" s="43">
        <f>'Equity Price Data'!A259</f>
        <v>45798.66667</v>
      </c>
      <c r="B257" s="4">
        <f>B256+(('Equity Price Data'!B259-'Equity Price Data'!B258)/'Equity Price Data'!B258)</f>
        <v>0.1084161145</v>
      </c>
      <c r="C257" s="4">
        <f>C256+(('Equity Price Data'!C259-'Equity Price Data'!C258)/'Equity Price Data'!C258)</f>
        <v>0.1319615615</v>
      </c>
      <c r="D257" s="4">
        <f>D256+(('Equity Price Data'!D259-'Equity Price Data'!D258)/'Equity Price Data'!D258)</f>
        <v>0.174589624</v>
      </c>
      <c r="E257" s="4">
        <f>E256+(('Equity Price Data'!E259-'Equity Price Data'!E258)/'Equity Price Data'!E258)</f>
        <v>0.07472197556</v>
      </c>
      <c r="F257" s="4">
        <f>F256+(('Equity Price Data'!F259-'Equity Price Data'!F258)/'Equity Price Data'!F258)</f>
        <v>0.02264673261</v>
      </c>
    </row>
    <row r="258">
      <c r="A258" s="43">
        <f>'Equity Price Data'!A260</f>
        <v>45799.66667</v>
      </c>
      <c r="B258" s="4">
        <f>B257+(('Equity Price Data'!B260-'Equity Price Data'!B259)/'Equity Price Data'!B259)</f>
        <v>0.1089485331</v>
      </c>
      <c r="C258" s="4">
        <f>C257+(('Equity Price Data'!C260-'Equity Price Data'!C259)/'Equity Price Data'!C259)</f>
        <v>0.1315167072</v>
      </c>
      <c r="D258" s="4">
        <f>D257+(('Equity Price Data'!D260-'Equity Price Data'!D259)/'Equity Price Data'!D259)</f>
        <v>0.1774032208</v>
      </c>
      <c r="E258" s="4">
        <f>E257+(('Equity Price Data'!E260-'Equity Price Data'!E259)/'Equity Price Data'!E259)</f>
        <v>0.07468972554</v>
      </c>
      <c r="F258" s="4">
        <f>F257+(('Equity Price Data'!F260-'Equity Price Data'!F259)/'Equity Price Data'!F259)</f>
        <v>0.02215810779</v>
      </c>
    </row>
    <row r="259">
      <c r="A259" s="43">
        <f>'Equity Price Data'!A261</f>
        <v>45800.66667</v>
      </c>
      <c r="B259" s="4">
        <f>B258+(('Equity Price Data'!B261-'Equity Price Data'!B260)/'Equity Price Data'!B260)</f>
        <v>0.1072084663</v>
      </c>
      <c r="C259" s="4">
        <f>C258+(('Equity Price Data'!C261-'Equity Price Data'!C260)/'Equity Price Data'!C260)</f>
        <v>0.1248083996</v>
      </c>
      <c r="D259" s="4">
        <f>D258+(('Equity Price Data'!D261-'Equity Price Data'!D260)/'Equity Price Data'!D260)</f>
        <v>0.1674416552</v>
      </c>
      <c r="E259" s="4">
        <f>E258+(('Equity Price Data'!E261-'Equity Price Data'!E260)/'Equity Price Data'!E260)</f>
        <v>0.06857349129</v>
      </c>
      <c r="F259" s="4">
        <f>F258+(('Equity Price Data'!F261-'Equity Price Data'!F260)/'Equity Price Data'!F260)</f>
        <v>0.01936669615</v>
      </c>
    </row>
    <row r="260">
      <c r="A260" s="43">
        <f>'Equity Price Data'!A262</f>
        <v>45804.66667</v>
      </c>
      <c r="B260" s="4">
        <f>B259+(('Equity Price Data'!B262-'Equity Price Data'!B261)/'Equity Price Data'!B261)</f>
        <v>0.1203485057</v>
      </c>
      <c r="C260" s="4">
        <f>C259+(('Equity Price Data'!C262-'Equity Price Data'!C261)/'Equity Price Data'!C261)</f>
        <v>0.1452674178</v>
      </c>
      <c r="D260" s="4">
        <f>D259+(('Equity Price Data'!D262-'Equity Price Data'!D261)/'Equity Price Data'!D261)</f>
        <v>0.192095806</v>
      </c>
      <c r="E260" s="4">
        <f>E259+(('Equity Price Data'!E262-'Equity Price Data'!E261)/'Equity Price Data'!E261)</f>
        <v>0.08637458145</v>
      </c>
      <c r="F260" s="4">
        <f>F259+(('Equity Price Data'!F262-'Equity Price Data'!F261)/'Equity Price Data'!F261)</f>
        <v>0.04414793006</v>
      </c>
    </row>
    <row r="261">
      <c r="A261" s="43">
        <f>'Equity Price Data'!A263</f>
        <v>45805.66667</v>
      </c>
      <c r="B261" s="4">
        <f>B260+(('Equity Price Data'!B263-'Equity Price Data'!B262)/'Equity Price Data'!B262)</f>
        <v>0.1123609156</v>
      </c>
      <c r="C261" s="4">
        <f>C260+(('Equity Price Data'!C263-'Equity Price Data'!C262)/'Equity Price Data'!C262)</f>
        <v>0.1396962319</v>
      </c>
      <c r="D261" s="4">
        <f>D260+(('Equity Price Data'!D263-'Equity Price Data'!D262)/'Equity Price Data'!D262)</f>
        <v>0.1869799572</v>
      </c>
      <c r="E261" s="4">
        <f>E260+(('Equity Price Data'!E263-'Equity Price Data'!E262)/'Equity Price Data'!E262)</f>
        <v>0.08058977074</v>
      </c>
      <c r="F261" s="4">
        <f>F260+(('Equity Price Data'!F263-'Equity Price Data'!F262)/'Equity Price Data'!F262)</f>
        <v>0.03333660209</v>
      </c>
    </row>
    <row r="262">
      <c r="A262" s="43">
        <f>'Equity Price Data'!A264</f>
        <v>45806.66667</v>
      </c>
      <c r="B262" s="4">
        <f>B261+(('Equity Price Data'!B264-'Equity Price Data'!B263)/'Equity Price Data'!B263)</f>
        <v>0.1164002017</v>
      </c>
      <c r="C262" s="4">
        <f>C261+(('Equity Price Data'!C264-'Equity Price Data'!C263)/'Equity Price Data'!C263)</f>
        <v>0.1437074061</v>
      </c>
      <c r="D262" s="4">
        <f>D261+(('Equity Price Data'!D264-'Equity Price Data'!D263)/'Equity Price Data'!D263)</f>
        <v>0.1909028007</v>
      </c>
      <c r="E262" s="4">
        <f>E261+(('Equity Price Data'!E264-'Equity Price Data'!E263)/'Equity Price Data'!E263)</f>
        <v>0.08336966656</v>
      </c>
      <c r="F262" s="4">
        <f>F261+(('Equity Price Data'!F264-'Equity Price Data'!F263)/'Equity Price Data'!F263)</f>
        <v>0.03671217032</v>
      </c>
    </row>
    <row r="263">
      <c r="A263" s="43">
        <f>'Equity Price Data'!A265</f>
        <v>45807.66667</v>
      </c>
      <c r="B263" s="4">
        <f>B262+(('Equity Price Data'!B265-'Equity Price Data'!B264)/'Equity Price Data'!B264)</f>
        <v>0.120886263</v>
      </c>
      <c r="C263" s="4">
        <f>C262+(('Equity Price Data'!C265-'Equity Price Data'!C264)/'Equity Price Data'!C264)</f>
        <v>0.1436262177</v>
      </c>
      <c r="D263" s="4">
        <f>D262+(('Equity Price Data'!D265-'Equity Price Data'!D264)/'Equity Price Data'!D264)</f>
        <v>0.1876643558</v>
      </c>
      <c r="E263" s="4">
        <f>E262+(('Equity Price Data'!E265-'Equity Price Data'!E264)/'Equity Price Data'!E264)</f>
        <v>0.08465686448</v>
      </c>
      <c r="F263" s="4">
        <f>F262+(('Equity Price Data'!F265-'Equity Price Data'!F264)/'Equity Price Data'!F264)</f>
        <v>0.03262017021</v>
      </c>
    </row>
    <row r="264">
      <c r="A264" s="43">
        <f>'Equity Price Data'!A266</f>
        <v>45810.66667</v>
      </c>
      <c r="B264" s="4">
        <f>B263+(('Equity Price Data'!B266-'Equity Price Data'!B265)/'Equity Price Data'!B265)</f>
        <v>0.1206758291</v>
      </c>
      <c r="C264" s="4">
        <f>C263+(('Equity Price Data'!C266-'Equity Price Data'!C265)/'Equity Price Data'!C265)</f>
        <v>0.1477282595</v>
      </c>
      <c r="D264" s="4">
        <f>D263+(('Equity Price Data'!D266-'Equity Price Data'!D265)/'Equity Price Data'!D265)</f>
        <v>0.1944050459</v>
      </c>
      <c r="E264" s="4">
        <f>E263+(('Equity Price Data'!E266-'Equity Price Data'!E265)/'Equity Price Data'!E265)</f>
        <v>0.08549457305</v>
      </c>
      <c r="F264" s="4">
        <f>F263+(('Equity Price Data'!F266-'Equity Price Data'!F265)/'Equity Price Data'!F265)</f>
        <v>0.03449309221</v>
      </c>
    </row>
    <row r="265">
      <c r="A265" s="43">
        <f>'Equity Price Data'!A267</f>
        <v>45811.66667</v>
      </c>
      <c r="B265" s="4">
        <f>B264+(('Equity Price Data'!B267-'Equity Price Data'!B266)/'Equity Price Data'!B266)</f>
        <v>0.1259384567</v>
      </c>
      <c r="C265" s="4">
        <f>C264+(('Equity Price Data'!C267-'Equity Price Data'!C266)/'Equity Price Data'!C266)</f>
        <v>0.1535285203</v>
      </c>
      <c r="D265" s="4">
        <f>D264+(('Equity Price Data'!D267-'Equity Price Data'!D266)/'Equity Price Data'!D266)</f>
        <v>0.202530243</v>
      </c>
      <c r="E265" s="4">
        <f>E264+(('Equity Price Data'!E267-'Equity Price Data'!E266)/'Equity Price Data'!E266)</f>
        <v>0.0905568014</v>
      </c>
      <c r="F265" s="4">
        <f>F264+(('Equity Price Data'!F267-'Equity Price Data'!F266)/'Equity Price Data'!F266)</f>
        <v>0.05034693925</v>
      </c>
    </row>
    <row r="266">
      <c r="A266" s="43">
        <f>'Equity Price Data'!A268</f>
        <v>45812.66667</v>
      </c>
      <c r="B266" s="4">
        <f>B265+(('Equity Price Data'!B268-'Equity Price Data'!B267)/'Equity Price Data'!B267)</f>
        <v>0.1244678473</v>
      </c>
      <c r="C266" s="4">
        <f>C265+(('Equity Price Data'!C268-'Equity Price Data'!C267)/'Equity Price Data'!C267)</f>
        <v>0.1536022176</v>
      </c>
      <c r="D266" s="4">
        <f>D265+(('Equity Price Data'!D268-'Equity Price Data'!D267)/'Equity Price Data'!D267)</f>
        <v>0.2057020625</v>
      </c>
      <c r="E266" s="4">
        <f>E265+(('Equity Price Data'!E268-'Equity Price Data'!E267)/'Equity Price Data'!E267)</f>
        <v>0.08839544726</v>
      </c>
      <c r="F266" s="4">
        <f>F265+(('Equity Price Data'!F268-'Equity Price Data'!F267)/'Equity Price Data'!F267)</f>
        <v>0.04820711862</v>
      </c>
    </row>
    <row r="267">
      <c r="A267" s="43">
        <f>'Equity Price Data'!A269</f>
        <v>45813.66667</v>
      </c>
      <c r="B267" s="4">
        <f>B266+(('Equity Price Data'!B269-'Equity Price Data'!B268)/'Equity Price Data'!B268)</f>
        <v>0.1225168713</v>
      </c>
      <c r="C267" s="4">
        <f>C266+(('Equity Price Data'!C269-'Equity Price Data'!C268)/'Equity Price Data'!C268)</f>
        <v>0.1483248767</v>
      </c>
      <c r="D267" s="4">
        <f>D266+(('Equity Price Data'!D269-'Equity Price Data'!D268)/'Equity Price Data'!D268)</f>
        <v>0.1973754479</v>
      </c>
      <c r="E267" s="4">
        <f>E266+(('Equity Price Data'!E269-'Equity Price Data'!E268)/'Equity Price Data'!E268)</f>
        <v>0.08584994283</v>
      </c>
      <c r="F267" s="4">
        <f>F266+(('Equity Price Data'!F269-'Equity Price Data'!F268)/'Equity Price Data'!F268)</f>
        <v>0.04766863362</v>
      </c>
    </row>
    <row r="268">
      <c r="A268" s="43">
        <f>'Equity Price Data'!A270</f>
        <v>45814.66667</v>
      </c>
      <c r="B268" s="4">
        <f>B267+(('Equity Price Data'!B270-'Equity Price Data'!B269)/'Equity Price Data'!B269)</f>
        <v>0.1341326353</v>
      </c>
      <c r="C268" s="4">
        <f>C267+(('Equity Price Data'!C270-'Equity Price Data'!C269)/'Equity Price Data'!C269)</f>
        <v>0.1586055495</v>
      </c>
      <c r="D268" s="4">
        <f>D267+(('Equity Price Data'!D270-'Equity Price Data'!D269)/'Equity Price Data'!D269)</f>
        <v>0.20937123</v>
      </c>
      <c r="E268" s="4">
        <f>E267+(('Equity Price Data'!E270-'Equity Price Data'!E269)/'Equity Price Data'!E269)</f>
        <v>0.09632094289</v>
      </c>
      <c r="F268" s="4">
        <f>F267+(('Equity Price Data'!F270-'Equity Price Data'!F269)/'Equity Price Data'!F269)</f>
        <v>0.06430867939</v>
      </c>
    </row>
    <row r="269">
      <c r="A269" s="43">
        <f>'Equity Price Data'!A271</f>
        <v>45817.66667</v>
      </c>
      <c r="B269" s="4">
        <f>B268+(('Equity Price Data'!B271-'Equity Price Data'!B270)/'Equity Price Data'!B270)</f>
        <v>0.1363349326</v>
      </c>
      <c r="C269" s="4">
        <f>C268+(('Equity Price Data'!C271-'Equity Price Data'!C270)/'Equity Price Data'!C270)</f>
        <v>0.1595254943</v>
      </c>
      <c r="D269" s="4">
        <f>D268+(('Equity Price Data'!D271-'Equity Price Data'!D270)/'Equity Price Data'!D270)</f>
        <v>0.2125094869</v>
      </c>
      <c r="E269" s="4">
        <f>E268+(('Equity Price Data'!E271-'Equity Price Data'!E270)/'Equity Price Data'!E270)</f>
        <v>0.09629498579</v>
      </c>
      <c r="F269" s="4">
        <f>F268+(('Equity Price Data'!F271-'Equity Price Data'!F270)/'Equity Price Data'!F270)</f>
        <v>0.07003033492</v>
      </c>
    </row>
    <row r="270">
      <c r="A270" s="43">
        <f>'Equity Price Data'!A272</f>
        <v>45818.66667</v>
      </c>
      <c r="B270" s="4">
        <f>B269+(('Equity Price Data'!B272-'Equity Price Data'!B271)/'Equity Price Data'!B271)</f>
        <v>0.1386450949</v>
      </c>
      <c r="C270" s="4">
        <f>C269+(('Equity Price Data'!C272-'Equity Price Data'!C271)/'Equity Price Data'!C271)</f>
        <v>0.1650084543</v>
      </c>
      <c r="D270" s="4">
        <f>D269+(('Equity Price Data'!D272-'Equity Price Data'!D271)/'Equity Price Data'!D271)</f>
        <v>0.2188260855</v>
      </c>
      <c r="E270" s="4">
        <f>E269+(('Equity Price Data'!E272-'Equity Price Data'!E271)/'Equity Price Data'!E271)</f>
        <v>0.09875302306</v>
      </c>
      <c r="F270" s="4">
        <f>F269+(('Equity Price Data'!F272-'Equity Price Data'!F271)/'Equity Price Data'!F271)</f>
        <v>0.07560752254</v>
      </c>
    </row>
    <row r="271">
      <c r="A271" s="43">
        <f>'Equity Price Data'!A273</f>
        <v>45819.66667</v>
      </c>
      <c r="B271" s="4">
        <f>B270+(('Equity Price Data'!B273-'Equity Price Data'!B272)/'Equity Price Data'!B272)</f>
        <v>0.1346809308</v>
      </c>
      <c r="C271" s="4">
        <f>C270+(('Equity Price Data'!C273-'Equity Price Data'!C272)/'Equity Price Data'!C272)</f>
        <v>0.1622645362</v>
      </c>
      <c r="D271" s="4">
        <f>D270+(('Equity Price Data'!D273-'Equity Price Data'!D272)/'Equity Price Data'!D272)</f>
        <v>0.2137989463</v>
      </c>
      <c r="E271" s="4">
        <f>E270+(('Equity Price Data'!E273-'Equity Price Data'!E272)/'Equity Price Data'!E272)</f>
        <v>0.09872736222</v>
      </c>
      <c r="F271" s="4">
        <f>F270+(('Equity Price Data'!F273-'Equity Price Data'!F272)/'Equity Price Data'!F272)</f>
        <v>0.07181418083</v>
      </c>
    </row>
    <row r="272">
      <c r="A272" s="43">
        <f>'Equity Price Data'!A274</f>
        <v>45820.66667</v>
      </c>
      <c r="B272" s="4">
        <f>B271+(('Equity Price Data'!B274-'Equity Price Data'!B273)/'Equity Price Data'!B273)</f>
        <v>0.138683194</v>
      </c>
      <c r="C272" s="4">
        <f>C271+(('Equity Price Data'!C274-'Equity Price Data'!C273)/'Equity Price Data'!C273)</f>
        <v>0.1660870342</v>
      </c>
      <c r="D272" s="4">
        <f>D271+(('Equity Price Data'!D274-'Equity Price Data'!D273)/'Equity Price Data'!D273)</f>
        <v>0.2161750823</v>
      </c>
      <c r="E272" s="4">
        <f>E271+(('Equity Price Data'!E274-'Equity Price Data'!E273)/'Equity Price Data'!E273)</f>
        <v>0.1011033839</v>
      </c>
      <c r="F272" s="4">
        <f>F271+(('Equity Price Data'!F274-'Equity Price Data'!F273)/'Equity Price Data'!F273)</f>
        <v>0.06802501487</v>
      </c>
    </row>
    <row r="273">
      <c r="A273" s="43">
        <f>'Equity Price Data'!A275</f>
        <v>45821.66667</v>
      </c>
      <c r="B273" s="4">
        <f>B272+(('Equity Price Data'!B275-'Equity Price Data'!B274)/'Equity Price Data'!B274)</f>
        <v>0.1324646896</v>
      </c>
      <c r="C273" s="4">
        <f>C272+(('Equity Price Data'!C275-'Equity Price Data'!C274)/'Equity Price Data'!C274)</f>
        <v>0.1547905804</v>
      </c>
      <c r="D273" s="4">
        <f>D272+(('Equity Price Data'!D275-'Equity Price Data'!D274)/'Equity Price Data'!D274)</f>
        <v>0.2031726599</v>
      </c>
      <c r="E273" s="4">
        <f>E272+(('Equity Price Data'!E275-'Equity Price Data'!E274)/'Equity Price Data'!E274)</f>
        <v>0.08318686912</v>
      </c>
      <c r="F273" s="4">
        <f>F272+(('Equity Price Data'!F275-'Equity Price Data'!F274)/'Equity Price Data'!F274)</f>
        <v>0.04953046557</v>
      </c>
    </row>
    <row r="274">
      <c r="A274" s="43">
        <f>'Equity Price Data'!A276</f>
        <v>45824.66667</v>
      </c>
      <c r="B274" s="4">
        <f>B273+(('Equity Price Data'!B276-'Equity Price Data'!B275)/'Equity Price Data'!B275)</f>
        <v>0.1404136245</v>
      </c>
      <c r="C274" s="4">
        <f>C273+(('Equity Price Data'!C276-'Equity Price Data'!C275)/'Equity Price Data'!C275)</f>
        <v>0.1641832995</v>
      </c>
      <c r="D274" s="4">
        <f>D273+(('Equity Price Data'!D276-'Equity Price Data'!D275)/'Equity Price Data'!D275)</f>
        <v>0.2183415464</v>
      </c>
      <c r="E274" s="4">
        <f>E273+(('Equity Price Data'!E276-'Equity Price Data'!E275)/'Equity Price Data'!E275)</f>
        <v>0.09070622025</v>
      </c>
      <c r="F274" s="4">
        <f>F273+(('Equity Price Data'!F276-'Equity Price Data'!F275)/'Equity Price Data'!F275)</f>
        <v>0.06077535372</v>
      </c>
    </row>
    <row r="275">
      <c r="A275" s="43">
        <f>'Equity Price Data'!A277</f>
        <v>45825.66667</v>
      </c>
      <c r="B275" s="4">
        <f>B274+(('Equity Price Data'!B277-'Equity Price Data'!B276)/'Equity Price Data'!B276)</f>
        <v>0.1310256767</v>
      </c>
      <c r="C275" s="4">
        <f>C274+(('Equity Price Data'!C277-'Equity Price Data'!C276)/'Equity Price Data'!C276)</f>
        <v>0.1558310566</v>
      </c>
      <c r="D275" s="4">
        <f>D274+(('Equity Price Data'!D277-'Equity Price Data'!D276)/'Equity Price Data'!D276)</f>
        <v>0.2091989607</v>
      </c>
      <c r="E275" s="4">
        <f>E274+(('Equity Price Data'!E277-'Equity Price Data'!E276)/'Equity Price Data'!E276)</f>
        <v>0.08366660208</v>
      </c>
      <c r="F275" s="4">
        <f>F274+(('Equity Price Data'!F277-'Equity Price Data'!F276)/'Equity Price Data'!F276)</f>
        <v>0.05033813943</v>
      </c>
    </row>
    <row r="276">
      <c r="A276" s="43">
        <f>'Equity Price Data'!A278</f>
        <v>45826.66667</v>
      </c>
      <c r="B276" s="4">
        <f>B275+(('Equity Price Data'!B278-'Equity Price Data'!B277)/'Equity Price Data'!B277)</f>
        <v>0.1295747255</v>
      </c>
      <c r="C276" s="4">
        <f>C275+(('Equity Price Data'!C278-'Equity Price Data'!C277)/'Equity Price Data'!C277)</f>
        <v>0.1555218327</v>
      </c>
      <c r="D276" s="4">
        <f>D275+(('Equity Price Data'!D278-'Equity Price Data'!D277)/'Equity Price Data'!D277)</f>
        <v>0.2104888477</v>
      </c>
      <c r="E276" s="4">
        <f>E275+(('Equity Price Data'!E278-'Equity Price Data'!E277)/'Equity Price Data'!E277)</f>
        <v>0.08262102199</v>
      </c>
      <c r="F276" s="4">
        <f>F275+(('Equity Price Data'!F278-'Equity Price Data'!F277)/'Equity Price Data'!F277)</f>
        <v>0.05557135033</v>
      </c>
    </row>
    <row r="277">
      <c r="A277" s="43">
        <f>'Equity Price Data'!A279</f>
        <v>45828.66667</v>
      </c>
      <c r="B277" s="4">
        <f>B276+(('Equity Price Data'!B279-'Equity Price Data'!B278)/'Equity Price Data'!B278)</f>
        <v>0.1289965364</v>
      </c>
      <c r="C277" s="4">
        <f>C276+(('Equity Price Data'!C279-'Equity Price Data'!C278)/'Equity Price Data'!C278)</f>
        <v>0.1533432199</v>
      </c>
      <c r="D277" s="4">
        <f>D276+(('Equity Price Data'!D279-'Equity Price Data'!D278)/'Equity Price Data'!D278)</f>
        <v>0.2054311052</v>
      </c>
      <c r="E277" s="4">
        <f>E276+(('Equity Price Data'!E279-'Equity Price Data'!E278)/'Equity Price Data'!E278)</f>
        <v>0.08345475725</v>
      </c>
      <c r="F277" s="4">
        <f>F276+(('Equity Price Data'!F279-'Equity Price Data'!F278)/'Equity Price Data'!F278)</f>
        <v>0.05382498504</v>
      </c>
    </row>
    <row r="278">
      <c r="A278" s="43">
        <f>'Equity Price Data'!A280</f>
        <v>45831.66667</v>
      </c>
      <c r="B278" s="4">
        <f>B277+(('Equity Price Data'!B280-'Equity Price Data'!B279)/'Equity Price Data'!B279)</f>
        <v>0.1365556143</v>
      </c>
      <c r="C278" s="4">
        <f>C277+(('Equity Price Data'!C280-'Equity Price Data'!C279)/'Equity Price Data'!C279)</f>
        <v>0.1629497107</v>
      </c>
      <c r="D278" s="4">
        <f>D277+(('Equity Price Data'!D280-'Equity Price Data'!D279)/'Equity Price Data'!D279)</f>
        <v>0.2148698942</v>
      </c>
      <c r="E278" s="4">
        <f>E277+(('Equity Price Data'!E280-'Equity Price Data'!E279)/'Equity Price Data'!E279)</f>
        <v>0.09233862958</v>
      </c>
      <c r="F278" s="4">
        <f>F277+(('Equity Price Data'!F280-'Equity Price Data'!F279)/'Equity Price Data'!F279)</f>
        <v>0.06492361158</v>
      </c>
    </row>
    <row r="279">
      <c r="A279" s="43">
        <f>'Equity Price Data'!A281</f>
        <v>45832.66667</v>
      </c>
      <c r="B279" s="4">
        <f>B278+(('Equity Price Data'!B281-'Equity Price Data'!B280)/'Equity Price Data'!B280)</f>
        <v>0.1445104072</v>
      </c>
      <c r="C279" s="4">
        <f>C278+(('Equity Price Data'!C281-'Equity Price Data'!C280)/'Equity Price Data'!C280)</f>
        <v>0.1740713886</v>
      </c>
      <c r="D279" s="4">
        <f>D278+(('Equity Price Data'!D281-'Equity Price Data'!D280)/'Equity Price Data'!D280)</f>
        <v>0.2292125375</v>
      </c>
      <c r="E279" s="4">
        <f>E278+(('Equity Price Data'!E281-'Equity Price Data'!E280)/'Equity Price Data'!E280)</f>
        <v>0.1042507666</v>
      </c>
      <c r="F279" s="4">
        <f>F278+(('Equity Price Data'!F281-'Equity Price Data'!F280)/'Equity Price Data'!F280)</f>
        <v>0.07830114595</v>
      </c>
    </row>
    <row r="280">
      <c r="A280" s="43">
        <f>'Equity Price Data'!A282</f>
        <v>45833.66667</v>
      </c>
      <c r="B280" s="4">
        <f>B279+(('Equity Price Data'!B282-'Equity Price Data'!B281)/'Equity Price Data'!B281)</f>
        <v>0.1418045756</v>
      </c>
      <c r="C280" s="4">
        <f>C279+(('Equity Price Data'!C282-'Equity Price Data'!C281)/'Equity Price Data'!C281)</f>
        <v>0.1740681057</v>
      </c>
      <c r="D280" s="4">
        <f>D279+(('Equity Price Data'!D282-'Equity Price Data'!D281)/'Equity Price Data'!D281)</f>
        <v>0.2322769397</v>
      </c>
      <c r="E280" s="4">
        <f>E279+(('Equity Price Data'!E282-'Equity Price Data'!E281)/'Equity Price Data'!E281)</f>
        <v>0.1017770506</v>
      </c>
      <c r="F280" s="4">
        <f>F279+(('Equity Price Data'!F282-'Equity Price Data'!F281)/'Equity Price Data'!F281)</f>
        <v>0.06671967076</v>
      </c>
    </row>
    <row r="281">
      <c r="A281" s="43">
        <f>'Equity Price Data'!A283</f>
        <v>45834.66667</v>
      </c>
      <c r="B281" s="4">
        <f>B280+(('Equity Price Data'!B283-'Equity Price Data'!B282)/'Equity Price Data'!B282)</f>
        <v>0.1512378473</v>
      </c>
      <c r="C281" s="4">
        <f>C280+(('Equity Price Data'!C283-'Equity Price Data'!C282)/'Equity Price Data'!C282)</f>
        <v>0.1820882496</v>
      </c>
      <c r="D281" s="4">
        <f>D280+(('Equity Price Data'!D283-'Equity Price Data'!D282)/'Equity Price Data'!D282)</f>
        <v>0.2420078088</v>
      </c>
      <c r="E281" s="4">
        <f>E280+(('Equity Price Data'!E283-'Equity Price Data'!E282)/'Equity Price Data'!E282)</f>
        <v>0.1111857788</v>
      </c>
      <c r="F281" s="4">
        <f>F280+(('Equity Price Data'!F283-'Equity Price Data'!F282)/'Equity Price Data'!F282)</f>
        <v>0.08353941442</v>
      </c>
    </row>
    <row r="282">
      <c r="A282" s="43">
        <f>'Equity Price Data'!A284</f>
        <v>45835.66667</v>
      </c>
      <c r="B282" s="4">
        <f>B281+(('Equity Price Data'!B284-'Equity Price Data'!B283)/'Equity Price Data'!B283)</f>
        <v>0.1511118921</v>
      </c>
      <c r="C282" s="4">
        <f>C281+(('Equity Price Data'!C284-'Equity Price Data'!C283)/'Equity Price Data'!C283)</f>
        <v>0.1873072523</v>
      </c>
      <c r="D282" s="4">
        <f>D281+(('Equity Price Data'!D284-'Equity Price Data'!D283)/'Equity Price Data'!D283)</f>
        <v>0.2472413704</v>
      </c>
      <c r="E282" s="4">
        <f>E281+(('Equity Price Data'!E284-'Equity Price Data'!E283)/'Equity Price Data'!E283)</f>
        <v>0.1211526259</v>
      </c>
      <c r="F282" s="4">
        <f>F281+(('Equity Price Data'!F284-'Equity Price Data'!F283)/'Equity Price Data'!F283)</f>
        <v>0.08373277479</v>
      </c>
    </row>
    <row r="283">
      <c r="A283" s="43">
        <f>'Equity Price Data'!A285</f>
        <v>45838.66667</v>
      </c>
      <c r="B283" s="4">
        <f>B282+(('Equity Price Data'!B285-'Equity Price Data'!B284)/'Equity Price Data'!B284)</f>
        <v>0.1578397744</v>
      </c>
      <c r="C283" s="4">
        <f>C282+(('Equity Price Data'!C285-'Equity Price Data'!C284)/'Equity Price Data'!C284)</f>
        <v>0.1924716195</v>
      </c>
      <c r="D283" s="4">
        <f>D282+(('Equity Price Data'!D285-'Equity Price Data'!D284)/'Equity Price Data'!D284)</f>
        <v>0.2519899432</v>
      </c>
      <c r="E283" s="4">
        <f>E282+(('Equity Price Data'!E285-'Equity Price Data'!E284)/'Equity Price Data'!E284)</f>
        <v>0.1274398141</v>
      </c>
      <c r="F283" s="4">
        <f>F282+(('Equity Price Data'!F285-'Equity Price Data'!F284)/'Equity Price Data'!F284)</f>
        <v>0.08488810981</v>
      </c>
    </row>
    <row r="284">
      <c r="A284" s="43">
        <f>'Equity Price Data'!A286</f>
        <v>45839.66667</v>
      </c>
      <c r="B284" s="4">
        <f>B283+(('Equity Price Data'!B286-'Equity Price Data'!B285)/'Equity Price Data'!B285)</f>
        <v>0.1594953119</v>
      </c>
      <c r="C284" s="4">
        <f>C283+(('Equity Price Data'!C286-'Equity Price Data'!C285)/'Equity Price Data'!C285)</f>
        <v>0.1913531576</v>
      </c>
      <c r="D284" s="4">
        <f>D283+(('Equity Price Data'!D286-'Equity Price Data'!D285)/'Equity Price Data'!D285)</f>
        <v>0.2437993584</v>
      </c>
      <c r="E284" s="4">
        <f>E283+(('Equity Price Data'!E286-'Equity Price Data'!E285)/'Equity Price Data'!E285)</f>
        <v>0.1365150401</v>
      </c>
      <c r="F284" s="4">
        <f>F283+(('Equity Price Data'!F286-'Equity Price Data'!F285)/'Equity Price Data'!F285)</f>
        <v>0.09523274715</v>
      </c>
    </row>
    <row r="285">
      <c r="A285" s="43">
        <f>'Equity Price Data'!A287</f>
        <v>45840.66667</v>
      </c>
      <c r="B285" s="4">
        <f>B284+(('Equity Price Data'!B287-'Equity Price Data'!B286)/'Equity Price Data'!B286)</f>
        <v>0.1595501671</v>
      </c>
      <c r="C285" s="4">
        <f>C284+(('Equity Price Data'!C287-'Equity Price Data'!C286)/'Equity Price Data'!C286)</f>
        <v>0.196098229</v>
      </c>
      <c r="D285" s="4">
        <f>D284+(('Equity Price Data'!D287-'Equity Price Data'!D286)/'Equity Price Data'!D286)</f>
        <v>0.253215833</v>
      </c>
      <c r="E285" s="4">
        <f>E284+(('Equity Price Data'!E287-'Equity Price Data'!E286)/'Equity Price Data'!E286)</f>
        <v>0.1362786087</v>
      </c>
      <c r="F285" s="4">
        <f>F284+(('Equity Price Data'!F287-'Equity Price Data'!F286)/'Equity Price Data'!F286)</f>
        <v>0.1083565128</v>
      </c>
    </row>
    <row r="286">
      <c r="A286" s="43">
        <f>'Equity Price Data'!A288</f>
        <v>45841.54514</v>
      </c>
      <c r="B286" s="4">
        <f>B285+(('Equity Price Data'!B288-'Equity Price Data'!B287)/'Equity Price Data'!B287)</f>
        <v>0.1667550441</v>
      </c>
      <c r="C286" s="4">
        <f>C285+(('Equity Price Data'!C288-'Equity Price Data'!C287)/'Equity Price Data'!C287)</f>
        <v>0.2044371559</v>
      </c>
      <c r="D286" s="4">
        <f>D285+(('Equity Price Data'!D288-'Equity Price Data'!D287)/'Equity Price Data'!D287)</f>
        <v>0.2634138752</v>
      </c>
      <c r="E286" s="4">
        <f>E285+(('Equity Price Data'!E288-'Equity Price Data'!E287)/'Equity Price Data'!E287)</f>
        <v>0.144014126</v>
      </c>
      <c r="F286" s="4">
        <f>F285+(('Equity Price Data'!F288-'Equity Price Data'!F287)/'Equity Price Data'!F287)</f>
        <v>0.1185344699</v>
      </c>
    </row>
    <row r="287">
      <c r="A287" s="43">
        <f>'Equity Price Data'!A289</f>
        <v>45845.66667</v>
      </c>
      <c r="B287" s="4">
        <f>B286+(('Equity Price Data'!B289-'Equity Price Data'!B288)/'Equity Price Data'!B288)</f>
        <v>0.159890639</v>
      </c>
      <c r="C287" s="4">
        <f>C286+(('Equity Price Data'!C289-'Equity Price Data'!C288)/'Equity Price Data'!C288)</f>
        <v>0.1965748771</v>
      </c>
      <c r="D287" s="4">
        <f>D286+(('Equity Price Data'!D289-'Equity Price Data'!D288)/'Equity Price Data'!D288)</f>
        <v>0.254259995</v>
      </c>
      <c r="E287" s="4">
        <f>E286+(('Equity Price Data'!E289-'Equity Price Data'!E288)/'Equity Price Data'!E288)</f>
        <v>0.1345966858</v>
      </c>
      <c r="F287" s="4">
        <f>F286+(('Equity Price Data'!F289-'Equity Price Data'!F288)/'Equity Price Data'!F288)</f>
        <v>0.1030567549</v>
      </c>
    </row>
    <row r="288">
      <c r="A288" s="43">
        <f>'Equity Price Data'!A290</f>
        <v>45846.66667</v>
      </c>
      <c r="B288" s="4">
        <f>B287+(('Equity Price Data'!B290-'Equity Price Data'!B289)/'Equity Price Data'!B289)</f>
        <v>0.1573528144</v>
      </c>
      <c r="C288" s="4">
        <f>C287+(('Equity Price Data'!C290-'Equity Price Data'!C289)/'Equity Price Data'!C289)</f>
        <v>0.195858984</v>
      </c>
      <c r="D288" s="4">
        <f>D287+(('Equity Price Data'!D290-'Equity Price Data'!D289)/'Equity Price Data'!D289)</f>
        <v>0.2545509929</v>
      </c>
      <c r="E288" s="4">
        <f>E287+(('Equity Price Data'!E290-'Equity Price Data'!E289)/'Equity Price Data'!E289)</f>
        <v>0.1308674902</v>
      </c>
      <c r="F288" s="4">
        <f>F287+(('Equity Price Data'!F290-'Equity Price Data'!F289)/'Equity Price Data'!F289)</f>
        <v>0.109609823</v>
      </c>
    </row>
    <row r="289">
      <c r="A289" s="43">
        <f>'Equity Price Data'!A291</f>
        <v>45847.66667</v>
      </c>
      <c r="B289" s="4">
        <f>B288+(('Equity Price Data'!B291-'Equity Price Data'!B290)/'Equity Price Data'!B290)</f>
        <v>0.161847294</v>
      </c>
      <c r="C289" s="4">
        <f>C288+(('Equity Price Data'!C291-'Equity Price Data'!C290)/'Equity Price Data'!C290)</f>
        <v>0.2019211282</v>
      </c>
      <c r="D289" s="4">
        <f>D288+(('Equity Price Data'!D291-'Equity Price Data'!D290)/'Equity Price Data'!D290)</f>
        <v>0.2639973468</v>
      </c>
      <c r="E289" s="4">
        <f>E288+(('Equity Price Data'!E291-'Equity Price Data'!E290)/'Equity Price Data'!E290)</f>
        <v>0.1357846752</v>
      </c>
      <c r="F289" s="4">
        <f>F288+(('Equity Price Data'!F291-'Equity Price Data'!F290)/'Equity Price Data'!F290)</f>
        <v>0.1202660683</v>
      </c>
    </row>
    <row r="290">
      <c r="A290" s="43">
        <f>'Equity Price Data'!A292</f>
        <v>45848.66667</v>
      </c>
      <c r="B290" s="4">
        <f>B289+(('Equity Price Data'!B292-'Equity Price Data'!B291)/'Equity Price Data'!B291)</f>
        <v>0.168599302</v>
      </c>
      <c r="C290" s="4">
        <f>C289+(('Equity Price Data'!C292-'Equity Price Data'!C291)/'Equity Price Data'!C291)</f>
        <v>0.2046673019</v>
      </c>
      <c r="D290" s="4">
        <f>D289+(('Equity Price Data'!D292-'Equity Price Data'!D291)/'Equity Price Data'!D291)</f>
        <v>0.2649351801</v>
      </c>
      <c r="E290" s="4">
        <f>E289+(('Equity Price Data'!E292-'Equity Price Data'!E291)/'Equity Price Data'!E291)</f>
        <v>0.1401109765</v>
      </c>
      <c r="F290" s="4">
        <f>F289+(('Equity Price Data'!F292-'Equity Price Data'!F291)/'Equity Price Data'!F291)</f>
        <v>0.1251140365</v>
      </c>
    </row>
    <row r="291">
      <c r="A291" s="43">
        <f>'Equity Price Data'!A293</f>
        <v>45849.66667</v>
      </c>
      <c r="B291" s="4">
        <f>B290+(('Equity Price Data'!B293-'Equity Price Data'!B292)/'Equity Price Data'!B292)</f>
        <v>0.1620589912</v>
      </c>
      <c r="C291" s="4">
        <f>C290+(('Equity Price Data'!C293-'Equity Price Data'!C292)/'Equity Price Data'!C292)</f>
        <v>0.2013697727</v>
      </c>
      <c r="D291" s="4">
        <f>D290+(('Equity Price Data'!D293-'Equity Price Data'!D292)/'Equity Price Data'!D292)</f>
        <v>0.2627471755</v>
      </c>
      <c r="E291" s="4">
        <f>E290+(('Equity Price Data'!E293-'Equity Price Data'!E292)/'Equity Price Data'!E292)</f>
        <v>0.1338595543</v>
      </c>
      <c r="F291" s="4">
        <f>F290+(('Equity Price Data'!F293-'Equity Price Data'!F292)/'Equity Price Data'!F292)</f>
        <v>0.112487071</v>
      </c>
    </row>
    <row r="292">
      <c r="A292" s="43">
        <f>'Equity Price Data'!A294</f>
        <v>45852.66667</v>
      </c>
      <c r="B292" s="4">
        <f>B291+(('Equity Price Data'!B294-'Equity Price Data'!B293)/'Equity Price Data'!B293)</f>
        <v>0.1686953356</v>
      </c>
      <c r="C292" s="4">
        <f>C291+(('Equity Price Data'!C294-'Equity Price Data'!C293)/'Equity Price Data'!C293)</f>
        <v>0.2027771772</v>
      </c>
      <c r="D292" s="4">
        <f>D291+(('Equity Price Data'!D294-'Equity Price Data'!D293)/'Equity Price Data'!D293)</f>
        <v>0.2654092396</v>
      </c>
      <c r="E292" s="4">
        <f>E291+(('Equity Price Data'!E294-'Equity Price Data'!E293)/'Equity Price Data'!E293)</f>
        <v>0.1358459641</v>
      </c>
      <c r="F292" s="4">
        <f>F291+(('Equity Price Data'!F294-'Equity Price Data'!F293)/'Equity Price Data'!F293)</f>
        <v>0.1191542448</v>
      </c>
    </row>
    <row r="293">
      <c r="A293" s="43">
        <f>'Equity Price Data'!A295</f>
        <v>45853.66667</v>
      </c>
      <c r="B293" s="4">
        <f>B292+(('Equity Price Data'!B295-'Equity Price Data'!B294)/'Equity Price Data'!B294)</f>
        <v>0.1647891858</v>
      </c>
      <c r="C293" s="4">
        <f>C292+(('Equity Price Data'!C295-'Equity Price Data'!C294)/'Equity Price Data'!C294)</f>
        <v>0.1988209257</v>
      </c>
      <c r="D293" s="4">
        <f>D292+(('Equity Price Data'!D295-'Equity Price Data'!D294)/'Equity Price Data'!D294)</f>
        <v>0.2672246176</v>
      </c>
      <c r="E293" s="4">
        <f>E292+(('Equity Price Data'!E295-'Equity Price Data'!E294)/'Equity Price Data'!E294)</f>
        <v>0.1260312219</v>
      </c>
      <c r="F293" s="4">
        <f>F292+(('Equity Price Data'!F295-'Equity Price Data'!F294)/'Equity Price Data'!F294)</f>
        <v>0.0992940838</v>
      </c>
    </row>
    <row r="294">
      <c r="A294" s="43">
        <f>'Equity Price Data'!A296</f>
        <v>45854.66667</v>
      </c>
      <c r="B294" s="4">
        <f>B293+(('Equity Price Data'!B296-'Equity Price Data'!B295)/'Equity Price Data'!B295)</f>
        <v>0.1682208324</v>
      </c>
      <c r="C294" s="4">
        <f>C293+(('Equity Price Data'!C296-'Equity Price Data'!C295)/'Equity Price Data'!C295)</f>
        <v>0.2020145142</v>
      </c>
      <c r="D294" s="4">
        <f>D293+(('Equity Price Data'!D296-'Equity Price Data'!D295)/'Equity Price Data'!D295)</f>
        <v>0.269772761</v>
      </c>
      <c r="E294" s="4">
        <f>E293+(('Equity Price Data'!E296-'Equity Price Data'!E295)/'Equity Price Data'!E295)</f>
        <v>0.131289575</v>
      </c>
      <c r="F294" s="4">
        <f>F293+(('Equity Price Data'!F296-'Equity Price Data'!F295)/'Equity Price Data'!F295)</f>
        <v>0.1092394365</v>
      </c>
    </row>
    <row r="295">
      <c r="A295" s="43">
        <f>'Equity Price Data'!A297</f>
        <v>45855.66667</v>
      </c>
      <c r="B295" s="4">
        <f>B294+(('Equity Price Data'!B297-'Equity Price Data'!B296)/'Equity Price Data'!B296)</f>
        <v>0.1731005645</v>
      </c>
      <c r="C295" s="4">
        <f>C294+(('Equity Price Data'!C297-'Equity Price Data'!C296)/'Equity Price Data'!C296)</f>
        <v>0.2073883347</v>
      </c>
      <c r="D295" s="4">
        <f>D294+(('Equity Price Data'!D297-'Equity Price Data'!D296)/'Equity Price Data'!D296)</f>
        <v>0.2772573887</v>
      </c>
      <c r="E295" s="4">
        <f>E294+(('Equity Price Data'!E297-'Equity Price Data'!E296)/'Equity Price Data'!E296)</f>
        <v>0.1364802007</v>
      </c>
      <c r="F295" s="4">
        <f>F294+(('Equity Price Data'!F297-'Equity Price Data'!F296)/'Equity Price Data'!F296)</f>
        <v>0.1212287674</v>
      </c>
    </row>
    <row r="296">
      <c r="A296" s="43">
        <f>'Equity Price Data'!A298</f>
        <v>45856.66667</v>
      </c>
      <c r="B296" s="4">
        <f>B295+(('Equity Price Data'!B298-'Equity Price Data'!B297)/'Equity Price Data'!B297)</f>
        <v>0.1710551234</v>
      </c>
      <c r="C296" s="4">
        <f>C295+(('Equity Price Data'!C298-'Equity Price Data'!C297)/'Equity Price Data'!C297)</f>
        <v>0.2072978206</v>
      </c>
      <c r="D296" s="4">
        <f>D295+(('Equity Price Data'!D298-'Equity Price Data'!D297)/'Equity Price Data'!D297)</f>
        <v>0.2777366651</v>
      </c>
      <c r="E296" s="4">
        <f>E295+(('Equity Price Data'!E298-'Equity Price Data'!E297)/'Equity Price Data'!E297)</f>
        <v>0.133281333</v>
      </c>
      <c r="F296" s="4">
        <f>F295+(('Equity Price Data'!F298-'Equity Price Data'!F297)/'Equity Price Data'!F297)</f>
        <v>0.1151631325</v>
      </c>
    </row>
    <row r="297">
      <c r="A297" s="43">
        <f>'Equity Price Data'!A299</f>
        <v>45859.66667</v>
      </c>
      <c r="B297" s="4">
        <f>B296+(('Equity Price Data'!B299-'Equity Price Data'!B298)/'Equity Price Data'!B298)</f>
        <v>0.1691802915</v>
      </c>
      <c r="C297" s="4">
        <f>C296+(('Equity Price Data'!C299-'Equity Price Data'!C298)/'Equity Price Data'!C298)</f>
        <v>0.2086969462</v>
      </c>
      <c r="D297" s="4">
        <f>D296+(('Equity Price Data'!D299-'Equity Price Data'!D298)/'Equity Price Data'!D298)</f>
        <v>0.2814943833</v>
      </c>
      <c r="E297" s="4">
        <f>E296+(('Equity Price Data'!E299-'Equity Price Data'!E298)/'Equity Price Data'!E298)</f>
        <v>0.1328501409</v>
      </c>
      <c r="F297" s="4">
        <f>F296+(('Equity Price Data'!F299-'Equity Price Data'!F298)/'Equity Price Data'!F298)</f>
        <v>0.1111988645</v>
      </c>
    </row>
    <row r="298">
      <c r="A298" s="43">
        <f>'Equity Price Data'!A300</f>
        <v>45860.66667</v>
      </c>
      <c r="B298" s="4">
        <f>B297+(('Equity Price Data'!B300-'Equity Price Data'!B299)/'Equity Price Data'!B299)</f>
        <v>0.1716413271</v>
      </c>
      <c r="C298" s="4">
        <f>C297+(('Equity Price Data'!C300-'Equity Price Data'!C299)/'Equity Price Data'!C299)</f>
        <v>0.2093344748</v>
      </c>
      <c r="D298" s="4">
        <f>D297+(('Equity Price Data'!D300-'Equity Price Data'!D299)/'Equity Price Data'!D299)</f>
        <v>0.2776091301</v>
      </c>
      <c r="E298" s="4">
        <f>E297+(('Equity Price Data'!E300-'Equity Price Data'!E299)/'Equity Price Data'!E299)</f>
        <v>0.1368970176</v>
      </c>
      <c r="F298" s="4">
        <f>F297+(('Equity Price Data'!F300-'Equity Price Data'!F299)/'Equity Price Data'!F299)</f>
        <v>0.11910069</v>
      </c>
    </row>
    <row r="299">
      <c r="A299" s="43">
        <f>'Equity Price Data'!A301</f>
        <v>45861.66667</v>
      </c>
      <c r="B299" s="4">
        <f>B298+(('Equity Price Data'!B301-'Equity Price Data'!B300)/'Equity Price Data'!B300)</f>
        <v>0.1837702034</v>
      </c>
      <c r="C299" s="4">
        <f>C298+(('Equity Price Data'!C301-'Equity Price Data'!C300)/'Equity Price Data'!C300)</f>
        <v>0.2171463557</v>
      </c>
      <c r="D299" s="4">
        <f>D298+(('Equity Price Data'!D301-'Equity Price Data'!D300)/'Equity Price Data'!D300)</f>
        <v>0.2837036062</v>
      </c>
      <c r="E299" s="4">
        <f>E298+(('Equity Price Data'!E301-'Equity Price Data'!E300)/'Equity Price Data'!E300)</f>
        <v>0.1483087514</v>
      </c>
      <c r="F299" s="4">
        <f>F298+(('Equity Price Data'!F301-'Equity Price Data'!F300)/'Equity Price Data'!F300)</f>
        <v>0.1343846687</v>
      </c>
    </row>
    <row r="300">
      <c r="A300" s="43">
        <f>'Equity Price Data'!A302</f>
        <v>45862.66667</v>
      </c>
      <c r="B300" s="4">
        <f>B299+(('Equity Price Data'!B302-'Equity Price Data'!B301)/'Equity Price Data'!B301)</f>
        <v>0.1836119479</v>
      </c>
      <c r="C300" s="4">
        <f>C299+(('Equity Price Data'!C302-'Equity Price Data'!C301)/'Equity Price Data'!C301)</f>
        <v>0.2178445885</v>
      </c>
      <c r="D300" s="4">
        <f>D299+(('Equity Price Data'!D302-'Equity Price Data'!D301)/'Equity Price Data'!D301)</f>
        <v>0.2855085521</v>
      </c>
      <c r="E300" s="4">
        <f>E299+(('Equity Price Data'!E302-'Equity Price Data'!E301)/'Equity Price Data'!E301)</f>
        <v>0.1412796921</v>
      </c>
      <c r="F300" s="4">
        <f>F299+(('Equity Price Data'!F302-'Equity Price Data'!F301)/'Equity Price Data'!F301)</f>
        <v>0.1208068173</v>
      </c>
    </row>
    <row r="301">
      <c r="A301" s="43">
        <f>'Equity Price Data'!A303</f>
        <v>45863.66667</v>
      </c>
      <c r="B301" s="4">
        <f>B300+(('Equity Price Data'!B303-'Equity Price Data'!B302)/'Equity Price Data'!B302)</f>
        <v>0.1880190406</v>
      </c>
      <c r="C301" s="4">
        <f>C300+(('Equity Price Data'!C303-'Equity Price Data'!C302)/'Equity Price Data'!C302)</f>
        <v>0.2218189102</v>
      </c>
      <c r="D301" s="4">
        <f>D300+(('Equity Price Data'!D303-'Equity Price Data'!D302)/'Equity Price Data'!D302)</f>
        <v>0.2879000468</v>
      </c>
      <c r="E301" s="4">
        <f>E300+(('Equity Price Data'!E303-'Equity Price Data'!E302)/'Equity Price Data'!E302)</f>
        <v>0.1459337937</v>
      </c>
      <c r="F301" s="4">
        <f>F300+(('Equity Price Data'!F303-'Equity Price Data'!F302)/'Equity Price Data'!F302)</f>
        <v>0.1247763927</v>
      </c>
    </row>
    <row r="302">
      <c r="A302" s="43">
        <f>'Equity Price Data'!A304</f>
        <v>45866.66667</v>
      </c>
      <c r="B302" s="4">
        <f>B301+(('Equity Price Data'!B304-'Equity Price Data'!B303)/'Equity Price Data'!B303)</f>
        <v>0.1844904041</v>
      </c>
      <c r="C302" s="4">
        <f>C301+(('Equity Price Data'!C304-'Equity Price Data'!C303)/'Equity Price Data'!C303)</f>
        <v>0.2219957867</v>
      </c>
      <c r="D302" s="4">
        <f>D301+(('Equity Price Data'!D304-'Equity Price Data'!D303)/'Equity Price Data'!D303)</f>
        <v>0.2912285922</v>
      </c>
      <c r="E302" s="4">
        <f>E301+(('Equity Price Data'!E304-'Equity Price Data'!E303)/'Equity Price Data'!E303)</f>
        <v>0.1445004475</v>
      </c>
      <c r="F302" s="4">
        <f>F301+(('Equity Price Data'!F304-'Equity Price Data'!F303)/'Equity Price Data'!F303)</f>
        <v>0.1228569475</v>
      </c>
    </row>
    <row r="303">
      <c r="A303" s="43">
        <f>'Equity Price Data'!A305</f>
        <v>45867.66667</v>
      </c>
      <c r="B303" s="4">
        <f>B302+(('Equity Price Data'!B305-'Equity Price Data'!B304)/'Equity Price Data'!B304)</f>
        <v>0.1801883496</v>
      </c>
      <c r="C303" s="4">
        <f>C302+(('Equity Price Data'!C305-'Equity Price Data'!C304)/'Equity Price Data'!C304)</f>
        <v>0.2190363687</v>
      </c>
      <c r="D303" s="4">
        <f>D302+(('Equity Price Data'!D305-'Equity Price Data'!D304)/'Equity Price Data'!D304)</f>
        <v>0.2874374976</v>
      </c>
      <c r="E303" s="4">
        <f>E302+(('Equity Price Data'!E305-'Equity Price Data'!E304)/'Equity Price Data'!E304)</f>
        <v>0.139937978</v>
      </c>
      <c r="F303" s="4">
        <f>F302+(('Equity Price Data'!F305-'Equity Price Data'!F304)/'Equity Price Data'!F304)</f>
        <v>0.1167551985</v>
      </c>
    </row>
    <row r="304">
      <c r="A304" s="43">
        <f>'Equity Price Data'!A306</f>
        <v>45868.66667</v>
      </c>
      <c r="B304" s="4">
        <f>B303+(('Equity Price Data'!B306-'Equity Price Data'!B305)/'Equity Price Data'!B305)</f>
        <v>0.1761259613</v>
      </c>
      <c r="C304" s="4">
        <f>C303+(('Equity Price Data'!C306-'Equity Price Data'!C305)/'Equity Price Data'!C305)</f>
        <v>0.2177869299</v>
      </c>
      <c r="D304" s="4">
        <f>D303+(('Equity Price Data'!D306-'Equity Price Data'!D305)/'Equity Price Data'!D305)</f>
        <v>0.2889248219</v>
      </c>
      <c r="E304" s="4">
        <f>E303+(('Equity Price Data'!E306-'Equity Price Data'!E305)/'Equity Price Data'!E305)</f>
        <v>0.1360908236</v>
      </c>
      <c r="F304" s="4">
        <f>F303+(('Equity Price Data'!F306-'Equity Price Data'!F305)/'Equity Price Data'!F305)</f>
        <v>0.1120471342</v>
      </c>
    </row>
    <row r="305">
      <c r="A305" s="43">
        <f>'Equity Price Data'!A307</f>
        <v>45869.66667</v>
      </c>
      <c r="B305" s="4">
        <f>B304+(('Equity Price Data'!B307-'Equity Price Data'!B306)/'Equity Price Data'!B306)</f>
        <v>0.1722766737</v>
      </c>
      <c r="C305" s="4">
        <f>C304+(('Equity Price Data'!C307-'Equity Price Data'!C306)/'Equity Price Data'!C306)</f>
        <v>0.2140920738</v>
      </c>
      <c r="D305" s="4">
        <f>D304+(('Equity Price Data'!D307-'Equity Price Data'!D306)/'Equity Price Data'!D306)</f>
        <v>0.2885831223</v>
      </c>
      <c r="E305" s="4">
        <f>E304+(('Equity Price Data'!E307-'Equity Price Data'!E306)/'Equity Price Data'!E306)</f>
        <v>0.1286618877</v>
      </c>
      <c r="F305" s="4">
        <f>F304+(('Equity Price Data'!F307-'Equity Price Data'!F306)/'Equity Price Data'!F306)</f>
        <v>0.102752205</v>
      </c>
    </row>
    <row r="306">
      <c r="A306" s="43">
        <f>'Equity Price Data'!A308</f>
        <v>45870.66667</v>
      </c>
      <c r="B306" s="4">
        <f>B305+(('Equity Price Data'!B308-'Equity Price Data'!B307)/'Equity Price Data'!B307)</f>
        <v>0.1595496267</v>
      </c>
      <c r="C306" s="4">
        <f>C305+(('Equity Price Data'!C308-'Equity Price Data'!C307)/'Equity Price Data'!C307)</f>
        <v>0.1980999988</v>
      </c>
      <c r="D306" s="4">
        <f>D305+(('Equity Price Data'!D308-'Equity Price Data'!D307)/'Equity Price Data'!D307)</f>
        <v>0.2662220799</v>
      </c>
      <c r="E306" s="4">
        <f>E305+(('Equity Price Data'!E308-'Equity Price Data'!E307)/'Equity Price Data'!E307)</f>
        <v>0.1163712021</v>
      </c>
      <c r="F306" s="4">
        <f>F305+(('Equity Price Data'!F308-'Equity Price Data'!F307)/'Equity Price Data'!F307)</f>
        <v>0.0824641847</v>
      </c>
    </row>
    <row r="307">
      <c r="A307" s="43">
        <f>'Equity Price Data'!A309</f>
        <v>45873.66667</v>
      </c>
      <c r="B307" s="4">
        <f>B306+(('Equity Price Data'!B309-'Equity Price Data'!B308)/'Equity Price Data'!B308)</f>
        <v>0.1760412833</v>
      </c>
      <c r="C307" s="4">
        <f>C306+(('Equity Price Data'!C309-'Equity Price Data'!C308)/'Equity Price Data'!C308)</f>
        <v>0.2128370704</v>
      </c>
      <c r="D307" s="4">
        <f>D306+(('Equity Price Data'!D309-'Equity Price Data'!D308)/'Equity Price Data'!D308)</f>
        <v>0.2857594872</v>
      </c>
      <c r="E307" s="4">
        <f>E306+(('Equity Price Data'!E309-'Equity Price Data'!E308)/'Equity Price Data'!E308)</f>
        <v>0.1297935251</v>
      </c>
      <c r="F307" s="4">
        <f>F306+(('Equity Price Data'!F309-'Equity Price Data'!F308)/'Equity Price Data'!F308)</f>
        <v>0.1034723166</v>
      </c>
    </row>
    <row r="308">
      <c r="A308" s="43">
        <f>'Equity Price Data'!A310</f>
        <v>45874.66667</v>
      </c>
      <c r="B308" s="4">
        <f>B307+(('Equity Price Data'!B310-'Equity Price Data'!B309)/'Equity Price Data'!B309)</f>
        <v>0.1788479482</v>
      </c>
      <c r="C308" s="4">
        <f>C307+(('Equity Price Data'!C310-'Equity Price Data'!C309)/'Equity Price Data'!C309)</f>
        <v>0.2079792045</v>
      </c>
      <c r="D308" s="4">
        <f>D307+(('Equity Price Data'!D310-'Equity Price Data'!D309)/'Equity Price Data'!D309)</f>
        <v>0.2792508554</v>
      </c>
      <c r="E308" s="4">
        <f>E307+(('Equity Price Data'!E310-'Equity Price Data'!E309)/'Equity Price Data'!E309)</f>
        <v>0.1283922369</v>
      </c>
      <c r="F308" s="4">
        <f>F307+(('Equity Price Data'!F310-'Equity Price Data'!F309)/'Equity Price Data'!F309)</f>
        <v>0.1095158007</v>
      </c>
    </row>
    <row r="309">
      <c r="A309" s="43">
        <f>'Equity Price Data'!A311</f>
        <v>45875.66667</v>
      </c>
      <c r="B309" s="4">
        <f>B308+(('Equity Price Data'!B311-'Equity Price Data'!B310)/'Equity Price Data'!B310)</f>
        <v>0.1823971831</v>
      </c>
      <c r="C309" s="4">
        <f>C308+(('Equity Price Data'!C311-'Equity Price Data'!C310)/'Equity Price Data'!C310)</f>
        <v>0.2152610931</v>
      </c>
      <c r="D309" s="4">
        <f>D308+(('Equity Price Data'!D311-'Equity Price Data'!D310)/'Equity Price Data'!D310)</f>
        <v>0.2913403252</v>
      </c>
      <c r="E309" s="4">
        <f>E308+(('Equity Price Data'!E311-'Equity Price Data'!E310)/'Equity Price Data'!E310)</f>
        <v>0.1302370973</v>
      </c>
      <c r="F309" s="4">
        <f>F308+(('Equity Price Data'!F311-'Equity Price Data'!F310)/'Equity Price Data'!F310)</f>
        <v>0.107547854</v>
      </c>
    </row>
    <row r="310">
      <c r="A310" s="43">
        <f>'Equity Price Data'!A312</f>
        <v>45876.66667</v>
      </c>
      <c r="B310" s="4">
        <f>B309+(('Equity Price Data'!B312-'Equity Price Data'!B311)/'Equity Price Data'!B311)</f>
        <v>0.1820895986</v>
      </c>
      <c r="C310" s="4">
        <f>C309+(('Equity Price Data'!C312-'Equity Price Data'!C311)/'Equity Price Data'!C311)</f>
        <v>0.2144636223</v>
      </c>
      <c r="D310" s="4">
        <f>D309+(('Equity Price Data'!D312-'Equity Price Data'!D311)/'Equity Price Data'!D311)</f>
        <v>0.2948019222</v>
      </c>
      <c r="E310" s="4">
        <f>E309+(('Equity Price Data'!E312-'Equity Price Data'!E311)/'Equity Price Data'!E311)</f>
        <v>0.1251575736</v>
      </c>
      <c r="F310" s="4">
        <f>F309+(('Equity Price Data'!F312-'Equity Price Data'!F311)/'Equity Price Data'!F311)</f>
        <v>0.1045901132</v>
      </c>
    </row>
    <row r="311">
      <c r="A311" s="43">
        <f>'Equity Price Data'!A313</f>
        <v>45877.66667</v>
      </c>
      <c r="B311" s="4">
        <f>B310+(('Equity Price Data'!B313-'Equity Price Data'!B312)/'Equity Price Data'!B312)</f>
        <v>0.1903780075</v>
      </c>
      <c r="C311" s="4">
        <f>C310+(('Equity Price Data'!C313-'Equity Price Data'!C312)/'Equity Price Data'!C312)</f>
        <v>0.2222633069</v>
      </c>
      <c r="D311" s="4">
        <f>D310+(('Equity Price Data'!D313-'Equity Price Data'!D312)/'Equity Price Data'!D312)</f>
        <v>0.3045615102</v>
      </c>
      <c r="E311" s="4">
        <f>E310+(('Equity Price Data'!E313-'Equity Price Data'!E312)/'Equity Price Data'!E312)</f>
        <v>0.1298647922</v>
      </c>
      <c r="F311" s="4">
        <f>F310+(('Equity Price Data'!F313-'Equity Price Data'!F312)/'Equity Price Data'!F312)</f>
        <v>0.1062607533</v>
      </c>
    </row>
    <row r="312">
      <c r="A312" s="43">
        <f>'Equity Price Data'!A314</f>
        <v>45880.66667</v>
      </c>
      <c r="B312" s="4">
        <f>B311+(('Equity Price Data'!B314-'Equity Price Data'!B313)/'Equity Price Data'!B313)</f>
        <v>0.1892723625</v>
      </c>
      <c r="C312" s="4">
        <f>C311+(('Equity Price Data'!C314-'Equity Price Data'!C313)/'Equity Price Data'!C313)</f>
        <v>0.219759179</v>
      </c>
      <c r="D312" s="4">
        <f>D311+(('Equity Price Data'!D314-'Equity Price Data'!D313)/'Equity Price Data'!D313)</f>
        <v>0.3015489256</v>
      </c>
      <c r="E312" s="4">
        <f>E311+(('Equity Price Data'!E314-'Equity Price Data'!E313)/'Equity Price Data'!E313)</f>
        <v>0.1253256359</v>
      </c>
      <c r="F312" s="4">
        <f>F311+(('Equity Price Data'!F314-'Equity Price Data'!F313)/'Equity Price Data'!F313)</f>
        <v>0.1053997802</v>
      </c>
    </row>
    <row r="313">
      <c r="A313" s="43">
        <f>'Equity Price Data'!A315</f>
        <v>45881.66667</v>
      </c>
      <c r="B313" s="4">
        <f>B312+(('Equity Price Data'!B315-'Equity Price Data'!B314)/'Equity Price Data'!B314)</f>
        <v>0.1995945528</v>
      </c>
      <c r="C313" s="4">
        <f>C312+(('Equity Price Data'!C315-'Equity Price Data'!C314)/'Equity Price Data'!C314)</f>
        <v>0.2311046826</v>
      </c>
      <c r="D313" s="4">
        <f>D312+(('Equity Price Data'!D315-'Equity Price Data'!D314)/'Equity Price Data'!D314)</f>
        <v>0.3154135248</v>
      </c>
      <c r="E313" s="4">
        <f>E312+(('Equity Price Data'!E315-'Equity Price Data'!E314)/'Equity Price Data'!E314)</f>
        <v>0.1363209516</v>
      </c>
      <c r="F313" s="4">
        <f>F312+(('Equity Price Data'!F315-'Equity Price Data'!F314)/'Equity Price Data'!F314)</f>
        <v>0.1352981339</v>
      </c>
    </row>
    <row r="314">
      <c r="A314" s="43">
        <f>'Equity Price Data'!A316</f>
        <v>45882.66667</v>
      </c>
      <c r="B314" s="4">
        <f>B313+(('Equity Price Data'!B316-'Equity Price Data'!B315)/'Equity Price Data'!B315)</f>
        <v>0.2061059393</v>
      </c>
      <c r="C314" s="4">
        <f>C313+(('Equity Price Data'!C316-'Equity Price Data'!C315)/'Equity Price Data'!C315)</f>
        <v>0.2343347129</v>
      </c>
      <c r="D314" s="4">
        <f>D313+(('Equity Price Data'!D316-'Equity Price Data'!D315)/'Equity Price Data'!D315)</f>
        <v>0.3168543579</v>
      </c>
      <c r="E314" s="4">
        <f>E313+(('Equity Price Data'!E316-'Equity Price Data'!E315)/'Equity Price Data'!E315)</f>
        <v>0.1467499776</v>
      </c>
      <c r="F314" s="4">
        <f>F313+(('Equity Price Data'!F316-'Equity Price Data'!F315)/'Equity Price Data'!F315)</f>
        <v>0.1551335977</v>
      </c>
    </row>
    <row r="315">
      <c r="A315" s="43">
        <f>'Equity Price Data'!A317</f>
        <v>45883.66667</v>
      </c>
      <c r="B315" s="4">
        <f>B314+(('Equity Price Data'!B317-'Equity Price Data'!B316)/'Equity Price Data'!B316)</f>
        <v>0.2047995533</v>
      </c>
      <c r="C315" s="4">
        <f>C314+(('Equity Price Data'!C317-'Equity Price Data'!C316)/'Equity Price Data'!C316)</f>
        <v>0.2346378097</v>
      </c>
      <c r="D315" s="4">
        <f>D314+(('Equity Price Data'!D317-'Equity Price Data'!D316)/'Equity Price Data'!D316)</f>
        <v>0.3167406019</v>
      </c>
      <c r="E315" s="4">
        <f>E314+(('Equity Price Data'!E317-'Equity Price Data'!E316)/'Equity Price Data'!E316)</f>
        <v>0.1465048876</v>
      </c>
      <c r="F315" s="4">
        <f>F314+(('Equity Price Data'!F317-'Equity Price Data'!F316)/'Equity Price Data'!F316)</f>
        <v>0.1426854649</v>
      </c>
    </row>
    <row r="316">
      <c r="A316" s="43">
        <f>'Equity Price Data'!A318</f>
        <v>45884.66667</v>
      </c>
      <c r="B316" s="4">
        <f>B315+(('Equity Price Data'!B318-'Equity Price Data'!B317)/'Equity Price Data'!B317)</f>
        <v>0.201276195</v>
      </c>
      <c r="C316" s="4">
        <f>C315+(('Equity Price Data'!C318-'Equity Price Data'!C317)/'Equity Price Data'!C317)</f>
        <v>0.2317407108</v>
      </c>
      <c r="D316" s="4">
        <f>D315+(('Equity Price Data'!D318-'Equity Price Data'!D317)/'Equity Price Data'!D317)</f>
        <v>0.3127015741</v>
      </c>
      <c r="E316" s="4">
        <f>E315+(('Equity Price Data'!E318-'Equity Price Data'!E317)/'Equity Price Data'!E317)</f>
        <v>0.1472810849</v>
      </c>
      <c r="F316" s="4">
        <f>F315+(('Equity Price Data'!F318-'Equity Price Data'!F317)/'Equity Price Data'!F317)</f>
        <v>0.1372224101</v>
      </c>
    </row>
    <row r="317">
      <c r="A317" s="43">
        <f>'Equity Price Data'!A319</f>
        <v>45887.66667</v>
      </c>
      <c r="B317" s="4">
        <f>B316+(('Equity Price Data'!B319-'Equity Price Data'!B318)/'Equity Price Data'!B318)</f>
        <v>0.2000569322</v>
      </c>
      <c r="C317" s="4">
        <f>C316+(('Equity Price Data'!C319-'Equity Price Data'!C318)/'Equity Price Data'!C318)</f>
        <v>0.2316399325</v>
      </c>
      <c r="D317" s="4">
        <f>D316+(('Equity Price Data'!D319-'Equity Price Data'!D318)/'Equity Price Data'!D318)</f>
        <v>0.3130155919</v>
      </c>
      <c r="E317" s="4">
        <f>E316+(('Equity Price Data'!E319-'Equity Price Data'!E318)/'Equity Price Data'!E318)</f>
        <v>0.146517949</v>
      </c>
      <c r="F317" s="4">
        <f>F316+(('Equity Price Data'!F319-'Equity Price Data'!F318)/'Equity Price Data'!F318)</f>
        <v>0.1406993095</v>
      </c>
    </row>
    <row r="318">
      <c r="A318" s="43">
        <f>'Equity Price Data'!A320</f>
        <v>45888.66667</v>
      </c>
      <c r="B318" s="4">
        <f>B317+(('Equity Price Data'!B320-'Equity Price Data'!B319)/'Equity Price Data'!B319)</f>
        <v>0.1946199031</v>
      </c>
      <c r="C318" s="4">
        <f>C317+(('Equity Price Data'!C320-'Equity Price Data'!C319)/'Equity Price Data'!C319)</f>
        <v>0.2257817962</v>
      </c>
      <c r="D318" s="4">
        <f>D317+(('Equity Price Data'!D320-'Equity Price Data'!D319)/'Equity Price Data'!D319)</f>
        <v>0.2984606521</v>
      </c>
      <c r="E318" s="4">
        <f>E317+(('Equity Price Data'!E320-'Equity Price Data'!E319)/'Equity Price Data'!E319)</f>
        <v>0.1467506272</v>
      </c>
      <c r="F318" s="4">
        <f>F317+(('Equity Price Data'!F320-'Equity Price Data'!F319)/'Equity Price Data'!F319)</f>
        <v>0.1329153768</v>
      </c>
    </row>
    <row r="319">
      <c r="A319" s="43">
        <f>'Equity Price Data'!A321</f>
        <v>45889.66667</v>
      </c>
      <c r="B319" s="4">
        <f>B318+(('Equity Price Data'!B321-'Equity Price Data'!B320)/'Equity Price Data'!B320)</f>
        <v>0.1926819602</v>
      </c>
      <c r="C319" s="4">
        <f>C318+(('Equity Price Data'!C321-'Equity Price Data'!C320)/'Equity Price Data'!C320)</f>
        <v>0.2233501786</v>
      </c>
      <c r="D319" s="4">
        <f>D318+(('Equity Price Data'!D321-'Equity Price Data'!D320)/'Equity Price Data'!D320)</f>
        <v>0.2917944389</v>
      </c>
      <c r="E319" s="4">
        <f>E318+(('Equity Price Data'!E321-'Equity Price Data'!E320)/'Equity Price Data'!E320)</f>
        <v>0.1471076884</v>
      </c>
      <c r="F319" s="4">
        <f>F318+(('Equity Price Data'!F321-'Equity Price Data'!F320)/'Equity Price Data'!F320)</f>
        <v>0.1297264248</v>
      </c>
    </row>
    <row r="320">
      <c r="A320" s="43">
        <f>'Equity Price Data'!A322</f>
        <v>45890.66667</v>
      </c>
      <c r="B320" s="4">
        <f>B319+(('Equity Price Data'!B322-'Equity Price Data'!B321)/'Equity Price Data'!B321)</f>
        <v>0.1890334901</v>
      </c>
      <c r="C320" s="4">
        <f>C319+(('Equity Price Data'!C322-'Equity Price Data'!C321)/'Equity Price Data'!C321)</f>
        <v>0.2193459758</v>
      </c>
      <c r="D320" s="4">
        <f>D319+(('Equity Price Data'!D322-'Equity Price Data'!D321)/'Equity Price Data'!D321)</f>
        <v>0.2883678825</v>
      </c>
      <c r="E320" s="4">
        <f>E319+(('Equity Price Data'!E322-'Equity Price Data'!E321)/'Equity Price Data'!E321)</f>
        <v>0.143707249</v>
      </c>
      <c r="F320" s="4">
        <f>F319+(('Equity Price Data'!F322-'Equity Price Data'!F321)/'Equity Price Data'!F321)</f>
        <v>0.1318195352</v>
      </c>
    </row>
    <row r="321">
      <c r="A321" s="43">
        <f>'Equity Price Data'!A323</f>
        <v>45891.66667</v>
      </c>
      <c r="B321" s="4">
        <f>B320+(('Equity Price Data'!B323-'Equity Price Data'!B322)/'Equity Price Data'!B322)</f>
        <v>0.2029250573</v>
      </c>
      <c r="C321" s="4">
        <f>C320+(('Equity Price Data'!C323-'Equity Price Data'!C322)/'Equity Price Data'!C322)</f>
        <v>0.2345323837</v>
      </c>
      <c r="D321" s="4">
        <f>D320+(('Equity Price Data'!D323-'Equity Price Data'!D322)/'Equity Price Data'!D322)</f>
        <v>0.3071462796</v>
      </c>
      <c r="E321" s="4">
        <f>E320+(('Equity Price Data'!E323-'Equity Price Data'!E322)/'Equity Price Data'!E322)</f>
        <v>0.1626026504</v>
      </c>
      <c r="F321" s="4">
        <f>F320+(('Equity Price Data'!F323-'Equity Price Data'!F322)/'Equity Price Data'!F322)</f>
        <v>0.1704502023</v>
      </c>
    </row>
    <row r="322">
      <c r="A322" s="43">
        <f>'Equity Price Data'!A324</f>
        <v>45894.66667</v>
      </c>
      <c r="B322" s="4">
        <f>B321+(('Equity Price Data'!B324-'Equity Price Data'!B323)/'Equity Price Data'!B323)</f>
        <v>0.1968068015</v>
      </c>
      <c r="C322" s="4">
        <f>C321+(('Equity Price Data'!C324-'Equity Price Data'!C323)/'Equity Price Data'!C323)</f>
        <v>0.2302660494</v>
      </c>
      <c r="D322" s="4">
        <f>D321+(('Equity Price Data'!D324-'Equity Price Data'!D323)/'Equity Price Data'!D323)</f>
        <v>0.3049482514</v>
      </c>
      <c r="E322" s="4">
        <f>E321+(('Equity Price Data'!E324-'Equity Price Data'!E323)/'Equity Price Data'!E323)</f>
        <v>0.1549485482</v>
      </c>
      <c r="F322" s="4">
        <f>F321+(('Equity Price Data'!F324-'Equity Price Data'!F323)/'Equity Price Data'!F323)</f>
        <v>0.1608056289</v>
      </c>
    </row>
    <row r="323">
      <c r="A323" s="43">
        <f>'Equity Price Data'!A325</f>
        <v>45895.66667</v>
      </c>
      <c r="B323" s="4">
        <f>B322+(('Equity Price Data'!B325-'Equity Price Data'!B324)/'Equity Price Data'!B324)</f>
        <v>0.1999271209</v>
      </c>
      <c r="C323" s="4">
        <f>C322+(('Equity Price Data'!C325-'Equity Price Data'!C324)/'Equity Price Data'!C324)</f>
        <v>0.2344000263</v>
      </c>
      <c r="D323" s="4">
        <f>D322+(('Equity Price Data'!D325-'Equity Price Data'!D324)/'Equity Price Data'!D324)</f>
        <v>0.30937637</v>
      </c>
      <c r="E323" s="4">
        <f>E322+(('Equity Price Data'!E325-'Equity Price Data'!E324)/'Equity Price Data'!E324)</f>
        <v>0.1579430845</v>
      </c>
      <c r="F323" s="4">
        <f>F322+(('Equity Price Data'!F325-'Equity Price Data'!F324)/'Equity Price Data'!F324)</f>
        <v>0.169111994</v>
      </c>
    </row>
    <row r="324">
      <c r="A324" s="43">
        <f>'Equity Price Data'!A326</f>
        <v>45896.66667</v>
      </c>
      <c r="B324" s="4">
        <f>B323+(('Equity Price Data'!B326-'Equity Price Data'!B325)/'Equity Price Data'!B325)</f>
        <v>0.2014390518</v>
      </c>
      <c r="C324" s="4">
        <f>C323+(('Equity Price Data'!C326-'Equity Price Data'!C325)/'Equity Price Data'!C325)</f>
        <v>0.2367910166</v>
      </c>
      <c r="D324" s="4">
        <f>D323+(('Equity Price Data'!D326-'Equity Price Data'!D325)/'Equity Price Data'!D325)</f>
        <v>0.3115054744</v>
      </c>
      <c r="E324" s="4">
        <f>E323+(('Equity Price Data'!E326-'Equity Price Data'!E325)/'Equity Price Data'!E325)</f>
        <v>0.1611832046</v>
      </c>
      <c r="F324" s="4">
        <f>F323+(('Equity Price Data'!F326-'Equity Price Data'!F325)/'Equity Price Data'!F325)</f>
        <v>0.175556495</v>
      </c>
    </row>
    <row r="325">
      <c r="A325" s="43">
        <f>'Equity Price Data'!A327</f>
        <v>45897.66667</v>
      </c>
      <c r="B325" s="4">
        <f>B324+(('Equity Price Data'!B327-'Equity Price Data'!B326)/'Equity Price Data'!B326)</f>
        <v>0.204007163</v>
      </c>
      <c r="C325" s="4">
        <f>C324+(('Equity Price Data'!C327-'Equity Price Data'!C326)/'Equity Price Data'!C326)</f>
        <v>0.239947742</v>
      </c>
      <c r="D325" s="4">
        <f>D324+(('Equity Price Data'!D327-'Equity Price Data'!D326)/'Equity Price Data'!D326)</f>
        <v>0.3168329063</v>
      </c>
      <c r="E325" s="4">
        <f>E324+(('Equity Price Data'!E327-'Equity Price Data'!E326)/'Equity Price Data'!E326)</f>
        <v>0.1627561144</v>
      </c>
      <c r="F325" s="4">
        <f>F324+(('Equity Price Data'!F327-'Equity Price Data'!F326)/'Equity Price Data'!F326)</f>
        <v>0.1774985289</v>
      </c>
    </row>
    <row r="326">
      <c r="A326" s="43">
        <f>'Equity Price Data'!A328</f>
        <v>45898.66667</v>
      </c>
      <c r="B326" s="4">
        <f>B325+(('Equity Price Data'!B328-'Equity Price Data'!B327)/'Equity Price Data'!B327)</f>
        <v>0.2000632546</v>
      </c>
      <c r="C326" s="4">
        <f>C325+(('Equity Price Data'!C328-'Equity Price Data'!C327)/'Equity Price Data'!C327)</f>
        <v>0.2335495729</v>
      </c>
      <c r="D326" s="4">
        <f>D325+(('Equity Price Data'!D328-'Equity Price Data'!D327)/'Equity Price Data'!D327)</f>
        <v>0.3053328759</v>
      </c>
      <c r="E326" s="4">
        <f>E325+(('Equity Price Data'!E328-'Equity Price Data'!E327)/'Equity Price Data'!E327)</f>
        <v>0.1607397636</v>
      </c>
      <c r="F326" s="4">
        <f>F325+(('Equity Price Data'!F328-'Equity Price Data'!F327)/'Equity Price Data'!F327)</f>
        <v>0.1724573459</v>
      </c>
    </row>
    <row r="327">
      <c r="A327" s="43">
        <f>'Equity Price Data'!A329</f>
        <v>45902.66667</v>
      </c>
      <c r="B327" s="4">
        <f>B326+(('Equity Price Data'!B329-'Equity Price Data'!B328)/'Equity Price Data'!B328)</f>
        <v>0.194424913</v>
      </c>
      <c r="C327" s="4">
        <f>C326+(('Equity Price Data'!C329-'Equity Price Data'!C328)/'Equity Price Data'!C328)</f>
        <v>0.2266272509</v>
      </c>
      <c r="D327" s="4">
        <f>D326+(('Equity Price Data'!D329-'Equity Price Data'!D328)/'Equity Price Data'!D328)</f>
        <v>0.2971335988</v>
      </c>
      <c r="E327" s="4">
        <f>E326+(('Equity Price Data'!E329-'Equity Price Data'!E328)/'Equity Price Data'!E328)</f>
        <v>0.1552710919</v>
      </c>
      <c r="F327" s="4">
        <f>F326+(('Equity Price Data'!F329-'Equity Price Data'!F328)/'Equity Price Data'!F328)</f>
        <v>0.1664524947</v>
      </c>
    </row>
    <row r="328">
      <c r="A328" s="43">
        <f>'Equity Price Data'!A330</f>
        <v>45903.66667</v>
      </c>
      <c r="B328" s="4">
        <f>B327+(('Equity Price Data'!B330-'Equity Price Data'!B329)/'Equity Price Data'!B329)</f>
        <v>0.1924565987</v>
      </c>
      <c r="C328" s="4">
        <f>C327+(('Equity Price Data'!C330-'Equity Price Data'!C329)/'Equity Price Data'!C329)</f>
        <v>0.2317273671</v>
      </c>
      <c r="D328" s="4">
        <f>D327+(('Equity Price Data'!D330-'Equity Price Data'!D329)/'Equity Price Data'!D329)</f>
        <v>0.3073828371</v>
      </c>
      <c r="E328" s="4">
        <f>E327+(('Equity Price Data'!E330-'Equity Price Data'!E329)/'Equity Price Data'!E329)</f>
        <v>0.1547284368</v>
      </c>
      <c r="F328" s="4">
        <f>F327+(('Equity Price Data'!F330-'Equity Price Data'!F329)/'Equity Price Data'!F329)</f>
        <v>0.1655001988</v>
      </c>
    </row>
    <row r="329">
      <c r="A329" s="43">
        <f>'Equity Price Data'!A331</f>
        <v>45904.66667</v>
      </c>
      <c r="B329" s="4">
        <f>B328+(('Equity Price Data'!B331-'Equity Price Data'!B330)/'Equity Price Data'!B330)</f>
        <v>0.1994643113</v>
      </c>
      <c r="C329" s="4">
        <f>C328+(('Equity Price Data'!C331-'Equity Price Data'!C330)/'Equity Price Data'!C330)</f>
        <v>0.2400738048</v>
      </c>
      <c r="D329" s="4">
        <f>D328+(('Equity Price Data'!D331-'Equity Price Data'!D330)/'Equity Price Data'!D330)</f>
        <v>0.3171494497</v>
      </c>
      <c r="E329" s="4">
        <f>E328+(('Equity Price Data'!E331-'Equity Price Data'!E330)/'Equity Price Data'!E330)</f>
        <v>0.1624609415</v>
      </c>
      <c r="F329" s="4">
        <f>F328+(('Equity Price Data'!F331-'Equity Price Data'!F330)/'Equity Price Data'!F330)</f>
        <v>0.1781131257</v>
      </c>
    </row>
    <row r="330">
      <c r="A330" s="43">
        <f>'Equity Price Data'!A332</f>
        <v>45905.66667</v>
      </c>
      <c r="B330" s="4">
        <f>B329+(('Equity Price Data'!B332-'Equity Price Data'!B331)/'Equity Price Data'!B331)</f>
        <v>0.1946521869</v>
      </c>
      <c r="C330" s="4">
        <f>C329+(('Equity Price Data'!C332-'Equity Price Data'!C331)/'Equity Price Data'!C331)</f>
        <v>0.2369086638</v>
      </c>
      <c r="D330" s="4">
        <f>D329+(('Equity Price Data'!D332-'Equity Price Data'!D331)/'Equity Price Data'!D331)</f>
        <v>0.3168131633</v>
      </c>
      <c r="E330" s="4">
        <f>E329+(('Equity Price Data'!E332-'Equity Price Data'!E331)/'Equity Price Data'!E331)</f>
        <v>0.1576292062</v>
      </c>
      <c r="F330" s="4">
        <f>F329+(('Equity Price Data'!F332-'Equity Price Data'!F331)/'Equity Price Data'!F331)</f>
        <v>0.1829206362</v>
      </c>
    </row>
    <row r="331">
      <c r="A331" s="43">
        <f>'Equity Price Data'!A333</f>
        <v>45908.66667</v>
      </c>
      <c r="B331" s="4">
        <f>B330+(('Equity Price Data'!B333-'Equity Price Data'!B332)/'Equity Price Data'!B332)</f>
        <v>0.1940153144</v>
      </c>
      <c r="C331" s="4">
        <f>C330+(('Equity Price Data'!C333-'Equity Price Data'!C332)/'Equity Price Data'!C332)</f>
        <v>0.2390146578</v>
      </c>
      <c r="D331" s="4">
        <f>D330+(('Equity Price Data'!D333-'Equity Price Data'!D332)/'Equity Price Data'!D332)</f>
        <v>0.3213434967</v>
      </c>
      <c r="E331" s="4">
        <f>E330+(('Equity Price Data'!E333-'Equity Price Data'!E332)/'Equity Price Data'!E332)</f>
        <v>0.1601421542</v>
      </c>
      <c r="F331" s="4">
        <f>F330+(('Equity Price Data'!F333-'Equity Price Data'!F332)/'Equity Price Data'!F332)</f>
        <v>0.1845266252</v>
      </c>
    </row>
    <row r="332">
      <c r="A332" s="43">
        <f>'Equity Price Data'!A334</f>
        <v>45909.66667</v>
      </c>
      <c r="B332" s="4">
        <f>B331+(('Equity Price Data'!B334-'Equity Price Data'!B333)/'Equity Price Data'!B333)</f>
        <v>0.1984754795</v>
      </c>
      <c r="C332" s="4">
        <f>C331+(('Equity Price Data'!C334-'Equity Price Data'!C333)/'Equity Price Data'!C333)</f>
        <v>0.2417028174</v>
      </c>
      <c r="D332" s="4">
        <f>D331+(('Equity Price Data'!D334-'Equity Price Data'!D333)/'Equity Price Data'!D333)</f>
        <v>0.325049681</v>
      </c>
      <c r="E332" s="4">
        <f>E331+(('Equity Price Data'!E334-'Equity Price Data'!E333)/'Equity Price Data'!E333)</f>
        <v>0.1644570002</v>
      </c>
      <c r="F332" s="4">
        <f>F331+(('Equity Price Data'!F334-'Equity Price Data'!F333)/'Equity Price Data'!F333)</f>
        <v>0.179069172</v>
      </c>
    </row>
    <row r="333">
      <c r="A333" s="43">
        <f>'Equity Price Data'!A335</f>
        <v>45910.66667</v>
      </c>
      <c r="B333" s="4">
        <f>B332+(('Equity Price Data'!B335-'Equity Price Data'!B334)/'Equity Price Data'!B334)</f>
        <v>0.1967434657</v>
      </c>
      <c r="C333" s="4">
        <f>C332+(('Equity Price Data'!C335-'Equity Price Data'!C334)/'Equity Price Data'!C334)</f>
        <v>0.2446862603</v>
      </c>
      <c r="D333" s="4">
        <f>D332+(('Equity Price Data'!D335-'Equity Price Data'!D334)/'Equity Price Data'!D334)</f>
        <v>0.3253499622</v>
      </c>
      <c r="E333" s="4">
        <f>E332+(('Equity Price Data'!E335-'Equity Price Data'!E334)/'Equity Price Data'!E334)</f>
        <v>0.159635002</v>
      </c>
      <c r="F333" s="4">
        <f>F332+(('Equity Price Data'!F335-'Equity Price Data'!F334)/'Equity Price Data'!F334)</f>
        <v>0.1774695549</v>
      </c>
    </row>
    <row r="334">
      <c r="A334" s="43">
        <f>'Equity Price Data'!A336</f>
        <v>45911.66667</v>
      </c>
      <c r="B334" s="4">
        <f>B333+(('Equity Price Data'!B336-'Equity Price Data'!B335)/'Equity Price Data'!B335)</f>
        <v>0.2007979617</v>
      </c>
      <c r="C334" s="4">
        <f>C333+(('Equity Price Data'!C336-'Equity Price Data'!C335)/'Equity Price Data'!C335)</f>
        <v>0.2531721238</v>
      </c>
      <c r="D334" s="4">
        <f>D333+(('Equity Price Data'!D336-'Equity Price Data'!D335)/'Equity Price Data'!D335)</f>
        <v>0.3325243919</v>
      </c>
      <c r="E334" s="4">
        <f>E333+(('Equity Price Data'!E336-'Equity Price Data'!E335)/'Equity Price Data'!E335)</f>
        <v>0.1731999068</v>
      </c>
      <c r="F334" s="4">
        <f>F333+(('Equity Price Data'!F336-'Equity Price Data'!F335)/'Equity Price Data'!F335)</f>
        <v>0.1957705713</v>
      </c>
    </row>
    <row r="335">
      <c r="A335" s="43">
        <f>'Equity Price Data'!A337</f>
        <v>45912.66667</v>
      </c>
      <c r="B335" s="4">
        <f>B334+(('Equity Price Data'!B337-'Equity Price Data'!B336)/'Equity Price Data'!B336)</f>
        <v>0.1987942255</v>
      </c>
      <c r="C335" s="4">
        <f>C334+(('Equity Price Data'!C337-'Equity Price Data'!C336)/'Equity Price Data'!C336)</f>
        <v>0.2526893892</v>
      </c>
      <c r="D335" s="4">
        <f>D334+(('Equity Price Data'!D337-'Equity Price Data'!D336)/'Equity Price Data'!D336)</f>
        <v>0.336971139</v>
      </c>
      <c r="E335" s="4">
        <f>E334+(('Equity Price Data'!E337-'Equity Price Data'!E336)/'Equity Price Data'!E336)</f>
        <v>0.1672621086</v>
      </c>
      <c r="F335" s="4">
        <f>F334+(('Equity Price Data'!F337-'Equity Price Data'!F336)/'Equity Price Data'!F336)</f>
        <v>0.1856653899</v>
      </c>
    </row>
    <row r="336">
      <c r="A336" s="43">
        <f>'Equity Price Data'!A338</f>
        <v>45915.66667</v>
      </c>
      <c r="B336" s="4">
        <f>B335+(('Equity Price Data'!B338-'Equity Price Data'!B337)/'Equity Price Data'!B337)</f>
        <v>0.2023292106</v>
      </c>
      <c r="C336" s="4">
        <f>C335+(('Equity Price Data'!C338-'Equity Price Data'!C337)/'Equity Price Data'!C337)</f>
        <v>0.257396047</v>
      </c>
      <c r="D336" s="4">
        <f>D335+(('Equity Price Data'!D338-'Equity Price Data'!D337)/'Equity Price Data'!D337)</f>
        <v>0.3463496251</v>
      </c>
      <c r="E336" s="4">
        <f>E335+(('Equity Price Data'!E338-'Equity Price Data'!E337)/'Equity Price Data'!E337)</f>
        <v>0.1683361969</v>
      </c>
      <c r="F336" s="4">
        <f>F335+(('Equity Price Data'!F338-'Equity Price Data'!F337)/'Equity Price Data'!F337)</f>
        <v>0.189032014</v>
      </c>
    </row>
    <row r="337">
      <c r="A337" s="43">
        <f>'Equity Price Data'!A339</f>
        <v>45916.66667</v>
      </c>
      <c r="B337" s="4">
        <f>B336+(('Equity Price Data'!B339-'Equity Price Data'!B338)/'Equity Price Data'!B338)</f>
        <v>0.1990333824</v>
      </c>
      <c r="C337" s="4">
        <f>C336+(('Equity Price Data'!C339-'Equity Price Data'!C338)/'Equity Price Data'!C338)</f>
        <v>0.2561081196</v>
      </c>
      <c r="D337" s="4">
        <f>D336+(('Equity Price Data'!D339-'Equity Price Data'!D338)/'Equity Price Data'!D338)</f>
        <v>0.3456878431</v>
      </c>
      <c r="E337" s="4">
        <f>E336+(('Equity Price Data'!E339-'Equity Price Data'!E338)/'Equity Price Data'!E338)</f>
        <v>0.1655999161</v>
      </c>
      <c r="F337" s="4">
        <f>F336+(('Equity Price Data'!F339-'Equity Price Data'!F338)/'Equity Price Data'!F338)</f>
        <v>0.1881588803</v>
      </c>
    </row>
    <row r="338">
      <c r="A338" s="43">
        <f>'Equity Price Data'!A340</f>
        <v>45917.66667</v>
      </c>
      <c r="B338" s="4">
        <f>B337+(('Equity Price Data'!B340-'Equity Price Data'!B339)/'Equity Price Data'!B339)</f>
        <v>0.2015259507</v>
      </c>
      <c r="C338" s="4">
        <f>C337+(('Equity Price Data'!C340-'Equity Price Data'!C339)/'Equity Price Data'!C339)</f>
        <v>0.2551379012</v>
      </c>
      <c r="D338" s="4">
        <f>D337+(('Equity Price Data'!D340-'Equity Price Data'!D339)/'Equity Price Data'!D339)</f>
        <v>0.3424358448</v>
      </c>
      <c r="E338" s="4">
        <f>E337+(('Equity Price Data'!E340-'Equity Price Data'!E339)/'Equity Price Data'!E339)</f>
        <v>0.1712911738</v>
      </c>
      <c r="F338" s="4">
        <f>F337+(('Equity Price Data'!F340-'Equity Price Data'!F339)/'Equity Price Data'!F339)</f>
        <v>0.1899524493</v>
      </c>
    </row>
    <row r="339">
      <c r="A339" s="43">
        <f>'Equity Price Data'!A341</f>
        <v>45918.66667</v>
      </c>
      <c r="B339" s="4">
        <f>B338+(('Equity Price Data'!B341-'Equity Price Data'!B340)/'Equity Price Data'!B340)</f>
        <v>0.2090779198</v>
      </c>
      <c r="C339" s="4">
        <f>C338+(('Equity Price Data'!C341-'Equity Price Data'!C340)/'Equity Price Data'!C340)</f>
        <v>0.2599270412</v>
      </c>
      <c r="D339" s="4">
        <f>D338+(('Equity Price Data'!D341-'Equity Price Data'!D340)/'Equity Price Data'!D340)</f>
        <v>0.3518422909</v>
      </c>
      <c r="E339" s="4">
        <f>E338+(('Equity Price Data'!E341-'Equity Price Data'!E340)/'Equity Price Data'!E340)</f>
        <v>0.1739879259</v>
      </c>
      <c r="F339" s="4">
        <f>F338+(('Equity Price Data'!F341-'Equity Price Data'!F340)/'Equity Price Data'!F340)</f>
        <v>0.2150257667</v>
      </c>
    </row>
    <row r="340">
      <c r="A340" s="43">
        <f>'Equity Price Data'!A342</f>
        <v>45919.66667</v>
      </c>
      <c r="B340" s="4">
        <f>B339+(('Equity Price Data'!B342-'Equity Price Data'!B341)/'Equity Price Data'!B341)</f>
        <v>0.2125805387</v>
      </c>
      <c r="C340" s="4">
        <f>C339+(('Equity Price Data'!C342-'Equity Price Data'!C341)/'Equity Price Data'!C341)</f>
        <v>0.2648124748</v>
      </c>
      <c r="D340" s="4">
        <f>D339+(('Equity Price Data'!D342-'Equity Price Data'!D341)/'Equity Price Data'!D341)</f>
        <v>0.3589960416</v>
      </c>
      <c r="E340" s="4">
        <f>E339+(('Equity Price Data'!E342-'Equity Price Data'!E341)/'Equity Price Data'!E341)</f>
        <v>0.1777339366</v>
      </c>
      <c r="F340" s="4">
        <f>F339+(('Equity Price Data'!F342-'Equity Price Data'!F341)/'Equity Price Data'!F341)</f>
        <v>0.207354656</v>
      </c>
    </row>
    <row r="341">
      <c r="A341" s="43">
        <f>'Equity Price Data'!A343</f>
        <v>45922.66667</v>
      </c>
      <c r="B341" s="4">
        <f>B340+(('Equity Price Data'!B343-'Equity Price Data'!B342)/'Equity Price Data'!B342)</f>
        <v>0.216483236</v>
      </c>
      <c r="C341" s="4">
        <f>C340+(('Equity Price Data'!C343-'Equity Price Data'!C342)/'Equity Price Data'!C342)</f>
        <v>0.2692225007</v>
      </c>
      <c r="D341" s="4">
        <f>D340+(('Equity Price Data'!D343-'Equity Price Data'!D342)/'Equity Price Data'!D342)</f>
        <v>0.3659553743</v>
      </c>
      <c r="E341" s="4">
        <f>E340+(('Equity Price Data'!E343-'Equity Price Data'!E342)/'Equity Price Data'!E342)</f>
        <v>0.1791647822</v>
      </c>
      <c r="F341" s="4">
        <f>F340+(('Equity Price Data'!F343-'Equity Price Data'!F342)/'Equity Price Data'!F342)</f>
        <v>0.2133045819</v>
      </c>
    </row>
    <row r="342">
      <c r="A342" s="43">
        <f>'Equity Price Data'!A344</f>
        <v>45923.66667</v>
      </c>
      <c r="B342" s="4">
        <f>B341+(('Equity Price Data'!B344-'Equity Price Data'!B343)/'Equity Price Data'!B343)</f>
        <v>0.2162379445</v>
      </c>
      <c r="C342" s="4">
        <f>C341+(('Equity Price Data'!C344-'Equity Price Data'!C343)/'Equity Price Data'!C343)</f>
        <v>0.2637203531</v>
      </c>
      <c r="D342" s="4">
        <f>D341+(('Equity Price Data'!D344-'Equity Price Data'!D343)/'Equity Price Data'!D343)</f>
        <v>0.3564986106</v>
      </c>
      <c r="E342" s="4">
        <f>E341+(('Equity Price Data'!E344-'Equity Price Data'!E343)/'Equity Price Data'!E343)</f>
        <v>0.1772510898</v>
      </c>
      <c r="F342" s="4">
        <f>F341+(('Equity Price Data'!F344-'Equity Price Data'!F343)/'Equity Price Data'!F343)</f>
        <v>0.2109378765</v>
      </c>
    </row>
    <row r="343">
      <c r="A343" s="43">
        <f>'Equity Price Data'!A345</f>
        <v>45924.66667</v>
      </c>
      <c r="B343" s="4">
        <f>B342+(('Equity Price Data'!B345-'Equity Price Data'!B344)/'Equity Price Data'!B344)</f>
        <v>0.2137707679</v>
      </c>
      <c r="C343" s="4">
        <f>C342+(('Equity Price Data'!C345-'Equity Price Data'!C344)/'Equity Price Data'!C344)</f>
        <v>0.2608736913</v>
      </c>
      <c r="D343" s="4">
        <f>D342+(('Equity Price Data'!D345-'Equity Price Data'!D344)/'Equity Price Data'!D344)</f>
        <v>0.3531491034</v>
      </c>
      <c r="E343" s="4">
        <f>E342+(('Equity Price Data'!E345-'Equity Price Data'!E344)/'Equity Price Data'!E344)</f>
        <v>0.1735464085</v>
      </c>
      <c r="F343" s="4">
        <f>F342+(('Equity Price Data'!F345-'Equity Price Data'!F344)/'Equity Price Data'!F344)</f>
        <v>0.2017700603</v>
      </c>
    </row>
    <row r="344">
      <c r="A344" s="43">
        <f>'Equity Price Data'!A346</f>
        <v>45925.66667</v>
      </c>
      <c r="B344" s="4">
        <f>B343+(('Equity Price Data'!B346-'Equity Price Data'!B345)/'Equity Price Data'!B345)</f>
        <v>0.2107455687</v>
      </c>
      <c r="C344" s="4">
        <f>C343+(('Equity Price Data'!C346-'Equity Price Data'!C345)/'Equity Price Data'!C345)</f>
        <v>0.2558646298</v>
      </c>
      <c r="D344" s="4">
        <f>D343+(('Equity Price Data'!D346-'Equity Price Data'!D345)/'Equity Price Data'!D345)</f>
        <v>0.3481192917</v>
      </c>
      <c r="E344" s="4">
        <f>E343+(('Equity Price Data'!E346-'Equity Price Data'!E345)/'Equity Price Data'!E345)</f>
        <v>0.1697746137</v>
      </c>
      <c r="F344" s="4">
        <f>F343+(('Equity Price Data'!F346-'Equity Price Data'!F345)/'Equity Price Data'!F345)</f>
        <v>0.1919383574</v>
      </c>
    </row>
    <row r="345">
      <c r="A345" s="43">
        <f>'Equity Price Data'!A347</f>
        <v>45926.66667</v>
      </c>
      <c r="B345" s="4">
        <f>B344+(('Equity Price Data'!B347-'Equity Price Data'!B346)/'Equity Price Data'!B346)</f>
        <v>0.2134801814</v>
      </c>
      <c r="C345" s="4">
        <f>C344+(('Equity Price Data'!C347-'Equity Price Data'!C346)/'Equity Price Data'!C346)</f>
        <v>0.2617664697</v>
      </c>
      <c r="D345" s="4">
        <f>D344+(('Equity Price Data'!D347-'Equity Price Data'!D346)/'Equity Price Data'!D346)</f>
        <v>0.3525584845</v>
      </c>
      <c r="E345" s="4">
        <f>E344+(('Equity Price Data'!E347-'Equity Price Data'!E346)/'Equity Price Data'!E346)</f>
        <v>0.1763031773</v>
      </c>
      <c r="F345" s="4">
        <f>F344+(('Equity Price Data'!F347-'Equity Price Data'!F346)/'Equity Price Data'!F346)</f>
        <v>0.2015939417</v>
      </c>
    </row>
    <row r="346">
      <c r="A346" s="43">
        <f>'Equity Price Data'!A348</f>
        <v>45929.66667</v>
      </c>
      <c r="B346" s="4">
        <f>B345+(('Equity Price Data'!B348-'Equity Price Data'!B347)/'Equity Price Data'!B347)</f>
        <v>0.215745492</v>
      </c>
      <c r="C346" s="4">
        <f>C345+(('Equity Price Data'!C348-'Equity Price Data'!C347)/'Equity Price Data'!C347)</f>
        <v>0.2644020493</v>
      </c>
      <c r="D346" s="4">
        <f>D345+(('Equity Price Data'!D348-'Equity Price Data'!D347)/'Equity Price Data'!D347)</f>
        <v>0.3573209675</v>
      </c>
      <c r="E346" s="4">
        <f>E345+(('Equity Price Data'!E348-'Equity Price Data'!E347)/'Equity Price Data'!E347)</f>
        <v>0.1777903996</v>
      </c>
      <c r="F346" s="4">
        <f>F345+(('Equity Price Data'!F348-'Equity Price Data'!F347)/'Equity Price Data'!F347)</f>
        <v>0.2019759785</v>
      </c>
    </row>
    <row r="347">
      <c r="A347" s="43">
        <f>'Equity Price Data'!A349</f>
        <v>45930.66667</v>
      </c>
      <c r="B347" s="4">
        <f>B346+(('Equity Price Data'!B349-'Equity Price Data'!B348)/'Equity Price Data'!B348)</f>
        <v>0.2186112344</v>
      </c>
      <c r="C347" s="4">
        <f>C346+(('Equity Price Data'!C349-'Equity Price Data'!C348)/'Equity Price Data'!C348)</f>
        <v>0.2684928976</v>
      </c>
      <c r="D347" s="4">
        <f>D346+(('Equity Price Data'!D349-'Equity Price Data'!D348)/'Equity Price Data'!D348)</f>
        <v>0.3603690637</v>
      </c>
      <c r="E347" s="4">
        <f>E346+(('Equity Price Data'!E349-'Equity Price Data'!E348)/'Equity Price Data'!E348)</f>
        <v>0.1795569571</v>
      </c>
      <c r="F347" s="4">
        <f>F346+(('Equity Price Data'!F349-'Equity Price Data'!F348)/'Equity Price Data'!F348)</f>
        <v>0.2024810602</v>
      </c>
    </row>
    <row r="348">
      <c r="A348" s="43">
        <f>'Equity Price Data'!A350</f>
        <v>45931.66667</v>
      </c>
      <c r="B348" s="4">
        <f>B347+(('Equity Price Data'!B350-'Equity Price Data'!B349)/'Equity Price Data'!B349)</f>
        <v>0.2087670454</v>
      </c>
      <c r="C348" s="4">
        <f>C347+(('Equity Price Data'!C350-'Equity Price Data'!C349)/'Equity Price Data'!C349)</f>
        <v>0.2718927834</v>
      </c>
      <c r="D348" s="4">
        <f>D347+(('Equity Price Data'!D350-'Equity Price Data'!D349)/'Equity Price Data'!D349)</f>
        <v>0.364568091</v>
      </c>
      <c r="E348" s="4">
        <f>E347+(('Equity Price Data'!E350-'Equity Price Data'!E349)/'Equity Price Data'!E349)</f>
        <v>0.1804882494</v>
      </c>
      <c r="F348" s="4">
        <f>F347+(('Equity Price Data'!F350-'Equity Price Data'!F349)/'Equity Price Data'!F349)</f>
        <v>0.2048902735</v>
      </c>
    </row>
    <row r="349">
      <c r="A349" s="43">
        <f>'Equity Price Data'!A351</f>
        <v>45932.66667</v>
      </c>
      <c r="B349" s="4">
        <f>B348+(('Equity Price Data'!B351-'Equity Price Data'!B350)/'Equity Price Data'!B350)</f>
        <v>0.2112423228</v>
      </c>
      <c r="C349" s="4">
        <f>C348+(('Equity Price Data'!C351-'Equity Price Data'!C350)/'Equity Price Data'!C350)</f>
        <v>0.2725111527</v>
      </c>
      <c r="D349" s="4">
        <f>D348+(('Equity Price Data'!D351-'Equity Price Data'!D350)/'Equity Price Data'!D350)</f>
        <v>0.3684744577</v>
      </c>
      <c r="E349" s="4">
        <f>E348+(('Equity Price Data'!E351-'Equity Price Data'!E350)/'Equity Price Data'!E350)</f>
        <v>0.1821811465</v>
      </c>
      <c r="F349" s="4">
        <f>F348+(('Equity Price Data'!F351-'Equity Price Data'!F350)/'Equity Price Data'!F350)</f>
        <v>0.2114986629</v>
      </c>
    </row>
    <row r="350">
      <c r="A350" s="43">
        <f>'Equity Price Data'!A352</f>
        <v>45933.66667</v>
      </c>
      <c r="B350" s="4">
        <f>B349+(('Equity Price Data'!B352-'Equity Price Data'!B351)/'Equity Price Data'!B351)</f>
        <v>0.2164344068</v>
      </c>
      <c r="C350" s="4">
        <f>C349+(('Equity Price Data'!C352-'Equity Price Data'!C351)/'Equity Price Data'!C351)</f>
        <v>0.2725766742</v>
      </c>
      <c r="D350" s="4">
        <f>D349+(('Equity Price Data'!D352-'Equity Price Data'!D351)/'Equity Price Data'!D351)</f>
        <v>0.3656929895</v>
      </c>
      <c r="E350" s="4">
        <f>E349+(('Equity Price Data'!E352-'Equity Price Data'!E351)/'Equity Price Data'!E351)</f>
        <v>0.1873092943</v>
      </c>
      <c r="F350" s="4">
        <f>F349+(('Equity Price Data'!F352-'Equity Price Data'!F351)/'Equity Price Data'!F351)</f>
        <v>0.2186941366</v>
      </c>
    </row>
    <row r="351">
      <c r="A351" s="43">
        <f>'Equity Price Data'!A353</f>
        <v>45936.66667</v>
      </c>
      <c r="B351" s="4">
        <f>B350+(('Equity Price Data'!B353-'Equity Price Data'!B352)/'Equity Price Data'!B352)</f>
        <v>0.2177035806</v>
      </c>
      <c r="C351" s="4">
        <f>C350+(('Equity Price Data'!C353-'Equity Price Data'!C352)/'Equity Price Data'!C352)</f>
        <v>0.276223304</v>
      </c>
      <c r="D351" s="4">
        <f>D350+(('Equity Price Data'!D353-'Equity Price Data'!D352)/'Equity Price Data'!D352)</f>
        <v>0.372767458</v>
      </c>
      <c r="E351" s="4">
        <f>E350+(('Equity Price Data'!E353-'Equity Price Data'!E352)/'Equity Price Data'!E352)</f>
        <v>0.1859553095</v>
      </c>
      <c r="F351" s="4">
        <f>F350+(('Equity Price Data'!F353-'Equity Price Data'!F352)/'Equity Price Data'!F352)</f>
        <v>0.2228012693</v>
      </c>
    </row>
    <row r="352">
      <c r="A352" s="43">
        <f>'Equity Price Data'!A354</f>
        <v>45937.66667</v>
      </c>
      <c r="B352" s="4">
        <f>B351+(('Equity Price Data'!B354-'Equity Price Data'!B353)/'Equity Price Data'!B353)</f>
        <v>0.2166763763</v>
      </c>
      <c r="C352" s="4">
        <f>C351+(('Equity Price Data'!C354-'Equity Price Data'!C353)/'Equity Price Data'!C353)</f>
        <v>0.2724118897</v>
      </c>
      <c r="D352" s="4">
        <f>D351+(('Equity Price Data'!D354-'Equity Price Data'!D353)/'Equity Price Data'!D353)</f>
        <v>0.3660848581</v>
      </c>
      <c r="E352" s="4">
        <f>E351+(('Equity Price Data'!E354-'Equity Price Data'!E353)/'Equity Price Data'!E353)</f>
        <v>0.18398529</v>
      </c>
      <c r="F352" s="4">
        <f>F351+(('Equity Price Data'!F354-'Equity Price Data'!F353)/'Equity Price Data'!F353)</f>
        <v>0.2115679353</v>
      </c>
    </row>
    <row r="353">
      <c r="A353" s="43">
        <f>'Equity Price Data'!A355</f>
        <v>45938.66667</v>
      </c>
      <c r="B353" s="4">
        <f>B352+(('Equity Price Data'!B355-'Equity Price Data'!B354)/'Equity Price Data'!B354)</f>
        <v>0.2193018691</v>
      </c>
      <c r="C353" s="4">
        <f>C352+(('Equity Price Data'!C355-'Equity Price Data'!C354)/'Equity Price Data'!C354)</f>
        <v>0.2782394979</v>
      </c>
      <c r="D353" s="4">
        <f>D352+(('Equity Price Data'!D355-'Equity Price Data'!D354)/'Equity Price Data'!D354)</f>
        <v>0.377275659</v>
      </c>
      <c r="E353" s="4">
        <f>E352+(('Equity Price Data'!E355-'Equity Price Data'!E354)/'Equity Price Data'!E354)</f>
        <v>0.1839595406</v>
      </c>
      <c r="F353" s="4">
        <f>F352+(('Equity Price Data'!F355-'Equity Price Data'!F354)/'Equity Price Data'!F354)</f>
        <v>0.2219689246</v>
      </c>
    </row>
    <row r="354">
      <c r="A354" s="43">
        <f>'Equity Price Data'!A356</f>
        <v>45939.66667</v>
      </c>
      <c r="B354" s="4">
        <f>B353+(('Equity Price Data'!B356-'Equity Price Data'!B355)/'Equity Price Data'!B355)</f>
        <v>0.212218235</v>
      </c>
      <c r="C354" s="4">
        <f>C353+(('Equity Price Data'!C356-'Equity Price Data'!C355)/'Equity Price Data'!C355)</f>
        <v>0.2754839795</v>
      </c>
      <c r="D354" s="4">
        <f>D353+(('Equity Price Data'!D356-'Equity Price Data'!D355)/'Equity Price Data'!D355)</f>
        <v>0.3764619763</v>
      </c>
      <c r="E354" s="4">
        <f>E353+(('Equity Price Data'!E356-'Equity Price Data'!E355)/'Equity Price Data'!E355)</f>
        <v>0.1787374225</v>
      </c>
      <c r="F354" s="4">
        <f>F353+(('Equity Price Data'!F356-'Equity Price Data'!F355)/'Equity Price Data'!F355)</f>
        <v>0.215873892</v>
      </c>
    </row>
    <row r="355">
      <c r="A355" s="43">
        <f>'Equity Price Data'!A357</f>
        <v>45940.66667</v>
      </c>
      <c r="B355" s="4">
        <f>B354+(('Equity Price Data'!B357-'Equity Price Data'!B356)/'Equity Price Data'!B356)</f>
        <v>0.1942086592</v>
      </c>
      <c r="C355" s="4">
        <f>C354+(('Equity Price Data'!C357-'Equity Price Data'!C356)/'Equity Price Data'!C356)</f>
        <v>0.2483723213</v>
      </c>
      <c r="D355" s="4">
        <f>D354+(('Equity Price Data'!D357-'Equity Price Data'!D356)/'Equity Price Data'!D356)</f>
        <v>0.3408392541</v>
      </c>
      <c r="E355" s="4">
        <f>E354+(('Equity Price Data'!E357-'Equity Price Data'!E356)/'Equity Price Data'!E356)</f>
        <v>0.1597803484</v>
      </c>
      <c r="F355" s="4">
        <f>F354+(('Equity Price Data'!F357-'Equity Price Data'!F356)/'Equity Price Data'!F356)</f>
        <v>0.1857951104</v>
      </c>
    </row>
    <row r="356">
      <c r="A356" s="43">
        <f>'Equity Price Data'!A358</f>
        <v>45943.66667</v>
      </c>
      <c r="B356" s="4">
        <f>B355+(('Equity Price Data'!B358-'Equity Price Data'!B357)/'Equity Price Data'!B357)</f>
        <v>0.2069030054</v>
      </c>
      <c r="C356" s="4">
        <f>C355+(('Equity Price Data'!C358-'Equity Price Data'!C357)/'Equity Price Data'!C357)</f>
        <v>0.263970924</v>
      </c>
      <c r="D356" s="4">
        <f>D355+(('Equity Price Data'!D358-'Equity Price Data'!D357)/'Equity Price Data'!D357)</f>
        <v>0.362915029</v>
      </c>
      <c r="E356" s="4">
        <f>E355+(('Equity Price Data'!E358-'Equity Price Data'!E357)/'Equity Price Data'!E357)</f>
        <v>0.1727087823</v>
      </c>
      <c r="F356" s="4">
        <f>F355+(('Equity Price Data'!F358-'Equity Price Data'!F357)/'Equity Price Data'!F357)</f>
        <v>0.2137038547</v>
      </c>
    </row>
    <row r="357">
      <c r="A357" s="43">
        <f>'Equity Price Data'!A359</f>
        <v>45944.66667</v>
      </c>
      <c r="B357" s="4">
        <f>B356+(('Equity Price Data'!B359-'Equity Price Data'!B358)/'Equity Price Data'!B358)</f>
        <v>0.212396429</v>
      </c>
      <c r="C357" s="4">
        <f>C356+(('Equity Price Data'!C359-'Equity Price Data'!C358)/'Equity Price Data'!C358)</f>
        <v>0.2624066207</v>
      </c>
      <c r="D357" s="4">
        <f>D356+(('Equity Price Data'!D359-'Equity Price Data'!D358)/'Equity Price Data'!D358)</f>
        <v>0.3552960393</v>
      </c>
      <c r="E357" s="4">
        <f>E356+(('Equity Price Data'!E359-'Equity Price Data'!E358)/'Equity Price Data'!E358)</f>
        <v>0.1771127471</v>
      </c>
      <c r="F357" s="4">
        <f>F356+(('Equity Price Data'!F359-'Equity Price Data'!F358)/'Equity Price Data'!F358)</f>
        <v>0.227549521</v>
      </c>
    </row>
    <row r="358">
      <c r="A358" s="43">
        <f>'Equity Price Data'!A360</f>
        <v>45945.66667</v>
      </c>
      <c r="B358" s="4">
        <f>B357+(('Equity Price Data'!B360-'Equity Price Data'!B359)/'Equity Price Data'!B359)</f>
        <v>0.2117977077</v>
      </c>
      <c r="C358" s="4">
        <f>C357+(('Equity Price Data'!C360-'Equity Price Data'!C359)/'Equity Price Data'!C359)</f>
        <v>0.2664326219</v>
      </c>
      <c r="D358" s="4">
        <f>D357+(('Equity Price Data'!D360-'Equity Price Data'!D359)/'Equity Price Data'!D359)</f>
        <v>0.3618843519</v>
      </c>
      <c r="E358" s="4">
        <f>E357+(('Equity Price Data'!E360-'Equity Price Data'!E359)/'Equity Price Data'!E359)</f>
        <v>0.1767421002</v>
      </c>
      <c r="F358" s="4">
        <f>F357+(('Equity Price Data'!F360-'Equity Price Data'!F359)/'Equity Price Data'!F359)</f>
        <v>0.2372670125</v>
      </c>
    </row>
    <row r="359">
      <c r="A359" s="43">
        <f>'Equity Price Data'!A361</f>
        <v>45946.66667</v>
      </c>
      <c r="B359" s="4">
        <f>B358+(('Equity Price Data'!B361-'Equity Price Data'!B360)/'Equity Price Data'!B360)</f>
        <v>0.2045195046</v>
      </c>
      <c r="C359" s="4">
        <f>C358+(('Equity Price Data'!C361-'Equity Price Data'!C360)/'Equity Price Data'!C360)</f>
        <v>0.2601382699</v>
      </c>
      <c r="D359" s="4">
        <f>D358+(('Equity Price Data'!D361-'Equity Price Data'!D360)/'Equity Price Data'!D360)</f>
        <v>0.3571406545</v>
      </c>
      <c r="E359" s="4">
        <f>E358+(('Equity Price Data'!E361-'Equity Price Data'!E360)/'Equity Price Data'!E360)</f>
        <v>0.1702329444</v>
      </c>
      <c r="F359" s="4">
        <f>F358+(('Equity Price Data'!F361-'Equity Price Data'!F360)/'Equity Price Data'!F360)</f>
        <v>0.2163363646</v>
      </c>
    </row>
    <row r="360">
      <c r="A360" s="43">
        <f>'Equity Price Data'!A362</f>
        <v>45947.66667</v>
      </c>
      <c r="B360" s="4">
        <f>B359+(('Equity Price Data'!B362-'Equity Price Data'!B361)/'Equity Price Data'!B361)</f>
        <v>0.2072867464</v>
      </c>
      <c r="C360" s="4">
        <f>C359+(('Equity Price Data'!C362-'Equity Price Data'!C361)/'Equity Price Data'!C361)</f>
        <v>0.2654089942</v>
      </c>
      <c r="D360" s="4">
        <f>D359+(('Equity Price Data'!D362-'Equity Price Data'!D361)/'Equity Price Data'!D361)</f>
        <v>0.3623457422</v>
      </c>
      <c r="E360" s="4">
        <f>E359+(('Equity Price Data'!E362-'Equity Price Data'!E361)/'Equity Price Data'!E361)</f>
        <v>0.1754202868</v>
      </c>
      <c r="F360" s="4">
        <f>F359+(('Equity Price Data'!F362-'Equity Price Data'!F361)/'Equity Price Data'!F361)</f>
        <v>0.2103209856</v>
      </c>
    </row>
    <row r="361">
      <c r="A361" s="43">
        <f>'Equity Price Data'!A363</f>
        <v>45950.66667</v>
      </c>
      <c r="B361" s="4">
        <f>B360+(('Equity Price Data'!B363-'Equity Price Data'!B362)/'Equity Price Data'!B362)</f>
        <v>0.2419140261</v>
      </c>
      <c r="C361" s="4">
        <f>C360+(('Equity Price Data'!C363-'Equity Price Data'!C362)/'Equity Price Data'!C362)</f>
        <v>0.2760812471</v>
      </c>
      <c r="D361" s="4">
        <f>D360+(('Equity Price Data'!D363-'Equity Price Data'!D362)/'Equity Price Data'!D362)</f>
        <v>0.376038876</v>
      </c>
      <c r="E361" s="4">
        <f>E360+(('Equity Price Data'!E363-'Equity Price Data'!E362)/'Equity Price Data'!E362)</f>
        <v>0.1865907389</v>
      </c>
      <c r="F361" s="4">
        <f>F360+(('Equity Price Data'!F363-'Equity Price Data'!F362)/'Equity Price Data'!F362)</f>
        <v>0.2297894564</v>
      </c>
    </row>
    <row r="362">
      <c r="A362" s="43">
        <f>'Equity Price Data'!A364</f>
        <v>45951.66667</v>
      </c>
      <c r="B362" s="4">
        <f>B361+(('Equity Price Data'!B364-'Equity Price Data'!B363)/'Equity Price Data'!B363)</f>
        <v>0.2406815699</v>
      </c>
      <c r="C362" s="4">
        <f>C361+(('Equity Price Data'!C364-'Equity Price Data'!C363)/'Equity Price Data'!C363)</f>
        <v>0.2761139116</v>
      </c>
      <c r="D362" s="4">
        <f>D361+(('Equity Price Data'!D364-'Equity Price Data'!D363)/'Equity Price Data'!D363)</f>
        <v>0.3744351729</v>
      </c>
      <c r="E362" s="4">
        <f>E361+(('Equity Price Data'!E364-'Equity Price Data'!E363)/'Equity Price Data'!E363)</f>
        <v>0.1912616012</v>
      </c>
      <c r="F362" s="4">
        <f>F361+(('Equity Price Data'!F364-'Equity Price Data'!F363)/'Equity Price Data'!F363)</f>
        <v>0.2249012805</v>
      </c>
    </row>
    <row r="363">
      <c r="A363" s="43">
        <f>'Equity Price Data'!A365</f>
        <v>45952.66667</v>
      </c>
      <c r="B363" s="4">
        <f>B362+(('Equity Price Data'!B365-'Equity Price Data'!B364)/'Equity Price Data'!B364)</f>
        <v>0.237063145</v>
      </c>
      <c r="C363" s="4">
        <f>C362+(('Equity Price Data'!C365-'Equity Price Data'!C364)/'Equity Price Data'!C364)</f>
        <v>0.2707764013</v>
      </c>
      <c r="D363" s="4">
        <f>D362+(('Equity Price Data'!D365-'Equity Price Data'!D364)/'Equity Price Data'!D364)</f>
        <v>0.3651438483</v>
      </c>
      <c r="E363" s="4">
        <f>E362+(('Equity Price Data'!E365-'Equity Price Data'!E364)/'Equity Price Data'!E364)</f>
        <v>0.1841367881</v>
      </c>
      <c r="F363" s="4">
        <f>F362+(('Equity Price Data'!F365-'Equity Price Data'!F364)/'Equity Price Data'!F364)</f>
        <v>0.2103737469</v>
      </c>
    </row>
    <row r="364">
      <c r="A364" s="43">
        <f>'Equity Price Data'!A366</f>
        <v>45953.66667</v>
      </c>
      <c r="B364" s="4">
        <f>B363+(('Equity Price Data'!B366-'Equity Price Data'!B365)/'Equity Price Data'!B365)</f>
        <v>0.2415992621</v>
      </c>
      <c r="C364" s="4">
        <f>C363+(('Equity Price Data'!C366-'Equity Price Data'!C365)/'Equity Price Data'!C365)</f>
        <v>0.2766037888</v>
      </c>
      <c r="D364" s="4">
        <f>D363+(('Equity Price Data'!D366-'Equity Price Data'!D365)/'Equity Price Data'!D365)</f>
        <v>0.3740003327</v>
      </c>
      <c r="E364" s="4">
        <f>E363+(('Equity Price Data'!E366-'Equity Price Data'!E365)/'Equity Price Data'!E365)</f>
        <v>0.1872318457</v>
      </c>
      <c r="F364" s="4">
        <f>F363+(('Equity Price Data'!F366-'Equity Price Data'!F365)/'Equity Price Data'!F365)</f>
        <v>0.2230636777</v>
      </c>
    </row>
    <row r="365">
      <c r="A365" s="43">
        <f>'Equity Price Data'!A367</f>
        <v>45954.66667</v>
      </c>
      <c r="B365" s="4">
        <f>B364+(('Equity Price Data'!B367-'Equity Price Data'!B366)/'Equity Price Data'!B366)</f>
        <v>0.2475514353</v>
      </c>
      <c r="C365" s="4">
        <f>C364+(('Equity Price Data'!C367-'Equity Price Data'!C366)/'Equity Price Data'!C366)</f>
        <v>0.2845062114</v>
      </c>
      <c r="D365" s="4">
        <f>D364+(('Equity Price Data'!D367-'Equity Price Data'!D366)/'Equity Price Data'!D366)</f>
        <v>0.3854671749</v>
      </c>
      <c r="E365" s="4">
        <f>E364+(('Equity Price Data'!E367-'Equity Price Data'!E366)/'Equity Price Data'!E366)</f>
        <v>0.1973423398</v>
      </c>
      <c r="F365" s="4">
        <f>F364+(('Equity Price Data'!F367-'Equity Price Data'!F366)/'Equity Price Data'!F366)</f>
        <v>0.235473754</v>
      </c>
    </row>
    <row r="366">
      <c r="A366" s="43">
        <f>'Equity Price Data'!A368</f>
        <v>45957.66667</v>
      </c>
      <c r="B366" s="4">
        <f>B365+(('Equity Price Data'!B368-'Equity Price Data'!B367)/'Equity Price Data'!B367)</f>
        <v>0.25443969</v>
      </c>
      <c r="C366" s="4">
        <f>C365+(('Equity Price Data'!C368-'Equity Price Data'!C367)/'Equity Price Data'!C367)</f>
        <v>0.2967962305</v>
      </c>
      <c r="D366" s="4">
        <f>D365+(('Equity Price Data'!D368-'Equity Price Data'!D367)/'Equity Price Data'!D367)</f>
        <v>0.4041093824</v>
      </c>
      <c r="E366" s="4">
        <f>E365+(('Equity Price Data'!E368-'Equity Price Data'!E367)/'Equity Price Data'!E367)</f>
        <v>0.2044910496</v>
      </c>
      <c r="F366" s="4">
        <f>F365+(('Equity Price Data'!F368-'Equity Price Data'!F367)/'Equity Price Data'!F367)</f>
        <v>0.2382468128</v>
      </c>
    </row>
    <row r="367">
      <c r="A367" s="43">
        <f>'Equity Price Data'!A369</f>
        <v>45958.66667</v>
      </c>
      <c r="B367" s="4">
        <f>B366+(('Equity Price Data'!B369-'Equity Price Data'!B368)/'Equity Price Data'!B368)</f>
        <v>0.2592725601</v>
      </c>
      <c r="C367" s="4">
        <f>C366+(('Equity Price Data'!C369-'Equity Price Data'!C368)/'Equity Price Data'!C368)</f>
        <v>0.2990841772</v>
      </c>
      <c r="D367" s="4">
        <f>D366+(('Equity Price Data'!D369-'Equity Price Data'!D368)/'Equity Price Data'!D368)</f>
        <v>0.4121487402</v>
      </c>
      <c r="E367" s="4">
        <f>E366+(('Equity Price Data'!E369-'Equity Price Data'!E368)/'Equity Price Data'!E368)</f>
        <v>0.2078937501</v>
      </c>
      <c r="F367" s="4">
        <f>F366+(('Equity Price Data'!F369-'Equity Price Data'!F368)/'Equity Price Data'!F368)</f>
        <v>0.2327755459</v>
      </c>
    </row>
    <row r="368">
      <c r="A368" s="43">
        <f>'Equity Price Data'!A370</f>
        <v>45959.66667</v>
      </c>
      <c r="B368" s="4">
        <f>B367+(('Equity Price Data'!B370-'Equity Price Data'!B369)/'Equity Price Data'!B369)</f>
        <v>0.262283236</v>
      </c>
      <c r="C368" s="4">
        <f>C367+(('Equity Price Data'!C370-'Equity Price Data'!C369)/'Equity Price Data'!C369)</f>
        <v>0.2990406415</v>
      </c>
      <c r="D368" s="4">
        <f>D367+(('Equity Price Data'!D370-'Equity Price Data'!D369)/'Equity Price Data'!D369)</f>
        <v>0.4176457523</v>
      </c>
      <c r="E368" s="4">
        <f>E367+(('Equity Price Data'!E370-'Equity Price Data'!E369)/'Equity Price Data'!E369)</f>
        <v>0.2063348387</v>
      </c>
      <c r="F368" s="4">
        <f>F367+(('Equity Price Data'!F370-'Equity Price Data'!F369)/'Equity Price Data'!F369)</f>
        <v>0.224062722</v>
      </c>
    </row>
    <row r="369">
      <c r="A369" s="43">
        <f>'Equity Price Data'!A371</f>
        <v>45960.66667</v>
      </c>
      <c r="B369" s="4">
        <f>B368+(('Equity Price Data'!B371-'Equity Price Data'!B370)/'Equity Price Data'!B370)</f>
        <v>0.2634721732</v>
      </c>
      <c r="C369" s="4">
        <f>C368+(('Equity Price Data'!C371-'Equity Price Data'!C370)/'Equity Price Data'!C370)</f>
        <v>0.2891358293</v>
      </c>
      <c r="D369" s="4">
        <f>D368+(('Equity Price Data'!D371-'Equity Price Data'!D370)/'Equity Price Data'!D370)</f>
        <v>0.401896416</v>
      </c>
      <c r="E369" s="4">
        <f>E368+(('Equity Price Data'!E371-'Equity Price Data'!E370)/'Equity Price Data'!E370)</f>
        <v>0.2040279862</v>
      </c>
      <c r="F369" s="4">
        <f>F368+(('Equity Price Data'!F371-'Equity Price Data'!F370)/'Equity Price Data'!F370)</f>
        <v>0.2164726044</v>
      </c>
    </row>
    <row r="370">
      <c r="A370" s="43">
        <f>'Equity Price Data'!A372</f>
        <v>45961.66667</v>
      </c>
      <c r="B370" s="4">
        <f>B369+(('Equity Price Data'!B372-'Equity Price Data'!B371)/'Equity Price Data'!B371)</f>
        <v>0.2659303308</v>
      </c>
      <c r="C370" s="4">
        <f>C369+(('Equity Price Data'!C372-'Equity Price Data'!C371)/'Equity Price Data'!C371)</f>
        <v>0.2917536994</v>
      </c>
      <c r="D370" s="4">
        <f>D369+(('Equity Price Data'!D372-'Equity Price Data'!D371)/'Equity Price Data'!D371)</f>
        <v>0.4079953578</v>
      </c>
      <c r="E370" s="4">
        <f>E369+(('Equity Price Data'!E372-'Equity Price Data'!E371)/'Equity Price Data'!E371)</f>
        <v>0.2048854816</v>
      </c>
      <c r="F370" s="4">
        <f>F369+(('Equity Price Data'!F372-'Equity Price Data'!F371)/'Equity Price Data'!F371)</f>
        <v>0.2219187813</v>
      </c>
    </row>
    <row r="371">
      <c r="A371" s="43">
        <f>'Equity Price Data'!A373</f>
        <v>45964.66667</v>
      </c>
      <c r="B371" s="4">
        <f>B370+(('Equity Price Data'!B373-'Equity Price Data'!B372)/'Equity Price Data'!B372)</f>
        <v>0.2637239076</v>
      </c>
      <c r="C371" s="4">
        <f>C370+(('Equity Price Data'!C373-'Equity Price Data'!C372)/'Equity Price Data'!C372)</f>
        <v>0.2934744093</v>
      </c>
      <c r="D371" s="4">
        <f>D370+(('Equity Price Data'!D373-'Equity Price Data'!D372)/'Equity Price Data'!D372)</f>
        <v>0.4126217092</v>
      </c>
      <c r="E371" s="4">
        <f>E370+(('Equity Price Data'!E373-'Equity Price Data'!E372)/'Equity Price Data'!E372)</f>
        <v>0.2001298813</v>
      </c>
      <c r="F371" s="4">
        <f>F370+(('Equity Price Data'!F373-'Equity Price Data'!F372)/'Equity Price Data'!F372)</f>
        <v>0.2186357025</v>
      </c>
    </row>
    <row r="372">
      <c r="A372" s="43">
        <f>'Equity Price Data'!A374</f>
        <v>45965.66667</v>
      </c>
      <c r="B372" s="4">
        <f>B371+(('Equity Price Data'!B374-'Equity Price Data'!B373)/'Equity Price Data'!B373)</f>
        <v>0.256160505</v>
      </c>
      <c r="C372" s="4">
        <f>C371+(('Equity Price Data'!C374-'Equity Price Data'!C373)/'Equity Price Data'!C373)</f>
        <v>0.2817376387</v>
      </c>
      <c r="D372" s="4">
        <f>D371+(('Equity Price Data'!D374-'Equity Price Data'!D373)/'Equity Price Data'!D373)</f>
        <v>0.3922279307</v>
      </c>
      <c r="E372" s="4">
        <f>E371+(('Equity Price Data'!E374-'Equity Price Data'!E373)/'Equity Price Data'!E373)</f>
        <v>0.1948181442</v>
      </c>
      <c r="F372" s="4">
        <f>F371+(('Equity Price Data'!F374-'Equity Price Data'!F373)/'Equity Price Data'!F373)</f>
        <v>0.2008713413</v>
      </c>
    </row>
    <row r="373">
      <c r="A373" s="43">
        <f>'Equity Price Data'!A375</f>
        <v>45966.66667</v>
      </c>
      <c r="B373" s="4">
        <f>B372+(('Equity Price Data'!B375-'Equity Price Data'!B374)/'Equity Price Data'!B374)</f>
        <v>0.257836369</v>
      </c>
      <c r="C373" s="4">
        <f>C372+(('Equity Price Data'!C375-'Equity Price Data'!C374)/'Equity Price Data'!C374)</f>
        <v>0.2853911597</v>
      </c>
      <c r="D373" s="4">
        <f>D372+(('Equity Price Data'!D375-'Equity Price Data'!D374)/'Equity Price Data'!D374)</f>
        <v>0.3987019694</v>
      </c>
      <c r="E373" s="4">
        <f>E372+(('Equity Price Data'!E375-'Equity Price Data'!E374)/'Equity Price Data'!E374)</f>
        <v>0.1996128527</v>
      </c>
      <c r="F373" s="4">
        <f>F372+(('Equity Price Data'!F375-'Equity Price Data'!F374)/'Equity Price Data'!F374)</f>
        <v>0.2162956329</v>
      </c>
    </row>
    <row r="374">
      <c r="A374" s="43">
        <f>'Equity Price Data'!A376</f>
        <v>45967.66667</v>
      </c>
      <c r="B374" s="4">
        <f>B373+(('Equity Price Data'!B376-'Equity Price Data'!B375)/'Equity Price Data'!B375)</f>
        <v>0.2505758868</v>
      </c>
      <c r="C374" s="4">
        <f>C373+(('Equity Price Data'!C376-'Equity Price Data'!C375)/'Equity Price Data'!C375)</f>
        <v>0.2742130022</v>
      </c>
      <c r="D374" s="4">
        <f>D373+(('Equity Price Data'!D376-'Equity Price Data'!D375)/'Equity Price Data'!D375)</f>
        <v>0.3797311697</v>
      </c>
      <c r="E374" s="4">
        <f>E373+(('Equity Price Data'!E376-'Equity Price Data'!E375)/'Equity Price Data'!E375)</f>
        <v>0.191185637</v>
      </c>
      <c r="F374" s="4">
        <f>F373+(('Equity Price Data'!F376-'Equity Price Data'!F375)/'Equity Price Data'!F375)</f>
        <v>0.1976489383</v>
      </c>
    </row>
    <row r="375">
      <c r="A375" s="43">
        <f>'Equity Price Data'!A377</f>
        <v>45968.66667</v>
      </c>
      <c r="B375" s="4">
        <f>B374+(('Equity Price Data'!B377-'Equity Price Data'!B376)/'Equity Price Data'!B376)</f>
        <v>0.255947126</v>
      </c>
      <c r="C375" s="4">
        <f>C374+(('Equity Price Data'!C377-'Equity Price Data'!C376)/'Equity Price Data'!C376)</f>
        <v>0.2754748469</v>
      </c>
      <c r="D375" s="4">
        <f>D374+(('Equity Price Data'!D377-'Equity Price Data'!D376)/'Equity Price Data'!D376)</f>
        <v>0.3775862047</v>
      </c>
      <c r="E375" s="4">
        <f>E374+(('Equity Price Data'!E377-'Equity Price Data'!E376)/'Equity Price Data'!E376)</f>
        <v>0.1927801016</v>
      </c>
      <c r="F375" s="4">
        <f>F374+(('Equity Price Data'!F377-'Equity Price Data'!F376)/'Equity Price Data'!F376)</f>
        <v>0.2034368845</v>
      </c>
    </row>
    <row r="376">
      <c r="A376" s="43">
        <f>'Equity Price Data'!A378</f>
        <v>45971.66667</v>
      </c>
      <c r="B376" s="4">
        <f>B375+(('Equity Price Data'!B378-'Equity Price Data'!B377)/'Equity Price Data'!B377)</f>
        <v>0.2658869367</v>
      </c>
      <c r="C376" s="4">
        <f>C375+(('Equity Price Data'!C378-'Equity Price Data'!C377)/'Equity Price Data'!C377)</f>
        <v>0.2908758099</v>
      </c>
      <c r="D376" s="4">
        <f>D375+(('Equity Price Data'!D378-'Equity Price Data'!D377)/'Equity Price Data'!D377)</f>
        <v>0.4003047638</v>
      </c>
      <c r="E376" s="4">
        <f>E375+(('Equity Price Data'!E378-'Equity Price Data'!E377)/'Equity Price Data'!E377)</f>
        <v>0.2008999898</v>
      </c>
      <c r="F376" s="4">
        <f>F375+(('Equity Price Data'!F378-'Equity Price Data'!F377)/'Equity Price Data'!F377)</f>
        <v>0.2128210559</v>
      </c>
    </row>
    <row r="377">
      <c r="A377" s="43">
        <f>'Equity Price Data'!A379</f>
        <v>45972.66667</v>
      </c>
      <c r="B377" s="4">
        <f>B376+(('Equity Price Data'!B379-'Equity Price Data'!B378)/'Equity Price Data'!B378)</f>
        <v>0.2725573099</v>
      </c>
      <c r="C377" s="4">
        <f>C376+(('Equity Price Data'!C379-'Equity Price Data'!C378)/'Equity Price Data'!C378)</f>
        <v>0.2929512062</v>
      </c>
      <c r="D377" s="4">
        <f>D376+(('Equity Price Data'!D379-'Equity Price Data'!D378)/'Equity Price Data'!D378)</f>
        <v>0.3978025504</v>
      </c>
      <c r="E377" s="4">
        <f>E376+(('Equity Price Data'!E379-'Equity Price Data'!E378)/'Equity Price Data'!E378)</f>
        <v>0.2127080155</v>
      </c>
      <c r="F377" s="4">
        <f>F376+(('Equity Price Data'!F379-'Equity Price Data'!F378)/'Equity Price Data'!F378)</f>
        <v>0.2138920555</v>
      </c>
    </row>
    <row r="378">
      <c r="A378" s="43">
        <f>'Equity Price Data'!A380</f>
        <v>45973.66667</v>
      </c>
      <c r="B378" s="4">
        <f>B377+(('Equity Price Data'!B380-'Equity Price Data'!B379)/'Equity Price Data'!B379)</f>
        <v>0.274458324</v>
      </c>
      <c r="C378" s="4">
        <f>C377+(('Equity Price Data'!C380-'Equity Price Data'!C379)/'Equity Price Data'!C379)</f>
        <v>0.2935807148</v>
      </c>
      <c r="D378" s="4">
        <f>D377+(('Equity Price Data'!D380-'Equity Price Data'!D379)/'Equity Price Data'!D379)</f>
        <v>0.3951675065</v>
      </c>
      <c r="E378" s="4">
        <f>E377+(('Equity Price Data'!E380-'Equity Price Data'!E379)/'Equity Price Data'!E379)</f>
        <v>0.2195278342</v>
      </c>
      <c r="F378" s="4">
        <f>F377+(('Equity Price Data'!F380-'Equity Price Data'!F379)/'Equity Price Data'!F379)</f>
        <v>0.2108492776</v>
      </c>
    </row>
    <row r="379">
      <c r="A379" s="43">
        <f>'Equity Price Data'!A381</f>
        <v>45974.66667</v>
      </c>
      <c r="B379" s="4">
        <f>B378+(('Equity Price Data'!B381-'Equity Price Data'!B380)/'Equity Price Data'!B380)</f>
        <v>0.259180054</v>
      </c>
      <c r="C379" s="4">
        <f>C378+(('Equity Price Data'!C381-'Equity Price Data'!C380)/'Equity Price Data'!C380)</f>
        <v>0.2770238145</v>
      </c>
      <c r="D379" s="4">
        <f>D378+(('Equity Price Data'!D381-'Equity Price Data'!D380)/'Equity Price Data'!D380)</f>
        <v>0.3722635731</v>
      </c>
      <c r="E379" s="4">
        <f>E378+(('Equity Price Data'!E381-'Equity Price Data'!E380)/'Equity Price Data'!E380)</f>
        <v>0.2029989155</v>
      </c>
      <c r="F379" s="4">
        <f>F378+(('Equity Price Data'!F381-'Equity Price Data'!F380)/'Equity Price Data'!F380)</f>
        <v>0.1831766809</v>
      </c>
    </row>
    <row r="380">
      <c r="A380" s="43">
        <f>'Equity Price Data'!A382</f>
        <v>45975.66667</v>
      </c>
      <c r="B380" s="4">
        <f>B379+(('Equity Price Data'!B382-'Equity Price Data'!B381)/'Equity Price Data'!B381)</f>
        <v>0.2575416946</v>
      </c>
      <c r="C380" s="4">
        <f>C379+(('Equity Price Data'!C382-'Equity Price Data'!C381)/'Equity Price Data'!C381)</f>
        <v>0.2765221439</v>
      </c>
      <c r="D380" s="4">
        <f>D379+(('Equity Price Data'!D382-'Equity Price Data'!D381)/'Equity Price Data'!D381)</f>
        <v>0.3735853713</v>
      </c>
      <c r="E380" s="4">
        <f>E379+(('Equity Price Data'!E382-'Equity Price Data'!E381)/'Equity Price Data'!E381)</f>
        <v>0.1964721952</v>
      </c>
      <c r="F380" s="4">
        <f>F379+(('Equity Price Data'!F382-'Equity Price Data'!F381)/'Equity Price Data'!F381)</f>
        <v>0.1853798047</v>
      </c>
    </row>
    <row r="381">
      <c r="A381" s="43">
        <f>'Equity Price Data'!A383</f>
        <v>45978.66667</v>
      </c>
      <c r="B381" s="4">
        <f>B380+(('Equity Price Data'!B383-'Equity Price Data'!B382)/'Equity Price Data'!B382)</f>
        <v>0.2487135541</v>
      </c>
      <c r="C381" s="4">
        <f>C380+(('Equity Price Data'!C383-'Equity Price Data'!C382)/'Equity Price Data'!C382)</f>
        <v>0.2673598345</v>
      </c>
      <c r="D381" s="4">
        <f>D380+(('Equity Price Data'!D383-'Equity Price Data'!D382)/'Equity Price Data'!D382)</f>
        <v>0.3651790377</v>
      </c>
      <c r="E381" s="4">
        <f>E380+(('Equity Price Data'!E383-'Equity Price Data'!E382)/'Equity Price Data'!E382)</f>
        <v>0.1846531118</v>
      </c>
      <c r="F381" s="4">
        <f>F380+(('Equity Price Data'!F383-'Equity Price Data'!F382)/'Equity Price Data'!F382)</f>
        <v>0.1657627661</v>
      </c>
    </row>
    <row r="382">
      <c r="A382" s="43">
        <f>'Equity Price Data'!A384</f>
        <v>45979.66667</v>
      </c>
      <c r="B382" s="4">
        <f>B381+(('Equity Price Data'!B384-'Equity Price Data'!B383)/'Equity Price Data'!B383)</f>
        <v>0.2442302387</v>
      </c>
      <c r="C382" s="4">
        <f>C381+(('Equity Price Data'!C384-'Equity Price Data'!C383)/'Equity Price Data'!C383)</f>
        <v>0.2591034473</v>
      </c>
      <c r="D382" s="4">
        <f>D381+(('Equity Price Data'!D384-'Equity Price Data'!D383)/'Equity Price Data'!D383)</f>
        <v>0.3530586823</v>
      </c>
      <c r="E382" s="4">
        <f>E381+(('Equity Price Data'!E384-'Equity Price Data'!E383)/'Equity Price Data'!E383)</f>
        <v>0.1739534459</v>
      </c>
      <c r="F382" s="4">
        <f>F381+(('Equity Price Data'!F384-'Equity Price Data'!F383)/'Equity Price Data'!F383)</f>
        <v>0.1689062115</v>
      </c>
    </row>
    <row r="383">
      <c r="A383" s="43">
        <f>'Equity Price Data'!A385</f>
        <v>45980.66667</v>
      </c>
      <c r="B383" s="4">
        <f>B382+(('Equity Price Data'!B385-'Equity Price Data'!B384)/'Equity Price Data'!B384)</f>
        <v>0.2483175751</v>
      </c>
      <c r="C383" s="4">
        <f>C382+(('Equity Price Data'!C385-'Equity Price Data'!C384)/'Equity Price Data'!C384)</f>
        <v>0.2628572329</v>
      </c>
      <c r="D383" s="4">
        <f>D382+(('Equity Price Data'!D385-'Equity Price Data'!D384)/'Equity Price Data'!D384)</f>
        <v>0.358915272</v>
      </c>
      <c r="E383" s="4">
        <f>E382+(('Equity Price Data'!E385-'Equity Price Data'!E384)/'Equity Price Data'!E384)</f>
        <v>0.1749738023</v>
      </c>
      <c r="F383" s="4">
        <f>F382+(('Equity Price Data'!F385-'Equity Price Data'!F384)/'Equity Price Data'!F384)</f>
        <v>0.1685443153</v>
      </c>
    </row>
    <row r="384">
      <c r="A384" s="43">
        <f>'Equity Price Data'!A386</f>
        <v>45981.66667</v>
      </c>
      <c r="B384" s="4">
        <f>B383+(('Equity Price Data'!B386-'Equity Price Data'!B385)/'Equity Price Data'!B385)</f>
        <v>0.2342896973</v>
      </c>
      <c r="C384" s="4">
        <f>C383+(('Equity Price Data'!C386-'Equity Price Data'!C385)/'Equity Price Data'!C385)</f>
        <v>0.2472900077</v>
      </c>
      <c r="D384" s="4">
        <f>D383+(('Equity Price Data'!D386-'Equity Price Data'!D385)/'Equity Price Data'!D385)</f>
        <v>0.3373687801</v>
      </c>
      <c r="E384" s="4">
        <f>E383+(('Equity Price Data'!E386-'Equity Price Data'!E385)/'Equity Price Data'!E385)</f>
        <v>0.1665966825</v>
      </c>
      <c r="F384" s="4">
        <f>F383+(('Equity Price Data'!F386-'Equity Price Data'!F385)/'Equity Price Data'!F385)</f>
        <v>0.1503237002</v>
      </c>
    </row>
    <row r="385">
      <c r="A385" s="43">
        <f>'Equity Price Data'!A387</f>
        <v>45982.66667</v>
      </c>
      <c r="B385" s="4">
        <f>B384+(('Equity Price Data'!B387-'Equity Price Data'!B386)/'Equity Price Data'!B386)</f>
        <v>0.2430910592</v>
      </c>
      <c r="C385" s="4">
        <f>C384+(('Equity Price Data'!C387-'Equity Price Data'!C386)/'Equity Price Data'!C386)</f>
        <v>0.2571129711</v>
      </c>
      <c r="D385" s="4">
        <f>D384+(('Equity Price Data'!D387-'Equity Price Data'!D386)/'Equity Price Data'!D386)</f>
        <v>0.3462024407</v>
      </c>
      <c r="E385" s="4">
        <f>E384+(('Equity Price Data'!E387-'Equity Price Data'!E386)/'Equity Price Data'!E386)</f>
        <v>0.1773753851</v>
      </c>
      <c r="F385" s="4">
        <f>F384+(('Equity Price Data'!F387-'Equity Price Data'!F386)/'Equity Price Data'!F386)</f>
        <v>0.1782963349</v>
      </c>
    </row>
    <row r="386">
      <c r="A386" s="43">
        <f>'Equity Price Data'!A388</f>
        <v>45985.66667</v>
      </c>
      <c r="B386" s="4">
        <f>B385+(('Equity Price Data'!B388-'Equity Price Data'!B387)/'Equity Price Data'!B387)</f>
        <v>0.2503600562</v>
      </c>
      <c r="C386" s="4">
        <f>C385+(('Equity Price Data'!C388-'Equity Price Data'!C387)/'Equity Price Data'!C387)</f>
        <v>0.2725802064</v>
      </c>
      <c r="D386" s="4">
        <f>D385+(('Equity Price Data'!D388-'Equity Price Data'!D387)/'Equity Price Data'!D387)</f>
        <v>0.3730927495</v>
      </c>
      <c r="E386" s="4">
        <f>E385+(('Equity Price Data'!E388-'Equity Price Data'!E387)/'Equity Price Data'!E387)</f>
        <v>0.1817619826</v>
      </c>
      <c r="F386" s="4">
        <f>F385+(('Equity Price Data'!F388-'Equity Price Data'!F387)/'Equity Price Data'!F387)</f>
        <v>0.1971561376</v>
      </c>
    </row>
    <row r="387">
      <c r="A387" s="43">
        <f>'Equity Price Data'!A389</f>
        <v>45986.66667</v>
      </c>
      <c r="B387" s="4">
        <f>B386+(('Equity Price Data'!B389-'Equity Price Data'!B388)/'Equity Price Data'!B388)</f>
        <v>0.2631537729</v>
      </c>
      <c r="C387" s="4">
        <f>C386+(('Equity Price Data'!C389-'Equity Price Data'!C388)/'Equity Price Data'!C388)</f>
        <v>0.2816419383</v>
      </c>
      <c r="D387" s="4">
        <f>D386+(('Equity Price Data'!D389-'Equity Price Data'!D388)/'Equity Price Data'!D388)</f>
        <v>0.379807507</v>
      </c>
      <c r="E387" s="4">
        <f>E386+(('Equity Price Data'!E389-'Equity Price Data'!E388)/'Equity Price Data'!E388)</f>
        <v>0.1960613311</v>
      </c>
      <c r="F387" s="4">
        <f>F386+(('Equity Price Data'!F389-'Equity Price Data'!F388)/'Equity Price Data'!F388)</f>
        <v>0.2185703895</v>
      </c>
    </row>
    <row r="388">
      <c r="A388" s="43">
        <f>'Equity Price Data'!A390</f>
        <v>45987.66667</v>
      </c>
      <c r="B388" s="4">
        <f>B387+(('Equity Price Data'!B390-'Equity Price Data'!B389)/'Equity Price Data'!B389)</f>
        <v>0.2691223917</v>
      </c>
      <c r="C388" s="4">
        <f>C387+(('Equity Price Data'!C390-'Equity Price Data'!C389)/'Equity Price Data'!C389)</f>
        <v>0.2885486526</v>
      </c>
      <c r="D388" s="4">
        <f>D387+(('Equity Price Data'!D390-'Equity Price Data'!D389)/'Equity Price Data'!D389)</f>
        <v>0.3880201087</v>
      </c>
      <c r="E388" s="4">
        <f>E387+(('Equity Price Data'!E390-'Equity Price Data'!E389)/'Equity Price Data'!E389)</f>
        <v>0.2027404573</v>
      </c>
      <c r="F388" s="4">
        <f>F387+(('Equity Price Data'!F390-'Equity Price Data'!F389)/'Equity Price Data'!F389)</f>
        <v>0.2267375279</v>
      </c>
    </row>
    <row r="389">
      <c r="A389" s="43">
        <f>'Equity Price Data'!A391</f>
        <v>45989.54514</v>
      </c>
      <c r="B389" s="4">
        <f>B388+(('Equity Price Data'!B391-'Equity Price Data'!B390)/'Equity Price Data'!B390)</f>
        <v>0.2748492012</v>
      </c>
      <c r="C389" s="4">
        <f>C388+(('Equity Price Data'!C391-'Equity Price Data'!C390)/'Equity Price Data'!C390)</f>
        <v>0.2939034285</v>
      </c>
      <c r="D389" s="4">
        <f>D388+(('Equity Price Data'!D391-'Equity Price Data'!D390)/'Equity Price Data'!D390)</f>
        <v>0.3945246108</v>
      </c>
      <c r="E389" s="4">
        <f>E388+(('Equity Price Data'!E391-'Equity Price Data'!E390)/'Equity Price Data'!E390)</f>
        <v>0.2088403427</v>
      </c>
      <c r="F389" s="4">
        <f>F388+(('Equity Price Data'!F391-'Equity Price Data'!F390)/'Equity Price Data'!F390)</f>
        <v>0.232493485</v>
      </c>
    </row>
    <row r="390">
      <c r="A390" s="43">
        <f>'Equity Price Data'!A392</f>
        <v>45992.66667</v>
      </c>
      <c r="B390" s="4">
        <f>B389+(('Equity Price Data'!B392-'Equity Price Data'!B391)/'Equity Price Data'!B391)</f>
        <v>0.2684156925</v>
      </c>
      <c r="C390" s="4">
        <f>C389+(('Equity Price Data'!C392-'Equity Price Data'!C391)/'Equity Price Data'!C391)</f>
        <v>0.2885800936</v>
      </c>
      <c r="D390" s="4">
        <f>D389+(('Equity Price Data'!D392-'Equity Price Data'!D391)/'Equity Price Data'!D391)</f>
        <v>0.3906826528</v>
      </c>
      <c r="E390" s="4">
        <f>E389+(('Equity Price Data'!E392-'Equity Price Data'!E391)/'Equity Price Data'!E391)</f>
        <v>0.1998897551</v>
      </c>
      <c r="F390" s="4">
        <f>F389+(('Equity Price Data'!F392-'Equity Price Data'!F391)/'Equity Price Data'!F391)</f>
        <v>0.2199756381</v>
      </c>
    </row>
    <row r="391">
      <c r="A391" s="43">
        <f>'Equity Price Data'!A393</f>
        <v>45993.66667</v>
      </c>
      <c r="B391" s="4">
        <f>B390+(('Equity Price Data'!B393-'Equity Price Data'!B392)/'Equity Price Data'!B392)</f>
        <v>0.2702946656</v>
      </c>
      <c r="C391" s="4">
        <f>C390+(('Equity Price Data'!C393-'Equity Price Data'!C392)/'Equity Price Data'!C392)</f>
        <v>0.2910372944</v>
      </c>
      <c r="D391" s="4">
        <f>D390+(('Equity Price Data'!D393-'Equity Price Data'!D392)/'Equity Price Data'!D392)</f>
        <v>0.3966007862</v>
      </c>
      <c r="E391" s="4">
        <f>E390+(('Equity Price Data'!E393-'Equity Price Data'!E392)/'Equity Price Data'!E392)</f>
        <v>0.2038045917</v>
      </c>
      <c r="F391" s="4">
        <f>F390+(('Equity Price Data'!F393-'Equity Price Data'!F392)/'Equity Price Data'!F392)</f>
        <v>0.2182948841</v>
      </c>
    </row>
    <row r="392">
      <c r="A392" s="43">
        <f>'Equity Price Data'!A394</f>
        <v>45994.66667</v>
      </c>
      <c r="B392" s="4">
        <f>B391+(('Equity Price Data'!B394-'Equity Price Data'!B393)/'Equity Price Data'!B393)</f>
        <v>0.2752000283</v>
      </c>
      <c r="C392" s="4">
        <f>C391+(('Equity Price Data'!C394-'Equity Price Data'!C393)/'Equity Price Data'!C393)</f>
        <v>0.2940170715</v>
      </c>
      <c r="D392" s="4">
        <f>D391+(('Equity Price Data'!D394-'Equity Price Data'!D393)/'Equity Price Data'!D393)</f>
        <v>0.3983271281</v>
      </c>
      <c r="E392" s="4">
        <f>E391+(('Equity Price Data'!E394-'Equity Price Data'!E393)/'Equity Price Data'!E393)</f>
        <v>0.2124079544</v>
      </c>
      <c r="F392" s="4">
        <f>F391+(('Equity Price Data'!F394-'Equity Price Data'!F393)/'Equity Price Data'!F393)</f>
        <v>0.2374268852</v>
      </c>
    </row>
    <row r="393">
      <c r="A393" s="43">
        <f>'Equity Price Data'!A395</f>
        <v>45995.66667</v>
      </c>
      <c r="B393" s="4">
        <f>B392+(('Equity Price Data'!B395-'Equity Price Data'!B394)/'Equity Price Data'!B394)</f>
        <v>0.2780169974</v>
      </c>
      <c r="C393" s="4">
        <f>C392+(('Equity Price Data'!C395-'Equity Price Data'!C394)/'Equity Price Data'!C394)</f>
        <v>0.2950974076</v>
      </c>
      <c r="D393" s="4">
        <f>D392+(('Equity Price Data'!D395-'Equity Price Data'!D394)/'Equity Price Data'!D394)</f>
        <v>0.4005037208</v>
      </c>
      <c r="E393" s="4">
        <f>E392+(('Equity Price Data'!E395-'Equity Price Data'!E394)/'Equity Price Data'!E394)</f>
        <v>0.2117404928</v>
      </c>
      <c r="F393" s="4">
        <f>F392+(('Equity Price Data'!F395-'Equity Price Data'!F394)/'Equity Price Data'!F394)</f>
        <v>0.2449981193</v>
      </c>
    </row>
    <row r="394">
      <c r="A394" s="43">
        <f>'Equity Price Data'!A396</f>
        <v>45996.66667</v>
      </c>
      <c r="B394" s="4">
        <f>B393+(('Equity Price Data'!B396-'Equity Price Data'!B395)/'Equity Price Data'!B395)</f>
        <v>0.2779132483</v>
      </c>
      <c r="C394" s="4">
        <f>C393+(('Equity Price Data'!C396-'Equity Price Data'!C395)/'Equity Price Data'!C395)</f>
        <v>0.2970340807</v>
      </c>
      <c r="D394" s="4">
        <f>D393+(('Equity Price Data'!D396-'Equity Price Data'!D395)/'Equity Price Data'!D395)</f>
        <v>0.403608999</v>
      </c>
      <c r="E394" s="4">
        <f>E393+(('Equity Price Data'!E396-'Equity Price Data'!E395)/'Equity Price Data'!E395)</f>
        <v>0.2139149537</v>
      </c>
      <c r="F394" s="4">
        <f>F393+(('Equity Price Data'!F396-'Equity Price Data'!F395)/'Equity Price Data'!F395)</f>
        <v>0.2411737858</v>
      </c>
    </row>
    <row r="395">
      <c r="A395" s="43">
        <f>'Equity Price Data'!A397</f>
        <v>45999.66667</v>
      </c>
      <c r="B395" s="4">
        <f>B394+(('Equity Price Data'!B397-'Equity Price Data'!B396)/'Equity Price Data'!B396)</f>
        <v>0.2742767089</v>
      </c>
      <c r="C395" s="4">
        <f>C394+(('Equity Price Data'!C397-'Equity Price Data'!C396)/'Equity Price Data'!C396)</f>
        <v>0.2935568451</v>
      </c>
      <c r="D395" s="4">
        <f>D394+(('Equity Price Data'!D397-'Equity Price Data'!D396)/'Equity Price Data'!D396)</f>
        <v>0.4022420543</v>
      </c>
      <c r="E395" s="4">
        <f>E394+(('Equity Price Data'!E397-'Equity Price Data'!E396)/'Equity Price Data'!E396)</f>
        <v>0.2094176115</v>
      </c>
      <c r="F395" s="4">
        <f>F394+(('Equity Price Data'!F397-'Equity Price Data'!F396)/'Equity Price Data'!F396)</f>
        <v>0.2409754895</v>
      </c>
    </row>
    <row r="396">
      <c r="A396" s="43">
        <f>'Equity Price Data'!A398</f>
        <v>46000.66667</v>
      </c>
      <c r="B396" s="4">
        <f>B395+(('Equity Price Data'!B398-'Equity Price Data'!B397)/'Equity Price Data'!B397)</f>
        <v>0.2702983987</v>
      </c>
      <c r="C396" s="4">
        <f>C395+(('Equity Price Data'!C398-'Equity Price Data'!C397)/'Equity Price Data'!C397)</f>
        <v>0.2926804861</v>
      </c>
      <c r="D396" s="4">
        <f>D395+(('Equity Price Data'!D398-'Equity Price Data'!D397)/'Equity Price Data'!D397)</f>
        <v>0.4035412189</v>
      </c>
      <c r="E396" s="4">
        <f>E395+(('Equity Price Data'!E398-'Equity Price Data'!E397)/'Equity Price Data'!E397)</f>
        <v>0.2056674534</v>
      </c>
      <c r="F396" s="4">
        <f>F395+(('Equity Price Data'!F398-'Equity Price Data'!F397)/'Equity Price Data'!F397)</f>
        <v>0.2430619797</v>
      </c>
    </row>
    <row r="397">
      <c r="A397" s="43">
        <f>'Equity Price Data'!A399</f>
        <v>46001.66667</v>
      </c>
      <c r="B397" s="4">
        <f>B396+(('Equity Price Data'!B399-'Equity Price Data'!B398)/'Equity Price Data'!B398)</f>
        <v>0.2786760224</v>
      </c>
      <c r="C397" s="4">
        <f>C396+(('Equity Price Data'!C399-'Equity Price Data'!C398)/'Equity Price Data'!C398)</f>
        <v>0.2994299829</v>
      </c>
      <c r="D397" s="4">
        <f>D396+(('Equity Price Data'!D399-'Equity Price Data'!D398)/'Equity Price Data'!D398)</f>
        <v>0.4068356025</v>
      </c>
      <c r="E397" s="4">
        <f>E396+(('Equity Price Data'!E399-'Equity Price Data'!E398)/'Equity Price Data'!E398)</f>
        <v>0.2161270195</v>
      </c>
      <c r="F397" s="4">
        <f>F396+(('Equity Price Data'!F399-'Equity Price Data'!F398)/'Equity Price Data'!F398)</f>
        <v>0.2562713343</v>
      </c>
    </row>
    <row r="398">
      <c r="A398" s="43">
        <f>'Equity Price Data'!A400</f>
        <v>46002.66667</v>
      </c>
      <c r="B398" s="4">
        <f>B397+(('Equity Price Data'!B400-'Equity Price Data'!B399)/'Equity Price Data'!B399)</f>
        <v>0.284718057</v>
      </c>
      <c r="C398" s="4">
        <f>C397+(('Equity Price Data'!C400-'Equity Price Data'!C399)/'Equity Price Data'!C399)</f>
        <v>0.3015093593</v>
      </c>
      <c r="D398" s="4">
        <f>D397+(('Equity Price Data'!D400-'Equity Price Data'!D399)/'Equity Price Data'!D399)</f>
        <v>0.404286368</v>
      </c>
      <c r="E398" s="4">
        <f>E397+(('Equity Price Data'!E400-'Equity Price Data'!E399)/'Equity Price Data'!E399)</f>
        <v>0.2295745904</v>
      </c>
      <c r="F398" s="4">
        <f>F397+(('Equity Price Data'!F400-'Equity Price Data'!F399)/'Equity Price Data'!F399)</f>
        <v>0.2683825544</v>
      </c>
    </row>
    <row r="399">
      <c r="A399" s="43">
        <f>'Equity Price Data'!A401</f>
        <v>46003.66667</v>
      </c>
      <c r="B399" s="4">
        <f>B398+(('Equity Price Data'!B401-'Equity Price Data'!B400)/'Equity Price Data'!B400)</f>
        <v>0.2777099889</v>
      </c>
      <c r="C399" s="4">
        <f>C398+(('Equity Price Data'!C401-'Equity Price Data'!C400)/'Equity Price Data'!C400)</f>
        <v>0.2908456874</v>
      </c>
      <c r="D399" s="4">
        <f>D398+(('Equity Price Data'!D401-'Equity Price Data'!D400)/'Equity Price Data'!D400)</f>
        <v>0.3873883276</v>
      </c>
      <c r="E399" s="4">
        <f>E398+(('Equity Price Data'!E401-'Equity Price Data'!E400)/'Equity Price Data'!E400)</f>
        <v>0.2245244929</v>
      </c>
      <c r="F399" s="4">
        <f>F398+(('Equity Price Data'!F401-'Equity Price Data'!F400)/'Equity Price Data'!F400)</f>
        <v>0.2532702835</v>
      </c>
    </row>
    <row r="400">
      <c r="A400" s="43">
        <f>'Equity Price Data'!A402</f>
        <v>46006.66667</v>
      </c>
      <c r="B400" s="4">
        <f>B399+(('Equity Price Data'!B402-'Equity Price Data'!B401)/'Equity Price Data'!B401)</f>
        <v>0.2754625494</v>
      </c>
      <c r="C400" s="4">
        <f>C399+(('Equity Price Data'!C402-'Equity Price Data'!C401)/'Equity Price Data'!C401)</f>
        <v>0.2892491815</v>
      </c>
      <c r="D400" s="4">
        <f>D399+(('Equity Price Data'!D402-'Equity Price Data'!D401)/'Equity Price Data'!D401)</f>
        <v>0.3814491601</v>
      </c>
      <c r="E400" s="4">
        <f>E399+(('Equity Price Data'!E402-'Equity Price Data'!E401)/'Equity Price Data'!E401)</f>
        <v>0.2236682884</v>
      </c>
      <c r="F400" s="4">
        <f>F399+(('Equity Price Data'!F402-'Equity Price Data'!F401)/'Equity Price Data'!F401)</f>
        <v>0.2451220077</v>
      </c>
    </row>
    <row r="401">
      <c r="A401" s="43">
        <f>'Equity Price Data'!A403</f>
        <v>46007.66667</v>
      </c>
      <c r="B401" s="4">
        <f>B400+(('Equity Price Data'!B403-'Equity Price Data'!B402)/'Equity Price Data'!B402)</f>
        <v>0.2708371329</v>
      </c>
      <c r="C401" s="4">
        <f>C400+(('Equity Price Data'!C403-'Equity Price Data'!C402)/'Equity Price Data'!C402)</f>
        <v>0.2868652637</v>
      </c>
      <c r="D401" s="4">
        <f>D400+(('Equity Price Data'!D403-'Equity Price Data'!D402)/'Equity Price Data'!D402)</f>
        <v>0.3837933089</v>
      </c>
      <c r="E401" s="4">
        <f>E400+(('Equity Price Data'!E403-'Equity Price Data'!E402)/'Equity Price Data'!E402)</f>
        <v>0.2174245569</v>
      </c>
      <c r="F401" s="4">
        <f>F400+(('Equity Price Data'!F403-'Equity Price Data'!F402)/'Equity Price Data'!F402)</f>
        <v>0.2406291263</v>
      </c>
    </row>
    <row r="402">
      <c r="A402" s="43">
        <f>'Equity Price Data'!A404</f>
        <v>46008.66667</v>
      </c>
      <c r="B402" s="4">
        <f>B401+(('Equity Price Data'!B404-'Equity Price Data'!B403)/'Equity Price Data'!B403)</f>
        <v>0.2641733431</v>
      </c>
      <c r="C402" s="4">
        <f>C401+(('Equity Price Data'!C404-'Equity Price Data'!C403)/'Equity Price Data'!C403)</f>
        <v>0.2752730598</v>
      </c>
      <c r="D402" s="4">
        <f>D401+(('Equity Price Data'!D404-'Equity Price Data'!D403)/'Equity Price Data'!D403)</f>
        <v>0.3657009858</v>
      </c>
      <c r="E402" s="4">
        <f>E401+(('Equity Price Data'!E404-'Equity Price Data'!E403)/'Equity Price Data'!E403)</f>
        <v>0.2126798097</v>
      </c>
      <c r="F402" s="4">
        <f>F401+(('Equity Price Data'!F404-'Equity Price Data'!F403)/'Equity Price Data'!F403)</f>
        <v>0.2299078942</v>
      </c>
    </row>
    <row r="403">
      <c r="A403" s="43">
        <f>'Equity Price Data'!A405</f>
        <v>46009.66667</v>
      </c>
      <c r="B403" s="4">
        <f>B402+(('Equity Price Data'!B405-'Equity Price Data'!B404)/'Equity Price Data'!B404)</f>
        <v>0.2677957123</v>
      </c>
      <c r="C403" s="4">
        <f>C402+(('Equity Price Data'!C405-'Equity Price Data'!C404)/'Equity Price Data'!C404)</f>
        <v>0.2832073833</v>
      </c>
      <c r="D403" s="4">
        <f>D402+(('Equity Price Data'!D405-'Equity Price Data'!D404)/'Equity Price Data'!D404)</f>
        <v>0.3794953535</v>
      </c>
      <c r="E403" s="4">
        <f>E402+(('Equity Price Data'!E405-'Equity Price Data'!E404)/'Equity Price Data'!E404)</f>
        <v>0.214055578</v>
      </c>
      <c r="F403" s="4">
        <f>F402+(('Equity Price Data'!F405-'Equity Price Data'!F404)/'Equity Price Data'!F404)</f>
        <v>0.2361591732</v>
      </c>
    </row>
    <row r="404">
      <c r="A404" s="43">
        <f>'Equity Price Data'!A406</f>
        <v>46010.66667</v>
      </c>
      <c r="B404" s="4">
        <f>B403+(('Equity Price Data'!B406-'Equity Price Data'!B405)/'Equity Price Data'!B405)</f>
        <v>0.2750984584</v>
      </c>
      <c r="C404" s="4">
        <f>C403+(('Equity Price Data'!C406-'Equity Price Data'!C405)/'Equity Price Data'!C405)</f>
        <v>0.2920254079</v>
      </c>
      <c r="D404" s="4">
        <f>D403+(('Equity Price Data'!D406-'Equity Price Data'!D405)/'Equity Price Data'!D405)</f>
        <v>0.3925899934</v>
      </c>
      <c r="E404" s="4">
        <f>E403+(('Equity Price Data'!E406-'Equity Price Data'!E405)/'Equity Price Data'!E405)</f>
        <v>0.2178727405</v>
      </c>
      <c r="F404" s="4">
        <f>F403+(('Equity Price Data'!F406-'Equity Price Data'!F405)/'Equity Price Data'!F405)</f>
        <v>0.2447521226</v>
      </c>
    </row>
    <row r="405">
      <c r="A405" s="43">
        <f>'Equity Price Data'!A407</f>
        <v>46013.66667</v>
      </c>
      <c r="B405" s="4">
        <f>B404+(('Equity Price Data'!B407-'Equity Price Data'!B406)/'Equity Price Data'!B406)</f>
        <v>0.2809727383</v>
      </c>
      <c r="C405" s="4">
        <f>C404+(('Equity Price Data'!C407-'Equity Price Data'!C406)/'Equity Price Data'!C406)</f>
        <v>0.29846187</v>
      </c>
      <c r="D405" s="4">
        <f>D404+(('Equity Price Data'!D407-'Equity Price Data'!D406)/'Equity Price Data'!D406)</f>
        <v>0.3977904386</v>
      </c>
      <c r="E405" s="4">
        <f>E404+(('Equity Price Data'!E407-'Equity Price Data'!E406)/'Equity Price Data'!E406)</f>
        <v>0.2226050666</v>
      </c>
      <c r="F405" s="4">
        <f>F404+(('Equity Price Data'!F407-'Equity Price Data'!F406)/'Equity Price Data'!F406)</f>
        <v>0.2563595266</v>
      </c>
    </row>
    <row r="406">
      <c r="A406" s="43">
        <f>'Equity Price Data'!A408</f>
        <v>46014.66667</v>
      </c>
      <c r="B406" s="4">
        <f>B405+(('Equity Price Data'!B408-'Equity Price Data'!B407)/'Equity Price Data'!B407)</f>
        <v>0.2832262052</v>
      </c>
      <c r="C406" s="4">
        <f>C405+(('Equity Price Data'!C408-'Equity Price Data'!C407)/'Equity Price Data'!C407)</f>
        <v>0.3030122873</v>
      </c>
      <c r="D406" s="4">
        <f>D405+(('Equity Price Data'!D408-'Equity Price Data'!D407)/'Equity Price Data'!D407)</f>
        <v>0.403467632</v>
      </c>
      <c r="E406" s="4">
        <f>E405+(('Equity Price Data'!E408-'Equity Price Data'!E407)/'Equity Price Data'!E407)</f>
        <v>0.2242536519</v>
      </c>
      <c r="F406" s="4">
        <f>F405+(('Equity Price Data'!F408-'Equity Price Data'!F407)/'Equity Price Data'!F407)</f>
        <v>0.2494578</v>
      </c>
    </row>
    <row r="407">
      <c r="A407" s="43">
        <f>'Equity Price Data'!A409</f>
        <v>46015.54514</v>
      </c>
      <c r="B407" s="4">
        <f>B406+(('Equity Price Data'!B409-'Equity Price Data'!B408)/'Equity Price Data'!B408)</f>
        <v>0.2864516278</v>
      </c>
      <c r="C407" s="4">
        <f>C406+(('Equity Price Data'!C409-'Equity Price Data'!C408)/'Equity Price Data'!C408)</f>
        <v>0.3062338034</v>
      </c>
      <c r="D407" s="4">
        <f>D406+(('Equity Price Data'!D409-'Equity Price Data'!D408)/'Equity Price Data'!D408)</f>
        <v>0.4056520964</v>
      </c>
      <c r="E407" s="4">
        <f>E406+(('Equity Price Data'!E409-'Equity Price Data'!E408)/'Equity Price Data'!E408)</f>
        <v>0.230214338</v>
      </c>
      <c r="F407" s="4">
        <f>F406+(('Equity Price Data'!F409-'Equity Price Data'!F408)/'Equity Price Data'!F408)</f>
        <v>0.2521967498</v>
      </c>
    </row>
    <row r="408">
      <c r="A408" s="43">
        <f>'Equity Price Data'!A410</f>
        <v>46017.66667</v>
      </c>
      <c r="B408" s="4">
        <f>B407+(('Equity Price Data'!B410-'Equity Price Data'!B409)/'Equity Price Data'!B409)</f>
        <v>0.2846106483</v>
      </c>
      <c r="C408" s="4">
        <f>C407+(('Equity Price Data'!C410-'Equity Price Data'!C409)/'Equity Price Data'!C409)</f>
        <v>0.3059294201</v>
      </c>
      <c r="D408" s="4">
        <f>D407+(('Equity Price Data'!D410-'Equity Price Data'!D409)/'Equity Price Data'!D409)</f>
        <v>0.4047962232</v>
      </c>
      <c r="E408" s="4">
        <f>E407+(('Equity Price Data'!E410-'Equity Price Data'!E409)/'Equity Price Data'!E409)</f>
        <v>0.229800024</v>
      </c>
      <c r="F408" s="4">
        <f>F407+(('Equity Price Data'!F410-'Equity Price Data'!F409)/'Equity Price Data'!F409)</f>
        <v>0.2468083789</v>
      </c>
    </row>
    <row r="409">
      <c r="A409" s="43">
        <f>'Equity Price Data'!A411</f>
        <v>46020.66667</v>
      </c>
      <c r="B409" s="4">
        <f>B408+(('Equity Price Data'!B411-'Equity Price Data'!B410)/'Equity Price Data'!B410)</f>
        <v>0.2820039962</v>
      </c>
      <c r="C409" s="4">
        <f>C408+(('Equity Price Data'!C411-'Equity Price Data'!C410)/'Equity Price Data'!C410)</f>
        <v>0.3024373264</v>
      </c>
      <c r="D409" s="4">
        <f>D408+(('Equity Price Data'!D411-'Equity Price Data'!D410)/'Equity Price Data'!D410)</f>
        <v>0.3997629719</v>
      </c>
      <c r="E409" s="4">
        <f>E408+(('Equity Price Data'!E411-'Equity Price Data'!E410)/'Equity Price Data'!E410)</f>
        <v>0.224687418</v>
      </c>
      <c r="F409" s="4">
        <f>F408+(('Equity Price Data'!F411-'Equity Price Data'!F410)/'Equity Price Data'!F410)</f>
        <v>0.2410672619</v>
      </c>
    </row>
    <row r="410">
      <c r="A410" s="43">
        <f>'Equity Price Data'!A412</f>
        <v>46021.66667</v>
      </c>
      <c r="B410" s="4">
        <f>B409+(('Equity Price Data'!B412-'Equity Price Data'!B411)/'Equity Price Data'!B411)</f>
        <v>0.279133198</v>
      </c>
      <c r="C410" s="4">
        <f>C409+(('Equity Price Data'!C412-'Equity Price Data'!C411)/'Equity Price Data'!C411)</f>
        <v>0.3010616592</v>
      </c>
      <c r="D410" s="4">
        <f>D409+(('Equity Price Data'!D412-'Equity Price Data'!D411)/'Equity Price Data'!D411)</f>
        <v>0.3974084872</v>
      </c>
      <c r="E410" s="4">
        <f>E409+(('Equity Price Data'!E412-'Equity Price Data'!E411)/'Equity Price Data'!E411)</f>
        <v>0.2227297989</v>
      </c>
      <c r="F410" s="4">
        <f>F409+(('Equity Price Data'!F412-'Equity Price Data'!F411)/'Equity Price Data'!F411)</f>
        <v>0.233443641</v>
      </c>
    </row>
    <row r="411">
      <c r="A411" s="43">
        <f>'Equity Price Data'!A413</f>
        <v>46022.66667</v>
      </c>
      <c r="B411" s="4">
        <f>B410+(('Equity Price Data'!B413-'Equity Price Data'!B412)/'Equity Price Data'!B412)</f>
        <v>0.2734573856</v>
      </c>
      <c r="C411" s="4">
        <f>C410+(('Equity Price Data'!C413-'Equity Price Data'!C412)/'Equity Price Data'!C412)</f>
        <v>0.2937040267</v>
      </c>
      <c r="D411" s="4">
        <f>D410+(('Equity Price Data'!D413-'Equity Price Data'!D412)/'Equity Price Data'!D412)</f>
        <v>0.3898467042</v>
      </c>
      <c r="E411" s="4">
        <f>E410+(('Equity Price Data'!E413-'Equity Price Data'!E412)/'Equity Price Data'!E412)</f>
        <v>0.2164492848</v>
      </c>
      <c r="F411" s="4">
        <f>F410+(('Equity Price Data'!F413-'Equity Price Data'!F412)/'Equity Price Data'!F412)</f>
        <v>0.2259734039</v>
      </c>
    </row>
    <row r="412">
      <c r="A412" s="43">
        <f>'Equity Price Data'!A414</f>
        <v>46024.66667</v>
      </c>
      <c r="B412" s="4">
        <f>B411+(('Equity Price Data'!B414-'Equity Price Data'!B413)/'Equity Price Data'!B413)</f>
        <v>0.2795529306</v>
      </c>
      <c r="C412" s="4">
        <f>C411+(('Equity Price Data'!C414-'Equity Price Data'!C413)/'Equity Price Data'!C413)</f>
        <v>0.295598702</v>
      </c>
      <c r="D412" s="4">
        <f>D411+(('Equity Price Data'!D414-'Equity Price Data'!D413)/'Equity Price Data'!D413)</f>
        <v>0.3895730615</v>
      </c>
      <c r="E412" s="4">
        <f>E411+(('Equity Price Data'!E414-'Equity Price Data'!E413)/'Equity Price Data'!E413)</f>
        <v>0.2230884475</v>
      </c>
      <c r="F412" s="4">
        <f>F411+(('Equity Price Data'!F414-'Equity Price Data'!F413)/'Equity Price Data'!F413)</f>
        <v>0.2365741107</v>
      </c>
    </row>
    <row r="413">
      <c r="A413" s="43">
        <f>'Equity Price Data'!A415</f>
        <v>46027.66667</v>
      </c>
      <c r="B413" s="4">
        <f>B412+(('Equity Price Data'!B415-'Equity Price Data'!B414)/'Equity Price Data'!B414)</f>
        <v>0.2933844094</v>
      </c>
      <c r="C413" s="4">
        <f>C412+(('Equity Price Data'!C415-'Equity Price Data'!C414)/'Equity Price Data'!C414)</f>
        <v>0.3019528889</v>
      </c>
      <c r="D413" s="4">
        <f>D412+(('Equity Price Data'!D415-'Equity Price Data'!D414)/'Equity Price Data'!D414)</f>
        <v>0.396467215</v>
      </c>
      <c r="E413" s="4">
        <f>E412+(('Equity Price Data'!E415-'Equity Price Data'!E414)/'Equity Price Data'!E414)</f>
        <v>0.23538197</v>
      </c>
      <c r="F413" s="4">
        <f>F412+(('Equity Price Data'!F415-'Equity Price Data'!F414)/'Equity Price Data'!F414)</f>
        <v>0.2524020683</v>
      </c>
    </row>
    <row r="414">
      <c r="A414" s="43">
        <f>'Equity Price Data'!A416</f>
        <v>46028.66667</v>
      </c>
      <c r="B414" s="4">
        <f>B413+(('Equity Price Data'!B416-'Equity Price Data'!B415)/'Equity Price Data'!B415)</f>
        <v>0.3027051582</v>
      </c>
      <c r="C414" s="4">
        <f>C413+(('Equity Price Data'!C416-'Equity Price Data'!C415)/'Equity Price Data'!C415)</f>
        <v>0.3081495985</v>
      </c>
      <c r="D414" s="4">
        <f>D413+(('Equity Price Data'!D416-'Equity Price Data'!D415)/'Equity Price Data'!D415)</f>
        <v>0.4029363193</v>
      </c>
      <c r="E414" s="4">
        <f>E413+(('Equity Price Data'!E416-'Equity Price Data'!E415)/'Equity Price Data'!E415)</f>
        <v>0.2452824991</v>
      </c>
      <c r="F414" s="4">
        <f>F413+(('Equity Price Data'!F416-'Equity Price Data'!F415)/'Equity Price Data'!F415)</f>
        <v>0.2661309138</v>
      </c>
    </row>
    <row r="415">
      <c r="A415" s="43">
        <f>'Equity Price Data'!A417</f>
        <v>46029.66667</v>
      </c>
      <c r="B415" s="4">
        <f>B414+(('Equity Price Data'!B417-'Equity Price Data'!B416)/'Equity Price Data'!B416)</f>
        <v>0.2991347754</v>
      </c>
      <c r="C415" s="4">
        <f>C414+(('Equity Price Data'!C417-'Equity Price Data'!C416)/'Equity Price Data'!C416)</f>
        <v>0.3047096246</v>
      </c>
      <c r="D415" s="4">
        <f>D414+(('Equity Price Data'!D417-'Equity Price Data'!D416)/'Equity Price Data'!D416)</f>
        <v>0.4045123049</v>
      </c>
      <c r="E415" s="4">
        <f>E414+(('Equity Price Data'!E417-'Equity Price Data'!E416)/'Equity Price Data'!E416)</f>
        <v>0.2358611404</v>
      </c>
      <c r="F415" s="4">
        <f>F414+(('Equity Price Data'!F417-'Equity Price Data'!F416)/'Equity Price Data'!F416)</f>
        <v>0.2632349442</v>
      </c>
    </row>
    <row r="416">
      <c r="A416" s="43">
        <f>'Equity Price Data'!A418</f>
        <v>46030.66667</v>
      </c>
      <c r="B416" s="4">
        <f>B415+(('Equity Price Data'!B418-'Equity Price Data'!B417)/'Equity Price Data'!B417)</f>
        <v>0.304690605</v>
      </c>
      <c r="C416" s="4">
        <f>C415+(('Equity Price Data'!C418-'Equity Price Data'!C417)/'Equity Price Data'!C417)</f>
        <v>0.3047862039</v>
      </c>
      <c r="D416" s="4">
        <f>D415+(('Equity Price Data'!D418-'Equity Price Data'!D417)/'Equity Price Data'!D417)</f>
        <v>0.4000915636</v>
      </c>
      <c r="E416" s="4">
        <f>E415+(('Equity Price Data'!E418-'Equity Price Data'!E417)/'Equity Price Data'!E417)</f>
        <v>0.2413723976</v>
      </c>
      <c r="F416" s="4">
        <f>F415+(('Equity Price Data'!F418-'Equity Price Data'!F417)/'Equity Price Data'!F417)</f>
        <v>0.2742972175</v>
      </c>
    </row>
    <row r="417">
      <c r="A417" s="43">
        <f>'Equity Price Data'!A419</f>
        <v>46031.66667</v>
      </c>
      <c r="B417" s="4">
        <f>B416+(('Equity Price Data'!B419-'Equity Price Data'!B418)/'Equity Price Data'!B418)</f>
        <v>0.3136262382</v>
      </c>
      <c r="C417" s="4">
        <f>C416+(('Equity Price Data'!C419-'Equity Price Data'!C418)/'Equity Price Data'!C418)</f>
        <v>0.3112617163</v>
      </c>
      <c r="D417" s="4">
        <f>D416+(('Equity Price Data'!D419-'Equity Price Data'!D418)/'Equity Price Data'!D418)</f>
        <v>0.4082401938</v>
      </c>
      <c r="E417" s="4">
        <f>E416+(('Equity Price Data'!E419-'Equity Price Data'!E418)/'Equity Price Data'!E418)</f>
        <v>0.2462024928</v>
      </c>
      <c r="F417" s="4">
        <f>F416+(('Equity Price Data'!F419-'Equity Price Data'!F418)/'Equity Price Data'!F418)</f>
        <v>0.2820970263</v>
      </c>
    </row>
    <row r="418">
      <c r="A418" s="43">
        <f>'Equity Price Data'!A420</f>
        <v>46034.66667</v>
      </c>
      <c r="B418" s="4">
        <f>B417+(('Equity Price Data'!B420-'Equity Price Data'!B419)/'Equity Price Data'!B419)</f>
        <v>0.3148569876</v>
      </c>
      <c r="C418" s="4">
        <f>C417+(('Equity Price Data'!C420-'Equity Price Data'!C419)/'Equity Price Data'!C419)</f>
        <v>0.3108971027</v>
      </c>
      <c r="D418" s="4">
        <f>D417+(('Equity Price Data'!D420-'Equity Price Data'!D419)/'Equity Price Data'!D419)</f>
        <v>0.4108826287</v>
      </c>
      <c r="E418" s="4">
        <f>E417+(('Equity Price Data'!E420-'Equity Price Data'!E419)/'Equity Price Data'!E419)</f>
        <v>0.2479423497</v>
      </c>
      <c r="F418" s="4">
        <f>F417+(('Equity Price Data'!F420-'Equity Price Data'!F419)/'Equity Price Data'!F419)</f>
        <v>0.2864678488</v>
      </c>
    </row>
    <row r="419">
      <c r="A419" s="43">
        <f>'Equity Price Data'!A421</f>
        <v>46035.66667</v>
      </c>
      <c r="B419" s="4">
        <f>B418+(('Equity Price Data'!B421-'Equity Price Data'!B420)/'Equity Price Data'!B420)</f>
        <v>0.3120184815</v>
      </c>
      <c r="C419" s="4">
        <f>C418+(('Equity Price Data'!C421-'Equity Price Data'!C420)/'Equity Price Data'!C420)</f>
        <v>0.3055637617</v>
      </c>
      <c r="D419" s="4">
        <f>D418+(('Equity Price Data'!D421-'Equity Price Data'!D420)/'Equity Price Data'!D420)</f>
        <v>0.4098701529</v>
      </c>
      <c r="E419" s="4">
        <f>E418+(('Equity Price Data'!E421-'Equity Price Data'!E420)/'Equity Price Data'!E420)</f>
        <v>0.2399123357</v>
      </c>
      <c r="F419" s="4">
        <f>F418+(('Equity Price Data'!F421-'Equity Price Data'!F420)/'Equity Price Data'!F420)</f>
        <v>0.2854851839</v>
      </c>
    </row>
    <row r="420">
      <c r="A420" s="43">
        <f>'Equity Price Data'!A422</f>
        <v>46036.66667</v>
      </c>
      <c r="B420" s="4">
        <f>B419+(('Equity Price Data'!B422-'Equity Price Data'!B421)/'Equity Price Data'!B421)</f>
        <v>0.3136943115</v>
      </c>
      <c r="C420" s="4">
        <f>C419+(('Equity Price Data'!C422-'Equity Price Data'!C421)/'Equity Price Data'!C421)</f>
        <v>0.3081436711</v>
      </c>
      <c r="D420" s="4">
        <f>D419+(('Equity Price Data'!D422-'Equity Price Data'!D421)/'Equity Price Data'!D421)</f>
        <v>0.399827078</v>
      </c>
      <c r="E420" s="4">
        <f>E419+(('Equity Price Data'!E422-'Equity Price Data'!E421)/'Equity Price Data'!E421)</f>
        <v>0.2390512199</v>
      </c>
      <c r="F420" s="4">
        <f>F419+(('Equity Price Data'!F422-'Equity Price Data'!F421)/'Equity Price Data'!F421)</f>
        <v>0.2925263142</v>
      </c>
    </row>
    <row r="421">
      <c r="A421" s="43">
        <f>'Equity Price Data'!A423</f>
        <v>46037.66667</v>
      </c>
      <c r="B421" s="4">
        <f>B420+(('Equity Price Data'!B423-'Equity Price Data'!B422)/'Equity Price Data'!B422)</f>
        <v>0.3187609603</v>
      </c>
      <c r="C421" s="4">
        <f>C420+(('Equity Price Data'!C423-'Equity Price Data'!C422)/'Equity Price Data'!C422)</f>
        <v>0.3075014334</v>
      </c>
      <c r="D421" s="4">
        <f>D420+(('Equity Price Data'!D423-'Equity Price Data'!D422)/'Equity Price Data'!D422)</f>
        <v>0.4023096368</v>
      </c>
      <c r="E421" s="4">
        <f>E420+(('Equity Price Data'!E423-'Equity Price Data'!E422)/'Equity Price Data'!E422)</f>
        <v>0.2450087419</v>
      </c>
      <c r="F421" s="4">
        <f>F420+(('Equity Price Data'!F423-'Equity Price Data'!F422)/'Equity Price Data'!F422)</f>
        <v>0.3011700215</v>
      </c>
    </row>
    <row r="422">
      <c r="A422" s="43">
        <f>'Equity Price Data'!A424</f>
        <v>46038.66667</v>
      </c>
      <c r="B422" s="4">
        <f>B421+(('Equity Price Data'!B424-'Equity Price Data'!B423)/'Equity Price Data'!B423)</f>
        <v>0.3156641436</v>
      </c>
      <c r="C422" s="4">
        <f>C421+(('Equity Price Data'!C424-'Equity Price Data'!C423)/'Equity Price Data'!C423)</f>
        <v>0.286874662</v>
      </c>
      <c r="D422" s="4">
        <f>D421+(('Equity Price Data'!D424-'Equity Price Data'!D423)/'Equity Price Data'!D423)</f>
        <v>0.4016878779</v>
      </c>
      <c r="E422" s="4">
        <f>E421+(('Equity Price Data'!E424-'Equity Price Data'!E423)/'Equity Price Data'!E423)</f>
        <v>0.2433277973</v>
      </c>
      <c r="F422" s="4">
        <f>F421+(('Equity Price Data'!F424-'Equity Price Data'!F423)/'Equity Price Data'!F423)</f>
        <v>0.3023590021</v>
      </c>
    </row>
    <row r="423">
      <c r="A423" s="43">
        <f>'Equity Price Data'!A425</f>
        <v>46042.66667</v>
      </c>
      <c r="B423" s="4">
        <f>B422+(('Equity Price Data'!B425-'Equity Price Data'!B424)/'Equity Price Data'!B424)</f>
        <v>0.3005984816</v>
      </c>
      <c r="C423" s="4">
        <f>C422+(('Equity Price Data'!C425-'Equity Price Data'!C424)/'Equity Price Data'!C424)</f>
        <v>0.2984623657</v>
      </c>
      <c r="D423" s="4">
        <f>D422+(('Equity Price Data'!D425-'Equity Price Data'!D424)/'Equity Price Data'!D424)</f>
        <v>0.3778281843</v>
      </c>
      <c r="E423" s="4">
        <f>E422+(('Equity Price Data'!E425-'Equity Price Data'!E424)/'Equity Price Data'!E424)</f>
        <v>0.2256869582</v>
      </c>
      <c r="F423" s="4">
        <f>F422+(('Equity Price Data'!F425-'Equity Price Data'!F424)/'Equity Price Data'!F424)</f>
        <v>0.2902667153</v>
      </c>
    </row>
    <row r="424">
      <c r="A424" s="43">
        <f>'Equity Price Data'!A426</f>
        <v>46043.66667</v>
      </c>
      <c r="B424" s="4">
        <f>B423+(('Equity Price Data'!B426-'Equity Price Data'!B425)/'Equity Price Data'!B425)</f>
        <v>0.3091303152</v>
      </c>
      <c r="C424" s="4">
        <f>C423+(('Equity Price Data'!C426-'Equity Price Data'!C425)/'Equity Price Data'!C425)</f>
        <v>0.3039498709</v>
      </c>
      <c r="D424" s="4">
        <f>D423+(('Equity Price Data'!D426-'Equity Price Data'!D425)/'Equity Price Data'!D425)</f>
        <v>0.3896128941</v>
      </c>
      <c r="E424" s="4">
        <f>E423+(('Equity Price Data'!E426-'Equity Price Data'!E425)/'Equity Price Data'!E425)</f>
        <v>0.2378267214</v>
      </c>
      <c r="F424" s="4">
        <f>F423+(('Equity Price Data'!F426-'Equity Price Data'!F425)/'Equity Price Data'!F425)</f>
        <v>0.3102299717</v>
      </c>
    </row>
    <row r="425">
      <c r="A425" s="43">
        <f>'Equity Price Data'!A427</f>
        <v>46044.66667</v>
      </c>
      <c r="B425" s="4">
        <f>B424+(('Equity Price Data'!B427-'Equity Price Data'!B426)/'Equity Price Data'!B426)</f>
        <v>0.3145411477</v>
      </c>
      <c r="C425" s="4">
        <f>C424+(('Equity Price Data'!C427-'Equity Price Data'!C426)/'Equity Price Data'!C426)</f>
        <v>0.3042767746</v>
      </c>
      <c r="D425" s="4">
        <f>D424+(('Equity Price Data'!D427-'Equity Price Data'!D426)/'Equity Price Data'!D426)</f>
        <v>0.3987061792</v>
      </c>
      <c r="E425" s="4">
        <f>E424+(('Equity Price Data'!E427-'Equity Price Data'!E426)/'Equity Price Data'!E426)</f>
        <v>0.2440776854</v>
      </c>
      <c r="F425" s="4">
        <f>F424+(('Equity Price Data'!F427-'Equity Price Data'!F426)/'Equity Price Data'!F426)</f>
        <v>0.3178647761</v>
      </c>
    </row>
    <row r="426">
      <c r="A426" s="43">
        <f>'Equity Price Data'!A428</f>
        <v>46045.66667</v>
      </c>
      <c r="B426" s="4">
        <f>B425+(('Equity Price Data'!B428-'Equity Price Data'!B427)/'Equity Price Data'!B427)</f>
        <v>0.3126033449</v>
      </c>
      <c r="C426" s="4">
        <f>C425+(('Equity Price Data'!C428-'Equity Price Data'!C427)/'Equity Price Data'!C427)</f>
        <v>0.3092828406</v>
      </c>
      <c r="D426" s="4">
        <f>D425+(('Equity Price Data'!D428-'Equity Price Data'!D427)/'Equity Price Data'!D427)</f>
        <v>0.4014890749</v>
      </c>
      <c r="E426" s="4">
        <f>E425+(('Equity Price Data'!E428-'Equity Price Data'!E427)/'Equity Price Data'!E427)</f>
        <v>0.2383005118</v>
      </c>
      <c r="F426" s="4">
        <f>F425+(('Equity Price Data'!F428-'Equity Price Data'!F427)/'Equity Price Data'!F427)</f>
        <v>0.299617554</v>
      </c>
    </row>
    <row r="427">
      <c r="A427" s="43">
        <f>'Equity Price Data'!A429</f>
        <v>46048.66667</v>
      </c>
      <c r="B427" s="4">
        <f>B426+(('Equity Price Data'!B429-'Equity Price Data'!B428)/'Equity Price Data'!B428)</f>
        <v>0.3128586602</v>
      </c>
      <c r="C427" s="4">
        <f>C426+(('Equity Price Data'!C429-'Equity Price Data'!C428)/'Equity Price Data'!C428)</f>
        <v>0.3133647199</v>
      </c>
      <c r="D427" s="4">
        <f>D426+(('Equity Price Data'!D429-'Equity Price Data'!D428)/'Equity Price Data'!D428)</f>
        <v>0.4057492756</v>
      </c>
      <c r="E427" s="4">
        <f>E426+(('Equity Price Data'!E429-'Equity Price Data'!E428)/'Equity Price Data'!E428)</f>
        <v>0.2446894781</v>
      </c>
      <c r="F427" s="4">
        <f>F426+(('Equity Price Data'!F429-'Equity Price Data'!F428)/'Equity Price Data'!F428)</f>
        <v>0.2960621283</v>
      </c>
    </row>
    <row r="428">
      <c r="A428" s="43">
        <f>'Equity Price Data'!A430</f>
        <v>46049.66667</v>
      </c>
      <c r="B428" s="4">
        <f>B427+(('Equity Price Data'!B430-'Equity Price Data'!B429)/'Equity Price Data'!B429)</f>
        <v>0.3155463083</v>
      </c>
      <c r="C428" s="4">
        <f>C427+(('Equity Price Data'!C430-'Equity Price Data'!C429)/'Equity Price Data'!C429)</f>
        <v>0.3132830416</v>
      </c>
      <c r="D428" s="4">
        <f>D427+(('Equity Price Data'!D430-'Equity Price Data'!D429)/'Equity Price Data'!D429)</f>
        <v>0.4148902743</v>
      </c>
      <c r="E428" s="4">
        <f>E427+(('Equity Price Data'!E430-'Equity Price Data'!E429)/'Equity Price Data'!E429)</f>
        <v>0.2364124059</v>
      </c>
      <c r="F428" s="4">
        <f>F427+(('Equity Price Data'!F430-'Equity Price Data'!F429)/'Equity Price Data'!F429)</f>
        <v>0.2987053133</v>
      </c>
    </row>
    <row r="429">
      <c r="A429" s="43">
        <f>'Equity Price Data'!A431</f>
        <v>46050.66667</v>
      </c>
      <c r="B429" s="4">
        <f>B428+(('Equity Price Data'!B431-'Equity Price Data'!B430)/'Equity Price Data'!B430)</f>
        <v>0.3152730548</v>
      </c>
      <c r="C429" s="4">
        <f>C428+(('Equity Price Data'!C431-'Equity Price Data'!C430)/'Equity Price Data'!C430)</f>
        <v>0.3119904132</v>
      </c>
      <c r="D429" s="4">
        <f>D428+(('Equity Price Data'!D431-'Equity Price Data'!D430)/'Equity Price Data'!D430)</f>
        <v>0.4165844352</v>
      </c>
      <c r="E429" s="4">
        <f>E428+(('Equity Price Data'!E431-'Equity Price Data'!E430)/'Equity Price Data'!E430)</f>
        <v>0.2366611641</v>
      </c>
      <c r="F429" s="4">
        <f>F428+(('Equity Price Data'!F431-'Equity Price Data'!F430)/'Equity Price Data'!F430)</f>
        <v>0.293774125</v>
      </c>
    </row>
    <row r="430">
      <c r="A430" s="43">
        <f>'Equity Price Data'!A432</f>
        <v>46051.66667</v>
      </c>
      <c r="B430" s="4">
        <f>B429+(('Equity Price Data'!B432-'Equity Price Data'!B431)/'Equity Price Data'!B431)</f>
        <v>0.3168556461</v>
      </c>
      <c r="C430" s="4">
        <f>C429+(('Equity Price Data'!C432-'Equity Price Data'!C431)/'Equity Price Data'!C431)</f>
        <v>0.3076885109</v>
      </c>
      <c r="D430" s="4">
        <f>D429+(('Equity Price Data'!D432-'Equity Price Data'!D431)/'Equity Price Data'!D431)</f>
        <v>0.409361115</v>
      </c>
      <c r="E430" s="4">
        <f>E429+(('Equity Price Data'!E432-'Equity Price Data'!E431)/'Equity Price Data'!E431)</f>
        <v>0.2378028414</v>
      </c>
      <c r="F430" s="4">
        <f>F429+(('Equity Price Data'!F432-'Equity Price Data'!F431)/'Equity Price Data'!F431)</f>
        <v>0.294237655</v>
      </c>
    </row>
    <row r="431">
      <c r="A431" s="43">
        <f>'Equity Price Data'!A433</f>
        <v>46052.66667</v>
      </c>
      <c r="B431" s="4">
        <f>B430+(('Equity Price Data'!B433-'Equity Price Data'!B432)/'Equity Price Data'!B432)</f>
        <v>0.3119598121</v>
      </c>
      <c r="C431" s="4">
        <f>C430+(('Equity Price Data'!C433-'Equity Price Data'!C432)/'Equity Price Data'!C432)</f>
        <v>0.3130797544</v>
      </c>
      <c r="D431" s="4">
        <f>D430+(('Equity Price Data'!D433-'Equity Price Data'!D432)/'Equity Price Data'!D432)</f>
        <v>0.3999332548</v>
      </c>
      <c r="E431" s="4">
        <f>E430+(('Equity Price Data'!E433-'Equity Price Data'!E432)/'Equity Price Data'!E432)</f>
        <v>0.2341532733</v>
      </c>
      <c r="F431" s="4">
        <f>F430+(('Equity Price Data'!F433-'Equity Price Data'!F432)/'Equity Price Data'!F432)</f>
        <v>0.2787787469</v>
      </c>
    </row>
    <row r="432">
      <c r="A432" s="43">
        <f>'Equity Price Data'!A434</f>
        <v>46055.66667</v>
      </c>
      <c r="B432" s="4">
        <f>B431+(('Equity Price Data'!B434-'Equity Price Data'!B433)/'Equity Price Data'!B433)</f>
        <v>0.3170020104</v>
      </c>
      <c r="C432" s="4">
        <f>C431+(('Equity Price Data'!C434-'Equity Price Data'!C433)/'Equity Price Data'!C433)</f>
        <v>0.3046757546</v>
      </c>
      <c r="D432" s="4">
        <f>D431+(('Equity Price Data'!D434-'Equity Price Data'!D433)/'Equity Price Data'!D433)</f>
        <v>0.4054865324</v>
      </c>
      <c r="E432" s="4">
        <f>E431+(('Equity Price Data'!E434-'Equity Price Data'!E433)/'Equity Price Data'!E433)</f>
        <v>0.2446904788</v>
      </c>
      <c r="F432" s="4">
        <f>F431+(('Equity Price Data'!F434-'Equity Price Data'!F433)/'Equity Price Data'!F433)</f>
        <v>0.288932779</v>
      </c>
    </row>
    <row r="433">
      <c r="A433" s="43">
        <f>'Equity Price Data'!A435</f>
        <v>46056.66667</v>
      </c>
      <c r="B433" s="4">
        <f>B432+(('Equity Price Data'!B435-'Equity Price Data'!B434)/'Equity Price Data'!B434)</f>
        <v>0.3192456067</v>
      </c>
      <c r="C433" s="4">
        <f>C432+(('Equity Price Data'!C435-'Equity Price Data'!C434)/'Equity Price Data'!C434)</f>
        <v>0.2996033401</v>
      </c>
      <c r="D433" s="4">
        <f>D432+(('Equity Price Data'!D435-'Equity Price Data'!D434)/'Equity Price Data'!D434)</f>
        <v>0.3912054868</v>
      </c>
      <c r="E433" s="4">
        <f>E432+(('Equity Price Data'!E435-'Equity Price Data'!E434)/'Equity Price Data'!E434)</f>
        <v>0.2413171152</v>
      </c>
      <c r="F433" s="4">
        <f>F432+(('Equity Price Data'!F435-'Equity Price Data'!F434)/'Equity Price Data'!F434)</f>
        <v>0.2920460852</v>
      </c>
    </row>
    <row r="434">
      <c r="A434" s="43">
        <f>'Equity Price Data'!A436</f>
        <v>46057.66667</v>
      </c>
      <c r="B434" s="4">
        <f>B433+(('Equity Price Data'!B436-'Equity Price Data'!B435)/'Equity Price Data'!B435)</f>
        <v>0.3108487086</v>
      </c>
      <c r="C434" s="4">
        <f>C433+(('Equity Price Data'!C436-'Equity Price Data'!C435)/'Equity Price Data'!C435)</f>
        <v>0.2873523695</v>
      </c>
      <c r="D434" s="4">
        <f>D433+(('Equity Price Data'!D436-'Equity Price Data'!D435)/'Equity Price Data'!D435)</f>
        <v>0.3761288523</v>
      </c>
      <c r="E434" s="4">
        <f>E433+(('Equity Price Data'!E436-'Equity Price Data'!E435)/'Equity Price Data'!E435)</f>
        <v>0.2466035646</v>
      </c>
      <c r="F434" s="4">
        <f>F433+(('Equity Price Data'!F436-'Equity Price Data'!F435)/'Equity Price Data'!F435)</f>
        <v>0.2830032308</v>
      </c>
    </row>
    <row r="435">
      <c r="A435" s="43">
        <f>'Equity Price Data'!A437</f>
        <v>46058.66667</v>
      </c>
      <c r="B435" s="4">
        <f>B434+(('Equity Price Data'!B437-'Equity Price Data'!B436)/'Equity Price Data'!B436)</f>
        <v>0.3009488346</v>
      </c>
      <c r="C435" s="4">
        <f>C434+(('Equity Price Data'!C437-'Equity Price Data'!C436)/'Equity Price Data'!C436)</f>
        <v>0.3070481803</v>
      </c>
      <c r="D435" s="4">
        <f>D434+(('Equity Price Data'!D437-'Equity Price Data'!D436)/'Equity Price Data'!D436)</f>
        <v>0.3602372708</v>
      </c>
      <c r="E435" s="4">
        <f>E434+(('Equity Price Data'!E437-'Equity Price Data'!E436)/'Equity Price Data'!E436)</f>
        <v>0.2346325658</v>
      </c>
      <c r="F435" s="4">
        <f>F434+(('Equity Price Data'!F437-'Equity Price Data'!F436)/'Equity Price Data'!F436)</f>
        <v>0.2651335007</v>
      </c>
    </row>
    <row r="436">
      <c r="A436" s="43">
        <f>'Equity Price Data'!A438</f>
        <v>46059.66667</v>
      </c>
      <c r="B436" s="4">
        <f>B435+(('Equity Price Data'!B438-'Equity Price Data'!B437)/'Equity Price Data'!B437)</f>
        <v>0.3199199274</v>
      </c>
      <c r="C436" s="4">
        <f>C435+(('Equity Price Data'!C438-'Equity Price Data'!C437)/'Equity Price Data'!C437)</f>
        <v>0.3117392641</v>
      </c>
      <c r="D436" s="4">
        <f>D435+(('Equity Price Data'!D438-'Equity Price Data'!D437)/'Equity Price Data'!D437)</f>
        <v>0.3820033381</v>
      </c>
      <c r="E436" s="4">
        <f>E435+(('Equity Price Data'!E438-'Equity Price Data'!E437)/'Equity Price Data'!E437)</f>
        <v>0.2593101693</v>
      </c>
      <c r="F436" s="4">
        <f>F435+(('Equity Price Data'!F438-'Equity Price Data'!F437)/'Equity Price Data'!F437)</f>
        <v>0.3010926108</v>
      </c>
    </row>
    <row r="437">
      <c r="A437" s="43">
        <f>'Equity Price Data'!A439</f>
        <v>46062.66667</v>
      </c>
      <c r="B437" s="4">
        <f>B436+(('Equity Price Data'!B439-'Equity Price Data'!B438)/'Equity Price Data'!B438)</f>
        <v>0.3239286415</v>
      </c>
      <c r="C437" s="4">
        <f>C436+(('Equity Price Data'!C439-'Equity Price Data'!C438)/'Equity Price Data'!C438)</f>
        <v>0.3084355175</v>
      </c>
      <c r="D437" s="4">
        <f>D436+(('Equity Price Data'!D439-'Equity Price Data'!D438)/'Equity Price Data'!D438)</f>
        <v>0.391011115</v>
      </c>
      <c r="E437" s="4">
        <f>E436+(('Equity Price Data'!E439-'Equity Price Data'!E438)/'Equity Price Data'!E438)</f>
        <v>0.2597132369</v>
      </c>
      <c r="F437" s="4">
        <f>F436+(('Equity Price Data'!F439-'Equity Price Data'!F438)/'Equity Price Data'!F438)</f>
        <v>0.3080992092</v>
      </c>
    </row>
    <row r="438">
      <c r="A438" s="43">
        <f>'Equity Price Data'!A440</f>
        <v>46063.66667</v>
      </c>
      <c r="B438" s="4">
        <f>B437+(('Equity Price Data'!B440-'Equity Price Data'!B439)/'Equity Price Data'!B439)</f>
        <v>0.3222580623</v>
      </c>
      <c r="C438" s="4">
        <f>C437+(('Equity Price Data'!C440-'Equity Price Data'!C439)/'Equity Price Data'!C439)</f>
        <v>0.3083865389</v>
      </c>
      <c r="D438" s="4">
        <f>D437+(('Equity Price Data'!D440-'Equity Price Data'!D439)/'Equity Price Data'!D439)</f>
        <v>0.3851501943</v>
      </c>
      <c r="E438" s="4">
        <f>E437+(('Equity Price Data'!E440-'Equity Price Data'!E439)/'Equity Price Data'!E439)</f>
        <v>0.2607558038</v>
      </c>
      <c r="F438" s="4">
        <f>F437+(('Equity Price Data'!F440-'Equity Price Data'!F439)/'Equity Price Data'!F439)</f>
        <v>0.3046481763</v>
      </c>
    </row>
    <row r="439">
      <c r="A439" s="43">
        <f>'Equity Price Data'!A441</f>
        <v>46064.66667</v>
      </c>
      <c r="B439" s="4">
        <f>B438+(('Equity Price Data'!B441-'Equity Price Data'!B440)/'Equity Price Data'!B440)</f>
        <v>0.3236755699</v>
      </c>
      <c r="C439" s="4">
        <f>C438+(('Equity Price Data'!C441-'Equity Price Data'!C440)/'Equity Price Data'!C440)</f>
        <v>0.292725591</v>
      </c>
      <c r="D439" s="4">
        <f>D438+(('Equity Price Data'!D441-'Equity Price Data'!D440)/'Equity Price Data'!D440)</f>
        <v>0.3835919194</v>
      </c>
      <c r="E439" s="4">
        <f>E438+(('Equity Price Data'!E441-'Equity Price Data'!E440)/'Equity Price Data'!E440)</f>
        <v>0.2594260076</v>
      </c>
      <c r="F439" s="4">
        <f>F438+(('Equity Price Data'!F441-'Equity Price Data'!F440)/'Equity Price Data'!F440)</f>
        <v>0.3008045628</v>
      </c>
    </row>
    <row r="440">
      <c r="A440" s="43">
        <f>'Equity Price Data'!A442</f>
        <v>46065.66667</v>
      </c>
      <c r="B440" s="4">
        <f>B439+(('Equity Price Data'!B442-'Equity Price Data'!B441)/'Equity Price Data'!B441)</f>
        <v>0.3077019811</v>
      </c>
      <c r="C440" s="4">
        <f>C439+(('Equity Price Data'!C442-'Equity Price Data'!C441)/'Equity Price Data'!C441)</f>
        <v>0.2932246573</v>
      </c>
      <c r="D440" s="4">
        <f>D439+(('Equity Price Data'!D442-'Equity Price Data'!D441)/'Equity Price Data'!D441)</f>
        <v>0.3632455032</v>
      </c>
      <c r="E440" s="4">
        <f>E439+(('Equity Price Data'!E442-'Equity Price Data'!E441)/'Equity Price Data'!E441)</f>
        <v>0.2460700359</v>
      </c>
      <c r="F440" s="4">
        <f>F439+(('Equity Price Data'!F442-'Equity Price Data'!F441)/'Equity Price Data'!F441)</f>
        <v>0.2807106865</v>
      </c>
    </row>
    <row r="441">
      <c r="A441" s="43">
        <f>'Equity Price Data'!A443</f>
        <v>46066.66667</v>
      </c>
      <c r="B441" s="4">
        <f>B440+(('Equity Price Data'!B443-'Equity Price Data'!B442)/'Equity Price Data'!B442)</f>
        <v>0.3140582005</v>
      </c>
      <c r="C441" s="4">
        <f>C440+(('Equity Price Data'!C443-'Equity Price Data'!C442)/'Equity Price Data'!C442)</f>
        <v>0.2942559365</v>
      </c>
      <c r="D441" s="4">
        <f>D440+(('Equity Price Data'!D443-'Equity Price Data'!D442)/'Equity Price Data'!D442)</f>
        <v>0.3610115931</v>
      </c>
      <c r="E441" s="4">
        <f>E440+(('Equity Price Data'!E443-'Equity Price Data'!E442)/'Equity Price Data'!E442)</f>
        <v>0.247059885</v>
      </c>
      <c r="F441" s="4">
        <f>F440+(('Equity Price Data'!F443-'Equity Price Data'!F442)/'Equity Price Data'!F442)</f>
        <v>0.2925119121</v>
      </c>
    </row>
    <row r="442">
      <c r="A442" s="43">
        <f>'Equity Price Data'!A444</f>
        <v>46070.66667</v>
      </c>
      <c r="B442" s="4">
        <f>B441+(('Equity Price Data'!B444-'Equity Price Data'!B443)/'Equity Price Data'!B443)</f>
        <v>0.3233798669</v>
      </c>
      <c r="C442" s="4">
        <f>C441+(('Equity Price Data'!C444-'Equity Price Data'!C443)/'Equity Price Data'!C443)</f>
        <v>0.2998220297</v>
      </c>
      <c r="D442" s="4">
        <f>D441+(('Equity Price Data'!D444-'Equity Price Data'!D443)/'Equity Price Data'!D443)</f>
        <v>0.3624180092</v>
      </c>
      <c r="E442" s="4">
        <f>E441+(('Equity Price Data'!E444-'Equity Price Data'!E443)/'Equity Price Data'!E443)</f>
        <v>0.2477115899</v>
      </c>
      <c r="F442" s="4">
        <f>F441+(('Equity Price Data'!F444-'Equity Price Data'!F443)/'Equity Price Data'!F443)</f>
        <v>0.2924703509</v>
      </c>
    </row>
    <row r="443">
      <c r="A443" s="43">
        <f>'Equity Price Data'!A445</f>
        <v>46071.66667</v>
      </c>
      <c r="B443" s="4">
        <f>B442+(('Equity Price Data'!B445-'Equity Price Data'!B444)/'Equity Price Data'!B444)</f>
        <v>0.3265883367</v>
      </c>
      <c r="C443" s="4">
        <f>C442+(('Equity Price Data'!C445-'Equity Price Data'!C444)/'Equity Price Data'!C444)</f>
        <v>0.2969998926</v>
      </c>
      <c r="D443" s="4">
        <f>D442+(('Equity Price Data'!D445-'Equity Price Data'!D444)/'Equity Price Data'!D444)</f>
        <v>0.3701803022</v>
      </c>
      <c r="E443" s="4">
        <f>E442+(('Equity Price Data'!E445-'Equity Price Data'!E444)/'Equity Price Data'!E444)</f>
        <v>0.2503253929</v>
      </c>
      <c r="F443" s="4">
        <f>F442+(('Equity Price Data'!F445-'Equity Price Data'!F444)/'Equity Price Data'!F444)</f>
        <v>0.2970120442</v>
      </c>
    </row>
    <row r="444">
      <c r="A444" s="43">
        <f>'Equity Price Data'!A446</f>
        <v>46072.66667</v>
      </c>
      <c r="B444" s="4">
        <f>B443+(('Equity Price Data'!B446-'Equity Price Data'!B445)/'Equity Price Data'!B445)</f>
        <v>0.3252751082</v>
      </c>
      <c r="C444" s="4">
        <f>C443+(('Equity Price Data'!C446-'Equity Price Data'!C445)/'Equity Price Data'!C445)</f>
        <v>0.3039396716</v>
      </c>
      <c r="D444" s="4">
        <f>D443+(('Equity Price Data'!D446-'Equity Price Data'!D445)/'Equity Price Data'!D445)</f>
        <v>0.3670638778</v>
      </c>
      <c r="E444" s="4">
        <f>E443+(('Equity Price Data'!E446-'Equity Price Data'!E445)/'Equity Price Data'!E445)</f>
        <v>0.2449390523</v>
      </c>
      <c r="F444" s="4">
        <f>F443+(('Equity Price Data'!F446-'Equity Price Data'!F445)/'Equity Price Data'!F445)</f>
        <v>0.2994494081</v>
      </c>
    </row>
    <row r="445">
      <c r="A445" s="43">
        <f>'Equity Price Data'!A447</f>
        <v>46073.66667</v>
      </c>
      <c r="B445" s="4">
        <f>B444+(('Equity Price Data'!B447-'Equity Price Data'!B446)/'Equity Price Data'!B446)</f>
        <v>0.3283897488</v>
      </c>
      <c r="C445" s="4">
        <f>C444+(('Equity Price Data'!C447-'Equity Price Data'!C446)/'Equity Price Data'!C446)</f>
        <v>0.2935539858</v>
      </c>
      <c r="D445" s="4">
        <f>D444+(('Equity Price Data'!D447-'Equity Price Data'!D446)/'Equity Price Data'!D446)</f>
        <v>0.3760284072</v>
      </c>
      <c r="E445" s="4">
        <f>E444+(('Equity Price Data'!E447-'Equity Price Data'!E446)/'Equity Price Data'!E446)</f>
        <v>0.2496117774</v>
      </c>
      <c r="F445" s="4">
        <f>F444+(('Equity Price Data'!F447-'Equity Price Data'!F446)/'Equity Price Data'!F446)</f>
        <v>0.2989578675</v>
      </c>
    </row>
    <row r="446">
      <c r="A446" s="43">
        <f>'Equity Price Data'!A448</f>
        <v>46076.66667</v>
      </c>
      <c r="B446" s="4">
        <f>B445+(('Equity Price Data'!B448-'Equity Price Data'!B447)/'Equity Price Data'!B447)</f>
        <v>0.3207829968</v>
      </c>
      <c r="C446" s="4">
        <f>C445+(('Equity Price Data'!C448-'Equity Price Data'!C447)/'Equity Price Data'!C447)</f>
        <v>-0.7064460142</v>
      </c>
      <c r="D446" s="4">
        <f>D445+(('Equity Price Data'!D448-'Equity Price Data'!D447)/'Equity Price Data'!D447)</f>
        <v>0.3647202184</v>
      </c>
      <c r="E446" s="4">
        <f>E445+(('Equity Price Data'!E448-'Equity Price Data'!E447)/'Equity Price Data'!E447)</f>
        <v>0.233049683</v>
      </c>
      <c r="F446" s="4">
        <f>F445+(('Equity Price Data'!F448-'Equity Price Data'!F447)/'Equity Price Data'!F447)</f>
        <v>0.2828942286</v>
      </c>
    </row>
    <row r="447">
      <c r="A447" s="43">
        <f>'Equity Price Data'!A449</f>
        <v>46077.66667</v>
      </c>
      <c r="B447" s="4">
        <f>B446+(('Equity Price Data'!B449-'Equity Price Data'!B448)/'Equity Price Data'!B448)</f>
        <v>0.3275949474</v>
      </c>
      <c r="C447" s="4" t="str">
        <f>C446+(('Equity Price Data'!C449-'Equity Price Data'!C448)/'Equity Price Data'!C448)</f>
        <v>#DIV/0!</v>
      </c>
      <c r="D447" s="4">
        <f>D446+(('Equity Price Data'!D449-'Equity Price Data'!D448)/'Equity Price Data'!D448)</f>
        <v>0.3751682309</v>
      </c>
      <c r="E447" s="4">
        <f>E446+(('Equity Price Data'!E449-'Equity Price Data'!E448)/'Equity Price Data'!E448)</f>
        <v>-0.766950317</v>
      </c>
      <c r="F447" s="4">
        <f>F446+(('Equity Price Data'!F449-'Equity Price Data'!F448)/'Equity Price Data'!F448)</f>
        <v>0.2948515424</v>
      </c>
    </row>
    <row r="448">
      <c r="A448" s="43" t="str">
        <f>'Equity Price Data'!A450</f>
        <v/>
      </c>
      <c r="B448" s="4">
        <f>B447+(('Equity Price Data'!B450-'Equity Price Data'!B449)/'Equity Price Data'!B449)</f>
        <v>-0.6329806588</v>
      </c>
      <c r="C448" s="4" t="str">
        <f>C447+(('Equity Price Data'!C450-'Equity Price Data'!C449)/'Equity Price Data'!C449)</f>
        <v>#DIV/0!</v>
      </c>
      <c r="D448" s="4">
        <f>D447+(('Equity Price Data'!D450-'Equity Price Data'!D449)/'Equity Price Data'!D449)</f>
        <v>-0.6248317691</v>
      </c>
      <c r="E448" s="4" t="str">
        <f>E447+(('Equity Price Data'!E450-'Equity Price Data'!E449)/'Equity Price Data'!E449)</f>
        <v>#DIV/0!</v>
      </c>
      <c r="F448" s="4">
        <f>F447+(('Equity Price Data'!F450-'Equity Price Data'!F449)/'Equity Price Data'!F449)</f>
        <v>-0.7051484576</v>
      </c>
    </row>
    <row r="449">
      <c r="A449" s="43" t="str">
        <f>'Equity Price Data'!A451</f>
        <v/>
      </c>
      <c r="B449" s="4">
        <f>B448+(('Equity Price Data'!B451-'Equity Price Data'!B450)/'Equity Price Data'!B450)</f>
        <v>-0.6329806588</v>
      </c>
      <c r="C449" s="4" t="str">
        <f>C448+(('Equity Price Data'!C451-'Equity Price Data'!C450)/'Equity Price Data'!C450)</f>
        <v>#DIV/0!</v>
      </c>
      <c r="D449" s="4" t="str">
        <f>D448+(('Equity Price Data'!D451-'Equity Price Data'!D450)/'Equity Price Data'!D450)</f>
        <v>#DIV/0!</v>
      </c>
      <c r="E449" s="4" t="str">
        <f>E448+(('Equity Price Data'!E451-'Equity Price Data'!E450)/'Equity Price Data'!E450)</f>
        <v>#DIV/0!</v>
      </c>
      <c r="F449" s="4" t="str">
        <f>F448+(('Equity Price Data'!F451-'Equity Price Data'!F450)/'Equity Price Data'!F450)</f>
        <v>#DIV/0!</v>
      </c>
    </row>
    <row r="450">
      <c r="A450" s="43" t="str">
        <f>'Equity Price Data'!A452</f>
        <v/>
      </c>
      <c r="B450" s="4">
        <f>B449+(('Equity Price Data'!B452-'Equity Price Data'!B451)/'Equity Price Data'!B451)</f>
        <v>-0.6329806588</v>
      </c>
      <c r="C450" s="4" t="str">
        <f>C449+(('Equity Price Data'!C452-'Equity Price Data'!C451)/'Equity Price Data'!C451)</f>
        <v>#DIV/0!</v>
      </c>
      <c r="D450" s="4" t="str">
        <f>D449+(('Equity Price Data'!D452-'Equity Price Data'!D451)/'Equity Price Data'!D451)</f>
        <v>#DIV/0!</v>
      </c>
      <c r="E450" s="4" t="str">
        <f>E449+(('Equity Price Data'!E452-'Equity Price Data'!E451)/'Equity Price Data'!E451)</f>
        <v>#DIV/0!</v>
      </c>
      <c r="F450" s="4" t="str">
        <f>F449+(('Equity Price Data'!F452-'Equity Price Data'!F451)/'Equity Price Data'!F451)</f>
        <v>#DIV/0!</v>
      </c>
    </row>
    <row r="451">
      <c r="A451" s="43" t="str">
        <f>'Equity Price Data'!A453</f>
        <v/>
      </c>
      <c r="B451" s="4">
        <f>B450+(('Equity Price Data'!B453-'Equity Price Data'!B452)/'Equity Price Data'!B452)</f>
        <v>-0.6329806588</v>
      </c>
      <c r="C451" s="4" t="str">
        <f>C450+(('Equity Price Data'!C453-'Equity Price Data'!C452)/'Equity Price Data'!C452)</f>
        <v>#DIV/0!</v>
      </c>
      <c r="D451" s="4" t="str">
        <f>D450+(('Equity Price Data'!D453-'Equity Price Data'!D452)/'Equity Price Data'!D452)</f>
        <v>#DIV/0!</v>
      </c>
      <c r="E451" s="4" t="str">
        <f>E450+(('Equity Price Data'!E453-'Equity Price Data'!E452)/'Equity Price Data'!E452)</f>
        <v>#DIV/0!</v>
      </c>
      <c r="F451" s="4" t="str">
        <f>F450+(('Equity Price Data'!F453-'Equity Price Data'!F452)/'Equity Price Data'!F452)</f>
        <v>#DIV/0!</v>
      </c>
    </row>
    <row r="452">
      <c r="A452" s="43" t="str">
        <f>'Equity Price Data'!A454</f>
        <v/>
      </c>
      <c r="B452" s="4">
        <f>B451+(('Equity Price Data'!B454-'Equity Price Data'!B453)/'Equity Price Data'!B453)</f>
        <v>-0.6329806588</v>
      </c>
      <c r="C452" s="4" t="str">
        <f>C451+(('Equity Price Data'!C454-'Equity Price Data'!C453)/'Equity Price Data'!C453)</f>
        <v>#DIV/0!</v>
      </c>
      <c r="D452" s="4" t="str">
        <f>D451+(('Equity Price Data'!D454-'Equity Price Data'!D453)/'Equity Price Data'!D453)</f>
        <v>#DIV/0!</v>
      </c>
      <c r="E452" s="4" t="str">
        <f>E451+(('Equity Price Data'!E454-'Equity Price Data'!E453)/'Equity Price Data'!E453)</f>
        <v>#DIV/0!</v>
      </c>
      <c r="F452" s="4" t="str">
        <f>F451+(('Equity Price Data'!F454-'Equity Price Data'!F453)/'Equity Price Data'!F453)</f>
        <v>#DIV/0!</v>
      </c>
    </row>
    <row r="453">
      <c r="A453" s="43" t="str">
        <f>'Equity Price Data'!A455</f>
        <v/>
      </c>
      <c r="B453" s="4">
        <f>B452+(('Equity Price Data'!B455-'Equity Price Data'!B454)/'Equity Price Data'!B454)</f>
        <v>-0.6329806588</v>
      </c>
      <c r="C453" s="4" t="str">
        <f>C452+(('Equity Price Data'!C455-'Equity Price Data'!C454)/'Equity Price Data'!C454)</f>
        <v>#DIV/0!</v>
      </c>
      <c r="D453" s="4" t="str">
        <f>D452+(('Equity Price Data'!D455-'Equity Price Data'!D454)/'Equity Price Data'!D454)</f>
        <v>#DIV/0!</v>
      </c>
      <c r="E453" s="4" t="str">
        <f>E452+(('Equity Price Data'!E455-'Equity Price Data'!E454)/'Equity Price Data'!E454)</f>
        <v>#DIV/0!</v>
      </c>
      <c r="F453" s="4" t="str">
        <f>F452+(('Equity Price Data'!F455-'Equity Price Data'!F454)/'Equity Price Data'!F454)</f>
        <v>#DIV/0!</v>
      </c>
    </row>
    <row r="454">
      <c r="A454" s="43" t="str">
        <f>'Equity Price Data'!A456</f>
        <v/>
      </c>
      <c r="B454" s="4">
        <f>B453+(('Equity Price Data'!B456-'Equity Price Data'!B455)/'Equity Price Data'!B455)</f>
        <v>-0.6329806588</v>
      </c>
      <c r="C454" s="4" t="str">
        <f>C453+(('Equity Price Data'!C456-'Equity Price Data'!C455)/'Equity Price Data'!C455)</f>
        <v>#DIV/0!</v>
      </c>
      <c r="D454" s="4" t="str">
        <f>D453+(('Equity Price Data'!D456-'Equity Price Data'!D455)/'Equity Price Data'!D455)</f>
        <v>#DIV/0!</v>
      </c>
      <c r="E454" s="4" t="str">
        <f>E453+(('Equity Price Data'!E456-'Equity Price Data'!E455)/'Equity Price Data'!E455)</f>
        <v>#DIV/0!</v>
      </c>
      <c r="F454" s="4" t="str">
        <f>F453+(('Equity Price Data'!F456-'Equity Price Data'!F455)/'Equity Price Data'!F455)</f>
        <v>#DIV/0!</v>
      </c>
    </row>
    <row r="455">
      <c r="A455" s="43" t="str">
        <f>'Equity Price Data'!A457</f>
        <v/>
      </c>
      <c r="B455" s="4">
        <f>B454+(('Equity Price Data'!B457-'Equity Price Data'!B456)/'Equity Price Data'!B456)</f>
        <v>-0.6329806588</v>
      </c>
      <c r="C455" s="4" t="str">
        <f>C454+(('Equity Price Data'!C457-'Equity Price Data'!C456)/'Equity Price Data'!C456)</f>
        <v>#DIV/0!</v>
      </c>
      <c r="D455" s="4" t="str">
        <f>D454+(('Equity Price Data'!D457-'Equity Price Data'!D456)/'Equity Price Data'!D456)</f>
        <v>#DIV/0!</v>
      </c>
      <c r="E455" s="4" t="str">
        <f>E454+(('Equity Price Data'!E457-'Equity Price Data'!E456)/'Equity Price Data'!E456)</f>
        <v>#DIV/0!</v>
      </c>
      <c r="F455" s="4" t="str">
        <f>F454+(('Equity Price Data'!F457-'Equity Price Data'!F456)/'Equity Price Data'!F456)</f>
        <v>#DIV/0!</v>
      </c>
    </row>
    <row r="456">
      <c r="A456" s="43" t="str">
        <f>'Equity Price Data'!A458</f>
        <v/>
      </c>
      <c r="B456" s="4">
        <f>B455+(('Equity Price Data'!B458-'Equity Price Data'!B457)/'Equity Price Data'!B457)</f>
        <v>-0.6329806588</v>
      </c>
      <c r="C456" s="4" t="str">
        <f>C455+(('Equity Price Data'!C458-'Equity Price Data'!C457)/'Equity Price Data'!C457)</f>
        <v>#DIV/0!</v>
      </c>
      <c r="D456" s="4" t="str">
        <f>D455+(('Equity Price Data'!D458-'Equity Price Data'!D457)/'Equity Price Data'!D457)</f>
        <v>#DIV/0!</v>
      </c>
      <c r="E456" s="4" t="str">
        <f>E455+(('Equity Price Data'!E458-'Equity Price Data'!E457)/'Equity Price Data'!E457)</f>
        <v>#DIV/0!</v>
      </c>
      <c r="F456" s="4" t="str">
        <f>F455+(('Equity Price Data'!F458-'Equity Price Data'!F457)/'Equity Price Data'!F457)</f>
        <v>#DIV/0!</v>
      </c>
    </row>
    <row r="457">
      <c r="A457" s="43" t="str">
        <f>'Equity Price Data'!A459</f>
        <v/>
      </c>
      <c r="B457" s="4">
        <f>B456+(('Equity Price Data'!B459-'Equity Price Data'!B458)/'Equity Price Data'!B458)</f>
        <v>-0.6329806588</v>
      </c>
      <c r="C457" s="4" t="str">
        <f>C456+(('Equity Price Data'!C459-'Equity Price Data'!C458)/'Equity Price Data'!C458)</f>
        <v>#DIV/0!</v>
      </c>
      <c r="D457" s="4" t="str">
        <f>D456+(('Equity Price Data'!D459-'Equity Price Data'!D458)/'Equity Price Data'!D458)</f>
        <v>#DIV/0!</v>
      </c>
      <c r="E457" s="4" t="str">
        <f>E456+(('Equity Price Data'!E459-'Equity Price Data'!E458)/'Equity Price Data'!E458)</f>
        <v>#DIV/0!</v>
      </c>
      <c r="F457" s="4" t="str">
        <f>F456+(('Equity Price Data'!F459-'Equity Price Data'!F458)/'Equity Price Data'!F458)</f>
        <v>#DIV/0!</v>
      </c>
    </row>
    <row r="458">
      <c r="A458" s="43" t="str">
        <f>'Equity Price Data'!A460</f>
        <v/>
      </c>
      <c r="B458" s="4">
        <f>B457+(('Equity Price Data'!B460-'Equity Price Data'!B459)/'Equity Price Data'!B459)</f>
        <v>-0.6329806588</v>
      </c>
      <c r="C458" s="4" t="str">
        <f>C457+(('Equity Price Data'!C460-'Equity Price Data'!C459)/'Equity Price Data'!C459)</f>
        <v>#DIV/0!</v>
      </c>
      <c r="D458" s="4" t="str">
        <f>D457+(('Equity Price Data'!D460-'Equity Price Data'!D459)/'Equity Price Data'!D459)</f>
        <v>#DIV/0!</v>
      </c>
      <c r="E458" s="4" t="str">
        <f>E457+(('Equity Price Data'!E460-'Equity Price Data'!E459)/'Equity Price Data'!E459)</f>
        <v>#DIV/0!</v>
      </c>
      <c r="F458" s="4" t="str">
        <f>F457+(('Equity Price Data'!F460-'Equity Price Data'!F459)/'Equity Price Data'!F459)</f>
        <v>#DIV/0!</v>
      </c>
    </row>
    <row r="459">
      <c r="A459" s="43" t="str">
        <f>'Equity Price Data'!A461</f>
        <v/>
      </c>
      <c r="B459" s="4">
        <f>B458+(('Equity Price Data'!B461-'Equity Price Data'!B460)/'Equity Price Data'!B460)</f>
        <v>-0.6329806588</v>
      </c>
      <c r="C459" s="4" t="str">
        <f>C458+(('Equity Price Data'!C461-'Equity Price Data'!C460)/'Equity Price Data'!C460)</f>
        <v>#DIV/0!</v>
      </c>
      <c r="D459" s="4" t="str">
        <f>D458+(('Equity Price Data'!D461-'Equity Price Data'!D460)/'Equity Price Data'!D460)</f>
        <v>#DIV/0!</v>
      </c>
      <c r="E459" s="4" t="str">
        <f>E458+(('Equity Price Data'!E461-'Equity Price Data'!E460)/'Equity Price Data'!E460)</f>
        <v>#DIV/0!</v>
      </c>
      <c r="F459" s="4" t="str">
        <f>F458+(('Equity Price Data'!F461-'Equity Price Data'!F460)/'Equity Price Data'!F460)</f>
        <v>#DIV/0!</v>
      </c>
    </row>
    <row r="460">
      <c r="A460" s="43" t="str">
        <f>'Equity Price Data'!A462</f>
        <v/>
      </c>
      <c r="B460" s="4">
        <f>B459+(('Equity Price Data'!B462-'Equity Price Data'!B461)/'Equity Price Data'!B461)</f>
        <v>-0.6329806588</v>
      </c>
      <c r="C460" s="4" t="str">
        <f>C459+(('Equity Price Data'!C462-'Equity Price Data'!C461)/'Equity Price Data'!C461)</f>
        <v>#DIV/0!</v>
      </c>
      <c r="D460" s="4" t="str">
        <f>D459+(('Equity Price Data'!D462-'Equity Price Data'!D461)/'Equity Price Data'!D461)</f>
        <v>#DIV/0!</v>
      </c>
      <c r="E460" s="4" t="str">
        <f>E459+(('Equity Price Data'!E462-'Equity Price Data'!E461)/'Equity Price Data'!E461)</f>
        <v>#DIV/0!</v>
      </c>
      <c r="F460" s="4" t="str">
        <f>F459+(('Equity Price Data'!F462-'Equity Price Data'!F461)/'Equity Price Data'!F461)</f>
        <v>#DIV/0!</v>
      </c>
    </row>
    <row r="461">
      <c r="A461" s="43" t="str">
        <f>'Equity Price Data'!A463</f>
        <v/>
      </c>
      <c r="B461" s="4">
        <f>B460+(('Equity Price Data'!B463-'Equity Price Data'!B462)/'Equity Price Data'!B462)</f>
        <v>-0.6329806588</v>
      </c>
      <c r="C461" s="4" t="str">
        <f>C460+(('Equity Price Data'!C463-'Equity Price Data'!C462)/'Equity Price Data'!C462)</f>
        <v>#DIV/0!</v>
      </c>
      <c r="D461" s="4" t="str">
        <f>D460+(('Equity Price Data'!D463-'Equity Price Data'!D462)/'Equity Price Data'!D462)</f>
        <v>#DIV/0!</v>
      </c>
      <c r="E461" s="4" t="str">
        <f>E460+(('Equity Price Data'!E463-'Equity Price Data'!E462)/'Equity Price Data'!E462)</f>
        <v>#DIV/0!</v>
      </c>
      <c r="F461" s="4" t="str">
        <f>F460+(('Equity Price Data'!F463-'Equity Price Data'!F462)/'Equity Price Data'!F462)</f>
        <v>#DIV/0!</v>
      </c>
    </row>
    <row r="462">
      <c r="A462" s="43" t="str">
        <f>'Equity Price Data'!A464</f>
        <v/>
      </c>
      <c r="B462" s="4">
        <f>B461+(('Equity Price Data'!B464-'Equity Price Data'!B463)/'Equity Price Data'!B463)</f>
        <v>-0.6329806588</v>
      </c>
      <c r="C462" s="4" t="str">
        <f>C461+(('Equity Price Data'!C464-'Equity Price Data'!C463)/'Equity Price Data'!C463)</f>
        <v>#DIV/0!</v>
      </c>
      <c r="D462" s="4" t="str">
        <f>D461+(('Equity Price Data'!D464-'Equity Price Data'!D463)/'Equity Price Data'!D463)</f>
        <v>#DIV/0!</v>
      </c>
      <c r="E462" s="4" t="str">
        <f>E461+(('Equity Price Data'!E464-'Equity Price Data'!E463)/'Equity Price Data'!E463)</f>
        <v>#DIV/0!</v>
      </c>
      <c r="F462" s="4" t="str">
        <f>F461+(('Equity Price Data'!F464-'Equity Price Data'!F463)/'Equity Price Data'!F463)</f>
        <v>#DIV/0!</v>
      </c>
    </row>
    <row r="463">
      <c r="A463" s="43" t="str">
        <f>'Equity Price Data'!A465</f>
        <v/>
      </c>
      <c r="B463" s="4">
        <f>B462+(('Equity Price Data'!B465-'Equity Price Data'!B464)/'Equity Price Data'!B464)</f>
        <v>-0.6329806588</v>
      </c>
      <c r="C463" s="4" t="str">
        <f>C462+(('Equity Price Data'!C465-'Equity Price Data'!C464)/'Equity Price Data'!C464)</f>
        <v>#DIV/0!</v>
      </c>
      <c r="D463" s="4" t="str">
        <f>D462+(('Equity Price Data'!D465-'Equity Price Data'!D464)/'Equity Price Data'!D464)</f>
        <v>#DIV/0!</v>
      </c>
      <c r="E463" s="4" t="str">
        <f>E462+(('Equity Price Data'!E465-'Equity Price Data'!E464)/'Equity Price Data'!E464)</f>
        <v>#DIV/0!</v>
      </c>
      <c r="F463" s="4" t="str">
        <f>F462+(('Equity Price Data'!F465-'Equity Price Data'!F464)/'Equity Price Data'!F464)</f>
        <v>#DIV/0!</v>
      </c>
    </row>
    <row r="464">
      <c r="A464" s="43" t="str">
        <f>'Equity Price Data'!A466</f>
        <v/>
      </c>
      <c r="B464" s="4">
        <f>B463+(('Equity Price Data'!B466-'Equity Price Data'!B465)/'Equity Price Data'!B465)</f>
        <v>-1.632980659</v>
      </c>
      <c r="C464" s="4" t="str">
        <f>C463+(('Equity Price Data'!C466-'Equity Price Data'!C465)/'Equity Price Data'!C465)</f>
        <v>#DIV/0!</v>
      </c>
      <c r="D464" s="4" t="str">
        <f>D463+(('Equity Price Data'!D466-'Equity Price Data'!D465)/'Equity Price Data'!D465)</f>
        <v>#DIV/0!</v>
      </c>
      <c r="E464" s="4" t="str">
        <f>E463+(('Equity Price Data'!E466-'Equity Price Data'!E465)/'Equity Price Data'!E465)</f>
        <v>#DIV/0!</v>
      </c>
      <c r="F464" s="4" t="str">
        <f>F463+(('Equity Price Data'!F466-'Equity Price Data'!F465)/'Equity Price Data'!F465)</f>
        <v>#DIV/0!</v>
      </c>
    </row>
    <row r="465">
      <c r="A465" s="43" t="str">
        <f>'Equity Price Data'!A467</f>
        <v/>
      </c>
      <c r="B465" s="4" t="str">
        <f>B464+(('Equity Price Data'!B467-'Equity Price Data'!B466)/'Equity Price Data'!B466)</f>
        <v>#DIV/0!</v>
      </c>
      <c r="C465" s="4" t="str">
        <f>C464+(('Equity Price Data'!C467-'Equity Price Data'!C466)/'Equity Price Data'!C466)</f>
        <v>#DIV/0!</v>
      </c>
      <c r="D465" s="4" t="str">
        <f>D464+(('Equity Price Data'!D467-'Equity Price Data'!D466)/'Equity Price Data'!D466)</f>
        <v>#DIV/0!</v>
      </c>
      <c r="E465" s="4" t="str">
        <f>E464+(('Equity Price Data'!E467-'Equity Price Data'!E466)/'Equity Price Data'!E466)</f>
        <v>#DIV/0!</v>
      </c>
      <c r="F465" s="4" t="str">
        <f>F464+(('Equity Price Data'!F467-'Equity Price Data'!F466)/'Equity Price Data'!F466)</f>
        <v>#DIV/0!</v>
      </c>
    </row>
    <row r="466">
      <c r="A466" s="43" t="str">
        <f>'Equity Price Data'!A468</f>
        <v/>
      </c>
      <c r="B466" s="4" t="str">
        <f>B465+(('Equity Price Data'!B468-'Equity Price Data'!B467)/'Equity Price Data'!B467)</f>
        <v>#DIV/0!</v>
      </c>
      <c r="C466" s="4" t="str">
        <f>C465+(('Equity Price Data'!C468-'Equity Price Data'!C467)/'Equity Price Data'!C467)</f>
        <v>#DIV/0!</v>
      </c>
      <c r="D466" s="4" t="str">
        <f>D465+(('Equity Price Data'!D468-'Equity Price Data'!D467)/'Equity Price Data'!D467)</f>
        <v>#DIV/0!</v>
      </c>
      <c r="E466" s="4" t="str">
        <f>E465+(('Equity Price Data'!E468-'Equity Price Data'!E467)/'Equity Price Data'!E467)</f>
        <v>#DIV/0!</v>
      </c>
      <c r="F466" s="4" t="str">
        <f>F465+(('Equity Price Data'!F468-'Equity Price Data'!F467)/'Equity Price Data'!F467)</f>
        <v>#DIV/0!</v>
      </c>
    </row>
    <row r="467">
      <c r="A467" s="43" t="str">
        <f>'Equity Price Data'!A469</f>
        <v/>
      </c>
      <c r="B467" s="4" t="str">
        <f>B466+(('Equity Price Data'!B469-'Equity Price Data'!B468)/'Equity Price Data'!B468)</f>
        <v>#DIV/0!</v>
      </c>
      <c r="C467" s="4" t="str">
        <f>C466+(('Equity Price Data'!C469-'Equity Price Data'!C468)/'Equity Price Data'!C468)</f>
        <v>#DIV/0!</v>
      </c>
      <c r="D467" s="4" t="str">
        <f>D466+(('Equity Price Data'!D469-'Equity Price Data'!D468)/'Equity Price Data'!D468)</f>
        <v>#DIV/0!</v>
      </c>
      <c r="E467" s="4" t="str">
        <f>E466+(('Equity Price Data'!E469-'Equity Price Data'!E468)/'Equity Price Data'!E468)</f>
        <v>#DIV/0!</v>
      </c>
      <c r="F467" s="4" t="str">
        <f>F466+(('Equity Price Data'!F469-'Equity Price Data'!F468)/'Equity Price Data'!F468)</f>
        <v>#DIV/0!</v>
      </c>
    </row>
    <row r="468">
      <c r="A468" s="43" t="str">
        <f>'Equity Price Data'!A470</f>
        <v/>
      </c>
      <c r="B468" s="4" t="str">
        <f>B467+(('Equity Price Data'!B470-'Equity Price Data'!B469)/'Equity Price Data'!B469)</f>
        <v>#DIV/0!</v>
      </c>
      <c r="C468" s="4" t="str">
        <f>C467+(('Equity Price Data'!C470-'Equity Price Data'!C469)/'Equity Price Data'!C469)</f>
        <v>#DIV/0!</v>
      </c>
      <c r="D468" s="4" t="str">
        <f>D467+(('Equity Price Data'!D470-'Equity Price Data'!D469)/'Equity Price Data'!D469)</f>
        <v>#DIV/0!</v>
      </c>
      <c r="E468" s="4" t="str">
        <f>E467+(('Equity Price Data'!E470-'Equity Price Data'!E469)/'Equity Price Data'!E469)</f>
        <v>#DIV/0!</v>
      </c>
      <c r="F468" s="4" t="str">
        <f>F467+(('Equity Price Data'!F470-'Equity Price Data'!F469)/'Equity Price Data'!F469)</f>
        <v>#DIV/0!</v>
      </c>
    </row>
    <row r="469">
      <c r="A469" s="43" t="str">
        <f>'Equity Price Data'!A471</f>
        <v/>
      </c>
      <c r="B469" s="4" t="str">
        <f>B468+(('Equity Price Data'!B471-'Equity Price Data'!B470)/'Equity Price Data'!B470)</f>
        <v>#DIV/0!</v>
      </c>
      <c r="C469" s="4" t="str">
        <f>C468+(('Equity Price Data'!C471-'Equity Price Data'!C470)/'Equity Price Data'!C470)</f>
        <v>#DIV/0!</v>
      </c>
      <c r="D469" s="4" t="str">
        <f>D468+(('Equity Price Data'!D471-'Equity Price Data'!D470)/'Equity Price Data'!D470)</f>
        <v>#DIV/0!</v>
      </c>
      <c r="E469" s="4" t="str">
        <f>E468+(('Equity Price Data'!E471-'Equity Price Data'!E470)/'Equity Price Data'!E470)</f>
        <v>#DIV/0!</v>
      </c>
      <c r="F469" s="4" t="str">
        <f>F468+(('Equity Price Data'!F471-'Equity Price Data'!F470)/'Equity Price Data'!F470)</f>
        <v>#DIV/0!</v>
      </c>
    </row>
    <row r="470">
      <c r="A470" s="43" t="str">
        <f>'Equity Price Data'!A472</f>
        <v/>
      </c>
      <c r="B470" s="4" t="str">
        <f>B469+(('Equity Price Data'!B472-'Equity Price Data'!B471)/'Equity Price Data'!B471)</f>
        <v>#DIV/0!</v>
      </c>
      <c r="C470" s="4" t="str">
        <f>C469+(('Equity Price Data'!C472-'Equity Price Data'!C471)/'Equity Price Data'!C471)</f>
        <v>#DIV/0!</v>
      </c>
      <c r="D470" s="4" t="str">
        <f>D469+(('Equity Price Data'!D472-'Equity Price Data'!D471)/'Equity Price Data'!D471)</f>
        <v>#DIV/0!</v>
      </c>
      <c r="E470" s="4" t="str">
        <f>E469+(('Equity Price Data'!E472-'Equity Price Data'!E471)/'Equity Price Data'!E471)</f>
        <v>#DIV/0!</v>
      </c>
      <c r="F470" s="4" t="str">
        <f>F469+(('Equity Price Data'!F472-'Equity Price Data'!F471)/'Equity Price Data'!F471)</f>
        <v>#DIV/0!</v>
      </c>
    </row>
    <row r="471">
      <c r="A471" s="43" t="str">
        <f>'Equity Price Data'!A473</f>
        <v/>
      </c>
      <c r="B471" s="4" t="str">
        <f>B470+(('Equity Price Data'!B473-'Equity Price Data'!B472)/'Equity Price Data'!B472)</f>
        <v>#DIV/0!</v>
      </c>
      <c r="C471" s="4" t="str">
        <f>C470+(('Equity Price Data'!C473-'Equity Price Data'!C472)/'Equity Price Data'!C472)</f>
        <v>#DIV/0!</v>
      </c>
      <c r="D471" s="4" t="str">
        <f>D470+(('Equity Price Data'!D473-'Equity Price Data'!D472)/'Equity Price Data'!D472)</f>
        <v>#DIV/0!</v>
      </c>
      <c r="E471" s="4" t="str">
        <f>E470+(('Equity Price Data'!E473-'Equity Price Data'!E472)/'Equity Price Data'!E472)</f>
        <v>#DIV/0!</v>
      </c>
      <c r="F471" s="4" t="str">
        <f>F470+(('Equity Price Data'!F473-'Equity Price Data'!F472)/'Equity Price Data'!F472)</f>
        <v>#DIV/0!</v>
      </c>
    </row>
    <row r="472">
      <c r="A472" s="43" t="str">
        <f>'Equity Price Data'!A474</f>
        <v/>
      </c>
      <c r="B472" s="4" t="str">
        <f>B471+(('Equity Price Data'!B474-'Equity Price Data'!B473)/'Equity Price Data'!B473)</f>
        <v>#DIV/0!</v>
      </c>
      <c r="C472" s="4" t="str">
        <f>C471+(('Equity Price Data'!C474-'Equity Price Data'!C473)/'Equity Price Data'!C473)</f>
        <v>#DIV/0!</v>
      </c>
      <c r="D472" s="4" t="str">
        <f>D471+(('Equity Price Data'!D474-'Equity Price Data'!D473)/'Equity Price Data'!D473)</f>
        <v>#DIV/0!</v>
      </c>
      <c r="E472" s="4" t="str">
        <f>E471+(('Equity Price Data'!E474-'Equity Price Data'!E473)/'Equity Price Data'!E473)</f>
        <v>#DIV/0!</v>
      </c>
      <c r="F472" s="4" t="str">
        <f>F471+(('Equity Price Data'!F474-'Equity Price Data'!F473)/'Equity Price Data'!F473)</f>
        <v>#DIV/0!</v>
      </c>
    </row>
    <row r="473">
      <c r="A473" s="43" t="str">
        <f>'Equity Price Data'!A475</f>
        <v/>
      </c>
      <c r="B473" s="4" t="str">
        <f>B472+(('Equity Price Data'!B475-'Equity Price Data'!B474)/'Equity Price Data'!B474)</f>
        <v>#DIV/0!</v>
      </c>
      <c r="C473" s="4" t="str">
        <f>C472+(('Equity Price Data'!C475-'Equity Price Data'!C474)/'Equity Price Data'!C474)</f>
        <v>#DIV/0!</v>
      </c>
      <c r="D473" s="4" t="str">
        <f>D472+(('Equity Price Data'!D475-'Equity Price Data'!D474)/'Equity Price Data'!D474)</f>
        <v>#DIV/0!</v>
      </c>
      <c r="E473" s="4" t="str">
        <f>E472+(('Equity Price Data'!E475-'Equity Price Data'!E474)/'Equity Price Data'!E474)</f>
        <v>#DIV/0!</v>
      </c>
      <c r="F473" s="4" t="str">
        <f>F472+(('Equity Price Data'!F475-'Equity Price Data'!F474)/'Equity Price Data'!F474)</f>
        <v>#DIV/0!</v>
      </c>
    </row>
    <row r="474">
      <c r="A474" s="43" t="str">
        <f>'Equity Price Data'!A476</f>
        <v/>
      </c>
      <c r="B474" s="4" t="str">
        <f>B473+(('Equity Price Data'!B476-'Equity Price Data'!B475)/'Equity Price Data'!B475)</f>
        <v>#DIV/0!</v>
      </c>
      <c r="C474" s="4" t="str">
        <f>C473+(('Equity Price Data'!C476-'Equity Price Data'!C475)/'Equity Price Data'!C475)</f>
        <v>#DIV/0!</v>
      </c>
      <c r="D474" s="4" t="str">
        <f>D473+(('Equity Price Data'!D476-'Equity Price Data'!D475)/'Equity Price Data'!D475)</f>
        <v>#DIV/0!</v>
      </c>
      <c r="E474" s="4" t="str">
        <f>E473+(('Equity Price Data'!E476-'Equity Price Data'!E475)/'Equity Price Data'!E475)</f>
        <v>#DIV/0!</v>
      </c>
      <c r="F474" s="4" t="str">
        <f>F473+(('Equity Price Data'!F476-'Equity Price Data'!F475)/'Equity Price Data'!F475)</f>
        <v>#DIV/0!</v>
      </c>
    </row>
    <row r="475">
      <c r="A475" s="43" t="str">
        <f>'Equity Price Data'!A477</f>
        <v/>
      </c>
      <c r="B475" s="4" t="str">
        <f>B474+(('Equity Price Data'!B477-'Equity Price Data'!B476)/'Equity Price Data'!B476)</f>
        <v>#DIV/0!</v>
      </c>
      <c r="C475" s="4" t="str">
        <f>C474+(('Equity Price Data'!C477-'Equity Price Data'!C476)/'Equity Price Data'!C476)</f>
        <v>#DIV/0!</v>
      </c>
      <c r="D475" s="4" t="str">
        <f>D474+(('Equity Price Data'!D477-'Equity Price Data'!D476)/'Equity Price Data'!D476)</f>
        <v>#DIV/0!</v>
      </c>
      <c r="E475" s="4" t="str">
        <f>E474+(('Equity Price Data'!E477-'Equity Price Data'!E476)/'Equity Price Data'!E476)</f>
        <v>#DIV/0!</v>
      </c>
      <c r="F475" s="4" t="str">
        <f>F474+(('Equity Price Data'!F477-'Equity Price Data'!F476)/'Equity Price Data'!F476)</f>
        <v>#DIV/0!</v>
      </c>
    </row>
    <row r="476">
      <c r="A476" s="43" t="str">
        <f>'Equity Price Data'!A478</f>
        <v/>
      </c>
      <c r="B476" s="4" t="str">
        <f>B475+(('Equity Price Data'!B478-'Equity Price Data'!B477)/'Equity Price Data'!B477)</f>
        <v>#DIV/0!</v>
      </c>
      <c r="C476" s="4" t="str">
        <f>C475+(('Equity Price Data'!C478-'Equity Price Data'!C477)/'Equity Price Data'!C477)</f>
        <v>#DIV/0!</v>
      </c>
      <c r="D476" s="4" t="str">
        <f>D475+(('Equity Price Data'!D478-'Equity Price Data'!D477)/'Equity Price Data'!D477)</f>
        <v>#DIV/0!</v>
      </c>
      <c r="E476" s="4" t="str">
        <f>E475+(('Equity Price Data'!E478-'Equity Price Data'!E477)/'Equity Price Data'!E477)</f>
        <v>#DIV/0!</v>
      </c>
      <c r="F476" s="4" t="str">
        <f>F475+(('Equity Price Data'!F478-'Equity Price Data'!F477)/'Equity Price Data'!F477)</f>
        <v>#DIV/0!</v>
      </c>
    </row>
    <row r="477">
      <c r="A477" s="43" t="str">
        <f>'Equity Price Data'!A479</f>
        <v/>
      </c>
      <c r="B477" s="4" t="str">
        <f>B476+(('Equity Price Data'!B479-'Equity Price Data'!B478)/'Equity Price Data'!B478)</f>
        <v>#DIV/0!</v>
      </c>
      <c r="C477" s="4" t="str">
        <f>C476+(('Equity Price Data'!C479-'Equity Price Data'!C478)/'Equity Price Data'!C478)</f>
        <v>#DIV/0!</v>
      </c>
      <c r="D477" s="4" t="str">
        <f>D476+(('Equity Price Data'!D479-'Equity Price Data'!D478)/'Equity Price Data'!D478)</f>
        <v>#DIV/0!</v>
      </c>
      <c r="E477" s="4" t="str">
        <f>E476+(('Equity Price Data'!E479-'Equity Price Data'!E478)/'Equity Price Data'!E478)</f>
        <v>#DIV/0!</v>
      </c>
      <c r="F477" s="4" t="str">
        <f>F476+(('Equity Price Data'!F479-'Equity Price Data'!F478)/'Equity Price Data'!F478)</f>
        <v>#DIV/0!</v>
      </c>
    </row>
    <row r="478">
      <c r="A478" s="43" t="str">
        <f>'Equity Price Data'!A480</f>
        <v/>
      </c>
      <c r="B478" s="4" t="str">
        <f>B477+(('Equity Price Data'!B480-'Equity Price Data'!B479)/'Equity Price Data'!B479)</f>
        <v>#DIV/0!</v>
      </c>
      <c r="C478" s="4" t="str">
        <f>C477+(('Equity Price Data'!C480-'Equity Price Data'!C479)/'Equity Price Data'!C479)</f>
        <v>#DIV/0!</v>
      </c>
      <c r="D478" s="4" t="str">
        <f>D477+(('Equity Price Data'!D480-'Equity Price Data'!D479)/'Equity Price Data'!D479)</f>
        <v>#DIV/0!</v>
      </c>
      <c r="E478" s="4" t="str">
        <f>E477+(('Equity Price Data'!E480-'Equity Price Data'!E479)/'Equity Price Data'!E479)</f>
        <v>#DIV/0!</v>
      </c>
      <c r="F478" s="4" t="str">
        <f>F477+(('Equity Price Data'!F480-'Equity Price Data'!F479)/'Equity Price Data'!F479)</f>
        <v>#DIV/0!</v>
      </c>
    </row>
    <row r="479">
      <c r="A479" s="43" t="str">
        <f>'Equity Price Data'!A481</f>
        <v/>
      </c>
      <c r="B479" s="4" t="str">
        <f>B478+(('Equity Price Data'!B481-'Equity Price Data'!B480)/'Equity Price Data'!B480)</f>
        <v>#DIV/0!</v>
      </c>
      <c r="C479" s="4" t="str">
        <f>C478+(('Equity Price Data'!C481-'Equity Price Data'!C480)/'Equity Price Data'!C480)</f>
        <v>#DIV/0!</v>
      </c>
      <c r="D479" s="4" t="str">
        <f>D478+(('Equity Price Data'!D481-'Equity Price Data'!D480)/'Equity Price Data'!D480)</f>
        <v>#DIV/0!</v>
      </c>
      <c r="E479" s="4" t="str">
        <f>E478+(('Equity Price Data'!E481-'Equity Price Data'!E480)/'Equity Price Data'!E480)</f>
        <v>#DIV/0!</v>
      </c>
      <c r="F479" s="4" t="str">
        <f>F478+(('Equity Price Data'!F481-'Equity Price Data'!F480)/'Equity Price Data'!F480)</f>
        <v>#DIV/0!</v>
      </c>
    </row>
    <row r="480">
      <c r="A480" s="43" t="str">
        <f>'Equity Price Data'!A482</f>
        <v/>
      </c>
      <c r="B480" s="4" t="str">
        <f>B479+(('Equity Price Data'!B482-'Equity Price Data'!B481)/'Equity Price Data'!B481)</f>
        <v>#DIV/0!</v>
      </c>
      <c r="C480" s="4" t="str">
        <f>C479+(('Equity Price Data'!C482-'Equity Price Data'!C481)/'Equity Price Data'!C481)</f>
        <v>#DIV/0!</v>
      </c>
      <c r="D480" s="4" t="str">
        <f>D479+(('Equity Price Data'!D482-'Equity Price Data'!D481)/'Equity Price Data'!D481)</f>
        <v>#DIV/0!</v>
      </c>
      <c r="E480" s="4" t="str">
        <f>E479+(('Equity Price Data'!E482-'Equity Price Data'!E481)/'Equity Price Data'!E481)</f>
        <v>#DIV/0!</v>
      </c>
      <c r="F480" s="4" t="str">
        <f>F479+(('Equity Price Data'!F482-'Equity Price Data'!F481)/'Equity Price Data'!F481)</f>
        <v>#DIV/0!</v>
      </c>
    </row>
    <row r="481">
      <c r="A481" s="43" t="str">
        <f>'Equity Price Data'!A483</f>
        <v/>
      </c>
      <c r="B481" s="4" t="str">
        <f>B480+(('Equity Price Data'!B483-'Equity Price Data'!B482)/'Equity Price Data'!B482)</f>
        <v>#DIV/0!</v>
      </c>
      <c r="C481" s="4" t="str">
        <f>C480+(('Equity Price Data'!C483-'Equity Price Data'!C482)/'Equity Price Data'!C482)</f>
        <v>#DIV/0!</v>
      </c>
      <c r="D481" s="4" t="str">
        <f>D480+(('Equity Price Data'!D483-'Equity Price Data'!D482)/'Equity Price Data'!D482)</f>
        <v>#DIV/0!</v>
      </c>
      <c r="E481" s="4" t="str">
        <f>E480+(('Equity Price Data'!E483-'Equity Price Data'!E482)/'Equity Price Data'!E482)</f>
        <v>#DIV/0!</v>
      </c>
      <c r="F481" s="4" t="str">
        <f>F480+(('Equity Price Data'!F483-'Equity Price Data'!F482)/'Equity Price Data'!F482)</f>
        <v>#DIV/0!</v>
      </c>
    </row>
    <row r="482">
      <c r="A482" s="43" t="str">
        <f>'Equity Price Data'!A484</f>
        <v/>
      </c>
      <c r="B482" s="4" t="str">
        <f>B481+(('Equity Price Data'!B484-'Equity Price Data'!B483)/'Equity Price Data'!B483)</f>
        <v>#DIV/0!</v>
      </c>
      <c r="C482" s="4" t="str">
        <f>C481+(('Equity Price Data'!C484-'Equity Price Data'!C483)/'Equity Price Data'!C483)</f>
        <v>#DIV/0!</v>
      </c>
      <c r="D482" s="4" t="str">
        <f>D481+(('Equity Price Data'!D484-'Equity Price Data'!D483)/'Equity Price Data'!D483)</f>
        <v>#DIV/0!</v>
      </c>
      <c r="E482" s="4" t="str">
        <f>E481+(('Equity Price Data'!E484-'Equity Price Data'!E483)/'Equity Price Data'!E483)</f>
        <v>#DIV/0!</v>
      </c>
      <c r="F482" s="4" t="str">
        <f>F481+(('Equity Price Data'!F484-'Equity Price Data'!F483)/'Equity Price Data'!F483)</f>
        <v>#DIV/0!</v>
      </c>
    </row>
    <row r="483">
      <c r="A483" s="43" t="str">
        <f>'Equity Price Data'!A485</f>
        <v/>
      </c>
      <c r="B483" s="4" t="str">
        <f>B482+(('Equity Price Data'!B485-'Equity Price Data'!B484)/'Equity Price Data'!B484)</f>
        <v>#DIV/0!</v>
      </c>
      <c r="C483" s="4" t="str">
        <f>C482+(('Equity Price Data'!C485-'Equity Price Data'!C484)/'Equity Price Data'!C484)</f>
        <v>#DIV/0!</v>
      </c>
      <c r="D483" s="4" t="str">
        <f>D482+(('Equity Price Data'!D485-'Equity Price Data'!D484)/'Equity Price Data'!D484)</f>
        <v>#DIV/0!</v>
      </c>
      <c r="E483" s="4" t="str">
        <f>E482+(('Equity Price Data'!E485-'Equity Price Data'!E484)/'Equity Price Data'!E484)</f>
        <v>#DIV/0!</v>
      </c>
      <c r="F483" s="4" t="str">
        <f>F482+(('Equity Price Data'!F485-'Equity Price Data'!F484)/'Equity Price Data'!F484)</f>
        <v>#DIV/0!</v>
      </c>
    </row>
    <row r="484">
      <c r="A484" s="43" t="str">
        <f>'Equity Price Data'!A486</f>
        <v/>
      </c>
      <c r="B484" s="4" t="str">
        <f>B483+(('Equity Price Data'!B486-'Equity Price Data'!B485)/'Equity Price Data'!B485)</f>
        <v>#DIV/0!</v>
      </c>
      <c r="C484" s="4" t="str">
        <f>C483+(('Equity Price Data'!C486-'Equity Price Data'!C485)/'Equity Price Data'!C485)</f>
        <v>#DIV/0!</v>
      </c>
      <c r="D484" s="4" t="str">
        <f>D483+(('Equity Price Data'!D486-'Equity Price Data'!D485)/'Equity Price Data'!D485)</f>
        <v>#DIV/0!</v>
      </c>
      <c r="E484" s="4" t="str">
        <f>E483+(('Equity Price Data'!E486-'Equity Price Data'!E485)/'Equity Price Data'!E485)</f>
        <v>#DIV/0!</v>
      </c>
      <c r="F484" s="4" t="str">
        <f>F483+(('Equity Price Data'!F486-'Equity Price Data'!F485)/'Equity Price Data'!F485)</f>
        <v>#DIV/0!</v>
      </c>
    </row>
    <row r="485">
      <c r="A485" s="43" t="str">
        <f>'Equity Price Data'!A487</f>
        <v/>
      </c>
      <c r="B485" s="4" t="str">
        <f>B484+(('Equity Price Data'!B487-'Equity Price Data'!B486)/'Equity Price Data'!B486)</f>
        <v>#DIV/0!</v>
      </c>
      <c r="C485" s="4" t="str">
        <f>C484+(('Equity Price Data'!C487-'Equity Price Data'!C486)/'Equity Price Data'!C486)</f>
        <v>#DIV/0!</v>
      </c>
      <c r="D485" s="4" t="str">
        <f>D484+(('Equity Price Data'!D487-'Equity Price Data'!D486)/'Equity Price Data'!D486)</f>
        <v>#DIV/0!</v>
      </c>
      <c r="E485" s="4" t="str">
        <f>E484+(('Equity Price Data'!E487-'Equity Price Data'!E486)/'Equity Price Data'!E486)</f>
        <v>#DIV/0!</v>
      </c>
      <c r="F485" s="4" t="str">
        <f>F484+(('Equity Price Data'!F487-'Equity Price Data'!F486)/'Equity Price Data'!F486)</f>
        <v>#DIV/0!</v>
      </c>
    </row>
    <row r="486">
      <c r="A486" s="43" t="str">
        <f>'Equity Price Data'!A488</f>
        <v/>
      </c>
      <c r="B486" s="4" t="str">
        <f>B485+(('Equity Price Data'!B488-'Equity Price Data'!B487)/'Equity Price Data'!B487)</f>
        <v>#DIV/0!</v>
      </c>
      <c r="C486" s="4" t="str">
        <f>C485+(('Equity Price Data'!C488-'Equity Price Data'!C487)/'Equity Price Data'!C487)</f>
        <v>#DIV/0!</v>
      </c>
      <c r="D486" s="4" t="str">
        <f>D485+(('Equity Price Data'!D488-'Equity Price Data'!D487)/'Equity Price Data'!D487)</f>
        <v>#DIV/0!</v>
      </c>
      <c r="E486" s="4" t="str">
        <f>E485+(('Equity Price Data'!E488-'Equity Price Data'!E487)/'Equity Price Data'!E487)</f>
        <v>#DIV/0!</v>
      </c>
      <c r="F486" s="4" t="str">
        <f>F485+(('Equity Price Data'!F488-'Equity Price Data'!F487)/'Equity Price Data'!F487)</f>
        <v>#DIV/0!</v>
      </c>
    </row>
    <row r="487">
      <c r="A487" s="43" t="str">
        <f>'Equity Price Data'!A489</f>
        <v/>
      </c>
      <c r="B487" s="4" t="str">
        <f>B486+(('Equity Price Data'!B489-'Equity Price Data'!B488)/'Equity Price Data'!B488)</f>
        <v>#DIV/0!</v>
      </c>
      <c r="C487" s="4" t="str">
        <f>C486+(('Equity Price Data'!C489-'Equity Price Data'!C488)/'Equity Price Data'!C488)</f>
        <v>#DIV/0!</v>
      </c>
      <c r="D487" s="4" t="str">
        <f>D486+(('Equity Price Data'!D489-'Equity Price Data'!D488)/'Equity Price Data'!D488)</f>
        <v>#DIV/0!</v>
      </c>
      <c r="E487" s="4" t="str">
        <f>E486+(('Equity Price Data'!E489-'Equity Price Data'!E488)/'Equity Price Data'!E488)</f>
        <v>#DIV/0!</v>
      </c>
      <c r="F487" s="4" t="str">
        <f>F486+(('Equity Price Data'!F489-'Equity Price Data'!F488)/'Equity Price Data'!F488)</f>
        <v>#DIV/0!</v>
      </c>
    </row>
    <row r="488">
      <c r="A488" s="43" t="str">
        <f>'Equity Price Data'!A490</f>
        <v/>
      </c>
      <c r="B488" s="4" t="str">
        <f>B487+(('Equity Price Data'!B490-'Equity Price Data'!B489)/'Equity Price Data'!B489)</f>
        <v>#DIV/0!</v>
      </c>
      <c r="C488" s="4" t="str">
        <f>C487+(('Equity Price Data'!C490-'Equity Price Data'!C489)/'Equity Price Data'!C489)</f>
        <v>#DIV/0!</v>
      </c>
      <c r="D488" s="4" t="str">
        <f>D487+(('Equity Price Data'!D490-'Equity Price Data'!D489)/'Equity Price Data'!D489)</f>
        <v>#DIV/0!</v>
      </c>
      <c r="E488" s="4" t="str">
        <f>E487+(('Equity Price Data'!E490-'Equity Price Data'!E489)/'Equity Price Data'!E489)</f>
        <v>#DIV/0!</v>
      </c>
      <c r="F488" s="4" t="str">
        <f>F487+(('Equity Price Data'!F490-'Equity Price Data'!F489)/'Equity Price Data'!F489)</f>
        <v>#DIV/0!</v>
      </c>
    </row>
    <row r="489">
      <c r="A489" s="43" t="str">
        <f>'Equity Price Data'!A491</f>
        <v/>
      </c>
      <c r="B489" s="4" t="str">
        <f>B488+(('Equity Price Data'!B491-'Equity Price Data'!B490)/'Equity Price Data'!B490)</f>
        <v>#DIV/0!</v>
      </c>
      <c r="C489" s="4" t="str">
        <f>C488+(('Equity Price Data'!C491-'Equity Price Data'!C490)/'Equity Price Data'!C490)</f>
        <v>#DIV/0!</v>
      </c>
      <c r="D489" s="4" t="str">
        <f>D488+(('Equity Price Data'!D491-'Equity Price Data'!D490)/'Equity Price Data'!D490)</f>
        <v>#DIV/0!</v>
      </c>
      <c r="E489" s="4" t="str">
        <f>E488+(('Equity Price Data'!E491-'Equity Price Data'!E490)/'Equity Price Data'!E490)</f>
        <v>#DIV/0!</v>
      </c>
      <c r="F489" s="4" t="str">
        <f>F488+(('Equity Price Data'!F491-'Equity Price Data'!F490)/'Equity Price Data'!F490)</f>
        <v>#DIV/0!</v>
      </c>
    </row>
    <row r="490">
      <c r="A490" s="43" t="str">
        <f>'Equity Price Data'!A492</f>
        <v/>
      </c>
      <c r="B490" s="4" t="str">
        <f>B489+(('Equity Price Data'!B492-'Equity Price Data'!B491)/'Equity Price Data'!B491)</f>
        <v>#DIV/0!</v>
      </c>
      <c r="C490" s="4" t="str">
        <f>C489+(('Equity Price Data'!C492-'Equity Price Data'!C491)/'Equity Price Data'!C491)</f>
        <v>#DIV/0!</v>
      </c>
      <c r="D490" s="4" t="str">
        <f>D489+(('Equity Price Data'!D492-'Equity Price Data'!D491)/'Equity Price Data'!D491)</f>
        <v>#DIV/0!</v>
      </c>
      <c r="E490" s="4" t="str">
        <f>E489+(('Equity Price Data'!E492-'Equity Price Data'!E491)/'Equity Price Data'!E491)</f>
        <v>#DIV/0!</v>
      </c>
      <c r="F490" s="4" t="str">
        <f>F489+(('Equity Price Data'!F492-'Equity Price Data'!F491)/'Equity Price Data'!F491)</f>
        <v>#DIV/0!</v>
      </c>
    </row>
    <row r="491">
      <c r="A491" s="43" t="str">
        <f>'Equity Price Data'!A493</f>
        <v/>
      </c>
      <c r="B491" s="4" t="str">
        <f>B490+(('Equity Price Data'!B493-'Equity Price Data'!B492)/'Equity Price Data'!B492)</f>
        <v>#DIV/0!</v>
      </c>
      <c r="C491" s="4" t="str">
        <f>C490+(('Equity Price Data'!C493-'Equity Price Data'!C492)/'Equity Price Data'!C492)</f>
        <v>#DIV/0!</v>
      </c>
      <c r="D491" s="4" t="str">
        <f>D490+(('Equity Price Data'!D493-'Equity Price Data'!D492)/'Equity Price Data'!D492)</f>
        <v>#DIV/0!</v>
      </c>
      <c r="E491" s="4" t="str">
        <f>E490+(('Equity Price Data'!E493-'Equity Price Data'!E492)/'Equity Price Data'!E492)</f>
        <v>#DIV/0!</v>
      </c>
      <c r="F491" s="4" t="str">
        <f>F490+(('Equity Price Data'!F493-'Equity Price Data'!F492)/'Equity Price Data'!F492)</f>
        <v>#DIV/0!</v>
      </c>
    </row>
    <row r="492">
      <c r="A492" s="43" t="str">
        <f>'Equity Price Data'!A494</f>
        <v/>
      </c>
      <c r="B492" s="4" t="str">
        <f>B491+(('Equity Price Data'!B494-'Equity Price Data'!B493)/'Equity Price Data'!B493)</f>
        <v>#DIV/0!</v>
      </c>
      <c r="C492" s="4" t="str">
        <f>C491+(('Equity Price Data'!C494-'Equity Price Data'!C493)/'Equity Price Data'!C493)</f>
        <v>#DIV/0!</v>
      </c>
      <c r="D492" s="4" t="str">
        <f>D491+(('Equity Price Data'!D494-'Equity Price Data'!D493)/'Equity Price Data'!D493)</f>
        <v>#DIV/0!</v>
      </c>
      <c r="E492" s="4" t="str">
        <f>E491+(('Equity Price Data'!E494-'Equity Price Data'!E493)/'Equity Price Data'!E493)</f>
        <v>#DIV/0!</v>
      </c>
      <c r="F492" s="4" t="str">
        <f>F491+(('Equity Price Data'!F494-'Equity Price Data'!F493)/'Equity Price Data'!F493)</f>
        <v>#DIV/0!</v>
      </c>
    </row>
    <row r="493">
      <c r="A493" s="43" t="str">
        <f>'Equity Price Data'!A495</f>
        <v/>
      </c>
      <c r="B493" s="4" t="str">
        <f>B492+(('Equity Price Data'!B495-'Equity Price Data'!B494)/'Equity Price Data'!B494)</f>
        <v>#DIV/0!</v>
      </c>
      <c r="C493" s="4" t="str">
        <f>C492+(('Equity Price Data'!C495-'Equity Price Data'!C494)/'Equity Price Data'!C494)</f>
        <v>#DIV/0!</v>
      </c>
      <c r="D493" s="4" t="str">
        <f>D492+(('Equity Price Data'!D495-'Equity Price Data'!D494)/'Equity Price Data'!D494)</f>
        <v>#DIV/0!</v>
      </c>
      <c r="E493" s="4" t="str">
        <f>E492+(('Equity Price Data'!E495-'Equity Price Data'!E494)/'Equity Price Data'!E494)</f>
        <v>#DIV/0!</v>
      </c>
      <c r="F493" s="4" t="str">
        <f>F492+(('Equity Price Data'!F495-'Equity Price Data'!F494)/'Equity Price Data'!F494)</f>
        <v>#DIV/0!</v>
      </c>
    </row>
    <row r="494">
      <c r="A494" s="43" t="str">
        <f>'Equity Price Data'!A496</f>
        <v/>
      </c>
      <c r="B494" s="4" t="str">
        <f>B493+(('Equity Price Data'!B496-'Equity Price Data'!B495)/'Equity Price Data'!B495)</f>
        <v>#DIV/0!</v>
      </c>
      <c r="C494" s="4" t="str">
        <f>C493+(('Equity Price Data'!C496-'Equity Price Data'!C495)/'Equity Price Data'!C495)</f>
        <v>#DIV/0!</v>
      </c>
      <c r="D494" s="4" t="str">
        <f>D493+(('Equity Price Data'!D496-'Equity Price Data'!D495)/'Equity Price Data'!D495)</f>
        <v>#DIV/0!</v>
      </c>
      <c r="E494" s="4" t="str">
        <f>E493+(('Equity Price Data'!E496-'Equity Price Data'!E495)/'Equity Price Data'!E495)</f>
        <v>#DIV/0!</v>
      </c>
      <c r="F494" s="4" t="str">
        <f>F493+(('Equity Price Data'!F496-'Equity Price Data'!F495)/'Equity Price Data'!F495)</f>
        <v>#DIV/0!</v>
      </c>
    </row>
    <row r="495">
      <c r="A495" s="43" t="str">
        <f>'Equity Price Data'!A497</f>
        <v/>
      </c>
      <c r="B495" s="4" t="str">
        <f>B494+(('Equity Price Data'!B497-'Equity Price Data'!B496)/'Equity Price Data'!B496)</f>
        <v>#DIV/0!</v>
      </c>
      <c r="C495" s="4" t="str">
        <f>C494+(('Equity Price Data'!C497-'Equity Price Data'!C496)/'Equity Price Data'!C496)</f>
        <v>#DIV/0!</v>
      </c>
      <c r="D495" s="4" t="str">
        <f>D494+(('Equity Price Data'!D497-'Equity Price Data'!D496)/'Equity Price Data'!D496)</f>
        <v>#DIV/0!</v>
      </c>
      <c r="E495" s="4" t="str">
        <f>E494+(('Equity Price Data'!E497-'Equity Price Data'!E496)/'Equity Price Data'!E496)</f>
        <v>#DIV/0!</v>
      </c>
      <c r="F495" s="4" t="str">
        <f>F494+(('Equity Price Data'!F497-'Equity Price Data'!F496)/'Equity Price Data'!F496)</f>
        <v>#DIV/0!</v>
      </c>
    </row>
    <row r="496">
      <c r="A496" s="43" t="str">
        <f>'Equity Price Data'!A498</f>
        <v/>
      </c>
      <c r="B496" s="4" t="str">
        <f>B495+(('Equity Price Data'!B498-'Equity Price Data'!B497)/'Equity Price Data'!B497)</f>
        <v>#DIV/0!</v>
      </c>
      <c r="C496" s="4" t="str">
        <f>C495+(('Equity Price Data'!C498-'Equity Price Data'!C497)/'Equity Price Data'!C497)</f>
        <v>#DIV/0!</v>
      </c>
      <c r="D496" s="4" t="str">
        <f>D495+(('Equity Price Data'!D498-'Equity Price Data'!D497)/'Equity Price Data'!D497)</f>
        <v>#DIV/0!</v>
      </c>
      <c r="E496" s="4" t="str">
        <f>E495+(('Equity Price Data'!E498-'Equity Price Data'!E497)/'Equity Price Data'!E497)</f>
        <v>#DIV/0!</v>
      </c>
      <c r="F496" s="4" t="str">
        <f>F495+(('Equity Price Data'!F498-'Equity Price Data'!F497)/'Equity Price Data'!F497)</f>
        <v>#DIV/0!</v>
      </c>
    </row>
    <row r="497">
      <c r="A497" s="43" t="str">
        <f>'Equity Price Data'!A499</f>
        <v/>
      </c>
      <c r="B497" s="4" t="str">
        <f>B496+(('Equity Price Data'!B499-'Equity Price Data'!B498)/'Equity Price Data'!B498)</f>
        <v>#DIV/0!</v>
      </c>
      <c r="C497" s="4" t="str">
        <f>C496+(('Equity Price Data'!C499-'Equity Price Data'!C498)/'Equity Price Data'!C498)</f>
        <v>#DIV/0!</v>
      </c>
      <c r="D497" s="4" t="str">
        <f>D496+(('Equity Price Data'!D499-'Equity Price Data'!D498)/'Equity Price Data'!D498)</f>
        <v>#DIV/0!</v>
      </c>
      <c r="E497" s="4" t="str">
        <f>E496+(('Equity Price Data'!E499-'Equity Price Data'!E498)/'Equity Price Data'!E498)</f>
        <v>#DIV/0!</v>
      </c>
      <c r="F497" s="4" t="str">
        <f>F496+(('Equity Price Data'!F499-'Equity Price Data'!F498)/'Equity Price Data'!F498)</f>
        <v>#DIV/0!</v>
      </c>
    </row>
    <row r="498">
      <c r="A498" s="43" t="str">
        <f>'Equity Price Data'!A500</f>
        <v/>
      </c>
      <c r="B498" s="4" t="str">
        <f>B497+(('Equity Price Data'!B500-'Equity Price Data'!B499)/'Equity Price Data'!B499)</f>
        <v>#DIV/0!</v>
      </c>
      <c r="C498" s="4" t="str">
        <f>C497+(('Equity Price Data'!C500-'Equity Price Data'!C499)/'Equity Price Data'!C499)</f>
        <v>#DIV/0!</v>
      </c>
      <c r="D498" s="4" t="str">
        <f>D497+(('Equity Price Data'!D500-'Equity Price Data'!D499)/'Equity Price Data'!D499)</f>
        <v>#DIV/0!</v>
      </c>
      <c r="E498" s="4" t="str">
        <f>E497+(('Equity Price Data'!E500-'Equity Price Data'!E499)/'Equity Price Data'!E499)</f>
        <v>#DIV/0!</v>
      </c>
      <c r="F498" s="4" t="str">
        <f>F497+(('Equity Price Data'!F500-'Equity Price Data'!F499)/'Equity Price Data'!F499)</f>
        <v>#DIV/0!</v>
      </c>
    </row>
    <row r="499">
      <c r="A499" s="43" t="str">
        <f>'Equity Price Data'!A501</f>
        <v/>
      </c>
      <c r="B499" s="4" t="str">
        <f>B498+(('Equity Price Data'!B501-'Equity Price Data'!B500)/'Equity Price Data'!B500)</f>
        <v>#DIV/0!</v>
      </c>
      <c r="C499" s="4" t="str">
        <f>C498+(('Equity Price Data'!C501-'Equity Price Data'!C500)/'Equity Price Data'!C500)</f>
        <v>#DIV/0!</v>
      </c>
      <c r="D499" s="4" t="str">
        <f>D498+(('Equity Price Data'!D501-'Equity Price Data'!D500)/'Equity Price Data'!D500)</f>
        <v>#DIV/0!</v>
      </c>
      <c r="E499" s="4" t="str">
        <f>E498+(('Equity Price Data'!E501-'Equity Price Data'!E500)/'Equity Price Data'!E500)</f>
        <v>#DIV/0!</v>
      </c>
      <c r="F499" s="4" t="str">
        <f>F498+(('Equity Price Data'!F501-'Equity Price Data'!F500)/'Equity Price Data'!F500)</f>
        <v>#DIV/0!</v>
      </c>
    </row>
    <row r="500">
      <c r="A500" s="43" t="str">
        <f>'Equity Price Data'!A502</f>
        <v/>
      </c>
      <c r="B500" s="4" t="str">
        <f>B499+(('Equity Price Data'!B502-'Equity Price Data'!B501)/'Equity Price Data'!B501)</f>
        <v>#DIV/0!</v>
      </c>
      <c r="C500" s="4" t="str">
        <f>C499+(('Equity Price Data'!C502-'Equity Price Data'!C501)/'Equity Price Data'!C501)</f>
        <v>#DIV/0!</v>
      </c>
      <c r="D500" s="4" t="str">
        <f>D499+(('Equity Price Data'!D502-'Equity Price Data'!D501)/'Equity Price Data'!D501)</f>
        <v>#DIV/0!</v>
      </c>
      <c r="E500" s="4" t="str">
        <f>E499+(('Equity Price Data'!E502-'Equity Price Data'!E501)/'Equity Price Data'!E501)</f>
        <v>#DIV/0!</v>
      </c>
      <c r="F500" s="4" t="str">
        <f>F499+(('Equity Price Data'!F502-'Equity Price Data'!F501)/'Equity Price Data'!F501)</f>
        <v>#DIV/0!</v>
      </c>
    </row>
    <row r="501">
      <c r="A501" s="1"/>
      <c r="B501" s="4"/>
      <c r="C501" s="1"/>
      <c r="D501" s="1"/>
      <c r="E501" s="1"/>
      <c r="F501" s="1"/>
    </row>
    <row r="502">
      <c r="A502" s="1"/>
      <c r="B502" s="4"/>
      <c r="C502" s="1"/>
      <c r="D502" s="1"/>
      <c r="E502" s="1"/>
      <c r="F502" s="1"/>
    </row>
    <row r="503">
      <c r="A503" s="1"/>
      <c r="B503" s="4"/>
      <c r="C503" s="1"/>
      <c r="D503" s="1"/>
      <c r="E503" s="1"/>
      <c r="F503" s="1"/>
    </row>
    <row r="504">
      <c r="A504" s="1"/>
      <c r="B504" s="4"/>
      <c r="C504" s="1"/>
      <c r="D504" s="1"/>
      <c r="E504" s="1"/>
      <c r="F504" s="1"/>
    </row>
    <row r="505">
      <c r="A505" s="1"/>
      <c r="B505" s="4"/>
      <c r="C505" s="1"/>
      <c r="D505" s="1"/>
      <c r="E505" s="1"/>
      <c r="F505" s="1"/>
    </row>
    <row r="506">
      <c r="A506" s="1"/>
      <c r="B506" s="4"/>
      <c r="C506" s="1"/>
      <c r="D506" s="1"/>
      <c r="E506" s="1"/>
      <c r="F506" s="1"/>
    </row>
    <row r="507">
      <c r="A507" s="1"/>
      <c r="B507" s="4"/>
      <c r="C507" s="1"/>
      <c r="D507" s="1"/>
      <c r="E507" s="1"/>
      <c r="F507" s="1"/>
    </row>
    <row r="508">
      <c r="A508" s="1"/>
      <c r="B508" s="4"/>
      <c r="C508" s="1"/>
      <c r="D508" s="1"/>
      <c r="E508" s="1"/>
      <c r="F508" s="1"/>
    </row>
    <row r="509">
      <c r="A509" s="1"/>
      <c r="B509" s="4"/>
      <c r="C509" s="1"/>
      <c r="D509" s="1"/>
      <c r="E509" s="1"/>
      <c r="F509" s="1"/>
    </row>
    <row r="510">
      <c r="A510" s="1"/>
      <c r="B510" s="4"/>
      <c r="C510" s="1"/>
      <c r="D510" s="1"/>
      <c r="E510" s="1"/>
      <c r="F510" s="1"/>
    </row>
    <row r="511">
      <c r="A511" s="1"/>
      <c r="B511" s="4"/>
      <c r="C511" s="1"/>
      <c r="D511" s="1"/>
      <c r="E511" s="1"/>
      <c r="F511" s="1"/>
    </row>
    <row r="512">
      <c r="A512" s="1"/>
      <c r="B512" s="4"/>
      <c r="C512" s="1"/>
      <c r="D512" s="1"/>
      <c r="E512" s="1"/>
      <c r="F512" s="1"/>
    </row>
    <row r="513">
      <c r="A513" s="1"/>
      <c r="B513" s="4"/>
      <c r="C513" s="1"/>
      <c r="D513" s="1"/>
      <c r="E513" s="1"/>
      <c r="F513" s="1"/>
    </row>
    <row r="514">
      <c r="A514" s="1"/>
      <c r="B514" s="4"/>
      <c r="C514" s="1"/>
      <c r="D514" s="1"/>
      <c r="E514" s="1"/>
      <c r="F514" s="1"/>
    </row>
    <row r="515">
      <c r="A515" s="1"/>
      <c r="B515" s="4"/>
      <c r="C515" s="1"/>
      <c r="D515" s="1"/>
      <c r="E515" s="1"/>
      <c r="F515" s="1"/>
    </row>
    <row r="516">
      <c r="A516" s="1"/>
      <c r="B516" s="4"/>
      <c r="C516" s="1"/>
      <c r="D516" s="1"/>
      <c r="E516" s="1"/>
      <c r="F516" s="1"/>
    </row>
    <row r="517">
      <c r="A517" s="1"/>
      <c r="B517" s="4"/>
      <c r="C517" s="1"/>
      <c r="D517" s="1"/>
      <c r="E517" s="1"/>
      <c r="F517" s="1"/>
    </row>
    <row r="518">
      <c r="A518" s="1"/>
      <c r="B518" s="4"/>
      <c r="C518" s="1"/>
      <c r="D518" s="1"/>
      <c r="E518" s="1"/>
      <c r="F518" s="1"/>
    </row>
    <row r="519">
      <c r="A519" s="1"/>
      <c r="B519" s="4"/>
      <c r="C519" s="1"/>
      <c r="D519" s="1"/>
      <c r="E519" s="1"/>
      <c r="F519" s="1"/>
    </row>
    <row r="520">
      <c r="A520" s="1"/>
      <c r="B520" s="4"/>
      <c r="C520" s="1"/>
      <c r="D520" s="1"/>
      <c r="E520" s="1"/>
      <c r="F520" s="1"/>
    </row>
    <row r="521">
      <c r="A521" s="1"/>
      <c r="B521" s="4"/>
      <c r="C521" s="1"/>
      <c r="D521" s="1"/>
      <c r="E521" s="1"/>
      <c r="F521" s="1"/>
    </row>
    <row r="522">
      <c r="A522" s="1"/>
      <c r="B522" s="4"/>
      <c r="C522" s="1"/>
      <c r="D522" s="1"/>
      <c r="E522" s="1"/>
      <c r="F522" s="1"/>
    </row>
    <row r="523">
      <c r="A523" s="1"/>
      <c r="B523" s="4"/>
      <c r="C523" s="1"/>
      <c r="D523" s="1"/>
      <c r="E523" s="1"/>
      <c r="F523" s="1"/>
    </row>
    <row r="524">
      <c r="A524" s="1"/>
      <c r="B524" s="4"/>
      <c r="C524" s="1"/>
      <c r="D524" s="1"/>
      <c r="E524" s="1"/>
      <c r="F524" s="1"/>
    </row>
    <row r="525">
      <c r="A525" s="1"/>
      <c r="B525" s="4"/>
      <c r="C525" s="1"/>
      <c r="D525" s="1"/>
      <c r="E525" s="1"/>
      <c r="F525" s="1"/>
    </row>
    <row r="526">
      <c r="A526" s="1"/>
      <c r="B526" s="4"/>
      <c r="C526" s="1"/>
      <c r="D526" s="1"/>
      <c r="E526" s="1"/>
      <c r="F526" s="1"/>
    </row>
    <row r="527">
      <c r="A527" s="1"/>
      <c r="B527" s="4"/>
      <c r="C527" s="1"/>
      <c r="D527" s="1"/>
      <c r="E527" s="1"/>
      <c r="F527" s="1"/>
    </row>
    <row r="528">
      <c r="A528" s="1"/>
      <c r="B528" s="4"/>
      <c r="C528" s="1"/>
      <c r="D528" s="1"/>
      <c r="E528" s="1"/>
      <c r="F528" s="1"/>
    </row>
    <row r="529">
      <c r="A529" s="1"/>
      <c r="B529" s="4"/>
      <c r="C529" s="1"/>
      <c r="D529" s="1"/>
      <c r="E529" s="1"/>
      <c r="F529" s="1"/>
    </row>
    <row r="530">
      <c r="A530" s="1"/>
      <c r="B530" s="4"/>
      <c r="C530" s="1"/>
      <c r="D530" s="1"/>
      <c r="E530" s="1"/>
      <c r="F530" s="1"/>
    </row>
    <row r="531">
      <c r="A531" s="1"/>
      <c r="B531" s="4"/>
      <c r="C531" s="1"/>
      <c r="D531" s="1"/>
      <c r="E531" s="1"/>
      <c r="F531" s="1"/>
    </row>
    <row r="532">
      <c r="A532" s="1"/>
      <c r="B532" s="4"/>
      <c r="C532" s="1"/>
      <c r="D532" s="1"/>
      <c r="E532" s="1"/>
      <c r="F532" s="1"/>
    </row>
    <row r="533">
      <c r="A533" s="1"/>
      <c r="B533" s="4"/>
      <c r="C533" s="1"/>
      <c r="D533" s="1"/>
      <c r="E533" s="1"/>
      <c r="F533" s="1"/>
    </row>
    <row r="534">
      <c r="A534" s="1"/>
      <c r="B534" s="4"/>
      <c r="C534" s="1"/>
      <c r="D534" s="1"/>
      <c r="E534" s="1"/>
      <c r="F534" s="1"/>
    </row>
    <row r="535">
      <c r="A535" s="1"/>
      <c r="B535" s="4"/>
      <c r="C535" s="1"/>
      <c r="D535" s="1"/>
      <c r="E535" s="1"/>
      <c r="F535" s="1"/>
    </row>
    <row r="536">
      <c r="A536" s="1"/>
      <c r="B536" s="4"/>
      <c r="C536" s="1"/>
      <c r="D536" s="1"/>
      <c r="E536" s="1"/>
      <c r="F536" s="1"/>
    </row>
    <row r="537">
      <c r="A537" s="1"/>
      <c r="B537" s="4"/>
      <c r="C537" s="1"/>
      <c r="D537" s="1"/>
      <c r="E537" s="1"/>
      <c r="F537" s="1"/>
    </row>
    <row r="538">
      <c r="A538" s="1"/>
      <c r="B538" s="4"/>
      <c r="C538" s="1"/>
      <c r="D538" s="1"/>
      <c r="E538" s="1"/>
      <c r="F538" s="1"/>
    </row>
    <row r="539">
      <c r="A539" s="1"/>
      <c r="B539" s="4"/>
      <c r="C539" s="1"/>
      <c r="D539" s="1"/>
      <c r="E539" s="1"/>
      <c r="F539" s="1"/>
    </row>
    <row r="540">
      <c r="A540" s="1"/>
      <c r="B540" s="4"/>
      <c r="C540" s="1"/>
      <c r="D540" s="1"/>
      <c r="E540" s="1"/>
      <c r="F540" s="1"/>
    </row>
    <row r="541">
      <c r="A541" s="1"/>
      <c r="B541" s="4"/>
      <c r="C541" s="1"/>
      <c r="D541" s="1"/>
      <c r="E541" s="1"/>
      <c r="F541" s="1"/>
    </row>
    <row r="542">
      <c r="A542" s="1"/>
      <c r="B542" s="4"/>
      <c r="C542" s="1"/>
      <c r="D542" s="1"/>
      <c r="E542" s="1"/>
      <c r="F542" s="1"/>
    </row>
    <row r="543">
      <c r="A543" s="1"/>
      <c r="B543" s="4"/>
      <c r="C543" s="1"/>
      <c r="D543" s="1"/>
      <c r="E543" s="1"/>
      <c r="F543" s="1"/>
    </row>
    <row r="544">
      <c r="A544" s="1"/>
      <c r="B544" s="4"/>
      <c r="C544" s="1"/>
      <c r="D544" s="1"/>
      <c r="E544" s="1"/>
      <c r="F544" s="1"/>
    </row>
    <row r="545">
      <c r="A545" s="1"/>
      <c r="B545" s="4"/>
      <c r="C545" s="1"/>
      <c r="D545" s="1"/>
      <c r="E545" s="1"/>
      <c r="F545" s="1"/>
    </row>
    <row r="546">
      <c r="A546" s="1"/>
      <c r="B546" s="4"/>
      <c r="C546" s="1"/>
      <c r="D546" s="1"/>
      <c r="E546" s="1"/>
      <c r="F546" s="1"/>
    </row>
    <row r="547">
      <c r="A547" s="1"/>
      <c r="B547" s="4"/>
      <c r="C547" s="1"/>
      <c r="D547" s="1"/>
      <c r="E547" s="1"/>
      <c r="F547" s="1"/>
    </row>
    <row r="548">
      <c r="A548" s="1"/>
      <c r="B548" s="4"/>
      <c r="C548" s="1"/>
      <c r="D548" s="1"/>
      <c r="E548" s="1"/>
      <c r="F548" s="1"/>
    </row>
    <row r="549">
      <c r="A549" s="1"/>
      <c r="B549" s="4"/>
      <c r="C549" s="1"/>
      <c r="D549" s="1"/>
      <c r="E549" s="1"/>
      <c r="F549" s="1"/>
    </row>
    <row r="550">
      <c r="A550" s="1"/>
      <c r="B550" s="4"/>
      <c r="C550" s="1"/>
      <c r="D550" s="1"/>
      <c r="E550" s="1"/>
      <c r="F550" s="1"/>
    </row>
    <row r="551">
      <c r="A551" s="1"/>
      <c r="B551" s="4"/>
      <c r="C551" s="1"/>
      <c r="D551" s="1"/>
      <c r="E551" s="1"/>
      <c r="F551" s="1"/>
    </row>
    <row r="552">
      <c r="A552" s="1"/>
      <c r="B552" s="4"/>
      <c r="C552" s="1"/>
      <c r="D552" s="1"/>
      <c r="E552" s="1"/>
      <c r="F552" s="1"/>
    </row>
    <row r="553">
      <c r="A553" s="1"/>
      <c r="B553" s="4"/>
      <c r="C553" s="1"/>
      <c r="D553" s="1"/>
      <c r="E553" s="1"/>
      <c r="F553" s="1"/>
    </row>
    <row r="554">
      <c r="A554" s="1"/>
      <c r="B554" s="4"/>
      <c r="C554" s="1"/>
      <c r="D554" s="1"/>
      <c r="E554" s="1"/>
      <c r="F554" s="1"/>
    </row>
    <row r="555">
      <c r="A555" s="1"/>
      <c r="B555" s="4"/>
      <c r="C555" s="1"/>
      <c r="D555" s="1"/>
      <c r="E555" s="1"/>
      <c r="F555" s="1"/>
    </row>
    <row r="556">
      <c r="A556" s="1"/>
      <c r="B556" s="4"/>
      <c r="C556" s="1"/>
      <c r="D556" s="1"/>
      <c r="E556" s="1"/>
      <c r="F556" s="1"/>
    </row>
    <row r="557">
      <c r="A557" s="1"/>
      <c r="B557" s="4"/>
      <c r="C557" s="1"/>
      <c r="D557" s="1"/>
      <c r="E557" s="1"/>
      <c r="F557" s="1"/>
    </row>
    <row r="558">
      <c r="A558" s="1"/>
      <c r="B558" s="4"/>
      <c r="C558" s="1"/>
      <c r="D558" s="1"/>
      <c r="E558" s="1"/>
      <c r="F558" s="1"/>
    </row>
    <row r="559">
      <c r="A559" s="1"/>
      <c r="B559" s="4"/>
      <c r="C559" s="1"/>
      <c r="D559" s="1"/>
      <c r="E559" s="1"/>
      <c r="F559" s="1"/>
    </row>
    <row r="560">
      <c r="A560" s="1"/>
      <c r="B560" s="4"/>
      <c r="C560" s="1"/>
      <c r="D560" s="1"/>
      <c r="E560" s="1"/>
      <c r="F560" s="1"/>
    </row>
    <row r="561">
      <c r="A561" s="1"/>
      <c r="B561" s="4"/>
      <c r="C561" s="1"/>
      <c r="D561" s="1"/>
      <c r="E561" s="1"/>
      <c r="F561" s="1"/>
    </row>
    <row r="562">
      <c r="A562" s="1"/>
      <c r="B562" s="4"/>
      <c r="C562" s="1"/>
      <c r="D562" s="1"/>
      <c r="E562" s="1"/>
      <c r="F562" s="1"/>
    </row>
    <row r="563">
      <c r="A563" s="1"/>
      <c r="B563" s="4"/>
      <c r="C563" s="1"/>
      <c r="D563" s="1"/>
      <c r="E563" s="1"/>
      <c r="F563" s="1"/>
    </row>
    <row r="564">
      <c r="A564" s="1"/>
      <c r="B564" s="4"/>
      <c r="C564" s="1"/>
      <c r="D564" s="1"/>
      <c r="E564" s="1"/>
      <c r="F564" s="1"/>
    </row>
    <row r="565">
      <c r="A565" s="1"/>
      <c r="B565" s="4"/>
      <c r="C565" s="1"/>
      <c r="D565" s="1"/>
      <c r="E565" s="1"/>
      <c r="F565" s="1"/>
    </row>
    <row r="566">
      <c r="A566" s="1"/>
      <c r="B566" s="4"/>
      <c r="C566" s="1"/>
      <c r="D566" s="1"/>
      <c r="E566" s="1"/>
      <c r="F566" s="1"/>
    </row>
    <row r="567">
      <c r="A567" s="1"/>
      <c r="B567" s="4"/>
      <c r="C567" s="1"/>
      <c r="D567" s="1"/>
      <c r="E567" s="1"/>
      <c r="F567" s="1"/>
    </row>
    <row r="568">
      <c r="A568" s="1"/>
      <c r="B568" s="4"/>
      <c r="C568" s="1"/>
      <c r="D568" s="1"/>
      <c r="E568" s="1"/>
      <c r="F568" s="1"/>
    </row>
    <row r="569">
      <c r="A569" s="1"/>
      <c r="B569" s="4"/>
      <c r="C569" s="1"/>
      <c r="D569" s="1"/>
      <c r="E569" s="1"/>
      <c r="F569" s="1"/>
    </row>
    <row r="570">
      <c r="A570" s="1"/>
      <c r="B570" s="4"/>
      <c r="C570" s="1"/>
      <c r="D570" s="1"/>
      <c r="E570" s="1"/>
      <c r="F570" s="1"/>
    </row>
    <row r="571">
      <c r="A571" s="1"/>
      <c r="B571" s="4"/>
      <c r="C571" s="1"/>
      <c r="D571" s="1"/>
      <c r="E571" s="1"/>
      <c r="F571" s="1"/>
    </row>
    <row r="572">
      <c r="A572" s="1"/>
      <c r="B572" s="4"/>
      <c r="C572" s="1"/>
      <c r="D572" s="1"/>
      <c r="E572" s="1"/>
      <c r="F572" s="1"/>
    </row>
    <row r="573">
      <c r="A573" s="1"/>
      <c r="B573" s="4"/>
      <c r="C573" s="1"/>
      <c r="D573" s="1"/>
      <c r="E573" s="1"/>
      <c r="F573" s="1"/>
    </row>
    <row r="574">
      <c r="A574" s="1"/>
      <c r="B574" s="4"/>
      <c r="C574" s="1"/>
      <c r="D574" s="1"/>
      <c r="E574" s="1"/>
      <c r="F574" s="1"/>
    </row>
    <row r="575">
      <c r="A575" s="1"/>
      <c r="B575" s="4"/>
      <c r="C575" s="1"/>
      <c r="D575" s="1"/>
      <c r="E575" s="1"/>
      <c r="F575" s="1"/>
    </row>
    <row r="576">
      <c r="A576" s="1"/>
      <c r="B576" s="4"/>
      <c r="C576" s="1"/>
      <c r="D576" s="1"/>
      <c r="E576" s="1"/>
      <c r="F576" s="1"/>
    </row>
    <row r="577">
      <c r="A577" s="1"/>
      <c r="B577" s="4"/>
      <c r="C577" s="1"/>
      <c r="D577" s="1"/>
      <c r="E577" s="1"/>
      <c r="F577" s="1"/>
    </row>
    <row r="578">
      <c r="A578" s="1"/>
      <c r="B578" s="4"/>
      <c r="C578" s="1"/>
      <c r="D578" s="1"/>
      <c r="E578" s="1"/>
      <c r="F578" s="1"/>
    </row>
    <row r="579">
      <c r="A579" s="1"/>
      <c r="B579" s="4"/>
      <c r="C579" s="1"/>
      <c r="D579" s="1"/>
      <c r="E579" s="1"/>
      <c r="F579" s="1"/>
    </row>
    <row r="580">
      <c r="A580" s="1"/>
      <c r="B580" s="4"/>
      <c r="C580" s="1"/>
      <c r="D580" s="1"/>
      <c r="E580" s="1"/>
      <c r="F580" s="1"/>
    </row>
    <row r="581">
      <c r="A581" s="1"/>
      <c r="B581" s="4"/>
      <c r="C581" s="1"/>
      <c r="D581" s="1"/>
      <c r="E581" s="1"/>
      <c r="F581" s="1"/>
    </row>
    <row r="582">
      <c r="A582" s="1"/>
      <c r="B582" s="4"/>
      <c r="C582" s="1"/>
      <c r="D582" s="1"/>
      <c r="E582" s="1"/>
      <c r="F582" s="1"/>
    </row>
    <row r="583">
      <c r="A583" s="1"/>
      <c r="B583" s="4"/>
      <c r="C583" s="1"/>
      <c r="D583" s="1"/>
      <c r="E583" s="1"/>
      <c r="F583" s="1"/>
    </row>
    <row r="584">
      <c r="A584" s="1"/>
      <c r="B584" s="4"/>
      <c r="C584" s="1"/>
      <c r="D584" s="1"/>
      <c r="E584" s="1"/>
      <c r="F584" s="1"/>
    </row>
    <row r="585">
      <c r="A585" s="1"/>
      <c r="B585" s="4"/>
      <c r="C585" s="1"/>
      <c r="D585" s="1"/>
      <c r="E585" s="1"/>
      <c r="F585" s="1"/>
    </row>
    <row r="586">
      <c r="A586" s="1"/>
      <c r="B586" s="4"/>
      <c r="C586" s="1"/>
      <c r="D586" s="1"/>
      <c r="E586" s="1"/>
      <c r="F586" s="1"/>
    </row>
    <row r="587">
      <c r="A587" s="1"/>
      <c r="B587" s="4"/>
      <c r="C587" s="1"/>
      <c r="D587" s="1"/>
      <c r="E587" s="1"/>
      <c r="F587" s="1"/>
    </row>
    <row r="588">
      <c r="A588" s="1"/>
      <c r="B588" s="4"/>
      <c r="C588" s="1"/>
      <c r="D588" s="1"/>
      <c r="E588" s="1"/>
      <c r="F588" s="1"/>
    </row>
    <row r="589">
      <c r="A589" s="1"/>
      <c r="B589" s="4"/>
      <c r="C589" s="1"/>
      <c r="D589" s="1"/>
      <c r="E589" s="1"/>
      <c r="F589" s="1"/>
    </row>
    <row r="590">
      <c r="A590" s="1"/>
      <c r="B590" s="4"/>
      <c r="C590" s="1"/>
      <c r="D590" s="1"/>
      <c r="E590" s="1"/>
      <c r="F590" s="1"/>
    </row>
    <row r="591">
      <c r="A591" s="1"/>
      <c r="B591" s="4"/>
      <c r="C591" s="1"/>
      <c r="D591" s="1"/>
      <c r="E591" s="1"/>
      <c r="F591" s="1"/>
    </row>
    <row r="592">
      <c r="A592" s="1"/>
      <c r="B592" s="4"/>
      <c r="C592" s="1"/>
      <c r="D592" s="1"/>
      <c r="E592" s="1"/>
      <c r="F592" s="1"/>
    </row>
    <row r="593">
      <c r="A593" s="1"/>
      <c r="B593" s="4"/>
      <c r="C593" s="1"/>
      <c r="D593" s="1"/>
      <c r="E593" s="1"/>
      <c r="F593" s="1"/>
    </row>
    <row r="594">
      <c r="A594" s="1"/>
      <c r="B594" s="4"/>
      <c r="C594" s="1"/>
      <c r="D594" s="1"/>
      <c r="E594" s="1"/>
      <c r="F594" s="1"/>
    </row>
    <row r="595">
      <c r="A595" s="1"/>
      <c r="B595" s="4"/>
      <c r="C595" s="1"/>
      <c r="D595" s="1"/>
      <c r="E595" s="1"/>
      <c r="F595" s="1"/>
    </row>
    <row r="596">
      <c r="A596" s="1"/>
      <c r="B596" s="4"/>
      <c r="C596" s="1"/>
      <c r="D596" s="1"/>
      <c r="E596" s="1"/>
      <c r="F596" s="1"/>
    </row>
    <row r="597">
      <c r="A597" s="1"/>
      <c r="B597" s="4"/>
      <c r="C597" s="1"/>
      <c r="D597" s="1"/>
      <c r="E597" s="1"/>
      <c r="F597" s="1"/>
    </row>
    <row r="598">
      <c r="A598" s="1"/>
      <c r="B598" s="4"/>
      <c r="C598" s="1"/>
      <c r="D598" s="1"/>
      <c r="E598" s="1"/>
      <c r="F598" s="1"/>
    </row>
    <row r="599">
      <c r="A599" s="1"/>
      <c r="B599" s="4"/>
      <c r="C599" s="1"/>
      <c r="D599" s="1"/>
      <c r="E599" s="1"/>
      <c r="F599" s="1"/>
    </row>
    <row r="600">
      <c r="A600" s="1"/>
      <c r="B600" s="4"/>
      <c r="C600" s="1"/>
      <c r="D600" s="1"/>
      <c r="E600" s="1"/>
      <c r="F600" s="1"/>
    </row>
    <row r="601">
      <c r="A601" s="1"/>
      <c r="B601" s="4"/>
      <c r="C601" s="1"/>
      <c r="D601" s="1"/>
      <c r="E601" s="1"/>
      <c r="F601" s="1"/>
    </row>
    <row r="602">
      <c r="A602" s="1"/>
      <c r="B602" s="4"/>
      <c r="C602" s="1"/>
      <c r="D602" s="1"/>
      <c r="E602" s="1"/>
      <c r="F602" s="1"/>
    </row>
    <row r="603">
      <c r="A603" s="1"/>
      <c r="B603" s="4"/>
      <c r="C603" s="1"/>
      <c r="D603" s="1"/>
      <c r="E603" s="1"/>
      <c r="F603" s="1"/>
    </row>
    <row r="604">
      <c r="A604" s="1"/>
      <c r="B604" s="4"/>
      <c r="C604" s="1"/>
      <c r="D604" s="1"/>
      <c r="E604" s="1"/>
      <c r="F604" s="1"/>
    </row>
    <row r="605">
      <c r="A605" s="1"/>
      <c r="B605" s="4"/>
      <c r="C605" s="1"/>
      <c r="D605" s="1"/>
      <c r="E605" s="1"/>
      <c r="F605" s="1"/>
    </row>
    <row r="606">
      <c r="A606" s="1"/>
      <c r="B606" s="4"/>
      <c r="C606" s="1"/>
      <c r="D606" s="1"/>
      <c r="E606" s="1"/>
      <c r="F606" s="1"/>
    </row>
    <row r="607">
      <c r="A607" s="1"/>
      <c r="B607" s="4"/>
      <c r="C607" s="1"/>
      <c r="D607" s="1"/>
      <c r="E607" s="1"/>
      <c r="F607" s="1"/>
    </row>
    <row r="608">
      <c r="A608" s="1"/>
      <c r="B608" s="4"/>
      <c r="C608" s="1"/>
      <c r="D608" s="1"/>
      <c r="E608" s="1"/>
      <c r="F608" s="1"/>
    </row>
    <row r="609">
      <c r="A609" s="1"/>
      <c r="B609" s="4"/>
      <c r="C609" s="1"/>
      <c r="D609" s="1"/>
      <c r="E609" s="1"/>
      <c r="F609" s="1"/>
    </row>
    <row r="610">
      <c r="A610" s="1"/>
      <c r="B610" s="4"/>
      <c r="C610" s="1"/>
      <c r="D610" s="1"/>
      <c r="E610" s="1"/>
      <c r="F610" s="1"/>
    </row>
    <row r="611">
      <c r="A611" s="1"/>
      <c r="B611" s="4"/>
      <c r="C611" s="1"/>
      <c r="D611" s="1"/>
      <c r="E611" s="1"/>
      <c r="F611" s="1"/>
    </row>
    <row r="612">
      <c r="A612" s="1"/>
      <c r="B612" s="4"/>
      <c r="C612" s="1"/>
      <c r="D612" s="1"/>
      <c r="E612" s="1"/>
      <c r="F612" s="1"/>
    </row>
    <row r="613">
      <c r="A613" s="1"/>
      <c r="B613" s="4"/>
      <c r="C613" s="1"/>
      <c r="D613" s="1"/>
      <c r="E613" s="1"/>
      <c r="F613" s="1"/>
    </row>
    <row r="614">
      <c r="A614" s="1"/>
      <c r="B614" s="4"/>
      <c r="C614" s="1"/>
      <c r="D614" s="1"/>
      <c r="E614" s="1"/>
      <c r="F614" s="1"/>
    </row>
    <row r="615">
      <c r="A615" s="1"/>
      <c r="B615" s="4"/>
      <c r="C615" s="1"/>
      <c r="D615" s="1"/>
      <c r="E615" s="1"/>
      <c r="F615" s="1"/>
    </row>
    <row r="616">
      <c r="A616" s="1"/>
      <c r="B616" s="4"/>
      <c r="C616" s="1"/>
      <c r="D616" s="1"/>
      <c r="E616" s="1"/>
      <c r="F616" s="1"/>
    </row>
    <row r="617">
      <c r="A617" s="1"/>
      <c r="B617" s="4"/>
      <c r="C617" s="1"/>
      <c r="D617" s="1"/>
      <c r="E617" s="1"/>
      <c r="F617" s="1"/>
    </row>
    <row r="618">
      <c r="A618" s="1"/>
      <c r="B618" s="4"/>
      <c r="C618" s="1"/>
      <c r="D618" s="1"/>
      <c r="E618" s="1"/>
      <c r="F618" s="1"/>
    </row>
    <row r="619">
      <c r="A619" s="1"/>
      <c r="B619" s="4"/>
      <c r="C619" s="1"/>
      <c r="D619" s="1"/>
      <c r="E619" s="1"/>
      <c r="F619" s="1"/>
    </row>
    <row r="620">
      <c r="A620" s="1"/>
      <c r="B620" s="4"/>
      <c r="C620" s="1"/>
      <c r="D620" s="1"/>
      <c r="E620" s="1"/>
      <c r="F620" s="1"/>
    </row>
    <row r="621">
      <c r="A621" s="1"/>
      <c r="B621" s="4"/>
      <c r="C621" s="1"/>
      <c r="D621" s="1"/>
      <c r="E621" s="1"/>
      <c r="F621" s="1"/>
    </row>
    <row r="622">
      <c r="A622" s="1"/>
      <c r="B622" s="4"/>
      <c r="C622" s="1"/>
      <c r="D622" s="1"/>
      <c r="E622" s="1"/>
      <c r="F622" s="1"/>
    </row>
    <row r="623">
      <c r="A623" s="1"/>
      <c r="B623" s="4"/>
      <c r="C623" s="1"/>
      <c r="D623" s="1"/>
      <c r="E623" s="1"/>
      <c r="F623" s="1"/>
    </row>
    <row r="624">
      <c r="A624" s="1"/>
      <c r="B624" s="4"/>
      <c r="C624" s="1"/>
      <c r="D624" s="1"/>
      <c r="E624" s="1"/>
      <c r="F624" s="1"/>
    </row>
    <row r="625">
      <c r="A625" s="1"/>
      <c r="B625" s="4"/>
      <c r="C625" s="1"/>
      <c r="D625" s="1"/>
      <c r="E625" s="1"/>
      <c r="F625" s="1"/>
    </row>
    <row r="626">
      <c r="A626" s="1"/>
      <c r="B626" s="4"/>
      <c r="C626" s="1"/>
      <c r="D626" s="1"/>
      <c r="E626" s="1"/>
      <c r="F626" s="1"/>
    </row>
    <row r="627">
      <c r="A627" s="1"/>
      <c r="B627" s="4"/>
      <c r="C627" s="1"/>
      <c r="D627" s="1"/>
      <c r="E627" s="1"/>
      <c r="F627" s="1"/>
    </row>
    <row r="628">
      <c r="A628" s="1"/>
      <c r="B628" s="4"/>
      <c r="C628" s="1"/>
      <c r="D628" s="1"/>
      <c r="E628" s="1"/>
      <c r="F628" s="1"/>
    </row>
    <row r="629">
      <c r="A629" s="1"/>
      <c r="B629" s="4"/>
      <c r="C629" s="1"/>
      <c r="D629" s="1"/>
      <c r="E629" s="1"/>
      <c r="F629" s="1"/>
    </row>
    <row r="630">
      <c r="A630" s="1"/>
      <c r="B630" s="4"/>
      <c r="C630" s="1"/>
      <c r="D630" s="1"/>
      <c r="E630" s="1"/>
      <c r="F630" s="1"/>
    </row>
    <row r="631">
      <c r="A631" s="1"/>
      <c r="B631" s="4"/>
      <c r="C631" s="1"/>
      <c r="D631" s="1"/>
      <c r="E631" s="1"/>
      <c r="F631" s="1"/>
    </row>
    <row r="632">
      <c r="A632" s="1"/>
      <c r="B632" s="4"/>
      <c r="C632" s="1"/>
      <c r="D632" s="1"/>
      <c r="E632" s="1"/>
      <c r="F632" s="1"/>
    </row>
    <row r="633">
      <c r="A633" s="1"/>
      <c r="B633" s="4"/>
      <c r="C633" s="1"/>
      <c r="D633" s="1"/>
      <c r="E633" s="1"/>
      <c r="F633" s="1"/>
    </row>
    <row r="634">
      <c r="A634" s="1"/>
      <c r="B634" s="4"/>
      <c r="C634" s="1"/>
      <c r="D634" s="1"/>
      <c r="E634" s="1"/>
      <c r="F634" s="1"/>
    </row>
    <row r="635">
      <c r="A635" s="1"/>
      <c r="B635" s="4"/>
      <c r="C635" s="1"/>
      <c r="D635" s="1"/>
      <c r="E635" s="1"/>
      <c r="F635" s="1"/>
    </row>
    <row r="636">
      <c r="A636" s="1"/>
      <c r="B636" s="4"/>
      <c r="C636" s="1"/>
      <c r="D636" s="1"/>
      <c r="E636" s="1"/>
      <c r="F636" s="1"/>
    </row>
    <row r="637">
      <c r="A637" s="1"/>
      <c r="B637" s="4"/>
      <c r="C637" s="1"/>
      <c r="D637" s="1"/>
      <c r="E637" s="1"/>
      <c r="F637" s="1"/>
    </row>
    <row r="638">
      <c r="A638" s="1"/>
      <c r="B638" s="4"/>
      <c r="C638" s="1"/>
      <c r="D638" s="1"/>
      <c r="E638" s="1"/>
      <c r="F638" s="1"/>
    </row>
    <row r="639">
      <c r="A639" s="1"/>
      <c r="B639" s="4"/>
      <c r="C639" s="1"/>
      <c r="D639" s="1"/>
      <c r="E639" s="1"/>
      <c r="F639" s="1"/>
    </row>
    <row r="640">
      <c r="A640" s="1"/>
      <c r="B640" s="4"/>
      <c r="C640" s="1"/>
      <c r="D640" s="1"/>
      <c r="E640" s="1"/>
      <c r="F640" s="1"/>
    </row>
    <row r="641">
      <c r="A641" s="1"/>
      <c r="B641" s="4"/>
      <c r="C641" s="1"/>
      <c r="D641" s="1"/>
      <c r="E641" s="1"/>
      <c r="F641" s="1"/>
    </row>
    <row r="642">
      <c r="A642" s="1"/>
      <c r="B642" s="4"/>
      <c r="C642" s="1"/>
      <c r="D642" s="1"/>
      <c r="E642" s="1"/>
      <c r="F642" s="1"/>
    </row>
    <row r="643">
      <c r="A643" s="1"/>
      <c r="B643" s="4"/>
      <c r="C643" s="1"/>
      <c r="D643" s="1"/>
      <c r="E643" s="1"/>
      <c r="F643" s="1"/>
    </row>
    <row r="644">
      <c r="A644" s="1"/>
      <c r="B644" s="4"/>
      <c r="C644" s="1"/>
      <c r="D644" s="1"/>
      <c r="E644" s="1"/>
      <c r="F644" s="1"/>
    </row>
    <row r="645">
      <c r="A645" s="1"/>
      <c r="B645" s="4"/>
      <c r="C645" s="1"/>
      <c r="D645" s="1"/>
      <c r="E645" s="1"/>
      <c r="F645" s="1"/>
    </row>
    <row r="646">
      <c r="A646" s="1"/>
      <c r="B646" s="4"/>
      <c r="C646" s="1"/>
      <c r="D646" s="1"/>
      <c r="E646" s="1"/>
      <c r="F646" s="1"/>
    </row>
    <row r="647">
      <c r="A647" s="1"/>
      <c r="B647" s="4"/>
      <c r="C647" s="1"/>
      <c r="D647" s="1"/>
      <c r="E647" s="1"/>
      <c r="F647" s="1"/>
    </row>
    <row r="648">
      <c r="A648" s="1"/>
      <c r="B648" s="4"/>
      <c r="C648" s="1"/>
      <c r="D648" s="1"/>
      <c r="E648" s="1"/>
      <c r="F648" s="1"/>
    </row>
    <row r="649">
      <c r="A649" s="1"/>
      <c r="B649" s="4"/>
      <c r="C649" s="1"/>
      <c r="D649" s="1"/>
      <c r="E649" s="1"/>
      <c r="F649" s="1"/>
    </row>
    <row r="650">
      <c r="A650" s="1"/>
      <c r="B650" s="4"/>
      <c r="C650" s="1"/>
      <c r="D650" s="1"/>
      <c r="E650" s="1"/>
      <c r="F650" s="1"/>
    </row>
    <row r="651">
      <c r="A651" s="1"/>
      <c r="B651" s="4"/>
      <c r="C651" s="1"/>
      <c r="D651" s="1"/>
      <c r="E651" s="1"/>
      <c r="F651" s="1"/>
    </row>
    <row r="652">
      <c r="A652" s="1"/>
      <c r="B652" s="4"/>
      <c r="C652" s="1"/>
      <c r="D652" s="1"/>
      <c r="E652" s="1"/>
      <c r="F652" s="1"/>
    </row>
    <row r="653">
      <c r="A653" s="1"/>
      <c r="B653" s="4"/>
      <c r="C653" s="1"/>
      <c r="D653" s="1"/>
      <c r="E653" s="1"/>
      <c r="F653" s="1"/>
    </row>
    <row r="654">
      <c r="A654" s="1"/>
      <c r="B654" s="4"/>
      <c r="C654" s="1"/>
      <c r="D654" s="1"/>
      <c r="E654" s="1"/>
      <c r="F654" s="1"/>
    </row>
    <row r="655">
      <c r="A655" s="1"/>
      <c r="B655" s="4"/>
      <c r="C655" s="1"/>
      <c r="D655" s="1"/>
      <c r="E655" s="1"/>
      <c r="F655" s="1"/>
    </row>
    <row r="656">
      <c r="A656" s="1"/>
      <c r="B656" s="4"/>
      <c r="C656" s="1"/>
      <c r="D656" s="1"/>
      <c r="E656" s="1"/>
      <c r="F656" s="1"/>
    </row>
    <row r="657">
      <c r="A657" s="1"/>
      <c r="B657" s="4"/>
      <c r="C657" s="1"/>
      <c r="D657" s="1"/>
      <c r="E657" s="1"/>
      <c r="F657" s="1"/>
    </row>
    <row r="658">
      <c r="A658" s="1"/>
      <c r="B658" s="4"/>
      <c r="C658" s="1"/>
      <c r="D658" s="1"/>
      <c r="E658" s="1"/>
      <c r="F658" s="1"/>
    </row>
    <row r="659">
      <c r="A659" s="1"/>
      <c r="B659" s="4"/>
      <c r="C659" s="1"/>
      <c r="D659" s="1"/>
      <c r="E659" s="1"/>
      <c r="F659" s="1"/>
    </row>
    <row r="660">
      <c r="A660" s="1"/>
      <c r="B660" s="4"/>
      <c r="C660" s="1"/>
      <c r="D660" s="1"/>
      <c r="E660" s="1"/>
      <c r="F660" s="1"/>
    </row>
    <row r="661">
      <c r="A661" s="1"/>
      <c r="B661" s="4"/>
      <c r="C661" s="1"/>
      <c r="D661" s="1"/>
      <c r="E661" s="1"/>
      <c r="F661" s="1"/>
    </row>
    <row r="662">
      <c r="A662" s="1"/>
      <c r="B662" s="4"/>
      <c r="C662" s="1"/>
      <c r="D662" s="1"/>
      <c r="E662" s="1"/>
      <c r="F662" s="1"/>
    </row>
    <row r="663">
      <c r="A663" s="1"/>
      <c r="B663" s="4"/>
      <c r="C663" s="1"/>
      <c r="D663" s="1"/>
      <c r="E663" s="1"/>
      <c r="F663" s="1"/>
    </row>
    <row r="664">
      <c r="A664" s="1"/>
      <c r="B664" s="4"/>
      <c r="C664" s="1"/>
      <c r="D664" s="1"/>
      <c r="E664" s="1"/>
      <c r="F664" s="1"/>
    </row>
    <row r="665">
      <c r="A665" s="1"/>
      <c r="B665" s="4"/>
      <c r="C665" s="1"/>
      <c r="D665" s="1"/>
      <c r="E665" s="1"/>
      <c r="F665" s="1"/>
    </row>
    <row r="666">
      <c r="A666" s="1"/>
      <c r="B666" s="4"/>
      <c r="C666" s="1"/>
      <c r="D666" s="1"/>
      <c r="E666" s="1"/>
      <c r="F666" s="1"/>
    </row>
    <row r="667">
      <c r="A667" s="1"/>
      <c r="B667" s="4"/>
      <c r="C667" s="1"/>
      <c r="D667" s="1"/>
      <c r="E667" s="1"/>
      <c r="F667" s="1"/>
    </row>
    <row r="668">
      <c r="A668" s="1"/>
      <c r="B668" s="4"/>
      <c r="C668" s="1"/>
      <c r="D668" s="1"/>
      <c r="E668" s="1"/>
      <c r="F668" s="1"/>
    </row>
    <row r="669">
      <c r="A669" s="1"/>
      <c r="B669" s="4"/>
      <c r="C669" s="1"/>
      <c r="D669" s="1"/>
      <c r="E669" s="1"/>
      <c r="F669" s="1"/>
    </row>
    <row r="670">
      <c r="A670" s="1"/>
      <c r="B670" s="4"/>
      <c r="C670" s="1"/>
      <c r="D670" s="1"/>
      <c r="E670" s="1"/>
      <c r="F670" s="1"/>
    </row>
    <row r="671">
      <c r="A671" s="1"/>
      <c r="B671" s="4"/>
      <c r="C671" s="1"/>
      <c r="D671" s="1"/>
      <c r="E671" s="1"/>
      <c r="F671" s="1"/>
    </row>
    <row r="672">
      <c r="A672" s="1"/>
      <c r="B672" s="4"/>
      <c r="C672" s="1"/>
      <c r="D672" s="1"/>
      <c r="E672" s="1"/>
      <c r="F672" s="1"/>
    </row>
    <row r="673">
      <c r="A673" s="1"/>
      <c r="B673" s="4"/>
      <c r="C673" s="1"/>
      <c r="D673" s="1"/>
      <c r="E673" s="1"/>
      <c r="F673" s="1"/>
    </row>
    <row r="674">
      <c r="A674" s="1"/>
      <c r="B674" s="4"/>
      <c r="C674" s="1"/>
      <c r="D674" s="1"/>
      <c r="E674" s="1"/>
      <c r="F674" s="1"/>
    </row>
    <row r="675">
      <c r="A675" s="1"/>
      <c r="B675" s="4"/>
      <c r="C675" s="1"/>
      <c r="D675" s="1"/>
      <c r="E675" s="1"/>
      <c r="F675" s="1"/>
    </row>
    <row r="676">
      <c r="A676" s="1"/>
      <c r="B676" s="4"/>
      <c r="C676" s="1"/>
      <c r="D676" s="1"/>
      <c r="E676" s="1"/>
      <c r="F676" s="1"/>
    </row>
    <row r="677">
      <c r="A677" s="1"/>
      <c r="B677" s="4"/>
      <c r="C677" s="1"/>
      <c r="D677" s="1"/>
      <c r="E677" s="1"/>
      <c r="F677" s="1"/>
    </row>
    <row r="678">
      <c r="A678" s="1"/>
      <c r="B678" s="4"/>
      <c r="C678" s="1"/>
      <c r="D678" s="1"/>
      <c r="E678" s="1"/>
      <c r="F678" s="1"/>
    </row>
    <row r="679">
      <c r="A679" s="1"/>
      <c r="B679" s="4"/>
      <c r="C679" s="1"/>
      <c r="D679" s="1"/>
      <c r="E679" s="1"/>
      <c r="F679" s="1"/>
    </row>
    <row r="680">
      <c r="A680" s="1"/>
      <c r="B680" s="4"/>
      <c r="C680" s="1"/>
      <c r="D680" s="1"/>
      <c r="E680" s="1"/>
      <c r="F680" s="1"/>
    </row>
    <row r="681">
      <c r="A681" s="1"/>
      <c r="B681" s="4"/>
      <c r="C681" s="1"/>
      <c r="D681" s="1"/>
      <c r="E681" s="1"/>
      <c r="F681" s="1"/>
    </row>
    <row r="682">
      <c r="A682" s="1"/>
      <c r="B682" s="4"/>
      <c r="C682" s="1"/>
      <c r="D682" s="1"/>
      <c r="E682" s="1"/>
      <c r="F682" s="1"/>
    </row>
    <row r="683">
      <c r="A683" s="1"/>
      <c r="B683" s="4"/>
      <c r="C683" s="1"/>
      <c r="D683" s="1"/>
      <c r="E683" s="1"/>
      <c r="F683" s="1"/>
    </row>
    <row r="684">
      <c r="A684" s="1"/>
      <c r="B684" s="4"/>
      <c r="C684" s="1"/>
      <c r="D684" s="1"/>
      <c r="E684" s="1"/>
      <c r="F684" s="1"/>
    </row>
    <row r="685">
      <c r="A685" s="1"/>
      <c r="B685" s="4"/>
      <c r="C685" s="1"/>
      <c r="D685" s="1"/>
      <c r="E685" s="1"/>
      <c r="F685" s="1"/>
    </row>
    <row r="686">
      <c r="A686" s="1"/>
      <c r="B686" s="4"/>
      <c r="C686" s="1"/>
      <c r="D686" s="1"/>
      <c r="E686" s="1"/>
      <c r="F686" s="1"/>
    </row>
    <row r="687">
      <c r="A687" s="1"/>
      <c r="B687" s="4"/>
      <c r="C687" s="1"/>
      <c r="D687" s="1"/>
      <c r="E687" s="1"/>
      <c r="F687" s="1"/>
    </row>
    <row r="688">
      <c r="A688" s="1"/>
      <c r="B688" s="4"/>
      <c r="C688" s="1"/>
      <c r="D688" s="1"/>
      <c r="E688" s="1"/>
      <c r="F688" s="1"/>
    </row>
    <row r="689">
      <c r="A689" s="1"/>
      <c r="B689" s="4"/>
      <c r="C689" s="1"/>
      <c r="D689" s="1"/>
      <c r="E689" s="1"/>
      <c r="F689" s="1"/>
    </row>
    <row r="690">
      <c r="A690" s="1"/>
      <c r="B690" s="4"/>
      <c r="C690" s="1"/>
      <c r="D690" s="1"/>
      <c r="E690" s="1"/>
      <c r="F690" s="1"/>
    </row>
    <row r="691">
      <c r="A691" s="1"/>
      <c r="B691" s="4"/>
      <c r="C691" s="1"/>
      <c r="D691" s="1"/>
      <c r="E691" s="1"/>
      <c r="F691" s="1"/>
    </row>
    <row r="692">
      <c r="A692" s="1"/>
      <c r="B692" s="4"/>
      <c r="C692" s="1"/>
      <c r="D692" s="1"/>
      <c r="E692" s="1"/>
      <c r="F692" s="1"/>
    </row>
    <row r="693">
      <c r="A693" s="1"/>
      <c r="B693" s="4"/>
      <c r="C693" s="1"/>
      <c r="D693" s="1"/>
      <c r="E693" s="1"/>
      <c r="F693" s="1"/>
    </row>
    <row r="694">
      <c r="A694" s="1"/>
      <c r="B694" s="4"/>
      <c r="C694" s="1"/>
      <c r="D694" s="1"/>
      <c r="E694" s="1"/>
      <c r="F694" s="1"/>
    </row>
    <row r="695">
      <c r="A695" s="1"/>
      <c r="B695" s="4"/>
      <c r="C695" s="1"/>
      <c r="D695" s="1"/>
      <c r="E695" s="1"/>
      <c r="F695" s="1"/>
    </row>
    <row r="696">
      <c r="A696" s="1"/>
      <c r="B696" s="4"/>
      <c r="C696" s="1"/>
      <c r="D696" s="1"/>
      <c r="E696" s="1"/>
      <c r="F696" s="1"/>
    </row>
    <row r="697">
      <c r="A697" s="1"/>
      <c r="B697" s="4"/>
      <c r="C697" s="1"/>
      <c r="D697" s="1"/>
      <c r="E697" s="1"/>
      <c r="F697" s="1"/>
    </row>
    <row r="698">
      <c r="A698" s="1"/>
      <c r="B698" s="4"/>
      <c r="C698" s="1"/>
      <c r="D698" s="1"/>
      <c r="E698" s="1"/>
      <c r="F698" s="1"/>
    </row>
    <row r="699">
      <c r="A699" s="1"/>
      <c r="B699" s="4"/>
      <c r="C699" s="1"/>
      <c r="D699" s="1"/>
      <c r="E699" s="1"/>
      <c r="F699" s="1"/>
    </row>
    <row r="700">
      <c r="A700" s="1"/>
      <c r="B700" s="4"/>
      <c r="C700" s="1"/>
      <c r="D700" s="1"/>
      <c r="E700" s="1"/>
      <c r="F700" s="1"/>
    </row>
    <row r="701">
      <c r="A701" s="1"/>
      <c r="B701" s="4"/>
      <c r="C701" s="1"/>
      <c r="D701" s="1"/>
      <c r="E701" s="1"/>
      <c r="F701" s="1"/>
    </row>
    <row r="702">
      <c r="A702" s="1"/>
      <c r="B702" s="4"/>
      <c r="C702" s="1"/>
      <c r="D702" s="1"/>
      <c r="E702" s="1"/>
      <c r="F702" s="1"/>
    </row>
    <row r="703">
      <c r="A703" s="1"/>
      <c r="B703" s="4"/>
      <c r="C703" s="1"/>
      <c r="D703" s="1"/>
      <c r="E703" s="1"/>
      <c r="F703" s="1"/>
    </row>
    <row r="704">
      <c r="A704" s="1"/>
      <c r="B704" s="4"/>
      <c r="C704" s="1"/>
      <c r="D704" s="1"/>
      <c r="E704" s="1"/>
      <c r="F704" s="1"/>
    </row>
    <row r="705">
      <c r="A705" s="1"/>
      <c r="B705" s="4"/>
      <c r="C705" s="1"/>
      <c r="D705" s="1"/>
      <c r="E705" s="1"/>
      <c r="F705" s="1"/>
    </row>
    <row r="706">
      <c r="A706" s="1"/>
      <c r="B706" s="4"/>
      <c r="C706" s="1"/>
      <c r="D706" s="1"/>
      <c r="E706" s="1"/>
      <c r="F706" s="1"/>
    </row>
    <row r="707">
      <c r="A707" s="1"/>
      <c r="B707" s="4"/>
      <c r="C707" s="1"/>
      <c r="D707" s="1"/>
      <c r="E707" s="1"/>
      <c r="F707" s="1"/>
    </row>
    <row r="708">
      <c r="A708" s="1"/>
      <c r="B708" s="4"/>
      <c r="C708" s="1"/>
      <c r="D708" s="1"/>
      <c r="E708" s="1"/>
      <c r="F708" s="1"/>
    </row>
    <row r="709">
      <c r="A709" s="1"/>
      <c r="B709" s="4"/>
      <c r="C709" s="1"/>
      <c r="D709" s="1"/>
      <c r="E709" s="1"/>
      <c r="F709" s="1"/>
    </row>
    <row r="710">
      <c r="A710" s="1"/>
      <c r="B710" s="4"/>
      <c r="C710" s="1"/>
      <c r="D710" s="1"/>
      <c r="E710" s="1"/>
      <c r="F710" s="1"/>
    </row>
    <row r="711">
      <c r="A711" s="1"/>
      <c r="B711" s="4"/>
      <c r="C711" s="1"/>
      <c r="D711" s="1"/>
      <c r="E711" s="1"/>
      <c r="F711" s="1"/>
    </row>
    <row r="712">
      <c r="A712" s="1"/>
      <c r="B712" s="4"/>
      <c r="C712" s="1"/>
      <c r="D712" s="1"/>
      <c r="E712" s="1"/>
      <c r="F712" s="1"/>
    </row>
    <row r="713">
      <c r="A713" s="1"/>
      <c r="B713" s="4"/>
      <c r="C713" s="1"/>
      <c r="D713" s="1"/>
      <c r="E713" s="1"/>
      <c r="F713" s="1"/>
    </row>
    <row r="714">
      <c r="A714" s="1"/>
      <c r="B714" s="4"/>
      <c r="C714" s="1"/>
      <c r="D714" s="1"/>
      <c r="E714" s="1"/>
      <c r="F714" s="1"/>
    </row>
    <row r="715">
      <c r="A715" s="1"/>
      <c r="B715" s="4"/>
      <c r="C715" s="1"/>
      <c r="D715" s="1"/>
      <c r="E715" s="1"/>
      <c r="F715" s="1"/>
    </row>
    <row r="716">
      <c r="A716" s="1"/>
      <c r="B716" s="4"/>
      <c r="C716" s="1"/>
      <c r="D716" s="1"/>
      <c r="E716" s="1"/>
      <c r="F716" s="1"/>
    </row>
    <row r="717">
      <c r="A717" s="1"/>
      <c r="B717" s="4"/>
      <c r="C717" s="1"/>
      <c r="D717" s="1"/>
      <c r="E717" s="1"/>
      <c r="F717" s="1"/>
    </row>
    <row r="718">
      <c r="A718" s="1"/>
      <c r="B718" s="4"/>
      <c r="C718" s="1"/>
      <c r="D718" s="1"/>
      <c r="E718" s="1"/>
      <c r="F718" s="1"/>
    </row>
    <row r="719">
      <c r="A719" s="1"/>
      <c r="B719" s="4"/>
      <c r="C719" s="1"/>
      <c r="D719" s="1"/>
      <c r="E719" s="1"/>
      <c r="F719" s="1"/>
    </row>
    <row r="720">
      <c r="A720" s="1"/>
      <c r="B720" s="4"/>
      <c r="C720" s="1"/>
      <c r="D720" s="1"/>
      <c r="E720" s="1"/>
      <c r="F720" s="1"/>
    </row>
    <row r="721">
      <c r="A721" s="1"/>
      <c r="B721" s="4"/>
      <c r="C721" s="1"/>
      <c r="D721" s="1"/>
      <c r="E721" s="1"/>
      <c r="F721" s="1"/>
    </row>
    <row r="722">
      <c r="A722" s="1"/>
      <c r="B722" s="4"/>
      <c r="C722" s="1"/>
      <c r="D722" s="1"/>
      <c r="E722" s="1"/>
      <c r="F722" s="1"/>
    </row>
    <row r="723">
      <c r="A723" s="1"/>
      <c r="B723" s="4"/>
      <c r="C723" s="1"/>
      <c r="D723" s="1"/>
      <c r="E723" s="1"/>
      <c r="F723" s="1"/>
    </row>
    <row r="724">
      <c r="A724" s="1"/>
      <c r="B724" s="4"/>
      <c r="C724" s="1"/>
      <c r="D724" s="1"/>
      <c r="E724" s="1"/>
      <c r="F724" s="1"/>
    </row>
    <row r="725">
      <c r="A725" s="1"/>
      <c r="B725" s="4"/>
      <c r="C725" s="1"/>
      <c r="D725" s="1"/>
      <c r="E725" s="1"/>
      <c r="F725" s="1"/>
    </row>
    <row r="726">
      <c r="A726" s="1"/>
      <c r="B726" s="4"/>
      <c r="C726" s="1"/>
      <c r="D726" s="1"/>
      <c r="E726" s="1"/>
      <c r="F726" s="1"/>
    </row>
    <row r="727">
      <c r="A727" s="1"/>
      <c r="B727" s="4"/>
      <c r="C727" s="1"/>
      <c r="D727" s="1"/>
      <c r="E727" s="1"/>
      <c r="F727" s="1"/>
    </row>
    <row r="728">
      <c r="A728" s="1"/>
      <c r="B728" s="4"/>
      <c r="C728" s="1"/>
      <c r="D728" s="1"/>
      <c r="E728" s="1"/>
      <c r="F728" s="1"/>
    </row>
    <row r="729">
      <c r="A729" s="1"/>
      <c r="B729" s="4"/>
      <c r="C729" s="1"/>
      <c r="D729" s="1"/>
      <c r="E729" s="1"/>
      <c r="F729" s="1"/>
    </row>
    <row r="730">
      <c r="A730" s="1"/>
      <c r="B730" s="4"/>
      <c r="C730" s="1"/>
      <c r="D730" s="1"/>
      <c r="E730" s="1"/>
      <c r="F730" s="1"/>
    </row>
    <row r="731">
      <c r="A731" s="1"/>
      <c r="B731" s="4"/>
      <c r="C731" s="1"/>
      <c r="D731" s="1"/>
      <c r="E731" s="1"/>
      <c r="F731" s="1"/>
    </row>
    <row r="732">
      <c r="A732" s="1"/>
      <c r="B732" s="4"/>
      <c r="C732" s="1"/>
      <c r="D732" s="1"/>
      <c r="E732" s="1"/>
      <c r="F732" s="1"/>
    </row>
    <row r="733">
      <c r="A733" s="1"/>
      <c r="B733" s="4"/>
      <c r="C733" s="1"/>
      <c r="D733" s="1"/>
      <c r="E733" s="1"/>
      <c r="F733" s="1"/>
    </row>
    <row r="734">
      <c r="A734" s="1"/>
      <c r="B734" s="4"/>
      <c r="C734" s="1"/>
      <c r="D734" s="1"/>
      <c r="E734" s="1"/>
      <c r="F734" s="1"/>
    </row>
    <row r="735">
      <c r="A735" s="1"/>
      <c r="B735" s="4"/>
      <c r="C735" s="1"/>
      <c r="D735" s="1"/>
      <c r="E735" s="1"/>
      <c r="F735" s="1"/>
    </row>
    <row r="736">
      <c r="A736" s="1"/>
      <c r="B736" s="4"/>
      <c r="C736" s="1"/>
      <c r="D736" s="1"/>
      <c r="E736" s="1"/>
      <c r="F736" s="1"/>
    </row>
    <row r="737">
      <c r="A737" s="1"/>
      <c r="B737" s="4"/>
      <c r="C737" s="1"/>
      <c r="D737" s="1"/>
      <c r="E737" s="1"/>
      <c r="F737" s="1"/>
    </row>
    <row r="738">
      <c r="A738" s="1"/>
      <c r="B738" s="4"/>
      <c r="C738" s="1"/>
      <c r="D738" s="1"/>
      <c r="E738" s="1"/>
      <c r="F738" s="1"/>
    </row>
    <row r="739">
      <c r="A739" s="1"/>
      <c r="B739" s="4"/>
      <c r="C739" s="1"/>
      <c r="D739" s="1"/>
      <c r="E739" s="1"/>
      <c r="F739" s="1"/>
    </row>
    <row r="740">
      <c r="A740" s="1"/>
      <c r="B740" s="4"/>
      <c r="C740" s="1"/>
      <c r="D740" s="1"/>
      <c r="E740" s="1"/>
      <c r="F740" s="1"/>
    </row>
    <row r="741">
      <c r="A741" s="1"/>
      <c r="B741" s="4"/>
      <c r="C741" s="1"/>
      <c r="D741" s="1"/>
      <c r="E741" s="1"/>
      <c r="F741" s="1"/>
    </row>
    <row r="742">
      <c r="A742" s="1"/>
      <c r="B742" s="4"/>
      <c r="C742" s="1"/>
      <c r="D742" s="1"/>
      <c r="E742" s="1"/>
      <c r="F742" s="1"/>
    </row>
    <row r="743">
      <c r="A743" s="1"/>
      <c r="B743" s="4"/>
      <c r="C743" s="1"/>
      <c r="D743" s="1"/>
      <c r="E743" s="1"/>
      <c r="F743" s="1"/>
    </row>
    <row r="744">
      <c r="A744" s="1"/>
      <c r="B744" s="4"/>
      <c r="C744" s="1"/>
      <c r="D744" s="1"/>
      <c r="E744" s="1"/>
      <c r="F744" s="1"/>
    </row>
    <row r="745">
      <c r="A745" s="1"/>
      <c r="B745" s="4"/>
      <c r="C745" s="1"/>
      <c r="D745" s="1"/>
      <c r="E745" s="1"/>
      <c r="F745" s="1"/>
    </row>
    <row r="746">
      <c r="A746" s="1"/>
      <c r="B746" s="4"/>
      <c r="C746" s="1"/>
      <c r="D746" s="1"/>
      <c r="E746" s="1"/>
      <c r="F746" s="1"/>
    </row>
    <row r="747">
      <c r="A747" s="1"/>
      <c r="B747" s="4"/>
      <c r="C747" s="1"/>
      <c r="D747" s="1"/>
      <c r="E747" s="1"/>
      <c r="F747" s="1"/>
    </row>
    <row r="748">
      <c r="A748" s="1"/>
      <c r="B748" s="4"/>
      <c r="C748" s="1"/>
      <c r="D748" s="1"/>
      <c r="E748" s="1"/>
      <c r="F748" s="1"/>
    </row>
    <row r="749">
      <c r="A749" s="1"/>
      <c r="B749" s="4"/>
      <c r="C749" s="1"/>
      <c r="D749" s="1"/>
      <c r="E749" s="1"/>
      <c r="F749" s="1"/>
    </row>
    <row r="750">
      <c r="A750" s="1"/>
      <c r="B750" s="4"/>
      <c r="C750" s="1"/>
      <c r="D750" s="1"/>
      <c r="E750" s="1"/>
      <c r="F750" s="1"/>
    </row>
    <row r="751">
      <c r="A751" s="1"/>
      <c r="B751" s="4"/>
      <c r="C751" s="1"/>
      <c r="D751" s="1"/>
      <c r="E751" s="1"/>
      <c r="F751" s="1"/>
    </row>
    <row r="752">
      <c r="A752" s="1"/>
      <c r="B752" s="4"/>
      <c r="C752" s="1"/>
      <c r="D752" s="1"/>
      <c r="E752" s="1"/>
      <c r="F752" s="1"/>
    </row>
    <row r="753">
      <c r="A753" s="1"/>
      <c r="B753" s="4"/>
      <c r="C753" s="1"/>
      <c r="D753" s="1"/>
      <c r="E753" s="1"/>
      <c r="F753" s="1"/>
    </row>
    <row r="754">
      <c r="A754" s="1"/>
      <c r="B754" s="4"/>
      <c r="C754" s="1"/>
      <c r="D754" s="1"/>
      <c r="E754" s="1"/>
      <c r="F754" s="1"/>
    </row>
    <row r="755">
      <c r="A755" s="1"/>
      <c r="B755" s="4"/>
      <c r="C755" s="1"/>
      <c r="D755" s="1"/>
      <c r="E755" s="1"/>
      <c r="F755" s="1"/>
    </row>
    <row r="756">
      <c r="A756" s="1"/>
      <c r="B756" s="4"/>
      <c r="C756" s="1"/>
      <c r="D756" s="1"/>
      <c r="E756" s="1"/>
      <c r="F756" s="1"/>
    </row>
    <row r="757">
      <c r="A757" s="1"/>
      <c r="B757" s="4"/>
      <c r="C757" s="1"/>
      <c r="D757" s="1"/>
      <c r="E757" s="1"/>
      <c r="F757" s="1"/>
    </row>
    <row r="758">
      <c r="A758" s="1"/>
      <c r="B758" s="4"/>
      <c r="C758" s="1"/>
      <c r="D758" s="1"/>
      <c r="E758" s="1"/>
      <c r="F758" s="1"/>
    </row>
    <row r="759">
      <c r="A759" s="1"/>
      <c r="B759" s="4"/>
      <c r="C759" s="1"/>
      <c r="D759" s="1"/>
      <c r="E759" s="1"/>
      <c r="F759" s="1"/>
    </row>
    <row r="760">
      <c r="A760" s="1"/>
      <c r="B760" s="4"/>
      <c r="C760" s="1"/>
      <c r="D760" s="1"/>
      <c r="E760" s="1"/>
      <c r="F760" s="1"/>
    </row>
    <row r="761">
      <c r="A761" s="1"/>
      <c r="B761" s="4"/>
      <c r="C761" s="1"/>
      <c r="D761" s="1"/>
      <c r="E761" s="1"/>
      <c r="F761" s="1"/>
    </row>
    <row r="762">
      <c r="A762" s="1"/>
      <c r="B762" s="4"/>
      <c r="C762" s="1"/>
      <c r="D762" s="1"/>
      <c r="E762" s="1"/>
      <c r="F762" s="1"/>
    </row>
    <row r="763">
      <c r="A763" s="1"/>
      <c r="B763" s="4"/>
      <c r="C763" s="1"/>
      <c r="D763" s="1"/>
      <c r="E763" s="1"/>
      <c r="F763" s="1"/>
    </row>
    <row r="764">
      <c r="A764" s="1"/>
      <c r="B764" s="4"/>
      <c r="C764" s="1"/>
      <c r="D764" s="1"/>
      <c r="E764" s="1"/>
      <c r="F764" s="1"/>
    </row>
    <row r="765">
      <c r="A765" s="1"/>
      <c r="B765" s="4"/>
      <c r="C765" s="1"/>
      <c r="D765" s="1"/>
      <c r="E765" s="1"/>
      <c r="F765" s="1"/>
    </row>
    <row r="766">
      <c r="A766" s="1"/>
      <c r="B766" s="4"/>
      <c r="C766" s="1"/>
      <c r="D766" s="1"/>
      <c r="E766" s="1"/>
      <c r="F766" s="1"/>
    </row>
    <row r="767">
      <c r="A767" s="1"/>
      <c r="B767" s="4"/>
      <c r="C767" s="1"/>
      <c r="D767" s="1"/>
      <c r="E767" s="1"/>
      <c r="F767" s="1"/>
    </row>
    <row r="768">
      <c r="A768" s="1"/>
      <c r="B768" s="4"/>
      <c r="C768" s="1"/>
      <c r="D768" s="1"/>
      <c r="E768" s="1"/>
      <c r="F768" s="1"/>
    </row>
    <row r="769">
      <c r="A769" s="1"/>
      <c r="B769" s="4"/>
      <c r="C769" s="1"/>
      <c r="D769" s="1"/>
      <c r="E769" s="1"/>
      <c r="F769" s="1"/>
    </row>
    <row r="770">
      <c r="A770" s="1"/>
      <c r="B770" s="4"/>
      <c r="C770" s="1"/>
      <c r="D770" s="1"/>
      <c r="E770" s="1"/>
      <c r="F770" s="1"/>
    </row>
    <row r="771">
      <c r="A771" s="1"/>
      <c r="B771" s="4"/>
      <c r="C771" s="1"/>
      <c r="D771" s="1"/>
      <c r="E771" s="1"/>
      <c r="F771" s="1"/>
    </row>
    <row r="772">
      <c r="A772" s="1"/>
      <c r="B772" s="4"/>
      <c r="C772" s="1"/>
      <c r="D772" s="1"/>
      <c r="E772" s="1"/>
      <c r="F772" s="1"/>
    </row>
    <row r="773">
      <c r="A773" s="1"/>
      <c r="B773" s="4"/>
      <c r="C773" s="1"/>
      <c r="D773" s="1"/>
      <c r="E773" s="1"/>
      <c r="F773" s="1"/>
    </row>
    <row r="774">
      <c r="A774" s="1"/>
      <c r="B774" s="4"/>
      <c r="C774" s="1"/>
      <c r="D774" s="1"/>
      <c r="E774" s="1"/>
      <c r="F774" s="1"/>
    </row>
    <row r="775">
      <c r="A775" s="1"/>
      <c r="B775" s="4"/>
      <c r="C775" s="1"/>
      <c r="D775" s="1"/>
      <c r="E775" s="1"/>
      <c r="F775" s="1"/>
    </row>
    <row r="776">
      <c r="A776" s="1"/>
      <c r="B776" s="4"/>
      <c r="C776" s="1"/>
      <c r="D776" s="1"/>
      <c r="E776" s="1"/>
      <c r="F776" s="1"/>
    </row>
    <row r="777">
      <c r="A777" s="1"/>
      <c r="B777" s="4"/>
      <c r="C777" s="1"/>
      <c r="D777" s="1"/>
      <c r="E777" s="1"/>
      <c r="F777" s="1"/>
    </row>
    <row r="778">
      <c r="A778" s="1"/>
      <c r="B778" s="4"/>
      <c r="C778" s="1"/>
      <c r="D778" s="1"/>
      <c r="E778" s="1"/>
      <c r="F778" s="1"/>
    </row>
    <row r="779">
      <c r="A779" s="1"/>
      <c r="B779" s="4"/>
      <c r="C779" s="1"/>
      <c r="D779" s="1"/>
      <c r="E779" s="1"/>
      <c r="F779" s="1"/>
    </row>
    <row r="780">
      <c r="A780" s="1"/>
      <c r="B780" s="4"/>
      <c r="C780" s="1"/>
      <c r="D780" s="1"/>
      <c r="E780" s="1"/>
      <c r="F780" s="1"/>
    </row>
    <row r="781">
      <c r="A781" s="1"/>
      <c r="B781" s="4"/>
      <c r="C781" s="1"/>
      <c r="D781" s="1"/>
      <c r="E781" s="1"/>
      <c r="F781" s="1"/>
    </row>
    <row r="782">
      <c r="A782" s="1"/>
      <c r="B782" s="4"/>
      <c r="C782" s="1"/>
      <c r="D782" s="1"/>
      <c r="E782" s="1"/>
      <c r="F782" s="1"/>
    </row>
    <row r="783">
      <c r="A783" s="1"/>
      <c r="B783" s="4"/>
      <c r="C783" s="1"/>
      <c r="D783" s="1"/>
      <c r="E783" s="1"/>
      <c r="F783" s="1"/>
    </row>
    <row r="784">
      <c r="A784" s="1"/>
      <c r="B784" s="4"/>
      <c r="C784" s="1"/>
      <c r="D784" s="1"/>
      <c r="E784" s="1"/>
      <c r="F784" s="1"/>
    </row>
    <row r="785">
      <c r="A785" s="1"/>
      <c r="B785" s="4"/>
      <c r="C785" s="1"/>
      <c r="D785" s="1"/>
      <c r="E785" s="1"/>
      <c r="F785" s="1"/>
    </row>
    <row r="786">
      <c r="A786" s="1"/>
      <c r="B786" s="4"/>
      <c r="C786" s="1"/>
      <c r="D786" s="1"/>
      <c r="E786" s="1"/>
      <c r="F786" s="1"/>
    </row>
    <row r="787">
      <c r="A787" s="1"/>
      <c r="B787" s="4"/>
      <c r="C787" s="1"/>
      <c r="D787" s="1"/>
      <c r="E787" s="1"/>
      <c r="F787" s="1"/>
    </row>
    <row r="788">
      <c r="A788" s="1"/>
      <c r="B788" s="4"/>
      <c r="C788" s="1"/>
      <c r="D788" s="1"/>
      <c r="E788" s="1"/>
      <c r="F788" s="1"/>
    </row>
    <row r="789">
      <c r="A789" s="1"/>
      <c r="B789" s="4"/>
      <c r="C789" s="1"/>
      <c r="D789" s="1"/>
      <c r="E789" s="1"/>
      <c r="F789" s="1"/>
    </row>
    <row r="790">
      <c r="A790" s="1"/>
      <c r="B790" s="4"/>
      <c r="C790" s="1"/>
      <c r="D790" s="1"/>
      <c r="E790" s="1"/>
      <c r="F790" s="1"/>
    </row>
    <row r="791">
      <c r="A791" s="1"/>
      <c r="B791" s="4"/>
      <c r="C791" s="1"/>
      <c r="D791" s="1"/>
      <c r="E791" s="1"/>
      <c r="F791" s="1"/>
    </row>
    <row r="792">
      <c r="A792" s="1"/>
      <c r="B792" s="4"/>
      <c r="C792" s="1"/>
      <c r="D792" s="1"/>
      <c r="E792" s="1"/>
      <c r="F792" s="1"/>
    </row>
    <row r="793">
      <c r="A793" s="1"/>
      <c r="B793" s="4"/>
      <c r="C793" s="1"/>
      <c r="D793" s="1"/>
      <c r="E793" s="1"/>
      <c r="F793" s="1"/>
    </row>
    <row r="794">
      <c r="A794" s="1"/>
      <c r="B794" s="4"/>
      <c r="C794" s="1"/>
      <c r="D794" s="1"/>
      <c r="E794" s="1"/>
      <c r="F794" s="1"/>
    </row>
    <row r="795">
      <c r="A795" s="1"/>
      <c r="B795" s="4"/>
      <c r="C795" s="1"/>
      <c r="D795" s="1"/>
      <c r="E795" s="1"/>
      <c r="F795" s="1"/>
    </row>
    <row r="796">
      <c r="A796" s="1"/>
      <c r="B796" s="4"/>
      <c r="C796" s="1"/>
      <c r="D796" s="1"/>
      <c r="E796" s="1"/>
      <c r="F796" s="1"/>
    </row>
    <row r="797">
      <c r="A797" s="1"/>
      <c r="B797" s="4"/>
      <c r="C797" s="1"/>
      <c r="D797" s="1"/>
      <c r="E797" s="1"/>
      <c r="F797" s="1"/>
    </row>
    <row r="798">
      <c r="A798" s="1"/>
      <c r="B798" s="4"/>
      <c r="C798" s="1"/>
      <c r="D798" s="1"/>
      <c r="E798" s="1"/>
      <c r="F798" s="1"/>
    </row>
    <row r="799">
      <c r="A799" s="1"/>
      <c r="B799" s="4"/>
      <c r="C799" s="1"/>
      <c r="D799" s="1"/>
      <c r="E799" s="1"/>
      <c r="F799" s="1"/>
    </row>
    <row r="800">
      <c r="A800" s="1"/>
      <c r="B800" s="4"/>
      <c r="C800" s="1"/>
      <c r="D800" s="1"/>
      <c r="E800" s="1"/>
      <c r="F800" s="1"/>
    </row>
    <row r="801">
      <c r="A801" s="1"/>
      <c r="B801" s="4"/>
      <c r="C801" s="1"/>
      <c r="D801" s="1"/>
      <c r="E801" s="1"/>
      <c r="F801" s="1"/>
    </row>
    <row r="802">
      <c r="A802" s="1"/>
      <c r="B802" s="4"/>
      <c r="C802" s="1"/>
      <c r="D802" s="1"/>
      <c r="E802" s="1"/>
      <c r="F802" s="1"/>
    </row>
    <row r="803">
      <c r="A803" s="1"/>
      <c r="B803" s="4"/>
      <c r="C803" s="1"/>
      <c r="D803" s="1"/>
      <c r="E803" s="1"/>
      <c r="F803" s="1"/>
    </row>
    <row r="804">
      <c r="A804" s="1"/>
      <c r="B804" s="4"/>
      <c r="C804" s="1"/>
      <c r="D804" s="1"/>
      <c r="E804" s="1"/>
      <c r="F804" s="1"/>
    </row>
    <row r="805">
      <c r="A805" s="1"/>
      <c r="B805" s="4"/>
      <c r="C805" s="1"/>
      <c r="D805" s="1"/>
      <c r="E805" s="1"/>
      <c r="F805" s="1"/>
    </row>
    <row r="806">
      <c r="A806" s="1"/>
      <c r="B806" s="4"/>
      <c r="C806" s="1"/>
      <c r="D806" s="1"/>
      <c r="E806" s="1"/>
      <c r="F806" s="1"/>
    </row>
    <row r="807">
      <c r="A807" s="1"/>
      <c r="B807" s="4"/>
      <c r="C807" s="1"/>
      <c r="D807" s="1"/>
      <c r="E807" s="1"/>
      <c r="F807" s="1"/>
    </row>
    <row r="808">
      <c r="A808" s="1"/>
      <c r="B808" s="4"/>
      <c r="C808" s="1"/>
      <c r="D808" s="1"/>
      <c r="E808" s="1"/>
      <c r="F808" s="1"/>
    </row>
    <row r="809">
      <c r="A809" s="1"/>
      <c r="B809" s="4"/>
      <c r="C809" s="1"/>
      <c r="D809" s="1"/>
      <c r="E809" s="1"/>
      <c r="F809" s="1"/>
    </row>
    <row r="810">
      <c r="A810" s="1"/>
      <c r="B810" s="4"/>
      <c r="C810" s="1"/>
      <c r="D810" s="1"/>
      <c r="E810" s="1"/>
      <c r="F810" s="1"/>
    </row>
    <row r="811">
      <c r="A811" s="1"/>
      <c r="B811" s="4"/>
      <c r="C811" s="1"/>
      <c r="D811" s="1"/>
      <c r="E811" s="1"/>
      <c r="F811" s="1"/>
    </row>
    <row r="812">
      <c r="A812" s="1"/>
      <c r="B812" s="4"/>
      <c r="C812" s="1"/>
      <c r="D812" s="1"/>
      <c r="E812" s="1"/>
      <c r="F812" s="1"/>
    </row>
    <row r="813">
      <c r="A813" s="1"/>
      <c r="B813" s="4"/>
      <c r="C813" s="1"/>
      <c r="D813" s="1"/>
      <c r="E813" s="1"/>
      <c r="F813" s="1"/>
    </row>
    <row r="814">
      <c r="A814" s="1"/>
      <c r="B814" s="4"/>
      <c r="C814" s="1"/>
      <c r="D814" s="1"/>
      <c r="E814" s="1"/>
      <c r="F814" s="1"/>
    </row>
    <row r="815">
      <c r="A815" s="1"/>
      <c r="B815" s="4"/>
      <c r="C815" s="1"/>
      <c r="D815" s="1"/>
      <c r="E815" s="1"/>
      <c r="F815" s="1"/>
    </row>
    <row r="816">
      <c r="A816" s="1"/>
      <c r="B816" s="4"/>
      <c r="C816" s="1"/>
      <c r="D816" s="1"/>
      <c r="E816" s="1"/>
      <c r="F816" s="1"/>
    </row>
    <row r="817">
      <c r="A817" s="1"/>
      <c r="B817" s="4"/>
      <c r="C817" s="1"/>
      <c r="D817" s="1"/>
      <c r="E817" s="1"/>
      <c r="F817" s="1"/>
    </row>
    <row r="818">
      <c r="A818" s="1"/>
      <c r="B818" s="4"/>
      <c r="C818" s="1"/>
      <c r="D818" s="1"/>
      <c r="E818" s="1"/>
      <c r="F818" s="1"/>
    </row>
    <row r="819">
      <c r="A819" s="1"/>
      <c r="B819" s="4"/>
      <c r="C819" s="1"/>
      <c r="D819" s="1"/>
      <c r="E819" s="1"/>
      <c r="F819" s="1"/>
    </row>
    <row r="820">
      <c r="A820" s="1"/>
      <c r="B820" s="4"/>
      <c r="C820" s="1"/>
      <c r="D820" s="1"/>
      <c r="E820" s="1"/>
      <c r="F820" s="1"/>
    </row>
    <row r="821">
      <c r="A821" s="1"/>
      <c r="B821" s="4"/>
      <c r="C821" s="1"/>
      <c r="D821" s="1"/>
      <c r="E821" s="1"/>
      <c r="F821" s="1"/>
    </row>
    <row r="822">
      <c r="A822" s="1"/>
      <c r="B822" s="4"/>
      <c r="C822" s="1"/>
      <c r="D822" s="1"/>
      <c r="E822" s="1"/>
      <c r="F822" s="1"/>
    </row>
    <row r="823">
      <c r="A823" s="1"/>
      <c r="B823" s="4"/>
      <c r="C823" s="1"/>
      <c r="D823" s="1"/>
      <c r="E823" s="1"/>
      <c r="F823" s="1"/>
    </row>
    <row r="824">
      <c r="A824" s="1"/>
      <c r="B824" s="4"/>
      <c r="C824" s="1"/>
      <c r="D824" s="1"/>
      <c r="E824" s="1"/>
      <c r="F824" s="1"/>
    </row>
    <row r="825">
      <c r="A825" s="1"/>
      <c r="B825" s="4"/>
      <c r="C825" s="1"/>
      <c r="D825" s="1"/>
      <c r="E825" s="1"/>
      <c r="F825" s="1"/>
    </row>
    <row r="826">
      <c r="A826" s="1"/>
      <c r="B826" s="4"/>
      <c r="C826" s="1"/>
      <c r="D826" s="1"/>
      <c r="E826" s="1"/>
      <c r="F826" s="1"/>
    </row>
    <row r="827">
      <c r="A827" s="1"/>
      <c r="B827" s="4"/>
      <c r="C827" s="1"/>
      <c r="D827" s="1"/>
      <c r="E827" s="1"/>
      <c r="F827" s="1"/>
    </row>
    <row r="828">
      <c r="A828" s="1"/>
      <c r="B828" s="4"/>
      <c r="C828" s="1"/>
      <c r="D828" s="1"/>
      <c r="E828" s="1"/>
      <c r="F828" s="1"/>
    </row>
    <row r="829">
      <c r="A829" s="1"/>
      <c r="B829" s="4"/>
      <c r="C829" s="1"/>
      <c r="D829" s="1"/>
      <c r="E829" s="1"/>
      <c r="F829" s="1"/>
    </row>
    <row r="830">
      <c r="A830" s="1"/>
      <c r="B830" s="4"/>
      <c r="C830" s="1"/>
      <c r="D830" s="1"/>
      <c r="E830" s="1"/>
      <c r="F830" s="1"/>
    </row>
    <row r="831">
      <c r="A831" s="1"/>
      <c r="B831" s="4"/>
      <c r="C831" s="1"/>
      <c r="D831" s="1"/>
      <c r="E831" s="1"/>
      <c r="F831" s="1"/>
    </row>
    <row r="832">
      <c r="A832" s="1"/>
      <c r="B832" s="4"/>
      <c r="C832" s="1"/>
      <c r="D832" s="1"/>
      <c r="E832" s="1"/>
      <c r="F832" s="1"/>
    </row>
    <row r="833">
      <c r="A833" s="1"/>
      <c r="B833" s="4"/>
      <c r="C833" s="1"/>
      <c r="D833" s="1"/>
      <c r="E833" s="1"/>
      <c r="F833" s="1"/>
    </row>
    <row r="834">
      <c r="A834" s="1"/>
      <c r="B834" s="4"/>
      <c r="C834" s="1"/>
      <c r="D834" s="1"/>
      <c r="E834" s="1"/>
      <c r="F834" s="1"/>
    </row>
    <row r="835">
      <c r="A835" s="1"/>
      <c r="B835" s="4"/>
      <c r="C835" s="1"/>
      <c r="D835" s="1"/>
      <c r="E835" s="1"/>
      <c r="F835" s="1"/>
    </row>
    <row r="836">
      <c r="A836" s="1"/>
      <c r="B836" s="4"/>
      <c r="C836" s="1"/>
      <c r="D836" s="1"/>
      <c r="E836" s="1"/>
      <c r="F836" s="1"/>
    </row>
    <row r="837">
      <c r="A837" s="1"/>
      <c r="B837" s="4"/>
      <c r="C837" s="1"/>
      <c r="D837" s="1"/>
      <c r="E837" s="1"/>
      <c r="F837" s="1"/>
    </row>
    <row r="838">
      <c r="A838" s="1"/>
      <c r="B838" s="4"/>
      <c r="C838" s="1"/>
      <c r="D838" s="1"/>
      <c r="E838" s="1"/>
      <c r="F838" s="1"/>
    </row>
    <row r="839">
      <c r="A839" s="1"/>
      <c r="B839" s="4"/>
      <c r="C839" s="1"/>
      <c r="D839" s="1"/>
      <c r="E839" s="1"/>
      <c r="F839" s="1"/>
    </row>
    <row r="840">
      <c r="A840" s="1"/>
      <c r="B840" s="4"/>
      <c r="C840" s="1"/>
      <c r="D840" s="1"/>
      <c r="E840" s="1"/>
      <c r="F840" s="1"/>
    </row>
    <row r="841">
      <c r="A841" s="1"/>
      <c r="B841" s="4"/>
      <c r="C841" s="1"/>
      <c r="D841" s="1"/>
      <c r="E841" s="1"/>
      <c r="F841" s="1"/>
    </row>
    <row r="842">
      <c r="A842" s="1"/>
      <c r="B842" s="4"/>
      <c r="C842" s="1"/>
      <c r="D842" s="1"/>
      <c r="E842" s="1"/>
      <c r="F842" s="1"/>
    </row>
    <row r="843">
      <c r="A843" s="1"/>
      <c r="B843" s="4"/>
      <c r="C843" s="1"/>
      <c r="D843" s="1"/>
      <c r="E843" s="1"/>
      <c r="F843" s="1"/>
    </row>
    <row r="844">
      <c r="A844" s="1"/>
      <c r="B844" s="4"/>
      <c r="C844" s="1"/>
      <c r="D844" s="1"/>
      <c r="E844" s="1"/>
      <c r="F844" s="1"/>
    </row>
    <row r="845">
      <c r="A845" s="1"/>
      <c r="B845" s="4"/>
      <c r="C845" s="1"/>
      <c r="D845" s="1"/>
      <c r="E845" s="1"/>
      <c r="F845" s="1"/>
    </row>
    <row r="846">
      <c r="A846" s="1"/>
      <c r="B846" s="4"/>
      <c r="C846" s="1"/>
      <c r="D846" s="1"/>
      <c r="E846" s="1"/>
      <c r="F846" s="1"/>
    </row>
    <row r="847">
      <c r="A847" s="1"/>
      <c r="B847" s="4"/>
      <c r="C847" s="1"/>
      <c r="D847" s="1"/>
      <c r="E847" s="1"/>
      <c r="F847" s="1"/>
    </row>
    <row r="848">
      <c r="A848" s="1"/>
      <c r="B848" s="4"/>
      <c r="C848" s="1"/>
      <c r="D848" s="1"/>
      <c r="E848" s="1"/>
      <c r="F848" s="1"/>
    </row>
    <row r="849">
      <c r="A849" s="1"/>
      <c r="B849" s="4"/>
      <c r="C849" s="1"/>
      <c r="D849" s="1"/>
      <c r="E849" s="1"/>
      <c r="F849" s="1"/>
    </row>
    <row r="850">
      <c r="A850" s="1"/>
      <c r="B850" s="4"/>
      <c r="C850" s="1"/>
      <c r="D850" s="1"/>
      <c r="E850" s="1"/>
      <c r="F850" s="1"/>
    </row>
    <row r="851">
      <c r="A851" s="1"/>
      <c r="B851" s="4"/>
      <c r="C851" s="1"/>
      <c r="D851" s="1"/>
      <c r="E851" s="1"/>
      <c r="F851" s="1"/>
    </row>
    <row r="852">
      <c r="A852" s="1"/>
      <c r="B852" s="4"/>
      <c r="C852" s="1"/>
      <c r="D852" s="1"/>
      <c r="E852" s="1"/>
      <c r="F852" s="1"/>
    </row>
    <row r="853">
      <c r="A853" s="1"/>
      <c r="B853" s="4"/>
      <c r="C853" s="1"/>
      <c r="D853" s="1"/>
      <c r="E853" s="1"/>
      <c r="F853" s="1"/>
    </row>
    <row r="854">
      <c r="A854" s="1"/>
      <c r="B854" s="4"/>
      <c r="C854" s="1"/>
      <c r="D854" s="1"/>
      <c r="E854" s="1"/>
      <c r="F854" s="1"/>
    </row>
    <row r="855">
      <c r="A855" s="1"/>
      <c r="B855" s="4"/>
      <c r="C855" s="1"/>
      <c r="D855" s="1"/>
      <c r="E855" s="1"/>
      <c r="F855" s="1"/>
    </row>
    <row r="856">
      <c r="A856" s="1"/>
      <c r="B856" s="4"/>
      <c r="C856" s="1"/>
      <c r="D856" s="1"/>
      <c r="E856" s="1"/>
      <c r="F856" s="1"/>
    </row>
    <row r="857">
      <c r="A857" s="1"/>
      <c r="B857" s="4"/>
      <c r="C857" s="1"/>
      <c r="D857" s="1"/>
      <c r="E857" s="1"/>
      <c r="F857" s="1"/>
    </row>
    <row r="858">
      <c r="A858" s="1"/>
      <c r="B858" s="4"/>
      <c r="C858" s="1"/>
      <c r="D858" s="1"/>
      <c r="E858" s="1"/>
      <c r="F858" s="1"/>
    </row>
    <row r="859">
      <c r="A859" s="1"/>
      <c r="B859" s="4"/>
      <c r="C859" s="1"/>
      <c r="D859" s="1"/>
      <c r="E859" s="1"/>
      <c r="F859" s="1"/>
    </row>
    <row r="860">
      <c r="A860" s="1"/>
      <c r="B860" s="4"/>
      <c r="C860" s="1"/>
      <c r="D860" s="1"/>
      <c r="E860" s="1"/>
      <c r="F860" s="1"/>
    </row>
    <row r="861">
      <c r="A861" s="1"/>
      <c r="B861" s="4"/>
      <c r="C861" s="1"/>
      <c r="D861" s="1"/>
      <c r="E861" s="1"/>
      <c r="F861" s="1"/>
    </row>
    <row r="862">
      <c r="A862" s="1"/>
      <c r="B862" s="4"/>
      <c r="C862" s="1"/>
      <c r="D862" s="1"/>
      <c r="E862" s="1"/>
      <c r="F862" s="1"/>
    </row>
    <row r="863">
      <c r="A863" s="1"/>
      <c r="B863" s="4"/>
      <c r="C863" s="1"/>
      <c r="D863" s="1"/>
      <c r="E863" s="1"/>
      <c r="F863" s="1"/>
    </row>
    <row r="864">
      <c r="A864" s="1"/>
      <c r="B864" s="4"/>
      <c r="C864" s="1"/>
      <c r="D864" s="1"/>
      <c r="E864" s="1"/>
      <c r="F864" s="1"/>
    </row>
    <row r="865">
      <c r="A865" s="1"/>
      <c r="B865" s="4"/>
      <c r="C865" s="1"/>
      <c r="D865" s="1"/>
      <c r="E865" s="1"/>
      <c r="F865" s="1"/>
    </row>
    <row r="866">
      <c r="A866" s="1"/>
      <c r="B866" s="4"/>
      <c r="C866" s="1"/>
      <c r="D866" s="1"/>
      <c r="E866" s="1"/>
      <c r="F866" s="1"/>
    </row>
    <row r="867">
      <c r="A867" s="1"/>
      <c r="B867" s="4"/>
      <c r="C867" s="1"/>
      <c r="D867" s="1"/>
      <c r="E867" s="1"/>
      <c r="F867" s="1"/>
    </row>
    <row r="868">
      <c r="A868" s="1"/>
      <c r="B868" s="4"/>
      <c r="C868" s="1"/>
      <c r="D868" s="1"/>
      <c r="E868" s="1"/>
      <c r="F868" s="1"/>
    </row>
    <row r="869">
      <c r="A869" s="1"/>
      <c r="B869" s="4"/>
      <c r="C869" s="1"/>
      <c r="D869" s="1"/>
      <c r="E869" s="1"/>
      <c r="F869" s="1"/>
    </row>
    <row r="870">
      <c r="A870" s="1"/>
      <c r="B870" s="4"/>
      <c r="C870" s="1"/>
      <c r="D870" s="1"/>
      <c r="E870" s="1"/>
      <c r="F870" s="1"/>
    </row>
    <row r="871">
      <c r="A871" s="1"/>
      <c r="B871" s="4"/>
      <c r="C871" s="1"/>
      <c r="D871" s="1"/>
      <c r="E871" s="1"/>
      <c r="F871" s="1"/>
    </row>
    <row r="872">
      <c r="A872" s="1"/>
      <c r="B872" s="4"/>
      <c r="C872" s="1"/>
      <c r="D872" s="1"/>
      <c r="E872" s="1"/>
      <c r="F872" s="1"/>
    </row>
    <row r="873">
      <c r="A873" s="1"/>
      <c r="B873" s="4"/>
      <c r="C873" s="1"/>
      <c r="D873" s="1"/>
      <c r="E873" s="1"/>
      <c r="F873" s="1"/>
    </row>
    <row r="874">
      <c r="A874" s="1"/>
      <c r="B874" s="4"/>
      <c r="C874" s="1"/>
      <c r="D874" s="1"/>
      <c r="E874" s="1"/>
      <c r="F874" s="1"/>
    </row>
    <row r="875">
      <c r="A875" s="1"/>
      <c r="B875" s="4"/>
      <c r="C875" s="1"/>
      <c r="D875" s="1"/>
      <c r="E875" s="1"/>
      <c r="F875" s="1"/>
    </row>
    <row r="876">
      <c r="A876" s="1"/>
      <c r="B876" s="4"/>
      <c r="C876" s="1"/>
      <c r="D876" s="1"/>
      <c r="E876" s="1"/>
      <c r="F876" s="1"/>
    </row>
    <row r="877">
      <c r="A877" s="1"/>
      <c r="B877" s="4"/>
      <c r="C877" s="1"/>
      <c r="D877" s="1"/>
      <c r="E877" s="1"/>
      <c r="F877" s="1"/>
    </row>
    <row r="878">
      <c r="A878" s="1"/>
      <c r="B878" s="4"/>
      <c r="C878" s="1"/>
      <c r="D878" s="1"/>
      <c r="E878" s="1"/>
      <c r="F878" s="1"/>
    </row>
    <row r="879">
      <c r="A879" s="1"/>
      <c r="B879" s="4"/>
      <c r="C879" s="1"/>
      <c r="D879" s="1"/>
      <c r="E879" s="1"/>
      <c r="F879" s="1"/>
    </row>
    <row r="880">
      <c r="A880" s="1"/>
      <c r="B880" s="4"/>
      <c r="C880" s="1"/>
      <c r="D880" s="1"/>
      <c r="E880" s="1"/>
      <c r="F880" s="1"/>
    </row>
    <row r="881">
      <c r="A881" s="1"/>
      <c r="B881" s="4"/>
      <c r="C881" s="1"/>
      <c r="D881" s="1"/>
      <c r="E881" s="1"/>
      <c r="F881" s="1"/>
    </row>
    <row r="882">
      <c r="A882" s="1"/>
      <c r="B882" s="4"/>
      <c r="C882" s="1"/>
      <c r="D882" s="1"/>
      <c r="E882" s="1"/>
      <c r="F882" s="1"/>
    </row>
    <row r="883">
      <c r="A883" s="1"/>
      <c r="B883" s="4"/>
      <c r="C883" s="1"/>
      <c r="D883" s="1"/>
      <c r="E883" s="1"/>
      <c r="F883" s="1"/>
    </row>
    <row r="884">
      <c r="A884" s="1"/>
      <c r="B884" s="4"/>
      <c r="C884" s="1"/>
      <c r="D884" s="1"/>
      <c r="E884" s="1"/>
      <c r="F884" s="1"/>
    </row>
    <row r="885">
      <c r="A885" s="1"/>
      <c r="B885" s="4"/>
      <c r="C885" s="1"/>
      <c r="D885" s="1"/>
      <c r="E885" s="1"/>
      <c r="F885" s="1"/>
    </row>
    <row r="886">
      <c r="A886" s="1"/>
      <c r="B886" s="4"/>
      <c r="C886" s="1"/>
      <c r="D886" s="1"/>
      <c r="E886" s="1"/>
      <c r="F886" s="1"/>
    </row>
    <row r="887">
      <c r="A887" s="1"/>
      <c r="B887" s="4"/>
      <c r="C887" s="1"/>
      <c r="D887" s="1"/>
      <c r="E887" s="1"/>
      <c r="F887" s="1"/>
    </row>
    <row r="888">
      <c r="A888" s="1"/>
      <c r="B888" s="4"/>
      <c r="C888" s="1"/>
      <c r="D888" s="1"/>
      <c r="E888" s="1"/>
      <c r="F888" s="1"/>
    </row>
    <row r="889">
      <c r="A889" s="1"/>
      <c r="B889" s="4"/>
      <c r="C889" s="1"/>
      <c r="D889" s="1"/>
      <c r="E889" s="1"/>
      <c r="F889" s="1"/>
    </row>
    <row r="890">
      <c r="A890" s="1"/>
      <c r="B890" s="4"/>
      <c r="C890" s="1"/>
      <c r="D890" s="1"/>
      <c r="E890" s="1"/>
      <c r="F890" s="1"/>
    </row>
    <row r="891">
      <c r="A891" s="1"/>
      <c r="B891" s="4"/>
      <c r="C891" s="1"/>
      <c r="D891" s="1"/>
      <c r="E891" s="1"/>
      <c r="F891" s="1"/>
    </row>
    <row r="892">
      <c r="A892" s="1"/>
      <c r="B892" s="4"/>
      <c r="C892" s="1"/>
      <c r="D892" s="1"/>
      <c r="E892" s="1"/>
      <c r="F892" s="1"/>
    </row>
    <row r="893">
      <c r="A893" s="1"/>
      <c r="B893" s="4"/>
      <c r="C893" s="1"/>
      <c r="D893" s="1"/>
      <c r="E893" s="1"/>
      <c r="F893" s="1"/>
    </row>
    <row r="894">
      <c r="A894" s="1"/>
      <c r="B894" s="4"/>
      <c r="C894" s="1"/>
      <c r="D894" s="1"/>
      <c r="E894" s="1"/>
      <c r="F894" s="1"/>
    </row>
    <row r="895">
      <c r="A895" s="1"/>
      <c r="B895" s="4"/>
      <c r="C895" s="1"/>
      <c r="D895" s="1"/>
      <c r="E895" s="1"/>
      <c r="F895" s="1"/>
    </row>
    <row r="896">
      <c r="A896" s="1"/>
      <c r="B896" s="4"/>
      <c r="C896" s="1"/>
      <c r="D896" s="1"/>
      <c r="E896" s="1"/>
      <c r="F896" s="1"/>
    </row>
    <row r="897">
      <c r="A897" s="1"/>
      <c r="B897" s="4"/>
      <c r="C897" s="1"/>
      <c r="D897" s="1"/>
      <c r="E897" s="1"/>
      <c r="F897" s="1"/>
    </row>
    <row r="898">
      <c r="A898" s="1"/>
      <c r="B898" s="4"/>
      <c r="C898" s="1"/>
      <c r="D898" s="1"/>
      <c r="E898" s="1"/>
      <c r="F898" s="1"/>
    </row>
    <row r="899">
      <c r="A899" s="1"/>
      <c r="B899" s="4"/>
      <c r="C899" s="1"/>
      <c r="D899" s="1"/>
      <c r="E899" s="1"/>
      <c r="F899" s="1"/>
    </row>
    <row r="900">
      <c r="A900" s="1"/>
      <c r="B900" s="4"/>
      <c r="C900" s="1"/>
      <c r="D900" s="1"/>
      <c r="E900" s="1"/>
      <c r="F900" s="1"/>
    </row>
    <row r="901">
      <c r="A901" s="1"/>
      <c r="B901" s="4"/>
      <c r="C901" s="1"/>
      <c r="D901" s="1"/>
      <c r="E901" s="1"/>
      <c r="F901" s="1"/>
    </row>
    <row r="902">
      <c r="A902" s="1"/>
      <c r="B902" s="4"/>
      <c r="C902" s="1"/>
      <c r="D902" s="1"/>
      <c r="E902" s="1"/>
      <c r="F902" s="1"/>
    </row>
    <row r="903">
      <c r="A903" s="1"/>
      <c r="B903" s="4"/>
      <c r="C903" s="1"/>
      <c r="D903" s="1"/>
      <c r="E903" s="1"/>
      <c r="F903" s="1"/>
    </row>
    <row r="904">
      <c r="A904" s="1"/>
      <c r="B904" s="4"/>
      <c r="C904" s="1"/>
      <c r="D904" s="1"/>
      <c r="E904" s="1"/>
      <c r="F904" s="1"/>
    </row>
    <row r="905">
      <c r="A905" s="1"/>
      <c r="B905" s="4"/>
      <c r="C905" s="1"/>
      <c r="D905" s="1"/>
      <c r="E905" s="1"/>
      <c r="F905" s="1"/>
    </row>
    <row r="906">
      <c r="A906" s="1"/>
      <c r="B906" s="4"/>
      <c r="C906" s="1"/>
      <c r="D906" s="1"/>
      <c r="E906" s="1"/>
      <c r="F906" s="1"/>
    </row>
    <row r="907">
      <c r="A907" s="1"/>
      <c r="B907" s="4"/>
      <c r="C907" s="1"/>
      <c r="D907" s="1"/>
      <c r="E907" s="1"/>
      <c r="F907" s="1"/>
    </row>
    <row r="908">
      <c r="A908" s="1"/>
      <c r="B908" s="4"/>
      <c r="C908" s="1"/>
      <c r="D908" s="1"/>
      <c r="E908" s="1"/>
      <c r="F908" s="1"/>
    </row>
    <row r="909">
      <c r="A909" s="1"/>
      <c r="B909" s="4"/>
      <c r="C909" s="1"/>
      <c r="D909" s="1"/>
      <c r="E909" s="1"/>
      <c r="F909" s="1"/>
    </row>
    <row r="910">
      <c r="A910" s="1"/>
      <c r="B910" s="4"/>
      <c r="C910" s="1"/>
      <c r="D910" s="1"/>
      <c r="E910" s="1"/>
      <c r="F910" s="1"/>
    </row>
    <row r="911">
      <c r="A911" s="1"/>
      <c r="B911" s="4"/>
      <c r="C911" s="1"/>
      <c r="D911" s="1"/>
      <c r="E911" s="1"/>
      <c r="F911" s="1"/>
    </row>
    <row r="912">
      <c r="A912" s="1"/>
      <c r="B912" s="4"/>
      <c r="C912" s="1"/>
      <c r="D912" s="1"/>
      <c r="E912" s="1"/>
      <c r="F912" s="1"/>
    </row>
    <row r="913">
      <c r="A913" s="1"/>
      <c r="B913" s="4"/>
      <c r="C913" s="1"/>
      <c r="D913" s="1"/>
      <c r="E913" s="1"/>
      <c r="F913" s="1"/>
    </row>
    <row r="914">
      <c r="A914" s="1"/>
      <c r="B914" s="4"/>
      <c r="C914" s="1"/>
      <c r="D914" s="1"/>
      <c r="E914" s="1"/>
      <c r="F914" s="1"/>
    </row>
    <row r="915">
      <c r="A915" s="1"/>
      <c r="B915" s="4"/>
      <c r="C915" s="1"/>
      <c r="D915" s="1"/>
      <c r="E915" s="1"/>
      <c r="F915" s="1"/>
    </row>
    <row r="916">
      <c r="A916" s="1"/>
      <c r="B916" s="4"/>
      <c r="C916" s="1"/>
      <c r="D916" s="1"/>
      <c r="E916" s="1"/>
      <c r="F916" s="1"/>
    </row>
    <row r="917">
      <c r="A917" s="1"/>
      <c r="B917" s="4"/>
      <c r="C917" s="1"/>
      <c r="D917" s="1"/>
      <c r="E917" s="1"/>
      <c r="F917" s="1"/>
    </row>
    <row r="918">
      <c r="A918" s="1"/>
      <c r="B918" s="4"/>
      <c r="C918" s="1"/>
      <c r="D918" s="1"/>
      <c r="E918" s="1"/>
      <c r="F918" s="1"/>
    </row>
    <row r="919">
      <c r="A919" s="1"/>
      <c r="B919" s="4"/>
      <c r="C919" s="1"/>
      <c r="D919" s="1"/>
      <c r="E919" s="1"/>
      <c r="F919" s="1"/>
    </row>
    <row r="920">
      <c r="A920" s="1"/>
      <c r="B920" s="4"/>
      <c r="C920" s="1"/>
      <c r="D920" s="1"/>
      <c r="E920" s="1"/>
      <c r="F920" s="1"/>
    </row>
    <row r="921">
      <c r="A921" s="1"/>
      <c r="B921" s="4"/>
      <c r="C921" s="1"/>
      <c r="D921" s="1"/>
      <c r="E921" s="1"/>
      <c r="F921" s="1"/>
    </row>
    <row r="922">
      <c r="A922" s="1"/>
      <c r="B922" s="4"/>
      <c r="C922" s="1"/>
      <c r="D922" s="1"/>
      <c r="E922" s="1"/>
      <c r="F922" s="1"/>
    </row>
    <row r="923">
      <c r="A923" s="1"/>
      <c r="B923" s="4"/>
      <c r="C923" s="1"/>
      <c r="D923" s="1"/>
      <c r="E923" s="1"/>
      <c r="F923" s="1"/>
    </row>
    <row r="924">
      <c r="A924" s="1"/>
      <c r="B924" s="4"/>
      <c r="C924" s="1"/>
      <c r="D924" s="1"/>
      <c r="E924" s="1"/>
      <c r="F924" s="1"/>
    </row>
    <row r="925">
      <c r="A925" s="1"/>
      <c r="B925" s="4"/>
      <c r="C925" s="1"/>
      <c r="D925" s="1"/>
      <c r="E925" s="1"/>
      <c r="F925" s="1"/>
    </row>
    <row r="926">
      <c r="A926" s="1"/>
      <c r="B926" s="4"/>
      <c r="C926" s="1"/>
      <c r="D926" s="1"/>
      <c r="E926" s="1"/>
      <c r="F926" s="1"/>
    </row>
    <row r="927">
      <c r="A927" s="1"/>
      <c r="B927" s="4"/>
      <c r="C927" s="1"/>
      <c r="D927" s="1"/>
      <c r="E927" s="1"/>
      <c r="F927" s="1"/>
    </row>
    <row r="928">
      <c r="A928" s="1"/>
      <c r="B928" s="4"/>
      <c r="C928" s="1"/>
      <c r="D928" s="1"/>
      <c r="E928" s="1"/>
      <c r="F928" s="1"/>
    </row>
    <row r="929">
      <c r="A929" s="1"/>
      <c r="B929" s="4"/>
      <c r="C929" s="1"/>
      <c r="D929" s="1"/>
      <c r="E929" s="1"/>
      <c r="F929" s="1"/>
    </row>
    <row r="930">
      <c r="A930" s="1"/>
      <c r="B930" s="4"/>
      <c r="C930" s="1"/>
      <c r="D930" s="1"/>
      <c r="E930" s="1"/>
      <c r="F930" s="1"/>
    </row>
    <row r="931">
      <c r="A931" s="1"/>
      <c r="B931" s="4"/>
      <c r="C931" s="1"/>
      <c r="D931" s="1"/>
      <c r="E931" s="1"/>
      <c r="F931" s="1"/>
    </row>
    <row r="932">
      <c r="A932" s="1"/>
      <c r="B932" s="4"/>
      <c r="C932" s="1"/>
      <c r="D932" s="1"/>
      <c r="E932" s="1"/>
      <c r="F932" s="1"/>
    </row>
    <row r="933">
      <c r="A933" s="1"/>
      <c r="B933" s="4"/>
      <c r="C933" s="1"/>
      <c r="D933" s="1"/>
      <c r="E933" s="1"/>
      <c r="F933" s="1"/>
    </row>
    <row r="934">
      <c r="A934" s="1"/>
      <c r="B934" s="4"/>
      <c r="C934" s="1"/>
      <c r="D934" s="1"/>
      <c r="E934" s="1"/>
      <c r="F934" s="1"/>
    </row>
    <row r="935">
      <c r="A935" s="1"/>
      <c r="B935" s="4"/>
      <c r="C935" s="1"/>
      <c r="D935" s="1"/>
      <c r="E935" s="1"/>
      <c r="F935" s="1"/>
    </row>
    <row r="936">
      <c r="A936" s="1"/>
      <c r="B936" s="4"/>
      <c r="C936" s="1"/>
      <c r="D936" s="1"/>
      <c r="E936" s="1"/>
      <c r="F936" s="1"/>
    </row>
    <row r="937">
      <c r="A937" s="1"/>
      <c r="B937" s="4"/>
      <c r="C937" s="1"/>
      <c r="D937" s="1"/>
      <c r="E937" s="1"/>
      <c r="F937" s="1"/>
    </row>
    <row r="938">
      <c r="A938" s="1"/>
      <c r="B938" s="4"/>
      <c r="C938" s="1"/>
      <c r="D938" s="1"/>
      <c r="E938" s="1"/>
      <c r="F938" s="1"/>
    </row>
    <row r="939">
      <c r="A939" s="1"/>
      <c r="B939" s="4"/>
      <c r="C939" s="1"/>
      <c r="D939" s="1"/>
      <c r="E939" s="1"/>
      <c r="F939" s="1"/>
    </row>
    <row r="940">
      <c r="A940" s="1"/>
      <c r="B940" s="4"/>
      <c r="C940" s="1"/>
      <c r="D940" s="1"/>
      <c r="E940" s="1"/>
      <c r="F940" s="1"/>
    </row>
    <row r="941">
      <c r="A941" s="1"/>
      <c r="B941" s="4"/>
      <c r="C941" s="1"/>
      <c r="D941" s="1"/>
      <c r="E941" s="1"/>
      <c r="F941" s="1"/>
    </row>
    <row r="942">
      <c r="A942" s="1"/>
      <c r="B942" s="4"/>
      <c r="C942" s="1"/>
      <c r="D942" s="1"/>
      <c r="E942" s="1"/>
      <c r="F942" s="1"/>
    </row>
    <row r="943">
      <c r="A943" s="1"/>
      <c r="B943" s="4"/>
      <c r="C943" s="1"/>
      <c r="D943" s="1"/>
      <c r="E943" s="1"/>
      <c r="F943" s="1"/>
    </row>
    <row r="944">
      <c r="A944" s="1"/>
      <c r="B944" s="4"/>
      <c r="C944" s="1"/>
      <c r="D944" s="1"/>
      <c r="E944" s="1"/>
      <c r="F944" s="1"/>
    </row>
    <row r="945">
      <c r="A945" s="1"/>
      <c r="B945" s="4"/>
      <c r="C945" s="1"/>
      <c r="D945" s="1"/>
      <c r="E945" s="1"/>
      <c r="F945" s="1"/>
    </row>
    <row r="946">
      <c r="A946" s="1"/>
      <c r="B946" s="4"/>
      <c r="C946" s="1"/>
      <c r="D946" s="1"/>
      <c r="E946" s="1"/>
      <c r="F946" s="1"/>
    </row>
    <row r="947">
      <c r="A947" s="1"/>
      <c r="B947" s="4"/>
      <c r="C947" s="1"/>
      <c r="D947" s="1"/>
      <c r="E947" s="1"/>
      <c r="F947" s="1"/>
    </row>
    <row r="948">
      <c r="A948" s="1"/>
      <c r="B948" s="4"/>
      <c r="C948" s="1"/>
      <c r="D948" s="1"/>
      <c r="E948" s="1"/>
      <c r="F948" s="1"/>
    </row>
    <row r="949">
      <c r="A949" s="1"/>
      <c r="B949" s="4"/>
      <c r="C949" s="1"/>
      <c r="D949" s="1"/>
      <c r="E949" s="1"/>
      <c r="F949" s="1"/>
    </row>
    <row r="950">
      <c r="A950" s="1"/>
      <c r="B950" s="4"/>
      <c r="C950" s="1"/>
      <c r="D950" s="1"/>
      <c r="E950" s="1"/>
      <c r="F950" s="1"/>
    </row>
    <row r="951">
      <c r="A951" s="1"/>
      <c r="B951" s="4"/>
      <c r="C951" s="1"/>
      <c r="D951" s="1"/>
      <c r="E951" s="1"/>
      <c r="F951" s="1"/>
    </row>
    <row r="952">
      <c r="A952" s="1"/>
      <c r="B952" s="4"/>
      <c r="C952" s="1"/>
      <c r="D952" s="1"/>
      <c r="E952" s="1"/>
      <c r="F952" s="1"/>
    </row>
    <row r="953">
      <c r="A953" s="1"/>
      <c r="B953" s="4"/>
      <c r="C953" s="1"/>
      <c r="D953" s="1"/>
      <c r="E953" s="1"/>
      <c r="F953" s="1"/>
    </row>
    <row r="954">
      <c r="A954" s="1"/>
      <c r="B954" s="4"/>
      <c r="C954" s="1"/>
      <c r="D954" s="1"/>
      <c r="E954" s="1"/>
      <c r="F954" s="1"/>
    </row>
    <row r="955">
      <c r="A955" s="1"/>
      <c r="B955" s="4"/>
      <c r="C955" s="1"/>
      <c r="D955" s="1"/>
      <c r="E955" s="1"/>
      <c r="F955" s="1"/>
    </row>
    <row r="956">
      <c r="A956" s="1"/>
      <c r="B956" s="4"/>
      <c r="C956" s="1"/>
      <c r="D956" s="1"/>
      <c r="E956" s="1"/>
      <c r="F956" s="1"/>
    </row>
    <row r="957">
      <c r="A957" s="1"/>
      <c r="B957" s="4"/>
      <c r="C957" s="1"/>
      <c r="D957" s="1"/>
      <c r="E957" s="1"/>
      <c r="F957" s="1"/>
    </row>
    <row r="958">
      <c r="A958" s="1"/>
      <c r="B958" s="4"/>
      <c r="C958" s="1"/>
      <c r="D958" s="1"/>
      <c r="E958" s="1"/>
      <c r="F958" s="1"/>
    </row>
    <row r="959">
      <c r="A959" s="1"/>
      <c r="B959" s="4"/>
      <c r="C959" s="1"/>
      <c r="D959" s="1"/>
      <c r="E959" s="1"/>
      <c r="F959" s="1"/>
    </row>
    <row r="960">
      <c r="A960" s="1"/>
      <c r="B960" s="4"/>
      <c r="C960" s="1"/>
      <c r="D960" s="1"/>
      <c r="E960" s="1"/>
      <c r="F960" s="1"/>
    </row>
    <row r="961">
      <c r="A961" s="1"/>
      <c r="B961" s="4"/>
      <c r="C961" s="1"/>
      <c r="D961" s="1"/>
      <c r="E961" s="1"/>
      <c r="F961" s="1"/>
    </row>
    <row r="962">
      <c r="A962" s="1"/>
      <c r="B962" s="4"/>
      <c r="C962" s="1"/>
      <c r="D962" s="1"/>
      <c r="E962" s="1"/>
      <c r="F962" s="1"/>
    </row>
    <row r="963">
      <c r="A963" s="1"/>
      <c r="B963" s="4"/>
      <c r="C963" s="1"/>
      <c r="D963" s="1"/>
      <c r="E963" s="1"/>
      <c r="F963" s="1"/>
    </row>
    <row r="964">
      <c r="A964" s="1"/>
      <c r="B964" s="4"/>
      <c r="C964" s="1"/>
      <c r="D964" s="1"/>
      <c r="E964" s="1"/>
      <c r="F964" s="1"/>
    </row>
    <row r="965">
      <c r="A965" s="1"/>
      <c r="B965" s="4"/>
      <c r="C965" s="1"/>
      <c r="D965" s="1"/>
      <c r="E965" s="1"/>
      <c r="F965" s="1"/>
    </row>
    <row r="966">
      <c r="A966" s="1"/>
      <c r="B966" s="4"/>
      <c r="C966" s="1"/>
      <c r="D966" s="1"/>
      <c r="E966" s="1"/>
      <c r="F966" s="1"/>
    </row>
    <row r="967">
      <c r="A967" s="1"/>
      <c r="B967" s="4"/>
      <c r="C967" s="1"/>
      <c r="D967" s="1"/>
      <c r="E967" s="1"/>
      <c r="F967" s="1"/>
    </row>
    <row r="968">
      <c r="A968" s="1"/>
      <c r="B968" s="4"/>
      <c r="C968" s="1"/>
      <c r="D968" s="1"/>
      <c r="E968" s="1"/>
      <c r="F968" s="1"/>
    </row>
    <row r="969">
      <c r="A969" s="1"/>
      <c r="B969" s="4"/>
      <c r="C969" s="1"/>
      <c r="D969" s="1"/>
      <c r="E969" s="1"/>
      <c r="F969" s="1"/>
    </row>
    <row r="970">
      <c r="A970" s="1"/>
      <c r="B970" s="4"/>
      <c r="C970" s="1"/>
      <c r="D970" s="1"/>
      <c r="E970" s="1"/>
      <c r="F970" s="1"/>
    </row>
    <row r="971">
      <c r="A971" s="1"/>
      <c r="B971" s="4"/>
      <c r="C971" s="1"/>
      <c r="D971" s="1"/>
      <c r="E971" s="1"/>
      <c r="F971" s="1"/>
    </row>
    <row r="972">
      <c r="A972" s="1"/>
      <c r="B972" s="4"/>
      <c r="C972" s="1"/>
      <c r="D972" s="1"/>
      <c r="E972" s="1"/>
      <c r="F972" s="1"/>
    </row>
    <row r="973">
      <c r="A973" s="1"/>
      <c r="B973" s="4"/>
      <c r="C973" s="1"/>
      <c r="D973" s="1"/>
      <c r="E973" s="1"/>
      <c r="F973" s="1"/>
    </row>
    <row r="974">
      <c r="A974" s="1"/>
      <c r="B974" s="4"/>
      <c r="C974" s="1"/>
      <c r="D974" s="1"/>
      <c r="E974" s="1"/>
      <c r="F974" s="1"/>
    </row>
    <row r="975">
      <c r="A975" s="1"/>
      <c r="B975" s="4"/>
      <c r="C975" s="1"/>
      <c r="D975" s="1"/>
      <c r="E975" s="1"/>
      <c r="F975" s="1"/>
    </row>
    <row r="976">
      <c r="A976" s="1"/>
      <c r="B976" s="4"/>
      <c r="C976" s="1"/>
      <c r="D976" s="1"/>
      <c r="E976" s="1"/>
      <c r="F976" s="1"/>
    </row>
    <row r="977">
      <c r="A977" s="1"/>
      <c r="B977" s="4"/>
      <c r="C977" s="1"/>
      <c r="D977" s="1"/>
      <c r="E977" s="1"/>
      <c r="F977" s="1"/>
    </row>
    <row r="978">
      <c r="A978" s="1"/>
      <c r="B978" s="4"/>
      <c r="C978" s="1"/>
      <c r="D978" s="1"/>
      <c r="E978" s="1"/>
      <c r="F978" s="1"/>
    </row>
    <row r="979">
      <c r="A979" s="1"/>
      <c r="B979" s="4"/>
      <c r="C979" s="1"/>
      <c r="D979" s="1"/>
      <c r="E979" s="1"/>
      <c r="F979" s="1"/>
    </row>
    <row r="980">
      <c r="A980" s="1"/>
      <c r="B980" s="4"/>
      <c r="C980" s="1"/>
      <c r="D980" s="1"/>
      <c r="E980" s="1"/>
      <c r="F980" s="1"/>
    </row>
    <row r="981">
      <c r="A981" s="1"/>
      <c r="B981" s="4"/>
      <c r="C981" s="1"/>
      <c r="D981" s="1"/>
      <c r="E981" s="1"/>
      <c r="F981" s="1"/>
    </row>
    <row r="982">
      <c r="A982" s="1"/>
      <c r="B982" s="4"/>
      <c r="C982" s="1"/>
      <c r="D982" s="1"/>
      <c r="E982" s="1"/>
      <c r="F982" s="1"/>
    </row>
    <row r="983">
      <c r="A983" s="1"/>
      <c r="B983" s="4"/>
      <c r="C983" s="1"/>
      <c r="D983" s="1"/>
      <c r="E983" s="1"/>
      <c r="F983" s="1"/>
    </row>
    <row r="984">
      <c r="A984" s="1"/>
      <c r="B984" s="4"/>
      <c r="C984" s="1"/>
      <c r="D984" s="1"/>
      <c r="E984" s="1"/>
      <c r="F984" s="1"/>
    </row>
    <row r="985">
      <c r="A985" s="1"/>
      <c r="B985" s="4"/>
      <c r="C985" s="1"/>
      <c r="D985" s="1"/>
      <c r="E985" s="1"/>
      <c r="F985" s="1"/>
    </row>
    <row r="986">
      <c r="A986" s="1"/>
      <c r="B986" s="4"/>
      <c r="C986" s="1"/>
      <c r="D986" s="1"/>
      <c r="E986" s="1"/>
      <c r="F986" s="1"/>
    </row>
    <row r="987">
      <c r="A987" s="1"/>
      <c r="B987" s="4"/>
      <c r="C987" s="1"/>
      <c r="D987" s="1"/>
      <c r="E987" s="1"/>
      <c r="F987" s="1"/>
    </row>
    <row r="988">
      <c r="A988" s="1"/>
      <c r="B988" s="4"/>
      <c r="C988" s="1"/>
      <c r="D988" s="1"/>
      <c r="E988" s="1"/>
      <c r="F988" s="1"/>
    </row>
    <row r="989">
      <c r="A989" s="1"/>
      <c r="B989" s="4"/>
      <c r="C989" s="1"/>
      <c r="D989" s="1"/>
      <c r="E989" s="1"/>
      <c r="F989" s="1"/>
    </row>
    <row r="990">
      <c r="A990" s="1"/>
      <c r="B990" s="4"/>
      <c r="C990" s="1"/>
      <c r="D990" s="1"/>
      <c r="E990" s="1"/>
      <c r="F990" s="1"/>
    </row>
    <row r="991">
      <c r="A991" s="1"/>
      <c r="B991" s="4"/>
      <c r="C991" s="1"/>
      <c r="D991" s="1"/>
      <c r="E991" s="1"/>
      <c r="F991" s="1"/>
    </row>
    <row r="992">
      <c r="A992" s="1"/>
      <c r="B992" s="4"/>
      <c r="C992" s="1"/>
      <c r="D992" s="1"/>
      <c r="E992" s="1"/>
      <c r="F992" s="1"/>
    </row>
    <row r="993">
      <c r="A993" s="1"/>
      <c r="B993" s="4"/>
      <c r="C993" s="1"/>
      <c r="D993" s="1"/>
      <c r="E993" s="1"/>
      <c r="F993" s="1"/>
    </row>
    <row r="994">
      <c r="A994" s="1"/>
      <c r="B994" s="4"/>
      <c r="C994" s="1"/>
      <c r="D994" s="1"/>
      <c r="E994" s="1"/>
      <c r="F994" s="1"/>
    </row>
    <row r="995">
      <c r="A995" s="1"/>
      <c r="B995" s="4"/>
      <c r="C995" s="1"/>
      <c r="D995" s="1"/>
      <c r="E995" s="1"/>
      <c r="F995" s="1"/>
    </row>
    <row r="996">
      <c r="A996" s="1"/>
      <c r="B996" s="4"/>
      <c r="C996" s="1"/>
      <c r="D996" s="1"/>
      <c r="E996" s="1"/>
      <c r="F996" s="1"/>
    </row>
    <row r="997">
      <c r="A997" s="1"/>
      <c r="B997" s="4"/>
      <c r="C997" s="1"/>
      <c r="D997" s="1"/>
      <c r="E997" s="1"/>
      <c r="F997" s="1"/>
    </row>
    <row r="998">
      <c r="A998" s="1"/>
      <c r="B998" s="4"/>
      <c r="C998" s="1"/>
      <c r="D998" s="1"/>
      <c r="E998" s="1"/>
      <c r="F998" s="1"/>
    </row>
    <row r="999">
      <c r="A999" s="1"/>
      <c r="B999" s="4"/>
      <c r="C999" s="1"/>
      <c r="D999" s="1"/>
      <c r="E999" s="1"/>
      <c r="F999" s="1"/>
    </row>
    <row r="1000">
      <c r="A1000" s="1"/>
      <c r="B1000" s="4"/>
      <c r="C1000" s="1"/>
      <c r="D1000" s="1"/>
      <c r="E1000" s="1"/>
      <c r="F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  <col customWidth="1" min="7" max="7" width="23.13"/>
    <col customWidth="1" min="11" max="11" width="18.88"/>
    <col customWidth="1" min="12" max="12" width="16.13"/>
    <col customWidth="1" min="13" max="13" width="19.75"/>
    <col customWidth="1" min="14" max="14" width="16.25"/>
    <col customWidth="1" min="15" max="15" width="22.38"/>
  </cols>
  <sheetData>
    <row r="1">
      <c r="A1" s="3" t="s">
        <v>105</v>
      </c>
      <c r="B1" s="3" t="s">
        <v>115</v>
      </c>
      <c r="C1" s="42" t="s">
        <v>110</v>
      </c>
      <c r="D1" s="3" t="s">
        <v>116</v>
      </c>
      <c r="E1" s="3" t="s">
        <v>111</v>
      </c>
      <c r="F1" s="3" t="s">
        <v>112</v>
      </c>
      <c r="G1" s="3" t="s">
        <v>113</v>
      </c>
      <c r="H1" s="3" t="s">
        <v>114</v>
      </c>
      <c r="J1" s="3" t="s">
        <v>115</v>
      </c>
      <c r="K1" s="18" t="s">
        <v>117</v>
      </c>
      <c r="L1" s="3" t="s">
        <v>118</v>
      </c>
      <c r="M1" s="3" t="s">
        <v>119</v>
      </c>
      <c r="N1" s="3" t="s">
        <v>120</v>
      </c>
      <c r="O1" s="3" t="s">
        <v>121</v>
      </c>
    </row>
    <row r="2">
      <c r="A2" s="43">
        <f>Sheet11!A2</f>
        <v>45426.66667</v>
      </c>
      <c r="B2" s="44">
        <f t="shared" ref="B2:B438" si="2">EOMONTH(A2,0)</f>
        <v>45443</v>
      </c>
      <c r="C2" s="4">
        <f>('Equity Price Data'!B4-'Equity Price Data'!B3)/'Equity Price Data'!B3</f>
        <v>0.002466440618</v>
      </c>
      <c r="D2" s="4">
        <f t="shared" ref="D2:D438" si="3">C2-$L$26</f>
        <v>0.00226802792</v>
      </c>
      <c r="E2" s="4">
        <f>('Equity Price Data'!C4-'Equity Price Data'!C3)/'Equity Price Data'!C3</f>
        <v>0.00483776444</v>
      </c>
      <c r="F2" s="4">
        <f>('Equity Price Data'!D4-'Equity Price Data'!D3)/'Equity Price Data'!D3</f>
        <v>0.007501720746</v>
      </c>
      <c r="G2" s="4">
        <f>('Equity Price Data'!E4-'Equity Price Data'!E3)/'Equity Price Data'!E3</f>
        <v>0.00321063028</v>
      </c>
      <c r="H2" s="4">
        <f>('Equity Price Data'!F4-'Equity Price Data'!F3)/'Equity Price Data'!F3</f>
        <v>0.01142998468</v>
      </c>
      <c r="J2" s="45">
        <f t="array" ref="J2:J20">UNIQUE(B2:B376)</f>
        <v>45443</v>
      </c>
      <c r="K2" s="6">
        <f t="shared" ref="K2:K23" si="4">SUMIF($B:$B,$J2,C:C)</f>
        <v>0.00497142886</v>
      </c>
      <c r="L2" s="6">
        <f t="shared" ref="L2:O2" si="1">SUMIF($B:$B,$J2,E:E)</f>
        <v>0.01090386649</v>
      </c>
      <c r="M2" s="6">
        <f t="shared" si="1"/>
        <v>0.02125536182</v>
      </c>
      <c r="N2" s="6">
        <f t="shared" si="1"/>
        <v>-0.01866328016</v>
      </c>
      <c r="O2" s="6">
        <f t="shared" si="1"/>
        <v>0.004430961698</v>
      </c>
      <c r="P2" s="6"/>
    </row>
    <row r="3">
      <c r="A3" s="43">
        <f>Sheet11!A3</f>
        <v>45427.66667</v>
      </c>
      <c r="B3" s="44">
        <f t="shared" si="2"/>
        <v>45443</v>
      </c>
      <c r="C3" s="4">
        <f>('Equity Price Data'!B5-'Equity Price Data'!B4)/'Equity Price Data'!B4</f>
        <v>0.007493082644</v>
      </c>
      <c r="D3" s="4">
        <f t="shared" si="3"/>
        <v>0.007294669946</v>
      </c>
      <c r="E3" s="4">
        <f>('Equity Price Data'!C5-'Equity Price Data'!C4)/'Equity Price Data'!C4</f>
        <v>0.01171598039</v>
      </c>
      <c r="F3" s="4">
        <f>('Equity Price Data'!D5-'Equity Price Data'!D4)/'Equity Price Data'!D4</f>
        <v>0.01400323902</v>
      </c>
      <c r="G3" s="4">
        <f>('Equity Price Data'!E5-'Equity Price Data'!E4)/'Equity Price Data'!E4</f>
        <v>0.008844962512</v>
      </c>
      <c r="H3" s="4">
        <f>('Equity Price Data'!F5-'Equity Price Data'!F4)/'Equity Price Data'!F4</f>
        <v>0.01139670804</v>
      </c>
      <c r="J3" s="45">
        <v>45473.0</v>
      </c>
      <c r="K3" s="6">
        <f t="shared" si="4"/>
        <v>0.01736184515</v>
      </c>
      <c r="L3" s="6">
        <f t="shared" ref="L3:O3" si="5">SUMIF($B:$B,$J3,E:E)</f>
        <v>0.03425933861</v>
      </c>
      <c r="M3" s="6">
        <f t="shared" si="5"/>
        <v>0.05853573408</v>
      </c>
      <c r="N3" s="6">
        <f t="shared" si="5"/>
        <v>0.01124168674</v>
      </c>
      <c r="O3" s="6">
        <f t="shared" si="5"/>
        <v>-0.01018111643</v>
      </c>
      <c r="P3" s="6"/>
    </row>
    <row r="4">
      <c r="A4" s="43">
        <f>Sheet11!A4</f>
        <v>45428.66667</v>
      </c>
      <c r="B4" s="44">
        <f t="shared" si="2"/>
        <v>45443</v>
      </c>
      <c r="C4" s="4">
        <f>('Equity Price Data'!B6-'Equity Price Data'!B5)/'Equity Price Data'!B5</f>
        <v>-0.002518386109</v>
      </c>
      <c r="D4" s="4">
        <f t="shared" si="3"/>
        <v>-0.002716798807</v>
      </c>
      <c r="E4" s="4">
        <f>('Equity Price Data'!C6-'Equity Price Data'!C5)/'Equity Price Data'!C5</f>
        <v>-0.002081704549</v>
      </c>
      <c r="F4" s="4">
        <f>('Equity Price Data'!D6-'Equity Price Data'!D5)/'Equity Price Data'!D5</f>
        <v>-0.002632240678</v>
      </c>
      <c r="G4" s="4">
        <f>('Equity Price Data'!E6-'Equity Price Data'!E5)/'Equity Price Data'!E5</f>
        <v>-0.0009677257693</v>
      </c>
      <c r="H4" s="4">
        <f>('Equity Price Data'!F6-'Equity Price Data'!F5)/'Equity Price Data'!F5</f>
        <v>-0.006262266172</v>
      </c>
      <c r="J4" s="45">
        <v>45504.0</v>
      </c>
      <c r="K4" s="6">
        <f t="shared" si="4"/>
        <v>0.02897288153</v>
      </c>
      <c r="L4" s="6">
        <f t="shared" ref="L4:O4" si="6">SUMIF($B:$B,$J4,E:E)</f>
        <v>0.01213454571</v>
      </c>
      <c r="M4" s="6">
        <f t="shared" si="6"/>
        <v>-0.005323889847</v>
      </c>
      <c r="N4" s="6">
        <f t="shared" si="6"/>
        <v>0.04378035503</v>
      </c>
      <c r="O4" s="6">
        <f t="shared" si="6"/>
        <v>0.09875375783</v>
      </c>
      <c r="P4" s="6"/>
    </row>
    <row r="5">
      <c r="A5" s="43">
        <f>Sheet11!A5</f>
        <v>45429.66667</v>
      </c>
      <c r="B5" s="44">
        <f t="shared" si="2"/>
        <v>45443</v>
      </c>
      <c r="C5" s="4">
        <f>('Equity Price Data'!B7-'Equity Price Data'!B6)/'Equity Price Data'!B6</f>
        <v>0.002223209576</v>
      </c>
      <c r="D5" s="4">
        <f t="shared" si="3"/>
        <v>0.002024796877</v>
      </c>
      <c r="E5" s="4">
        <f>('Equity Price Data'!C7-'Equity Price Data'!C6)/'Equity Price Data'!C6</f>
        <v>0.00116478828</v>
      </c>
      <c r="F5" s="4">
        <f>('Equity Price Data'!D7-'Equity Price Data'!D6)/'Equity Price Data'!D6</f>
        <v>-0.0007395953605</v>
      </c>
      <c r="G5" s="4">
        <f>('Equity Price Data'!E7-'Equity Price Data'!E6)/'Equity Price Data'!E6</f>
        <v>0.003366242465</v>
      </c>
      <c r="H5" s="4">
        <f>('Equity Price Data'!F7-'Equity Price Data'!F6)/'Equity Price Data'!F6</f>
        <v>-0.0002528324389</v>
      </c>
      <c r="J5" s="45">
        <v>45535.0</v>
      </c>
      <c r="K5" s="6">
        <f t="shared" si="4"/>
        <v>0.02609350503</v>
      </c>
      <c r="L5" s="6">
        <f t="shared" ref="L5:O5" si="7">SUMIF($B:$B,$J5,E:E)</f>
        <v>0.02417405747</v>
      </c>
      <c r="M5" s="6">
        <f t="shared" si="7"/>
        <v>0.009260715796</v>
      </c>
      <c r="N5" s="6">
        <f t="shared" si="7"/>
        <v>0.01852768268</v>
      </c>
      <c r="O5" s="6">
        <f t="shared" si="7"/>
        <v>-0.01300521532</v>
      </c>
      <c r="P5" s="6"/>
    </row>
    <row r="6">
      <c r="A6" s="43">
        <f>Sheet11!A6</f>
        <v>45432.66667</v>
      </c>
      <c r="B6" s="44">
        <f t="shared" si="2"/>
        <v>45443</v>
      </c>
      <c r="C6" s="4">
        <f>('Equity Price Data'!B8-'Equity Price Data'!B7)/'Equity Price Data'!B7</f>
        <v>-0.003088803365</v>
      </c>
      <c r="D6" s="4">
        <f t="shared" si="3"/>
        <v>-0.003287216064</v>
      </c>
      <c r="E6" s="4">
        <f>('Equity Price Data'!C8-'Equity Price Data'!C7)/'Equity Price Data'!C7</f>
        <v>0.0009164157209</v>
      </c>
      <c r="F6" s="4">
        <f>('Equity Price Data'!D8-'Equity Price Data'!D7)/'Equity Price Data'!D7</f>
        <v>0.006526441076</v>
      </c>
      <c r="G6" s="4">
        <f>('Equity Price Data'!E8-'Equity Price Data'!E7)/'Equity Price Data'!E7</f>
        <v>-0.004920058425</v>
      </c>
      <c r="H6" s="4">
        <f>('Equity Price Data'!F8-'Equity Price Data'!F7)/'Equity Price Data'!F7</f>
        <v>0.003235165003</v>
      </c>
      <c r="J6" s="45">
        <v>45565.0</v>
      </c>
      <c r="K6" s="6">
        <f t="shared" si="4"/>
        <v>0.03159347553</v>
      </c>
      <c r="L6" s="6">
        <f t="shared" ref="L6:O6" si="8">SUMIF($B:$B,$J6,E:E)</f>
        <v>0.02073064593</v>
      </c>
      <c r="M6" s="6">
        <f t="shared" si="8"/>
        <v>0.0281647594</v>
      </c>
      <c r="N6" s="6">
        <f t="shared" si="8"/>
        <v>0.01873806327</v>
      </c>
      <c r="O6" s="6">
        <f t="shared" si="8"/>
        <v>0.00705917151</v>
      </c>
      <c r="P6" s="6"/>
    </row>
    <row r="7">
      <c r="A7" s="43">
        <f>Sheet11!A7</f>
        <v>45433.66667</v>
      </c>
      <c r="B7" s="44">
        <f t="shared" si="2"/>
        <v>45443</v>
      </c>
      <c r="C7" s="4">
        <f>('Equity Price Data'!B9-'Equity Price Data'!B8)/'Equity Price Data'!B8</f>
        <v>0.0005143384475</v>
      </c>
      <c r="D7" s="4">
        <f t="shared" si="3"/>
        <v>0.0003159257491</v>
      </c>
      <c r="E7" s="4">
        <f>('Equity Price Data'!C9-'Equity Price Data'!C8)/'Equity Price Data'!C8</f>
        <v>0.002501822676</v>
      </c>
      <c r="F7" s="4">
        <f>('Equity Price Data'!D9-'Equity Price Data'!D8)/'Equity Price Data'!D8</f>
        <v>0.002247710164</v>
      </c>
      <c r="G7" s="4">
        <f>('Equity Price Data'!E9-'Equity Price Data'!E8)/'Equity Price Data'!E8</f>
        <v>0.001663536127</v>
      </c>
      <c r="H7" s="4">
        <f>('Equity Price Data'!F9-'Equity Price Data'!F8)/'Equity Price Data'!F8</f>
        <v>-0.001969084423</v>
      </c>
      <c r="J7" s="45">
        <v>45596.0</v>
      </c>
      <c r="K7" s="6">
        <f t="shared" si="4"/>
        <v>-0.05009384107</v>
      </c>
      <c r="L7" s="6">
        <f t="shared" ref="L7:O7" si="9">SUMIF($B:$B,$J7,E:E)</f>
        <v>-0.009412703247</v>
      </c>
      <c r="M7" s="6">
        <f t="shared" si="9"/>
        <v>-0.004063963633</v>
      </c>
      <c r="N7" s="6">
        <f t="shared" si="9"/>
        <v>-0.01302756883</v>
      </c>
      <c r="O7" s="6">
        <f t="shared" si="9"/>
        <v>-0.01392019873</v>
      </c>
      <c r="P7" s="6"/>
    </row>
    <row r="8">
      <c r="A8" s="43">
        <f>Sheet11!A8</f>
        <v>45434.66667</v>
      </c>
      <c r="B8" s="44">
        <f t="shared" si="2"/>
        <v>45443</v>
      </c>
      <c r="C8" s="4">
        <f>('Equity Price Data'!B10-'Equity Price Data'!B9)/'Equity Price Data'!B9</f>
        <v>-0.004814522126</v>
      </c>
      <c r="D8" s="4">
        <f t="shared" si="3"/>
        <v>-0.005012934824</v>
      </c>
      <c r="E8" s="4">
        <f>('Equity Price Data'!C10-'Equity Price Data'!C9)/'Equity Price Data'!C9</f>
        <v>-0.002706049712</v>
      </c>
      <c r="F8" s="4">
        <f>('Equity Price Data'!D10-'Equity Price Data'!D9)/'Equity Price Data'!D9</f>
        <v>-0.001846414878</v>
      </c>
      <c r="G8" s="4">
        <f>('Equity Price Data'!E10-'Equity Price Data'!E9)/'Equity Price Data'!E9</f>
        <v>-0.005064832108</v>
      </c>
      <c r="H8" s="4">
        <f>('Equity Price Data'!F10-'Equity Price Data'!F9)/'Equity Price Data'!F9</f>
        <v>-0.007934768105</v>
      </c>
      <c r="J8" s="45">
        <v>45626.0</v>
      </c>
      <c r="K8" s="6">
        <f t="shared" si="4"/>
        <v>0.08422317746</v>
      </c>
      <c r="L8" s="6">
        <f t="shared" ref="L8:O8" si="10">SUMIF($B:$B,$J8,E:E)</f>
        <v>0.05634632684</v>
      </c>
      <c r="M8" s="6">
        <f t="shared" si="10"/>
        <v>0.0613183497</v>
      </c>
      <c r="N8" s="6">
        <f t="shared" si="10"/>
        <v>0.07366526728</v>
      </c>
      <c r="O8" s="6">
        <f t="shared" si="10"/>
        <v>0.1057732791</v>
      </c>
      <c r="P8" s="6"/>
    </row>
    <row r="9">
      <c r="A9" s="43">
        <f>Sheet11!A9</f>
        <v>45435.66667</v>
      </c>
      <c r="B9" s="44">
        <f t="shared" si="2"/>
        <v>45443</v>
      </c>
      <c r="C9" s="4">
        <f>('Equity Price Data'!B11-'Equity Price Data'!B10)/'Equity Price Data'!B10</f>
        <v>-0.005562078271</v>
      </c>
      <c r="D9" s="4">
        <f t="shared" si="3"/>
        <v>-0.00576049097</v>
      </c>
      <c r="E9" s="4">
        <f>('Equity Price Data'!C11-'Equity Price Data'!C10)/'Equity Price Data'!C10</f>
        <v>-0.00738080388</v>
      </c>
      <c r="F9" s="4">
        <f>('Equity Price Data'!D11-'Equity Price Data'!D10)/'Equity Price Data'!D10</f>
        <v>-0.003899047349</v>
      </c>
      <c r="G9" s="4">
        <f>('Equity Price Data'!E11-'Equity Price Data'!E10)/'Equity Price Data'!E10</f>
        <v>-0.01527008115</v>
      </c>
      <c r="H9" s="4">
        <f>('Equity Price Data'!F11-'Equity Price Data'!F10)/'Equity Price Data'!F10</f>
        <v>-0.01599646445</v>
      </c>
      <c r="J9" s="45">
        <v>45657.0</v>
      </c>
      <c r="K9" s="6">
        <f t="shared" si="4"/>
        <v>-0.05157800511</v>
      </c>
      <c r="L9" s="6">
        <f t="shared" ref="L9:O9" si="11">SUMIF($B:$B,$J9,E:E)</f>
        <v>-0.02447743086</v>
      </c>
      <c r="M9" s="6">
        <f t="shared" si="11"/>
        <v>0.006327257623</v>
      </c>
      <c r="N9" s="6">
        <f t="shared" si="11"/>
        <v>-0.05349259896</v>
      </c>
      <c r="O9" s="6">
        <f t="shared" si="11"/>
        <v>-0.08610841556</v>
      </c>
      <c r="P9" s="6"/>
    </row>
    <row r="10">
      <c r="A10" s="43">
        <f>Sheet11!A10</f>
        <v>45436.66667</v>
      </c>
      <c r="B10" s="44">
        <f t="shared" si="2"/>
        <v>45443</v>
      </c>
      <c r="C10" s="4">
        <f>('Equity Price Data'!B12-'Equity Price Data'!B11)/'Equity Price Data'!B11</f>
        <v>0.005241149707</v>
      </c>
      <c r="D10" s="4">
        <f t="shared" si="3"/>
        <v>0.005042737009</v>
      </c>
      <c r="E10" s="4">
        <f>('Equity Price Data'!C12-'Equity Price Data'!C11)/'Equity Price Data'!C11</f>
        <v>0.007000971935</v>
      </c>
      <c r="F10" s="4">
        <f>('Equity Price Data'!D12-'Equity Price Data'!D11)/'Equity Price Data'!D11</f>
        <v>0.01103965516</v>
      </c>
      <c r="G10" s="4">
        <f>('Equity Price Data'!E12-'Equity Price Data'!E11)/'Equity Price Data'!E11</f>
        <v>0.0001108401685</v>
      </c>
      <c r="H10" s="4">
        <f>('Equity Price Data'!F12-'Equity Price Data'!F11)/'Equity Price Data'!F11</f>
        <v>0.01037878159</v>
      </c>
      <c r="J10" s="45">
        <v>45688.0</v>
      </c>
      <c r="K10" s="6">
        <f t="shared" si="4"/>
        <v>0.006319323379</v>
      </c>
      <c r="L10" s="6">
        <f t="shared" ref="L10:O10" si="12">SUMIF($B:$B,$J10,E:E)</f>
        <v>0.02741925625</v>
      </c>
      <c r="M10" s="6">
        <f t="shared" si="12"/>
        <v>0.0180894378</v>
      </c>
      <c r="N10" s="6">
        <f t="shared" si="12"/>
        <v>0.04654392329</v>
      </c>
      <c r="O10" s="6">
        <f t="shared" si="12"/>
        <v>0.02651946433</v>
      </c>
      <c r="P10" s="6"/>
    </row>
    <row r="11">
      <c r="A11" s="43">
        <f>Sheet11!A11</f>
        <v>45440.66667</v>
      </c>
      <c r="B11" s="44">
        <f t="shared" si="2"/>
        <v>45443</v>
      </c>
      <c r="C11" s="4">
        <f>('Equity Price Data'!B13-'Equity Price Data'!B12)/'Equity Price Data'!B12</f>
        <v>-0.00008162104781</v>
      </c>
      <c r="D11" s="4">
        <f t="shared" si="3"/>
        <v>-0.0002800337462</v>
      </c>
      <c r="E11" s="4">
        <f>('Equity Price Data'!C13-'Equity Price Data'!C12)/'Equity Price Data'!C12</f>
        <v>0.0002488349998</v>
      </c>
      <c r="F11" s="4">
        <f>('Equity Price Data'!D13-'Equity Price Data'!D12)/'Equity Price Data'!D12</f>
        <v>0.005856109555</v>
      </c>
      <c r="G11" s="4">
        <f>('Equity Price Data'!E13-'Equity Price Data'!E12)/'Equity Price Data'!E12</f>
        <v>-0.005547281146</v>
      </c>
      <c r="H11" s="4">
        <f>('Equity Price Data'!F13-'Equity Price Data'!F12)/'Equity Price Data'!F12</f>
        <v>-0.001362536056</v>
      </c>
      <c r="J11" s="45">
        <v>45716.0</v>
      </c>
      <c r="K11" s="6">
        <f t="shared" si="4"/>
        <v>0.01313298587</v>
      </c>
      <c r="L11" s="6">
        <f t="shared" ref="L11:O11" si="13">SUMIF($B:$B,$J11,E:E)</f>
        <v>-0.01371252077</v>
      </c>
      <c r="M11" s="6">
        <f t="shared" si="13"/>
        <v>-0.0391626894</v>
      </c>
      <c r="N11" s="6">
        <f t="shared" si="13"/>
        <v>-0.0154573999</v>
      </c>
      <c r="O11" s="6">
        <f t="shared" si="13"/>
        <v>-0.05484041711</v>
      </c>
      <c r="P11" s="6"/>
    </row>
    <row r="12">
      <c r="A12" s="43">
        <f>Sheet11!A12</f>
        <v>45441.66667</v>
      </c>
      <c r="B12" s="44">
        <f t="shared" si="2"/>
        <v>45443</v>
      </c>
      <c r="C12" s="4">
        <f>('Equity Price Data'!B14-'Equity Price Data'!B13)/'Equity Price Data'!B13</f>
        <v>-0.007463948595</v>
      </c>
      <c r="D12" s="4">
        <f t="shared" si="3"/>
        <v>-0.007662361294</v>
      </c>
      <c r="E12" s="4">
        <f>('Equity Price Data'!C14-'Equity Price Data'!C13)/'Equity Price Data'!C13</f>
        <v>-0.007367076011</v>
      </c>
      <c r="F12" s="4">
        <f>('Equity Price Data'!D14-'Equity Price Data'!D13)/'Equity Price Data'!D13</f>
        <v>-0.005834353709</v>
      </c>
      <c r="G12" s="4">
        <f>('Equity Price Data'!E14-'Equity Price Data'!E13)/'Equity Price Data'!E13</f>
        <v>-0.01058660804</v>
      </c>
      <c r="H12" s="4">
        <f>('Equity Price Data'!F14-'Equity Price Data'!F13)/'Equity Price Data'!F13</f>
        <v>-0.01483416794</v>
      </c>
      <c r="J12" s="45">
        <v>45747.0</v>
      </c>
      <c r="K12" s="6">
        <f t="shared" si="4"/>
        <v>-0.02325243629</v>
      </c>
      <c r="L12" s="6">
        <f t="shared" ref="L12:O12" si="14">SUMIF($B:$B,$J12,E:E)</f>
        <v>-0.05749130259</v>
      </c>
      <c r="M12" s="6">
        <f t="shared" si="14"/>
        <v>-0.08230784445</v>
      </c>
      <c r="N12" s="6">
        <f t="shared" si="14"/>
        <v>-0.04158304653</v>
      </c>
      <c r="O12" s="6">
        <f t="shared" si="14"/>
        <v>-0.0700610658</v>
      </c>
      <c r="P12" s="6"/>
    </row>
    <row r="13">
      <c r="A13" s="43">
        <f>Sheet11!A13</f>
        <v>45442.66667</v>
      </c>
      <c r="B13" s="44">
        <f t="shared" si="2"/>
        <v>45443</v>
      </c>
      <c r="C13" s="4">
        <f>('Equity Price Data'!B15-'Equity Price Data'!B14)/'Equity Price Data'!B14</f>
        <v>-0.0009607850076</v>
      </c>
      <c r="D13" s="4">
        <f t="shared" si="3"/>
        <v>-0.001159197706</v>
      </c>
      <c r="E13" s="4">
        <f>('Equity Price Data'!C15-'Equity Price Data'!C14)/'Equity Price Data'!C14</f>
        <v>-0.005974995016</v>
      </c>
      <c r="F13" s="4">
        <f>('Equity Price Data'!D15-'Equity Price Data'!D14)/'Equity Price Data'!D14</f>
        <v>-0.01084478192</v>
      </c>
      <c r="G13" s="4">
        <f>('Equity Price Data'!E15-'Equity Price Data'!E14)/'Equity Price Data'!E14</f>
        <v>-0.008586024389</v>
      </c>
      <c r="H13" s="4">
        <f>('Equity Price Data'!F15-'Equity Price Data'!F14)/'Equity Price Data'!F14</f>
        <v>0.01002362255</v>
      </c>
      <c r="J13" s="45">
        <v>45777.0</v>
      </c>
      <c r="K13" s="6">
        <f t="shared" si="4"/>
        <v>-0.008260033248</v>
      </c>
      <c r="L13" s="6">
        <f t="shared" ref="L13:O13" si="15">SUMIF($B:$B,$J13,E:E)</f>
        <v>0.001872199382</v>
      </c>
      <c r="M13" s="6">
        <f t="shared" si="15"/>
        <v>0.02236522757</v>
      </c>
      <c r="N13" s="6">
        <f t="shared" si="15"/>
        <v>-0.02526671615</v>
      </c>
      <c r="O13" s="6">
        <f t="shared" si="15"/>
        <v>-0.01450928623</v>
      </c>
      <c r="P13" s="6"/>
    </row>
    <row r="14">
      <c r="A14" s="43">
        <f>Sheet11!A14</f>
        <v>45443.66667</v>
      </c>
      <c r="B14" s="44">
        <f t="shared" si="2"/>
        <v>45443</v>
      </c>
      <c r="C14" s="4">
        <f>('Equity Price Data'!B16-'Equity Price Data'!B15)/'Equity Price Data'!B15</f>
        <v>0.01152335239</v>
      </c>
      <c r="D14" s="4">
        <f t="shared" si="3"/>
        <v>0.01132493969</v>
      </c>
      <c r="E14" s="4">
        <f>('Equity Price Data'!C16-'Equity Price Data'!C15)/'Equity Price Data'!C15</f>
        <v>0.008027917211</v>
      </c>
      <c r="F14" s="4">
        <f>('Equity Price Data'!D16-'Equity Price Data'!D15)/'Equity Price Data'!D15</f>
        <v>-0.0001230800116</v>
      </c>
      <c r="G14" s="4">
        <f>('Equity Price Data'!E16-'Equity Price Data'!E15)/'Equity Price Data'!E15</f>
        <v>0.01508311931</v>
      </c>
      <c r="H14" s="4">
        <f>('Equity Price Data'!F16-'Equity Price Data'!F15)/'Equity Price Data'!F15</f>
        <v>0.006578819411</v>
      </c>
      <c r="J14" s="45">
        <v>45808.0</v>
      </c>
      <c r="K14" s="6">
        <f t="shared" si="4"/>
        <v>0.04140195595</v>
      </c>
      <c r="L14" s="6">
        <f t="shared" ref="L14:O14" si="16">SUMIF($B:$B,$J14,E:E)</f>
        <v>0.06087993845</v>
      </c>
      <c r="M14" s="6">
        <f t="shared" si="16"/>
        <v>0.0932058993</v>
      </c>
      <c r="N14" s="6">
        <f t="shared" si="16"/>
        <v>0.03965049671</v>
      </c>
      <c r="O14" s="6">
        <f t="shared" si="16"/>
        <v>0.05270925096</v>
      </c>
      <c r="P14" s="6"/>
    </row>
    <row r="15">
      <c r="A15" s="43">
        <f>Sheet11!A15</f>
        <v>45446.66667</v>
      </c>
      <c r="B15" s="44">
        <f t="shared" si="2"/>
        <v>45473</v>
      </c>
      <c r="C15" s="4">
        <f>('Equity Price Data'!B17-'Equity Price Data'!B16)/'Equity Price Data'!B16</f>
        <v>-0.001335825171</v>
      </c>
      <c r="D15" s="4">
        <f t="shared" si="3"/>
        <v>-0.001534237869</v>
      </c>
      <c r="E15" s="4">
        <f>('Equity Price Data'!C17-'Equity Price Data'!C16)/'Equity Price Data'!C16</f>
        <v>0.001116056625</v>
      </c>
      <c r="F15" s="4">
        <f>('Equity Price Data'!D17-'Equity Price Data'!D16)/'Equity Price Data'!D16</f>
        <v>0.005596049482</v>
      </c>
      <c r="G15" s="4">
        <f>('Equity Price Data'!E17-'Equity Price Data'!E16)/'Equity Price Data'!E16</f>
        <v>-0.002980123206</v>
      </c>
      <c r="H15" s="4">
        <f>('Equity Price Data'!F17-'Equity Price Data'!F16)/'Equity Price Data'!F16</f>
        <v>-0.005047992155</v>
      </c>
      <c r="J15" s="45">
        <v>45838.0</v>
      </c>
      <c r="K15" s="6">
        <f t="shared" si="4"/>
        <v>0.03695351133</v>
      </c>
      <c r="L15" s="6">
        <f t="shared" ref="L15:O15" si="17">SUMIF($B:$B,$J15,E:E)</f>
        <v>0.04884540181</v>
      </c>
      <c r="M15" s="6">
        <f t="shared" si="17"/>
        <v>0.0643255874</v>
      </c>
      <c r="N15" s="6">
        <f t="shared" si="17"/>
        <v>0.04278294965</v>
      </c>
      <c r="O15" s="6">
        <f t="shared" si="17"/>
        <v>0.0522679396</v>
      </c>
      <c r="P15" s="6"/>
    </row>
    <row r="16">
      <c r="A16" s="43">
        <f>Sheet11!A16</f>
        <v>45447.66667</v>
      </c>
      <c r="B16" s="44">
        <f t="shared" si="2"/>
        <v>45473</v>
      </c>
      <c r="C16" s="4">
        <f>('Equity Price Data'!B18-'Equity Price Data'!B17)/'Equity Price Data'!B17</f>
        <v>0.001186436358</v>
      </c>
      <c r="D16" s="4">
        <f t="shared" si="3"/>
        <v>0.0009880236591</v>
      </c>
      <c r="E16" s="4">
        <f>('Equity Price Data'!C18-'Equity Price Data'!C17)/'Equity Price Data'!C17</f>
        <v>0.001502820154</v>
      </c>
      <c r="F16" s="4">
        <f>('Equity Price Data'!D18-'Equity Price Data'!D17)/'Equity Price Data'!D17</f>
        <v>0.001686407779</v>
      </c>
      <c r="G16" s="4">
        <f>('Equity Price Data'!E18-'Equity Price Data'!E17)/'Equity Price Data'!E17</f>
        <v>0.003636407947</v>
      </c>
      <c r="H16" s="4">
        <f>('Equity Price Data'!F18-'Equity Price Data'!F17)/'Equity Price Data'!F17</f>
        <v>-0.01249708693</v>
      </c>
      <c r="J16" s="45">
        <v>45869.0</v>
      </c>
      <c r="K16" s="6">
        <f t="shared" si="4"/>
        <v>0.01443689931</v>
      </c>
      <c r="L16" s="6">
        <f t="shared" ref="L16:O16" si="18">SUMIF($B:$B,$J16,E:E)</f>
        <v>0.02162045431</v>
      </c>
      <c r="M16" s="6">
        <f t="shared" si="18"/>
        <v>0.03659317913</v>
      </c>
      <c r="N16" s="6">
        <f t="shared" si="18"/>
        <v>0.001222073593</v>
      </c>
      <c r="O16" s="6">
        <f t="shared" si="18"/>
        <v>0.01786409514</v>
      </c>
      <c r="P16" s="6"/>
    </row>
    <row r="17">
      <c r="A17" s="43">
        <f>Sheet11!A17</f>
        <v>45448.66667</v>
      </c>
      <c r="B17" s="44">
        <f t="shared" si="2"/>
        <v>45473</v>
      </c>
      <c r="C17" s="4">
        <f>('Equity Price Data'!B19-'Equity Price Data'!B18)/'Equity Price Data'!B18</f>
        <v>0.005410290121</v>
      </c>
      <c r="D17" s="4">
        <f t="shared" si="3"/>
        <v>0.005211877423</v>
      </c>
      <c r="E17" s="4">
        <f>('Equity Price Data'!C19-'Equity Price Data'!C18)/'Equity Price Data'!C18</f>
        <v>0.01184766052</v>
      </c>
      <c r="F17" s="4">
        <f>('Equity Price Data'!D19-'Equity Price Data'!D18)/'Equity Price Data'!D18</f>
        <v>0.01962739625</v>
      </c>
      <c r="G17" s="4">
        <f>('Equity Price Data'!E19-'Equity Price Data'!E18)/'Equity Price Data'!E18</f>
        <v>0.002480929982</v>
      </c>
      <c r="H17" s="4">
        <f>('Equity Price Data'!F19-'Equity Price Data'!F18)/'Equity Price Data'!F18</f>
        <v>0.01471528167</v>
      </c>
      <c r="J17" s="45">
        <v>45900.0</v>
      </c>
      <c r="K17" s="6">
        <f t="shared" si="4"/>
        <v>0.02778658096</v>
      </c>
      <c r="L17" s="6">
        <f t="shared" ref="L17:O17" si="19">SUMIF($B:$B,$J17,E:E)</f>
        <v>0.01945749908</v>
      </c>
      <c r="M17" s="6">
        <f t="shared" si="19"/>
        <v>0.01674975359</v>
      </c>
      <c r="N17" s="6">
        <f t="shared" si="19"/>
        <v>0.03207787592</v>
      </c>
      <c r="O17" s="6">
        <f t="shared" si="19"/>
        <v>0.06970514094</v>
      </c>
      <c r="P17" s="6"/>
    </row>
    <row r="18">
      <c r="A18" s="43">
        <f>Sheet11!A18</f>
        <v>45449.66667</v>
      </c>
      <c r="B18" s="44">
        <f t="shared" si="2"/>
        <v>45473</v>
      </c>
      <c r="C18" s="4">
        <f>('Equity Price Data'!B20-'Equity Price Data'!B19)/'Equity Price Data'!B19</f>
        <v>-0.00006999961132</v>
      </c>
      <c r="D18" s="4">
        <f t="shared" si="3"/>
        <v>-0.0002684123097</v>
      </c>
      <c r="E18" s="4">
        <f>('Equity Price Data'!C20-'Equity Price Data'!C19)/'Equity Price Data'!C19</f>
        <v>-0.0001998494592</v>
      </c>
      <c r="F18" s="4">
        <f>('Equity Price Data'!D20-'Equity Price Data'!D19)/'Equity Price Data'!D19</f>
        <v>-0.0008604885643</v>
      </c>
      <c r="G18" s="4">
        <f>('Equity Price Data'!E20-'Equity Price Data'!E19)/'Equity Price Data'!E19</f>
        <v>0.002031574963</v>
      </c>
      <c r="H18" s="4">
        <f>('Equity Price Data'!F20-'Equity Price Data'!F19)/'Equity Price Data'!F19</f>
        <v>-0.00699171944</v>
      </c>
      <c r="J18" s="45">
        <v>45930.0</v>
      </c>
      <c r="K18" s="6">
        <f t="shared" si="4"/>
        <v>0.01854797978</v>
      </c>
      <c r="L18" s="6">
        <f t="shared" ref="L18:O18" si="20">SUMIF($B:$B,$J18,E:E)</f>
        <v>0.03494332477</v>
      </c>
      <c r="M18" s="6">
        <f t="shared" si="20"/>
        <v>0.05503618785</v>
      </c>
      <c r="N18" s="6">
        <f t="shared" si="20"/>
        <v>0.01881719345</v>
      </c>
      <c r="O18" s="6">
        <f t="shared" si="20"/>
        <v>0.03002371427</v>
      </c>
      <c r="P18" s="6"/>
    </row>
    <row r="19">
      <c r="A19" s="43">
        <f>Sheet11!A19</f>
        <v>45450.66667</v>
      </c>
      <c r="B19" s="44">
        <f t="shared" si="2"/>
        <v>45473</v>
      </c>
      <c r="C19" s="4">
        <f>('Equity Price Data'!B21-'Equity Price Data'!B20)/'Equity Price Data'!B20</f>
        <v>-0.0008395985609</v>
      </c>
      <c r="D19" s="4">
        <f t="shared" si="3"/>
        <v>-0.001038011259</v>
      </c>
      <c r="E19" s="4">
        <f>('Equity Price Data'!C21-'Equity Price Data'!C20)/'Equity Price Data'!C20</f>
        <v>-0.001115270803</v>
      </c>
      <c r="F19" s="4">
        <f>('Equity Price Data'!D21-'Equity Price Data'!D20)/'Equity Price Data'!D20</f>
        <v>-0.002328639176</v>
      </c>
      <c r="G19" s="4">
        <f>('Equity Price Data'!E21-'Equity Price Data'!E20)/'Equity Price Data'!E20</f>
        <v>-0.002241928171</v>
      </c>
      <c r="H19" s="4">
        <f>('Equity Price Data'!F21-'Equity Price Data'!F20)/'Equity Price Data'!F20</f>
        <v>-0.01116890468</v>
      </c>
      <c r="J19" s="45">
        <v>45961.0</v>
      </c>
      <c r="K19" s="6">
        <f t="shared" si="4"/>
        <v>0.04731909642</v>
      </c>
      <c r="L19" s="6">
        <f t="shared" ref="L19:O19" si="21">SUMIF($B:$B,$J19,E:E)</f>
        <v>0.02326080177</v>
      </c>
      <c r="M19" s="6">
        <f t="shared" si="21"/>
        <v>0.0476262941</v>
      </c>
      <c r="N19" s="6">
        <f t="shared" si="21"/>
        <v>0.02532852453</v>
      </c>
      <c r="O19" s="6">
        <f t="shared" si="21"/>
        <v>0.01943772119</v>
      </c>
      <c r="P19" s="6"/>
    </row>
    <row r="20">
      <c r="A20" s="43">
        <f>Sheet11!A20</f>
        <v>45453.66667</v>
      </c>
      <c r="B20" s="44">
        <f t="shared" si="2"/>
        <v>45473</v>
      </c>
      <c r="C20" s="4">
        <f>('Equity Price Data'!B22-'Equity Price Data'!B21)/'Equity Price Data'!B21</f>
        <v>0.004452136258</v>
      </c>
      <c r="D20" s="4">
        <f t="shared" si="3"/>
        <v>0.00425372356</v>
      </c>
      <c r="E20" s="4">
        <f>('Equity Price Data'!C22-'Equity Price Data'!C21)/'Equity Price Data'!C21</f>
        <v>0.002580891305</v>
      </c>
      <c r="F20" s="4">
        <f>('Equity Price Data'!D22-'Equity Price Data'!D21)/'Equity Price Data'!D21</f>
        <v>0.003466967215</v>
      </c>
      <c r="G20" s="4">
        <f>('Equity Price Data'!E22-'Equity Price Data'!E21)/'Equity Price Data'!E21</f>
        <v>0.001779685502</v>
      </c>
      <c r="H20" s="4">
        <f>('Equity Price Data'!F22-'Equity Price Data'!F21)/'Equity Price Data'!F21</f>
        <v>0.00249685426</v>
      </c>
      <c r="J20" s="45">
        <v>45991.0</v>
      </c>
      <c r="K20" s="6">
        <f t="shared" si="4"/>
        <v>0.008918870414</v>
      </c>
      <c r="L20" s="6">
        <f t="shared" ref="L20:O20" si="22">SUMIF($B:$B,$J20,E:E)</f>
        <v>0.002149729136</v>
      </c>
      <c r="M20" s="6">
        <f t="shared" si="22"/>
        <v>-0.01347074701</v>
      </c>
      <c r="N20" s="6">
        <f t="shared" si="22"/>
        <v>0.003954861128</v>
      </c>
      <c r="O20" s="6">
        <f t="shared" si="22"/>
        <v>0.01057470366</v>
      </c>
      <c r="P20" s="6"/>
    </row>
    <row r="21">
      <c r="A21" s="43">
        <f>Sheet11!A21</f>
        <v>45454.66667</v>
      </c>
      <c r="B21" s="44">
        <f t="shared" si="2"/>
        <v>45473</v>
      </c>
      <c r="C21" s="4">
        <f>('Equity Price Data'!B23-'Equity Price Data'!B22)/'Equity Price Data'!B22</f>
        <v>-0.003827283991</v>
      </c>
      <c r="D21" s="4">
        <f t="shared" si="3"/>
        <v>-0.00402569669</v>
      </c>
      <c r="E21" s="4">
        <f>('Equity Price Data'!C23-'Equity Price Data'!C22)/'Equity Price Data'!C22</f>
        <v>0.002710421412</v>
      </c>
      <c r="F21" s="4">
        <f>('Equity Price Data'!D23-'Equity Price Data'!D22)/'Equity Price Data'!D22</f>
        <v>0.00878404749</v>
      </c>
      <c r="G21" s="4">
        <f>('Equity Price Data'!E23-'Equity Price Data'!E22)/'Equity Price Data'!E22</f>
        <v>-0.003103320878</v>
      </c>
      <c r="H21" s="4">
        <f>('Equity Price Data'!F23-'Equity Price Data'!F22)/'Equity Price Data'!F22</f>
        <v>-0.003573520508</v>
      </c>
      <c r="J21" s="46">
        <v>46022.0</v>
      </c>
      <c r="K21" s="6">
        <f t="shared" si="4"/>
        <v>-0.001391815624</v>
      </c>
      <c r="L21" s="6">
        <f t="shared" ref="L21:O21" si="23">SUMIF($B:$B,$J21,E:E)</f>
        <v>-0.000199401879</v>
      </c>
      <c r="M21" s="6">
        <f t="shared" si="23"/>
        <v>-0.004677906623</v>
      </c>
      <c r="N21" s="6">
        <f t="shared" si="23"/>
        <v>0.007608942056</v>
      </c>
      <c r="O21" s="6">
        <f t="shared" si="23"/>
        <v>-0.006520081066</v>
      </c>
    </row>
    <row r="22">
      <c r="A22" s="43">
        <f>Sheet11!A22</f>
        <v>45455.66667</v>
      </c>
      <c r="B22" s="44">
        <f t="shared" si="2"/>
        <v>45473</v>
      </c>
      <c r="C22" s="4">
        <f>('Equity Price Data'!B24-'Equity Price Data'!B23)/'Equity Price Data'!B23</f>
        <v>0.004913481213</v>
      </c>
      <c r="D22" s="4">
        <f t="shared" si="3"/>
        <v>0.004715068515</v>
      </c>
      <c r="E22" s="4">
        <f>('Equity Price Data'!C24-'Equity Price Data'!C23)/'Equity Price Data'!C23</f>
        <v>0.008503679781</v>
      </c>
      <c r="F22" s="4">
        <f>('Equity Price Data'!D24-'Equity Price Data'!D23)/'Equity Price Data'!D23</f>
        <v>0.01527311306</v>
      </c>
      <c r="G22" s="4">
        <f>('Equity Price Data'!E24-'Equity Price Data'!E23)/'Equity Price Data'!E23</f>
        <v>-0.0009087056635</v>
      </c>
      <c r="H22" s="4">
        <f>('Equity Price Data'!F24-'Equity Price Data'!F23)/'Equity Price Data'!F23</f>
        <v>0.01617803245</v>
      </c>
      <c r="J22" s="46">
        <v>46053.0</v>
      </c>
      <c r="K22" s="6">
        <f t="shared" si="4"/>
        <v>0.03850242648</v>
      </c>
      <c r="L22" s="6">
        <f t="shared" ref="L22:O22" si="24">SUMIF($B:$B,$J22,E:E)</f>
        <v>0.01937572769</v>
      </c>
      <c r="M22" s="6">
        <f t="shared" si="24"/>
        <v>0.01008655063</v>
      </c>
      <c r="N22" s="6">
        <f t="shared" si="24"/>
        <v>0.01770398854</v>
      </c>
      <c r="O22" s="6">
        <f t="shared" si="24"/>
        <v>0.05280534295</v>
      </c>
    </row>
    <row r="23">
      <c r="A23" s="43">
        <f>Sheet11!A23</f>
        <v>45456.66667</v>
      </c>
      <c r="B23" s="44">
        <f t="shared" si="2"/>
        <v>45473</v>
      </c>
      <c r="C23" s="4">
        <f>('Equity Price Data'!B25-'Equity Price Data'!B24)/'Equity Price Data'!B24</f>
        <v>-0.001215092744</v>
      </c>
      <c r="D23" s="4">
        <f t="shared" si="3"/>
        <v>-0.001413505443</v>
      </c>
      <c r="E23" s="4">
        <f>('Equity Price Data'!C25-'Equity Price Data'!C24)/'Equity Price Data'!C24</f>
        <v>0.002344572895</v>
      </c>
      <c r="F23" s="4">
        <f>('Equity Price Data'!D25-'Equity Price Data'!D24)/'Equity Price Data'!D24</f>
        <v>0.003357480844</v>
      </c>
      <c r="G23" s="4">
        <f>('Equity Price Data'!E25-'Equity Price Data'!E24)/'Equity Price Data'!E24</f>
        <v>-0.001681898295</v>
      </c>
      <c r="H23" s="4">
        <f>('Equity Price Data'!F25-'Equity Price Data'!F24)/'Equity Price Data'!F24</f>
        <v>-0.008842545331</v>
      </c>
      <c r="J23" s="19">
        <v>46081.0</v>
      </c>
      <c r="K23" s="6">
        <f t="shared" si="4"/>
        <v>0.01029825024</v>
      </c>
      <c r="L23" s="6">
        <f t="shared" ref="L23:O23" si="25">SUMIF($B:$B,$J23,E:E)</f>
        <v>-0.004693215408</v>
      </c>
      <c r="M23" s="6">
        <f t="shared" si="25"/>
        <v>-0.01478306047</v>
      </c>
      <c r="N23" s="6">
        <f t="shared" si="25"/>
        <v>0.02660253045</v>
      </c>
      <c r="O23" s="6">
        <f t="shared" si="25"/>
        <v>0.02586942938</v>
      </c>
    </row>
    <row r="24">
      <c r="A24" s="43">
        <f>Sheet11!A24</f>
        <v>45457.66667</v>
      </c>
      <c r="B24" s="44">
        <f t="shared" si="2"/>
        <v>45473</v>
      </c>
      <c r="C24" s="4">
        <f>('Equity Price Data'!B26-'Equity Price Data'!B25)/'Equity Price Data'!B25</f>
        <v>-0.001737634267</v>
      </c>
      <c r="D24" s="4">
        <f t="shared" si="3"/>
        <v>-0.001936046966</v>
      </c>
      <c r="E24" s="4">
        <f>('Equity Price Data'!C26-'Equity Price Data'!C25)/'Equity Price Data'!C25</f>
        <v>-0.0003938355534</v>
      </c>
      <c r="F24" s="4">
        <f>('Equity Price Data'!D26-'Equity Price Data'!D25)/'Equity Price Data'!D25</f>
        <v>0.001206731433</v>
      </c>
      <c r="G24" s="4">
        <f>('Equity Price Data'!E26-'Equity Price Data'!E25)/'Equity Price Data'!E25</f>
        <v>-0.001499206926</v>
      </c>
      <c r="H24" s="4">
        <f>('Equity Price Data'!F26-'Equity Price Data'!F25)/'Equity Price Data'!F25</f>
        <v>-0.01606250398</v>
      </c>
      <c r="L24" s="1"/>
      <c r="M24" s="1"/>
      <c r="N24" s="1"/>
      <c r="O24" s="1"/>
    </row>
    <row r="25">
      <c r="A25" s="43">
        <f>Sheet11!A25</f>
        <v>45460.66667</v>
      </c>
      <c r="B25" s="44">
        <f t="shared" si="2"/>
        <v>45473</v>
      </c>
      <c r="C25" s="4">
        <f>('Equity Price Data'!B27-'Equity Price Data'!B26)/'Equity Price Data'!B26</f>
        <v>0.003562945947</v>
      </c>
      <c r="D25" s="4">
        <f t="shared" si="3"/>
        <v>0.003364533248</v>
      </c>
      <c r="E25" s="4">
        <f>('Equity Price Data'!C27-'Equity Price Data'!C26)/'Equity Price Data'!C26</f>
        <v>0.007664408277</v>
      </c>
      <c r="F25" s="4">
        <f>('Equity Price Data'!D27-'Equity Price Data'!D26)/'Equity Price Data'!D26</f>
        <v>0.009505406787</v>
      </c>
      <c r="G25" s="4">
        <f>('Equity Price Data'!E27-'Equity Price Data'!E26)/'Equity Price Data'!E26</f>
        <v>0.004896193646</v>
      </c>
      <c r="H25" s="4">
        <f>('Equity Price Data'!F27-'Equity Price Data'!F26)/'Equity Price Data'!F26</f>
        <v>0.007900665949</v>
      </c>
      <c r="K25" s="18" t="s">
        <v>122</v>
      </c>
      <c r="L25" s="47">
        <v>0.05</v>
      </c>
      <c r="M25" s="48"/>
      <c r="N25" s="48"/>
      <c r="O25" s="1"/>
    </row>
    <row r="26">
      <c r="A26" s="43">
        <f>Sheet11!A26</f>
        <v>45461.66667</v>
      </c>
      <c r="B26" s="44">
        <f t="shared" si="2"/>
        <v>45473</v>
      </c>
      <c r="C26" s="4">
        <f>('Equity Price Data'!B28-'Equity Price Data'!B27)/'Equity Price Data'!B27</f>
        <v>0.003257790741</v>
      </c>
      <c r="D26" s="4">
        <f t="shared" si="3"/>
        <v>0.003059378042</v>
      </c>
      <c r="E26" s="4">
        <f>('Equity Price Data'!C28-'Equity Price Data'!C27)/'Equity Price Data'!C27</f>
        <v>0.002521363071</v>
      </c>
      <c r="F26" s="4">
        <f>('Equity Price Data'!D28-'Equity Price Data'!D27)/'Equity Price Data'!D27</f>
        <v>0.0002917620073</v>
      </c>
      <c r="G26" s="4">
        <f>('Equity Price Data'!E28-'Equity Price Data'!E27)/'Equity Price Data'!E27</f>
        <v>0.001463712766</v>
      </c>
      <c r="H26" s="4">
        <f>('Equity Price Data'!F28-'Equity Price Data'!F27)/'Equity Price Data'!F27</f>
        <v>0.001592474815</v>
      </c>
      <c r="K26" s="18" t="s">
        <v>123</v>
      </c>
      <c r="L26" s="49">
        <f>L25/252</f>
        <v>0.0001984126984</v>
      </c>
      <c r="M26" s="1"/>
      <c r="N26" s="1"/>
      <c r="O26" s="1"/>
    </row>
    <row r="27">
      <c r="A27" s="43">
        <f>Sheet11!A27</f>
        <v>45463.66667</v>
      </c>
      <c r="B27" s="44">
        <f t="shared" si="2"/>
        <v>45473</v>
      </c>
      <c r="C27" s="4">
        <f>('Equity Price Data'!B29-'Equity Price Data'!B28)/'Equity Price Data'!B28</f>
        <v>0.001001913234</v>
      </c>
      <c r="D27" s="4">
        <f t="shared" si="3"/>
        <v>0.0008035005356</v>
      </c>
      <c r="E27" s="4">
        <f>('Equity Price Data'!C29-'Equity Price Data'!C28)/'Equity Price Data'!C28</f>
        <v>-0.002525956665</v>
      </c>
      <c r="F27" s="4">
        <f>('Equity Price Data'!D29-'Equity Price Data'!D28)/'Equity Price Data'!D28</f>
        <v>-0.00787359697</v>
      </c>
      <c r="G27" s="4">
        <f>('Equity Price Data'!E29-'Equity Price Data'!E28)/'Equity Price Data'!E28</f>
        <v>0.007722443186</v>
      </c>
      <c r="H27" s="4">
        <f>('Equity Price Data'!F29-'Equity Price Data'!F28)/'Equity Price Data'!F28</f>
        <v>-0.00387116525</v>
      </c>
      <c r="L27" s="49"/>
      <c r="M27" s="1"/>
      <c r="N27" s="1"/>
      <c r="O27" s="1"/>
    </row>
    <row r="28">
      <c r="A28" s="43">
        <f>Sheet11!A28</f>
        <v>45464.66667</v>
      </c>
      <c r="B28" s="44">
        <f t="shared" si="2"/>
        <v>45473</v>
      </c>
      <c r="C28" s="4">
        <f>('Equity Price Data'!B30-'Equity Price Data'!B29)/'Equity Price Data'!B29</f>
        <v>-0.00255359071</v>
      </c>
      <c r="D28" s="4">
        <f t="shared" si="3"/>
        <v>-0.002752003409</v>
      </c>
      <c r="E28" s="4">
        <f>('Equity Price Data'!C30-'Equity Price Data'!C29)/'Equity Price Data'!C29</f>
        <v>-0.001562165984</v>
      </c>
      <c r="F28" s="4">
        <f>('Equity Price Data'!D30-'Equity Price Data'!D29)/'Equity Price Data'!D29</f>
        <v>-0.001818685569</v>
      </c>
      <c r="G28" s="4">
        <f>('Equity Price Data'!E30-'Equity Price Data'!E29)/'Equity Price Data'!E29</f>
        <v>0.0003978560236</v>
      </c>
      <c r="H28" s="4">
        <f>('Equity Price Data'!F30-'Equity Price Data'!F29)/'Equity Price Data'!F29</f>
        <v>0.002300001487</v>
      </c>
      <c r="L28" s="1"/>
      <c r="M28" s="1"/>
      <c r="N28" s="1"/>
      <c r="O28" s="1"/>
    </row>
    <row r="29">
      <c r="A29" s="43">
        <f>Sheet11!A29</f>
        <v>45467.66667</v>
      </c>
      <c r="B29" s="44">
        <f t="shared" si="2"/>
        <v>45473</v>
      </c>
      <c r="C29" s="4">
        <f>('Equity Price Data'!B31-'Equity Price Data'!B30)/'Equity Price Data'!B30</f>
        <v>0.0004347224459</v>
      </c>
      <c r="D29" s="4">
        <f t="shared" si="3"/>
        <v>0.0002363097475</v>
      </c>
      <c r="E29" s="4">
        <f>('Equity Price Data'!C31-'Equity Price Data'!C30)/'Equity Price Data'!C30</f>
        <v>-0.003065171961</v>
      </c>
      <c r="F29" s="4">
        <f>('Equity Price Data'!D31-'Equity Price Data'!D30)/'Equity Price Data'!D30</f>
        <v>-0.01088450911</v>
      </c>
      <c r="G29" s="4">
        <f>('Equity Price Data'!E31-'Equity Price Data'!E30)/'Equity Price Data'!E30</f>
        <v>0.006663545365</v>
      </c>
      <c r="H29" s="4">
        <f>('Equity Price Data'!F31-'Equity Price Data'!F30)/'Equity Price Data'!F30</f>
        <v>0.004342170987</v>
      </c>
      <c r="L29" s="1"/>
      <c r="M29" s="1"/>
      <c r="N29" s="1"/>
      <c r="O29" s="1"/>
    </row>
    <row r="30">
      <c r="A30" s="43">
        <f>Sheet11!A30</f>
        <v>45468.66667</v>
      </c>
      <c r="B30" s="44">
        <f t="shared" si="2"/>
        <v>45473</v>
      </c>
      <c r="C30" s="4">
        <f>('Equity Price Data'!B32-'Equity Price Data'!B31)/'Equity Price Data'!B31</f>
        <v>0.00005870765412</v>
      </c>
      <c r="D30" s="4">
        <f t="shared" si="3"/>
        <v>-0.0001397050443</v>
      </c>
      <c r="E30" s="4">
        <f>('Equity Price Data'!C32-'Equity Price Data'!C31)/'Equity Price Data'!C31</f>
        <v>0.003933647462</v>
      </c>
      <c r="F30" s="4">
        <f>('Equity Price Data'!D32-'Equity Price Data'!D31)/'Equity Price Data'!D31</f>
        <v>0.01262115059</v>
      </c>
      <c r="G30" s="4">
        <f>('Equity Price Data'!E32-'Equity Price Data'!E31)/'Equity Price Data'!E31</f>
        <v>-0.007587942618</v>
      </c>
      <c r="H30" s="4">
        <f>('Equity Price Data'!F32-'Equity Price Data'!F31)/'Equity Price Data'!F31</f>
        <v>-0.004165825459</v>
      </c>
      <c r="L30" s="1"/>
      <c r="M30" s="1"/>
      <c r="N30" s="1"/>
      <c r="O30" s="1"/>
    </row>
    <row r="31">
      <c r="A31" s="43">
        <f>Sheet11!A31</f>
        <v>45469.66667</v>
      </c>
      <c r="B31" s="44">
        <f t="shared" si="2"/>
        <v>45473</v>
      </c>
      <c r="C31" s="4">
        <f>('Equity Price Data'!B33-'Equity Price Data'!B32)/'Equity Price Data'!B32</f>
        <v>0.0007221990276</v>
      </c>
      <c r="D31" s="4">
        <f t="shared" si="3"/>
        <v>0.0005237863292</v>
      </c>
      <c r="E31" s="4">
        <f>('Equity Price Data'!C33-'Equity Price Data'!C32)/'Equity Price Data'!C32</f>
        <v>0.001572413289</v>
      </c>
      <c r="F31" s="4">
        <f>('Equity Price Data'!D33-'Equity Price Data'!D32)/'Equity Price Data'!D32</f>
        <v>0.004939142606</v>
      </c>
      <c r="G31" s="4">
        <f>('Equity Price Data'!E33-'Equity Price Data'!E32)/'Equity Price Data'!E32</f>
        <v>0.0003998756397</v>
      </c>
      <c r="H31" s="4">
        <f>('Equity Price Data'!F33-'Equity Price Data'!F32)/'Equity Price Data'!F32</f>
        <v>-0.002091626079</v>
      </c>
      <c r="L31" s="1"/>
      <c r="M31" s="1"/>
      <c r="N31" s="1"/>
      <c r="O31" s="1"/>
    </row>
    <row r="32">
      <c r="A32" s="43">
        <f>Sheet11!A32</f>
        <v>45470.66667</v>
      </c>
      <c r="B32" s="44">
        <f t="shared" si="2"/>
        <v>45473</v>
      </c>
      <c r="C32" s="4">
        <f>('Equity Price Data'!B34-'Equity Price Data'!B33)/'Equity Price Data'!B33</f>
        <v>0.002299003589</v>
      </c>
      <c r="D32" s="4">
        <f t="shared" si="3"/>
        <v>0.002100590891</v>
      </c>
      <c r="E32" s="4">
        <f>('Equity Price Data'!C34-'Equity Price Data'!C33)/'Equity Price Data'!C33</f>
        <v>0.0009072819876</v>
      </c>
      <c r="F32" s="4">
        <f>('Equity Price Data'!D34-'Equity Price Data'!D33)/'Equity Price Data'!D33</f>
        <v>0.003005870208</v>
      </c>
      <c r="G32" s="4">
        <f>('Equity Price Data'!E34-'Equity Price Data'!E33)/'Equity Price Data'!E33</f>
        <v>0.0009267068427</v>
      </c>
      <c r="H32" s="4">
        <f>('Equity Price Data'!F34-'Equity Price Data'!F33)/'Equity Price Data'!F33</f>
        <v>0.01001922581</v>
      </c>
      <c r="L32" s="1"/>
      <c r="M32" s="1"/>
      <c r="N32" s="1"/>
      <c r="O32" s="1"/>
    </row>
    <row r="33">
      <c r="A33" s="43">
        <f>Sheet11!A33</f>
        <v>45471.66667</v>
      </c>
      <c r="B33" s="44">
        <f t="shared" si="2"/>
        <v>45473</v>
      </c>
      <c r="C33" s="4">
        <f>('Equity Price Data'!B35-'Equity Price Data'!B34)/'Equity Price Data'!B34</f>
        <v>0.001641243618</v>
      </c>
      <c r="D33" s="4">
        <f t="shared" si="3"/>
        <v>0.001442830919</v>
      </c>
      <c r="E33" s="4">
        <f>('Equity Price Data'!C35-'Equity Price Data'!C34)/'Equity Price Data'!C34</f>
        <v>-0.004083627735</v>
      </c>
      <c r="F33" s="4">
        <f>('Equity Price Data'!D35-'Equity Price Data'!D34)/'Equity Price Data'!D34</f>
        <v>-0.007059872286</v>
      </c>
      <c r="G33" s="4">
        <f>('Equity Price Data'!E35-'Equity Price Data'!E34)/'Equity Price Data'!E34</f>
        <v>-0.001154119364</v>
      </c>
      <c r="H33" s="4">
        <f>('Equity Price Data'!F35-'Equity Price Data'!F34)/'Equity Price Data'!F34</f>
        <v>0.004587065946</v>
      </c>
      <c r="L33" s="1"/>
      <c r="M33" s="1"/>
      <c r="N33" s="1"/>
      <c r="O33" s="1"/>
    </row>
    <row r="34">
      <c r="A34" s="43">
        <f>Sheet11!A34</f>
        <v>45474.66667</v>
      </c>
      <c r="B34" s="44">
        <f t="shared" si="2"/>
        <v>45504</v>
      </c>
      <c r="C34" s="4">
        <f>('Equity Price Data'!B36-'Equity Price Data'!B35)/'Equity Price Data'!B35</f>
        <v>0.00002606506053</v>
      </c>
      <c r="D34" s="4">
        <f t="shared" si="3"/>
        <v>-0.0001723476379</v>
      </c>
      <c r="E34" s="4">
        <f>('Equity Price Data'!C36-'Equity Price Data'!C35)/'Equity Price Data'!C35</f>
        <v>0.002675588959</v>
      </c>
      <c r="F34" s="4">
        <f>('Equity Price Data'!D36-'Equity Price Data'!D35)/'Equity Price Data'!D35</f>
        <v>0.008272898503</v>
      </c>
      <c r="G34" s="4">
        <f>('Equity Price Data'!E36-'Equity Price Data'!E35)/'Equity Price Data'!E35</f>
        <v>0.001295027514</v>
      </c>
      <c r="H34" s="4">
        <f>('Equity Price Data'!F36-'Equity Price Data'!F35)/'Equity Price Data'!F35</f>
        <v>-0.008604818112</v>
      </c>
      <c r="L34" s="1"/>
      <c r="M34" s="1"/>
      <c r="N34" s="1"/>
      <c r="O34" s="1"/>
    </row>
    <row r="35">
      <c r="A35" s="43">
        <f>Sheet11!A35</f>
        <v>45475.66667</v>
      </c>
      <c r="B35" s="44">
        <f t="shared" si="2"/>
        <v>45504</v>
      </c>
      <c r="C35" s="4">
        <f>('Equity Price Data'!B37-'Equity Price Data'!B36)/'Equity Price Data'!B36</f>
        <v>0.002766135696</v>
      </c>
      <c r="D35" s="4">
        <f t="shared" si="3"/>
        <v>0.002567722998</v>
      </c>
      <c r="E35" s="4">
        <f>('Equity Price Data'!C37-'Equity Price Data'!C36)/'Equity Price Data'!C36</f>
        <v>0.006195331949</v>
      </c>
      <c r="F35" s="4">
        <f>('Equity Price Data'!D37-'Equity Price Data'!D36)/'Equity Price Data'!D36</f>
        <v>0.008359387672</v>
      </c>
      <c r="G35" s="4">
        <f>('Equity Price Data'!E37-'Equity Price Data'!E36)/'Equity Price Data'!E36</f>
        <v>0.004144293828</v>
      </c>
      <c r="H35" s="4">
        <f>('Equity Price Data'!F37-'Equity Price Data'!F36)/'Equity Price Data'!F36</f>
        <v>0.001871856635</v>
      </c>
      <c r="L35" s="1"/>
      <c r="M35" s="1"/>
      <c r="N35" s="1"/>
      <c r="O35" s="1"/>
    </row>
    <row r="36">
      <c r="A36" s="43">
        <f>Sheet11!A36</f>
        <v>45476.54514</v>
      </c>
      <c r="B36" s="44">
        <f t="shared" si="2"/>
        <v>45504</v>
      </c>
      <c r="C36" s="4">
        <f>('Equity Price Data'!B38-'Equity Price Data'!B37)/'Equity Price Data'!B37</f>
        <v>0.002255102325</v>
      </c>
      <c r="D36" s="4">
        <f t="shared" si="3"/>
        <v>0.002056689627</v>
      </c>
      <c r="E36" s="4">
        <f>('Equity Price Data'!C38-'Equity Price Data'!C37)/'Equity Price Data'!C37</f>
        <v>0.005084398104</v>
      </c>
      <c r="F36" s="4">
        <f>('Equity Price Data'!D38-'Equity Price Data'!D37)/'Equity Price Data'!D37</f>
        <v>0.008849194287</v>
      </c>
      <c r="G36" s="4">
        <f>('Equity Price Data'!E38-'Equity Price Data'!E37)/'Equity Price Data'!E37</f>
        <v>-0.0006063787999</v>
      </c>
      <c r="H36" s="4">
        <f>('Equity Price Data'!F38-'Equity Price Data'!F37)/'Equity Price Data'!F37</f>
        <v>0.00135210215</v>
      </c>
      <c r="L36" s="1"/>
      <c r="M36" s="1"/>
      <c r="N36" s="1"/>
      <c r="O36" s="1"/>
    </row>
    <row r="37">
      <c r="A37" s="43">
        <f>Sheet11!A37</f>
        <v>45478.66667</v>
      </c>
      <c r="B37" s="44">
        <f t="shared" si="2"/>
        <v>45504</v>
      </c>
      <c r="C37" s="4">
        <f>('Equity Price Data'!B39-'Equity Price Data'!B38)/'Equity Price Data'!B38</f>
        <v>0.0007658726427</v>
      </c>
      <c r="D37" s="4">
        <f t="shared" si="3"/>
        <v>0.0005674599443</v>
      </c>
      <c r="E37" s="4">
        <f>('Equity Price Data'!C39-'Equity Price Data'!C38)/'Equity Price Data'!C38</f>
        <v>0.005448779307</v>
      </c>
      <c r="F37" s="4">
        <f>('Equity Price Data'!D39-'Equity Price Data'!D38)/'Equity Price Data'!D38</f>
        <v>0.0090420765</v>
      </c>
      <c r="G37" s="4">
        <f>('Equity Price Data'!E39-'Equity Price Data'!E38)/'Equity Price Data'!E38</f>
        <v>0.001726620535</v>
      </c>
      <c r="H37" s="4">
        <f>('Equity Price Data'!F39-'Equity Price Data'!F38)/'Equity Price Data'!F38</f>
        <v>-0.004856085082</v>
      </c>
      <c r="L37" s="1"/>
      <c r="M37" s="1"/>
      <c r="N37" s="1"/>
      <c r="O37" s="1"/>
    </row>
    <row r="38">
      <c r="A38" s="43">
        <f>Sheet11!A38</f>
        <v>45481.66667</v>
      </c>
      <c r="B38" s="44">
        <f t="shared" si="2"/>
        <v>45504</v>
      </c>
      <c r="C38" s="4">
        <f>('Equity Price Data'!B40-'Equity Price Data'!B39)/'Equity Price Data'!B39</f>
        <v>0.001004203343</v>
      </c>
      <c r="D38" s="4">
        <f t="shared" si="3"/>
        <v>0.0008057906441</v>
      </c>
      <c r="E38" s="4">
        <f>('Equity Price Data'!C40-'Equity Price Data'!C39)/'Equity Price Data'!C39</f>
        <v>0.001016670888</v>
      </c>
      <c r="F38" s="4">
        <f>('Equity Price Data'!D40-'Equity Price Data'!D39)/'Equity Price Data'!D39</f>
        <v>0.002777783832</v>
      </c>
      <c r="G38" s="4">
        <f>('Equity Price Data'!E40-'Equity Price Data'!E39)/'Equity Price Data'!E39</f>
        <v>-0.0007893158932</v>
      </c>
      <c r="H38" s="4">
        <f>('Equity Price Data'!F40-'Equity Price Data'!F39)/'Equity Price Data'!F39</f>
        <v>0.005891263266</v>
      </c>
      <c r="L38" s="1"/>
      <c r="M38" s="1"/>
      <c r="N38" s="1"/>
      <c r="O38" s="1"/>
    </row>
    <row r="39">
      <c r="A39" s="43">
        <f>Sheet11!A39</f>
        <v>45482.66667</v>
      </c>
      <c r="B39" s="44">
        <f t="shared" si="2"/>
        <v>45504</v>
      </c>
      <c r="C39" s="4">
        <f>('Equity Price Data'!B41-'Equity Price Data'!B40)/'Equity Price Data'!B40</f>
        <v>-0.00002850650645</v>
      </c>
      <c r="D39" s="4">
        <f t="shared" si="3"/>
        <v>-0.0002269192049</v>
      </c>
      <c r="E39" s="4">
        <f>('Equity Price Data'!C41-'Equity Price Data'!C40)/'Equity Price Data'!C40</f>
        <v>0.0007410929776</v>
      </c>
      <c r="F39" s="4">
        <f>('Equity Price Data'!D41-'Equity Price Data'!D40)/'Equity Price Data'!D40</f>
        <v>0.001388304768</v>
      </c>
      <c r="G39" s="4">
        <f>('Equity Price Data'!E41-'Equity Price Data'!E40)/'Equity Price Data'!E40</f>
        <v>-0.001342490327</v>
      </c>
      <c r="H39" s="4">
        <f>('Equity Price Data'!F41-'Equity Price Data'!F40)/'Equity Price Data'!F40</f>
        <v>-0.004512746055</v>
      </c>
      <c r="L39" s="1"/>
      <c r="M39" s="1"/>
      <c r="N39" s="1"/>
      <c r="O39" s="1"/>
    </row>
    <row r="40">
      <c r="A40" s="43">
        <f>Sheet11!A40</f>
        <v>45483.66667</v>
      </c>
      <c r="B40" s="44">
        <f t="shared" si="2"/>
        <v>45504</v>
      </c>
      <c r="C40" s="4">
        <f>('Equity Price Data'!B42-'Equity Price Data'!B41)/'Equity Price Data'!B41</f>
        <v>0.006769717924</v>
      </c>
      <c r="D40" s="4">
        <f t="shared" si="3"/>
        <v>0.006571305226</v>
      </c>
      <c r="E40" s="4">
        <f>('Equity Price Data'!C42-'Equity Price Data'!C41)/'Equity Price Data'!C41</f>
        <v>0.01020803374</v>
      </c>
      <c r="F40" s="4">
        <f>('Equity Price Data'!D42-'Equity Price Data'!D41)/'Equity Price Data'!D41</f>
        <v>0.01183767796</v>
      </c>
      <c r="G40" s="4">
        <f>('Equity Price Data'!E42-'Equity Price Data'!E41)/'Equity Price Data'!E41</f>
        <v>0.01092818711</v>
      </c>
      <c r="H40" s="4">
        <f>('Equity Price Data'!F42-'Equity Price Data'!F41)/'Equity Price Data'!F41</f>
        <v>0.0109782357</v>
      </c>
      <c r="L40" s="1"/>
      <c r="M40" s="1"/>
      <c r="N40" s="1"/>
      <c r="O40" s="1"/>
    </row>
    <row r="41">
      <c r="A41" s="43">
        <f>Sheet11!A41</f>
        <v>45484.66667</v>
      </c>
      <c r="B41" s="44">
        <f t="shared" si="2"/>
        <v>45504</v>
      </c>
      <c r="C41" s="4">
        <f>('Equity Price Data'!B43-'Equity Price Data'!B42)/'Equity Price Data'!B42</f>
        <v>0.0009632071886</v>
      </c>
      <c r="D41" s="4">
        <f t="shared" si="3"/>
        <v>0.0007647944902</v>
      </c>
      <c r="E41" s="4">
        <f>('Equity Price Data'!C43-'Equity Price Data'!C42)/'Equity Price Data'!C42</f>
        <v>-0.008763008284</v>
      </c>
      <c r="F41" s="4">
        <f>('Equity Price Data'!D43-'Equity Price Data'!D42)/'Equity Price Data'!D42</f>
        <v>-0.01952224031</v>
      </c>
      <c r="G41" s="4">
        <f>('Equity Price Data'!E43-'Equity Price Data'!E42)/'Equity Price Data'!E42</f>
        <v>0.0008154302874</v>
      </c>
      <c r="H41" s="4">
        <f>('Equity Price Data'!F43-'Equity Price Data'!F42)/'Equity Price Data'!F42</f>
        <v>0.03572072621</v>
      </c>
      <c r="L41" s="1"/>
      <c r="M41" s="1"/>
      <c r="N41" s="1"/>
      <c r="O41" s="1"/>
    </row>
    <row r="42">
      <c r="A42" s="43">
        <f>Sheet11!A42</f>
        <v>45485.66667</v>
      </c>
      <c r="B42" s="44">
        <f t="shared" si="2"/>
        <v>45504</v>
      </c>
      <c r="C42" s="4">
        <f>('Equity Price Data'!B44-'Equity Price Data'!B43)/'Equity Price Data'!B43</f>
        <v>0.005814684587</v>
      </c>
      <c r="D42" s="4">
        <f t="shared" si="3"/>
        <v>0.005616271889</v>
      </c>
      <c r="E42" s="4">
        <f>('Equity Price Data'!C44-'Equity Price Data'!C43)/'Equity Price Data'!C43</f>
        <v>0.005517016621</v>
      </c>
      <c r="F42" s="4">
        <f>('Equity Price Data'!D44-'Equity Price Data'!D43)/'Equity Price Data'!D43</f>
        <v>0.006292042896</v>
      </c>
      <c r="G42" s="4">
        <f>('Equity Price Data'!E44-'Equity Price Data'!E43)/'Equity Price Data'!E43</f>
        <v>0.006217023551</v>
      </c>
      <c r="H42" s="4">
        <f>('Equity Price Data'!F44-'Equity Price Data'!F43)/'Equity Price Data'!F43</f>
        <v>0.01093155894</v>
      </c>
      <c r="L42" s="1"/>
      <c r="M42" s="1"/>
      <c r="N42" s="1"/>
      <c r="O42" s="1"/>
    </row>
    <row r="43">
      <c r="A43" s="43">
        <f>Sheet11!A43</f>
        <v>45488.66667</v>
      </c>
      <c r="B43" s="44">
        <f t="shared" si="2"/>
        <v>45504</v>
      </c>
      <c r="C43" s="4">
        <f>('Equity Price Data'!B45-'Equity Price Data'!B44)/'Equity Price Data'!B44</f>
        <v>0.002937585384</v>
      </c>
      <c r="D43" s="4">
        <f t="shared" si="3"/>
        <v>0.002739172685</v>
      </c>
      <c r="E43" s="4">
        <f>('Equity Price Data'!C45-'Equity Price Data'!C44)/'Equity Price Data'!C44</f>
        <v>0.002826181805</v>
      </c>
      <c r="F43" s="4">
        <f>('Equity Price Data'!D45-'Equity Price Data'!D44)/'Equity Price Data'!D44</f>
        <v>0.004028600235</v>
      </c>
      <c r="G43" s="4">
        <f>('Equity Price Data'!E45-'Equity Price Data'!E44)/'Equity Price Data'!E44</f>
        <v>0.005270381416</v>
      </c>
      <c r="H43" s="4">
        <f>('Equity Price Data'!F45-'Equity Price Data'!F44)/'Equity Price Data'!F44</f>
        <v>0.01803776993</v>
      </c>
      <c r="L43" s="1"/>
      <c r="M43" s="1"/>
      <c r="N43" s="1"/>
      <c r="O43" s="1"/>
    </row>
    <row r="44">
      <c r="A44" s="43">
        <f>Sheet11!A44</f>
        <v>45489.66667</v>
      </c>
      <c r="B44" s="44">
        <f t="shared" si="2"/>
        <v>45504</v>
      </c>
      <c r="C44" s="4">
        <f>('Equity Price Data'!B46-'Equity Price Data'!B45)/'Equity Price Data'!B45</f>
        <v>0.01311943053</v>
      </c>
      <c r="D44" s="4">
        <f t="shared" si="3"/>
        <v>0.01292101783</v>
      </c>
      <c r="E44" s="4">
        <f>('Equity Price Data'!C46-'Equity Price Data'!C45)/'Equity Price Data'!C45</f>
        <v>0.006389379211</v>
      </c>
      <c r="F44" s="4">
        <f>('Equity Price Data'!D46-'Equity Price Data'!D45)/'Equity Price Data'!D45</f>
        <v>0.001990518915</v>
      </c>
      <c r="G44" s="4">
        <f>('Equity Price Data'!E46-'Equity Price Data'!E45)/'Equity Price Data'!E45</f>
        <v>0.01847123177</v>
      </c>
      <c r="H44" s="4">
        <f>('Equity Price Data'!F46-'Equity Price Data'!F45)/'Equity Price Data'!F45</f>
        <v>0.03504769046</v>
      </c>
      <c r="L44" s="1"/>
      <c r="M44" s="1"/>
      <c r="N44" s="1"/>
      <c r="O44" s="1"/>
    </row>
    <row r="45">
      <c r="A45" s="43">
        <f>Sheet11!A45</f>
        <v>45490.66667</v>
      </c>
      <c r="B45" s="44">
        <f t="shared" si="2"/>
        <v>45504</v>
      </c>
      <c r="C45" s="4">
        <f>('Equity Price Data'!B47-'Equity Price Data'!B46)/'Equity Price Data'!B46</f>
        <v>-0.004411927298</v>
      </c>
      <c r="D45" s="4">
        <f t="shared" si="3"/>
        <v>-0.004610339996</v>
      </c>
      <c r="E45" s="4">
        <f>('Equity Price Data'!C47-'Equity Price Data'!C46)/'Equity Price Data'!C46</f>
        <v>-0.0139275127</v>
      </c>
      <c r="F45" s="4">
        <f>('Equity Price Data'!D47-'Equity Price Data'!D46)/'Equity Price Data'!D46</f>
        <v>-0.02768386123</v>
      </c>
      <c r="G45" s="4">
        <f>('Equity Price Data'!E47-'Equity Price Data'!E46)/'Equity Price Data'!E46</f>
        <v>0.00594806722</v>
      </c>
      <c r="H45" s="4">
        <f>('Equity Price Data'!F47-'Equity Price Data'!F46)/'Equity Price Data'!F46</f>
        <v>-0.0106022521</v>
      </c>
      <c r="L45" s="1"/>
      <c r="M45" s="1"/>
      <c r="N45" s="1"/>
      <c r="O45" s="1"/>
    </row>
    <row r="46">
      <c r="A46" s="43">
        <f>Sheet11!A46</f>
        <v>45491.66667</v>
      </c>
      <c r="B46" s="44">
        <f t="shared" si="2"/>
        <v>45504</v>
      </c>
      <c r="C46" s="4">
        <f>('Equity Price Data'!B48-'Equity Price Data'!B47)/'Equity Price Data'!B47</f>
        <v>-0.008310491024</v>
      </c>
      <c r="D46" s="4">
        <f t="shared" si="3"/>
        <v>-0.008508903723</v>
      </c>
      <c r="E46" s="4">
        <f>('Equity Price Data'!C48-'Equity Price Data'!C47)/'Equity Price Data'!C47</f>
        <v>-0.007816372509</v>
      </c>
      <c r="F46" s="4">
        <f>('Equity Price Data'!D48-'Equity Price Data'!D47)/'Equity Price Data'!D47</f>
        <v>-0.006985080233</v>
      </c>
      <c r="G46" s="4">
        <f>('Equity Price Data'!E48-'Equity Price Data'!E47)/'Equity Price Data'!E47</f>
        <v>-0.01293895249</v>
      </c>
      <c r="H46" s="4">
        <f>('Equity Price Data'!F48-'Equity Price Data'!F47)/'Equity Price Data'!F47</f>
        <v>-0.01847593619</v>
      </c>
      <c r="L46" s="1"/>
      <c r="M46" s="1"/>
      <c r="N46" s="1"/>
      <c r="O46" s="1"/>
    </row>
    <row r="47">
      <c r="A47" s="43">
        <f>Sheet11!A47</f>
        <v>45492.66667</v>
      </c>
      <c r="B47" s="44">
        <f t="shared" si="2"/>
        <v>45504</v>
      </c>
      <c r="C47" s="4">
        <f>('Equity Price Data'!B49-'Equity Price Data'!B48)/'Equity Price Data'!B48</f>
        <v>-0.006819305794</v>
      </c>
      <c r="D47" s="4">
        <f t="shared" si="3"/>
        <v>-0.007017718492</v>
      </c>
      <c r="E47" s="4">
        <f>('Equity Price Data'!C49-'Equity Price Data'!C48)/'Equity Price Data'!C48</f>
        <v>-0.007140293511</v>
      </c>
      <c r="F47" s="4">
        <f>('Equity Price Data'!D49-'Equity Price Data'!D48)/'Equity Price Data'!D48</f>
        <v>-0.008073315644</v>
      </c>
      <c r="G47" s="4">
        <f>('Equity Price Data'!E49-'Equity Price Data'!E48)/'Equity Price Data'!E48</f>
        <v>-0.009282916866</v>
      </c>
      <c r="H47" s="4">
        <f>('Equity Price Data'!F49-'Equity Price Data'!F48)/'Equity Price Data'!F48</f>
        <v>-0.00634129255</v>
      </c>
      <c r="L47" s="1"/>
      <c r="M47" s="1"/>
      <c r="N47" s="1"/>
      <c r="O47" s="1"/>
    </row>
    <row r="48">
      <c r="A48" s="43">
        <f>Sheet11!A48</f>
        <v>45495.66667</v>
      </c>
      <c r="B48" s="44">
        <f t="shared" si="2"/>
        <v>45504</v>
      </c>
      <c r="C48" s="4">
        <f>('Equity Price Data'!B50-'Equity Price Data'!B49)/'Equity Price Data'!B49</f>
        <v>0.005715797443</v>
      </c>
      <c r="D48" s="4">
        <f t="shared" si="3"/>
        <v>0.005517384744</v>
      </c>
      <c r="E48" s="4">
        <f>('Equity Price Data'!C50-'Equity Price Data'!C49)/'Equity Price Data'!C49</f>
        <v>0.01079200727</v>
      </c>
      <c r="F48" s="4">
        <f>('Equity Price Data'!D50-'Equity Price Data'!D49)/'Equity Price Data'!D49</f>
        <v>0.01583070739</v>
      </c>
      <c r="G48" s="4">
        <f>('Equity Price Data'!E50-'Equity Price Data'!E49)/'Equity Price Data'!E49</f>
        <v>0.003174927825</v>
      </c>
      <c r="H48" s="4">
        <f>('Equity Price Data'!F50-'Equity Price Data'!F49)/'Equity Price Data'!F49</f>
        <v>0.01661821595</v>
      </c>
      <c r="L48" s="1"/>
      <c r="M48" s="1"/>
      <c r="N48" s="1"/>
      <c r="O48" s="1"/>
    </row>
    <row r="49">
      <c r="A49" s="43">
        <f>Sheet11!A49</f>
        <v>45496.66667</v>
      </c>
      <c r="B49" s="44">
        <f t="shared" si="2"/>
        <v>45504</v>
      </c>
      <c r="C49" s="4">
        <f>('Equity Price Data'!B51-'Equity Price Data'!B50)/'Equity Price Data'!B50</f>
        <v>-0.0006342475639</v>
      </c>
      <c r="D49" s="4">
        <f t="shared" si="3"/>
        <v>-0.0008326602623</v>
      </c>
      <c r="E49" s="4">
        <f>('Equity Price Data'!C51-'Equity Price Data'!C50)/'Equity Price Data'!C50</f>
        <v>-0.001558116674</v>
      </c>
      <c r="F49" s="4">
        <f>('Equity Price Data'!D51-'Equity Price Data'!D50)/'Equity Price Data'!D50</f>
        <v>-0.0005675390961</v>
      </c>
      <c r="G49" s="4">
        <f>('Equity Price Data'!E51-'Equity Price Data'!E50)/'Equity Price Data'!E50</f>
        <v>-0.00141901214</v>
      </c>
      <c r="H49" s="4">
        <f>('Equity Price Data'!F51-'Equity Price Data'!F50)/'Equity Price Data'!F50</f>
        <v>0.01018620674</v>
      </c>
      <c r="L49" s="1"/>
      <c r="M49" s="1"/>
      <c r="N49" s="1"/>
      <c r="O49" s="1"/>
    </row>
    <row r="50">
      <c r="A50" s="43">
        <f>Sheet11!A50</f>
        <v>45497.66667</v>
      </c>
      <c r="B50" s="44">
        <f t="shared" si="2"/>
        <v>45504</v>
      </c>
      <c r="C50" s="4">
        <f>('Equity Price Data'!B52-'Equity Price Data'!B51)/'Equity Price Data'!B51</f>
        <v>-0.0108045843</v>
      </c>
      <c r="D50" s="4">
        <f t="shared" si="3"/>
        <v>-0.011002997</v>
      </c>
      <c r="E50" s="4">
        <f>('Equity Price Data'!C52-'Equity Price Data'!C51)/'Equity Price Data'!C51</f>
        <v>-0.02314903145</v>
      </c>
      <c r="F50" s="4">
        <f>('Equity Price Data'!D52-'Equity Price Data'!D51)/'Equity Price Data'!D51</f>
        <v>-0.03639091311</v>
      </c>
      <c r="G50" s="4">
        <f>('Equity Price Data'!E52-'Equity Price Data'!E51)/'Equity Price Data'!E51</f>
        <v>-0.01249365369</v>
      </c>
      <c r="H50" s="4">
        <f>('Equity Price Data'!F52-'Equity Price Data'!F51)/'Equity Price Data'!F51</f>
        <v>-0.02135275736</v>
      </c>
      <c r="L50" s="1"/>
      <c r="M50" s="1"/>
      <c r="N50" s="1"/>
      <c r="O50" s="1"/>
    </row>
    <row r="51">
      <c r="A51" s="43">
        <f>Sheet11!A51</f>
        <v>45498.66667</v>
      </c>
      <c r="B51" s="44">
        <f t="shared" si="2"/>
        <v>45504</v>
      </c>
      <c r="C51" s="4">
        <f>('Equity Price Data'!B53-'Equity Price Data'!B52)/'Equity Price Data'!B52</f>
        <v>-0.001490635303</v>
      </c>
      <c r="D51" s="4">
        <f t="shared" si="3"/>
        <v>-0.001689048001</v>
      </c>
      <c r="E51" s="4">
        <f>('Equity Price Data'!C53-'Equity Price Data'!C52)/'Equity Price Data'!C52</f>
        <v>-0.005142681307</v>
      </c>
      <c r="F51" s="4">
        <f>('Equity Price Data'!D53-'Equity Price Data'!D52)/'Equity Price Data'!D52</f>
        <v>-0.009265724891</v>
      </c>
      <c r="G51" s="4">
        <f>('Equity Price Data'!E53-'Equity Price Data'!E52)/'Equity Price Data'!E52</f>
        <v>0.00203744329</v>
      </c>
      <c r="H51" s="4">
        <f>('Equity Price Data'!F53-'Equity Price Data'!F52)/'Equity Price Data'!F52</f>
        <v>0.01257646775</v>
      </c>
      <c r="L51" s="1"/>
      <c r="M51" s="1"/>
      <c r="N51" s="1"/>
      <c r="O51" s="1"/>
    </row>
    <row r="52">
      <c r="A52" s="43">
        <f>Sheet11!A52</f>
        <v>45499.66667</v>
      </c>
      <c r="B52" s="44">
        <f t="shared" si="2"/>
        <v>45504</v>
      </c>
      <c r="C52" s="4">
        <f>('Equity Price Data'!B54-'Equity Price Data'!B53)/'Equity Price Data'!B53</f>
        <v>0.006535440508</v>
      </c>
      <c r="D52" s="4">
        <f t="shared" si="3"/>
        <v>0.00633702781</v>
      </c>
      <c r="E52" s="4">
        <f>('Equity Price Data'!C54-'Equity Price Data'!C53)/'Equity Price Data'!C53</f>
        <v>0.01109049085</v>
      </c>
      <c r="F52" s="4">
        <f>('Equity Price Data'!D54-'Equity Price Data'!D53)/'Equity Price Data'!D53</f>
        <v>0.010252757</v>
      </c>
      <c r="G52" s="4">
        <f>('Equity Price Data'!E54-'Equity Price Data'!E53)/'Equity Price Data'!E53</f>
        <v>0.01638334426</v>
      </c>
      <c r="H52" s="4">
        <f>('Equity Price Data'!F54-'Equity Price Data'!F53)/'Equity Price Data'!F53</f>
        <v>0.01668481048</v>
      </c>
      <c r="L52" s="1"/>
      <c r="M52" s="1"/>
      <c r="N52" s="1"/>
      <c r="O52" s="1"/>
    </row>
    <row r="53">
      <c r="A53" s="43">
        <f>Sheet11!A53</f>
        <v>45502.66667</v>
      </c>
      <c r="B53" s="44">
        <f t="shared" si="2"/>
        <v>45504</v>
      </c>
      <c r="C53" s="4">
        <f>('Equity Price Data'!B55-'Equity Price Data'!B54)/'Equity Price Data'!B54</f>
        <v>0.00007106249128</v>
      </c>
      <c r="D53" s="4">
        <f t="shared" si="3"/>
        <v>-0.0001273502071</v>
      </c>
      <c r="E53" s="4">
        <f>('Equity Price Data'!C55-'Equity Price Data'!C54)/'Equity Price Data'!C54</f>
        <v>0.0008133208771</v>
      </c>
      <c r="F53" s="4">
        <f>('Equity Price Data'!D55-'Equity Price Data'!D54)/'Equity Price Data'!D54</f>
        <v>0.0007097640956</v>
      </c>
      <c r="G53" s="4">
        <f>('Equity Price Data'!E55-'Equity Price Data'!E54)/'Equity Price Data'!E54</f>
        <v>-0.001217314694</v>
      </c>
      <c r="H53" s="4">
        <f>('Equity Price Data'!F55-'Equity Price Data'!F54)/'Equity Price Data'!F54</f>
        <v>-0.0109465636</v>
      </c>
      <c r="L53" s="1"/>
      <c r="M53" s="1"/>
      <c r="N53" s="1"/>
      <c r="O53" s="1"/>
    </row>
    <row r="54">
      <c r="A54" s="43">
        <f>Sheet11!A54</f>
        <v>45503.66667</v>
      </c>
      <c r="B54" s="44">
        <f t="shared" si="2"/>
        <v>45504</v>
      </c>
      <c r="C54" s="4">
        <f>('Equity Price Data'!B56-'Equity Price Data'!B55)/'Equity Price Data'!B55</f>
        <v>0.001340029603</v>
      </c>
      <c r="D54" s="4">
        <f t="shared" si="3"/>
        <v>0.001141616904</v>
      </c>
      <c r="E54" s="4">
        <f>('Equity Price Data'!C56-'Equity Price Data'!C55)/'Equity Price Data'!C55</f>
        <v>-0.004960154039</v>
      </c>
      <c r="F54" s="4">
        <f>('Equity Price Data'!D56-'Equity Price Data'!D55)/'Equity Price Data'!D55</f>
        <v>-0.01282541364</v>
      </c>
      <c r="G54" s="4">
        <f>('Equity Price Data'!E56-'Equity Price Data'!E55)/'Equity Price Data'!E55</f>
        <v>0.00501727556</v>
      </c>
      <c r="H54" s="4">
        <f>('Equity Price Data'!F56-'Equity Price Data'!F55)/'Equity Price Data'!F55</f>
        <v>0.003493891282</v>
      </c>
      <c r="L54" s="1"/>
      <c r="M54" s="1"/>
      <c r="N54" s="1"/>
      <c r="O54" s="1"/>
    </row>
    <row r="55">
      <c r="A55" s="43">
        <f>Sheet11!A55</f>
        <v>45504.66667</v>
      </c>
      <c r="B55" s="44">
        <f t="shared" si="2"/>
        <v>45504</v>
      </c>
      <c r="C55" s="4">
        <f>('Equity Price Data'!B57-'Equity Price Data'!B56)/'Equity Price Data'!B56</f>
        <v>0.0113882446</v>
      </c>
      <c r="D55" s="4">
        <f t="shared" si="3"/>
        <v>0.0111898319</v>
      </c>
      <c r="E55" s="4">
        <f>('Equity Price Data'!C57-'Equity Price Data'!C56)/'Equity Price Data'!C56</f>
        <v>0.01579342364</v>
      </c>
      <c r="F55" s="4">
        <f>('Equity Price Data'!D57-'Equity Price Data'!D56)/'Equity Price Data'!D56</f>
        <v>0.02635848425</v>
      </c>
      <c r="G55" s="4">
        <f>('Equity Price Data'!E57-'Equity Price Data'!E56)/'Equity Price Data'!E56</f>
        <v>0.002441135764</v>
      </c>
      <c r="H55" s="4">
        <f>('Equity Price Data'!F57-'Equity Price Data'!F56)/'Equity Price Data'!F56</f>
        <v>0.005055413394</v>
      </c>
      <c r="L55" s="1"/>
      <c r="M55" s="1"/>
      <c r="N55" s="1"/>
      <c r="O55" s="1"/>
    </row>
    <row r="56">
      <c r="A56" s="43">
        <f>Sheet11!A56</f>
        <v>45505.66667</v>
      </c>
      <c r="B56" s="44">
        <f t="shared" si="2"/>
        <v>45535</v>
      </c>
      <c r="C56" s="4">
        <f>('Equity Price Data'!B58-'Equity Price Data'!B57)/'Equity Price Data'!B57</f>
        <v>-0.01150522122</v>
      </c>
      <c r="D56" s="4">
        <f t="shared" si="3"/>
        <v>-0.01170363392</v>
      </c>
      <c r="E56" s="4">
        <f>('Equity Price Data'!C58-'Equity Price Data'!C57)/'Equity Price Data'!C57</f>
        <v>-0.01369356971</v>
      </c>
      <c r="F56" s="4">
        <f>('Equity Price Data'!D58-'Equity Price Data'!D57)/'Equity Price Data'!D57</f>
        <v>-0.02302635317</v>
      </c>
      <c r="G56" s="4">
        <f>('Equity Price Data'!E58-'Equity Price Data'!E57)/'Equity Price Data'!E57</f>
        <v>-0.01211523503</v>
      </c>
      <c r="H56" s="4">
        <f>('Equity Price Data'!F58-'Equity Price Data'!F57)/'Equity Price Data'!F57</f>
        <v>-0.0303041056</v>
      </c>
      <c r="L56" s="1"/>
      <c r="M56" s="1"/>
      <c r="N56" s="1"/>
      <c r="O56" s="1"/>
    </row>
    <row r="57">
      <c r="A57" s="43">
        <f>Sheet11!A57</f>
        <v>45506.66667</v>
      </c>
      <c r="B57" s="44">
        <f t="shared" si="2"/>
        <v>45535</v>
      </c>
      <c r="C57" s="4">
        <f>('Equity Price Data'!B59-'Equity Price Data'!B58)/'Equity Price Data'!B58</f>
        <v>-0.0142510884</v>
      </c>
      <c r="D57" s="4">
        <f t="shared" si="3"/>
        <v>-0.0144495011</v>
      </c>
      <c r="E57" s="4">
        <f>('Equity Price Data'!C59-'Equity Price Data'!C58)/'Equity Price Data'!C58</f>
        <v>-0.01838183995</v>
      </c>
      <c r="F57" s="4">
        <f>('Equity Price Data'!D59-'Equity Price Data'!D58)/'Equity Price Data'!D58</f>
        <v>-0.02431001242</v>
      </c>
      <c r="G57" s="4">
        <f>('Equity Price Data'!E59-'Equity Price Data'!E58)/'Equity Price Data'!E58</f>
        <v>-0.01513607748</v>
      </c>
      <c r="H57" s="4">
        <f>('Equity Price Data'!F59-'Equity Price Data'!F58)/'Equity Price Data'!F58</f>
        <v>-0.03515296227</v>
      </c>
      <c r="L57" s="1"/>
      <c r="M57" s="1"/>
      <c r="N57" s="1"/>
      <c r="O57" s="1"/>
    </row>
    <row r="58">
      <c r="A58" s="43">
        <f>Sheet11!A58</f>
        <v>45509.66667</v>
      </c>
      <c r="B58" s="44">
        <f t="shared" si="2"/>
        <v>45535</v>
      </c>
      <c r="C58" s="4">
        <f>('Equity Price Data'!B60-'Equity Price Data'!B59)/'Equity Price Data'!B59</f>
        <v>-0.02395203423</v>
      </c>
      <c r="D58" s="4">
        <f t="shared" si="3"/>
        <v>-0.02415044692</v>
      </c>
      <c r="E58" s="4">
        <f>('Equity Price Data'!C60-'Equity Price Data'!C59)/'Equity Price Data'!C59</f>
        <v>-0.02996880237</v>
      </c>
      <c r="F58" s="4">
        <f>('Equity Price Data'!D60-'Equity Price Data'!D59)/'Equity Price Data'!D59</f>
        <v>-0.03433920516</v>
      </c>
      <c r="G58" s="4">
        <f>('Equity Price Data'!E60-'Equity Price Data'!E59)/'Equity Price Data'!E59</f>
        <v>-0.02602066675</v>
      </c>
      <c r="H58" s="4">
        <f>('Equity Price Data'!F60-'Equity Price Data'!F59)/'Equity Price Data'!F59</f>
        <v>-0.03325732111</v>
      </c>
      <c r="L58" s="1"/>
      <c r="M58" s="1"/>
      <c r="N58" s="1"/>
      <c r="O58" s="1"/>
    </row>
    <row r="59">
      <c r="A59" s="43">
        <f>Sheet11!A59</f>
        <v>45510.66667</v>
      </c>
      <c r="B59" s="44">
        <f t="shared" si="2"/>
        <v>45535</v>
      </c>
      <c r="C59" s="4">
        <f>('Equity Price Data'!B61-'Equity Price Data'!B60)/'Equity Price Data'!B60</f>
        <v>0.01004184349</v>
      </c>
      <c r="D59" s="4">
        <f t="shared" si="3"/>
        <v>0.009843430787</v>
      </c>
      <c r="E59" s="4">
        <f>('Equity Price Data'!C61-'Equity Price Data'!C60)/'Equity Price Data'!C60</f>
        <v>0.01035414252</v>
      </c>
      <c r="F59" s="4">
        <f>('Equity Price Data'!D61-'Equity Price Data'!D60)/'Equity Price Data'!D60</f>
        <v>0.01029501089</v>
      </c>
      <c r="G59" s="4">
        <f>('Equity Price Data'!E61-'Equity Price Data'!E60)/'Equity Price Data'!E60</f>
        <v>0.007606334038</v>
      </c>
      <c r="H59" s="4">
        <f>('Equity Price Data'!F61-'Equity Price Data'!F60)/'Equity Price Data'!F60</f>
        <v>0.0123286059</v>
      </c>
      <c r="L59" s="1"/>
      <c r="M59" s="1"/>
      <c r="N59" s="1"/>
      <c r="O59" s="1"/>
    </row>
    <row r="60">
      <c r="A60" s="43">
        <f>Sheet11!A60</f>
        <v>45511.66667</v>
      </c>
      <c r="B60" s="44">
        <f t="shared" si="2"/>
        <v>45535</v>
      </c>
      <c r="C60" s="4">
        <f>('Equity Price Data'!B62-'Equity Price Data'!B61)/'Equity Price Data'!B61</f>
        <v>-0.006271704415</v>
      </c>
      <c r="D60" s="4">
        <f t="shared" si="3"/>
        <v>-0.006470117113</v>
      </c>
      <c r="E60" s="4">
        <f>('Equity Price Data'!C62-'Equity Price Data'!C61)/'Equity Price Data'!C61</f>
        <v>-0.007734688542</v>
      </c>
      <c r="F60" s="4">
        <f>('Equity Price Data'!D62-'Equity Price Data'!D61)/'Equity Price Data'!D61</f>
        <v>-0.01045099671</v>
      </c>
      <c r="G60" s="4">
        <f>('Equity Price Data'!E62-'Equity Price Data'!E61)/'Equity Price Data'!E61</f>
        <v>-0.00600574496</v>
      </c>
      <c r="H60" s="4">
        <f>('Equity Price Data'!F62-'Equity Price Data'!F61)/'Equity Price Data'!F61</f>
        <v>-0.01414038657</v>
      </c>
      <c r="L60" s="1"/>
      <c r="M60" s="1"/>
      <c r="N60" s="1"/>
      <c r="O60" s="1"/>
    </row>
    <row r="61">
      <c r="A61" s="43">
        <f>Sheet11!A61</f>
        <v>45512.66667</v>
      </c>
      <c r="B61" s="44">
        <f t="shared" si="2"/>
        <v>45535</v>
      </c>
      <c r="C61" s="4">
        <f>('Equity Price Data'!B63-'Equity Price Data'!B62)/'Equity Price Data'!B62</f>
        <v>0.01918478419</v>
      </c>
      <c r="D61" s="4">
        <f t="shared" si="3"/>
        <v>0.0189863715</v>
      </c>
      <c r="E61" s="4">
        <f>('Equity Price Data'!C63-'Equity Price Data'!C62)/'Equity Price Data'!C62</f>
        <v>0.02304260025</v>
      </c>
      <c r="F61" s="4">
        <f>('Equity Price Data'!D63-'Equity Price Data'!D62)/'Equity Price Data'!D62</f>
        <v>0.02866235156</v>
      </c>
      <c r="G61" s="4">
        <f>('Equity Price Data'!E63-'Equity Price Data'!E62)/'Equity Price Data'!E62</f>
        <v>0.01762072261</v>
      </c>
      <c r="H61" s="4">
        <f>('Equity Price Data'!F63-'Equity Price Data'!F62)/'Equity Price Data'!F62</f>
        <v>0.02422964852</v>
      </c>
      <c r="L61" s="1"/>
      <c r="M61" s="1"/>
      <c r="N61" s="1"/>
      <c r="O61" s="1"/>
    </row>
    <row r="62">
      <c r="A62" s="43">
        <f>Sheet11!A62</f>
        <v>45513.66667</v>
      </c>
      <c r="B62" s="44">
        <f t="shared" si="2"/>
        <v>45535</v>
      </c>
      <c r="C62" s="4">
        <f>('Equity Price Data'!B64-'Equity Price Data'!B63)/'Equity Price Data'!B63</f>
        <v>0.002416392688</v>
      </c>
      <c r="D62" s="4">
        <f t="shared" si="3"/>
        <v>0.002217979989</v>
      </c>
      <c r="E62" s="4">
        <f>('Equity Price Data'!C64-'Equity Price Data'!C63)/'Equity Price Data'!C63</f>
        <v>0.004671658542</v>
      </c>
      <c r="F62" s="4">
        <f>('Equity Price Data'!D64-'Equity Price Data'!D63)/'Equity Price Data'!D63</f>
        <v>0.005118841394</v>
      </c>
      <c r="G62" s="4">
        <f>('Equity Price Data'!E64-'Equity Price Data'!E63)/'Equity Price Data'!E63</f>
        <v>0.001294158238</v>
      </c>
      <c r="H62" s="4">
        <f>('Equity Price Data'!F64-'Equity Price Data'!F63)/'Equity Price Data'!F63</f>
        <v>-0.001679124169</v>
      </c>
      <c r="L62" s="1"/>
      <c r="M62" s="1"/>
      <c r="N62" s="1"/>
      <c r="O62" s="1"/>
    </row>
    <row r="63">
      <c r="A63" s="43">
        <f>Sheet11!A63</f>
        <v>45516.66667</v>
      </c>
      <c r="B63" s="44">
        <f t="shared" si="2"/>
        <v>45535</v>
      </c>
      <c r="C63" s="4">
        <f>('Equity Price Data'!B65-'Equity Price Data'!B64)/'Equity Price Data'!B64</f>
        <v>0.0002669020556</v>
      </c>
      <c r="D63" s="4">
        <f t="shared" si="3"/>
        <v>0.00006848935719</v>
      </c>
      <c r="E63" s="4">
        <f>('Equity Price Data'!C65-'Equity Price Data'!C64)/'Equity Price Data'!C64</f>
        <v>0.0000430376336</v>
      </c>
      <c r="F63" s="4">
        <f>('Equity Price Data'!D65-'Equity Price Data'!D64)/'Equity Price Data'!D64</f>
        <v>0.002108651383</v>
      </c>
      <c r="G63" s="4">
        <f>('Equity Price Data'!E65-'Equity Price Data'!E64)/'Equity Price Data'!E64</f>
        <v>-0.003557943102</v>
      </c>
      <c r="H63" s="4">
        <f>('Equity Price Data'!F65-'Equity Price Data'!F64)/'Equity Price Data'!F64</f>
        <v>-0.009053687792</v>
      </c>
      <c r="L63" s="1"/>
      <c r="M63" s="1"/>
      <c r="N63" s="1"/>
      <c r="O63" s="1"/>
    </row>
    <row r="64">
      <c r="A64" s="43">
        <f>Sheet11!A64</f>
        <v>45517.66667</v>
      </c>
      <c r="B64" s="44">
        <f t="shared" si="2"/>
        <v>45535</v>
      </c>
      <c r="C64" s="4">
        <f>('Equity Price Data'!B66-'Equity Price Data'!B65)/'Equity Price Data'!B65</f>
        <v>0.01042252815</v>
      </c>
      <c r="D64" s="4">
        <f t="shared" si="3"/>
        <v>0.01022411545</v>
      </c>
      <c r="E64" s="4">
        <f>('Equity Price Data'!C66-'Equity Price Data'!C65)/'Equity Price Data'!C65</f>
        <v>0.01684757288</v>
      </c>
      <c r="F64" s="4">
        <f>('Equity Price Data'!D66-'Equity Price Data'!D65)/'Equity Price Data'!D65</f>
        <v>0.02425418385</v>
      </c>
      <c r="G64" s="4">
        <f>('Equity Price Data'!E66-'Equity Price Data'!E65)/'Equity Price Data'!E65</f>
        <v>0.01038264848</v>
      </c>
      <c r="H64" s="4">
        <f>('Equity Price Data'!F66-'Equity Price Data'!F65)/'Equity Price Data'!F65</f>
        <v>0.01605660304</v>
      </c>
      <c r="L64" s="1"/>
      <c r="M64" s="1"/>
      <c r="N64" s="1"/>
      <c r="O64" s="1"/>
    </row>
    <row r="65">
      <c r="A65" s="43">
        <f>Sheet11!A65</f>
        <v>45518.66667</v>
      </c>
      <c r="B65" s="44">
        <f t="shared" si="2"/>
        <v>45535</v>
      </c>
      <c r="C65" s="4">
        <f>('Equity Price Data'!B67-'Equity Price Data'!B66)/'Equity Price Data'!B66</f>
        <v>0.005693868168</v>
      </c>
      <c r="D65" s="4">
        <f t="shared" si="3"/>
        <v>0.005495455469</v>
      </c>
      <c r="E65" s="4">
        <f>('Equity Price Data'!C67-'Equity Price Data'!C66)/'Equity Price Data'!C66</f>
        <v>0.003823768086</v>
      </c>
      <c r="F65" s="4">
        <f>('Equity Price Data'!D67-'Equity Price Data'!D66)/'Equity Price Data'!D66</f>
        <v>0.0002903254146</v>
      </c>
      <c r="G65" s="4">
        <f>('Equity Price Data'!E67-'Equity Price Data'!E66)/'Equity Price Data'!E66</f>
        <v>0.006104516361</v>
      </c>
      <c r="H65" s="4">
        <f>('Equity Price Data'!F67-'Equity Price Data'!F66)/'Equity Price Data'!F66</f>
        <v>-0.005188073635</v>
      </c>
      <c r="L65" s="1"/>
      <c r="M65" s="1"/>
      <c r="N65" s="1"/>
      <c r="O65" s="1"/>
    </row>
    <row r="66">
      <c r="A66" s="43">
        <f>Sheet11!A66</f>
        <v>45519.66667</v>
      </c>
      <c r="B66" s="44">
        <f t="shared" si="2"/>
        <v>45535</v>
      </c>
      <c r="C66" s="4">
        <f>('Equity Price Data'!B68-'Equity Price Data'!B67)/'Equity Price Data'!B67</f>
        <v>0.01258519343</v>
      </c>
      <c r="D66" s="4">
        <f t="shared" si="3"/>
        <v>0.01238678073</v>
      </c>
      <c r="E66" s="4">
        <f>('Equity Price Data'!C68-'Equity Price Data'!C67)/'Equity Price Data'!C67</f>
        <v>0.0161332011</v>
      </c>
      <c r="F66" s="4">
        <f>('Equity Price Data'!D68-'Equity Price Data'!D67)/'Equity Price Data'!D67</f>
        <v>0.02337633633</v>
      </c>
      <c r="G66" s="4">
        <f>('Equity Price Data'!E68-'Equity Price Data'!E67)/'Equity Price Data'!E67</f>
        <v>0.01386384206</v>
      </c>
      <c r="H66" s="4">
        <f>('Equity Price Data'!F68-'Equity Price Data'!F67)/'Equity Price Data'!F67</f>
        <v>0.02454037768</v>
      </c>
      <c r="L66" s="1"/>
      <c r="M66" s="1"/>
      <c r="N66" s="1"/>
      <c r="O66" s="1"/>
    </row>
    <row r="67">
      <c r="A67" s="43">
        <f>Sheet11!A67</f>
        <v>45520.66667</v>
      </c>
      <c r="B67" s="44">
        <f t="shared" si="2"/>
        <v>45535</v>
      </c>
      <c r="C67" s="4">
        <f>('Equity Price Data'!B69-'Equity Price Data'!B68)/'Equity Price Data'!B68</f>
        <v>0.003379389606</v>
      </c>
      <c r="D67" s="4">
        <f t="shared" si="3"/>
        <v>0.003180976908</v>
      </c>
      <c r="E67" s="4">
        <f>('Equity Price Data'!C69-'Equity Price Data'!C68)/'Equity Price Data'!C68</f>
        <v>0.001989818192</v>
      </c>
      <c r="F67" s="4">
        <f>('Equity Price Data'!D69-'Equity Price Data'!D68)/'Equity Price Data'!D68</f>
        <v>0.0021154338</v>
      </c>
      <c r="G67" s="4">
        <f>('Equity Price Data'!E69-'Equity Price Data'!E68)/'Equity Price Data'!E68</f>
        <v>0.002383942434</v>
      </c>
      <c r="H67" s="4">
        <f>('Equity Price Data'!F69-'Equity Price Data'!F68)/'Equity Price Data'!F68</f>
        <v>0.003020412368</v>
      </c>
      <c r="L67" s="1"/>
      <c r="M67" s="1"/>
      <c r="N67" s="1"/>
      <c r="O67" s="1"/>
    </row>
    <row r="68">
      <c r="A68" s="43">
        <f>Sheet11!A68</f>
        <v>45523.66667</v>
      </c>
      <c r="B68" s="44">
        <f t="shared" si="2"/>
        <v>45535</v>
      </c>
      <c r="C68" s="4">
        <f>('Equity Price Data'!B70-'Equity Price Data'!B69)/'Equity Price Data'!B69</f>
        <v>0.006135918397</v>
      </c>
      <c r="D68" s="4">
        <f t="shared" si="3"/>
        <v>0.005937505698</v>
      </c>
      <c r="E68" s="4">
        <f>('Equity Price Data'!C70-'Equity Price Data'!C69)/'Equity Price Data'!C69</f>
        <v>0.009722284737</v>
      </c>
      <c r="F68" s="4">
        <f>('Equity Price Data'!D70-'Equity Price Data'!D69)/'Equity Price Data'!D69</f>
        <v>0.01389824702</v>
      </c>
      <c r="G68" s="4">
        <f>('Equity Price Data'!E70-'Equity Price Data'!E69)/'Equity Price Data'!E69</f>
        <v>0.005823202104</v>
      </c>
      <c r="H68" s="4">
        <f>('Equity Price Data'!F70-'Equity Price Data'!F69)/'Equity Price Data'!F69</f>
        <v>0.01194255621</v>
      </c>
      <c r="L68" s="1"/>
      <c r="M68" s="1"/>
      <c r="N68" s="1"/>
      <c r="O68" s="1"/>
    </row>
    <row r="69">
      <c r="A69" s="43">
        <f>Sheet11!A69</f>
        <v>45524.66667</v>
      </c>
      <c r="B69" s="44">
        <f t="shared" si="2"/>
        <v>45535</v>
      </c>
      <c r="C69" s="4">
        <f>('Equity Price Data'!B71-'Equity Price Data'!B70)/'Equity Price Data'!B70</f>
        <v>-0.002275798202</v>
      </c>
      <c r="D69" s="4">
        <f t="shared" si="3"/>
        <v>-0.0024742109</v>
      </c>
      <c r="E69" s="4">
        <f>('Equity Price Data'!C71-'Equity Price Data'!C70)/'Equity Price Data'!C70</f>
        <v>-0.001984576294</v>
      </c>
      <c r="F69" s="4">
        <f>('Equity Price Data'!D71-'Equity Price Data'!D70)/'Equity Price Data'!D70</f>
        <v>-0.003346801464</v>
      </c>
      <c r="G69" s="4">
        <f>('Equity Price Data'!E71-'Equity Price Data'!E70)/'Equity Price Data'!E70</f>
        <v>-0.001505262182</v>
      </c>
      <c r="H69" s="4">
        <f>('Equity Price Data'!F71-'Equity Price Data'!F70)/'Equity Price Data'!F70</f>
        <v>-0.01167704729</v>
      </c>
      <c r="L69" s="1"/>
      <c r="M69" s="1"/>
      <c r="N69" s="1"/>
      <c r="O69" s="1"/>
    </row>
    <row r="70">
      <c r="A70" s="43">
        <f>Sheet11!A70</f>
        <v>45525.66667</v>
      </c>
      <c r="B70" s="44">
        <f t="shared" si="2"/>
        <v>45535</v>
      </c>
      <c r="C70" s="4">
        <f>('Equity Price Data'!B72-'Equity Price Data'!B71)/'Equity Price Data'!B71</f>
        <v>0.004199827976</v>
      </c>
      <c r="D70" s="4">
        <f t="shared" si="3"/>
        <v>0.004001415277</v>
      </c>
      <c r="E70" s="4">
        <f>('Equity Price Data'!C72-'Equity Price Data'!C71)/'Equity Price Data'!C71</f>
        <v>0.004239680407</v>
      </c>
      <c r="F70" s="4">
        <f>('Equity Price Data'!D72-'Equity Price Data'!D71)/'Equity Price Data'!D71</f>
        <v>0.005727695104</v>
      </c>
      <c r="G70" s="4">
        <f>('Equity Price Data'!E72-'Equity Price Data'!E71)/'Equity Price Data'!E71</f>
        <v>0.001359618974</v>
      </c>
      <c r="H70" s="4">
        <f>('Equity Price Data'!F72-'Equity Price Data'!F71)/'Equity Price Data'!F71</f>
        <v>0.01324345646</v>
      </c>
      <c r="L70" s="1"/>
      <c r="M70" s="1"/>
      <c r="N70" s="1"/>
      <c r="O70" s="1"/>
    </row>
    <row r="71">
      <c r="A71" s="43">
        <f>Sheet11!A71</f>
        <v>45526.66667</v>
      </c>
      <c r="B71" s="44">
        <f t="shared" si="2"/>
        <v>45535</v>
      </c>
      <c r="C71" s="4">
        <f>('Equity Price Data'!B73-'Equity Price Data'!B72)/'Equity Price Data'!B72</f>
        <v>-0.004718924396</v>
      </c>
      <c r="D71" s="4">
        <f t="shared" si="3"/>
        <v>-0.004917337094</v>
      </c>
      <c r="E71" s="4">
        <f>('Equity Price Data'!C73-'Equity Price Data'!C72)/'Equity Price Data'!C72</f>
        <v>-0.008932812653</v>
      </c>
      <c r="F71" s="4">
        <f>('Equity Price Data'!D73-'Equity Price Data'!D72)/'Equity Price Data'!D72</f>
        <v>-0.01672192462</v>
      </c>
      <c r="G71" s="4">
        <f>('Equity Price Data'!E73-'Equity Price Data'!E72)/'Equity Price Data'!E72</f>
        <v>-0.004345998299</v>
      </c>
      <c r="H71" s="4">
        <f>('Equity Price Data'!F73-'Equity Price Data'!F72)/'Equity Price Data'!F72</f>
        <v>-0.009458388619</v>
      </c>
      <c r="L71" s="1"/>
      <c r="M71" s="1"/>
      <c r="N71" s="1"/>
      <c r="O71" s="1"/>
    </row>
    <row r="72">
      <c r="A72" s="43">
        <f>Sheet11!A72</f>
        <v>45527.66667</v>
      </c>
      <c r="B72" s="44">
        <f t="shared" si="2"/>
        <v>45535</v>
      </c>
      <c r="C72" s="4">
        <f>('Equity Price Data'!B74-'Equity Price Data'!B73)/'Equity Price Data'!B73</f>
        <v>0.01195851043</v>
      </c>
      <c r="D72" s="4">
        <f t="shared" si="3"/>
        <v>0.01176009774</v>
      </c>
      <c r="E72" s="4">
        <f>('Equity Price Data'!C74-'Equity Price Data'!C73)/'Equity Price Data'!C73</f>
        <v>0.01148342022</v>
      </c>
      <c r="F72" s="4">
        <f>('Equity Price Data'!D74-'Equity Price Data'!D73)/'Equity Price Data'!D73</f>
        <v>0.01466796448</v>
      </c>
      <c r="G72" s="4">
        <f>('Equity Price Data'!E74-'Equity Price Data'!E73)/'Equity Price Data'!E73</f>
        <v>0.01135515678</v>
      </c>
      <c r="H72" s="4">
        <f>('Equity Price Data'!F74-'Equity Price Data'!F73)/'Equity Price Data'!F73</f>
        <v>0.03193908922</v>
      </c>
      <c r="L72" s="1"/>
      <c r="M72" s="1"/>
      <c r="N72" s="1"/>
      <c r="O72" s="1"/>
    </row>
    <row r="73">
      <c r="A73" s="43">
        <f>Sheet11!A73</f>
        <v>45530.66667</v>
      </c>
      <c r="B73" s="44">
        <f t="shared" si="2"/>
        <v>45535</v>
      </c>
      <c r="C73" s="4">
        <f>('Equity Price Data'!B75-'Equity Price Data'!B74)/'Equity Price Data'!B74</f>
        <v>-0.001149664934</v>
      </c>
      <c r="D73" s="4">
        <f t="shared" si="3"/>
        <v>-0.001348077632</v>
      </c>
      <c r="E73" s="4">
        <f>('Equity Price Data'!C75-'Equity Price Data'!C74)/'Equity Price Data'!C74</f>
        <v>-0.00315372315</v>
      </c>
      <c r="F73" s="4">
        <f>('Equity Price Data'!D75-'Equity Price Data'!D74)/'Equity Price Data'!D74</f>
        <v>-0.008503288158</v>
      </c>
      <c r="G73" s="4">
        <f>('Equity Price Data'!E75-'Equity Price Data'!E74)/'Equity Price Data'!E74</f>
        <v>0.001589310816</v>
      </c>
      <c r="H73" s="4">
        <f>('Equity Price Data'!F75-'Equity Price Data'!F74)/'Equity Price Data'!F74</f>
        <v>-0.0003515572182</v>
      </c>
      <c r="L73" s="1"/>
      <c r="M73" s="1"/>
      <c r="N73" s="1"/>
      <c r="O73" s="1"/>
    </row>
    <row r="74">
      <c r="A74" s="43">
        <f>Sheet11!A74</f>
        <v>45531.66667</v>
      </c>
      <c r="B74" s="44">
        <f t="shared" si="2"/>
        <v>45535</v>
      </c>
      <c r="C74" s="4">
        <f>('Equity Price Data'!B76-'Equity Price Data'!B75)/'Equity Price Data'!B75</f>
        <v>0.002991865756</v>
      </c>
      <c r="D74" s="4">
        <f t="shared" si="3"/>
        <v>0.002793453058</v>
      </c>
      <c r="E74" s="4">
        <f>('Equity Price Data'!C76-'Equity Price Data'!C75)/'Equity Price Data'!C75</f>
        <v>0.001595202997</v>
      </c>
      <c r="F74" s="4">
        <f>('Equity Price Data'!D76-'Equity Price Data'!D75)/'Equity Price Data'!D75</f>
        <v>0.001638856873</v>
      </c>
      <c r="G74" s="4">
        <f>('Equity Price Data'!E76-'Equity Price Data'!E75)/'Equity Price Data'!E75</f>
        <v>0.0002419950088</v>
      </c>
      <c r="H74" s="4">
        <f>('Equity Price Data'!F76-'Equity Price Data'!F75)/'Equity Price Data'!F75</f>
        <v>-0.006727023518</v>
      </c>
      <c r="L74" s="1"/>
      <c r="M74" s="1"/>
      <c r="N74" s="1"/>
      <c r="O74" s="1"/>
    </row>
    <row r="75">
      <c r="A75" s="43">
        <f>Sheet11!A75</f>
        <v>45532.66667</v>
      </c>
      <c r="B75" s="44">
        <f t="shared" si="2"/>
        <v>45535</v>
      </c>
      <c r="C75" s="4">
        <f>('Equity Price Data'!B77-'Equity Price Data'!B76)/'Equity Price Data'!B76</f>
        <v>-0.004732959491</v>
      </c>
      <c r="D75" s="4">
        <f t="shared" si="3"/>
        <v>-0.004931372189</v>
      </c>
      <c r="E75" s="4">
        <f>('Equity Price Data'!C77-'Equity Price Data'!C76)/'Equity Price Data'!C76</f>
        <v>-0.005976038963</v>
      </c>
      <c r="F75" s="4">
        <f>('Equity Price Data'!D77-'Equity Price Data'!D76)/'Equity Price Data'!D76</f>
        <v>-0.01119639625</v>
      </c>
      <c r="G75" s="4">
        <f>('Equity Price Data'!E77-'Equity Price Data'!E76)/'Equity Price Data'!E76</f>
        <v>-0.003856438104</v>
      </c>
      <c r="H75" s="4">
        <f>('Equity Price Data'!F77-'Equity Price Data'!F76)/'Equity Price Data'!F76</f>
        <v>-0.006518384022</v>
      </c>
      <c r="L75" s="1"/>
      <c r="M75" s="1"/>
      <c r="N75" s="1"/>
      <c r="O75" s="1"/>
    </row>
    <row r="76">
      <c r="A76" s="43">
        <f>Sheet11!A76</f>
        <v>45533.66667</v>
      </c>
      <c r="B76" s="44">
        <f t="shared" si="2"/>
        <v>45535</v>
      </c>
      <c r="C76" s="4">
        <f>('Equity Price Data'!B78-'Equity Price Data'!B77)/'Equity Price Data'!B77</f>
        <v>-0.001144570202</v>
      </c>
      <c r="D76" s="4">
        <f t="shared" si="3"/>
        <v>-0.001342982901</v>
      </c>
      <c r="E76" s="4">
        <f>('Equity Price Data'!C78-'Equity Price Data'!C77)/'Equity Price Data'!C77</f>
        <v>-0.00003934065069</v>
      </c>
      <c r="F76" s="4">
        <f>('Equity Price Data'!D78-'Equity Price Data'!D77)/'Equity Price Data'!D77</f>
        <v>-0.002255635243</v>
      </c>
      <c r="G76" s="4">
        <f>('Equity Price Data'!E78-'Equity Price Data'!E77)/'Equity Price Data'!E77</f>
        <v>0.005928974954</v>
      </c>
      <c r="H76" s="4">
        <f>('Equity Price Data'!F78-'Equity Price Data'!F77)/'Equity Price Data'!F77</f>
        <v>0.006552014036</v>
      </c>
      <c r="L76" s="1"/>
      <c r="M76" s="1"/>
      <c r="N76" s="1"/>
      <c r="O76" s="1"/>
    </row>
    <row r="77">
      <c r="A77" s="43">
        <f>Sheet11!A77</f>
        <v>45534.66667</v>
      </c>
      <c r="B77" s="44">
        <f t="shared" si="2"/>
        <v>45535</v>
      </c>
      <c r="C77" s="4">
        <f>('Equity Price Data'!B79-'Equity Price Data'!B78)/'Equity Price Data'!B78</f>
        <v>0.00681844618</v>
      </c>
      <c r="D77" s="4">
        <f t="shared" si="3"/>
        <v>0.006620033481</v>
      </c>
      <c r="E77" s="4">
        <f>('Equity Price Data'!C79-'Equity Price Data'!C78)/'Equity Price Data'!C78</f>
        <v>0.01009306218</v>
      </c>
      <c r="F77" s="4">
        <f>('Equity Price Data'!D79-'Equity Price Data'!D78)/'Equity Price Data'!D78</f>
        <v>0.01125743088</v>
      </c>
      <c r="G77" s="4">
        <f>('Equity Price Data'!E79-'Equity Price Data'!E78)/'Equity Price Data'!E78</f>
        <v>0.005516625721</v>
      </c>
      <c r="H77" s="4">
        <f>('Equity Price Data'!F79-'Equity Price Data'!F78)/'Equity Price Data'!F78</f>
        <v>0.006650083069</v>
      </c>
      <c r="L77" s="1"/>
      <c r="M77" s="1"/>
      <c r="N77" s="1"/>
      <c r="O77" s="1"/>
    </row>
    <row r="78">
      <c r="A78" s="43">
        <f>Sheet11!A78</f>
        <v>45538.66667</v>
      </c>
      <c r="B78" s="44">
        <f t="shared" si="2"/>
        <v>45565</v>
      </c>
      <c r="C78" s="4">
        <f>('Equity Price Data'!B80-'Equity Price Data'!B79)/'Equity Price Data'!B79</f>
        <v>-0.0163492319</v>
      </c>
      <c r="D78" s="4">
        <f t="shared" si="3"/>
        <v>-0.01654764459</v>
      </c>
      <c r="E78" s="4">
        <f>('Equity Price Data'!C80-'Equity Price Data'!C79)/'Equity Price Data'!C79</f>
        <v>-0.02115112244</v>
      </c>
      <c r="F78" s="4">
        <f>('Equity Price Data'!D80-'Equity Price Data'!D79)/'Equity Price Data'!D79</f>
        <v>-0.03259186998</v>
      </c>
      <c r="G78" s="4">
        <f>('Equity Price Data'!E80-'Equity Price Data'!E79)/'Equity Price Data'!E79</f>
        <v>-0.01506505293</v>
      </c>
      <c r="H78" s="4">
        <f>('Equity Price Data'!F80-'Equity Price Data'!F79)/'Equity Price Data'!F79</f>
        <v>-0.03085275722</v>
      </c>
      <c r="L78" s="1"/>
      <c r="M78" s="1"/>
      <c r="N78" s="1"/>
      <c r="O78" s="1"/>
    </row>
    <row r="79">
      <c r="A79" s="43">
        <f>Sheet11!A79</f>
        <v>45539.66667</v>
      </c>
      <c r="B79" s="44">
        <f t="shared" si="2"/>
        <v>45565</v>
      </c>
      <c r="C79" s="4">
        <f>('Equity Price Data'!B81-'Equity Price Data'!B80)/'Equity Price Data'!B80</f>
        <v>-0.006502383911</v>
      </c>
      <c r="D79" s="4">
        <f t="shared" si="3"/>
        <v>-0.006700796609</v>
      </c>
      <c r="E79" s="4">
        <f>('Equity Price Data'!C81-'Equity Price Data'!C80)/'Equity Price Data'!C80</f>
        <v>-0.001602480046</v>
      </c>
      <c r="F79" s="4">
        <f>('Equity Price Data'!D81-'Equity Price Data'!D80)/'Equity Price Data'!D80</f>
        <v>-0.003034494027</v>
      </c>
      <c r="G79" s="4">
        <f>('Equity Price Data'!E81-'Equity Price Data'!E80)/'Equity Price Data'!E80</f>
        <v>0.0009292343124</v>
      </c>
      <c r="H79" s="4">
        <f>('Equity Price Data'!F81-'Equity Price Data'!F80)/'Equity Price Data'!F80</f>
        <v>-0.001856496108</v>
      </c>
      <c r="L79" s="1"/>
      <c r="M79" s="1"/>
      <c r="N79" s="1"/>
      <c r="O79" s="1"/>
    </row>
    <row r="80">
      <c r="A80" s="43">
        <f>Sheet11!A80</f>
        <v>45540.66667</v>
      </c>
      <c r="B80" s="44">
        <f t="shared" si="2"/>
        <v>45565</v>
      </c>
      <c r="C80" s="4">
        <f>('Equity Price Data'!B82-'Equity Price Data'!B81)/'Equity Price Data'!B81</f>
        <v>-0.006093768202</v>
      </c>
      <c r="D80" s="4">
        <f t="shared" si="3"/>
        <v>-0.0062921809</v>
      </c>
      <c r="E80" s="4">
        <f>('Equity Price Data'!C82-'Equity Price Data'!C81)/'Equity Price Data'!C81</f>
        <v>-0.003018077669</v>
      </c>
      <c r="F80" s="4">
        <f>('Equity Price Data'!D82-'Equity Price Data'!D81)/'Equity Price Data'!D81</f>
        <v>0.002538002728</v>
      </c>
      <c r="G80" s="4">
        <f>('Equity Price Data'!E82-'Equity Price Data'!E81)/'Equity Price Data'!E81</f>
        <v>-0.005350095436</v>
      </c>
      <c r="H80" s="4">
        <f>('Equity Price Data'!F82-'Equity Price Data'!F81)/'Equity Price Data'!F81</f>
        <v>-0.006139230475</v>
      </c>
      <c r="L80" s="1"/>
      <c r="M80" s="1"/>
      <c r="N80" s="1"/>
      <c r="O80" s="1"/>
    </row>
    <row r="81">
      <c r="A81" s="43">
        <f>Sheet11!A81</f>
        <v>45541.66667</v>
      </c>
      <c r="B81" s="44">
        <f t="shared" si="2"/>
        <v>45565</v>
      </c>
      <c r="C81" s="4">
        <f>('Equity Price Data'!B83-'Equity Price Data'!B82)/'Equity Price Data'!B82</f>
        <v>-0.01284276734</v>
      </c>
      <c r="D81" s="4">
        <f t="shared" si="3"/>
        <v>-0.01304118004</v>
      </c>
      <c r="E81" s="4">
        <f>('Equity Price Data'!C83-'Equity Price Data'!C82)/'Equity Price Data'!C82</f>
        <v>-0.01726020776</v>
      </c>
      <c r="F81" s="4">
        <f>('Equity Price Data'!D83-'Equity Price Data'!D82)/'Equity Price Data'!D82</f>
        <v>-0.02550435961</v>
      </c>
      <c r="G81" s="4">
        <f>('Equity Price Data'!E83-'Equity Price Data'!E82)/'Equity Price Data'!E82</f>
        <v>-0.01006827258</v>
      </c>
      <c r="H81" s="4">
        <f>('Equity Price Data'!F83-'Equity Price Data'!F82)/'Equity Price Data'!F82</f>
        <v>-0.01906146666</v>
      </c>
      <c r="L81" s="1"/>
      <c r="M81" s="1"/>
      <c r="N81" s="1"/>
      <c r="O81" s="1"/>
    </row>
    <row r="82">
      <c r="A82" s="43">
        <f>Sheet11!A82</f>
        <v>45544.66667</v>
      </c>
      <c r="B82" s="44">
        <f t="shared" si="2"/>
        <v>45565</v>
      </c>
      <c r="C82" s="4">
        <f>('Equity Price Data'!B84-'Equity Price Data'!B83)/'Equity Price Data'!B83</f>
        <v>0.009953053799</v>
      </c>
      <c r="D82" s="4">
        <f t="shared" si="3"/>
        <v>0.009754641101</v>
      </c>
      <c r="E82" s="4">
        <f>('Equity Price Data'!C84-'Equity Price Data'!C83)/'Equity Price Data'!C83</f>
        <v>0.01158009178</v>
      </c>
      <c r="F82" s="4">
        <f>('Equity Price Data'!D84-'Equity Price Data'!D83)/'Equity Price Data'!D83</f>
        <v>0.01160936874</v>
      </c>
      <c r="G82" s="4">
        <f>('Equity Price Data'!E84-'Equity Price Data'!E83)/'Equity Price Data'!E83</f>
        <v>0.01200086949</v>
      </c>
      <c r="H82" s="4">
        <f>('Equity Price Data'!F84-'Equity Price Data'!F83)/'Equity Price Data'!F83</f>
        <v>0.003045792073</v>
      </c>
      <c r="L82" s="1"/>
      <c r="M82" s="1"/>
      <c r="N82" s="1"/>
      <c r="O82" s="1"/>
    </row>
    <row r="83">
      <c r="A83" s="43">
        <f>Sheet11!A83</f>
        <v>45545.66667</v>
      </c>
      <c r="B83" s="44">
        <f t="shared" si="2"/>
        <v>45565</v>
      </c>
      <c r="C83" s="4">
        <f>('Equity Price Data'!B85-'Equity Price Data'!B84)/'Equity Price Data'!B84</f>
        <v>-0.0009181549823</v>
      </c>
      <c r="D83" s="4">
        <f t="shared" si="3"/>
        <v>-0.001116567681</v>
      </c>
      <c r="E83" s="4">
        <f>('Equity Price Data'!C85-'Equity Price Data'!C84)/'Equity Price Data'!C84</f>
        <v>0.004472633224</v>
      </c>
      <c r="F83" s="4">
        <f>('Equity Price Data'!D85-'Equity Price Data'!D84)/'Equity Price Data'!D84</f>
        <v>0.008367388034</v>
      </c>
      <c r="G83" s="4">
        <f>('Equity Price Data'!E85-'Equity Price Data'!E84)/'Equity Price Data'!E84</f>
        <v>-0.002268697775</v>
      </c>
      <c r="H83" s="4">
        <f>('Equity Price Data'!F85-'Equity Price Data'!F84)/'Equity Price Data'!F84</f>
        <v>-0.0001620760995</v>
      </c>
      <c r="L83" s="1"/>
      <c r="M83" s="1"/>
      <c r="N83" s="1"/>
      <c r="O83" s="1"/>
    </row>
    <row r="84">
      <c r="A84" s="43">
        <f>Sheet11!A84</f>
        <v>45546.66667</v>
      </c>
      <c r="B84" s="44">
        <f t="shared" si="2"/>
        <v>45565</v>
      </c>
      <c r="C84" s="4">
        <f>('Equity Price Data'!B86-'Equity Price Data'!B85)/'Equity Price Data'!B85</f>
        <v>0.007386341466</v>
      </c>
      <c r="D84" s="4">
        <f t="shared" si="3"/>
        <v>0.007187928767</v>
      </c>
      <c r="E84" s="4">
        <f>('Equity Price Data'!C86-'Equity Price Data'!C85)/'Equity Price Data'!C85</f>
        <v>0.01066505081</v>
      </c>
      <c r="F84" s="4">
        <f>('Equity Price Data'!D86-'Equity Price Data'!D85)/'Equity Price Data'!D85</f>
        <v>0.02171106574</v>
      </c>
      <c r="G84" s="4">
        <f>('Equity Price Data'!E86-'Equity Price Data'!E85)/'Equity Price Data'!E85</f>
        <v>0.003062329639</v>
      </c>
      <c r="H84" s="4">
        <f>('Equity Price Data'!F86-'Equity Price Data'!F85)/'Equity Price Data'!F85</f>
        <v>0.003056106492</v>
      </c>
      <c r="L84" s="1"/>
      <c r="M84" s="1"/>
      <c r="N84" s="1"/>
      <c r="O84" s="1"/>
    </row>
    <row r="85">
      <c r="A85" s="43">
        <f>Sheet11!A85</f>
        <v>45547.66667</v>
      </c>
      <c r="B85" s="44">
        <f t="shared" si="2"/>
        <v>45565</v>
      </c>
      <c r="C85" s="4">
        <f>('Equity Price Data'!B87-'Equity Price Data'!B86)/'Equity Price Data'!B86</f>
        <v>0.007514904411</v>
      </c>
      <c r="D85" s="4">
        <f t="shared" si="3"/>
        <v>0.007316491713</v>
      </c>
      <c r="E85" s="4">
        <f>('Equity Price Data'!C87-'Equity Price Data'!C86)/'Equity Price Data'!C86</f>
        <v>0.0074953233</v>
      </c>
      <c r="F85" s="4">
        <f>('Equity Price Data'!D87-'Equity Price Data'!D86)/'Equity Price Data'!D86</f>
        <v>0.01001119253</v>
      </c>
      <c r="G85" s="4">
        <f>('Equity Price Data'!E87-'Equity Price Data'!E86)/'Equity Price Data'!E86</f>
        <v>0.005752573742</v>
      </c>
      <c r="H85" s="4">
        <f>('Equity Price Data'!F87-'Equity Price Data'!F86)/'Equity Price Data'!F86</f>
        <v>0.0121586615</v>
      </c>
      <c r="L85" s="1"/>
      <c r="M85" s="1"/>
      <c r="N85" s="1"/>
      <c r="O85" s="1"/>
    </row>
    <row r="86">
      <c r="A86" s="43">
        <f>Sheet11!A86</f>
        <v>45548.66667</v>
      </c>
      <c r="B86" s="44">
        <f t="shared" si="2"/>
        <v>45565</v>
      </c>
      <c r="C86" s="4">
        <f>('Equity Price Data'!B88-'Equity Price Data'!B87)/'Equity Price Data'!B87</f>
        <v>0.004023187365</v>
      </c>
      <c r="D86" s="4">
        <f t="shared" si="3"/>
        <v>0.003824774666</v>
      </c>
      <c r="E86" s="4">
        <f>('Equity Price Data'!C88-'Equity Price Data'!C87)/'Equity Price Data'!C87</f>
        <v>0.005407665804</v>
      </c>
      <c r="F86" s="4">
        <f>('Equity Price Data'!D88-'Equity Price Data'!D87)/'Equity Price Data'!D87</f>
        <v>0.006505525428</v>
      </c>
      <c r="G86" s="4">
        <f>('Equity Price Data'!E88-'Equity Price Data'!E87)/'Equity Price Data'!E87</f>
        <v>0.00722708865</v>
      </c>
      <c r="H86" s="4">
        <f>('Equity Price Data'!F88-'Equity Price Data'!F87)/'Equity Price Data'!F87</f>
        <v>0.02491746618</v>
      </c>
      <c r="L86" s="1"/>
      <c r="M86" s="1"/>
      <c r="N86" s="1"/>
      <c r="O86" s="1"/>
    </row>
    <row r="87">
      <c r="A87" s="43">
        <f>Sheet11!A87</f>
        <v>45551.66667</v>
      </c>
      <c r="B87" s="44">
        <f t="shared" si="2"/>
        <v>45565</v>
      </c>
      <c r="C87" s="4">
        <f>('Equity Price Data'!B89-'Equity Price Data'!B88)/'Equity Price Data'!B88</f>
        <v>0.002949925804</v>
      </c>
      <c r="D87" s="4">
        <f t="shared" si="3"/>
        <v>0.002751513106</v>
      </c>
      <c r="E87" s="4">
        <f>('Equity Price Data'!C89-'Equity Price Data'!C88)/'Equity Price Data'!C88</f>
        <v>0.001256661014</v>
      </c>
      <c r="F87" s="4">
        <f>('Equity Price Data'!D89-'Equity Price Data'!D88)/'Equity Price Data'!D88</f>
        <v>-0.005193966517</v>
      </c>
      <c r="G87" s="4">
        <f>('Equity Price Data'!E89-'Equity Price Data'!E88)/'Equity Price Data'!E88</f>
        <v>0.005515321384</v>
      </c>
      <c r="H87" s="4">
        <f>('Equity Price Data'!F89-'Equity Price Data'!F88)/'Equity Price Data'!F88</f>
        <v>0.003060724219</v>
      </c>
      <c r="L87" s="1"/>
      <c r="M87" s="1"/>
      <c r="N87" s="1"/>
      <c r="O87" s="1"/>
    </row>
    <row r="88">
      <c r="A88" s="43">
        <f>Sheet11!A88</f>
        <v>45552.66667</v>
      </c>
      <c r="B88" s="44">
        <f t="shared" si="2"/>
        <v>45565</v>
      </c>
      <c r="C88" s="4">
        <f>('Equity Price Data'!B90-'Equity Price Data'!B89)/'Equity Price Data'!B89</f>
        <v>0.001186646782</v>
      </c>
      <c r="D88" s="4">
        <f t="shared" si="3"/>
        <v>0.0009882340834</v>
      </c>
      <c r="E88" s="4">
        <f>('Equity Price Data'!C90-'Equity Price Data'!C89)/'Equity Price Data'!C89</f>
        <v>0.0002645084669</v>
      </c>
      <c r="F88" s="4">
        <f>('Equity Price Data'!D90-'Equity Price Data'!D89)/'Equity Price Data'!D89</f>
        <v>0.002042390546</v>
      </c>
      <c r="G88" s="4">
        <f>('Equity Price Data'!E90-'Equity Price Data'!E89)/'Equity Price Data'!E89</f>
        <v>-0.00038200878</v>
      </c>
      <c r="H88" s="4">
        <f>('Equity Price Data'!F90-'Equity Price Data'!F89)/'Equity Price Data'!F89</f>
        <v>0.007450312219</v>
      </c>
      <c r="L88" s="1"/>
      <c r="M88" s="1"/>
      <c r="N88" s="1"/>
      <c r="O88" s="1"/>
    </row>
    <row r="89">
      <c r="A89" s="43">
        <f>Sheet11!A89</f>
        <v>45553.66667</v>
      </c>
      <c r="B89" s="44">
        <f t="shared" si="2"/>
        <v>45565</v>
      </c>
      <c r="C89" s="4">
        <f>('Equity Price Data'!B91-'Equity Price Data'!B90)/'Equity Price Data'!B90</f>
        <v>-0.002282795632</v>
      </c>
      <c r="D89" s="4">
        <f t="shared" si="3"/>
        <v>-0.00248120833</v>
      </c>
      <c r="E89" s="4">
        <f>('Equity Price Data'!C91-'Equity Price Data'!C90)/'Equity Price Data'!C90</f>
        <v>-0.002896400442</v>
      </c>
      <c r="F89" s="4">
        <f>('Equity Price Data'!D91-'Equity Price Data'!D90)/'Equity Price Data'!D90</f>
        <v>-0.003106411029</v>
      </c>
      <c r="G89" s="4">
        <f>('Equity Price Data'!E91-'Equity Price Data'!E90)/'Equity Price Data'!E90</f>
        <v>-0.002477516561</v>
      </c>
      <c r="H89" s="4">
        <f>('Equity Price Data'!F91-'Equity Price Data'!F90)/'Equity Price Data'!F90</f>
        <v>0.0003899377913</v>
      </c>
      <c r="L89" s="1"/>
      <c r="M89" s="1"/>
      <c r="N89" s="1"/>
      <c r="O89" s="1"/>
    </row>
    <row r="90">
      <c r="A90" s="43">
        <f>Sheet11!A90</f>
        <v>45554.66667</v>
      </c>
      <c r="B90" s="44">
        <f t="shared" si="2"/>
        <v>45565</v>
      </c>
      <c r="C90" s="4">
        <f>('Equity Price Data'!B92-'Equity Price Data'!B91)/'Equity Price Data'!B91</f>
        <v>0.01590265702</v>
      </c>
      <c r="D90" s="4">
        <f t="shared" si="3"/>
        <v>0.01570424432</v>
      </c>
      <c r="E90" s="4">
        <f>('Equity Price Data'!C92-'Equity Price Data'!C91)/'Equity Price Data'!C91</f>
        <v>0.01697678641</v>
      </c>
      <c r="F90" s="4">
        <f>('Equity Price Data'!D92-'Equity Price Data'!D91)/'Equity Price Data'!D91</f>
        <v>0.02507667883</v>
      </c>
      <c r="G90" s="4">
        <f>('Equity Price Data'!E92-'Equity Price Data'!E91)/'Equity Price Data'!E91</f>
        <v>0.01257954225</v>
      </c>
      <c r="H90" s="4">
        <f>('Equity Price Data'!F92-'Equity Price Data'!F91)/'Equity Price Data'!F91</f>
        <v>0.0210167064</v>
      </c>
      <c r="L90" s="1"/>
      <c r="M90" s="1"/>
      <c r="N90" s="1"/>
      <c r="O90" s="1"/>
    </row>
    <row r="91">
      <c r="A91" s="43">
        <f>Sheet11!A91</f>
        <v>45555.66667</v>
      </c>
      <c r="B91" s="44">
        <f t="shared" si="2"/>
        <v>45565</v>
      </c>
      <c r="C91" s="4">
        <f>('Equity Price Data'!B93-'Equity Price Data'!B92)/'Equity Price Data'!B92</f>
        <v>-0.002712809448</v>
      </c>
      <c r="D91" s="4">
        <f t="shared" si="3"/>
        <v>-0.002911222146</v>
      </c>
      <c r="E91" s="4">
        <f>('Equity Price Data'!C93-'Equity Price Data'!C92)/'Equity Price Data'!C92</f>
        <v>-0.00194096933</v>
      </c>
      <c r="F91" s="4">
        <f>('Equity Price Data'!D93-'Equity Price Data'!D92)/'Equity Price Data'!D92</f>
        <v>-0.003644946869</v>
      </c>
      <c r="G91" s="4">
        <f>('Equity Price Data'!E93-'Equity Price Data'!E92)/'Equity Price Data'!E92</f>
        <v>0.0009082647812</v>
      </c>
      <c r="H91" s="4">
        <f>('Equity Price Data'!F93-'Equity Price Data'!F92)/'Equity Price Data'!F92</f>
        <v>-0.01101784073</v>
      </c>
      <c r="L91" s="1"/>
      <c r="M91" s="1"/>
      <c r="N91" s="1"/>
      <c r="O91" s="1"/>
    </row>
    <row r="92">
      <c r="A92" s="43">
        <f>Sheet11!A92</f>
        <v>45558.66667</v>
      </c>
      <c r="B92" s="44">
        <f t="shared" si="2"/>
        <v>45565</v>
      </c>
      <c r="C92" s="4">
        <f>('Equity Price Data'!B94-'Equity Price Data'!B93)/'Equity Price Data'!B93</f>
        <v>0.001397065402</v>
      </c>
      <c r="D92" s="4">
        <f t="shared" si="3"/>
        <v>0.001198652704</v>
      </c>
      <c r="E92" s="4">
        <f>('Equity Price Data'!C94-'Equity Price Data'!C93)/'Equity Price Data'!C93</f>
        <v>0.002809269537</v>
      </c>
      <c r="F92" s="4">
        <f>('Equity Price Data'!D94-'Equity Price Data'!D93)/'Equity Price Data'!D93</f>
        <v>0.00144581777</v>
      </c>
      <c r="G92" s="4">
        <f>('Equity Price Data'!E94-'Equity Price Data'!E93)/'Equity Price Data'!E93</f>
        <v>0.001457087594</v>
      </c>
      <c r="H92" s="4">
        <f>('Equity Price Data'!F94-'Equity Price Data'!F93)/'Equity Price Data'!F93</f>
        <v>-0.003415788033</v>
      </c>
      <c r="L92" s="1"/>
      <c r="M92" s="1"/>
      <c r="N92" s="1"/>
      <c r="O92" s="1"/>
    </row>
    <row r="93">
      <c r="A93" s="43">
        <f>Sheet11!A93</f>
        <v>45559.66667</v>
      </c>
      <c r="B93" s="44">
        <f t="shared" si="2"/>
        <v>45565</v>
      </c>
      <c r="C93" s="4">
        <f>('Equity Price Data'!B95-'Equity Price Data'!B94)/'Equity Price Data'!B94</f>
        <v>0.002456224773</v>
      </c>
      <c r="D93" s="4">
        <f t="shared" si="3"/>
        <v>0.002257812075</v>
      </c>
      <c r="E93" s="4">
        <f>('Equity Price Data'!C95-'Equity Price Data'!C94)/'Equity Price Data'!C94</f>
        <v>0.00251111729</v>
      </c>
      <c r="F93" s="4">
        <f>('Equity Price Data'!D95-'Equity Price Data'!D94)/'Equity Price Data'!D94</f>
        <v>0.005577417052</v>
      </c>
      <c r="G93" s="4">
        <f>('Equity Price Data'!E95-'Equity Price Data'!E94)/'Equity Price Data'!E94</f>
        <v>0.00198387405</v>
      </c>
      <c r="H93" s="4">
        <f>('Equity Price Data'!F95-'Equity Price Data'!F94)/'Equity Price Data'!F94</f>
        <v>0.001670960419</v>
      </c>
      <c r="L93" s="1"/>
      <c r="M93" s="1"/>
      <c r="N93" s="1"/>
      <c r="O93" s="1"/>
    </row>
    <row r="94">
      <c r="A94" s="43">
        <f>Sheet11!A94</f>
        <v>45560.66667</v>
      </c>
      <c r="B94" s="44">
        <f t="shared" si="2"/>
        <v>45565</v>
      </c>
      <c r="C94" s="4">
        <f>('Equity Price Data'!B96-'Equity Price Data'!B95)/'Equity Price Data'!B95</f>
        <v>-0.006645258098</v>
      </c>
      <c r="D94" s="4">
        <f t="shared" si="3"/>
        <v>-0.006843670796</v>
      </c>
      <c r="E94" s="4">
        <f>('Equity Price Data'!C96-'Equity Price Data'!C95)/'Equity Price Data'!C95</f>
        <v>-0.001861177443</v>
      </c>
      <c r="F94" s="4">
        <f>('Equity Price Data'!D96-'Equity Price Data'!D95)/'Equity Price Data'!D95</f>
        <v>0.0004254608145</v>
      </c>
      <c r="G94" s="4">
        <f>('Equity Price Data'!E96-'Equity Price Data'!E95)/'Equity Price Data'!E95</f>
        <v>-0.006952911068</v>
      </c>
      <c r="H94" s="4">
        <f>('Equity Price Data'!F96-'Equity Price Data'!F95)/'Equity Price Data'!F95</f>
        <v>-0.0119335069</v>
      </c>
      <c r="L94" s="1"/>
      <c r="M94" s="1"/>
      <c r="N94" s="1"/>
      <c r="O94" s="1"/>
    </row>
    <row r="95">
      <c r="A95" s="43">
        <f>Sheet11!A95</f>
        <v>45561.66667</v>
      </c>
      <c r="B95" s="44">
        <f t="shared" si="2"/>
        <v>45565</v>
      </c>
      <c r="C95" s="4">
        <f>('Equity Price Data'!B97-'Equity Price Data'!B96)/'Equity Price Data'!B96</f>
        <v>0.003953435514</v>
      </c>
      <c r="D95" s="4">
        <f t="shared" si="3"/>
        <v>0.003755022815</v>
      </c>
      <c r="E95" s="4">
        <f>('Equity Price Data'!C97-'Equity Price Data'!C96)/'Equity Price Data'!C96</f>
        <v>0.004038614114</v>
      </c>
      <c r="F95" s="4">
        <f>('Equity Price Data'!D97-'Equity Price Data'!D96)/'Equity Price Data'!D96</f>
        <v>0.005977145493</v>
      </c>
      <c r="G95" s="4">
        <f>('Equity Price Data'!E97-'Equity Price Data'!E96)/'Equity Price Data'!E96</f>
        <v>0.006211655801</v>
      </c>
      <c r="H95" s="4">
        <f>('Equity Price Data'!F97-'Equity Price Data'!F96)/'Equity Price Data'!F96</f>
        <v>0.005652005734</v>
      </c>
      <c r="L95" s="1"/>
      <c r="M95" s="1"/>
      <c r="N95" s="1"/>
      <c r="O95" s="1"/>
    </row>
    <row r="96">
      <c r="A96" s="43">
        <f>Sheet11!A96</f>
        <v>45562.66667</v>
      </c>
      <c r="B96" s="44">
        <f t="shared" si="2"/>
        <v>45565</v>
      </c>
      <c r="C96" s="4">
        <f>('Equity Price Data'!B98-'Equity Price Data'!B97)/'Equity Price Data'!B97</f>
        <v>0.02762954044</v>
      </c>
      <c r="D96" s="4">
        <f t="shared" si="3"/>
        <v>0.02743112774</v>
      </c>
      <c r="E96" s="4">
        <f>('Equity Price Data'!C98-'Equity Price Data'!C97)/'Equity Price Data'!C97</f>
        <v>-0.001253182998</v>
      </c>
      <c r="F96" s="4">
        <f>('Equity Price Data'!D98-'Equity Price Data'!D97)/'Equity Price Data'!D97</f>
        <v>-0.003886688997</v>
      </c>
      <c r="G96" s="4">
        <f>('Equity Price Data'!E98-'Equity Price Data'!E97)/'Equity Price Data'!E97</f>
        <v>0.003269463909</v>
      </c>
      <c r="H96" s="4">
        <f>('Equity Price Data'!F98-'Equity Price Data'!F97)/'Equity Price Data'!F97</f>
        <v>0.006710801993</v>
      </c>
      <c r="L96" s="1"/>
      <c r="M96" s="1"/>
      <c r="N96" s="1"/>
      <c r="O96" s="1"/>
    </row>
    <row r="97">
      <c r="A97" s="43">
        <f>Sheet11!A97</f>
        <v>45565.66667</v>
      </c>
      <c r="B97" s="44">
        <f t="shared" si="2"/>
        <v>45565</v>
      </c>
      <c r="C97" s="4">
        <f>('Equity Price Data'!B99-'Equity Price Data'!B98)/'Equity Price Data'!B98</f>
        <v>0.001587662266</v>
      </c>
      <c r="D97" s="4">
        <f t="shared" si="3"/>
        <v>0.001389249567</v>
      </c>
      <c r="E97" s="4">
        <f>('Equity Price Data'!C99-'Equity Price Data'!C98)/'Equity Price Data'!C98</f>
        <v>0.004236542312</v>
      </c>
      <c r="F97" s="4">
        <f>('Equity Price Data'!D99-'Equity Price Data'!D98)/'Equity Price Data'!D98</f>
        <v>0.003840042738</v>
      </c>
      <c r="G97" s="4">
        <f>('Equity Price Data'!E99-'Equity Price Data'!E98)/'Equity Price Data'!E98</f>
        <v>0.000405312788</v>
      </c>
      <c r="H97" s="4">
        <f>('Equity Price Data'!F99-'Equity Price Data'!F98)/'Equity Price Data'!F98</f>
        <v>0.002368858723</v>
      </c>
      <c r="L97" s="1"/>
      <c r="M97" s="1"/>
      <c r="N97" s="1"/>
      <c r="O97" s="1"/>
    </row>
    <row r="98">
      <c r="A98" s="43">
        <f>Sheet11!A98</f>
        <v>45566.66667</v>
      </c>
      <c r="B98" s="44">
        <f t="shared" si="2"/>
        <v>45596</v>
      </c>
      <c r="C98" s="4">
        <f>('Equity Price Data'!B100-'Equity Price Data'!B99)/'Equity Price Data'!B99</f>
        <v>-0.007144786249</v>
      </c>
      <c r="D98" s="4">
        <f t="shared" si="3"/>
        <v>-0.007343198947</v>
      </c>
      <c r="E98" s="4">
        <f>('Equity Price Data'!C100-'Equity Price Data'!C99)/'Equity Price Data'!C99</f>
        <v>-0.009324110452</v>
      </c>
      <c r="F98" s="4">
        <f>('Equity Price Data'!D100-'Equity Price Data'!D99)/'Equity Price Data'!D99</f>
        <v>-0.01532835198</v>
      </c>
      <c r="G98" s="4">
        <f>('Equity Price Data'!E100-'Equity Price Data'!E99)/'Equity Price Data'!E99</f>
        <v>-0.004091173785</v>
      </c>
      <c r="H98" s="4">
        <f>('Equity Price Data'!F100-'Equity Price Data'!F99)/'Equity Price Data'!F99</f>
        <v>-0.01477149917</v>
      </c>
      <c r="L98" s="1"/>
      <c r="M98" s="1"/>
      <c r="N98" s="1"/>
      <c r="O98" s="1"/>
    </row>
    <row r="99">
      <c r="A99" s="43">
        <f>Sheet11!A99</f>
        <v>45567.66667</v>
      </c>
      <c r="B99" s="44">
        <f t="shared" si="2"/>
        <v>45596</v>
      </c>
      <c r="C99" s="4">
        <f>('Equity Price Data'!B101-'Equity Price Data'!B100)/'Equity Price Data'!B100</f>
        <v>0.0003513024376</v>
      </c>
      <c r="D99" s="4">
        <f t="shared" si="3"/>
        <v>0.0001528897392</v>
      </c>
      <c r="E99" s="4">
        <f>('Equity Price Data'!C101-'Equity Price Data'!C100)/'Equity Price Data'!C100</f>
        <v>0.0001383840596</v>
      </c>
      <c r="F99" s="4">
        <f>('Equity Price Data'!D101-'Equity Price Data'!D100)/'Equity Price Data'!D100</f>
        <v>0.0008241040381</v>
      </c>
      <c r="G99" s="4">
        <f>('Equity Price Data'!E101-'Equity Price Data'!E100)/'Equity Price Data'!E100</f>
        <v>0.0009381604038</v>
      </c>
      <c r="H99" s="4">
        <f>('Equity Price Data'!F101-'Equity Price Data'!F100)/'Equity Price Data'!F100</f>
        <v>-0.0009194230393</v>
      </c>
      <c r="L99" s="1"/>
      <c r="M99" s="1"/>
      <c r="N99" s="1"/>
      <c r="O99" s="1"/>
    </row>
    <row r="100">
      <c r="A100" s="43">
        <f>Sheet11!A100</f>
        <v>45568.66667</v>
      </c>
      <c r="B100" s="44">
        <f t="shared" si="2"/>
        <v>45596</v>
      </c>
      <c r="C100" s="4">
        <f>('Equity Price Data'!B102-'Equity Price Data'!B101)/'Equity Price Data'!B101</f>
        <v>-0.003451061747</v>
      </c>
      <c r="D100" s="4">
        <f t="shared" si="3"/>
        <v>-0.003649474446</v>
      </c>
      <c r="E100" s="4">
        <f>('Equity Price Data'!C102-'Equity Price Data'!C101)/'Equity Price Data'!C101</f>
        <v>-0.0016813964</v>
      </c>
      <c r="F100" s="4">
        <f>('Equity Price Data'!D102-'Equity Price Data'!D101)/'Equity Price Data'!D101</f>
        <v>-0.0003704298772</v>
      </c>
      <c r="G100" s="4">
        <f>('Equity Price Data'!E102-'Equity Price Data'!E101)/'Equity Price Data'!E101</f>
        <v>-0.004382588896</v>
      </c>
      <c r="H100" s="4">
        <f>('Equity Price Data'!F102-'Equity Price Data'!F101)/'Equity Price Data'!F101</f>
        <v>-0.00676990082</v>
      </c>
      <c r="L100" s="1"/>
      <c r="M100" s="1"/>
      <c r="N100" s="1"/>
      <c r="O100" s="1"/>
    </row>
    <row r="101">
      <c r="A101" s="43">
        <f>Sheet11!A101</f>
        <v>45569.66667</v>
      </c>
      <c r="B101" s="44">
        <f t="shared" si="2"/>
        <v>45596</v>
      </c>
      <c r="C101" s="4">
        <f>('Equity Price Data'!B103-'Equity Price Data'!B102)/'Equity Price Data'!B102</f>
        <v>0.006433182851</v>
      </c>
      <c r="D101" s="4">
        <f t="shared" si="3"/>
        <v>0.006234770152</v>
      </c>
      <c r="E101" s="4">
        <f>('Equity Price Data'!C103-'Equity Price Data'!C102)/'Equity Price Data'!C102</f>
        <v>0.008970269862</v>
      </c>
      <c r="F101" s="4">
        <f>('Equity Price Data'!D103-'Equity Price Data'!D102)/'Equity Price Data'!D102</f>
        <v>0.0122426679</v>
      </c>
      <c r="G101" s="4">
        <f>('Equity Price Data'!E103-'Equity Price Data'!E102)/'Equity Price Data'!E102</f>
        <v>0.008120616239</v>
      </c>
      <c r="H101" s="4">
        <f>('Equity Price Data'!F103-'Equity Price Data'!F102)/'Equity Price Data'!F102</f>
        <v>0.01497603376</v>
      </c>
      <c r="L101" s="1"/>
      <c r="M101" s="1"/>
      <c r="N101" s="1"/>
      <c r="O101" s="1"/>
    </row>
    <row r="102">
      <c r="A102" s="43">
        <f>Sheet11!A102</f>
        <v>45572.66667</v>
      </c>
      <c r="B102" s="44">
        <f t="shared" si="2"/>
        <v>45596</v>
      </c>
      <c r="C102" s="4">
        <f>('Equity Price Data'!B104-'Equity Price Data'!B103)/'Equity Price Data'!B103</f>
        <v>-0.00909780656</v>
      </c>
      <c r="D102" s="4">
        <f t="shared" si="3"/>
        <v>-0.009296219258</v>
      </c>
      <c r="E102" s="4">
        <f>('Equity Price Data'!C104-'Equity Price Data'!C103)/'Equity Price Data'!C103</f>
        <v>-0.00958604225</v>
      </c>
      <c r="F102" s="4">
        <f>('Equity Price Data'!D104-'Equity Price Data'!D103)/'Equity Price Data'!D103</f>
        <v>-0.01179577513</v>
      </c>
      <c r="G102" s="4">
        <f>('Equity Price Data'!E104-'Equity Price Data'!E103)/'Equity Price Data'!E103</f>
        <v>-0.009409306361</v>
      </c>
      <c r="H102" s="4">
        <f>('Equity Price Data'!F104-'Equity Price Data'!F103)/'Equity Price Data'!F103</f>
        <v>-0.008907266811</v>
      </c>
      <c r="L102" s="1"/>
      <c r="M102" s="1"/>
      <c r="N102" s="1"/>
      <c r="O102" s="1"/>
    </row>
    <row r="103">
      <c r="A103" s="43">
        <f>Sheet11!A103</f>
        <v>45573.66667</v>
      </c>
      <c r="B103" s="44">
        <f t="shared" si="2"/>
        <v>45596</v>
      </c>
      <c r="C103" s="4">
        <f>('Equity Price Data'!B105-'Equity Price Data'!B104)/'Equity Price Data'!B104</f>
        <v>0.005238208394</v>
      </c>
      <c r="D103" s="4">
        <f t="shared" si="3"/>
        <v>0.005039795695</v>
      </c>
      <c r="E103" s="4">
        <f>('Equity Price Data'!C105-'Equity Price Data'!C104)/'Equity Price Data'!C104</f>
        <v>0.009689357683</v>
      </c>
      <c r="F103" s="4">
        <f>('Equity Price Data'!D105-'Equity Price Data'!D104)/'Equity Price Data'!D104</f>
        <v>0.01445109602</v>
      </c>
      <c r="G103" s="4">
        <f>('Equity Price Data'!E105-'Equity Price Data'!E104)/'Equity Price Data'!E104</f>
        <v>0.003006370751</v>
      </c>
      <c r="H103" s="4">
        <f>('Equity Price Data'!F105-'Equity Price Data'!F104)/'Equity Price Data'!F104</f>
        <v>0.0008617977374</v>
      </c>
      <c r="L103" s="1"/>
      <c r="M103" s="1"/>
      <c r="N103" s="1"/>
      <c r="O103" s="1"/>
    </row>
    <row r="104">
      <c r="A104" s="43">
        <f>Sheet11!A104</f>
        <v>45574.66667</v>
      </c>
      <c r="B104" s="44">
        <f t="shared" si="2"/>
        <v>45596</v>
      </c>
      <c r="C104" s="4">
        <f>('Equity Price Data'!B106-'Equity Price Data'!B105)/'Equity Price Data'!B105</f>
        <v>0.006550487119</v>
      </c>
      <c r="D104" s="4">
        <f t="shared" si="3"/>
        <v>0.006352074421</v>
      </c>
      <c r="E104" s="4">
        <f>('Equity Price Data'!C106-'Equity Price Data'!C105)/'Equity Price Data'!C105</f>
        <v>0.007113384674</v>
      </c>
      <c r="F104" s="4">
        <f>('Equity Price Data'!D106-'Equity Price Data'!D105)/'Equity Price Data'!D105</f>
        <v>0.005978137725</v>
      </c>
      <c r="G104" s="4">
        <f>('Equity Price Data'!E106-'Equity Price Data'!E105)/'Equity Price Data'!E105</f>
        <v>0.01025727673</v>
      </c>
      <c r="H104" s="4">
        <f>('Equity Price Data'!F106-'Equity Price Data'!F105)/'Equity Price Data'!F105</f>
        <v>0.002555831944</v>
      </c>
      <c r="L104" s="1"/>
      <c r="M104" s="1"/>
      <c r="N104" s="1"/>
      <c r="O104" s="1"/>
    </row>
    <row r="105">
      <c r="A105" s="43">
        <f>Sheet11!A105</f>
        <v>45575.66667</v>
      </c>
      <c r="B105" s="44">
        <f t="shared" si="2"/>
        <v>45596</v>
      </c>
      <c r="C105" s="4">
        <f>('Equity Price Data'!B107-'Equity Price Data'!B106)/'Equity Price Data'!B106</f>
        <v>-0.0004472308466</v>
      </c>
      <c r="D105" s="4">
        <f t="shared" si="3"/>
        <v>-0.000645643545</v>
      </c>
      <c r="E105" s="4">
        <f>('Equity Price Data'!C107-'Equity Price Data'!C106)/'Equity Price Data'!C106</f>
        <v>-0.002070082389</v>
      </c>
      <c r="F105" s="4">
        <f>('Equity Price Data'!D107-'Equity Price Data'!D106)/'Equity Price Data'!D106</f>
        <v>-0.0005231904009</v>
      </c>
      <c r="G105" s="4">
        <f>('Equity Price Data'!E107-'Equity Price Data'!E106)/'Equity Price Data'!E106</f>
        <v>-0.00136149793</v>
      </c>
      <c r="H105" s="4">
        <f>('Equity Price Data'!F107-'Equity Price Data'!F106)/'Equity Price Data'!F106</f>
        <v>-0.005530335047</v>
      </c>
      <c r="L105" s="1"/>
      <c r="M105" s="1"/>
      <c r="N105" s="1"/>
      <c r="O105" s="1"/>
    </row>
    <row r="106">
      <c r="A106" s="43">
        <f>Sheet11!A106</f>
        <v>45576.66667</v>
      </c>
      <c r="B106" s="44">
        <f t="shared" si="2"/>
        <v>45596</v>
      </c>
      <c r="C106" s="4">
        <f>('Equity Price Data'!B108-'Equity Price Data'!B107)/'Equity Price Data'!B107</f>
        <v>0.007465169281</v>
      </c>
      <c r="D106" s="4">
        <f t="shared" si="3"/>
        <v>0.007266756582</v>
      </c>
      <c r="E106" s="4">
        <f>('Equity Price Data'!C108-'Equity Price Data'!C107)/'Equity Price Data'!C107</f>
        <v>0.006051850763</v>
      </c>
      <c r="F106" s="4">
        <f>('Equity Price Data'!D108-'Equity Price Data'!D107)/'Equity Price Data'!D107</f>
        <v>0.003330589294</v>
      </c>
      <c r="G106" s="4">
        <f>('Equity Price Data'!E108-'Equity Price Data'!E107)/'Equity Price Data'!E107</f>
        <v>0.009651360104</v>
      </c>
      <c r="H106" s="4">
        <f>('Equity Price Data'!F108-'Equity Price Data'!F107)/'Equity Price Data'!F107</f>
        <v>0.02101516162</v>
      </c>
      <c r="L106" s="1"/>
      <c r="M106" s="1"/>
      <c r="N106" s="1"/>
      <c r="O106" s="1"/>
    </row>
    <row r="107">
      <c r="A107" s="43">
        <f>Sheet11!A107</f>
        <v>45579.66667</v>
      </c>
      <c r="B107" s="44">
        <f t="shared" si="2"/>
        <v>45596</v>
      </c>
      <c r="C107" s="4">
        <f>('Equity Price Data'!B109-'Equity Price Data'!B108)/'Equity Price Data'!B108</f>
        <v>0.005564055582</v>
      </c>
      <c r="D107" s="4">
        <f t="shared" si="3"/>
        <v>0.005365642884</v>
      </c>
      <c r="E107" s="4">
        <f>('Equity Price Data'!C109-'Equity Price Data'!C108)/'Equity Price Data'!C108</f>
        <v>0.007707612858</v>
      </c>
      <c r="F107" s="4">
        <f>('Equity Price Data'!D109-'Equity Price Data'!D108)/'Equity Price Data'!D108</f>
        <v>0.008709072809</v>
      </c>
      <c r="G107" s="4">
        <f>('Equity Price Data'!E109-'Equity Price Data'!E108)/'Equity Price Data'!E108</f>
        <v>0.00469766372</v>
      </c>
      <c r="H107" s="4">
        <f>('Equity Price Data'!F109-'Equity Price Data'!F108)/'Equity Price Data'!F108</f>
        <v>0.006368571569</v>
      </c>
      <c r="L107" s="1"/>
      <c r="M107" s="1"/>
      <c r="N107" s="1"/>
      <c r="O107" s="1"/>
    </row>
    <row r="108">
      <c r="A108" s="43">
        <f>Sheet11!A108</f>
        <v>45580.66667</v>
      </c>
      <c r="B108" s="44">
        <f t="shared" si="2"/>
        <v>45596</v>
      </c>
      <c r="C108" s="4">
        <f>('Equity Price Data'!B110-'Equity Price Data'!B109)/'Equity Price Data'!B109</f>
        <v>-0.0059606027</v>
      </c>
      <c r="D108" s="4">
        <f t="shared" si="3"/>
        <v>-0.006159015398</v>
      </c>
      <c r="E108" s="4">
        <f>('Equity Price Data'!C110-'Equity Price Data'!C109)/'Equity Price Data'!C109</f>
        <v>-0.007609409797</v>
      </c>
      <c r="F108" s="4">
        <f>('Equity Price Data'!D110-'Equity Price Data'!D109)/'Equity Price Data'!D109</f>
        <v>-0.01011204317</v>
      </c>
      <c r="G108" s="4">
        <f>('Equity Price Data'!E110-'Equity Price Data'!E109)/'Equity Price Data'!E109</f>
        <v>-0.007542049013</v>
      </c>
      <c r="H108" s="4">
        <f>('Equity Price Data'!F110-'Equity Price Data'!F109)/'Equity Price Data'!F109</f>
        <v>0.0005247616337</v>
      </c>
      <c r="L108" s="1"/>
      <c r="M108" s="1"/>
      <c r="N108" s="1"/>
      <c r="O108" s="1"/>
    </row>
    <row r="109">
      <c r="A109" s="43">
        <f>Sheet11!A109</f>
        <v>45581.66667</v>
      </c>
      <c r="B109" s="44">
        <f t="shared" si="2"/>
        <v>45596</v>
      </c>
      <c r="C109" s="4">
        <f>('Equity Price Data'!B111-'Equity Price Data'!B110)/'Equity Price Data'!B110</f>
        <v>0.004649022939</v>
      </c>
      <c r="D109" s="4">
        <f t="shared" si="3"/>
        <v>0.004450610241</v>
      </c>
      <c r="E109" s="4">
        <f>('Equity Price Data'!C111-'Equity Price Data'!C110)/'Equity Price Data'!C110</f>
        <v>0.00467906852</v>
      </c>
      <c r="F109" s="4">
        <f>('Equity Price Data'!D111-'Equity Price Data'!D110)/'Equity Price Data'!D110</f>
        <v>0.002811266249</v>
      </c>
      <c r="G109" s="4">
        <f>('Equity Price Data'!E111-'Equity Price Data'!E110)/'Equity Price Data'!E110</f>
        <v>0.007891359046</v>
      </c>
      <c r="H109" s="4">
        <f>('Equity Price Data'!F111-'Equity Price Data'!F110)/'Equity Price Data'!F110</f>
        <v>0.0163835329</v>
      </c>
      <c r="L109" s="1"/>
      <c r="M109" s="1"/>
      <c r="N109" s="1"/>
      <c r="O109" s="1"/>
    </row>
    <row r="110">
      <c r="A110" s="43">
        <f>Sheet11!A110</f>
        <v>45582.66667</v>
      </c>
      <c r="B110" s="44">
        <f t="shared" si="2"/>
        <v>45596</v>
      </c>
      <c r="C110" s="4">
        <f>('Equity Price Data'!B112-'Equity Price Data'!B111)/'Equity Price Data'!B111</f>
        <v>-0.0009712380325</v>
      </c>
      <c r="D110" s="4">
        <f t="shared" si="3"/>
        <v>-0.001169650731</v>
      </c>
      <c r="E110" s="4">
        <f>('Equity Price Data'!C112-'Equity Price Data'!C111)/'Equity Price Data'!C111</f>
        <v>-0.0001711604852</v>
      </c>
      <c r="F110" s="4">
        <f>('Equity Price Data'!D112-'Equity Price Data'!D111)/'Equity Price Data'!D111</f>
        <v>0.0003555273892</v>
      </c>
      <c r="G110" s="4">
        <f>('Equity Price Data'!E112-'Equity Price Data'!E111)/'Equity Price Data'!E111</f>
        <v>0.003745557446</v>
      </c>
      <c r="H110" s="4">
        <f>('Equity Price Data'!F112-'Equity Price Data'!F111)/'Equity Price Data'!F111</f>
        <v>-0.002549547816</v>
      </c>
      <c r="L110" s="1"/>
      <c r="M110" s="1"/>
      <c r="N110" s="1"/>
      <c r="O110" s="1"/>
    </row>
    <row r="111">
      <c r="A111" s="43">
        <f>Sheet11!A111</f>
        <v>45583.66667</v>
      </c>
      <c r="B111" s="44">
        <f t="shared" si="2"/>
        <v>45596</v>
      </c>
      <c r="C111" s="4">
        <f>('Equity Price Data'!B113-'Equity Price Data'!B112)/'Equity Price Data'!B112</f>
        <v>0.002646198813</v>
      </c>
      <c r="D111" s="4">
        <f t="shared" si="3"/>
        <v>0.002447786114</v>
      </c>
      <c r="E111" s="4">
        <f>('Equity Price Data'!C113-'Equity Price Data'!C112)/'Equity Price Data'!C112</f>
        <v>0.003971603038</v>
      </c>
      <c r="F111" s="4">
        <f>('Equity Price Data'!D113-'Equity Price Data'!D112)/'Equity Price Data'!D112</f>
        <v>0.006310137202</v>
      </c>
      <c r="G111" s="4">
        <f>('Equity Price Data'!E113-'Equity Price Data'!E112)/'Equity Price Data'!E112</f>
        <v>0.000852470163</v>
      </c>
      <c r="H111" s="4">
        <f>('Equity Price Data'!F113-'Equity Price Data'!F112)/'Equity Price Data'!F112</f>
        <v>-0.002086941272</v>
      </c>
      <c r="L111" s="1"/>
      <c r="M111" s="1"/>
      <c r="N111" s="1"/>
      <c r="O111" s="1"/>
    </row>
    <row r="112">
      <c r="A112" s="43">
        <f>Sheet11!A112</f>
        <v>45586.66667</v>
      </c>
      <c r="B112" s="44">
        <f t="shared" si="2"/>
        <v>45596</v>
      </c>
      <c r="C112" s="4">
        <f>('Equity Price Data'!B114-'Equity Price Data'!B113)/'Equity Price Data'!B113</f>
        <v>-0.005865335827</v>
      </c>
      <c r="D112" s="4">
        <f t="shared" si="3"/>
        <v>-0.006063748525</v>
      </c>
      <c r="E112" s="4">
        <f>('Equity Price Data'!C114-'Equity Price Data'!C113)/'Equity Price Data'!C113</f>
        <v>-0.001822779457</v>
      </c>
      <c r="F112" s="4">
        <f>('Equity Price Data'!D114-'Equity Price Data'!D113)/'Equity Price Data'!D113</f>
        <v>0.002729109145</v>
      </c>
      <c r="G112" s="4">
        <f>('Equity Price Data'!E114-'Equity Price Data'!E113)/'Equity Price Data'!E113</f>
        <v>-0.007956158519</v>
      </c>
      <c r="H112" s="4">
        <f>('Equity Price Data'!F114-'Equity Price Data'!F113)/'Equity Price Data'!F113</f>
        <v>-0.01598355074</v>
      </c>
      <c r="L112" s="1"/>
      <c r="M112" s="1"/>
      <c r="N112" s="1"/>
      <c r="O112" s="1"/>
    </row>
    <row r="113">
      <c r="A113" s="43">
        <f>Sheet11!A113</f>
        <v>45587.66667</v>
      </c>
      <c r="B113" s="44">
        <f t="shared" si="2"/>
        <v>45596</v>
      </c>
      <c r="C113" s="4">
        <f>('Equity Price Data'!B115-'Equity Price Data'!B114)/'Equity Price Data'!B114</f>
        <v>-0.002328437367</v>
      </c>
      <c r="D113" s="4">
        <f t="shared" si="3"/>
        <v>-0.002526850066</v>
      </c>
      <c r="E113" s="4">
        <f>('Equity Price Data'!C115-'Equity Price Data'!C114)/'Equity Price Data'!C114</f>
        <v>-0.0004748905873</v>
      </c>
      <c r="F113" s="4">
        <f>('Equity Price Data'!D115-'Equity Price Data'!D114)/'Equity Price Data'!D114</f>
        <v>0.001786406803</v>
      </c>
      <c r="G113" s="4">
        <f>('Equity Price Data'!E115-'Equity Price Data'!E114)/'Equity Price Data'!E114</f>
        <v>-0.0001562951299</v>
      </c>
      <c r="H113" s="4">
        <f>('Equity Price Data'!F115-'Equity Price Data'!F114)/'Equity Price Data'!F114</f>
        <v>-0.003652258551</v>
      </c>
      <c r="L113" s="1"/>
      <c r="M113" s="1"/>
      <c r="N113" s="1"/>
      <c r="O113" s="1"/>
    </row>
    <row r="114">
      <c r="A114" s="43">
        <f>Sheet11!A114</f>
        <v>45588.66667</v>
      </c>
      <c r="B114" s="44">
        <f t="shared" si="2"/>
        <v>45596</v>
      </c>
      <c r="C114" s="4">
        <f>('Equity Price Data'!B116-'Equity Price Data'!B115)/'Equity Price Data'!B115</f>
        <v>-0.007013283767</v>
      </c>
      <c r="D114" s="4">
        <f t="shared" si="3"/>
        <v>-0.007211696465</v>
      </c>
      <c r="E114" s="4">
        <f>('Equity Price Data'!C116-'Equity Price Data'!C115)/'Equity Price Data'!C115</f>
        <v>-0.009191277003</v>
      </c>
      <c r="F114" s="4">
        <f>('Equity Price Data'!D116-'Equity Price Data'!D115)/'Equity Price Data'!D115</f>
        <v>-0.01596284525</v>
      </c>
      <c r="G114" s="4">
        <f>('Equity Price Data'!E116-'Equity Price Data'!E115)/'Equity Price Data'!E115</f>
        <v>-0.009550170076</v>
      </c>
      <c r="H114" s="4">
        <f>('Equity Price Data'!F116-'Equity Price Data'!F115)/'Equity Price Data'!F115</f>
        <v>-0.007927296519</v>
      </c>
      <c r="L114" s="1"/>
      <c r="M114" s="1"/>
      <c r="N114" s="1"/>
      <c r="O114" s="1"/>
    </row>
    <row r="115">
      <c r="A115" s="43">
        <f>Sheet11!A115</f>
        <v>45589.66667</v>
      </c>
      <c r="B115" s="44">
        <f t="shared" si="2"/>
        <v>45596</v>
      </c>
      <c r="C115" s="4">
        <f>('Equity Price Data'!B117-'Equity Price Data'!B116)/'Equity Price Data'!B116</f>
        <v>0.001270203461</v>
      </c>
      <c r="D115" s="4">
        <f t="shared" si="3"/>
        <v>0.001071790763</v>
      </c>
      <c r="E115" s="4">
        <f>('Equity Price Data'!C117-'Equity Price Data'!C116)/'Equity Price Data'!C116</f>
        <v>0.002145782089</v>
      </c>
      <c r="F115" s="4">
        <f>('Equity Price Data'!D117-'Equity Price Data'!D116)/'Equity Price Data'!D116</f>
        <v>0.007596578148</v>
      </c>
      <c r="G115" s="4">
        <f>('Equity Price Data'!E117-'Equity Price Data'!E116)/'Equity Price Data'!E116</f>
        <v>-0.003306836772</v>
      </c>
      <c r="H115" s="4">
        <f>('Equity Price Data'!F117-'Equity Price Data'!F116)/'Equity Price Data'!F116</f>
        <v>0.00229465544</v>
      </c>
      <c r="L115" s="1"/>
      <c r="M115" s="1"/>
      <c r="N115" s="1"/>
      <c r="O115" s="1"/>
    </row>
    <row r="116">
      <c r="A116" s="43">
        <f>Sheet11!A116</f>
        <v>45590.66667</v>
      </c>
      <c r="B116" s="44">
        <f t="shared" si="2"/>
        <v>45596</v>
      </c>
      <c r="C116" s="4">
        <f>('Equity Price Data'!B118-'Equity Price Data'!B117)/'Equity Price Data'!B117</f>
        <v>-0.02118394183</v>
      </c>
      <c r="D116" s="4">
        <f t="shared" si="3"/>
        <v>-0.02138235453</v>
      </c>
      <c r="E116" s="4">
        <f>('Equity Price Data'!C118-'Equity Price Data'!C117)/'Equity Price Data'!C117</f>
        <v>-0.0002994908655</v>
      </c>
      <c r="F116" s="4">
        <f>('Equity Price Data'!D118-'Equity Price Data'!D117)/'Equity Price Data'!D117</f>
        <v>0.005599633787</v>
      </c>
      <c r="G116" s="4">
        <f>('Equity Price Data'!E118-'Equity Price Data'!E117)/'Equity Price Data'!E117</f>
        <v>-0.006134841919</v>
      </c>
      <c r="H116" s="4">
        <f>('Equity Price Data'!F118-'Equity Price Data'!F117)/'Equity Price Data'!F117</f>
        <v>-0.004925819768</v>
      </c>
      <c r="L116" s="1"/>
      <c r="M116" s="1"/>
      <c r="N116" s="1"/>
      <c r="O116" s="1"/>
    </row>
    <row r="117">
      <c r="A117" s="43">
        <f>Sheet11!A117</f>
        <v>45593.66667</v>
      </c>
      <c r="B117" s="44">
        <f t="shared" si="2"/>
        <v>45596</v>
      </c>
      <c r="C117" s="4">
        <f>('Equity Price Data'!B119-'Equity Price Data'!B118)/'Equity Price Data'!B118</f>
        <v>0.005850974616</v>
      </c>
      <c r="D117" s="4">
        <f t="shared" si="3"/>
        <v>0.005652561918</v>
      </c>
      <c r="E117" s="4">
        <f>('Equity Price Data'!C119-'Equity Price Data'!C118)/'Equity Price Data'!C118</f>
        <v>0.002651460369</v>
      </c>
      <c r="F117" s="4">
        <f>('Equity Price Data'!D119-'Equity Price Data'!D118)/'Equity Price Data'!D118</f>
        <v>0.002623307041</v>
      </c>
      <c r="G117" s="4">
        <f>('Equity Price Data'!E119-'Equity Price Data'!E118)/'Equity Price Data'!E118</f>
        <v>0.006486379956</v>
      </c>
      <c r="H117" s="4">
        <f>('Equity Price Data'!F119-'Equity Price Data'!F118)/'Equity Price Data'!F118</f>
        <v>0.01634065372</v>
      </c>
      <c r="L117" s="1"/>
      <c r="M117" s="1"/>
      <c r="N117" s="1"/>
      <c r="O117" s="1"/>
    </row>
    <row r="118">
      <c r="A118" s="43">
        <f>Sheet11!A118</f>
        <v>45594.66667</v>
      </c>
      <c r="B118" s="44">
        <f t="shared" si="2"/>
        <v>45596</v>
      </c>
      <c r="C118" s="4">
        <f>('Equity Price Data'!B120-'Equity Price Data'!B119)/'Equity Price Data'!B119</f>
        <v>-0.01535941127</v>
      </c>
      <c r="D118" s="4">
        <f t="shared" si="3"/>
        <v>-0.01555782397</v>
      </c>
      <c r="E118" s="4">
        <f>('Equity Price Data'!C120-'Equity Price Data'!C119)/'Equity Price Data'!C119</f>
        <v>0.001614144023</v>
      </c>
      <c r="F118" s="4">
        <f>('Equity Price Data'!D120-'Equity Price Data'!D119)/'Equity Price Data'!D119</f>
        <v>0.0078396354</v>
      </c>
      <c r="G118" s="4">
        <f>('Equity Price Data'!E120-'Equity Price Data'!E119)/'Equity Price Data'!E119</f>
        <v>-0.003645408312</v>
      </c>
      <c r="H118" s="4">
        <f>('Equity Price Data'!F120-'Equity Price Data'!F119)/'Equity Price Data'!F119</f>
        <v>-0.002664801009</v>
      </c>
      <c r="L118" s="1"/>
      <c r="M118" s="1"/>
      <c r="N118" s="1"/>
      <c r="O118" s="1"/>
    </row>
    <row r="119">
      <c r="A119" s="43">
        <f>Sheet11!A119</f>
        <v>45595.66667</v>
      </c>
      <c r="B119" s="44">
        <f t="shared" si="2"/>
        <v>45596</v>
      </c>
      <c r="C119" s="4">
        <f>('Equity Price Data'!B121-'Equity Price Data'!B120)/'Equity Price Data'!B120</f>
        <v>-0.004469480615</v>
      </c>
      <c r="D119" s="4">
        <f t="shared" si="3"/>
        <v>-0.004667893313</v>
      </c>
      <c r="E119" s="4">
        <f>('Equity Price Data'!C121-'Equity Price Data'!C120)/'Equity Price Data'!C120</f>
        <v>-0.003300233845</v>
      </c>
      <c r="F119" s="4">
        <f>('Equity Price Data'!D121-'Equity Price Data'!D120)/'Equity Price Data'!D120</f>
        <v>-0.00560152837</v>
      </c>
      <c r="G119" s="4">
        <f>('Equity Price Data'!E121-'Equity Price Data'!E120)/'Equity Price Data'!E120</f>
        <v>-0.002166786439</v>
      </c>
      <c r="H119" s="4">
        <f>('Equity Price Data'!F121-'Equity Price Data'!F120)/'Equity Price Data'!F120</f>
        <v>-0.00225638826</v>
      </c>
      <c r="L119" s="1"/>
      <c r="M119" s="1"/>
      <c r="N119" s="1"/>
      <c r="O119" s="1"/>
    </row>
    <row r="120">
      <c r="A120" s="43">
        <f>Sheet11!A120</f>
        <v>45596.66667</v>
      </c>
      <c r="B120" s="44">
        <f t="shared" si="2"/>
        <v>45596</v>
      </c>
      <c r="C120" s="4">
        <f>('Equity Price Data'!B122-'Equity Price Data'!B121)/'Equity Price Data'!B121</f>
        <v>-0.01282002975</v>
      </c>
      <c r="D120" s="4">
        <f t="shared" si="3"/>
        <v>-0.01301844245</v>
      </c>
      <c r="E120" s="4">
        <f>('Equity Price Data'!C122-'Equity Price Data'!C121)/'Equity Price Data'!C121</f>
        <v>-0.01861474766</v>
      </c>
      <c r="F120" s="4">
        <f>('Equity Price Data'!D122-'Equity Price Data'!D121)/'Equity Price Data'!D121</f>
        <v>-0.02755706841</v>
      </c>
      <c r="G120" s="4">
        <f>('Equity Price Data'!E122-'Equity Price Data'!E121)/'Equity Price Data'!E121</f>
        <v>-0.008971670233</v>
      </c>
      <c r="H120" s="4">
        <f>('Equity Price Data'!F122-'Equity Price Data'!F121)/'Equity Price Data'!F121</f>
        <v>-0.01629617024</v>
      </c>
      <c r="L120" s="1"/>
      <c r="M120" s="1"/>
      <c r="N120" s="1"/>
      <c r="O120" s="1"/>
    </row>
    <row r="121">
      <c r="A121" s="43">
        <f>Sheet11!A121</f>
        <v>45597.66667</v>
      </c>
      <c r="B121" s="44">
        <f t="shared" si="2"/>
        <v>45626</v>
      </c>
      <c r="C121" s="4">
        <f>('Equity Price Data'!B123-'Equity Price Data'!B122)/'Equity Price Data'!B122</f>
        <v>0.003912260351</v>
      </c>
      <c r="D121" s="4">
        <f t="shared" si="3"/>
        <v>0.003713847653</v>
      </c>
      <c r="E121" s="4">
        <f>('Equity Price Data'!C123-'Equity Price Data'!C122)/'Equity Price Data'!C122</f>
        <v>0.004092578149</v>
      </c>
      <c r="F121" s="4">
        <f>('Equity Price Data'!D123-'Equity Price Data'!D122)/'Equity Price Data'!D122</f>
        <v>0.008000486318</v>
      </c>
      <c r="G121" s="4">
        <f>('Equity Price Data'!E123-'Equity Price Data'!E122)/'Equity Price Data'!E122</f>
        <v>0.006913459756</v>
      </c>
      <c r="H121" s="4">
        <f>('Equity Price Data'!F123-'Equity Price Data'!F122)/'Equity Price Data'!F122</f>
        <v>0.006136617122</v>
      </c>
      <c r="L121" s="1"/>
      <c r="M121" s="1"/>
      <c r="N121" s="1"/>
      <c r="O121" s="1"/>
    </row>
    <row r="122">
      <c r="A122" s="43">
        <f>Sheet11!A122</f>
        <v>45600.66667</v>
      </c>
      <c r="B122" s="44">
        <f t="shared" si="2"/>
        <v>45626</v>
      </c>
      <c r="C122" s="4">
        <f>('Equity Price Data'!B124-'Equity Price Data'!B123)/'Equity Price Data'!B123</f>
        <v>-0.00418674515</v>
      </c>
      <c r="D122" s="4">
        <f t="shared" si="3"/>
        <v>-0.004385157849</v>
      </c>
      <c r="E122" s="4">
        <f>('Equity Price Data'!C124-'Equity Price Data'!C123)/'Equity Price Data'!C123</f>
        <v>-0.002812107248</v>
      </c>
      <c r="F122" s="4">
        <f>('Equity Price Data'!D124-'Equity Price Data'!D123)/'Equity Price Data'!D123</f>
        <v>-0.003286198624</v>
      </c>
      <c r="G122" s="4">
        <f>('Equity Price Data'!E124-'Equity Price Data'!E123)/'Equity Price Data'!E123</f>
        <v>-0.006125483596</v>
      </c>
      <c r="H122" s="4">
        <f>('Equity Price Data'!F124-'Equity Price Data'!F123)/'Equity Price Data'!F123</f>
        <v>0.004026912444</v>
      </c>
      <c r="L122" s="1"/>
      <c r="M122" s="1"/>
      <c r="N122" s="1"/>
      <c r="O122" s="1"/>
    </row>
    <row r="123">
      <c r="A123" s="43">
        <f>Sheet11!A123</f>
        <v>45601.66667</v>
      </c>
      <c r="B123" s="44">
        <f t="shared" si="2"/>
        <v>45626</v>
      </c>
      <c r="C123" s="4">
        <f>('Equity Price Data'!B125-'Equity Price Data'!B124)/'Equity Price Data'!B124</f>
        <v>0.0118458266</v>
      </c>
      <c r="D123" s="4">
        <f t="shared" si="3"/>
        <v>0.0116474139</v>
      </c>
      <c r="E123" s="4">
        <f>('Equity Price Data'!C125-'Equity Price Data'!C124)/'Equity Price Data'!C124</f>
        <v>0.01226567519</v>
      </c>
      <c r="F123" s="4">
        <f>('Equity Price Data'!D125-'Equity Price Data'!D124)/'Equity Price Data'!D124</f>
        <v>0.01425689137</v>
      </c>
      <c r="G123" s="4">
        <f>('Equity Price Data'!E125-'Equity Price Data'!E124)/'Equity Price Data'!E124</f>
        <v>0.01022333029</v>
      </c>
      <c r="H123" s="4">
        <f>('Equity Price Data'!F125-'Equity Price Data'!F124)/'Equity Price Data'!F124</f>
        <v>0.01884156591</v>
      </c>
      <c r="L123" s="1"/>
      <c r="M123" s="1"/>
      <c r="N123" s="1"/>
      <c r="O123" s="1"/>
    </row>
    <row r="124">
      <c r="A124" s="43">
        <f>Sheet11!A124</f>
        <v>45602.66667</v>
      </c>
      <c r="B124" s="44">
        <f t="shared" si="2"/>
        <v>45626</v>
      </c>
      <c r="C124" s="4">
        <f>('Equity Price Data'!B126-'Equity Price Data'!B125)/'Equity Price Data'!B125</f>
        <v>0.0250232916</v>
      </c>
      <c r="D124" s="4">
        <f t="shared" si="3"/>
        <v>0.0248248789</v>
      </c>
      <c r="E124" s="4">
        <f>('Equity Price Data'!C126-'Equity Price Data'!C125)/'Equity Price Data'!C125</f>
        <v>0.02529587948</v>
      </c>
      <c r="F124" s="4">
        <f>('Equity Price Data'!D126-'Equity Price Data'!D125)/'Equity Price Data'!D125</f>
        <v>0.02951868224</v>
      </c>
      <c r="G124" s="4">
        <f>('Equity Price Data'!E126-'Equity Price Data'!E125)/'Equity Price Data'!E125</f>
        <v>0.03571726318</v>
      </c>
      <c r="H124" s="4">
        <f>('Equity Price Data'!F126-'Equity Price Data'!F125)/'Equity Price Data'!F125</f>
        <v>0.05842076396</v>
      </c>
      <c r="L124" s="1"/>
      <c r="M124" s="1"/>
      <c r="N124" s="1"/>
      <c r="O124" s="1"/>
    </row>
    <row r="125">
      <c r="A125" s="43">
        <f>Sheet11!A125</f>
        <v>45603.66667</v>
      </c>
      <c r="B125" s="44">
        <f t="shared" si="2"/>
        <v>45626</v>
      </c>
      <c r="C125" s="4">
        <f>('Equity Price Data'!B127-'Equity Price Data'!B126)/'Equity Price Data'!B126</f>
        <v>0.002322749722</v>
      </c>
      <c r="D125" s="4">
        <f t="shared" si="3"/>
        <v>0.002124337023</v>
      </c>
      <c r="E125" s="4">
        <f>('Equity Price Data'!C127-'Equity Price Data'!C126)/'Equity Price Data'!C126</f>
        <v>0.007431219894</v>
      </c>
      <c r="F125" s="4">
        <f>('Equity Price Data'!D127-'Equity Price Data'!D126)/'Equity Price Data'!D126</f>
        <v>0.015065212</v>
      </c>
      <c r="G125" s="4">
        <f>('Equity Price Data'!E127-'Equity Price Data'!E126)/'Equity Price Data'!E126</f>
        <v>-0.0000134919036</v>
      </c>
      <c r="H125" s="4">
        <f>('Equity Price Data'!F127-'Equity Price Data'!F126)/'Equity Price Data'!F126</f>
        <v>-0.004275111579</v>
      </c>
      <c r="L125" s="1"/>
      <c r="M125" s="1"/>
      <c r="N125" s="1"/>
      <c r="O125" s="1"/>
    </row>
    <row r="126">
      <c r="A126" s="43">
        <f>Sheet11!A126</f>
        <v>45604.66667</v>
      </c>
      <c r="B126" s="44">
        <f t="shared" si="2"/>
        <v>45626</v>
      </c>
      <c r="C126" s="4">
        <f>('Equity Price Data'!B128-'Equity Price Data'!B127)/'Equity Price Data'!B127</f>
        <v>0.0002942916242</v>
      </c>
      <c r="D126" s="4">
        <f t="shared" si="3"/>
        <v>0.00009587892579</v>
      </c>
      <c r="E126" s="4">
        <f>('Equity Price Data'!C128-'Equity Price Data'!C127)/'Equity Price Data'!C127</f>
        <v>0.00375684318</v>
      </c>
      <c r="F126" s="4">
        <f>('Equity Price Data'!D128-'Equity Price Data'!D127)/'Equity Price Data'!D127</f>
        <v>0.0008988316227</v>
      </c>
      <c r="G126" s="4">
        <f>('Equity Price Data'!E128-'Equity Price Data'!E127)/'Equity Price Data'!E127</f>
        <v>0.005937661076</v>
      </c>
      <c r="H126" s="4">
        <f>('Equity Price Data'!F128-'Equity Price Data'!F127)/'Equity Price Data'!F127</f>
        <v>0.007113808343</v>
      </c>
      <c r="L126" s="1"/>
      <c r="M126" s="1"/>
      <c r="N126" s="1"/>
      <c r="O126" s="1"/>
    </row>
    <row r="127">
      <c r="A127" s="43">
        <f>Sheet11!A127</f>
        <v>45607.66667</v>
      </c>
      <c r="B127" s="44">
        <f t="shared" si="2"/>
        <v>45626</v>
      </c>
      <c r="C127" s="4">
        <f>('Equity Price Data'!B129-'Equity Price Data'!B128)/'Equity Price Data'!B128</f>
        <v>0.006577574544</v>
      </c>
      <c r="D127" s="4">
        <f t="shared" si="3"/>
        <v>0.006379161845</v>
      </c>
      <c r="E127" s="4">
        <f>('Equity Price Data'!C129-'Equity Price Data'!C128)/'Equity Price Data'!C128</f>
        <v>0.0009690536632</v>
      </c>
      <c r="F127" s="4">
        <f>('Equity Price Data'!D129-'Equity Price Data'!D128)/'Equity Price Data'!D128</f>
        <v>0.0006211508608</v>
      </c>
      <c r="G127" s="4">
        <f>('Equity Price Data'!E129-'Equity Price Data'!E128)/'Equity Price Data'!E128</f>
        <v>0.006914002799</v>
      </c>
      <c r="H127" s="4">
        <f>('Equity Price Data'!F129-'Equity Price Data'!F128)/'Equity Price Data'!F128</f>
        <v>0.01472720908</v>
      </c>
      <c r="L127" s="1"/>
      <c r="M127" s="1"/>
      <c r="N127" s="1"/>
      <c r="O127" s="1"/>
    </row>
    <row r="128">
      <c r="A128" s="43">
        <f>Sheet11!A128</f>
        <v>45608.66667</v>
      </c>
      <c r="B128" s="44">
        <f t="shared" si="2"/>
        <v>45626</v>
      </c>
      <c r="C128" s="4">
        <f>('Equity Price Data'!B130-'Equity Price Data'!B129)/'Equity Price Data'!B129</f>
        <v>-0.00324279715</v>
      </c>
      <c r="D128" s="4">
        <f t="shared" si="3"/>
        <v>-0.003441209849</v>
      </c>
      <c r="E128" s="4">
        <f>('Equity Price Data'!C130-'Equity Price Data'!C129)/'Equity Price Data'!C129</f>
        <v>-0.00289268248</v>
      </c>
      <c r="F128" s="4">
        <f>('Equity Price Data'!D130-'Equity Price Data'!D129)/'Equity Price Data'!D129</f>
        <v>-0.0008995396595</v>
      </c>
      <c r="G128" s="4">
        <f>('Equity Price Data'!E130-'Equity Price Data'!E129)/'Equity Price Data'!E129</f>
        <v>-0.008627748818</v>
      </c>
      <c r="H128" s="4">
        <f>('Equity Price Data'!F130-'Equity Price Data'!F129)/'Equity Price Data'!F129</f>
        <v>-0.01771267115</v>
      </c>
      <c r="L128" s="1"/>
      <c r="M128" s="1"/>
      <c r="N128" s="1"/>
      <c r="O128" s="1"/>
    </row>
    <row r="129">
      <c r="A129" s="43">
        <f>Sheet11!A129</f>
        <v>45609.66667</v>
      </c>
      <c r="B129" s="44">
        <f t="shared" si="2"/>
        <v>45626</v>
      </c>
      <c r="C129" s="4">
        <f>('Equity Price Data'!B131-'Equity Price Data'!B130)/'Equity Price Data'!B130</f>
        <v>0.0008784558765</v>
      </c>
      <c r="D129" s="4">
        <f t="shared" si="3"/>
        <v>0.0006800431781</v>
      </c>
      <c r="E129" s="4">
        <f>('Equity Price Data'!C131-'Equity Price Data'!C130)/'Equity Price Data'!C130</f>
        <v>0.0002322864844</v>
      </c>
      <c r="F129" s="4">
        <f>('Equity Price Data'!D131-'Equity Price Data'!D130)/'Equity Price Data'!D130</f>
        <v>-0.002628439844</v>
      </c>
      <c r="G129" s="4">
        <f>('Equity Price Data'!E131-'Equity Price Data'!E130)/'Equity Price Data'!E130</f>
        <v>0.001075129728</v>
      </c>
      <c r="H129" s="4">
        <f>('Equity Price Data'!F131-'Equity Price Data'!F130)/'Equity Price Data'!F130</f>
        <v>-0.009398582687</v>
      </c>
      <c r="L129" s="1"/>
      <c r="M129" s="1"/>
      <c r="N129" s="1"/>
      <c r="O129" s="1"/>
    </row>
    <row r="130">
      <c r="A130" s="43">
        <f>Sheet11!A130</f>
        <v>45610.66667</v>
      </c>
      <c r="B130" s="44">
        <f t="shared" si="2"/>
        <v>45626</v>
      </c>
      <c r="C130" s="4">
        <f>('Equity Price Data'!B132-'Equity Price Data'!B131)/'Equity Price Data'!B131</f>
        <v>0.03185458024</v>
      </c>
      <c r="D130" s="4">
        <f t="shared" si="3"/>
        <v>0.03165616754</v>
      </c>
      <c r="E130" s="4">
        <f>('Equity Price Data'!C132-'Equity Price Data'!C131)/'Equity Price Data'!C131</f>
        <v>-0.006049741203</v>
      </c>
      <c r="F130" s="4">
        <f>('Equity Price Data'!D132-'Equity Price Data'!D131)/'Equity Price Data'!D131</f>
        <v>-0.006399656383</v>
      </c>
      <c r="G130" s="4">
        <f>('Equity Price Data'!E132-'Equity Price Data'!E131)/'Equity Price Data'!E131</f>
        <v>-0.004716527227</v>
      </c>
      <c r="H130" s="4">
        <f>('Equity Price Data'!F132-'Equity Price Data'!F131)/'Equity Price Data'!F131</f>
        <v>-0.01368718267</v>
      </c>
      <c r="L130" s="1"/>
      <c r="M130" s="1"/>
      <c r="N130" s="1"/>
      <c r="O130" s="1"/>
    </row>
    <row r="131">
      <c r="A131" s="43">
        <f>Sheet11!A131</f>
        <v>45611.66667</v>
      </c>
      <c r="B131" s="44">
        <f t="shared" si="2"/>
        <v>45626</v>
      </c>
      <c r="C131" s="4">
        <f>('Equity Price Data'!B133-'Equity Price Data'!B132)/'Equity Price Data'!B132</f>
        <v>-0.01837652242</v>
      </c>
      <c r="D131" s="4">
        <f t="shared" si="3"/>
        <v>-0.01857493512</v>
      </c>
      <c r="E131" s="4">
        <f>('Equity Price Data'!C133-'Equity Price Data'!C132)/'Equity Price Data'!C132</f>
        <v>-0.01320352251</v>
      </c>
      <c r="F131" s="4">
        <f>('Equity Price Data'!D133-'Equity Price Data'!D132)/'Equity Price Data'!D132</f>
        <v>-0.022374808</v>
      </c>
      <c r="G131" s="4">
        <f>('Equity Price Data'!E133-'Equity Price Data'!E132)/'Equity Price Data'!E132</f>
        <v>-0.006991176859</v>
      </c>
      <c r="H131" s="4">
        <f>('Equity Price Data'!F133-'Equity Price Data'!F132)/'Equity Price Data'!F132</f>
        <v>-0.01416382107</v>
      </c>
      <c r="L131" s="1"/>
      <c r="M131" s="1"/>
      <c r="N131" s="1"/>
      <c r="O131" s="1"/>
    </row>
    <row r="132">
      <c r="A132" s="43">
        <f>Sheet11!A132</f>
        <v>45614.66667</v>
      </c>
      <c r="B132" s="44">
        <f t="shared" si="2"/>
        <v>45626</v>
      </c>
      <c r="C132" s="4">
        <f>('Equity Price Data'!B134-'Equity Price Data'!B133)/'Equity Price Data'!B133</f>
        <v>-0.0004981996968</v>
      </c>
      <c r="D132" s="4">
        <f t="shared" si="3"/>
        <v>-0.0006966123952</v>
      </c>
      <c r="E132" s="4">
        <f>('Equity Price Data'!C134-'Equity Price Data'!C133)/'Equity Price Data'!C133</f>
        <v>0.003917814473</v>
      </c>
      <c r="F132" s="4">
        <f>('Equity Price Data'!D134-'Equity Price Data'!D133)/'Equity Price Data'!D133</f>
        <v>0.005979083646</v>
      </c>
      <c r="G132" s="4">
        <f>('Equity Price Data'!E134-'Equity Price Data'!E133)/'Equity Price Data'!E133</f>
        <v>-0.001274945627</v>
      </c>
      <c r="H132" s="4">
        <f>('Equity Price Data'!F134-'Equity Price Data'!F133)/'Equity Price Data'!F133</f>
        <v>0.001085144802</v>
      </c>
      <c r="L132" s="1"/>
      <c r="M132" s="1"/>
      <c r="N132" s="1"/>
      <c r="O132" s="1"/>
    </row>
    <row r="133">
      <c r="A133" s="43">
        <f>Sheet11!A133</f>
        <v>45615.66667</v>
      </c>
      <c r="B133" s="44">
        <f t="shared" si="2"/>
        <v>45626</v>
      </c>
      <c r="C133" s="4">
        <f>('Equity Price Data'!B135-'Equity Price Data'!B134)/'Equity Price Data'!B134</f>
        <v>-0.0007592103201</v>
      </c>
      <c r="D133" s="4">
        <f t="shared" si="3"/>
        <v>-0.0009576230185</v>
      </c>
      <c r="E133" s="4">
        <f>('Equity Price Data'!C135-'Equity Price Data'!C134)/'Equity Price Data'!C134</f>
        <v>0.003963608105</v>
      </c>
      <c r="F133" s="4">
        <f>('Equity Price Data'!D135-'Equity Price Data'!D134)/'Equity Price Data'!D134</f>
        <v>0.01041198267</v>
      </c>
      <c r="G133" s="4">
        <f>('Equity Price Data'!E135-'Equity Price Data'!E134)/'Equity Price Data'!E134</f>
        <v>-0.002780850711</v>
      </c>
      <c r="H133" s="4">
        <f>('Equity Price Data'!F135-'Equity Price Data'!F134)/'Equity Price Data'!F134</f>
        <v>0.008017031314</v>
      </c>
      <c r="L133" s="1"/>
      <c r="M133" s="1"/>
      <c r="N133" s="1"/>
      <c r="O133" s="1"/>
    </row>
    <row r="134">
      <c r="A134" s="43">
        <f>Sheet11!A134</f>
        <v>45616.66667</v>
      </c>
      <c r="B134" s="44">
        <f t="shared" si="2"/>
        <v>45626</v>
      </c>
      <c r="C134" s="4">
        <f>('Equity Price Data'!B136-'Equity Price Data'!B135)/'Equity Price Data'!B135</f>
        <v>-0.0003456682362</v>
      </c>
      <c r="D134" s="4">
        <f t="shared" si="3"/>
        <v>-0.0005440809346</v>
      </c>
      <c r="E134" s="4">
        <f>('Equity Price Data'!C136-'Equity Price Data'!C135)/'Equity Price Data'!C135</f>
        <v>0.00002197066747</v>
      </c>
      <c r="F134" s="4">
        <f>('Equity Price Data'!D136-'Equity Price Data'!D135)/'Equity Price Data'!D135</f>
        <v>-0.001123372413</v>
      </c>
      <c r="G134" s="4">
        <f>('Equity Price Data'!E136-'Equity Price Data'!E135)/'Equity Price Data'!E135</f>
        <v>0.003224715003</v>
      </c>
      <c r="H134" s="4">
        <f>('Equity Price Data'!F136-'Equity Price Data'!F135)/'Equity Price Data'!F135</f>
        <v>0.0003010972845</v>
      </c>
      <c r="L134" s="1"/>
      <c r="M134" s="1"/>
      <c r="N134" s="1"/>
      <c r="O134" s="1"/>
    </row>
    <row r="135">
      <c r="A135" s="43">
        <f>Sheet11!A135</f>
        <v>45617.66667</v>
      </c>
      <c r="B135" s="44">
        <f t="shared" si="2"/>
        <v>45626</v>
      </c>
      <c r="C135" s="4">
        <f>('Equity Price Data'!B137-'Equity Price Data'!B136)/'Equity Price Data'!B136</f>
        <v>0.009668629029</v>
      </c>
      <c r="D135" s="4">
        <f t="shared" si="3"/>
        <v>0.00947021633</v>
      </c>
      <c r="E135" s="4">
        <f>('Equity Price Data'!C137-'Equity Price Data'!C136)/'Equity Price Data'!C136</f>
        <v>0.005340444913</v>
      </c>
      <c r="F135" s="4">
        <f>('Equity Price Data'!D137-'Equity Price Data'!D136)/'Equity Price Data'!D136</f>
        <v>0.0003311164001</v>
      </c>
      <c r="G135" s="4">
        <f>('Equity Price Data'!E137-'Equity Price Data'!E136)/'Equity Price Data'!E136</f>
        <v>0.01064031973</v>
      </c>
      <c r="H135" s="4">
        <f>('Equity Price Data'!F137-'Equity Price Data'!F136)/'Equity Price Data'!F136</f>
        <v>0.01655106578</v>
      </c>
      <c r="L135" s="1"/>
      <c r="M135" s="1"/>
      <c r="N135" s="1"/>
      <c r="O135" s="1"/>
    </row>
    <row r="136">
      <c r="A136" s="43">
        <f>Sheet11!A136</f>
        <v>45618.66667</v>
      </c>
      <c r="B136" s="44">
        <f t="shared" si="2"/>
        <v>45626</v>
      </c>
      <c r="C136" s="4">
        <f>('Equity Price Data'!B138-'Equity Price Data'!B137)/'Equity Price Data'!B137</f>
        <v>0.005261037898</v>
      </c>
      <c r="D136" s="4">
        <f t="shared" si="3"/>
        <v>0.005062625199</v>
      </c>
      <c r="E136" s="4">
        <f>('Equity Price Data'!C138-'Equity Price Data'!C137)/'Equity Price Data'!C137</f>
        <v>0.003467978772</v>
      </c>
      <c r="F136" s="4">
        <f>('Equity Price Data'!D138-'Equity Price Data'!D137)/'Equity Price Data'!D137</f>
        <v>0.001646073616</v>
      </c>
      <c r="G136" s="4">
        <f>('Equity Price Data'!E138-'Equity Price Data'!E137)/'Equity Price Data'!E137</f>
        <v>0.009714077959</v>
      </c>
      <c r="H136" s="4">
        <f>('Equity Price Data'!F138-'Equity Price Data'!F137)/'Equity Price Data'!F137</f>
        <v>0.01804130253</v>
      </c>
      <c r="L136" s="1"/>
      <c r="M136" s="1"/>
      <c r="N136" s="1"/>
      <c r="O136" s="1"/>
    </row>
    <row r="137">
      <c r="A137" s="43">
        <f>Sheet11!A137</f>
        <v>45621.66667</v>
      </c>
      <c r="B137" s="44">
        <f t="shared" si="2"/>
        <v>45626</v>
      </c>
      <c r="C137" s="4">
        <f>('Equity Price Data'!B139-'Equity Price Data'!B138)/'Equity Price Data'!B138</f>
        <v>0.005749553402</v>
      </c>
      <c r="D137" s="4">
        <f t="shared" si="3"/>
        <v>0.005551140704</v>
      </c>
      <c r="E137" s="4">
        <f>('Equity Price Data'!C139-'Equity Price Data'!C138)/'Equity Price Data'!C138</f>
        <v>0.00302043442</v>
      </c>
      <c r="F137" s="4">
        <f>('Equity Price Data'!D139-'Equity Price Data'!D138)/'Equity Price Data'!D138</f>
        <v>0.002693693054</v>
      </c>
      <c r="G137" s="4">
        <f>('Equity Price Data'!E139-'Equity Price Data'!E138)/'Equity Price Data'!E138</f>
        <v>0.009934416955</v>
      </c>
      <c r="H137" s="4">
        <f>('Equity Price Data'!F139-'Equity Price Data'!F138)/'Equity Price Data'!F138</f>
        <v>0.01469250043</v>
      </c>
      <c r="L137" s="1"/>
      <c r="M137" s="1"/>
      <c r="N137" s="1"/>
      <c r="O137" s="1"/>
    </row>
    <row r="138">
      <c r="A138" s="43">
        <f>Sheet11!A138</f>
        <v>45622.66667</v>
      </c>
      <c r="B138" s="44">
        <f t="shared" si="2"/>
        <v>45626</v>
      </c>
      <c r="C138" s="4">
        <f>('Equity Price Data'!B140-'Equity Price Data'!B139)/'Equity Price Data'!B139</f>
        <v>0.002909886082</v>
      </c>
      <c r="D138" s="4">
        <f t="shared" si="3"/>
        <v>0.002711473384</v>
      </c>
      <c r="E138" s="4">
        <f>('Equity Price Data'!C140-'Equity Price Data'!C139)/'Equity Price Data'!C139</f>
        <v>0.005722044905</v>
      </c>
      <c r="F138" s="4">
        <f>('Equity Price Data'!D140-'Equity Price Data'!D139)/'Equity Price Data'!D139</f>
        <v>0.006336447853</v>
      </c>
      <c r="G138" s="4">
        <f>('Equity Price Data'!E140-'Equity Price Data'!E139)/'Equity Price Data'!E139</f>
        <v>0.002765969765</v>
      </c>
      <c r="H138" s="4">
        <f>('Equity Price Data'!F140-'Equity Price Data'!F139)/'Equity Price Data'!F139</f>
        <v>-0.007256258113</v>
      </c>
      <c r="L138" s="1"/>
      <c r="M138" s="1"/>
      <c r="N138" s="1"/>
      <c r="O138" s="1"/>
    </row>
    <row r="139">
      <c r="A139" s="43">
        <f>Sheet11!A139</f>
        <v>45623.66667</v>
      </c>
      <c r="B139" s="44">
        <f t="shared" si="2"/>
        <v>45626</v>
      </c>
      <c r="C139" s="4">
        <f>('Equity Price Data'!B141-'Equity Price Data'!B140)/'Equity Price Data'!B140</f>
        <v>0.001429389527</v>
      </c>
      <c r="D139" s="4">
        <f t="shared" si="3"/>
        <v>0.001230976829</v>
      </c>
      <c r="E139" s="4">
        <f>('Equity Price Data'!C141-'Equity Price Data'!C140)/'Equity Price Data'!C140</f>
        <v>-0.003801296327</v>
      </c>
      <c r="F139" s="4">
        <f>('Equity Price Data'!D141-'Equity Price Data'!D140)/'Equity Price Data'!D140</f>
        <v>-0.006002426002</v>
      </c>
      <c r="G139" s="4">
        <f>('Equity Price Data'!E141-'Equity Price Data'!E140)/'Equity Price Data'!E140</f>
        <v>-0.003081788779</v>
      </c>
      <c r="H139" s="4">
        <f>('Equity Price Data'!F141-'Equity Price Data'!F140)/'Equity Price Data'!F140</f>
        <v>0.0007754783835</v>
      </c>
      <c r="L139" s="1"/>
      <c r="M139" s="1"/>
      <c r="N139" s="1"/>
      <c r="O139" s="1"/>
    </row>
    <row r="140">
      <c r="A140" s="43">
        <f>Sheet11!A140</f>
        <v>45625.54514</v>
      </c>
      <c r="B140" s="44">
        <f t="shared" si="2"/>
        <v>45626</v>
      </c>
      <c r="C140" s="4">
        <f>('Equity Price Data'!B142-'Equity Price Data'!B141)/'Equity Price Data'!B141</f>
        <v>0.003904793939</v>
      </c>
      <c r="D140" s="4">
        <f t="shared" si="3"/>
        <v>0.003706381241</v>
      </c>
      <c r="E140" s="4">
        <f>('Equity Price Data'!C142-'Equity Price Data'!C141)/'Equity Price Data'!C141</f>
        <v>0.005607844314</v>
      </c>
      <c r="F140" s="4">
        <f>('Equity Price Data'!D142-'Equity Price Data'!D141)/'Equity Price Data'!D141</f>
        <v>0.008273138977</v>
      </c>
      <c r="G140" s="4">
        <f>('Equity Price Data'!E142-'Equity Price Data'!E141)/'Equity Price Data'!E141</f>
        <v>0.004216934551</v>
      </c>
      <c r="H140" s="4">
        <f>('Equity Price Data'!F142-'Equity Price Data'!F141)/'Equity Price Data'!F141</f>
        <v>0.003536408937</v>
      </c>
      <c r="L140" s="1"/>
      <c r="M140" s="1"/>
      <c r="N140" s="1"/>
      <c r="O140" s="1"/>
    </row>
    <row r="141">
      <c r="A141" s="43">
        <f>Sheet11!A141</f>
        <v>45628.66667</v>
      </c>
      <c r="B141" s="44">
        <f t="shared" si="2"/>
        <v>45657</v>
      </c>
      <c r="C141" s="4">
        <f>('Equity Price Data'!B143-'Equity Price Data'!B142)/'Equity Price Data'!B142</f>
        <v>-0.002905187671</v>
      </c>
      <c r="D141" s="4">
        <f t="shared" si="3"/>
        <v>-0.00310360037</v>
      </c>
      <c r="E141" s="4">
        <f>('Equity Price Data'!C143-'Equity Price Data'!C142)/'Equity Price Data'!C142</f>
        <v>0.002448453181</v>
      </c>
      <c r="F141" s="4">
        <f>('Equity Price Data'!D143-'Equity Price Data'!D142)/'Equity Price Data'!D142</f>
        <v>0.009666893362</v>
      </c>
      <c r="G141" s="4">
        <f>('Equity Price Data'!E143-'Equity Price Data'!E142)/'Equity Price Data'!E142</f>
        <v>-0.002864576665</v>
      </c>
      <c r="H141" s="4">
        <f>('Equity Price Data'!F143-'Equity Price Data'!F142)/'Equity Price Data'!F142</f>
        <v>-0.00025875134</v>
      </c>
      <c r="L141" s="1"/>
      <c r="M141" s="1"/>
      <c r="N141" s="1"/>
      <c r="O141" s="1"/>
    </row>
    <row r="142">
      <c r="A142" s="43">
        <f>Sheet11!A142</f>
        <v>45629.66667</v>
      </c>
      <c r="B142" s="44">
        <f t="shared" si="2"/>
        <v>45657</v>
      </c>
      <c r="C142" s="4">
        <f>('Equity Price Data'!B144-'Equity Price Data'!B143)/'Equity Price Data'!B143</f>
        <v>-0.003784381503</v>
      </c>
      <c r="D142" s="4">
        <f t="shared" si="3"/>
        <v>-0.003982794201</v>
      </c>
      <c r="E142" s="4">
        <f>('Equity Price Data'!C144-'Equity Price Data'!C143)/'Equity Price Data'!C143</f>
        <v>0.0004514523371</v>
      </c>
      <c r="F142" s="4">
        <f>('Equity Price Data'!D144-'Equity Price Data'!D143)/'Equity Price Data'!D143</f>
        <v>0.003966202758</v>
      </c>
      <c r="G142" s="4">
        <f>('Equity Price Data'!E144-'Equity Price Data'!E143)/'Equity Price Data'!E143</f>
        <v>-0.001707605734</v>
      </c>
      <c r="H142" s="4">
        <f>('Equity Price Data'!F144-'Equity Price Data'!F143)/'Equity Price Data'!F143</f>
        <v>-0.007308536074</v>
      </c>
      <c r="L142" s="1"/>
      <c r="M142" s="1"/>
      <c r="N142" s="1"/>
      <c r="O142" s="1"/>
    </row>
    <row r="143">
      <c r="A143" s="43">
        <f>Sheet11!A143</f>
        <v>45630.66667</v>
      </c>
      <c r="B143" s="44">
        <f t="shared" si="2"/>
        <v>45657</v>
      </c>
      <c r="C143" s="4">
        <f>('Equity Price Data'!B145-'Equity Price Data'!B144)/'Equity Price Data'!B144</f>
        <v>0.0004485002257</v>
      </c>
      <c r="D143" s="4">
        <f t="shared" si="3"/>
        <v>0.0002500875272</v>
      </c>
      <c r="E143" s="4">
        <f>('Equity Price Data'!C145-'Equity Price Data'!C144)/'Equity Price Data'!C144</f>
        <v>0.006051359696</v>
      </c>
      <c r="F143" s="4">
        <f>('Equity Price Data'!D145-'Equity Price Data'!D144)/'Equity Price Data'!D144</f>
        <v>0.01304918507</v>
      </c>
      <c r="G143" s="4">
        <f>('Equity Price Data'!E145-'Equity Price Data'!E144)/'Equity Price Data'!E144</f>
        <v>0.006900935969</v>
      </c>
      <c r="H143" s="4">
        <f>('Equity Price Data'!F145-'Equity Price Data'!F144)/'Equity Price Data'!F144</f>
        <v>0.004225381257</v>
      </c>
      <c r="L143" s="1"/>
      <c r="M143" s="1"/>
      <c r="N143" s="1"/>
      <c r="O143" s="1"/>
    </row>
    <row r="144">
      <c r="A144" s="43">
        <f>Sheet11!A144</f>
        <v>45631.66667</v>
      </c>
      <c r="B144" s="44">
        <f t="shared" si="2"/>
        <v>45657</v>
      </c>
      <c r="C144" s="4">
        <f>('Equity Price Data'!B146-'Equity Price Data'!B145)/'Equity Price Data'!B145</f>
        <v>-0.002242604257</v>
      </c>
      <c r="D144" s="4">
        <f t="shared" si="3"/>
        <v>-0.002441016955</v>
      </c>
      <c r="E144" s="4">
        <f>('Equity Price Data'!C146-'Equity Price Data'!C145)/'Equity Price Data'!C145</f>
        <v>-0.001869714729</v>
      </c>
      <c r="F144" s="4">
        <f>('Equity Price Data'!D146-'Equity Price Data'!D145)/'Equity Price Data'!D145</f>
        <v>-0.001743085423</v>
      </c>
      <c r="G144" s="4">
        <f>('Equity Price Data'!E146-'Equity Price Data'!E145)/'Equity Price Data'!E145</f>
        <v>-0.005516723227</v>
      </c>
      <c r="H144" s="4">
        <f>('Equity Price Data'!F146-'Equity Price Data'!F145)/'Equity Price Data'!F145</f>
        <v>-0.01252390215</v>
      </c>
      <c r="L144" s="1"/>
      <c r="M144" s="1"/>
      <c r="N144" s="1"/>
      <c r="O144" s="1"/>
    </row>
    <row r="145">
      <c r="A145" s="43">
        <f>Sheet11!A145</f>
        <v>45632.66667</v>
      </c>
      <c r="B145" s="44">
        <f t="shared" si="2"/>
        <v>45657</v>
      </c>
      <c r="C145" s="4">
        <f>('Equity Price Data'!B147-'Equity Price Data'!B146)/'Equity Price Data'!B146</f>
        <v>0.001585724562</v>
      </c>
      <c r="D145" s="4">
        <f t="shared" si="3"/>
        <v>0.001387311863</v>
      </c>
      <c r="E145" s="4">
        <f>('Equity Price Data'!C147-'Equity Price Data'!C146)/'Equity Price Data'!C146</f>
        <v>0.002495428066</v>
      </c>
      <c r="F145" s="4">
        <f>('Equity Price Data'!D147-'Equity Price Data'!D146)/'Equity Price Data'!D146</f>
        <v>0.008073308996</v>
      </c>
      <c r="G145" s="4">
        <f>('Equity Price Data'!E147-'Equity Price Data'!E146)/'Equity Price Data'!E146</f>
        <v>-0.002751883082</v>
      </c>
      <c r="H145" s="4">
        <f>('Equity Price Data'!F147-'Equity Price Data'!F146)/'Equity Price Data'!F146</f>
        <v>0.005350204702</v>
      </c>
      <c r="L145" s="1"/>
      <c r="M145" s="1"/>
      <c r="N145" s="1"/>
      <c r="O145" s="1"/>
    </row>
    <row r="146">
      <c r="A146" s="43">
        <f>Sheet11!A146</f>
        <v>45635.66667</v>
      </c>
      <c r="B146" s="44">
        <f t="shared" si="2"/>
        <v>45657</v>
      </c>
      <c r="C146" s="4">
        <f>('Equity Price Data'!B148-'Equity Price Data'!B147)/'Equity Price Data'!B147</f>
        <v>-0.006658441409</v>
      </c>
      <c r="D146" s="4">
        <f t="shared" si="3"/>
        <v>-0.006856854107</v>
      </c>
      <c r="E146" s="4">
        <f>('Equity Price Data'!C148-'Equity Price Data'!C147)/'Equity Price Data'!C147</f>
        <v>-0.006144226775</v>
      </c>
      <c r="F146" s="4">
        <f>('Equity Price Data'!D148-'Equity Price Data'!D147)/'Equity Price Data'!D147</f>
        <v>-0.006197453445</v>
      </c>
      <c r="G146" s="4">
        <f>('Equity Price Data'!E148-'Equity Price Data'!E147)/'Equity Price Data'!E147</f>
        <v>-0.0053892567</v>
      </c>
      <c r="H146" s="4">
        <f>('Equity Price Data'!F148-'Equity Price Data'!F147)/'Equity Price Data'!F147</f>
        <v>-0.006704054396</v>
      </c>
      <c r="L146" s="1"/>
      <c r="M146" s="1"/>
      <c r="N146" s="1"/>
      <c r="O146" s="1"/>
    </row>
    <row r="147">
      <c r="A147" s="43">
        <f>Sheet11!A147</f>
        <v>45636.66667</v>
      </c>
      <c r="B147" s="44">
        <f t="shared" si="2"/>
        <v>45657</v>
      </c>
      <c r="C147" s="4">
        <f>('Equity Price Data'!B149-'Equity Price Data'!B148)/'Equity Price Data'!B148</f>
        <v>-0.003992697707</v>
      </c>
      <c r="D147" s="4">
        <f t="shared" si="3"/>
        <v>-0.004191110406</v>
      </c>
      <c r="E147" s="4">
        <f>('Equity Price Data'!C149-'Equity Price Data'!C148)/'Equity Price Data'!C148</f>
        <v>-0.002963893042</v>
      </c>
      <c r="F147" s="4">
        <f>('Equity Price Data'!D149-'Equity Price Data'!D148)/'Equity Price Data'!D148</f>
        <v>-0.002505485976</v>
      </c>
      <c r="G147" s="4">
        <f>('Equity Price Data'!E149-'Equity Price Data'!E148)/'Equity Price Data'!E148</f>
        <v>-0.00347056986</v>
      </c>
      <c r="H147" s="4">
        <f>('Equity Price Data'!F149-'Equity Price Data'!F148)/'Equity Price Data'!F148</f>
        <v>-0.004208388359</v>
      </c>
      <c r="L147" s="1"/>
      <c r="M147" s="1"/>
      <c r="N147" s="1"/>
      <c r="O147" s="1"/>
    </row>
    <row r="148">
      <c r="A148" s="43">
        <f>Sheet11!A148</f>
        <v>45637.66667</v>
      </c>
      <c r="B148" s="44">
        <f t="shared" si="2"/>
        <v>45657</v>
      </c>
      <c r="C148" s="4">
        <f>('Equity Price Data'!B150-'Equity Price Data'!B149)/'Equity Price Data'!B149</f>
        <v>-0.0008795118104</v>
      </c>
      <c r="D148" s="4">
        <f t="shared" si="3"/>
        <v>-0.001077924509</v>
      </c>
      <c r="E148" s="4">
        <f>('Equity Price Data'!C150-'Equity Price Data'!C149)/'Equity Price Data'!C149</f>
        <v>0.00816582186</v>
      </c>
      <c r="F148" s="4">
        <f>('Equity Price Data'!D150-'Equity Price Data'!D149)/'Equity Price Data'!D149</f>
        <v>0.0176586459</v>
      </c>
      <c r="G148" s="4">
        <f>('Equity Price Data'!E150-'Equity Price Data'!E149)/'Equity Price Data'!E149</f>
        <v>-0.002243499851</v>
      </c>
      <c r="H148" s="4">
        <f>('Equity Price Data'!F150-'Equity Price Data'!F149)/'Equity Price Data'!F149</f>
        <v>0.004780150833</v>
      </c>
      <c r="L148" s="1"/>
      <c r="M148" s="1"/>
      <c r="N148" s="1"/>
      <c r="O148" s="1"/>
    </row>
    <row r="149">
      <c r="A149" s="43">
        <f>Sheet11!A149</f>
        <v>45638.66667</v>
      </c>
      <c r="B149" s="44">
        <f t="shared" si="2"/>
        <v>45657</v>
      </c>
      <c r="C149" s="4">
        <f>('Equity Price Data'!B151-'Equity Price Data'!B150)/'Equity Price Data'!B150</f>
        <v>-0.006828716015</v>
      </c>
      <c r="D149" s="4">
        <f t="shared" si="3"/>
        <v>-0.007027128714</v>
      </c>
      <c r="E149" s="4">
        <f>('Equity Price Data'!C151-'Equity Price Data'!C150)/'Equity Price Data'!C150</f>
        <v>-0.005414032106</v>
      </c>
      <c r="F149" s="4">
        <f>('Equity Price Data'!D151-'Equity Price Data'!D150)/'Equity Price Data'!D150</f>
        <v>-0.006591001997</v>
      </c>
      <c r="G149" s="4">
        <f>('Equity Price Data'!E151-'Equity Price Data'!E150)/'Equity Price Data'!E150</f>
        <v>-0.005310252475</v>
      </c>
      <c r="H149" s="4">
        <f>('Equity Price Data'!F151-'Equity Price Data'!F150)/'Equity Price Data'!F150</f>
        <v>-0.01381695459</v>
      </c>
      <c r="L149" s="1"/>
      <c r="M149" s="1"/>
      <c r="N149" s="1"/>
      <c r="O149" s="1"/>
    </row>
    <row r="150">
      <c r="A150" s="43">
        <f>Sheet11!A150</f>
        <v>45639.66667</v>
      </c>
      <c r="B150" s="44">
        <f t="shared" si="2"/>
        <v>45657</v>
      </c>
      <c r="C150" s="4">
        <f>('Equity Price Data'!B152-'Equity Price Data'!B151)/'Equity Price Data'!B151</f>
        <v>-0.002899498634</v>
      </c>
      <c r="D150" s="4">
        <f t="shared" si="3"/>
        <v>-0.003097911333</v>
      </c>
      <c r="E150" s="4">
        <f>('Equity Price Data'!C152-'Equity Price Data'!C151)/'Equity Price Data'!C151</f>
        <v>-0.00002644081801</v>
      </c>
      <c r="F150" s="4">
        <f>('Equity Price Data'!D152-'Equity Price Data'!D151)/'Equity Price Data'!D151</f>
        <v>0.001199828768</v>
      </c>
      <c r="G150" s="4">
        <f>('Equity Price Data'!E152-'Equity Price Data'!E151)/'Equity Price Data'!E151</f>
        <v>-0.001959734136</v>
      </c>
      <c r="H150" s="4">
        <f>('Equity Price Data'!F152-'Equity Price Data'!F151)/'Equity Price Data'!F151</f>
        <v>-0.006005726193</v>
      </c>
      <c r="L150" s="1"/>
      <c r="M150" s="1"/>
      <c r="N150" s="1"/>
      <c r="O150" s="1"/>
    </row>
    <row r="151">
      <c r="A151" s="43">
        <f>Sheet11!A151</f>
        <v>45642.66667</v>
      </c>
      <c r="B151" s="44">
        <f t="shared" si="2"/>
        <v>45657</v>
      </c>
      <c r="C151" s="4">
        <f>('Equity Price Data'!B153-'Equity Price Data'!B152)/'Equity Price Data'!B152</f>
        <v>-0.003480726818</v>
      </c>
      <c r="D151" s="4">
        <f t="shared" si="3"/>
        <v>-0.003679139516</v>
      </c>
      <c r="E151" s="4">
        <f>('Equity Price Data'!C153-'Equity Price Data'!C152)/'Equity Price Data'!C152</f>
        <v>0.003799315495</v>
      </c>
      <c r="F151" s="4">
        <f>('Equity Price Data'!D153-'Equity Price Data'!D152)/'Equity Price Data'!D152</f>
        <v>0.01240394807</v>
      </c>
      <c r="G151" s="4">
        <f>('Equity Price Data'!E153-'Equity Price Data'!E152)/'Equity Price Data'!E152</f>
        <v>-0.002523041175</v>
      </c>
      <c r="H151" s="4">
        <f>('Equity Price Data'!F153-'Equity Price Data'!F152)/'Equity Price Data'!F152</f>
        <v>0.006429758405</v>
      </c>
      <c r="L151" s="1"/>
      <c r="M151" s="1"/>
      <c r="N151" s="1"/>
      <c r="O151" s="1"/>
    </row>
    <row r="152">
      <c r="A152" s="43">
        <f>Sheet11!A152</f>
        <v>45643.66667</v>
      </c>
      <c r="B152" s="44">
        <f t="shared" si="2"/>
        <v>45657</v>
      </c>
      <c r="C152" s="4">
        <f>('Equity Price Data'!B154-'Equity Price Data'!B153)/'Equity Price Data'!B153</f>
        <v>-0.006302422544</v>
      </c>
      <c r="D152" s="4">
        <f t="shared" si="3"/>
        <v>-0.006500835242</v>
      </c>
      <c r="E152" s="4">
        <f>('Equity Price Data'!C154-'Equity Price Data'!C153)/'Equity Price Data'!C153</f>
        <v>-0.003863959645</v>
      </c>
      <c r="F152" s="4">
        <f>('Equity Price Data'!D154-'Equity Price Data'!D153)/'Equity Price Data'!D153</f>
        <v>-0.003213559705</v>
      </c>
      <c r="G152" s="4">
        <f>('Equity Price Data'!E154-'Equity Price Data'!E153)/'Equity Price Data'!E153</f>
        <v>-0.006120663863</v>
      </c>
      <c r="H152" s="4">
        <f>('Equity Price Data'!F154-'Equity Price Data'!F153)/'Equity Price Data'!F153</f>
        <v>-0.01181630744</v>
      </c>
      <c r="L152" s="1"/>
      <c r="M152" s="1"/>
      <c r="N152" s="1"/>
      <c r="O152" s="1"/>
    </row>
    <row r="153">
      <c r="A153" s="43">
        <f>Sheet11!A153</f>
        <v>45644.66667</v>
      </c>
      <c r="B153" s="44">
        <f t="shared" si="2"/>
        <v>45657</v>
      </c>
      <c r="C153" s="4">
        <f>('Equity Price Data'!B155-'Equity Price Data'!B154)/'Equity Price Data'!B154</f>
        <v>-0.02197754049</v>
      </c>
      <c r="D153" s="4">
        <f t="shared" si="3"/>
        <v>-0.02217595319</v>
      </c>
      <c r="E153" s="4">
        <f>('Equity Price Data'!C155-'Equity Price Data'!C154)/'Equity Price Data'!C154</f>
        <v>-0.0294928941</v>
      </c>
      <c r="F153" s="4">
        <f>('Equity Price Data'!D155-'Equity Price Data'!D154)/'Equity Price Data'!D154</f>
        <v>-0.03562424101</v>
      </c>
      <c r="G153" s="4">
        <f>('Equity Price Data'!E155-'Equity Price Data'!E154)/'Equity Price Data'!E154</f>
        <v>-0.0258465497</v>
      </c>
      <c r="H153" s="4">
        <f>('Equity Price Data'!F155-'Equity Price Data'!F154)/'Equity Price Data'!F154</f>
        <v>-0.04394450919</v>
      </c>
      <c r="L153" s="1"/>
      <c r="M153" s="1"/>
      <c r="N153" s="1"/>
      <c r="O153" s="1"/>
    </row>
    <row r="154">
      <c r="A154" s="43">
        <f>Sheet11!A154</f>
        <v>45645.66667</v>
      </c>
      <c r="B154" s="44">
        <f t="shared" si="2"/>
        <v>45657</v>
      </c>
      <c r="C154" s="4">
        <f>('Equity Price Data'!B156-'Equity Price Data'!B155)/'Equity Price Data'!B155</f>
        <v>0.0003186677104</v>
      </c>
      <c r="D154" s="4">
        <f t="shared" si="3"/>
        <v>0.000120255012</v>
      </c>
      <c r="E154" s="4">
        <f>('Equity Price Data'!C156-'Equity Price Data'!C155)/'Equity Price Data'!C155</f>
        <v>-0.0008650990436</v>
      </c>
      <c r="F154" s="4">
        <f>('Equity Price Data'!D156-'Equity Price Data'!D155)/'Equity Price Data'!D155</f>
        <v>-0.001027191174</v>
      </c>
      <c r="G154" s="4">
        <f>('Equity Price Data'!E156-'Equity Price Data'!E155)/'Equity Price Data'!E155</f>
        <v>0.0003631263072</v>
      </c>
      <c r="H154" s="4">
        <f>('Equity Price Data'!F156-'Equity Price Data'!F155)/'Equity Price Data'!F155</f>
        <v>-0.0044857518</v>
      </c>
      <c r="L154" s="1"/>
      <c r="M154" s="1"/>
      <c r="N154" s="1"/>
      <c r="O154" s="1"/>
    </row>
    <row r="155">
      <c r="A155" s="43">
        <f>Sheet11!A155</f>
        <v>45646.66667</v>
      </c>
      <c r="B155" s="44">
        <f t="shared" si="2"/>
        <v>45657</v>
      </c>
      <c r="C155" s="4">
        <f>('Equity Price Data'!B157-'Equity Price Data'!B156)/'Equity Price Data'!B156</f>
        <v>0.01269867458</v>
      </c>
      <c r="D155" s="4">
        <f t="shared" si="3"/>
        <v>0.01250026188</v>
      </c>
      <c r="E155" s="4">
        <f>('Equity Price Data'!C157-'Equity Price Data'!C156)/'Equity Price Data'!C156</f>
        <v>0.01086912058</v>
      </c>
      <c r="F155" s="4">
        <f>('Equity Price Data'!D157-'Equity Price Data'!D156)/'Equity Price Data'!D156</f>
        <v>0.01031499367</v>
      </c>
      <c r="G155" s="4">
        <f>('Equity Price Data'!E157-'Equity Price Data'!E156)/'Equity Price Data'!E156</f>
        <v>0.01176177736</v>
      </c>
      <c r="H155" s="4">
        <f>('Equity Price Data'!F157-'Equity Price Data'!F156)/'Equity Price Data'!F156</f>
        <v>0.00939455323</v>
      </c>
      <c r="L155" s="1"/>
      <c r="M155" s="1"/>
      <c r="N155" s="1"/>
      <c r="O155" s="1"/>
    </row>
    <row r="156">
      <c r="A156" s="43">
        <f>Sheet11!A156</f>
        <v>45649.66667</v>
      </c>
      <c r="B156" s="44">
        <f t="shared" si="2"/>
        <v>45657</v>
      </c>
      <c r="C156" s="4">
        <f>('Equity Price Data'!B158-'Equity Price Data'!B157)/'Equity Price Data'!B157</f>
        <v>0.003177543146</v>
      </c>
      <c r="D156" s="4">
        <f t="shared" si="3"/>
        <v>0.002979130448</v>
      </c>
      <c r="E156" s="4">
        <f>('Equity Price Data'!C158-'Equity Price Data'!C157)/'Equity Price Data'!C157</f>
        <v>0.007287319693</v>
      </c>
      <c r="F156" s="4">
        <f>('Equity Price Data'!D158-'Equity Price Data'!D157)/'Equity Price Data'!D157</f>
        <v>0.009823937545</v>
      </c>
      <c r="G156" s="4">
        <f>('Equity Price Data'!E158-'Equity Price Data'!E157)/'Equity Price Data'!E157</f>
        <v>0.001556713241</v>
      </c>
      <c r="H156" s="4">
        <f>('Equity Price Data'!F158-'Equity Price Data'!F157)/'Equity Price Data'!F157</f>
        <v>-0.002198566695</v>
      </c>
      <c r="L156" s="1"/>
      <c r="M156" s="1"/>
      <c r="N156" s="1"/>
      <c r="O156" s="1"/>
    </row>
    <row r="157">
      <c r="A157" s="43">
        <f>Sheet11!A157</f>
        <v>45650.54514</v>
      </c>
      <c r="B157" s="44">
        <f t="shared" si="2"/>
        <v>45657</v>
      </c>
      <c r="C157" s="4">
        <f>('Equity Price Data'!B159-'Equity Price Data'!B158)/'Equity Price Data'!B158</f>
        <v>0.006667422907</v>
      </c>
      <c r="D157" s="4">
        <f t="shared" si="3"/>
        <v>0.006469010209</v>
      </c>
      <c r="E157" s="4">
        <f>('Equity Price Data'!C159-'Equity Price Data'!C158)/'Equity Price Data'!C158</f>
        <v>0.01104272297</v>
      </c>
      <c r="F157" s="4">
        <f>('Equity Price Data'!D159-'Equity Price Data'!D158)/'Equity Price Data'!D158</f>
        <v>0.01347086347</v>
      </c>
      <c r="G157" s="4">
        <f>('Equity Price Data'!E159-'Equity Price Data'!E158)/'Equity Price Data'!E158</f>
        <v>0.00909130106</v>
      </c>
      <c r="H157" s="4">
        <f>('Equity Price Data'!F159-'Equity Price Data'!F158)/'Equity Price Data'!F158</f>
        <v>0.01001591104</v>
      </c>
      <c r="L157" s="1"/>
      <c r="M157" s="1"/>
      <c r="N157" s="1"/>
      <c r="O157" s="1"/>
    </row>
    <row r="158">
      <c r="A158" s="43">
        <f>Sheet11!A158</f>
        <v>45652.66667</v>
      </c>
      <c r="B158" s="44">
        <f t="shared" si="2"/>
        <v>45657</v>
      </c>
      <c r="C158" s="4">
        <f>('Equity Price Data'!B160-'Equity Price Data'!B159)/'Equity Price Data'!B159</f>
        <v>0.001275979938</v>
      </c>
      <c r="D158" s="4">
        <f t="shared" si="3"/>
        <v>0.00107756724</v>
      </c>
      <c r="E158" s="4">
        <f>('Equity Price Data'!C160-'Equity Price Data'!C159)/'Equity Price Data'!C159</f>
        <v>-0.0004056264528</v>
      </c>
      <c r="F158" s="4">
        <f>('Equity Price Data'!D160-'Equity Price Data'!D159)/'Equity Price Data'!D159</f>
        <v>-0.0005376631273</v>
      </c>
      <c r="G158" s="4">
        <f>('Equity Price Data'!E160-'Equity Price Data'!E159)/'Equity Price Data'!E159</f>
        <v>0.0006644797576</v>
      </c>
      <c r="H158" s="4">
        <f>('Equity Price Data'!F160-'Equity Price Data'!F159)/'Equity Price Data'!F159</f>
        <v>0.009000597385</v>
      </c>
      <c r="L158" s="1"/>
      <c r="M158" s="1"/>
      <c r="N158" s="1"/>
      <c r="O158" s="1"/>
    </row>
    <row r="159">
      <c r="A159" s="43">
        <f>Sheet11!A159</f>
        <v>45653.66667</v>
      </c>
      <c r="B159" s="44">
        <f t="shared" si="2"/>
        <v>45657</v>
      </c>
      <c r="C159" s="4">
        <f>('Equity Price Data'!B161-'Equity Price Data'!B160)/'Equity Price Data'!B160</f>
        <v>-0.006872501176</v>
      </c>
      <c r="D159" s="4">
        <f t="shared" si="3"/>
        <v>-0.007070913874</v>
      </c>
      <c r="E159" s="4">
        <f>('Equity Price Data'!C161-'Equity Price Data'!C160)/'Equity Price Data'!C160</f>
        <v>-0.01105573582</v>
      </c>
      <c r="F159" s="4">
        <f>('Equity Price Data'!D161-'Equity Price Data'!D160)/'Equity Price Data'!D160</f>
        <v>-0.01490133045</v>
      </c>
      <c r="G159" s="4">
        <f>('Equity Price Data'!E161-'Equity Price Data'!E160)/'Equity Price Data'!E160</f>
        <v>-0.00769956931</v>
      </c>
      <c r="H159" s="4">
        <f>('Equity Price Data'!F161-'Equity Price Data'!F160)/'Equity Price Data'!F160</f>
        <v>-0.01561273403</v>
      </c>
      <c r="L159" s="1"/>
      <c r="M159" s="1"/>
      <c r="N159" s="1"/>
      <c r="O159" s="1"/>
    </row>
    <row r="160">
      <c r="A160" s="43">
        <f>Sheet11!A160</f>
        <v>45656.66667</v>
      </c>
      <c r="B160" s="44">
        <f t="shared" si="2"/>
        <v>45657</v>
      </c>
      <c r="C160" s="4">
        <f>('Equity Price Data'!B162-'Equity Price Data'!B161)/'Equity Price Data'!B161</f>
        <v>-0.008471237111</v>
      </c>
      <c r="D160" s="4">
        <f t="shared" si="3"/>
        <v>-0.008669649809</v>
      </c>
      <c r="E160" s="4">
        <f>('Equity Price Data'!C162-'Equity Price Data'!C161)/'Equity Price Data'!C161</f>
        <v>-0.01070201178</v>
      </c>
      <c r="F160" s="4">
        <f>('Equity Price Data'!D162-'Equity Price Data'!D161)/'Equity Price Data'!D161</f>
        <v>-0.01192777823</v>
      </c>
      <c r="G160" s="4">
        <f>('Equity Price Data'!E162-'Equity Price Data'!E161)/'Equity Price Data'!E161</f>
        <v>-0.009733856436</v>
      </c>
      <c r="H160" s="4">
        <f>('Equity Price Data'!F162-'Equity Price Data'!F161)/'Equity Price Data'!F161</f>
        <v>-0.00748911828</v>
      </c>
      <c r="L160" s="1"/>
      <c r="M160" s="1"/>
      <c r="N160" s="1"/>
      <c r="O160" s="1"/>
    </row>
    <row r="161">
      <c r="A161" s="43">
        <f>Sheet11!A161</f>
        <v>45657.66667</v>
      </c>
      <c r="B161" s="44">
        <f t="shared" si="2"/>
        <v>45657</v>
      </c>
      <c r="C161" s="4">
        <f>('Equity Price Data'!B163-'Equity Price Data'!B162)/'Equity Price Data'!B162</f>
        <v>-0.0004550510394</v>
      </c>
      <c r="D161" s="4">
        <f t="shared" si="3"/>
        <v>-0.0006534637378</v>
      </c>
      <c r="E161" s="4">
        <f>('Equity Price Data'!C163-'Equity Price Data'!C162)/'Equity Price Data'!C162</f>
        <v>-0.004284790433</v>
      </c>
      <c r="F161" s="4">
        <f>('Equity Price Data'!D163-'Equity Price Data'!D162)/'Equity Price Data'!D162</f>
        <v>-0.009031759464</v>
      </c>
      <c r="G161" s="4">
        <f>('Equity Price Data'!E163-'Equity Price Data'!E162)/'Equity Price Data'!E162</f>
        <v>-0.0006931504475</v>
      </c>
      <c r="H161" s="4">
        <f>('Equity Price Data'!F163-'Equity Price Data'!F162)/'Equity Price Data'!F162</f>
        <v>0.001068328111</v>
      </c>
      <c r="L161" s="1"/>
      <c r="M161" s="1"/>
      <c r="N161" s="1"/>
      <c r="O161" s="1"/>
    </row>
    <row r="162">
      <c r="A162" s="43">
        <f>Sheet11!A162</f>
        <v>45659.66667</v>
      </c>
      <c r="B162" s="44">
        <f t="shared" si="2"/>
        <v>45688</v>
      </c>
      <c r="C162" s="4">
        <f>('Equity Price Data'!B164-'Equity Price Data'!B163)/'Equity Price Data'!B163</f>
        <v>-0.002472818315</v>
      </c>
      <c r="D162" s="4">
        <f t="shared" si="3"/>
        <v>-0.002671231014</v>
      </c>
      <c r="E162" s="4">
        <f>('Equity Price Data'!C164-'Equity Price Data'!C163)/'Equity Price Data'!C163</f>
        <v>-0.002223873314</v>
      </c>
      <c r="F162" s="4">
        <f>('Equity Price Data'!D164-'Equity Price Data'!D163)/'Equity Price Data'!D163</f>
        <v>-0.001553535614</v>
      </c>
      <c r="G162" s="4">
        <f>('Equity Price Data'!E164-'Equity Price Data'!E163)/'Equity Price Data'!E163</f>
        <v>-0.003571577996</v>
      </c>
      <c r="H162" s="4">
        <f>('Equity Price Data'!F164-'Equity Price Data'!F163)/'Equity Price Data'!F163</f>
        <v>0.000677081465</v>
      </c>
      <c r="L162" s="1"/>
      <c r="M162" s="1"/>
      <c r="N162" s="1"/>
      <c r="O162" s="1"/>
    </row>
    <row r="163">
      <c r="A163" s="43">
        <f>Sheet11!A163</f>
        <v>45660.66667</v>
      </c>
      <c r="B163" s="44">
        <f t="shared" si="2"/>
        <v>45688</v>
      </c>
      <c r="C163" s="4">
        <f>('Equity Price Data'!B165-'Equity Price Data'!B164)/'Equity Price Data'!B164</f>
        <v>0.009031739786</v>
      </c>
      <c r="D163" s="4">
        <f t="shared" si="3"/>
        <v>0.008833327087</v>
      </c>
      <c r="E163" s="4">
        <f>('Equity Price Data'!C165-'Equity Price Data'!C164)/'Equity Price Data'!C164</f>
        <v>0.01259595641</v>
      </c>
      <c r="F163" s="4">
        <f>('Equity Price Data'!D165-'Equity Price Data'!D164)/'Equity Price Data'!D164</f>
        <v>0.01768029215</v>
      </c>
      <c r="G163" s="4">
        <f>('Equity Price Data'!E165-'Equity Price Data'!E164)/'Equity Price Data'!E164</f>
        <v>0.008017027633</v>
      </c>
      <c r="H163" s="4">
        <f>('Equity Price Data'!F165-'Equity Price Data'!F164)/'Equity Price Data'!F164</f>
        <v>0.01648989322</v>
      </c>
      <c r="L163" s="1"/>
      <c r="M163" s="1"/>
      <c r="N163" s="1"/>
      <c r="O163" s="1"/>
    </row>
    <row r="164">
      <c r="A164" s="43">
        <f>Sheet11!A164</f>
        <v>45663.66667</v>
      </c>
      <c r="B164" s="44">
        <f t="shared" si="2"/>
        <v>45688</v>
      </c>
      <c r="C164" s="4">
        <f>('Equity Price Data'!B166-'Equity Price Data'!B165)/'Equity Price Data'!B165</f>
        <v>0.0003484962217</v>
      </c>
      <c r="D164" s="4">
        <f t="shared" si="3"/>
        <v>0.0001500835233</v>
      </c>
      <c r="E164" s="4">
        <f>('Equity Price Data'!C166-'Equity Price Data'!C165)/'Equity Price Data'!C165</f>
        <v>0.00553810116</v>
      </c>
      <c r="F164" s="4">
        <f>('Equity Price Data'!D166-'Equity Price Data'!D165)/'Equity Price Data'!D165</f>
        <v>0.01239954989</v>
      </c>
      <c r="G164" s="4">
        <f>('Equity Price Data'!E166-'Equity Price Data'!E165)/'Equity Price Data'!E165</f>
        <v>-0.0005983787843</v>
      </c>
      <c r="H164" s="4">
        <f>('Equity Price Data'!F166-'Equity Price Data'!F165)/'Equity Price Data'!F165</f>
        <v>-0.0008023028737</v>
      </c>
      <c r="L164" s="1"/>
      <c r="M164" s="1"/>
      <c r="N164" s="1"/>
      <c r="O164" s="1"/>
    </row>
    <row r="165">
      <c r="A165" s="43">
        <f>Sheet11!A165</f>
        <v>45664.66667</v>
      </c>
      <c r="B165" s="44">
        <f t="shared" si="2"/>
        <v>45688</v>
      </c>
      <c r="C165" s="4">
        <f>('Equity Price Data'!B167-'Equity Price Data'!B166)/'Equity Price Data'!B166</f>
        <v>-0.006028857747</v>
      </c>
      <c r="D165" s="4">
        <f t="shared" si="3"/>
        <v>-0.006227270445</v>
      </c>
      <c r="E165" s="4">
        <f>('Equity Price Data'!C167-'Equity Price Data'!C166)/'Equity Price Data'!C166</f>
        <v>-0.01110389632</v>
      </c>
      <c r="F165" s="4">
        <f>('Equity Price Data'!D167-'Equity Price Data'!D166)/'Equity Price Data'!D166</f>
        <v>-0.01889254356</v>
      </c>
      <c r="G165" s="4">
        <f>('Equity Price Data'!E167-'Equity Price Data'!E166)/'Equity Price Data'!E166</f>
        <v>-0.004172661062</v>
      </c>
      <c r="H165" s="4">
        <f>('Equity Price Data'!F167-'Equity Price Data'!F166)/'Equity Price Data'!F166</f>
        <v>-0.00743387819</v>
      </c>
      <c r="L165" s="1"/>
      <c r="M165" s="1"/>
      <c r="N165" s="1"/>
      <c r="O165" s="1"/>
    </row>
    <row r="166">
      <c r="A166" s="43">
        <f>Sheet11!A166</f>
        <v>45665.66667</v>
      </c>
      <c r="B166" s="44">
        <f t="shared" si="2"/>
        <v>45688</v>
      </c>
      <c r="C166" s="4">
        <f>('Equity Price Data'!B168-'Equity Price Data'!B167)/'Equity Price Data'!B167</f>
        <v>0.002000034242</v>
      </c>
      <c r="D166" s="4">
        <f t="shared" si="3"/>
        <v>0.001801621544</v>
      </c>
      <c r="E166" s="4">
        <f>('Equity Price Data'!C168-'Equity Price Data'!C167)/'Equity Price Data'!C167</f>
        <v>0.001560323776</v>
      </c>
      <c r="F166" s="4">
        <f>('Equity Price Data'!D168-'Equity Price Data'!D167)/'Equity Price Data'!D167</f>
        <v>-0.0005541394215</v>
      </c>
      <c r="G166" s="4">
        <f>('Equity Price Data'!E168-'Equity Price Data'!E167)/'Equity Price Data'!E167</f>
        <v>0.002512205973</v>
      </c>
      <c r="H166" s="4">
        <f>('Equity Price Data'!F168-'Equity Price Data'!F167)/'Equity Price Data'!F167</f>
        <v>-0.004818206063</v>
      </c>
      <c r="L166" s="1"/>
      <c r="M166" s="1"/>
      <c r="N166" s="1"/>
      <c r="O166" s="1"/>
    </row>
    <row r="167">
      <c r="A167" s="43">
        <f>Sheet11!A167</f>
        <v>45667.66667</v>
      </c>
      <c r="B167" s="44">
        <f t="shared" si="2"/>
        <v>45688</v>
      </c>
      <c r="C167" s="4">
        <f>('Equity Price Data'!B169-'Equity Price Data'!B168)/'Equity Price Data'!B168</f>
        <v>-0.01587524469</v>
      </c>
      <c r="D167" s="4">
        <f t="shared" si="3"/>
        <v>-0.01607365739</v>
      </c>
      <c r="E167" s="4">
        <f>('Equity Price Data'!C169-'Equity Price Data'!C168)/'Equity Price Data'!C168</f>
        <v>-0.0154116504</v>
      </c>
      <c r="F167" s="4">
        <f>('Equity Price Data'!D169-'Equity Price Data'!D168)/'Equity Price Data'!D168</f>
        <v>-0.0162868707</v>
      </c>
      <c r="G167" s="4">
        <f>('Equity Price Data'!E169-'Equity Price Data'!E168)/'Equity Price Data'!E168</f>
        <v>-0.01634213045</v>
      </c>
      <c r="H167" s="4">
        <f>('Equity Price Data'!F169-'Equity Price Data'!F168)/'Equity Price Data'!F168</f>
        <v>-0.0222112052</v>
      </c>
      <c r="L167" s="1"/>
      <c r="M167" s="1"/>
      <c r="N167" s="1"/>
      <c r="O167" s="1"/>
    </row>
    <row r="168">
      <c r="A168" s="43">
        <f>Sheet11!A168</f>
        <v>45670.66667</v>
      </c>
      <c r="B168" s="44">
        <f t="shared" si="2"/>
        <v>45688</v>
      </c>
      <c r="C168" s="4">
        <f>('Equity Price Data'!B170-'Equity Price Data'!B169)/'Equity Price Data'!B169</f>
        <v>0.003723590406</v>
      </c>
      <c r="D168" s="4">
        <f t="shared" si="3"/>
        <v>0.003525177708</v>
      </c>
      <c r="E168" s="4">
        <f>('Equity Price Data'!C170-'Equity Price Data'!C169)/'Equity Price Data'!C169</f>
        <v>0.001575413932</v>
      </c>
      <c r="F168" s="4">
        <f>('Equity Price Data'!D170-'Equity Price Data'!D169)/'Equity Price Data'!D169</f>
        <v>-0.003837356217</v>
      </c>
      <c r="G168" s="4">
        <f>('Equity Price Data'!E170-'Equity Price Data'!E169)/'Equity Price Data'!E169</f>
        <v>0.00855229509</v>
      </c>
      <c r="H168" s="4">
        <f>('Equity Price Data'!F170-'Equity Price Data'!F169)/'Equity Price Data'!F169</f>
        <v>0.002361560914</v>
      </c>
      <c r="L168" s="1"/>
      <c r="M168" s="1"/>
      <c r="N168" s="1"/>
      <c r="O168" s="1"/>
    </row>
    <row r="169">
      <c r="A169" s="43">
        <f>Sheet11!A169</f>
        <v>45671.66667</v>
      </c>
      <c r="B169" s="44">
        <f t="shared" si="2"/>
        <v>45688</v>
      </c>
      <c r="C169" s="4">
        <f>('Equity Price Data'!B171-'Equity Price Data'!B170)/'Equity Price Data'!B170</f>
        <v>0.006083631864</v>
      </c>
      <c r="D169" s="4">
        <f t="shared" si="3"/>
        <v>0.005885219166</v>
      </c>
      <c r="E169" s="4">
        <f>('Equity Price Data'!C171-'Equity Price Data'!C170)/'Equity Price Data'!C170</f>
        <v>0.001146289893</v>
      </c>
      <c r="F169" s="4">
        <f>('Equity Price Data'!D171-'Equity Price Data'!D170)/'Equity Price Data'!D170</f>
        <v>-0.002289908372</v>
      </c>
      <c r="G169" s="4">
        <f>('Equity Price Data'!E171-'Equity Price Data'!E170)/'Equity Price Data'!E170</f>
        <v>0.005228724793</v>
      </c>
      <c r="H169" s="4">
        <f>('Equity Price Data'!F171-'Equity Price Data'!F170)/'Equity Price Data'!F170</f>
        <v>0.01131972293</v>
      </c>
      <c r="L169" s="1"/>
      <c r="M169" s="1"/>
      <c r="N169" s="1"/>
      <c r="O169" s="1"/>
    </row>
    <row r="170">
      <c r="A170" s="43">
        <f>Sheet11!A170</f>
        <v>45672.66667</v>
      </c>
      <c r="B170" s="44">
        <f t="shared" si="2"/>
        <v>45688</v>
      </c>
      <c r="C170" s="4">
        <f>('Equity Price Data'!B172-'Equity Price Data'!B171)/'Equity Price Data'!B171</f>
        <v>0.01427040439</v>
      </c>
      <c r="D170" s="4">
        <f t="shared" si="3"/>
        <v>0.01407199169</v>
      </c>
      <c r="E170" s="4">
        <f>('Equity Price Data'!C172-'Equity Price Data'!C171)/'Equity Price Data'!C171</f>
        <v>0.01831279277</v>
      </c>
      <c r="F170" s="4">
        <f>('Equity Price Data'!D172-'Equity Price Data'!D171)/'Equity Price Data'!D171</f>
        <v>0.02451325561</v>
      </c>
      <c r="G170" s="4">
        <f>('Equity Price Data'!E172-'Equity Price Data'!E171)/'Equity Price Data'!E171</f>
        <v>0.01654041509</v>
      </c>
      <c r="H170" s="4">
        <f>('Equity Price Data'!F172-'Equity Price Data'!F171)/'Equity Price Data'!F171</f>
        <v>0.01984913754</v>
      </c>
      <c r="L170" s="1"/>
      <c r="M170" s="1"/>
      <c r="N170" s="1"/>
      <c r="O170" s="1"/>
    </row>
    <row r="171">
      <c r="A171" s="43">
        <f>Sheet11!A171</f>
        <v>45673.66667</v>
      </c>
      <c r="B171" s="44">
        <f t="shared" si="2"/>
        <v>45688</v>
      </c>
      <c r="C171" s="4">
        <f>('Equity Price Data'!B173-'Equity Price Data'!B172)/'Equity Price Data'!B172</f>
        <v>0.0006548564202</v>
      </c>
      <c r="D171" s="4">
        <f t="shared" si="3"/>
        <v>0.0004564437217</v>
      </c>
      <c r="E171" s="4">
        <f>('Equity Price Data'!C173-'Equity Price Data'!C172)/'Equity Price Data'!C172</f>
        <v>-0.002112636998</v>
      </c>
      <c r="F171" s="4">
        <f>('Equity Price Data'!D173-'Equity Price Data'!D172)/'Equity Price Data'!D172</f>
        <v>-0.008863613416</v>
      </c>
      <c r="G171" s="4">
        <f>('Equity Price Data'!E173-'Equity Price Data'!E172)/'Equity Price Data'!E172</f>
        <v>-0.001583006625</v>
      </c>
      <c r="H171" s="4">
        <f>('Equity Price Data'!F173-'Equity Price Data'!F172)/'Equity Price Data'!F172</f>
        <v>0.00154642136</v>
      </c>
      <c r="L171" s="1"/>
      <c r="M171" s="1"/>
      <c r="N171" s="1"/>
      <c r="O171" s="1"/>
    </row>
    <row r="172">
      <c r="A172" s="43">
        <f>Sheet11!A172</f>
        <v>45674.66667</v>
      </c>
      <c r="B172" s="44">
        <f t="shared" si="2"/>
        <v>45688</v>
      </c>
      <c r="C172" s="4">
        <f>('Equity Price Data'!B174-'Equity Price Data'!B173)/'Equity Price Data'!B173</f>
        <v>0.008612126462</v>
      </c>
      <c r="D172" s="4">
        <f t="shared" si="3"/>
        <v>0.008413713764</v>
      </c>
      <c r="E172" s="4">
        <f>('Equity Price Data'!C174-'Equity Price Data'!C173)/'Equity Price Data'!C173</f>
        <v>0.009991006073</v>
      </c>
      <c r="F172" s="4">
        <f>('Equity Price Data'!D174-'Equity Price Data'!D173)/'Equity Price Data'!D173</f>
        <v>0.01509492308</v>
      </c>
      <c r="G172" s="4">
        <f>('Equity Price Data'!E174-'Equity Price Data'!E173)/'Equity Price Data'!E173</f>
        <v>0.007756100195</v>
      </c>
      <c r="H172" s="4">
        <f>('Equity Price Data'!F174-'Equity Price Data'!F173)/'Equity Price Data'!F173</f>
        <v>0.004010075922</v>
      </c>
      <c r="L172" s="1"/>
      <c r="M172" s="1"/>
      <c r="N172" s="1"/>
      <c r="O172" s="1"/>
    </row>
    <row r="173">
      <c r="A173" s="43">
        <f>Sheet11!A173</f>
        <v>45678.66667</v>
      </c>
      <c r="B173" s="44">
        <f t="shared" si="2"/>
        <v>45688</v>
      </c>
      <c r="C173" s="4">
        <f>('Equity Price Data'!B175-'Equity Price Data'!B174)/'Equity Price Data'!B174</f>
        <v>0.01012897502</v>
      </c>
      <c r="D173" s="4">
        <f t="shared" si="3"/>
        <v>0.009930562324</v>
      </c>
      <c r="E173" s="4">
        <f>('Equity Price Data'!C175-'Equity Price Data'!C174)/'Equity Price Data'!C174</f>
        <v>0.008768214306</v>
      </c>
      <c r="F173" s="4">
        <f>('Equity Price Data'!D175-'Equity Price Data'!D174)/'Equity Price Data'!D174</f>
        <v>0.006448227731</v>
      </c>
      <c r="G173" s="4">
        <f>('Equity Price Data'!E175-'Equity Price Data'!E174)/'Equity Price Data'!E174</f>
        <v>0.01237081731</v>
      </c>
      <c r="H173" s="4">
        <f>('Equity Price Data'!F175-'Equity Price Data'!F174)/'Equity Price Data'!F174</f>
        <v>0.0184939452</v>
      </c>
      <c r="L173" s="1"/>
      <c r="M173" s="1"/>
      <c r="N173" s="1"/>
      <c r="O173" s="1"/>
    </row>
    <row r="174">
      <c r="A174" s="43">
        <f>Sheet11!A174</f>
        <v>45679.66667</v>
      </c>
      <c r="B174" s="44">
        <f t="shared" si="2"/>
        <v>45688</v>
      </c>
      <c r="C174" s="4">
        <f>('Equity Price Data'!B176-'Equity Price Data'!B175)/'Equity Price Data'!B175</f>
        <v>0.0009620163387</v>
      </c>
      <c r="D174" s="4">
        <f t="shared" si="3"/>
        <v>0.0007636036403</v>
      </c>
      <c r="E174" s="4">
        <f>('Equity Price Data'!C176-'Equity Price Data'!C175)/'Equity Price Data'!C175</f>
        <v>0.006137961132</v>
      </c>
      <c r="F174" s="4">
        <f>('Equity Price Data'!D176-'Equity Price Data'!D175)/'Equity Price Data'!D175</f>
        <v>0.01278345965</v>
      </c>
      <c r="G174" s="4">
        <f>('Equity Price Data'!E176-'Equity Price Data'!E175)/'Equity Price Data'!E175</f>
        <v>0.002973710194</v>
      </c>
      <c r="H174" s="4">
        <f>('Equity Price Data'!F176-'Equity Price Data'!F175)/'Equity Price Data'!F175</f>
        <v>-0.006147620547</v>
      </c>
      <c r="L174" s="1"/>
      <c r="M174" s="1"/>
      <c r="N174" s="1"/>
      <c r="O174" s="1"/>
    </row>
    <row r="175">
      <c r="A175" s="43">
        <f>Sheet11!A175</f>
        <v>45680.66667</v>
      </c>
      <c r="B175" s="44">
        <f t="shared" si="2"/>
        <v>45688</v>
      </c>
      <c r="C175" s="4">
        <f>('Equity Price Data'!B177-'Equity Price Data'!B176)/'Equity Price Data'!B176</f>
        <v>0.006966253316</v>
      </c>
      <c r="D175" s="4">
        <f t="shared" si="3"/>
        <v>0.006767840618</v>
      </c>
      <c r="E175" s="4">
        <f>('Equity Price Data'!C177-'Equity Price Data'!C176)/'Equity Price Data'!C176</f>
        <v>0.005313511995</v>
      </c>
      <c r="F175" s="4">
        <f>('Equity Price Data'!D177-'Equity Price Data'!D176)/'Equity Price Data'!D176</f>
        <v>0.002215965144</v>
      </c>
      <c r="G175" s="4">
        <f>('Equity Price Data'!E177-'Equity Price Data'!E176)/'Equity Price Data'!E176</f>
        <v>0.009247514479</v>
      </c>
      <c r="H175" s="4">
        <f>('Equity Price Data'!F177-'Equity Price Data'!F176)/'Equity Price Data'!F176</f>
        <v>0.004722796173</v>
      </c>
      <c r="L175" s="1"/>
      <c r="M175" s="1"/>
      <c r="N175" s="1"/>
      <c r="O175" s="1"/>
    </row>
    <row r="176">
      <c r="A176" s="43">
        <f>Sheet11!A176</f>
        <v>45681.66667</v>
      </c>
      <c r="B176" s="44">
        <f t="shared" si="2"/>
        <v>45688</v>
      </c>
      <c r="C176" s="4">
        <f>('Equity Price Data'!B178-'Equity Price Data'!B177)/'Equity Price Data'!B177</f>
        <v>-0.001451904291</v>
      </c>
      <c r="D176" s="4">
        <f t="shared" si="3"/>
        <v>-0.00165031699</v>
      </c>
      <c r="E176" s="4">
        <f>('Equity Price Data'!C178-'Equity Price Data'!C177)/'Equity Price Data'!C177</f>
        <v>-0.00285517699</v>
      </c>
      <c r="F176" s="4">
        <f>('Equity Price Data'!D178-'Equity Price Data'!D177)/'Equity Price Data'!D177</f>
        <v>-0.004955698904</v>
      </c>
      <c r="G176" s="4">
        <f>('Equity Price Data'!E178-'Equity Price Data'!E177)/'Equity Price Data'!E177</f>
        <v>-0.003159873865</v>
      </c>
      <c r="H176" s="4">
        <f>('Equity Price Data'!F178-'Equity Price Data'!F177)/'Equity Price Data'!F177</f>
        <v>-0.00296379504</v>
      </c>
      <c r="L176" s="1"/>
      <c r="M176" s="1"/>
      <c r="N176" s="1"/>
      <c r="O176" s="1"/>
    </row>
    <row r="177">
      <c r="A177" s="43">
        <f>Sheet11!A177</f>
        <v>45684.66667</v>
      </c>
      <c r="B177" s="44">
        <f t="shared" si="2"/>
        <v>45688</v>
      </c>
      <c r="C177" s="4">
        <f>('Equity Price Data'!B179-'Equity Price Data'!B178)/'Equity Price Data'!B178</f>
        <v>0.0009081357297</v>
      </c>
      <c r="D177" s="4">
        <f t="shared" si="3"/>
        <v>0.0007097230313</v>
      </c>
      <c r="E177" s="4">
        <f>('Equity Price Data'!C179-'Equity Price Data'!C178)/'Equity Price Data'!C178</f>
        <v>-0.01458064262</v>
      </c>
      <c r="F177" s="4">
        <f>('Equity Price Data'!D179-'Equity Price Data'!D178)/'Equity Price Data'!D178</f>
        <v>-0.03069363496</v>
      </c>
      <c r="G177" s="4">
        <f>('Equity Price Data'!E179-'Equity Price Data'!E178)/'Equity Price Data'!E178</f>
        <v>0.006512884292</v>
      </c>
      <c r="H177" s="4">
        <f>('Equity Price Data'!F179-'Equity Price Data'!F178)/'Equity Price Data'!F178</f>
        <v>-0.01027845425</v>
      </c>
      <c r="L177" s="1"/>
      <c r="M177" s="1"/>
      <c r="N177" s="1"/>
      <c r="O177" s="1"/>
    </row>
    <row r="178">
      <c r="A178" s="43">
        <f>Sheet11!A178</f>
        <v>45685.66667</v>
      </c>
      <c r="B178" s="44">
        <f t="shared" si="2"/>
        <v>45688</v>
      </c>
      <c r="C178" s="4">
        <f>('Equity Price Data'!B180-'Equity Price Data'!B179)/'Equity Price Data'!B179</f>
        <v>-0.0001497633115</v>
      </c>
      <c r="D178" s="4">
        <f t="shared" si="3"/>
        <v>-0.0003481760099</v>
      </c>
      <c r="E178" s="4">
        <f>('Equity Price Data'!C180-'Equity Price Data'!C179)/'Equity Price Data'!C179</f>
        <v>0.009217800901</v>
      </c>
      <c r="F178" s="4">
        <f>('Equity Price Data'!D180-'Equity Price Data'!D179)/'Equity Price Data'!D179</f>
        <v>0.02025454675</v>
      </c>
      <c r="G178" s="4">
        <f>('Equity Price Data'!E180-'Equity Price Data'!E179)/'Equity Price Data'!E179</f>
        <v>0.00305880227</v>
      </c>
      <c r="H178" s="4">
        <f>('Equity Price Data'!F180-'Equity Price Data'!F179)/'Equity Price Data'!F179</f>
        <v>0.002119070761</v>
      </c>
      <c r="L178" s="1"/>
      <c r="M178" s="1"/>
      <c r="N178" s="1"/>
      <c r="O178" s="1"/>
    </row>
    <row r="179">
      <c r="A179" s="43">
        <f>Sheet11!A179</f>
        <v>45686.66667</v>
      </c>
      <c r="B179" s="44">
        <f t="shared" si="2"/>
        <v>45688</v>
      </c>
      <c r="C179" s="4">
        <f>('Equity Price Data'!B181-'Equity Price Data'!B180)/'Equity Price Data'!B180</f>
        <v>-0.0004237891906</v>
      </c>
      <c r="D179" s="4">
        <f t="shared" si="3"/>
        <v>-0.0006222018891</v>
      </c>
      <c r="E179" s="4">
        <f>('Equity Price Data'!C181-'Equity Price Data'!C180)/'Equity Price Data'!C180</f>
        <v>-0.004678873379</v>
      </c>
      <c r="F179" s="4">
        <f>('Equity Price Data'!D181-'Equity Price Data'!D180)/'Equity Price Data'!D180</f>
        <v>-0.005131858927</v>
      </c>
      <c r="G179" s="4">
        <f>('Equity Price Data'!E181-'Equity Price Data'!E180)/'Equity Price Data'!E180</f>
        <v>-0.003050812313</v>
      </c>
      <c r="H179" s="4">
        <f>('Equity Price Data'!F181-'Equity Price Data'!F180)/'Equity Price Data'!F180</f>
        <v>-0.002516536616</v>
      </c>
      <c r="L179" s="1"/>
      <c r="M179" s="1"/>
      <c r="N179" s="1"/>
      <c r="O179" s="1"/>
    </row>
    <row r="180">
      <c r="A180" s="43">
        <f>Sheet11!A180</f>
        <v>45687.66667</v>
      </c>
      <c r="B180" s="44">
        <f t="shared" si="2"/>
        <v>45688</v>
      </c>
      <c r="C180" s="4">
        <f>('Equity Price Data'!B182-'Equity Price Data'!B181)/'Equity Price Data'!B181</f>
        <v>-0.01823300698</v>
      </c>
      <c r="D180" s="4">
        <f t="shared" si="3"/>
        <v>-0.01843141967</v>
      </c>
      <c r="E180" s="4">
        <f>('Equity Price Data'!C182-'Equity Price Data'!C181)/'Equity Price Data'!C181</f>
        <v>0.005275437095</v>
      </c>
      <c r="F180" s="4">
        <f>('Equity Price Data'!D182-'Equity Price Data'!D181)/'Equity Price Data'!D181</f>
        <v>0.002517786996</v>
      </c>
      <c r="G180" s="4">
        <f>('Equity Price Data'!E182-'Equity Price Data'!E181)/'Equity Price Data'!E181</f>
        <v>0.003770895246</v>
      </c>
      <c r="H180" s="4">
        <f>('Equity Price Data'!F182-'Equity Price Data'!F181)/'Equity Price Data'!F181</f>
        <v>0.01066532346</v>
      </c>
      <c r="L180" s="1"/>
      <c r="M180" s="1"/>
      <c r="N180" s="1"/>
      <c r="O180" s="1"/>
    </row>
    <row r="181">
      <c r="A181" s="43">
        <f>Sheet11!A181</f>
        <v>45688.66667</v>
      </c>
      <c r="B181" s="44">
        <f t="shared" si="2"/>
        <v>45688</v>
      </c>
      <c r="C181" s="4">
        <f>('Equity Price Data'!B183-'Equity Price Data'!B182)/'Equity Price Data'!B182</f>
        <v>-0.0127355523</v>
      </c>
      <c r="D181" s="4">
        <f t="shared" si="3"/>
        <v>-0.01293396499</v>
      </c>
      <c r="E181" s="4">
        <f>('Equity Price Data'!C183-'Equity Price Data'!C182)/'Equity Price Data'!C182</f>
        <v>-0.00504680317</v>
      </c>
      <c r="F181" s="4">
        <f>('Equity Price Data'!D183-'Equity Price Data'!D182)/'Equity Price Data'!D182</f>
        <v>-0.002759409097</v>
      </c>
      <c r="G181" s="4">
        <f>('Equity Price Data'!E183-'Equity Price Data'!E182)/'Equity Price Data'!E182</f>
        <v>-0.007519028174</v>
      </c>
      <c r="H181" s="4">
        <f>('Equity Price Data'!F183-'Equity Price Data'!F182)/'Equity Price Data'!F182</f>
        <v>-0.008563565841</v>
      </c>
      <c r="L181" s="1"/>
      <c r="M181" s="1"/>
      <c r="N181" s="1"/>
      <c r="O181" s="1"/>
    </row>
    <row r="182">
      <c r="A182" s="43">
        <f>Sheet11!A182</f>
        <v>45691.66667</v>
      </c>
      <c r="B182" s="44">
        <f t="shared" si="2"/>
        <v>45716</v>
      </c>
      <c r="C182" s="4">
        <f>('Equity Price Data'!B184-'Equity Price Data'!B183)/'Equity Price Data'!B183</f>
        <v>-0.006477557017</v>
      </c>
      <c r="D182" s="4">
        <f t="shared" si="3"/>
        <v>-0.006675969715</v>
      </c>
      <c r="E182" s="4">
        <f>('Equity Price Data'!C184-'Equity Price Data'!C183)/'Equity Price Data'!C183</f>
        <v>-0.007608603881</v>
      </c>
      <c r="F182" s="4">
        <f>('Equity Price Data'!D184-'Equity Price Data'!D183)/'Equity Price Data'!D183</f>
        <v>-0.01199748923</v>
      </c>
      <c r="G182" s="4">
        <f>('Equity Price Data'!E184-'Equity Price Data'!E183)/'Equity Price Data'!E183</f>
        <v>-0.002755661397</v>
      </c>
      <c r="H182" s="4">
        <f>('Equity Price Data'!F184-'Equity Price Data'!F183)/'Equity Price Data'!F183</f>
        <v>-0.0127945657</v>
      </c>
      <c r="L182" s="1"/>
      <c r="M182" s="1"/>
      <c r="N182" s="1"/>
      <c r="O182" s="1"/>
    </row>
    <row r="183">
      <c r="A183" s="43">
        <f>Sheet11!A183</f>
        <v>45692.66667</v>
      </c>
      <c r="B183" s="44">
        <f t="shared" si="2"/>
        <v>45716</v>
      </c>
      <c r="C183" s="4">
        <f>('Equity Price Data'!B185-'Equity Price Data'!B184)/'Equity Price Data'!B184</f>
        <v>0.01010053299</v>
      </c>
      <c r="D183" s="4">
        <f t="shared" si="3"/>
        <v>0.009902120291</v>
      </c>
      <c r="E183" s="4">
        <f>('Equity Price Data'!C185-'Equity Price Data'!C184)/'Equity Price Data'!C184</f>
        <v>0.007224871842</v>
      </c>
      <c r="F183" s="4">
        <f>('Equity Price Data'!D185-'Equity Price Data'!D184)/'Equity Price Data'!D184</f>
        <v>0.01351384801</v>
      </c>
      <c r="G183" s="4">
        <f>('Equity Price Data'!E185-'Equity Price Data'!E184)/'Equity Price Data'!E184</f>
        <v>0.00301945594</v>
      </c>
      <c r="H183" s="4">
        <f>('Equity Price Data'!F185-'Equity Price Data'!F184)/'Equity Price Data'!F184</f>
        <v>0.01407621257</v>
      </c>
      <c r="L183" s="1"/>
      <c r="M183" s="1"/>
      <c r="N183" s="1"/>
      <c r="O183" s="1"/>
    </row>
    <row r="184">
      <c r="A184" s="43">
        <f>Sheet11!A184</f>
        <v>45693.66667</v>
      </c>
      <c r="B184" s="44">
        <f t="shared" si="2"/>
        <v>45716</v>
      </c>
      <c r="C184" s="4">
        <f>('Equity Price Data'!B186-'Equity Price Data'!B185)/'Equity Price Data'!B185</f>
        <v>0.004285673871</v>
      </c>
      <c r="D184" s="4">
        <f t="shared" si="3"/>
        <v>0.004087261173</v>
      </c>
      <c r="E184" s="4">
        <f>('Equity Price Data'!C186-'Equity Price Data'!C185)/'Equity Price Data'!C185</f>
        <v>0.003908656681</v>
      </c>
      <c r="F184" s="4">
        <f>('Equity Price Data'!D186-'Equity Price Data'!D185)/'Equity Price Data'!D185</f>
        <v>0.001949219549</v>
      </c>
      <c r="G184" s="4">
        <f>('Equity Price Data'!E186-'Equity Price Data'!E185)/'Equity Price Data'!E185</f>
        <v>0.007120022336</v>
      </c>
      <c r="H184" s="4">
        <f>('Equity Price Data'!F186-'Equity Price Data'!F185)/'Equity Price Data'!F185</f>
        <v>0.01136140354</v>
      </c>
      <c r="L184" s="1"/>
      <c r="M184" s="1"/>
      <c r="N184" s="1"/>
      <c r="O184" s="1"/>
    </row>
    <row r="185">
      <c r="A185" s="43">
        <f>Sheet11!A185</f>
        <v>45694.66667</v>
      </c>
      <c r="B185" s="44">
        <f t="shared" si="2"/>
        <v>45716</v>
      </c>
      <c r="C185" s="4">
        <f>('Equity Price Data'!B187-'Equity Price Data'!B186)/'Equity Price Data'!B186</f>
        <v>0.005505419804</v>
      </c>
      <c r="D185" s="4">
        <f t="shared" si="3"/>
        <v>0.005307007106</v>
      </c>
      <c r="E185" s="4">
        <f>('Equity Price Data'!C187-'Equity Price Data'!C186)/'Equity Price Data'!C186</f>
        <v>0.003644324488</v>
      </c>
      <c r="F185" s="4">
        <f>('Equity Price Data'!D187-'Equity Price Data'!D186)/'Equity Price Data'!D186</f>
        <v>0.005060853642</v>
      </c>
      <c r="G185" s="4">
        <f>('Equity Price Data'!E187-'Equity Price Data'!E186)/'Equity Price Data'!E186</f>
        <v>-0.002800107324</v>
      </c>
      <c r="H185" s="4">
        <f>('Equity Price Data'!F187-'Equity Price Data'!F186)/'Equity Price Data'!F186</f>
        <v>-0.003933115451</v>
      </c>
      <c r="L185" s="1"/>
      <c r="M185" s="1"/>
      <c r="N185" s="1"/>
      <c r="O185" s="1"/>
    </row>
    <row r="186">
      <c r="A186" s="43">
        <f>Sheet11!A186</f>
        <v>45695.66667</v>
      </c>
      <c r="B186" s="44">
        <f t="shared" si="2"/>
        <v>45716</v>
      </c>
      <c r="C186" s="4">
        <f>('Equity Price Data'!B188-'Equity Price Data'!B187)/'Equity Price Data'!B187</f>
        <v>-0.008532306813</v>
      </c>
      <c r="D186" s="4">
        <f t="shared" si="3"/>
        <v>-0.008730719511</v>
      </c>
      <c r="E186" s="4">
        <f>('Equity Price Data'!C188-'Equity Price Data'!C187)/'Equity Price Data'!C187</f>
        <v>-0.009464837258</v>
      </c>
      <c r="F186" s="4">
        <f>('Equity Price Data'!D188-'Equity Price Data'!D187)/'Equity Price Data'!D187</f>
        <v>-0.01357064146</v>
      </c>
      <c r="G186" s="4">
        <f>('Equity Price Data'!E188-'Equity Price Data'!E187)/'Equity Price Data'!E187</f>
        <v>-0.009927453141</v>
      </c>
      <c r="H186" s="4">
        <f>('Equity Price Data'!F188-'Equity Price Data'!F187)/'Equity Price Data'!F187</f>
        <v>-0.01188061306</v>
      </c>
      <c r="L186" s="1"/>
      <c r="M186" s="1"/>
      <c r="N186" s="1"/>
      <c r="O186" s="1"/>
    </row>
    <row r="187">
      <c r="A187" s="43">
        <f>Sheet11!A187</f>
        <v>45698.66667</v>
      </c>
      <c r="B187" s="44">
        <f t="shared" si="2"/>
        <v>45716</v>
      </c>
      <c r="C187" s="4">
        <f>('Equity Price Data'!B189-'Equity Price Data'!B188)/'Equity Price Data'!B188</f>
        <v>0.007060238576</v>
      </c>
      <c r="D187" s="4">
        <f t="shared" si="3"/>
        <v>0.006861825878</v>
      </c>
      <c r="E187" s="4">
        <f>('Equity Price Data'!C189-'Equity Price Data'!C188)/'Equity Price Data'!C188</f>
        <v>0.006712589964</v>
      </c>
      <c r="F187" s="4">
        <f>('Equity Price Data'!D189-'Equity Price Data'!D188)/'Equity Price Data'!D188</f>
        <v>0.00977647336</v>
      </c>
      <c r="G187" s="4">
        <f>('Equity Price Data'!E189-'Equity Price Data'!E188)/'Equity Price Data'!E188</f>
        <v>0.003769688105</v>
      </c>
      <c r="H187" s="4">
        <f>('Equity Price Data'!F189-'Equity Price Data'!F188)/'Equity Price Data'!F188</f>
        <v>0.003610108303</v>
      </c>
      <c r="L187" s="1"/>
      <c r="M187" s="1"/>
      <c r="N187" s="1"/>
      <c r="O187" s="1"/>
    </row>
    <row r="188">
      <c r="A188" s="43">
        <f>Sheet11!A188</f>
        <v>45699.66667</v>
      </c>
      <c r="B188" s="44">
        <f t="shared" si="2"/>
        <v>45716</v>
      </c>
      <c r="C188" s="4">
        <f>('Equity Price Data'!B190-'Equity Price Data'!B189)/'Equity Price Data'!B189</f>
        <v>0.002172433564</v>
      </c>
      <c r="D188" s="4">
        <f t="shared" si="3"/>
        <v>0.001974020866</v>
      </c>
      <c r="E188" s="4">
        <f>('Equity Price Data'!C190-'Equity Price Data'!C189)/'Equity Price Data'!C189</f>
        <v>0.0003395731269</v>
      </c>
      <c r="F188" s="4">
        <f>('Equity Price Data'!D190-'Equity Price Data'!D189)/'Equity Price Data'!D189</f>
        <v>-0.003571524586</v>
      </c>
      <c r="G188" s="4">
        <f>('Equity Price Data'!E190-'Equity Price Data'!E189)/'Equity Price Data'!E189</f>
        <v>0.002771280948</v>
      </c>
      <c r="H188" s="4">
        <f>('Equity Price Data'!F190-'Equity Price Data'!F189)/'Equity Price Data'!F189</f>
        <v>-0.005349790641</v>
      </c>
      <c r="L188" s="1"/>
      <c r="M188" s="1"/>
      <c r="N188" s="1"/>
      <c r="O188" s="1"/>
    </row>
    <row r="189">
      <c r="A189" s="43">
        <f>Sheet11!A189</f>
        <v>45700.66667</v>
      </c>
      <c r="B189" s="44">
        <f t="shared" si="2"/>
        <v>45716</v>
      </c>
      <c r="C189" s="4">
        <f>('Equity Price Data'!B191-'Equity Price Data'!B190)/'Equity Price Data'!B190</f>
        <v>-0.003117988395</v>
      </c>
      <c r="D189" s="4">
        <f t="shared" si="3"/>
        <v>-0.003316401094</v>
      </c>
      <c r="E189" s="4">
        <f>('Equity Price Data'!C191-'Equity Price Data'!C190)/'Equity Price Data'!C190</f>
        <v>-0.002723902117</v>
      </c>
      <c r="F189" s="4">
        <f>('Equity Price Data'!D191-'Equity Price Data'!D190)/'Equity Price Data'!D190</f>
        <v>0.0003100205357</v>
      </c>
      <c r="G189" s="4">
        <f>('Equity Price Data'!E191-'Equity Price Data'!E190)/'Equity Price Data'!E190</f>
        <v>-0.005047579644</v>
      </c>
      <c r="H189" s="4">
        <f>('Equity Price Data'!F191-'Equity Price Data'!F190)/'Equity Price Data'!F190</f>
        <v>-0.008705013842</v>
      </c>
      <c r="L189" s="1"/>
      <c r="M189" s="1"/>
      <c r="N189" s="1"/>
      <c r="O189" s="1"/>
    </row>
    <row r="190">
      <c r="A190" s="43">
        <f>Sheet11!A190</f>
        <v>45701.66667</v>
      </c>
      <c r="B190" s="44">
        <f t="shared" si="2"/>
        <v>45716</v>
      </c>
      <c r="C190" s="4">
        <f>('Equity Price Data'!B192-'Equity Price Data'!B191)/'Equity Price Data'!B191</f>
        <v>0.01570812577</v>
      </c>
      <c r="D190" s="4">
        <f t="shared" si="3"/>
        <v>0.01550971307</v>
      </c>
      <c r="E190" s="4">
        <f>('Equity Price Data'!C192-'Equity Price Data'!C191)/'Equity Price Data'!C191</f>
        <v>0.01042635704</v>
      </c>
      <c r="F190" s="4">
        <f>('Equity Price Data'!D192-'Equity Price Data'!D191)/'Equity Price Data'!D191</f>
        <v>0.01504787544</v>
      </c>
      <c r="G190" s="4">
        <f>('Equity Price Data'!E192-'Equity Price Data'!E191)/'Equity Price Data'!E191</f>
        <v>0.007727769393</v>
      </c>
      <c r="H190" s="4">
        <f>('Equity Price Data'!F192-'Equity Price Data'!F191)/'Equity Price Data'!F191</f>
        <v>0.01165393703</v>
      </c>
      <c r="L190" s="1"/>
      <c r="M190" s="1"/>
      <c r="N190" s="1"/>
      <c r="O190" s="1"/>
    </row>
    <row r="191">
      <c r="A191" s="43">
        <f>Sheet11!A191</f>
        <v>45702.66667</v>
      </c>
      <c r="B191" s="44">
        <f t="shared" si="2"/>
        <v>45716</v>
      </c>
      <c r="C191" s="4">
        <f>('Equity Price Data'!B193-'Equity Price Data'!B192)/'Equity Price Data'!B192</f>
        <v>-0.001812843049</v>
      </c>
      <c r="D191" s="4">
        <f t="shared" si="3"/>
        <v>-0.002011255748</v>
      </c>
      <c r="E191" s="4">
        <f>('Equity Price Data'!C193-'Equity Price Data'!C192)/'Equity Price Data'!C192</f>
        <v>-0.00007195338729</v>
      </c>
      <c r="F191" s="4">
        <f>('Equity Price Data'!D193-'Equity Price Data'!D192)/'Equity Price Data'!D192</f>
        <v>0.004067555616</v>
      </c>
      <c r="G191" s="4">
        <f>('Equity Price Data'!E193-'Equity Price Data'!E192)/'Equity Price Data'!E192</f>
        <v>-0.003698159509</v>
      </c>
      <c r="H191" s="4">
        <f>('Equity Price Data'!F193-'Equity Price Data'!F192)/'Equity Price Data'!F192</f>
        <v>-0.0009639905704</v>
      </c>
      <c r="L191" s="1"/>
      <c r="M191" s="1"/>
      <c r="N191" s="1"/>
      <c r="O191" s="1"/>
    </row>
    <row r="192">
      <c r="A192" s="43">
        <f>Sheet11!A192</f>
        <v>45706.66667</v>
      </c>
      <c r="B192" s="44">
        <f t="shared" si="2"/>
        <v>45716</v>
      </c>
      <c r="C192" s="4">
        <f>('Equity Price Data'!B194-'Equity Price Data'!B193)/'Equity Price Data'!B193</f>
        <v>0.002403638973</v>
      </c>
      <c r="D192" s="4">
        <f t="shared" si="3"/>
        <v>0.002205226275</v>
      </c>
      <c r="E192" s="4">
        <f>('Equity Price Data'!C194-'Equity Price Data'!C193)/'Equity Price Data'!C193</f>
        <v>0.002444955786</v>
      </c>
      <c r="F192" s="4">
        <f>('Equity Price Data'!D194-'Equity Price Data'!D193)/'Equity Price Data'!D193</f>
        <v>0.000723531553</v>
      </c>
      <c r="G192" s="4">
        <f>('Equity Price Data'!E194-'Equity Price Data'!E193)/'Equity Price Data'!E193</f>
        <v>0.0002303232967</v>
      </c>
      <c r="H192" s="4">
        <f>('Equity Price Data'!F194-'Equity Price Data'!F193)/'Equity Price Data'!F193</f>
        <v>0.004548285511</v>
      </c>
      <c r="L192" s="1"/>
      <c r="M192" s="1"/>
      <c r="N192" s="1"/>
      <c r="O192" s="1"/>
    </row>
    <row r="193">
      <c r="A193" s="43">
        <f>Sheet11!A193</f>
        <v>45707.66667</v>
      </c>
      <c r="B193" s="44">
        <f t="shared" si="2"/>
        <v>45716</v>
      </c>
      <c r="C193" s="4">
        <f>('Equity Price Data'!B195-'Equity Price Data'!B194)/'Equity Price Data'!B194</f>
        <v>-0.001611303034</v>
      </c>
      <c r="D193" s="4">
        <f t="shared" si="3"/>
        <v>-0.001809715733</v>
      </c>
      <c r="E193" s="4">
        <f>('Equity Price Data'!C195-'Equity Price Data'!C194)/'Equity Price Data'!C194</f>
        <v>0.002376998098</v>
      </c>
      <c r="F193" s="4">
        <f>('Equity Price Data'!D195-'Equity Price Data'!D194)/'Equity Price Data'!D194</f>
        <v>0.0007479569648</v>
      </c>
      <c r="G193" s="4">
        <f>('Equity Price Data'!E195-'Equity Price Data'!E194)/'Equity Price Data'!E194</f>
        <v>0.001599099028</v>
      </c>
      <c r="H193" s="4">
        <f>('Equity Price Data'!F195-'Equity Price Data'!F194)/'Equity Price Data'!F194</f>
        <v>-0.003444888336</v>
      </c>
      <c r="L193" s="1"/>
      <c r="M193" s="1"/>
      <c r="N193" s="1"/>
      <c r="O193" s="1"/>
    </row>
    <row r="194">
      <c r="A194" s="43">
        <f>Sheet11!A194</f>
        <v>45708.66667</v>
      </c>
      <c r="B194" s="44">
        <f t="shared" si="2"/>
        <v>45716</v>
      </c>
      <c r="C194" s="4">
        <f>('Equity Price Data'!B196-'Equity Price Data'!B195)/'Equity Price Data'!B195</f>
        <v>-0.003950692351</v>
      </c>
      <c r="D194" s="4">
        <f t="shared" si="3"/>
        <v>-0.004149105049</v>
      </c>
      <c r="E194" s="4">
        <f>('Equity Price Data'!C196-'Equity Price Data'!C195)/'Equity Price Data'!C195</f>
        <v>-0.00433420408</v>
      </c>
      <c r="F194" s="4">
        <f>('Equity Price Data'!D196-'Equity Price Data'!D195)/'Equity Price Data'!D195</f>
        <v>-0.004681333749</v>
      </c>
      <c r="G194" s="4">
        <f>('Equity Price Data'!E196-'Equity Price Data'!E195)/'Equity Price Data'!E195</f>
        <v>-0.01010451158</v>
      </c>
      <c r="H194" s="4">
        <f>('Equity Price Data'!F196-'Equity Price Data'!F195)/'Equity Price Data'!F195</f>
        <v>-0.009077924695</v>
      </c>
      <c r="L194" s="1"/>
      <c r="M194" s="1"/>
      <c r="N194" s="1"/>
      <c r="O194" s="1"/>
    </row>
    <row r="195">
      <c r="A195" s="43">
        <f>Sheet11!A195</f>
        <v>45709.66667</v>
      </c>
      <c r="B195" s="44">
        <f t="shared" si="2"/>
        <v>45716</v>
      </c>
      <c r="C195" s="4">
        <f>('Equity Price Data'!B197-'Equity Price Data'!B196)/'Equity Price Data'!B196</f>
        <v>-0.01441997241</v>
      </c>
      <c r="D195" s="4">
        <f t="shared" si="3"/>
        <v>-0.01461838511</v>
      </c>
      <c r="E195" s="4">
        <f>('Equity Price Data'!C197-'Equity Price Data'!C196)/'Equity Price Data'!C196</f>
        <v>-0.01706410441</v>
      </c>
      <c r="F195" s="4">
        <f>('Equity Price Data'!D197-'Equity Price Data'!D196)/'Equity Price Data'!D196</f>
        <v>-0.02195882651</v>
      </c>
      <c r="G195" s="4">
        <f>('Equity Price Data'!E197-'Equity Price Data'!E196)/'Equity Price Data'!E196</f>
        <v>-0.01694628271</v>
      </c>
      <c r="H195" s="4">
        <f>('Equity Price Data'!F197-'Equity Price Data'!F196)/'Equity Price Data'!F196</f>
        <v>-0.02935350659</v>
      </c>
      <c r="L195" s="1"/>
      <c r="M195" s="1"/>
      <c r="N195" s="1"/>
      <c r="O195" s="1"/>
    </row>
    <row r="196">
      <c r="A196" s="43">
        <f>Sheet11!A196</f>
        <v>45712.66667</v>
      </c>
      <c r="B196" s="44">
        <f t="shared" si="2"/>
        <v>45716</v>
      </c>
      <c r="C196" s="4">
        <f>('Equity Price Data'!B198-'Equity Price Data'!B197)/'Equity Price Data'!B197</f>
        <v>-0.002023660296</v>
      </c>
      <c r="D196" s="4">
        <f t="shared" si="3"/>
        <v>-0.002222072994</v>
      </c>
      <c r="E196" s="4">
        <f>('Equity Price Data'!C198-'Equity Price Data'!C197)/'Equity Price Data'!C197</f>
        <v>-0.004969125896</v>
      </c>
      <c r="F196" s="4">
        <f>('Equity Price Data'!D198-'Equity Price Data'!D197)/'Equity Price Data'!D197</f>
        <v>-0.01214299726</v>
      </c>
      <c r="G196" s="4">
        <f>('Equity Price Data'!E198-'Equity Price Data'!E197)/'Equity Price Data'!E197</f>
        <v>0.0007642531251</v>
      </c>
      <c r="H196" s="4">
        <f>('Equity Price Data'!F198-'Equity Price Data'!F197)/'Equity Price Data'!F197</f>
        <v>-0.007780080625</v>
      </c>
      <c r="L196" s="1"/>
      <c r="M196" s="1"/>
      <c r="N196" s="1"/>
      <c r="O196" s="1"/>
    </row>
    <row r="197">
      <c r="A197" s="43">
        <f>Sheet11!A197</f>
        <v>45713.66667</v>
      </c>
      <c r="B197" s="44">
        <f t="shared" si="2"/>
        <v>45716</v>
      </c>
      <c r="C197" s="4">
        <f>('Equity Price Data'!B199-'Equity Price Data'!B198)/'Equity Price Data'!B198</f>
        <v>0.002014416824</v>
      </c>
      <c r="D197" s="4">
        <f t="shared" si="3"/>
        <v>0.001816004125</v>
      </c>
      <c r="E197" s="4">
        <f>('Equity Price Data'!C199-'Equity Price Data'!C198)/'Equity Price Data'!C198</f>
        <v>-0.004679730915</v>
      </c>
      <c r="F197" s="4">
        <f>('Equity Price Data'!D199-'Equity Price Data'!D198)/'Equity Price Data'!D198</f>
        <v>-0.01350862994</v>
      </c>
      <c r="G197" s="4">
        <f>('Equity Price Data'!E199-'Equity Price Data'!E198)/'Equity Price Data'!E198</f>
        <v>0.003680293301</v>
      </c>
      <c r="H197" s="4">
        <f>('Equity Price Data'!F199-'Equity Price Data'!F198)/'Equity Price Data'!F198</f>
        <v>-0.00375986448</v>
      </c>
      <c r="L197" s="1"/>
      <c r="M197" s="1"/>
      <c r="N197" s="1"/>
      <c r="O197" s="1"/>
    </row>
    <row r="198">
      <c r="A198" s="43">
        <f>Sheet11!A198</f>
        <v>45714.66667</v>
      </c>
      <c r="B198" s="44">
        <f t="shared" si="2"/>
        <v>45716</v>
      </c>
      <c r="C198" s="4">
        <f>('Equity Price Data'!B200-'Equity Price Data'!B199)/'Equity Price Data'!B199</f>
        <v>-0.0001979046161</v>
      </c>
      <c r="D198" s="4">
        <f t="shared" si="3"/>
        <v>-0.0003963173145</v>
      </c>
      <c r="E198" s="4">
        <f>('Equity Price Data'!C200-'Equity Price Data'!C199)/'Equity Price Data'!C199</f>
        <v>0.000136014441</v>
      </c>
      <c r="F198" s="4">
        <f>('Equity Price Data'!D200-'Equity Price Data'!D199)/'Equity Price Data'!D199</f>
        <v>0.002568537699</v>
      </c>
      <c r="G198" s="4">
        <f>('Equity Price Data'!E200-'Equity Price Data'!E199)/'Equity Price Data'!E199</f>
        <v>-0.004310751938</v>
      </c>
      <c r="H198" s="4">
        <f>('Equity Price Data'!F200-'Equity Price Data'!F199)/'Equity Price Data'!F199</f>
        <v>0.001884723144</v>
      </c>
      <c r="L198" s="1"/>
      <c r="M198" s="1"/>
      <c r="N198" s="1"/>
      <c r="O198" s="1"/>
    </row>
    <row r="199">
      <c r="A199" s="43">
        <f>Sheet11!A199</f>
        <v>45715.66667</v>
      </c>
      <c r="B199" s="44">
        <f t="shared" si="2"/>
        <v>45716</v>
      </c>
      <c r="C199" s="4">
        <f>('Equity Price Data'!B201-'Equity Price Data'!B200)/'Equity Price Data'!B200</f>
        <v>-0.008436409737</v>
      </c>
      <c r="D199" s="4">
        <f t="shared" si="3"/>
        <v>-0.008634822435</v>
      </c>
      <c r="E199" s="4">
        <f>('Equity Price Data'!C201-'Equity Price Data'!C200)/'Equity Price Data'!C200</f>
        <v>-0.01586451446</v>
      </c>
      <c r="F199" s="4">
        <f>('Equity Price Data'!D201-'Equity Price Data'!D200)/'Equity Price Data'!D200</f>
        <v>-0.02782871636</v>
      </c>
      <c r="G199" s="4">
        <f>('Equity Price Data'!E201-'Equity Price Data'!E200)/'Equity Price Data'!E200</f>
        <v>-0.004457888358</v>
      </c>
      <c r="H199" s="4">
        <f>('Equity Price Data'!F201-'Equity Price Data'!F200)/'Equity Price Data'!F200</f>
        <v>-0.01587272384</v>
      </c>
      <c r="L199" s="1"/>
      <c r="M199" s="1"/>
      <c r="N199" s="1"/>
      <c r="O199" s="1"/>
    </row>
    <row r="200">
      <c r="A200" s="43">
        <f>Sheet11!A200</f>
        <v>45716.66667</v>
      </c>
      <c r="B200" s="44">
        <f t="shared" si="2"/>
        <v>45716</v>
      </c>
      <c r="C200" s="4">
        <f>('Equity Price Data'!B202-'Equity Price Data'!B201)/'Equity Price Data'!B201</f>
        <v>0.01446314322</v>
      </c>
      <c r="D200" s="4">
        <f t="shared" si="3"/>
        <v>0.01426473052</v>
      </c>
      <c r="E200" s="4">
        <f>('Equity Price Data'!C202-'Equity Price Data'!C201)/'Equity Price Data'!C201</f>
        <v>0.01585411417</v>
      </c>
      <c r="F200" s="4">
        <f>('Equity Price Data'!D202-'Equity Price Data'!D201)/'Equity Price Data'!D201</f>
        <v>0.01633159732</v>
      </c>
      <c r="G200" s="4">
        <f>('Equity Price Data'!E202-'Equity Price Data'!E201)/'Equity Price Data'!E201</f>
        <v>0.01390881023</v>
      </c>
      <c r="H200" s="4">
        <f>('Equity Price Data'!F202-'Equity Price Data'!F201)/'Equity Price Data'!F201</f>
        <v>0.01094099062</v>
      </c>
      <c r="L200" s="1"/>
      <c r="M200" s="1"/>
      <c r="N200" s="1"/>
      <c r="O200" s="1"/>
    </row>
    <row r="201">
      <c r="A201" s="43">
        <f>Sheet11!A201</f>
        <v>45719.66667</v>
      </c>
      <c r="B201" s="44">
        <f t="shared" si="2"/>
        <v>45747</v>
      </c>
      <c r="C201" s="4">
        <f>('Equity Price Data'!B203-'Equity Price Data'!B202)/'Equity Price Data'!B202</f>
        <v>-0.01190489121</v>
      </c>
      <c r="D201" s="4">
        <f t="shared" si="3"/>
        <v>-0.01210330391</v>
      </c>
      <c r="E201" s="4">
        <f>('Equity Price Data'!C203-'Equity Price Data'!C202)/'Equity Price Data'!C202</f>
        <v>-0.01759677555</v>
      </c>
      <c r="F201" s="4">
        <f>('Equity Price Data'!D203-'Equity Price Data'!D202)/'Equity Price Data'!D202</f>
        <v>-0.02637462806</v>
      </c>
      <c r="G201" s="4">
        <f>('Equity Price Data'!E203-'Equity Price Data'!E202)/'Equity Price Data'!E202</f>
        <v>-0.01481880737</v>
      </c>
      <c r="H201" s="4">
        <f>('Equity Price Data'!F203-'Equity Price Data'!F202)/'Equity Price Data'!F202</f>
        <v>-0.02812206725</v>
      </c>
      <c r="L201" s="1"/>
      <c r="M201" s="1"/>
      <c r="N201" s="1"/>
      <c r="O201" s="1"/>
    </row>
    <row r="202">
      <c r="A202" s="43">
        <f>Sheet11!A202</f>
        <v>45720.66667</v>
      </c>
      <c r="B202" s="44">
        <f t="shared" si="2"/>
        <v>45747</v>
      </c>
      <c r="C202" s="4">
        <f>('Equity Price Data'!B204-'Equity Price Data'!B203)/'Equity Price Data'!B203</f>
        <v>-0.01257773678</v>
      </c>
      <c r="D202" s="4">
        <f t="shared" si="3"/>
        <v>-0.01277614948</v>
      </c>
      <c r="E202" s="4">
        <f>('Equity Price Data'!C204-'Equity Price Data'!C203)/'Equity Price Data'!C203</f>
        <v>-0.01223477363</v>
      </c>
      <c r="F202" s="4">
        <f>('Equity Price Data'!D204-'Equity Price Data'!D203)/'Equity Price Data'!D203</f>
        <v>-0.003543832516</v>
      </c>
      <c r="G202" s="4">
        <f>('Equity Price Data'!E204-'Equity Price Data'!E203)/'Equity Price Data'!E203</f>
        <v>-0.01551819304</v>
      </c>
      <c r="H202" s="4">
        <f>('Equity Price Data'!F204-'Equity Price Data'!F203)/'Equity Price Data'!F203</f>
        <v>-0.01080276277</v>
      </c>
      <c r="L202" s="1"/>
      <c r="M202" s="1"/>
      <c r="N202" s="1"/>
      <c r="O202" s="1"/>
    </row>
    <row r="203">
      <c r="A203" s="43">
        <f>Sheet11!A203</f>
        <v>45721.66667</v>
      </c>
      <c r="B203" s="44">
        <f t="shared" si="2"/>
        <v>45747</v>
      </c>
      <c r="C203" s="4">
        <f>('Equity Price Data'!B205-'Equity Price Data'!B204)/'Equity Price Data'!B204</f>
        <v>0.01181520752</v>
      </c>
      <c r="D203" s="4">
        <f t="shared" si="3"/>
        <v>0.01161679482</v>
      </c>
      <c r="E203" s="4">
        <f>('Equity Price Data'!C205-'Equity Price Data'!C204)/'Equity Price Data'!C204</f>
        <v>0.01115928108</v>
      </c>
      <c r="F203" s="4">
        <f>('Equity Price Data'!D205-'Equity Price Data'!D204)/'Equity Price Data'!D204</f>
        <v>0.01463317794</v>
      </c>
      <c r="G203" s="4">
        <f>('Equity Price Data'!E205-'Equity Price Data'!E204)/'Equity Price Data'!E204</f>
        <v>0.0114202421</v>
      </c>
      <c r="H203" s="4">
        <f>('Equity Price Data'!F205-'Equity Price Data'!F204)/'Equity Price Data'!F204</f>
        <v>0.01020422884</v>
      </c>
      <c r="L203" s="1"/>
      <c r="M203" s="1"/>
      <c r="N203" s="1"/>
      <c r="O203" s="1"/>
    </row>
    <row r="204">
      <c r="A204" s="43">
        <f>Sheet11!A204</f>
        <v>45722.66667</v>
      </c>
      <c r="B204" s="44">
        <f t="shared" si="2"/>
        <v>45747</v>
      </c>
      <c r="C204" s="4">
        <f>('Equity Price Data'!B206-'Equity Price Data'!B205)/'Equity Price Data'!B205</f>
        <v>-0.001377277145</v>
      </c>
      <c r="D204" s="4">
        <f t="shared" si="3"/>
        <v>-0.001575689843</v>
      </c>
      <c r="E204" s="4">
        <f>('Equity Price Data'!C206-'Equity Price Data'!C205)/'Equity Price Data'!C205</f>
        <v>-0.01781903013</v>
      </c>
      <c r="F204" s="4">
        <f>('Equity Price Data'!D206-'Equity Price Data'!D205)/'Equity Price Data'!D205</f>
        <v>-0.02605923764</v>
      </c>
      <c r="G204" s="4">
        <f>('Equity Price Data'!E206-'Equity Price Data'!E205)/'Equity Price Data'!E205</f>
        <v>-0.009940569573</v>
      </c>
      <c r="H204" s="4">
        <f>('Equity Price Data'!F206-'Equity Price Data'!F205)/'Equity Price Data'!F205</f>
        <v>-0.01627990004</v>
      </c>
      <c r="L204" s="1"/>
      <c r="M204" s="1"/>
      <c r="N204" s="1"/>
      <c r="O204" s="1"/>
    </row>
    <row r="205">
      <c r="A205" s="43">
        <f>Sheet11!A205</f>
        <v>45723.66667</v>
      </c>
      <c r="B205" s="44">
        <f t="shared" si="2"/>
        <v>45747</v>
      </c>
      <c r="C205" s="4">
        <f>('Equity Price Data'!B207-'Equity Price Data'!B206)/'Equity Price Data'!B206</f>
        <v>0.008568578254</v>
      </c>
      <c r="D205" s="4">
        <f t="shared" si="3"/>
        <v>0.008370165556</v>
      </c>
      <c r="E205" s="4">
        <f>('Equity Price Data'!C207-'Equity Price Data'!C206)/'Equity Price Data'!C206</f>
        <v>0.00552058719</v>
      </c>
      <c r="F205" s="4">
        <f>('Equity Price Data'!D207-'Equity Price Data'!D206)/'Equity Price Data'!D206</f>
        <v>0.007026297701</v>
      </c>
      <c r="G205" s="4">
        <f>('Equity Price Data'!E207-'Equity Price Data'!E206)/'Equity Price Data'!E206</f>
        <v>0.005228858867</v>
      </c>
      <c r="H205" s="4">
        <f>('Equity Price Data'!F207-'Equity Price Data'!F206)/'Equity Price Data'!F206</f>
        <v>0.004321211681</v>
      </c>
      <c r="L205" s="1"/>
      <c r="M205" s="1"/>
      <c r="N205" s="1"/>
      <c r="O205" s="1"/>
    </row>
    <row r="206">
      <c r="A206" s="43">
        <f>Sheet11!A206</f>
        <v>45726.66667</v>
      </c>
      <c r="B206" s="44">
        <f t="shared" si="2"/>
        <v>45747</v>
      </c>
      <c r="C206" s="4">
        <f>('Equity Price Data'!B208-'Equity Price Data'!B207)/'Equity Price Data'!B207</f>
        <v>-0.01839461635</v>
      </c>
      <c r="D206" s="4">
        <f t="shared" si="3"/>
        <v>-0.01859302905</v>
      </c>
      <c r="E206" s="4">
        <f>('Equity Price Data'!C208-'Equity Price Data'!C207)/'Equity Price Data'!C207</f>
        <v>-0.02697306852</v>
      </c>
      <c r="F206" s="4">
        <f>('Equity Price Data'!D208-'Equity Price Data'!D207)/'Equity Price Data'!D207</f>
        <v>-0.04000281377</v>
      </c>
      <c r="G206" s="4">
        <f>('Equity Price Data'!E208-'Equity Price Data'!E207)/'Equity Price Data'!E207</f>
        <v>-0.02079379053</v>
      </c>
      <c r="H206" s="4">
        <f>('Equity Price Data'!F208-'Equity Price Data'!F207)/'Equity Price Data'!F207</f>
        <v>-0.02717925492</v>
      </c>
      <c r="L206" s="1"/>
      <c r="M206" s="1"/>
      <c r="N206" s="1"/>
      <c r="O206" s="1"/>
    </row>
    <row r="207">
      <c r="A207" s="43">
        <f>Sheet11!A207</f>
        <v>45727.66667</v>
      </c>
      <c r="B207" s="44">
        <f t="shared" si="2"/>
        <v>45747</v>
      </c>
      <c r="C207" s="4">
        <f>('Equity Price Data'!B209-'Equity Price Data'!B208)/'Equity Price Data'!B208</f>
        <v>-0.01011291344</v>
      </c>
      <c r="D207" s="4">
        <f t="shared" si="3"/>
        <v>-0.01031132614</v>
      </c>
      <c r="E207" s="4">
        <f>('Equity Price Data'!C209-'Equity Price Data'!C208)/'Equity Price Data'!C208</f>
        <v>-0.007567823658</v>
      </c>
      <c r="F207" s="4">
        <f>('Equity Price Data'!D209-'Equity Price Data'!D208)/'Equity Price Data'!D208</f>
        <v>-0.001844481896</v>
      </c>
      <c r="G207" s="4">
        <f>('Equity Price Data'!E209-'Equity Price Data'!E208)/'Equity Price Data'!E208</f>
        <v>-0.01141041489</v>
      </c>
      <c r="H207" s="4">
        <f>('Equity Price Data'!F209-'Equity Price Data'!F208)/'Equity Price Data'!F208</f>
        <v>0.00223865443</v>
      </c>
      <c r="L207" s="1"/>
      <c r="M207" s="1"/>
      <c r="N207" s="1"/>
      <c r="O207" s="1"/>
    </row>
    <row r="208">
      <c r="A208" s="43">
        <f>Sheet11!A208</f>
        <v>45728.66667</v>
      </c>
      <c r="B208" s="44">
        <f t="shared" si="2"/>
        <v>45747</v>
      </c>
      <c r="C208" s="4">
        <f>('Equity Price Data'!B210-'Equity Price Data'!B209)/'Equity Price Data'!B209</f>
        <v>0.0004913106047</v>
      </c>
      <c r="D208" s="4">
        <f t="shared" si="3"/>
        <v>0.0002928979063</v>
      </c>
      <c r="E208" s="4">
        <f>('Equity Price Data'!C210-'Equity Price Data'!C209)/'Equity Price Data'!C209</f>
        <v>0.00488687328</v>
      </c>
      <c r="F208" s="4">
        <f>('Equity Price Data'!D210-'Equity Price Data'!D209)/'Equity Price Data'!D209</f>
        <v>0.01217875557</v>
      </c>
      <c r="G208" s="4">
        <f>('Equity Price Data'!E210-'Equity Price Data'!E209)/'Equity Price Data'!E209</f>
        <v>-0.001992350148</v>
      </c>
      <c r="H208" s="4">
        <f>('Equity Price Data'!F210-'Equity Price Data'!F209)/'Equity Price Data'!F209</f>
        <v>0.0014232132</v>
      </c>
      <c r="L208" s="1"/>
      <c r="M208" s="1"/>
      <c r="N208" s="1"/>
      <c r="O208" s="1"/>
    </row>
    <row r="209">
      <c r="A209" s="43">
        <f>Sheet11!A209</f>
        <v>45729.66667</v>
      </c>
      <c r="B209" s="44">
        <f t="shared" si="2"/>
        <v>45747</v>
      </c>
      <c r="C209" s="4">
        <f>('Equity Price Data'!B211-'Equity Price Data'!B210)/'Equity Price Data'!B210</f>
        <v>-0.01075150273</v>
      </c>
      <c r="D209" s="4">
        <f t="shared" si="3"/>
        <v>-0.01094991543</v>
      </c>
      <c r="E209" s="4">
        <f>('Equity Price Data'!C211-'Equity Price Data'!C210)/'Equity Price Data'!C210</f>
        <v>-0.01389102209</v>
      </c>
      <c r="F209" s="4">
        <f>('Equity Price Data'!D211-'Equity Price Data'!D210)/'Equity Price Data'!D210</f>
        <v>-0.0195733903</v>
      </c>
      <c r="G209" s="4">
        <f>('Equity Price Data'!E211-'Equity Price Data'!E210)/'Equity Price Data'!E210</f>
        <v>-0.01299511281</v>
      </c>
      <c r="H209" s="4">
        <f>('Equity Price Data'!F211-'Equity Price Data'!F210)/'Equity Price Data'!F210</f>
        <v>-0.01617591181</v>
      </c>
      <c r="L209" s="1"/>
      <c r="M209" s="1"/>
      <c r="N209" s="1"/>
      <c r="O209" s="1"/>
    </row>
    <row r="210">
      <c r="A210" s="43">
        <f>Sheet11!A210</f>
        <v>45730.66667</v>
      </c>
      <c r="B210" s="44">
        <f t="shared" si="2"/>
        <v>45747</v>
      </c>
      <c r="C210" s="4">
        <f>('Equity Price Data'!B212-'Equity Price Data'!B211)/'Equity Price Data'!B211</f>
        <v>0.01816932271</v>
      </c>
      <c r="D210" s="4">
        <f t="shared" si="3"/>
        <v>0.01797091001</v>
      </c>
      <c r="E210" s="4">
        <f>('Equity Price Data'!C212-'Equity Price Data'!C211)/'Equity Price Data'!C211</f>
        <v>0.02126588331</v>
      </c>
      <c r="F210" s="4">
        <f>('Equity Price Data'!D212-'Equity Price Data'!D211)/'Equity Price Data'!D211</f>
        <v>0.02606945266</v>
      </c>
      <c r="G210" s="4">
        <f>('Equity Price Data'!E212-'Equity Price Data'!E211)/'Equity Price Data'!E211</f>
        <v>0.01652930631</v>
      </c>
      <c r="H210" s="4">
        <f>('Equity Price Data'!F212-'Equity Price Data'!F211)/'Equity Price Data'!F211</f>
        <v>0.02528477346</v>
      </c>
      <c r="L210" s="1"/>
      <c r="M210" s="1"/>
      <c r="N210" s="1"/>
      <c r="O210" s="1"/>
    </row>
    <row r="211">
      <c r="A211" s="43">
        <f>Sheet11!A211</f>
        <v>45733.66667</v>
      </c>
      <c r="B211" s="44">
        <f t="shared" si="2"/>
        <v>45747</v>
      </c>
      <c r="C211" s="4">
        <f>('Equity Price Data'!B213-'Equity Price Data'!B212)/'Equity Price Data'!B212</f>
        <v>0.008448137136</v>
      </c>
      <c r="D211" s="4">
        <f t="shared" si="3"/>
        <v>0.008249724437</v>
      </c>
      <c r="E211" s="4">
        <f>('Equity Price Data'!C213-'Equity Price Data'!C212)/'Equity Price Data'!C212</f>
        <v>0.00641609948</v>
      </c>
      <c r="F211" s="4">
        <f>('Equity Price Data'!D213-'Equity Price Data'!D212)/'Equity Price Data'!D212</f>
        <v>0.003073657957</v>
      </c>
      <c r="G211" s="4">
        <f>('Equity Price Data'!E213-'Equity Price Data'!E212)/'Equity Price Data'!E212</f>
        <v>0.008519050843</v>
      </c>
      <c r="H211" s="4">
        <f>('Equity Price Data'!F213-'Equity Price Data'!F212)/'Equity Price Data'!F212</f>
        <v>0.01185362751</v>
      </c>
      <c r="L211" s="1"/>
      <c r="M211" s="1"/>
      <c r="N211" s="1"/>
      <c r="O211" s="1"/>
    </row>
    <row r="212">
      <c r="A212" s="43">
        <f>Sheet11!A212</f>
        <v>45734.66667</v>
      </c>
      <c r="B212" s="44">
        <f t="shared" si="2"/>
        <v>45747</v>
      </c>
      <c r="C212" s="4">
        <f>('Equity Price Data'!B214-'Equity Price Data'!B213)/'Equity Price Data'!B213</f>
        <v>-0.004631735827</v>
      </c>
      <c r="D212" s="4">
        <f t="shared" si="3"/>
        <v>-0.004830148525</v>
      </c>
      <c r="E212" s="4">
        <f>('Equity Price Data'!C214-'Equity Price Data'!C213)/'Equity Price Data'!C213</f>
        <v>-0.01065351922</v>
      </c>
      <c r="F212" s="4">
        <f>('Equity Price Data'!D214-'Equity Price Data'!D213)/'Equity Price Data'!D213</f>
        <v>-0.017100669</v>
      </c>
      <c r="G212" s="4">
        <f>('Equity Price Data'!E214-'Equity Price Data'!E213)/'Equity Price Data'!E213</f>
        <v>-0.006221554944</v>
      </c>
      <c r="H212" s="4">
        <f>('Equity Price Data'!F214-'Equity Price Data'!F213)/'Equity Price Data'!F213</f>
        <v>-0.00889123109</v>
      </c>
      <c r="L212" s="1"/>
      <c r="M212" s="1"/>
      <c r="N212" s="1"/>
      <c r="O212" s="1"/>
    </row>
    <row r="213">
      <c r="A213" s="43">
        <f>Sheet11!A213</f>
        <v>45735.66667</v>
      </c>
      <c r="B213" s="44">
        <f t="shared" si="2"/>
        <v>45747</v>
      </c>
      <c r="C213" s="4">
        <f>('Equity Price Data'!B215-'Equity Price Data'!B214)/'Equity Price Data'!B214</f>
        <v>0.006640200105</v>
      </c>
      <c r="D213" s="4">
        <f t="shared" si="3"/>
        <v>0.006441787407</v>
      </c>
      <c r="E213" s="4">
        <f>('Equity Price Data'!C215-'Equity Price Data'!C214)/'Equity Price Data'!C214</f>
        <v>0.01079851674</v>
      </c>
      <c r="F213" s="4">
        <f>('Equity Price Data'!D215-'Equity Price Data'!D214)/'Equity Price Data'!D214</f>
        <v>0.01409211089</v>
      </c>
      <c r="G213" s="4">
        <f>('Equity Price Data'!E215-'Equity Price Data'!E214)/'Equity Price Data'!E214</f>
        <v>0.009218564783</v>
      </c>
      <c r="H213" s="4">
        <f>('Equity Price Data'!F215-'Equity Price Data'!F214)/'Equity Price Data'!F214</f>
        <v>0.01567850766</v>
      </c>
      <c r="L213" s="1"/>
      <c r="M213" s="1"/>
      <c r="N213" s="1"/>
      <c r="O213" s="1"/>
    </row>
    <row r="214">
      <c r="A214" s="43">
        <f>Sheet11!A214</f>
        <v>45736.66667</v>
      </c>
      <c r="B214" s="44">
        <f t="shared" si="2"/>
        <v>45747</v>
      </c>
      <c r="C214" s="4">
        <f>('Equity Price Data'!B216-'Equity Price Data'!B215)/'Equity Price Data'!B215</f>
        <v>-0.00157897331</v>
      </c>
      <c r="D214" s="4">
        <f t="shared" si="3"/>
        <v>-0.001777386008</v>
      </c>
      <c r="E214" s="4">
        <f>('Equity Price Data'!C216-'Equity Price Data'!C215)/'Equity Price Data'!C215</f>
        <v>-0.002184910375</v>
      </c>
      <c r="F214" s="4">
        <f>('Equity Price Data'!D216-'Equity Price Data'!D215)/'Equity Price Data'!D215</f>
        <v>-0.003332809413</v>
      </c>
      <c r="G214" s="4">
        <f>('Equity Price Data'!E216-'Equity Price Data'!E215)/'Equity Price Data'!E215</f>
        <v>-0.0002695126825</v>
      </c>
      <c r="H214" s="4">
        <f>('Equity Price Data'!F216-'Equity Price Data'!F215)/'Equity Price Data'!F215</f>
        <v>-0.006459886268</v>
      </c>
      <c r="L214" s="1"/>
      <c r="M214" s="1"/>
      <c r="N214" s="1"/>
      <c r="O214" s="1"/>
    </row>
    <row r="215">
      <c r="A215" s="43">
        <f>Sheet11!A215</f>
        <v>45737.66667</v>
      </c>
      <c r="B215" s="44">
        <f t="shared" si="2"/>
        <v>45747</v>
      </c>
      <c r="C215" s="4">
        <f>('Equity Price Data'!B217-'Equity Price Data'!B216)/'Equity Price Data'!B216</f>
        <v>-0.003472682385</v>
      </c>
      <c r="D215" s="4">
        <f t="shared" si="3"/>
        <v>-0.003671095083</v>
      </c>
      <c r="E215" s="4">
        <f>('Equity Price Data'!C217-'Equity Price Data'!C216)/'Equity Price Data'!C216</f>
        <v>0.0008246672635</v>
      </c>
      <c r="F215" s="4">
        <f>('Equity Price Data'!D217-'Equity Price Data'!D216)/'Equity Price Data'!D216</f>
        <v>0.00522393923</v>
      </c>
      <c r="G215" s="4">
        <f>('Equity Price Data'!E217-'Equity Price Data'!E216)/'Equity Price Data'!E216</f>
        <v>0.0007634675873</v>
      </c>
      <c r="H215" s="4">
        <f>('Equity Price Data'!F217-'Equity Price Data'!F216)/'Equity Price Data'!F216</f>
        <v>-0.005631746615</v>
      </c>
      <c r="L215" s="1"/>
      <c r="M215" s="1"/>
      <c r="N215" s="1"/>
      <c r="O215" s="1"/>
    </row>
    <row r="216">
      <c r="A216" s="43">
        <f>Sheet11!A216</f>
        <v>45740.66667</v>
      </c>
      <c r="B216" s="44">
        <f t="shared" si="2"/>
        <v>45747</v>
      </c>
      <c r="C216" s="4">
        <f>('Equity Price Data'!B218-'Equity Price Data'!B217)/'Equity Price Data'!B217</f>
        <v>0.01389729329</v>
      </c>
      <c r="D216" s="4">
        <f t="shared" si="3"/>
        <v>0.01369888059</v>
      </c>
      <c r="E216" s="4">
        <f>('Equity Price Data'!C218-'Equity Price Data'!C217)/'Equity Price Data'!C217</f>
        <v>0.01764604168</v>
      </c>
      <c r="F216" s="4">
        <f>('Equity Price Data'!D218-'Equity Price Data'!D217)/'Equity Price Data'!D217</f>
        <v>0.02274734945</v>
      </c>
      <c r="G216" s="4">
        <f>('Equity Price Data'!E218-'Equity Price Data'!E217)/'Equity Price Data'!E217</f>
        <v>0.01424234882</v>
      </c>
      <c r="H216" s="4">
        <f>('Equity Price Data'!F218-'Equity Price Data'!F217)/'Equity Price Data'!F217</f>
        <v>0.02547423893</v>
      </c>
      <c r="L216" s="1"/>
      <c r="M216" s="1"/>
      <c r="N216" s="1"/>
      <c r="O216" s="1"/>
    </row>
    <row r="217">
      <c r="A217" s="43">
        <f>Sheet11!A217</f>
        <v>45741.66667</v>
      </c>
      <c r="B217" s="44">
        <f t="shared" si="2"/>
        <v>45747</v>
      </c>
      <c r="C217" s="4">
        <f>('Equity Price Data'!B219-'Equity Price Data'!B218)/'Equity Price Data'!B218</f>
        <v>0.001735143657</v>
      </c>
      <c r="D217" s="4">
        <f t="shared" si="3"/>
        <v>0.001536730959</v>
      </c>
      <c r="E217" s="4">
        <f>('Equity Price Data'!C219-'Equity Price Data'!C218)/'Equity Price Data'!C218</f>
        <v>0.001574319861</v>
      </c>
      <c r="F217" s="4">
        <f>('Equity Price Data'!D219-'Equity Price Data'!D218)/'Equity Price Data'!D218</f>
        <v>0.00457814487</v>
      </c>
      <c r="G217" s="4">
        <f>('Equity Price Data'!E219-'Equity Price Data'!E218)/'Equity Price Data'!E218</f>
        <v>0.0000981605004</v>
      </c>
      <c r="H217" s="4">
        <f>('Equity Price Data'!F219-'Equity Price Data'!F218)/'Equity Price Data'!F218</f>
        <v>-0.006637021305</v>
      </c>
      <c r="L217" s="1"/>
      <c r="M217" s="1"/>
      <c r="N217" s="1"/>
      <c r="O217" s="1"/>
    </row>
    <row r="218">
      <c r="A218" s="43">
        <f>Sheet11!A218</f>
        <v>45742.66667</v>
      </c>
      <c r="B218" s="44">
        <f t="shared" si="2"/>
        <v>45747</v>
      </c>
      <c r="C218" s="4">
        <f>('Equity Price Data'!B220-'Equity Price Data'!B219)/'Equity Price Data'!B219</f>
        <v>-0.00443859005</v>
      </c>
      <c r="D218" s="4">
        <f t="shared" si="3"/>
        <v>-0.004637002749</v>
      </c>
      <c r="E218" s="4">
        <f>('Equity Price Data'!C220-'Equity Price Data'!C219)/'Equity Price Data'!C219</f>
        <v>-0.01115698545</v>
      </c>
      <c r="F218" s="4">
        <f>('Equity Price Data'!D220-'Equity Price Data'!D219)/'Equity Price Data'!D219</f>
        <v>-0.02040514759</v>
      </c>
      <c r="G218" s="4">
        <f>('Equity Price Data'!E220-'Equity Price Data'!E219)/'Equity Price Data'!E219</f>
        <v>-0.003116172586</v>
      </c>
      <c r="H218" s="4">
        <f>('Equity Price Data'!F220-'Equity Price Data'!F219)/'Equity Price Data'!F219</f>
        <v>-0.01028453073</v>
      </c>
      <c r="L218" s="1"/>
      <c r="M218" s="1"/>
      <c r="N218" s="1"/>
      <c r="O218" s="1"/>
    </row>
    <row r="219">
      <c r="A219" s="43">
        <f>Sheet11!A219</f>
        <v>45743.66667</v>
      </c>
      <c r="B219" s="44">
        <f t="shared" si="2"/>
        <v>45747</v>
      </c>
      <c r="C219" s="4">
        <f>('Equity Price Data'!B221-'Equity Price Data'!B220)/'Equity Price Data'!B220</f>
        <v>-0.0006868890226</v>
      </c>
      <c r="D219" s="4">
        <f t="shared" si="3"/>
        <v>-0.000885301721</v>
      </c>
      <c r="E219" s="4">
        <f>('Equity Price Data'!C221-'Equity Price Data'!C220)/'Equity Price Data'!C220</f>
        <v>-0.003306957039</v>
      </c>
      <c r="F219" s="4">
        <f>('Equity Price Data'!D221-'Equity Price Data'!D220)/'Equity Price Data'!D220</f>
        <v>-0.005306994461</v>
      </c>
      <c r="G219" s="4">
        <f>('Equity Price Data'!E221-'Equity Price Data'!E220)/'Equity Price Data'!E220</f>
        <v>-0.00365306247</v>
      </c>
      <c r="H219" s="4">
        <f>('Equity Price Data'!F221-'Equity Price Data'!F220)/'Equity Price Data'!F220</f>
        <v>-0.003920282762</v>
      </c>
      <c r="L219" s="1"/>
      <c r="M219" s="1"/>
      <c r="N219" s="1"/>
      <c r="O219" s="1"/>
    </row>
    <row r="220">
      <c r="A220" s="43">
        <f>Sheet11!A220</f>
        <v>45744.66667</v>
      </c>
      <c r="B220" s="44">
        <f t="shared" si="2"/>
        <v>45747</v>
      </c>
      <c r="C220" s="4">
        <f>('Equity Price Data'!B222-'Equity Price Data'!B221)/'Equity Price Data'!B221</f>
        <v>-0.01663972727</v>
      </c>
      <c r="D220" s="4">
        <f t="shared" si="3"/>
        <v>-0.01683813996</v>
      </c>
      <c r="E220" s="4">
        <f>('Equity Price Data'!C222-'Equity Price Data'!C221)/'Equity Price Data'!C221</f>
        <v>-0.01973720033</v>
      </c>
      <c r="F220" s="4">
        <f>('Equity Price Data'!D222-'Equity Price Data'!D221)/'Equity Price Data'!D221</f>
        <v>-0.02701860197</v>
      </c>
      <c r="G220" s="4">
        <f>('Equity Price Data'!E222-'Equity Price Data'!E221)/'Equity Price Data'!E221</f>
        <v>-0.01692210583</v>
      </c>
      <c r="H220" s="4">
        <f>('Equity Price Data'!F222-'Equity Price Data'!F221)/'Equity Price Data'!F221</f>
        <v>-0.0205402527</v>
      </c>
      <c r="L220" s="1"/>
      <c r="M220" s="1"/>
      <c r="N220" s="1"/>
      <c r="O220" s="1"/>
    </row>
    <row r="221">
      <c r="A221" s="43">
        <f>Sheet11!A221</f>
        <v>45747.66667</v>
      </c>
      <c r="B221" s="44">
        <f t="shared" si="2"/>
        <v>45747</v>
      </c>
      <c r="C221" s="4">
        <f>('Equity Price Data'!B223-'Equity Price Data'!B222)/'Equity Price Data'!B222</f>
        <v>0.003549905959</v>
      </c>
      <c r="D221" s="4">
        <f t="shared" si="3"/>
        <v>0.003351493261</v>
      </c>
      <c r="E221" s="4">
        <f>('Equity Price Data'!C223-'Equity Price Data'!C222)/'Equity Price Data'!C222</f>
        <v>0.005538493515</v>
      </c>
      <c r="F221" s="4">
        <f>('Equity Price Data'!D223-'Equity Price Data'!D222)/'Equity Price Data'!D222</f>
        <v>-0.001368124094</v>
      </c>
      <c r="G221" s="4">
        <f>('Equity Price Data'!E223-'Equity Price Data'!E222)/'Equity Price Data'!E222</f>
        <v>0.01004860054</v>
      </c>
      <c r="H221" s="4">
        <f>('Equity Price Data'!F223-'Equity Price Data'!F222)/'Equity Price Data'!F222</f>
        <v>-0.005614673276</v>
      </c>
      <c r="L221" s="1"/>
      <c r="M221" s="1"/>
      <c r="N221" s="1"/>
      <c r="O221" s="1"/>
    </row>
    <row r="222">
      <c r="A222" s="43">
        <f>Sheet11!A222</f>
        <v>45748.66667</v>
      </c>
      <c r="B222" s="44">
        <f t="shared" si="2"/>
        <v>45777</v>
      </c>
      <c r="C222" s="4">
        <f>('Equity Price Data'!B224-'Equity Price Data'!B223)/'Equity Price Data'!B223</f>
        <v>0.002243189528</v>
      </c>
      <c r="D222" s="4">
        <f t="shared" si="3"/>
        <v>0.00204477683</v>
      </c>
      <c r="E222" s="4">
        <f>('Equity Price Data'!C224-'Equity Price Data'!C223)/'Equity Price Data'!C223</f>
        <v>0.003781284247</v>
      </c>
      <c r="F222" s="4">
        <f>('Equity Price Data'!D224-'Equity Price Data'!D223)/'Equity Price Data'!D223</f>
        <v>0.008705559592</v>
      </c>
      <c r="G222" s="4">
        <f>('Equity Price Data'!E224-'Equity Price Data'!E223)/'Equity Price Data'!E223</f>
        <v>-0.0002809406082</v>
      </c>
      <c r="H222" s="4">
        <f>('Equity Price Data'!F224-'Equity Price Data'!F223)/'Equity Price Data'!F223</f>
        <v>0.0001640232416</v>
      </c>
      <c r="L222" s="1"/>
      <c r="M222" s="1"/>
      <c r="N222" s="1"/>
      <c r="O222" s="1"/>
    </row>
    <row r="223">
      <c r="A223" s="43">
        <f>Sheet11!A223</f>
        <v>45749.66667</v>
      </c>
      <c r="B223" s="44">
        <f t="shared" si="2"/>
        <v>45777</v>
      </c>
      <c r="C223" s="4">
        <f>('Equity Price Data'!B225-'Equity Price Data'!B224)/'Equity Price Data'!B224</f>
        <v>0.007392591826</v>
      </c>
      <c r="D223" s="4">
        <f t="shared" si="3"/>
        <v>0.007194179128</v>
      </c>
      <c r="E223" s="4">
        <f>('Equity Price Data'!C225-'Equity Price Data'!C224)/'Equity Price Data'!C224</f>
        <v>0.006728125161</v>
      </c>
      <c r="F223" s="4">
        <f>('Equity Price Data'!D225-'Equity Price Data'!D224)/'Equity Price Data'!D224</f>
        <v>0.00866251879</v>
      </c>
      <c r="G223" s="4">
        <f>('Equity Price Data'!E225-'Equity Price Data'!E224)/'Equity Price Data'!E224</f>
        <v>0.005605149421</v>
      </c>
      <c r="H223" s="4">
        <f>('Equity Price Data'!F225-'Equity Price Data'!F224)/'Equity Price Data'!F224</f>
        <v>0.01645926927</v>
      </c>
      <c r="L223" s="1"/>
      <c r="M223" s="1"/>
      <c r="N223" s="1"/>
      <c r="O223" s="1"/>
    </row>
    <row r="224">
      <c r="A224" s="43">
        <f>Sheet11!A224</f>
        <v>45750.66667</v>
      </c>
      <c r="B224" s="44">
        <f t="shared" si="2"/>
        <v>45777</v>
      </c>
      <c r="C224" s="4">
        <f>('Equity Price Data'!B226-'Equity Price Data'!B225)/'Equity Price Data'!B225</f>
        <v>-0.03407943014</v>
      </c>
      <c r="D224" s="4">
        <f t="shared" si="3"/>
        <v>-0.03427784283</v>
      </c>
      <c r="E224" s="4">
        <f>('Equity Price Data'!C226-'Equity Price Data'!C225)/'Equity Price Data'!C225</f>
        <v>-0.04839560075</v>
      </c>
      <c r="F224" s="4">
        <f>('Equity Price Data'!D226-'Equity Price Data'!D225)/'Equity Price Data'!D225</f>
        <v>-0.05968053042</v>
      </c>
      <c r="G224" s="4">
        <f>('Equity Price Data'!E226-'Equity Price Data'!E225)/'Equity Price Data'!E225</f>
        <v>-0.0397721083</v>
      </c>
      <c r="H224" s="4">
        <f>('Equity Price Data'!F226-'Equity Price Data'!F225)/'Equity Price Data'!F225</f>
        <v>-0.06591015763</v>
      </c>
      <c r="L224" s="1"/>
      <c r="M224" s="1"/>
      <c r="N224" s="1"/>
      <c r="O224" s="1"/>
    </row>
    <row r="225">
      <c r="A225" s="43">
        <f>Sheet11!A225</f>
        <v>45751.66667</v>
      </c>
      <c r="B225" s="44">
        <f t="shared" si="2"/>
        <v>45777</v>
      </c>
      <c r="C225" s="4">
        <f>('Equity Price Data'!B227-'Equity Price Data'!B226)/'Equity Price Data'!B226</f>
        <v>-0.0633773312</v>
      </c>
      <c r="D225" s="4">
        <f t="shared" si="3"/>
        <v>-0.0635757439</v>
      </c>
      <c r="E225" s="4">
        <f>('Equity Price Data'!C227-'Equity Price Data'!C226)/'Equity Price Data'!C226</f>
        <v>-0.05974961642</v>
      </c>
      <c r="F225" s="4">
        <f>('Equity Price Data'!D227-'Equity Price Data'!D226)/'Equity Price Data'!D226</f>
        <v>-0.05817429086</v>
      </c>
      <c r="G225" s="4">
        <f>('Equity Price Data'!E227-'Equity Price Data'!E226)/'Equity Price Data'!E226</f>
        <v>-0.05502574488</v>
      </c>
      <c r="H225" s="4">
        <f>('Equity Price Data'!F227-'Equity Price Data'!F226)/'Equity Price Data'!F226</f>
        <v>-0.04371516056</v>
      </c>
      <c r="L225" s="1"/>
      <c r="M225" s="1"/>
      <c r="N225" s="1"/>
      <c r="O225" s="1"/>
    </row>
    <row r="226">
      <c r="A226" s="43">
        <f>Sheet11!A226</f>
        <v>45754.66667</v>
      </c>
      <c r="B226" s="44">
        <f t="shared" si="2"/>
        <v>45777</v>
      </c>
      <c r="C226" s="4">
        <f>('Equity Price Data'!B228-'Equity Price Data'!B227)/'Equity Price Data'!B227</f>
        <v>-0.006287298229</v>
      </c>
      <c r="D226" s="4">
        <f t="shared" si="3"/>
        <v>-0.006485710927</v>
      </c>
      <c r="E226" s="4">
        <f>('Equity Price Data'!C228-'Equity Price Data'!C227)/'Equity Price Data'!C227</f>
        <v>-0.002331457131</v>
      </c>
      <c r="F226" s="4">
        <f>('Equity Price Data'!D228-'Equity Price Data'!D227)/'Equity Price Data'!D227</f>
        <v>0.0009924434445</v>
      </c>
      <c r="G226" s="4">
        <f>('Equity Price Data'!E228-'Equity Price Data'!E227)/'Equity Price Data'!E227</f>
        <v>-0.009115523324</v>
      </c>
      <c r="H226" s="4">
        <f>('Equity Price Data'!F228-'Equity Price Data'!F227)/'Equity Price Data'!F227</f>
        <v>-0.009244511584</v>
      </c>
      <c r="L226" s="1"/>
      <c r="M226" s="1"/>
      <c r="N226" s="1"/>
      <c r="O226" s="1"/>
    </row>
    <row r="227">
      <c r="A227" s="43">
        <f>Sheet11!A227</f>
        <v>45755.66667</v>
      </c>
      <c r="B227" s="44">
        <f t="shared" si="2"/>
        <v>45777</v>
      </c>
      <c r="C227" s="4">
        <f>('Equity Price Data'!B229-'Equity Price Data'!B228)/'Equity Price Data'!B228</f>
        <v>-0.006213131596</v>
      </c>
      <c r="D227" s="4">
        <f t="shared" si="3"/>
        <v>-0.006411544295</v>
      </c>
      <c r="E227" s="4">
        <f>('Equity Price Data'!C229-'Equity Price Data'!C228)/'Equity Price Data'!C228</f>
        <v>-0.01570052842</v>
      </c>
      <c r="F227" s="4">
        <f>('Equity Price Data'!D229-'Equity Price Data'!D228)/'Equity Price Data'!D228</f>
        <v>-0.02149230353</v>
      </c>
      <c r="G227" s="4">
        <f>('Equity Price Data'!E229-'Equity Price Data'!E228)/'Equity Price Data'!E228</f>
        <v>-0.008428946204</v>
      </c>
      <c r="H227" s="4">
        <f>('Equity Price Data'!F229-'Equity Price Data'!F228)/'Equity Price Data'!F228</f>
        <v>-0.0273072801</v>
      </c>
      <c r="L227" s="1"/>
      <c r="M227" s="1"/>
      <c r="N227" s="1"/>
      <c r="O227" s="1"/>
    </row>
    <row r="228">
      <c r="A228" s="43">
        <f>Sheet11!A228</f>
        <v>45756.66667</v>
      </c>
      <c r="B228" s="44">
        <f t="shared" si="2"/>
        <v>45777</v>
      </c>
      <c r="C228" s="4">
        <f>('Equity Price Data'!B230-'Equity Price Data'!B229)/'Equity Price Data'!B229</f>
        <v>0.07098842497</v>
      </c>
      <c r="D228" s="4">
        <f t="shared" si="3"/>
        <v>0.07079001227</v>
      </c>
      <c r="E228" s="4">
        <f>('Equity Price Data'!C230-'Equity Price Data'!C229)/'Equity Price Data'!C229</f>
        <v>0.09515390034</v>
      </c>
      <c r="F228" s="4">
        <f>('Equity Price Data'!D230-'Equity Price Data'!D229)/'Equity Price Data'!D229</f>
        <v>0.1216315789</v>
      </c>
      <c r="G228" s="4">
        <f>('Equity Price Data'!E230-'Equity Price Data'!E229)/'Equity Price Data'!E229</f>
        <v>0.07870403944</v>
      </c>
      <c r="H228" s="4">
        <f>('Equity Price Data'!F230-'Equity Price Data'!F229)/'Equity Price Data'!F229</f>
        <v>0.08658438925</v>
      </c>
      <c r="L228" s="1"/>
      <c r="M228" s="1"/>
      <c r="N228" s="1"/>
      <c r="O228" s="1"/>
    </row>
    <row r="229">
      <c r="A229" s="43">
        <f>Sheet11!A229</f>
        <v>45757.66667</v>
      </c>
      <c r="B229" s="44">
        <f t="shared" si="2"/>
        <v>45777</v>
      </c>
      <c r="C229" s="4">
        <f>('Equity Price Data'!B231-'Equity Price Data'!B230)/'Equity Price Data'!B230</f>
        <v>-0.022435351</v>
      </c>
      <c r="D229" s="4">
        <f t="shared" si="3"/>
        <v>-0.0226337637</v>
      </c>
      <c r="E229" s="4">
        <f>('Equity Price Data'!C231-'Equity Price Data'!C230)/'Equity Price Data'!C230</f>
        <v>-0.03460756107</v>
      </c>
      <c r="F229" s="4">
        <f>('Equity Price Data'!D231-'Equity Price Data'!D230)/'Equity Price Data'!D230</f>
        <v>-0.04307511196</v>
      </c>
      <c r="G229" s="4">
        <f>('Equity Price Data'!E231-'Equity Price Data'!E230)/'Equity Price Data'!E230</f>
        <v>-0.02498962654</v>
      </c>
      <c r="H229" s="4">
        <f>('Equity Price Data'!F231-'Equity Price Data'!F230)/'Equity Price Data'!F230</f>
        <v>-0.04274080579</v>
      </c>
      <c r="L229" s="1"/>
      <c r="M229" s="1"/>
      <c r="N229" s="1"/>
      <c r="O229" s="1"/>
    </row>
    <row r="230">
      <c r="A230" s="43">
        <f>Sheet11!A230</f>
        <v>45758.66667</v>
      </c>
      <c r="B230" s="44">
        <f t="shared" si="2"/>
        <v>45777</v>
      </c>
      <c r="C230" s="4">
        <f>('Equity Price Data'!B232-'Equity Price Data'!B231)/'Equity Price Data'!B231</f>
        <v>0.01507178348</v>
      </c>
      <c r="D230" s="4">
        <f t="shared" si="3"/>
        <v>0.01487337078</v>
      </c>
      <c r="E230" s="4">
        <f>('Equity Price Data'!C232-'Equity Price Data'!C231)/'Equity Price Data'!C231</f>
        <v>0.01809208341</v>
      </c>
      <c r="F230" s="4">
        <f>('Equity Price Data'!D232-'Equity Price Data'!D231)/'Equity Price Data'!D231</f>
        <v>0.02057384647</v>
      </c>
      <c r="G230" s="4">
        <f>('Equity Price Data'!E232-'Equity Price Data'!E231)/'Equity Price Data'!E231</f>
        <v>0.01563507895</v>
      </c>
      <c r="H230" s="4">
        <f>('Equity Price Data'!F232-'Equity Price Data'!F231)/'Equity Price Data'!F231</f>
        <v>0.01573122055</v>
      </c>
      <c r="L230" s="1"/>
      <c r="M230" s="1"/>
      <c r="N230" s="1"/>
      <c r="O230" s="1"/>
    </row>
    <row r="231">
      <c r="A231" s="43">
        <f>Sheet11!A231</f>
        <v>45761.66667</v>
      </c>
      <c r="B231" s="44">
        <f t="shared" si="2"/>
        <v>45777</v>
      </c>
      <c r="C231" s="4">
        <f>('Equity Price Data'!B233-'Equity Price Data'!B232)/'Equity Price Data'!B232</f>
        <v>0.01200104963</v>
      </c>
      <c r="D231" s="4">
        <f t="shared" si="3"/>
        <v>0.01180263693</v>
      </c>
      <c r="E231" s="4">
        <f>('Equity Price Data'!C233-'Equity Price Data'!C232)/'Equity Price Data'!C232</f>
        <v>0.007944646639</v>
      </c>
      <c r="F231" s="4">
        <f>('Equity Price Data'!D233-'Equity Price Data'!D232)/'Equity Price Data'!D232</f>
        <v>0.00639901079</v>
      </c>
      <c r="G231" s="4">
        <f>('Equity Price Data'!E233-'Equity Price Data'!E232)/'Equity Price Data'!E232</f>
        <v>0.007760730376</v>
      </c>
      <c r="H231" s="4">
        <f>('Equity Price Data'!F233-'Equity Price Data'!F232)/'Equity Price Data'!F232</f>
        <v>0.01111708418</v>
      </c>
      <c r="L231" s="1"/>
      <c r="M231" s="1"/>
      <c r="N231" s="1"/>
      <c r="O231" s="1"/>
    </row>
    <row r="232">
      <c r="A232" s="43">
        <f>Sheet11!A232</f>
        <v>45762.66667</v>
      </c>
      <c r="B232" s="44">
        <f t="shared" si="2"/>
        <v>45777</v>
      </c>
      <c r="C232" s="4">
        <f>('Equity Price Data'!B234-'Equity Price Data'!B233)/'Equity Price Data'!B233</f>
        <v>-0.001394199914</v>
      </c>
      <c r="D232" s="4">
        <f t="shared" si="3"/>
        <v>-0.001592612612</v>
      </c>
      <c r="E232" s="4">
        <f>('Equity Price Data'!C234-'Equity Price Data'!C233)/'Equity Price Data'!C233</f>
        <v>-0.00172771954</v>
      </c>
      <c r="F232" s="4">
        <f>('Equity Price Data'!D234-'Equity Price Data'!D233)/'Equity Price Data'!D233</f>
        <v>-0.0004937177242</v>
      </c>
      <c r="G232" s="4">
        <f>('Equity Price Data'!E234-'Equity Price Data'!E233)/'Equity Price Data'!E233</f>
        <v>-0.003845300617</v>
      </c>
      <c r="H232" s="4">
        <f>('Equity Price Data'!F234-'Equity Price Data'!F233)/'Equity Price Data'!F233</f>
        <v>0.001084598698</v>
      </c>
      <c r="L232" s="1"/>
      <c r="M232" s="1"/>
      <c r="N232" s="1"/>
      <c r="O232" s="1"/>
    </row>
    <row r="233">
      <c r="A233" s="43">
        <f>Sheet11!A233</f>
        <v>45763.66667</v>
      </c>
      <c r="B233" s="44">
        <f t="shared" si="2"/>
        <v>45777</v>
      </c>
      <c r="C233" s="4">
        <f>('Equity Price Data'!B235-'Equity Price Data'!B234)/'Equity Price Data'!B234</f>
        <v>-0.0143927753</v>
      </c>
      <c r="D233" s="4">
        <f t="shared" si="3"/>
        <v>-0.01459118799</v>
      </c>
      <c r="E233" s="4">
        <f>('Equity Price Data'!C235-'Equity Price Data'!C234)/'Equity Price Data'!C234</f>
        <v>-0.02240842896</v>
      </c>
      <c r="F233" s="4">
        <f>('Equity Price Data'!D235-'Equity Price Data'!D234)/'Equity Price Data'!D234</f>
        <v>-0.03067257835</v>
      </c>
      <c r="G233" s="4">
        <f>('Equity Price Data'!E235-'Equity Price Data'!E234)/'Equity Price Data'!E234</f>
        <v>-0.01732940358</v>
      </c>
      <c r="H233" s="4">
        <f>('Equity Price Data'!F235-'Equity Price Data'!F234)/'Equity Price Data'!F234</f>
        <v>-0.01032438978</v>
      </c>
      <c r="L233" s="1"/>
      <c r="M233" s="1"/>
      <c r="N233" s="1"/>
      <c r="O233" s="1"/>
    </row>
    <row r="234">
      <c r="A234" s="43">
        <f>Sheet11!A234</f>
        <v>45764.66667</v>
      </c>
      <c r="B234" s="44">
        <f t="shared" si="2"/>
        <v>45777</v>
      </c>
      <c r="C234" s="4">
        <f>('Equity Price Data'!B236-'Equity Price Data'!B235)/'Equity Price Data'!B235</f>
        <v>-0.00195692858</v>
      </c>
      <c r="D234" s="4">
        <f t="shared" si="3"/>
        <v>-0.002155341278</v>
      </c>
      <c r="E234" s="4">
        <f>('Equity Price Data'!C236-'Equity Price Data'!C235)/'Equity Price Data'!C235</f>
        <v>0.001326838145</v>
      </c>
      <c r="F234" s="4">
        <f>('Equity Price Data'!D236-'Equity Price Data'!D235)/'Equity Price Data'!D235</f>
        <v>-0.001269994285</v>
      </c>
      <c r="G234" s="4">
        <f>('Equity Price Data'!E236-'Equity Price Data'!E235)/'Equity Price Data'!E235</f>
        <v>-0.01328883555</v>
      </c>
      <c r="H234" s="4">
        <f>('Equity Price Data'!F236-'Equity Price Data'!F235)/'Equity Price Data'!F235</f>
        <v>0.009197844892</v>
      </c>
      <c r="L234" s="1"/>
      <c r="M234" s="1"/>
      <c r="N234" s="1"/>
      <c r="O234" s="1"/>
    </row>
    <row r="235">
      <c r="A235" s="43">
        <f>Sheet11!A235</f>
        <v>45768.66667</v>
      </c>
      <c r="B235" s="44">
        <f t="shared" si="2"/>
        <v>45777</v>
      </c>
      <c r="C235" s="4">
        <f>('Equity Price Data'!B237-'Equity Price Data'!B236)/'Equity Price Data'!B236</f>
        <v>-0.02030939717</v>
      </c>
      <c r="D235" s="4">
        <f t="shared" si="3"/>
        <v>-0.02050780987</v>
      </c>
      <c r="E235" s="4">
        <f>('Equity Price Data'!C237-'Equity Price Data'!C236)/'Equity Price Data'!C236</f>
        <v>-0.0235674939</v>
      </c>
      <c r="F235" s="4">
        <f>('Equity Price Data'!D237-'Equity Price Data'!D236)/'Equity Price Data'!D236</f>
        <v>-0.02551507542</v>
      </c>
      <c r="G235" s="4">
        <f>('Equity Price Data'!E237-'Equity Price Data'!E236)/'Equity Price Data'!E236</f>
        <v>-0.02482791604</v>
      </c>
      <c r="H235" s="4">
        <f>('Equity Price Data'!F237-'Equity Price Data'!F236)/'Equity Price Data'!F236</f>
        <v>-0.02142910317</v>
      </c>
      <c r="L235" s="1"/>
      <c r="M235" s="1"/>
      <c r="N235" s="1"/>
      <c r="O235" s="1"/>
    </row>
    <row r="236">
      <c r="A236" s="43">
        <f>Sheet11!A236</f>
        <v>45769.66667</v>
      </c>
      <c r="B236" s="44">
        <f t="shared" si="2"/>
        <v>45777</v>
      </c>
      <c r="C236" s="4">
        <f>('Equity Price Data'!B238-'Equity Price Data'!B237)/'Equity Price Data'!B237</f>
        <v>0.01970493886</v>
      </c>
      <c r="D236" s="4">
        <f t="shared" si="3"/>
        <v>0.01950652616</v>
      </c>
      <c r="E236" s="4">
        <f>('Equity Price Data'!C238-'Equity Price Data'!C237)/'Equity Price Data'!C237</f>
        <v>0.02511728898</v>
      </c>
      <c r="F236" s="4">
        <f>('Equity Price Data'!D238-'Equity Price Data'!D237)/'Equity Price Data'!D237</f>
        <v>0.02706336755</v>
      </c>
      <c r="G236" s="4">
        <f>('Equity Price Data'!E238-'Equity Price Data'!E237)/'Equity Price Data'!E237</f>
        <v>0.02663240976</v>
      </c>
      <c r="H236" s="4">
        <f>('Equity Price Data'!F238-'Equity Price Data'!F237)/'Equity Price Data'!F237</f>
        <v>0.02714745262</v>
      </c>
      <c r="L236" s="1"/>
      <c r="M236" s="1"/>
      <c r="N236" s="1"/>
      <c r="O236" s="1"/>
    </row>
    <row r="237">
      <c r="A237" s="43">
        <f>Sheet11!A237</f>
        <v>45770.66667</v>
      </c>
      <c r="B237" s="44">
        <f t="shared" si="2"/>
        <v>45777</v>
      </c>
      <c r="C237" s="4">
        <f>('Equity Price Data'!B239-'Equity Price Data'!B238)/'Equity Price Data'!B238</f>
        <v>0.01127425805</v>
      </c>
      <c r="D237" s="4">
        <f t="shared" si="3"/>
        <v>0.01107584535</v>
      </c>
      <c r="E237" s="4">
        <f>('Equity Price Data'!C239-'Equity Price Data'!C238)/'Equity Price Data'!C238</f>
        <v>0.01666111926</v>
      </c>
      <c r="F237" s="4">
        <f>('Equity Price Data'!D239-'Equity Price Data'!D238)/'Equity Price Data'!D238</f>
        <v>0.0250073311</v>
      </c>
      <c r="G237" s="4">
        <f>('Equity Price Data'!E239-'Equity Price Data'!E238)/'Equity Price Data'!E238</f>
        <v>0.01070738291</v>
      </c>
      <c r="H237" s="4">
        <f>('Equity Price Data'!F239-'Equity Price Data'!F238)/'Equity Price Data'!F238</f>
        <v>0.01526757941</v>
      </c>
      <c r="L237" s="1"/>
      <c r="M237" s="1"/>
      <c r="N237" s="1"/>
      <c r="O237" s="1"/>
    </row>
    <row r="238">
      <c r="A238" s="43">
        <f>Sheet11!A238</f>
        <v>45771.66667</v>
      </c>
      <c r="B238" s="44">
        <f t="shared" si="2"/>
        <v>45777</v>
      </c>
      <c r="C238" s="4">
        <f>('Equity Price Data'!B240-'Equity Price Data'!B239)/'Equity Price Data'!B239</f>
        <v>0.01606554272</v>
      </c>
      <c r="D238" s="4">
        <f t="shared" si="3"/>
        <v>0.01586713002</v>
      </c>
      <c r="E238" s="4">
        <f>('Equity Price Data'!C240-'Equity Price Data'!C239)/'Equity Price Data'!C239</f>
        <v>0.02025908413</v>
      </c>
      <c r="F238" s="4">
        <f>('Equity Price Data'!D240-'Equity Price Data'!D239)/'Equity Price Data'!D239</f>
        <v>0.02741133765</v>
      </c>
      <c r="G238" s="4">
        <f>('Equity Price Data'!E240-'Equity Price Data'!E239)/'Equity Price Data'!E239</f>
        <v>0.01229164757</v>
      </c>
      <c r="H238" s="4">
        <f>('Equity Price Data'!F240-'Equity Price Data'!F239)/'Equity Price Data'!F239</f>
        <v>0.02003501568</v>
      </c>
      <c r="L238" s="1"/>
      <c r="M238" s="1"/>
      <c r="N238" s="1"/>
      <c r="O238" s="1"/>
    </row>
    <row r="239">
      <c r="A239" s="43">
        <f>Sheet11!A239</f>
        <v>45772.66667</v>
      </c>
      <c r="B239" s="44">
        <f t="shared" si="2"/>
        <v>45777</v>
      </c>
      <c r="C239" s="4">
        <f>('Equity Price Data'!B241-'Equity Price Data'!B240)/'Equity Price Data'!B240</f>
        <v>-0.003081843001</v>
      </c>
      <c r="D239" s="4">
        <f t="shared" si="3"/>
        <v>-0.003280255699</v>
      </c>
      <c r="E239" s="4">
        <f>('Equity Price Data'!C241-'Equity Price Data'!C240)/'Equity Price Data'!C240</f>
        <v>0.007373144179</v>
      </c>
      <c r="F239" s="4">
        <f>('Equity Price Data'!D241-'Equity Price Data'!D240)/'Equity Price Data'!D240</f>
        <v>0.01263541271</v>
      </c>
      <c r="G239" s="4">
        <f>('Equity Price Data'!E241-'Equity Price Data'!E240)/'Equity Price Data'!E240</f>
        <v>0.0005013293959</v>
      </c>
      <c r="H239" s="4">
        <f>('Equity Price Data'!F241-'Equity Price Data'!F240)/'Equity Price Data'!F240</f>
        <v>0.0000153249659</v>
      </c>
      <c r="L239" s="1"/>
      <c r="M239" s="1"/>
      <c r="N239" s="1"/>
      <c r="O239" s="1"/>
    </row>
    <row r="240">
      <c r="A240" s="43">
        <f>Sheet11!A240</f>
        <v>45775.66667</v>
      </c>
      <c r="B240" s="44">
        <f t="shared" si="2"/>
        <v>45777</v>
      </c>
      <c r="C240" s="4">
        <f>('Equity Price Data'!B242-'Equity Price Data'!B241)/'Equity Price Data'!B241</f>
        <v>0.00329261686</v>
      </c>
      <c r="D240" s="4">
        <f t="shared" si="3"/>
        <v>0.003094204162</v>
      </c>
      <c r="E240" s="4">
        <f>('Equity Price Data'!C242-'Equity Price Data'!C241)/'Equity Price Data'!C241</f>
        <v>0.0006406996295</v>
      </c>
      <c r="F240" s="4">
        <f>('Equity Price Data'!D242-'Equity Price Data'!D241)/'Equity Price Data'!D241</f>
        <v>-0.0009670400979</v>
      </c>
      <c r="G240" s="4">
        <f>('Equity Price Data'!E242-'Equity Price Data'!E241)/'Equity Price Data'!E241</f>
        <v>0.00284417964</v>
      </c>
      <c r="H240" s="4">
        <f>('Equity Price Data'!F242-'Equity Price Data'!F241)/'Equity Price Data'!F241</f>
        <v>0.004050837241</v>
      </c>
      <c r="L240" s="1"/>
      <c r="M240" s="1"/>
      <c r="N240" s="1"/>
      <c r="O240" s="1"/>
    </row>
    <row r="241">
      <c r="A241" s="43">
        <f>Sheet11!A241</f>
        <v>45776.66667</v>
      </c>
      <c r="B241" s="44">
        <f t="shared" si="2"/>
        <v>45777</v>
      </c>
      <c r="C241" s="4">
        <f>('Equity Price Data'!B243-'Equity Price Data'!B242)/'Equity Price Data'!B242</f>
        <v>0.004865511457</v>
      </c>
      <c r="D241" s="4">
        <f t="shared" si="3"/>
        <v>0.004667098759</v>
      </c>
      <c r="E241" s="4">
        <f>('Equity Price Data'!C243-'Equity Price Data'!C242)/'Equity Price Data'!C242</f>
        <v>0.005802396563</v>
      </c>
      <c r="F241" s="4">
        <f>('Equity Price Data'!D243-'Equity Price Data'!D242)/'Equity Price Data'!D242</f>
        <v>0.005481359405</v>
      </c>
      <c r="G241" s="4">
        <f>('Equity Price Data'!E243-'Equity Price Data'!E242)/'Equity Price Data'!E242</f>
        <v>0.007458314058</v>
      </c>
      <c r="H241" s="4">
        <f>('Equity Price Data'!F243-'Equity Price Data'!F242)/'Equity Price Data'!F242</f>
        <v>0.005581135051</v>
      </c>
      <c r="L241" s="1"/>
      <c r="M241" s="1"/>
      <c r="N241" s="1"/>
      <c r="O241" s="1"/>
    </row>
    <row r="242">
      <c r="A242" s="43">
        <f>Sheet11!A242</f>
        <v>45777.66667</v>
      </c>
      <c r="B242" s="44">
        <f t="shared" si="2"/>
        <v>45777</v>
      </c>
      <c r="C242" s="4">
        <f>('Equity Price Data'!B244-'Equity Price Data'!B243)/'Equity Price Data'!B243</f>
        <v>0.0023677455</v>
      </c>
      <c r="D242" s="4">
        <f t="shared" si="3"/>
        <v>0.002169332802</v>
      </c>
      <c r="E242" s="4">
        <f>('Equity Price Data'!C244-'Equity Price Data'!C243)/'Equity Price Data'!C243</f>
        <v>0.001479994893</v>
      </c>
      <c r="F242" s="4">
        <f>('Equity Price Data'!D244-'Equity Price Data'!D243)/'Equity Price Data'!D243</f>
        <v>-0.0008578961957</v>
      </c>
      <c r="G242" s="4">
        <f>('Equity Price Data'!E244-'Equity Price Data'!E243)/'Equity Price Data'!E243</f>
        <v>0.003497367968</v>
      </c>
      <c r="H242" s="4">
        <f>('Equity Price Data'!F244-'Equity Price Data'!F243)/'Equity Price Data'!F243</f>
        <v>-0.006273652682</v>
      </c>
      <c r="L242" s="1"/>
      <c r="M242" s="1"/>
      <c r="N242" s="1"/>
      <c r="O242" s="1"/>
    </row>
    <row r="243">
      <c r="A243" s="43">
        <f>Sheet11!A243</f>
        <v>45778.66667</v>
      </c>
      <c r="B243" s="44">
        <f t="shared" si="2"/>
        <v>45808</v>
      </c>
      <c r="C243" s="4">
        <f>('Equity Price Data'!B245-'Equity Price Data'!B244)/'Equity Price Data'!B244</f>
        <v>0.002567526991</v>
      </c>
      <c r="D243" s="4">
        <f t="shared" si="3"/>
        <v>0.002369114292</v>
      </c>
      <c r="E243" s="4">
        <f>('Equity Price Data'!C245-'Equity Price Data'!C244)/'Equity Price Data'!C244</f>
        <v>0.006299088176</v>
      </c>
      <c r="F243" s="4">
        <f>('Equity Price Data'!D245-'Equity Price Data'!D244)/'Equity Price Data'!D244</f>
        <v>0.01515504111</v>
      </c>
      <c r="G243" s="4">
        <f>('Equity Price Data'!E245-'Equity Price Data'!E244)/'Equity Price Data'!E244</f>
        <v>0.002055601563</v>
      </c>
      <c r="H243" s="4">
        <f>('Equity Price Data'!F245-'Equity Price Data'!F244)/'Equity Price Data'!F244</f>
        <v>0.005977231534</v>
      </c>
      <c r="L243" s="1"/>
      <c r="M243" s="1"/>
      <c r="N243" s="1"/>
      <c r="O243" s="1"/>
    </row>
    <row r="244">
      <c r="A244" s="43">
        <f>Sheet11!A244</f>
        <v>45779.66667</v>
      </c>
      <c r="B244" s="44">
        <f t="shared" si="2"/>
        <v>45808</v>
      </c>
      <c r="C244" s="4">
        <f>('Equity Price Data'!B246-'Equity Price Data'!B245)/'Equity Price Data'!B245</f>
        <v>0.01321252187</v>
      </c>
      <c r="D244" s="4">
        <f t="shared" si="3"/>
        <v>0.01301410917</v>
      </c>
      <c r="E244" s="4">
        <f>('Equity Price Data'!C246-'Equity Price Data'!C245)/'Equity Price Data'!C245</f>
        <v>0.01472661283</v>
      </c>
      <c r="F244" s="4">
        <f>('Equity Price Data'!D246-'Equity Price Data'!D245)/'Equity Price Data'!D245</f>
        <v>0.01507503357</v>
      </c>
      <c r="G244" s="4">
        <f>('Equity Price Data'!E246-'Equity Price Data'!E245)/'Equity Price Data'!E245</f>
        <v>0.01385101843</v>
      </c>
      <c r="H244" s="4">
        <f>('Equity Price Data'!F246-'Equity Price Data'!F245)/'Equity Price Data'!F245</f>
        <v>0.02271415991</v>
      </c>
      <c r="L244" s="1"/>
      <c r="M244" s="1"/>
      <c r="N244" s="1"/>
      <c r="O244" s="1"/>
    </row>
    <row r="245">
      <c r="A245" s="43">
        <f>Sheet11!A245</f>
        <v>45782.66667</v>
      </c>
      <c r="B245" s="44">
        <f t="shared" si="2"/>
        <v>45808</v>
      </c>
      <c r="C245" s="4">
        <f>('Equity Price Data'!B247-'Equity Price Data'!B246)/'Equity Price Data'!B246</f>
        <v>-0.00573032155</v>
      </c>
      <c r="D245" s="4">
        <f t="shared" si="3"/>
        <v>-0.005928734249</v>
      </c>
      <c r="E245" s="4">
        <f>('Equity Price Data'!C247-'Equity Price Data'!C246)/'Equity Price Data'!C246</f>
        <v>-0.006381590632</v>
      </c>
      <c r="F245" s="4">
        <f>('Equity Price Data'!D247-'Equity Price Data'!D246)/'Equity Price Data'!D246</f>
        <v>-0.007425297855</v>
      </c>
      <c r="G245" s="4">
        <f>('Equity Price Data'!E247-'Equity Price Data'!E246)/'Equity Price Data'!E246</f>
        <v>-0.002386402058</v>
      </c>
      <c r="H245" s="4">
        <f>('Equity Price Data'!F247-'Equity Price Data'!F246)/'Equity Price Data'!F246</f>
        <v>-0.008155428209</v>
      </c>
      <c r="L245" s="1"/>
      <c r="M245" s="1"/>
      <c r="N245" s="1"/>
      <c r="O245" s="1"/>
    </row>
    <row r="246">
      <c r="A246" s="43">
        <f>Sheet11!A246</f>
        <v>45783.66667</v>
      </c>
      <c r="B246" s="44">
        <f t="shared" si="2"/>
        <v>45808</v>
      </c>
      <c r="C246" s="4">
        <f>('Equity Price Data'!B248-'Equity Price Data'!B247)/'Equity Price Data'!B247</f>
        <v>-0.008259886743</v>
      </c>
      <c r="D246" s="4">
        <f t="shared" si="3"/>
        <v>-0.008458299441</v>
      </c>
      <c r="E246" s="4">
        <f>('Equity Price Data'!C248-'Equity Price Data'!C247)/'Equity Price Data'!C247</f>
        <v>-0.007693287885</v>
      </c>
      <c r="F246" s="4">
        <f>('Equity Price Data'!D248-'Equity Price Data'!D247)/'Equity Price Data'!D247</f>
        <v>-0.008662739349</v>
      </c>
      <c r="G246" s="4">
        <f>('Equity Price Data'!E248-'Equity Price Data'!E247)/'Equity Price Data'!E247</f>
        <v>-0.009457570727</v>
      </c>
      <c r="H246" s="4">
        <f>('Equity Price Data'!F248-'Equity Price Data'!F247)/'Equity Price Data'!F247</f>
        <v>-0.01051260814</v>
      </c>
      <c r="L246" s="1"/>
      <c r="M246" s="1"/>
      <c r="N246" s="1"/>
      <c r="O246" s="1"/>
    </row>
    <row r="247">
      <c r="A247" s="43">
        <f>Sheet11!A247</f>
        <v>45784.66667</v>
      </c>
      <c r="B247" s="44">
        <f t="shared" si="2"/>
        <v>45808</v>
      </c>
      <c r="C247" s="4">
        <f>('Equity Price Data'!B249-'Equity Price Data'!B248)/'Equity Price Data'!B248</f>
        <v>0.00530949478</v>
      </c>
      <c r="D247" s="4">
        <f t="shared" si="3"/>
        <v>0.005111082082</v>
      </c>
      <c r="E247" s="4">
        <f>('Equity Price Data'!C249-'Equity Price Data'!C248)/'Equity Price Data'!C248</f>
        <v>0.004346422539</v>
      </c>
      <c r="F247" s="4">
        <f>('Equity Price Data'!D249-'Equity Price Data'!D248)/'Equity Price Data'!D248</f>
        <v>0.002741714651</v>
      </c>
      <c r="G247" s="4">
        <f>('Equity Price Data'!E249-'Equity Price Data'!E248)/'Equity Price Data'!E248</f>
        <v>0.006979597835</v>
      </c>
      <c r="H247" s="4">
        <f>('Equity Price Data'!F249-'Equity Price Data'!F248)/'Equity Price Data'!F248</f>
        <v>0.003262420646</v>
      </c>
      <c r="L247" s="1"/>
      <c r="M247" s="1"/>
      <c r="N247" s="1"/>
      <c r="O247" s="1"/>
    </row>
    <row r="248">
      <c r="A248" s="43">
        <f>Sheet11!A248</f>
        <v>45785.66667</v>
      </c>
      <c r="B248" s="44">
        <f t="shared" si="2"/>
        <v>45808</v>
      </c>
      <c r="C248" s="4">
        <f>('Equity Price Data'!B250-'Equity Price Data'!B249)/'Equity Price Data'!B249</f>
        <v>0.006968966968</v>
      </c>
      <c r="D248" s="4">
        <f t="shared" si="3"/>
        <v>0.00677055427</v>
      </c>
      <c r="E248" s="4">
        <f>('Equity Price Data'!C250-'Equity Price Data'!C249)/'Equity Price Data'!C249</f>
        <v>0.005799747127</v>
      </c>
      <c r="F248" s="4">
        <f>('Equity Price Data'!D250-'Equity Price Data'!D249)/'Equity Price Data'!D249</f>
        <v>0.01071024278</v>
      </c>
      <c r="G248" s="4">
        <f>('Equity Price Data'!E250-'Equity Price Data'!E249)/'Equity Price Data'!E249</f>
        <v>0.006189623624</v>
      </c>
      <c r="H248" s="4">
        <f>('Equity Price Data'!F250-'Equity Price Data'!F249)/'Equity Price Data'!F249</f>
        <v>0.01847049245</v>
      </c>
      <c r="L248" s="1"/>
      <c r="M248" s="1"/>
      <c r="N248" s="1"/>
      <c r="O248" s="1"/>
    </row>
    <row r="249">
      <c r="A249" s="43">
        <f>Sheet11!A249</f>
        <v>45786.66667</v>
      </c>
      <c r="B249" s="44">
        <f t="shared" si="2"/>
        <v>45808</v>
      </c>
      <c r="C249" s="4">
        <f>('Equity Price Data'!B251-'Equity Price Data'!B250)/'Equity Price Data'!B250</f>
        <v>0.002209045139</v>
      </c>
      <c r="D249" s="4">
        <f t="shared" si="3"/>
        <v>0.00201063244</v>
      </c>
      <c r="E249" s="4">
        <f>('Equity Price Data'!C251-'Equity Price Data'!C250)/'Equity Price Data'!C250</f>
        <v>-0.0007115188367</v>
      </c>
      <c r="F249" s="4">
        <f>('Equity Price Data'!D251-'Equity Price Data'!D250)/'Equity Price Data'!D250</f>
        <v>0.00004350702304</v>
      </c>
      <c r="G249" s="4">
        <f>('Equity Price Data'!E251-'Equity Price Data'!E250)/'Equity Price Data'!E250</f>
        <v>-0.002878280429</v>
      </c>
      <c r="H249" s="4">
        <f>('Equity Price Data'!F251-'Equity Price Data'!F250)/'Equity Price Data'!F250</f>
        <v>-0.001648235056</v>
      </c>
      <c r="L249" s="1"/>
      <c r="M249" s="1"/>
      <c r="N249" s="1"/>
      <c r="O249" s="1"/>
    </row>
    <row r="250">
      <c r="A250" s="43">
        <f>Sheet11!A250</f>
        <v>45789.66667</v>
      </c>
      <c r="B250" s="44">
        <f t="shared" si="2"/>
        <v>45808</v>
      </c>
      <c r="C250" s="4">
        <f>('Equity Price Data'!B252-'Equity Price Data'!B251)/'Equity Price Data'!B251</f>
        <v>0.02064233149</v>
      </c>
      <c r="D250" s="4">
        <f t="shared" si="3"/>
        <v>0.02044391879</v>
      </c>
      <c r="E250" s="4">
        <f>('Equity Price Data'!C252-'Equity Price Data'!C251)/'Equity Price Data'!C251</f>
        <v>0.03255882161</v>
      </c>
      <c r="F250" s="4">
        <f>('Equity Price Data'!D252-'Equity Price Data'!D251)/'Equity Price Data'!D251</f>
        <v>0.04347278029</v>
      </c>
      <c r="G250" s="4">
        <f>('Equity Price Data'!E252-'Equity Price Data'!E251)/'Equity Price Data'!E251</f>
        <v>0.02813908961</v>
      </c>
      <c r="H250" s="4">
        <f>('Equity Price Data'!F252-'Equity Price Data'!F251)/'Equity Price Data'!F251</f>
        <v>0.03417083937</v>
      </c>
      <c r="L250" s="1"/>
      <c r="M250" s="1"/>
      <c r="N250" s="1"/>
      <c r="O250" s="1"/>
    </row>
    <row r="251">
      <c r="A251" s="43">
        <f>Sheet11!A251</f>
        <v>45790.66667</v>
      </c>
      <c r="B251" s="44">
        <f t="shared" si="2"/>
        <v>45808</v>
      </c>
      <c r="C251" s="4">
        <f>('Equity Price Data'!B253-'Equity Price Data'!B252)/'Equity Price Data'!B252</f>
        <v>0.00003703098483</v>
      </c>
      <c r="D251" s="4">
        <f t="shared" si="3"/>
        <v>-0.0001613817136</v>
      </c>
      <c r="E251" s="4">
        <f>('Equity Price Data'!C253-'Equity Price Data'!C252)/'Equity Price Data'!C252</f>
        <v>0.007248224305</v>
      </c>
      <c r="F251" s="4">
        <f>('Equity Price Data'!D253-'Equity Price Data'!D252)/'Equity Price Data'!D252</f>
        <v>0.0161291702</v>
      </c>
      <c r="G251" s="4">
        <f>('Equity Price Data'!E253-'Equity Price Data'!E252)/'Equity Price Data'!E252</f>
        <v>-0.006358626837</v>
      </c>
      <c r="H251" s="4">
        <f>('Equity Price Data'!F253-'Equity Price Data'!F252)/'Equity Price Data'!F252</f>
        <v>0.004851352643</v>
      </c>
      <c r="L251" s="1"/>
      <c r="M251" s="1"/>
      <c r="N251" s="1"/>
      <c r="O251" s="1"/>
    </row>
    <row r="252">
      <c r="A252" s="43">
        <f>Sheet11!A252</f>
        <v>45791.66667</v>
      </c>
      <c r="B252" s="44">
        <f t="shared" si="2"/>
        <v>45808</v>
      </c>
      <c r="C252" s="4">
        <f>('Equity Price Data'!B254-'Equity Price Data'!B253)/'Equity Price Data'!B253</f>
        <v>-0.002123740672</v>
      </c>
      <c r="D252" s="4">
        <f t="shared" si="3"/>
        <v>-0.002322153371</v>
      </c>
      <c r="E252" s="4">
        <f>('Equity Price Data'!C254-'Equity Price Data'!C253)/'Equity Price Data'!C253</f>
        <v>0.001024369113</v>
      </c>
      <c r="F252" s="4">
        <f>('Equity Price Data'!D254-'Equity Price Data'!D253)/'Equity Price Data'!D253</f>
        <v>0.007191970159</v>
      </c>
      <c r="G252" s="4">
        <f>('Equity Price Data'!E254-'Equity Price Data'!E253)/'Equity Price Data'!E253</f>
        <v>-0.00212076621</v>
      </c>
      <c r="H252" s="4">
        <f>('Equity Price Data'!F254-'Equity Price Data'!F253)/'Equity Price Data'!F253</f>
        <v>-0.008823459462</v>
      </c>
      <c r="L252" s="1"/>
      <c r="M252" s="1"/>
      <c r="N252" s="1"/>
      <c r="O252" s="1"/>
    </row>
    <row r="253">
      <c r="A253" s="43">
        <f>Sheet11!A253</f>
        <v>45792.66667</v>
      </c>
      <c r="B253" s="44">
        <f t="shared" si="2"/>
        <v>45808</v>
      </c>
      <c r="C253" s="4">
        <f>('Equity Price Data'!B255-'Equity Price Data'!B254)/'Equity Price Data'!B254</f>
        <v>0.003764665417</v>
      </c>
      <c r="D253" s="4">
        <f t="shared" si="3"/>
        <v>0.003566252718</v>
      </c>
      <c r="E253" s="4">
        <f>('Equity Price Data'!C255-'Equity Price Data'!C254)/'Equity Price Data'!C254</f>
        <v>0.004132315556</v>
      </c>
      <c r="F253" s="4">
        <f>('Equity Price Data'!D255-'Equity Price Data'!D254)/'Equity Price Data'!D254</f>
        <v>-0.001801344454</v>
      </c>
      <c r="G253" s="4">
        <f>('Equity Price Data'!E255-'Equity Price Data'!E254)/'Equity Price Data'!E254</f>
        <v>0.006460954849</v>
      </c>
      <c r="H253" s="4">
        <f>('Equity Price Data'!F255-'Equity Price Data'!F254)/'Equity Price Data'!F254</f>
        <v>0.005226029369</v>
      </c>
      <c r="L253" s="1"/>
      <c r="M253" s="1"/>
      <c r="N253" s="1"/>
      <c r="O253" s="1"/>
    </row>
    <row r="254">
      <c r="A254" s="43">
        <f>Sheet11!A254</f>
        <v>45793.66667</v>
      </c>
      <c r="B254" s="44">
        <f t="shared" si="2"/>
        <v>45808</v>
      </c>
      <c r="C254" s="4">
        <f>('Equity Price Data'!B256-'Equity Price Data'!B255)/'Equity Price Data'!B255</f>
        <v>0.00731474245</v>
      </c>
      <c r="D254" s="4">
        <f t="shared" si="3"/>
        <v>0.007116329752</v>
      </c>
      <c r="E254" s="4">
        <f>('Equity Price Data'!C256-'Equity Price Data'!C255)/'Equity Price Data'!C255</f>
        <v>0.007005322017</v>
      </c>
      <c r="F254" s="4">
        <f>('Equity Price Data'!D256-'Equity Price Data'!D255)/'Equity Price Data'!D255</f>
        <v>0.005168393999</v>
      </c>
      <c r="G254" s="4">
        <f>('Equity Price Data'!E256-'Equity Price Data'!E255)/'Equity Price Data'!E255</f>
        <v>0.007844244526</v>
      </c>
      <c r="H254" s="4">
        <f>('Equity Price Data'!F256-'Equity Price Data'!F255)/'Equity Price Data'!F255</f>
        <v>0.008860499644</v>
      </c>
      <c r="L254" s="1"/>
      <c r="M254" s="1"/>
      <c r="N254" s="1"/>
      <c r="O254" s="1"/>
    </row>
    <row r="255">
      <c r="A255" s="43">
        <f>Sheet11!A255</f>
        <v>45796.66667</v>
      </c>
      <c r="B255" s="44">
        <f t="shared" si="2"/>
        <v>45808</v>
      </c>
      <c r="C255" s="4">
        <f>('Equity Price Data'!B257-'Equity Price Data'!B256)/'Equity Price Data'!B256</f>
        <v>0.001093423294</v>
      </c>
      <c r="D255" s="4">
        <f t="shared" si="3"/>
        <v>0.000895010596</v>
      </c>
      <c r="E255" s="4">
        <f>('Equity Price Data'!C257-'Equity Price Data'!C256)/'Equity Price Data'!C256</f>
        <v>0.0008760770545</v>
      </c>
      <c r="F255" s="4">
        <f>('Equity Price Data'!D257-'Equity Price Data'!D256)/'Equity Price Data'!D256</f>
        <v>0.0002269521266</v>
      </c>
      <c r="G255" s="4">
        <f>('Equity Price Data'!E257-'Equity Price Data'!E256)/'Equity Price Data'!E256</f>
        <v>0.003219571846</v>
      </c>
      <c r="H255" s="4">
        <f>('Equity Price Data'!F257-'Equity Price Data'!F256)/'Equity Price Data'!F256</f>
        <v>-0.004173666154</v>
      </c>
      <c r="L255" s="1"/>
      <c r="M255" s="1"/>
      <c r="N255" s="1"/>
      <c r="O255" s="1"/>
    </row>
    <row r="256">
      <c r="A256" s="43">
        <f>Sheet11!A256</f>
        <v>45797.66667</v>
      </c>
      <c r="B256" s="44">
        <f t="shared" si="2"/>
        <v>45808</v>
      </c>
      <c r="C256" s="4">
        <f>('Equity Price Data'!B258-'Equity Price Data'!B257)/'Equity Price Data'!B257</f>
        <v>-0.001596748729</v>
      </c>
      <c r="D256" s="4">
        <f t="shared" si="3"/>
        <v>-0.001795161428</v>
      </c>
      <c r="E256" s="4">
        <f>('Equity Price Data'!C258-'Equity Price Data'!C257)/'Equity Price Data'!C257</f>
        <v>-0.003880206587</v>
      </c>
      <c r="F256" s="4">
        <f>('Equity Price Data'!D258-'Equity Price Data'!D257)/'Equity Price Data'!D257</f>
        <v>-0.00378601397</v>
      </c>
      <c r="G256" s="4">
        <f>('Equity Price Data'!E258-'Equity Price Data'!E257)/'Equity Price Data'!E257</f>
        <v>-0.002683441114</v>
      </c>
      <c r="H256" s="4">
        <f>('Equity Price Data'!F258-'Equity Price Data'!F257)/'Equity Price Data'!F257</f>
        <v>0.000546466264</v>
      </c>
      <c r="L256" s="1"/>
      <c r="M256" s="1"/>
      <c r="N256" s="1"/>
      <c r="O256" s="1"/>
    </row>
    <row r="257">
      <c r="A257" s="43">
        <f>Sheet11!A257</f>
        <v>45798.66667</v>
      </c>
      <c r="B257" s="44">
        <f t="shared" si="2"/>
        <v>45808</v>
      </c>
      <c r="C257" s="4">
        <f>('Equity Price Data'!B259-'Equity Price Data'!B258)/'Equity Price Data'!B258</f>
        <v>-0.01647724427</v>
      </c>
      <c r="D257" s="4">
        <f t="shared" si="3"/>
        <v>-0.01667565697</v>
      </c>
      <c r="E257" s="4">
        <f>('Equity Price Data'!C259-'Equity Price Data'!C258)/'Equity Price Data'!C258</f>
        <v>-0.01613511412</v>
      </c>
      <c r="F257" s="4">
        <f>('Equity Price Data'!D259-'Equity Price Data'!D258)/'Equity Price Data'!D258</f>
        <v>-0.01410824277</v>
      </c>
      <c r="G257" s="4">
        <f>('Equity Price Data'!E259-'Equity Price Data'!E258)/'Equity Price Data'!E258</f>
        <v>-0.01913900711</v>
      </c>
      <c r="H257" s="4">
        <f>('Equity Price Data'!F259-'Equity Price Data'!F258)/'Equity Price Data'!F258</f>
        <v>-0.02803028144</v>
      </c>
      <c r="L257" s="1"/>
      <c r="M257" s="1"/>
      <c r="N257" s="1"/>
      <c r="O257" s="1"/>
    </row>
    <row r="258">
      <c r="A258" s="43">
        <f>Sheet11!A258</f>
        <v>45799.66667</v>
      </c>
      <c r="B258" s="44">
        <f t="shared" si="2"/>
        <v>45808</v>
      </c>
      <c r="C258" s="4">
        <f>('Equity Price Data'!B260-'Equity Price Data'!B259)/'Equity Price Data'!B259</f>
        <v>0.0005324185939</v>
      </c>
      <c r="D258" s="4">
        <f t="shared" si="3"/>
        <v>0.0003340058955</v>
      </c>
      <c r="E258" s="4">
        <f>('Equity Price Data'!C260-'Equity Price Data'!C259)/'Equity Price Data'!C259</f>
        <v>-0.0004448543188</v>
      </c>
      <c r="F258" s="4">
        <f>('Equity Price Data'!D260-'Equity Price Data'!D259)/'Equity Price Data'!D259</f>
        <v>0.002813596826</v>
      </c>
      <c r="G258" s="4">
        <f>('Equity Price Data'!E260-'Equity Price Data'!E259)/'Equity Price Data'!E259</f>
        <v>-0.00003225001935</v>
      </c>
      <c r="H258" s="4">
        <f>('Equity Price Data'!F260-'Equity Price Data'!F259)/'Equity Price Data'!F259</f>
        <v>-0.0004886248143</v>
      </c>
      <c r="L258" s="1"/>
      <c r="M258" s="1"/>
      <c r="N258" s="1"/>
      <c r="O258" s="1"/>
    </row>
    <row r="259">
      <c r="A259" s="43">
        <f>Sheet11!A259</f>
        <v>45800.66667</v>
      </c>
      <c r="B259" s="44">
        <f t="shared" si="2"/>
        <v>45808</v>
      </c>
      <c r="C259" s="4">
        <f>('Equity Price Data'!B261-'Equity Price Data'!B260)/'Equity Price Data'!B260</f>
        <v>-0.001740066805</v>
      </c>
      <c r="D259" s="4">
        <f t="shared" si="3"/>
        <v>-0.001938479503</v>
      </c>
      <c r="E259" s="4">
        <f>('Equity Price Data'!C261-'Equity Price Data'!C260)/'Equity Price Data'!C260</f>
        <v>-0.006708307586</v>
      </c>
      <c r="F259" s="4">
        <f>('Equity Price Data'!D261-'Equity Price Data'!D260)/'Equity Price Data'!D260</f>
        <v>-0.009961565572</v>
      </c>
      <c r="G259" s="4">
        <f>('Equity Price Data'!E261-'Equity Price Data'!E260)/'Equity Price Data'!E260</f>
        <v>-0.006116234252</v>
      </c>
      <c r="H259" s="4">
        <f>('Equity Price Data'!F261-'Equity Price Data'!F260)/'Equity Price Data'!F260</f>
        <v>-0.002791411643</v>
      </c>
      <c r="L259" s="1"/>
      <c r="M259" s="1"/>
      <c r="N259" s="1"/>
      <c r="O259" s="1"/>
    </row>
    <row r="260">
      <c r="A260" s="43">
        <f>Sheet11!A260</f>
        <v>45804.66667</v>
      </c>
      <c r="B260" s="44">
        <f t="shared" si="2"/>
        <v>45808</v>
      </c>
      <c r="C260" s="4">
        <f>('Equity Price Data'!B262-'Equity Price Data'!B261)/'Equity Price Data'!B261</f>
        <v>0.01314003944</v>
      </c>
      <c r="D260" s="4">
        <f t="shared" si="3"/>
        <v>0.01294162674</v>
      </c>
      <c r="E260" s="4">
        <f>('Equity Price Data'!C262-'Equity Price Data'!C261)/'Equity Price Data'!C261</f>
        <v>0.0204590182</v>
      </c>
      <c r="F260" s="4">
        <f>('Equity Price Data'!D262-'Equity Price Data'!D261)/'Equity Price Data'!D261</f>
        <v>0.02465415075</v>
      </c>
      <c r="G260" s="4">
        <f>('Equity Price Data'!E262-'Equity Price Data'!E261)/'Equity Price Data'!E261</f>
        <v>0.01780109016</v>
      </c>
      <c r="H260" s="4">
        <f>('Equity Price Data'!F262-'Equity Price Data'!F261)/'Equity Price Data'!F261</f>
        <v>0.02478123391</v>
      </c>
      <c r="L260" s="1"/>
      <c r="M260" s="1"/>
      <c r="N260" s="1"/>
      <c r="O260" s="1"/>
    </row>
    <row r="261">
      <c r="A261" s="43">
        <f>Sheet11!A261</f>
        <v>45805.66667</v>
      </c>
      <c r="B261" s="44">
        <f t="shared" si="2"/>
        <v>45808</v>
      </c>
      <c r="C261" s="4">
        <f>('Equity Price Data'!B263-'Equity Price Data'!B262)/'Equity Price Data'!B262</f>
        <v>-0.007987590079</v>
      </c>
      <c r="D261" s="4">
        <f t="shared" si="3"/>
        <v>-0.008186002777</v>
      </c>
      <c r="E261" s="4">
        <f>('Equity Price Data'!C263-'Equity Price Data'!C262)/'Equity Price Data'!C262</f>
        <v>-0.005571185874</v>
      </c>
      <c r="F261" s="4">
        <f>('Equity Price Data'!D263-'Equity Price Data'!D262)/'Equity Price Data'!D262</f>
        <v>-0.005115848818</v>
      </c>
      <c r="G261" s="4">
        <f>('Equity Price Data'!E263-'Equity Price Data'!E262)/'Equity Price Data'!E262</f>
        <v>-0.00578481071</v>
      </c>
      <c r="H261" s="4">
        <f>('Equity Price Data'!F263-'Equity Price Data'!F262)/'Equity Price Data'!F262</f>
        <v>-0.01081132798</v>
      </c>
      <c r="L261" s="1"/>
      <c r="M261" s="1"/>
      <c r="N261" s="1"/>
      <c r="O261" s="1"/>
    </row>
    <row r="262">
      <c r="A262" s="43">
        <f>Sheet11!A262</f>
        <v>45806.66667</v>
      </c>
      <c r="B262" s="44">
        <f t="shared" si="2"/>
        <v>45808</v>
      </c>
      <c r="C262" s="4">
        <f>('Equity Price Data'!B264-'Equity Price Data'!B263)/'Equity Price Data'!B263</f>
        <v>0.004039286086</v>
      </c>
      <c r="D262" s="4">
        <f t="shared" si="3"/>
        <v>0.003840873387</v>
      </c>
      <c r="E262" s="4">
        <f>('Equity Price Data'!C264-'Equity Price Data'!C263)/'Equity Price Data'!C263</f>
        <v>0.004011174228</v>
      </c>
      <c r="F262" s="4">
        <f>('Equity Price Data'!D264-'Equity Price Data'!D263)/'Equity Price Data'!D263</f>
        <v>0.003922843588</v>
      </c>
      <c r="G262" s="4">
        <f>('Equity Price Data'!E264-'Equity Price Data'!E263)/'Equity Price Data'!E263</f>
        <v>0.002779895816</v>
      </c>
      <c r="H262" s="4">
        <f>('Equity Price Data'!F264-'Equity Price Data'!F263)/'Equity Price Data'!F263</f>
        <v>0.003375568237</v>
      </c>
      <c r="L262" s="1"/>
      <c r="M262" s="1"/>
      <c r="N262" s="1"/>
      <c r="O262" s="1"/>
    </row>
    <row r="263">
      <c r="A263" s="43">
        <f>Sheet11!A263</f>
        <v>45807.66667</v>
      </c>
      <c r="B263" s="44">
        <f t="shared" si="2"/>
        <v>45808</v>
      </c>
      <c r="C263" s="4">
        <f>('Equity Price Data'!B265-'Equity Price Data'!B264)/'Equity Price Data'!B264</f>
        <v>0.004486061304</v>
      </c>
      <c r="D263" s="4">
        <f t="shared" si="3"/>
        <v>0.004287648606</v>
      </c>
      <c r="E263" s="4">
        <f>('Equity Price Data'!C265-'Equity Price Data'!C264)/'Equity Price Data'!C264</f>
        <v>-0.0000811884638</v>
      </c>
      <c r="F263" s="4">
        <f>('Equity Price Data'!D265-'Equity Price Data'!D264)/'Equity Price Data'!D264</f>
        <v>-0.003238444983</v>
      </c>
      <c r="G263" s="4">
        <f>('Equity Price Data'!E265-'Equity Price Data'!E264)/'Equity Price Data'!E264</f>
        <v>0.001287197924</v>
      </c>
      <c r="H263" s="4">
        <f>('Equity Price Data'!F265-'Equity Price Data'!F264)/'Equity Price Data'!F264</f>
        <v>-0.004092000116</v>
      </c>
      <c r="L263" s="1"/>
      <c r="M263" s="1"/>
      <c r="N263" s="1"/>
      <c r="O263" s="1"/>
    </row>
    <row r="264">
      <c r="A264" s="43">
        <f>Sheet11!A264</f>
        <v>45810.66667</v>
      </c>
      <c r="B264" s="44">
        <f t="shared" si="2"/>
        <v>45838</v>
      </c>
      <c r="C264" s="4">
        <f>('Equity Price Data'!B266-'Equity Price Data'!B265)/'Equity Price Data'!B265</f>
        <v>-0.0002104339212</v>
      </c>
      <c r="D264" s="4">
        <f t="shared" si="3"/>
        <v>-0.0004088466196</v>
      </c>
      <c r="E264" s="4">
        <f>('Equity Price Data'!C266-'Equity Price Data'!C265)/'Equity Price Data'!C265</f>
        <v>0.004102041886</v>
      </c>
      <c r="F264" s="4">
        <f>('Equity Price Data'!D266-'Equity Price Data'!D265)/'Equity Price Data'!D265</f>
        <v>0.006740690089</v>
      </c>
      <c r="G264" s="4">
        <f>('Equity Price Data'!E266-'Equity Price Data'!E265)/'Equity Price Data'!E265</f>
        <v>0.0008377085725</v>
      </c>
      <c r="H264" s="4">
        <f>('Equity Price Data'!F266-'Equity Price Data'!F265)/'Equity Price Data'!F265</f>
        <v>0.001872922</v>
      </c>
      <c r="L264" s="1"/>
      <c r="M264" s="1"/>
      <c r="N264" s="1"/>
      <c r="O264" s="1"/>
    </row>
    <row r="265">
      <c r="A265" s="43">
        <f>Sheet11!A265</f>
        <v>45811.66667</v>
      </c>
      <c r="B265" s="44">
        <f t="shared" si="2"/>
        <v>45838</v>
      </c>
      <c r="C265" s="4">
        <f>('Equity Price Data'!B267-'Equity Price Data'!B266)/'Equity Price Data'!B266</f>
        <v>0.005262627566</v>
      </c>
      <c r="D265" s="4">
        <f t="shared" si="3"/>
        <v>0.005064214868</v>
      </c>
      <c r="E265" s="4">
        <f>('Equity Price Data'!C267-'Equity Price Data'!C266)/'Equity Price Data'!C266</f>
        <v>0.005800260784</v>
      </c>
      <c r="F265" s="4">
        <f>('Equity Price Data'!D267-'Equity Price Data'!D266)/'Equity Price Data'!D266</f>
        <v>0.008125197154</v>
      </c>
      <c r="G265" s="4">
        <f>('Equity Price Data'!E267-'Equity Price Data'!E266)/'Equity Price Data'!E266</f>
        <v>0.005062228345</v>
      </c>
      <c r="H265" s="4">
        <f>('Equity Price Data'!F267-'Equity Price Data'!F266)/'Equity Price Data'!F266</f>
        <v>0.01585384705</v>
      </c>
      <c r="L265" s="1"/>
      <c r="M265" s="1"/>
      <c r="N265" s="1"/>
      <c r="O265" s="1"/>
    </row>
    <row r="266">
      <c r="A266" s="43">
        <f>Sheet11!A266</f>
        <v>45812.66667</v>
      </c>
      <c r="B266" s="44">
        <f t="shared" si="2"/>
        <v>45838</v>
      </c>
      <c r="C266" s="4">
        <f>('Equity Price Data'!B268-'Equity Price Data'!B267)/'Equity Price Data'!B267</f>
        <v>-0.001470609406</v>
      </c>
      <c r="D266" s="4">
        <f t="shared" si="3"/>
        <v>-0.001669022104</v>
      </c>
      <c r="E266" s="4">
        <f>('Equity Price Data'!C268-'Equity Price Data'!C267)/'Equity Price Data'!C267</f>
        <v>0.00007369727504</v>
      </c>
      <c r="F266" s="4">
        <f>('Equity Price Data'!D268-'Equity Price Data'!D267)/'Equity Price Data'!D267</f>
        <v>0.00317181952</v>
      </c>
      <c r="G266" s="4">
        <f>('Equity Price Data'!E268-'Equity Price Data'!E267)/'Equity Price Data'!E267</f>
        <v>-0.002161354141</v>
      </c>
      <c r="H266" s="4">
        <f>('Equity Price Data'!F268-'Equity Price Data'!F267)/'Equity Price Data'!F267</f>
        <v>-0.002139820635</v>
      </c>
      <c r="L266" s="1"/>
      <c r="M266" s="1"/>
      <c r="N266" s="1"/>
      <c r="O266" s="1"/>
    </row>
    <row r="267">
      <c r="A267" s="43">
        <f>Sheet11!A267</f>
        <v>45813.66667</v>
      </c>
      <c r="B267" s="44">
        <f t="shared" si="2"/>
        <v>45838</v>
      </c>
      <c r="C267" s="4">
        <f>('Equity Price Data'!B269-'Equity Price Data'!B268)/'Equity Price Data'!B268</f>
        <v>-0.001950975933</v>
      </c>
      <c r="D267" s="4">
        <f t="shared" si="3"/>
        <v>-0.002149388632</v>
      </c>
      <c r="E267" s="4">
        <f>('Equity Price Data'!C269-'Equity Price Data'!C268)/'Equity Price Data'!C268</f>
        <v>-0.00527734093</v>
      </c>
      <c r="F267" s="4">
        <f>('Equity Price Data'!D269-'Equity Price Data'!D268)/'Equity Price Data'!D268</f>
        <v>-0.008326614592</v>
      </c>
      <c r="G267" s="4">
        <f>('Equity Price Data'!E269-'Equity Price Data'!E268)/'Equity Price Data'!E268</f>
        <v>-0.002545504427</v>
      </c>
      <c r="H267" s="4">
        <f>('Equity Price Data'!F269-'Equity Price Data'!F268)/'Equity Price Data'!F268</f>
        <v>-0.0005384849987</v>
      </c>
      <c r="L267" s="1"/>
      <c r="M267" s="1"/>
      <c r="N267" s="1"/>
      <c r="O267" s="1"/>
    </row>
    <row r="268">
      <c r="A268" s="43">
        <f>Sheet11!A268</f>
        <v>45814.66667</v>
      </c>
      <c r="B268" s="44">
        <f t="shared" si="2"/>
        <v>45838</v>
      </c>
      <c r="C268" s="4">
        <f>('Equity Price Data'!B270-'Equity Price Data'!B269)/'Equity Price Data'!B269</f>
        <v>0.01161576394</v>
      </c>
      <c r="D268" s="4">
        <f t="shared" si="3"/>
        <v>0.01141735124</v>
      </c>
      <c r="E268" s="4">
        <f>('Equity Price Data'!C270-'Equity Price Data'!C269)/'Equity Price Data'!C269</f>
        <v>0.01028067281</v>
      </c>
      <c r="F268" s="4">
        <f>('Equity Price Data'!D270-'Equity Price Data'!D269)/'Equity Price Data'!D269</f>
        <v>0.01199578204</v>
      </c>
      <c r="G268" s="4">
        <f>('Equity Price Data'!E270-'Equity Price Data'!E269)/'Equity Price Data'!E269</f>
        <v>0.01047100006</v>
      </c>
      <c r="H268" s="4">
        <f>('Equity Price Data'!F270-'Equity Price Data'!F269)/'Equity Price Data'!F269</f>
        <v>0.01664004577</v>
      </c>
      <c r="L268" s="1"/>
      <c r="M268" s="1"/>
      <c r="N268" s="1"/>
      <c r="O268" s="1"/>
    </row>
    <row r="269">
      <c r="A269" s="43">
        <f>Sheet11!A269</f>
        <v>45817.66667</v>
      </c>
      <c r="B269" s="44">
        <f t="shared" si="2"/>
        <v>45838</v>
      </c>
      <c r="C269" s="4">
        <f>('Equity Price Data'!B271-'Equity Price Data'!B270)/'Equity Price Data'!B270</f>
        <v>0.002202297371</v>
      </c>
      <c r="D269" s="4">
        <f t="shared" si="3"/>
        <v>0.002003884673</v>
      </c>
      <c r="E269" s="4">
        <f>('Equity Price Data'!C271-'Equity Price Data'!C270)/'Equity Price Data'!C270</f>
        <v>0.0009199448033</v>
      </c>
      <c r="F269" s="4">
        <f>('Equity Price Data'!D271-'Equity Price Data'!D270)/'Equity Price Data'!D270</f>
        <v>0.003138256882</v>
      </c>
      <c r="G269" s="4">
        <f>('Equity Price Data'!E271-'Equity Price Data'!E270)/'Equity Price Data'!E270</f>
        <v>-0.00002595709783</v>
      </c>
      <c r="H269" s="4">
        <f>('Equity Price Data'!F271-'Equity Price Data'!F270)/'Equity Price Data'!F270</f>
        <v>0.005721655528</v>
      </c>
      <c r="L269" s="1"/>
      <c r="M269" s="1"/>
      <c r="N269" s="1"/>
      <c r="O269" s="1"/>
    </row>
    <row r="270">
      <c r="A270" s="43">
        <f>Sheet11!A270</f>
        <v>45818.66667</v>
      </c>
      <c r="B270" s="44">
        <f t="shared" si="2"/>
        <v>45838</v>
      </c>
      <c r="C270" s="4">
        <f>('Equity Price Data'!B272-'Equity Price Data'!B271)/'Equity Price Data'!B271</f>
        <v>0.002310162238</v>
      </c>
      <c r="D270" s="4">
        <f t="shared" si="3"/>
        <v>0.00211174954</v>
      </c>
      <c r="E270" s="4">
        <f>('Equity Price Data'!C272-'Equity Price Data'!C271)/'Equity Price Data'!C271</f>
        <v>0.005482960033</v>
      </c>
      <c r="F270" s="4">
        <f>('Equity Price Data'!D272-'Equity Price Data'!D271)/'Equity Price Data'!D271</f>
        <v>0.006316598643</v>
      </c>
      <c r="G270" s="4">
        <f>('Equity Price Data'!E272-'Equity Price Data'!E271)/'Equity Price Data'!E271</f>
        <v>0.002458037274</v>
      </c>
      <c r="H270" s="4">
        <f>('Equity Price Data'!F272-'Equity Price Data'!F271)/'Equity Price Data'!F271</f>
        <v>0.005577187624</v>
      </c>
      <c r="L270" s="1"/>
      <c r="M270" s="1"/>
      <c r="N270" s="1"/>
      <c r="O270" s="1"/>
    </row>
    <row r="271">
      <c r="A271" s="43">
        <f>Sheet11!A271</f>
        <v>45819.66667</v>
      </c>
      <c r="B271" s="44">
        <f t="shared" si="2"/>
        <v>45838</v>
      </c>
      <c r="C271" s="4">
        <f>('Equity Price Data'!B273-'Equity Price Data'!B272)/'Equity Price Data'!B272</f>
        <v>-0.003964164088</v>
      </c>
      <c r="D271" s="4">
        <f t="shared" si="3"/>
        <v>-0.004162576786</v>
      </c>
      <c r="E271" s="4">
        <f>('Equity Price Data'!C273-'Equity Price Data'!C272)/'Equity Price Data'!C272</f>
        <v>-0.00274391809</v>
      </c>
      <c r="F271" s="4">
        <f>('Equity Price Data'!D273-'Equity Price Data'!D272)/'Equity Price Data'!D272</f>
        <v>-0.005027139248</v>
      </c>
      <c r="G271" s="4">
        <f>('Equity Price Data'!E273-'Equity Price Data'!E272)/'Equity Price Data'!E272</f>
        <v>-0.00002566084251</v>
      </c>
      <c r="H271" s="4">
        <f>('Equity Price Data'!F273-'Equity Price Data'!F272)/'Equity Price Data'!F272</f>
        <v>-0.003793341711</v>
      </c>
      <c r="L271" s="1"/>
      <c r="M271" s="1"/>
      <c r="N271" s="1"/>
      <c r="O271" s="1"/>
    </row>
    <row r="272">
      <c r="A272" s="43">
        <f>Sheet11!A272</f>
        <v>45820.66667</v>
      </c>
      <c r="B272" s="44">
        <f t="shared" si="2"/>
        <v>45838</v>
      </c>
      <c r="C272" s="4">
        <f>('Equity Price Data'!B274-'Equity Price Data'!B273)/'Equity Price Data'!B273</f>
        <v>0.004002263204</v>
      </c>
      <c r="D272" s="4">
        <f t="shared" si="3"/>
        <v>0.003803850505</v>
      </c>
      <c r="E272" s="4">
        <f>('Equity Price Data'!C274-'Equity Price Data'!C273)/'Equity Price Data'!C273</f>
        <v>0.003822497941</v>
      </c>
      <c r="F272" s="4">
        <f>('Equity Price Data'!D274-'Equity Price Data'!D273)/'Equity Price Data'!D273</f>
        <v>0.002376136069</v>
      </c>
      <c r="G272" s="4">
        <f>('Equity Price Data'!E274-'Equity Price Data'!E273)/'Equity Price Data'!E273</f>
        <v>0.002376021707</v>
      </c>
      <c r="H272" s="4">
        <f>('Equity Price Data'!F274-'Equity Price Data'!F273)/'Equity Price Data'!F273</f>
        <v>-0.003789165965</v>
      </c>
      <c r="L272" s="1"/>
      <c r="M272" s="1"/>
      <c r="N272" s="1"/>
      <c r="O272" s="1"/>
    </row>
    <row r="273">
      <c r="A273" s="43">
        <f>Sheet11!A273</f>
        <v>45821.66667</v>
      </c>
      <c r="B273" s="44">
        <f t="shared" si="2"/>
        <v>45838</v>
      </c>
      <c r="C273" s="4">
        <f>('Equity Price Data'!B275-'Equity Price Data'!B274)/'Equity Price Data'!B274</f>
        <v>-0.006218504378</v>
      </c>
      <c r="D273" s="4">
        <f t="shared" si="3"/>
        <v>-0.006416917077</v>
      </c>
      <c r="E273" s="4">
        <f>('Equity Price Data'!C275-'Equity Price Data'!C274)/'Equity Price Data'!C274</f>
        <v>-0.01129645375</v>
      </c>
      <c r="F273" s="4">
        <f>('Equity Price Data'!D275-'Equity Price Data'!D274)/'Equity Price Data'!D274</f>
        <v>-0.01300242238</v>
      </c>
      <c r="G273" s="4">
        <f>('Equity Price Data'!E275-'Equity Price Data'!E274)/'Equity Price Data'!E274</f>
        <v>-0.01791651481</v>
      </c>
      <c r="H273" s="4">
        <f>('Equity Price Data'!F275-'Equity Price Data'!F274)/'Equity Price Data'!F274</f>
        <v>-0.01849454929</v>
      </c>
      <c r="L273" s="1"/>
      <c r="M273" s="1"/>
      <c r="N273" s="1"/>
      <c r="O273" s="1"/>
    </row>
    <row r="274">
      <c r="A274" s="43">
        <f>Sheet11!A274</f>
        <v>45824.66667</v>
      </c>
      <c r="B274" s="44">
        <f t="shared" si="2"/>
        <v>45838</v>
      </c>
      <c r="C274" s="4">
        <f>('Equity Price Data'!B276-'Equity Price Data'!B275)/'Equity Price Data'!B275</f>
        <v>0.007948934919</v>
      </c>
      <c r="D274" s="4">
        <f t="shared" si="3"/>
        <v>0.00775052222</v>
      </c>
      <c r="E274" s="4">
        <f>('Equity Price Data'!C276-'Equity Price Data'!C275)/'Equity Price Data'!C275</f>
        <v>0.009392719053</v>
      </c>
      <c r="F274" s="4">
        <f>('Equity Price Data'!D276-'Equity Price Data'!D275)/'Equity Price Data'!D275</f>
        <v>0.01516888642</v>
      </c>
      <c r="G274" s="4">
        <f>('Equity Price Data'!E276-'Equity Price Data'!E275)/'Equity Price Data'!E275</f>
        <v>0.007519351132</v>
      </c>
      <c r="H274" s="4">
        <f>('Equity Price Data'!F276-'Equity Price Data'!F275)/'Equity Price Data'!F275</f>
        <v>0.01124488815</v>
      </c>
      <c r="L274" s="1"/>
      <c r="M274" s="1"/>
      <c r="N274" s="1"/>
      <c r="O274" s="1"/>
    </row>
    <row r="275">
      <c r="A275" s="43">
        <f>Sheet11!A275</f>
        <v>45825.66667</v>
      </c>
      <c r="B275" s="44">
        <f t="shared" si="2"/>
        <v>45838</v>
      </c>
      <c r="C275" s="4">
        <f>('Equity Price Data'!B277-'Equity Price Data'!B276)/'Equity Price Data'!B276</f>
        <v>-0.009387947828</v>
      </c>
      <c r="D275" s="4">
        <f t="shared" si="3"/>
        <v>-0.009586360527</v>
      </c>
      <c r="E275" s="4">
        <f>('Equity Price Data'!C277-'Equity Price Data'!C276)/'Equity Price Data'!C276</f>
        <v>-0.008352242873</v>
      </c>
      <c r="F275" s="4">
        <f>('Equity Price Data'!D277-'Equity Price Data'!D276)/'Equity Price Data'!D276</f>
        <v>-0.009142585658</v>
      </c>
      <c r="G275" s="4">
        <f>('Equity Price Data'!E277-'Equity Price Data'!E276)/'Equity Price Data'!E276</f>
        <v>-0.007039618169</v>
      </c>
      <c r="H275" s="4">
        <f>('Equity Price Data'!F277-'Equity Price Data'!F276)/'Equity Price Data'!F276</f>
        <v>-0.01043721429</v>
      </c>
      <c r="L275" s="1"/>
      <c r="M275" s="1"/>
      <c r="N275" s="1"/>
      <c r="O275" s="1"/>
    </row>
    <row r="276">
      <c r="A276" s="43">
        <f>Sheet11!A276</f>
        <v>45826.66667</v>
      </c>
      <c r="B276" s="44">
        <f t="shared" si="2"/>
        <v>45838</v>
      </c>
      <c r="C276" s="4">
        <f>('Equity Price Data'!B278-'Equity Price Data'!B277)/'Equity Price Data'!B277</f>
        <v>-0.001450951257</v>
      </c>
      <c r="D276" s="4">
        <f t="shared" si="3"/>
        <v>-0.001649363956</v>
      </c>
      <c r="E276" s="4">
        <f>('Equity Price Data'!C278-'Equity Price Data'!C277)/'Equity Price Data'!C277</f>
        <v>-0.0003092238982</v>
      </c>
      <c r="F276" s="4">
        <f>('Equity Price Data'!D278-'Equity Price Data'!D277)/'Equity Price Data'!D277</f>
        <v>0.001289886989</v>
      </c>
      <c r="G276" s="4">
        <f>('Equity Price Data'!E278-'Equity Price Data'!E277)/'Equity Price Data'!E277</f>
        <v>-0.001045580091</v>
      </c>
      <c r="H276" s="4">
        <f>('Equity Price Data'!F278-'Equity Price Data'!F277)/'Equity Price Data'!F277</f>
        <v>0.005233210908</v>
      </c>
      <c r="L276" s="1"/>
      <c r="M276" s="1"/>
      <c r="N276" s="1"/>
      <c r="O276" s="1"/>
    </row>
    <row r="277">
      <c r="A277" s="43">
        <f>Sheet11!A277</f>
        <v>45828.66667</v>
      </c>
      <c r="B277" s="44">
        <f t="shared" si="2"/>
        <v>45838</v>
      </c>
      <c r="C277" s="4">
        <f>('Equity Price Data'!B279-'Equity Price Data'!B278)/'Equity Price Data'!B278</f>
        <v>-0.0005781890555</v>
      </c>
      <c r="D277" s="4">
        <f t="shared" si="3"/>
        <v>-0.0007766017539</v>
      </c>
      <c r="E277" s="4">
        <f>('Equity Price Data'!C279-'Equity Price Data'!C278)/'Equity Price Data'!C278</f>
        <v>-0.002178612811</v>
      </c>
      <c r="F277" s="4">
        <f>('Equity Price Data'!D279-'Equity Price Data'!D278)/'Equity Price Data'!D278</f>
        <v>-0.005057742475</v>
      </c>
      <c r="G277" s="4">
        <f>('Equity Price Data'!E279-'Equity Price Data'!E278)/'Equity Price Data'!E278</f>
        <v>0.000833735262</v>
      </c>
      <c r="H277" s="4">
        <f>('Equity Price Data'!F279-'Equity Price Data'!F278)/'Equity Price Data'!F278</f>
        <v>-0.001746365289</v>
      </c>
      <c r="L277" s="1"/>
      <c r="M277" s="1"/>
      <c r="N277" s="1"/>
      <c r="O277" s="1"/>
    </row>
    <row r="278">
      <c r="A278" s="43">
        <f>Sheet11!A278</f>
        <v>45831.66667</v>
      </c>
      <c r="B278" s="44">
        <f t="shared" si="2"/>
        <v>45838</v>
      </c>
      <c r="C278" s="4">
        <f>('Equity Price Data'!B280-'Equity Price Data'!B279)/'Equity Price Data'!B279</f>
        <v>0.007559077885</v>
      </c>
      <c r="D278" s="4">
        <f t="shared" si="3"/>
        <v>0.007360665187</v>
      </c>
      <c r="E278" s="4">
        <f>('Equity Price Data'!C280-'Equity Price Data'!C279)/'Equity Price Data'!C279</f>
        <v>0.009606490791</v>
      </c>
      <c r="F278" s="4">
        <f>('Equity Price Data'!D280-'Equity Price Data'!D279)/'Equity Price Data'!D279</f>
        <v>0.009438789021</v>
      </c>
      <c r="G278" s="4">
        <f>('Equity Price Data'!E280-'Equity Price Data'!E279)/'Equity Price Data'!E279</f>
        <v>0.008883872322</v>
      </c>
      <c r="H278" s="4">
        <f>('Equity Price Data'!F280-'Equity Price Data'!F279)/'Equity Price Data'!F279</f>
        <v>0.01109862654</v>
      </c>
      <c r="L278" s="1"/>
      <c r="M278" s="1"/>
      <c r="N278" s="1"/>
      <c r="O278" s="1"/>
    </row>
    <row r="279">
      <c r="A279" s="43">
        <f>Sheet11!A279</f>
        <v>45832.66667</v>
      </c>
      <c r="B279" s="44">
        <f t="shared" si="2"/>
        <v>45838</v>
      </c>
      <c r="C279" s="4">
        <f>('Equity Price Data'!B281-'Equity Price Data'!B280)/'Equity Price Data'!B280</f>
        <v>0.007954792945</v>
      </c>
      <c r="D279" s="4">
        <f t="shared" si="3"/>
        <v>0.007756380246</v>
      </c>
      <c r="E279" s="4">
        <f>('Equity Price Data'!C281-'Equity Price Data'!C280)/'Equity Price Data'!C280</f>
        <v>0.01112167789</v>
      </c>
      <c r="F279" s="4">
        <f>('Equity Price Data'!D281-'Equity Price Data'!D280)/'Equity Price Data'!D280</f>
        <v>0.01434264328</v>
      </c>
      <c r="G279" s="4">
        <f>('Equity Price Data'!E281-'Equity Price Data'!E280)/'Equity Price Data'!E280</f>
        <v>0.01191213707</v>
      </c>
      <c r="H279" s="4">
        <f>('Equity Price Data'!F281-'Equity Price Data'!F280)/'Equity Price Data'!F280</f>
        <v>0.01337753437</v>
      </c>
      <c r="L279" s="1"/>
      <c r="M279" s="1"/>
      <c r="N279" s="1"/>
      <c r="O279" s="1"/>
    </row>
    <row r="280">
      <c r="A280" s="43">
        <f>Sheet11!A280</f>
        <v>45833.66667</v>
      </c>
      <c r="B280" s="44">
        <f t="shared" si="2"/>
        <v>45838</v>
      </c>
      <c r="C280" s="4">
        <f>('Equity Price Data'!B282-'Equity Price Data'!B281)/'Equity Price Data'!B281</f>
        <v>-0.002705831589</v>
      </c>
      <c r="D280" s="4">
        <f t="shared" si="3"/>
        <v>-0.002904244287</v>
      </c>
      <c r="E280" s="4">
        <f>('Equity Price Data'!C282-'Equity Price Data'!C281)/'Equity Price Data'!C281</f>
        <v>-0.000003282897091</v>
      </c>
      <c r="F280" s="4">
        <f>('Equity Price Data'!D282-'Equity Price Data'!D281)/'Equity Price Data'!D281</f>
        <v>0.003064402163</v>
      </c>
      <c r="G280" s="4">
        <f>('Equity Price Data'!E282-'Equity Price Data'!E281)/'Equity Price Data'!E281</f>
        <v>-0.002473716042</v>
      </c>
      <c r="H280" s="4">
        <f>('Equity Price Data'!F282-'Equity Price Data'!F281)/'Equity Price Data'!F281</f>
        <v>-0.01158147519</v>
      </c>
      <c r="L280" s="1"/>
      <c r="M280" s="1"/>
      <c r="N280" s="1"/>
      <c r="O280" s="1"/>
    </row>
    <row r="281">
      <c r="A281" s="43">
        <f>Sheet11!A281</f>
        <v>45834.66667</v>
      </c>
      <c r="B281" s="44">
        <f t="shared" si="2"/>
        <v>45838</v>
      </c>
      <c r="C281" s="4">
        <f>('Equity Price Data'!B283-'Equity Price Data'!B282)/'Equity Price Data'!B282</f>
        <v>0.009433271688</v>
      </c>
      <c r="D281" s="4">
        <f t="shared" si="3"/>
        <v>0.009234858989</v>
      </c>
      <c r="E281" s="4">
        <f>('Equity Price Data'!C283-'Equity Price Data'!C282)/'Equity Price Data'!C282</f>
        <v>0.008020143923</v>
      </c>
      <c r="F281" s="4">
        <f>('Equity Price Data'!D283-'Equity Price Data'!D282)/'Equity Price Data'!D282</f>
        <v>0.009730869074</v>
      </c>
      <c r="G281" s="4">
        <f>('Equity Price Data'!E283-'Equity Price Data'!E282)/'Equity Price Data'!E282</f>
        <v>0.009408728171</v>
      </c>
      <c r="H281" s="4">
        <f>('Equity Price Data'!F283-'Equity Price Data'!F282)/'Equity Price Data'!F282</f>
        <v>0.01681974365</v>
      </c>
      <c r="L281" s="1"/>
      <c r="M281" s="1"/>
      <c r="N281" s="1"/>
      <c r="O281" s="1"/>
    </row>
    <row r="282">
      <c r="A282" s="43">
        <f>Sheet11!A282</f>
        <v>45835.66667</v>
      </c>
      <c r="B282" s="44">
        <f t="shared" si="2"/>
        <v>45838</v>
      </c>
      <c r="C282" s="4">
        <f>('Equity Price Data'!B284-'Equity Price Data'!B283)/'Equity Price Data'!B283</f>
        <v>-0.0001259551879</v>
      </c>
      <c r="D282" s="4">
        <f t="shared" si="3"/>
        <v>-0.0003243678864</v>
      </c>
      <c r="E282" s="4">
        <f>('Equity Price Data'!C284-'Equity Price Data'!C283)/'Equity Price Data'!C283</f>
        <v>0.005219002706</v>
      </c>
      <c r="F282" s="4">
        <f>('Equity Price Data'!D284-'Equity Price Data'!D283)/'Equity Price Data'!D283</f>
        <v>0.005233561633</v>
      </c>
      <c r="G282" s="4">
        <f>('Equity Price Data'!E284-'Equity Price Data'!E283)/'Equity Price Data'!E283</f>
        <v>0.00996684709</v>
      </c>
      <c r="H282" s="4">
        <f>('Equity Price Data'!F284-'Equity Price Data'!F283)/'Equity Price Data'!F283</f>
        <v>0.0001933603731</v>
      </c>
      <c r="L282" s="1"/>
      <c r="M282" s="1"/>
      <c r="N282" s="1"/>
      <c r="O282" s="1"/>
    </row>
    <row r="283">
      <c r="A283" s="43">
        <f>Sheet11!A283</f>
        <v>45838.66667</v>
      </c>
      <c r="B283" s="44">
        <f t="shared" si="2"/>
        <v>45838</v>
      </c>
      <c r="C283" s="4">
        <f>('Equity Price Data'!B285-'Equity Price Data'!B284)/'Equity Price Data'!B284</f>
        <v>0.006727882215</v>
      </c>
      <c r="D283" s="4">
        <f t="shared" si="3"/>
        <v>0.006529469516</v>
      </c>
      <c r="E283" s="4">
        <f>('Equity Price Data'!C285-'Equity Price Data'!C284)/'Equity Price Data'!C284</f>
        <v>0.005164367163</v>
      </c>
      <c r="F283" s="4">
        <f>('Equity Price Data'!D285-'Equity Price Data'!D284)/'Equity Price Data'!D284</f>
        <v>0.004748572765</v>
      </c>
      <c r="G283" s="4">
        <f>('Equity Price Data'!E285-'Equity Price Data'!E284)/'Equity Price Data'!E284</f>
        <v>0.006287188262</v>
      </c>
      <c r="H283" s="4">
        <f>('Equity Price Data'!F285-'Equity Price Data'!F284)/'Equity Price Data'!F284</f>
        <v>0.001155335024</v>
      </c>
      <c r="L283" s="1"/>
      <c r="M283" s="1"/>
      <c r="N283" s="1"/>
      <c r="O283" s="1"/>
    </row>
    <row r="284">
      <c r="A284" s="43">
        <f>Sheet11!A284</f>
        <v>45839.66667</v>
      </c>
      <c r="B284" s="44">
        <f t="shared" si="2"/>
        <v>45869</v>
      </c>
      <c r="C284" s="4">
        <f>('Equity Price Data'!B286-'Equity Price Data'!B285)/'Equity Price Data'!B285</f>
        <v>0.001655537497</v>
      </c>
      <c r="D284" s="4">
        <f t="shared" si="3"/>
        <v>0.001457124798</v>
      </c>
      <c r="E284" s="4">
        <f>('Equity Price Data'!C286-'Equity Price Data'!C285)/'Equity Price Data'!C285</f>
        <v>-0.001118461873</v>
      </c>
      <c r="F284" s="4">
        <f>('Equity Price Data'!D286-'Equity Price Data'!D285)/'Equity Price Data'!D285</f>
        <v>-0.008190584755</v>
      </c>
      <c r="G284" s="4">
        <f>('Equity Price Data'!E286-'Equity Price Data'!E285)/'Equity Price Data'!E285</f>
        <v>0.009075225928</v>
      </c>
      <c r="H284" s="4">
        <f>('Equity Price Data'!F286-'Equity Price Data'!F285)/'Equity Price Data'!F285</f>
        <v>0.01034463734</v>
      </c>
      <c r="L284" s="1"/>
      <c r="M284" s="1"/>
      <c r="N284" s="1"/>
      <c r="O284" s="1"/>
    </row>
    <row r="285">
      <c r="A285" s="43">
        <f>Sheet11!A285</f>
        <v>45840.66667</v>
      </c>
      <c r="B285" s="44">
        <f t="shared" si="2"/>
        <v>45869</v>
      </c>
      <c r="C285" s="4">
        <f>('Equity Price Data'!B287-'Equity Price Data'!B286)/'Equity Price Data'!B286</f>
        <v>0.00005485524389</v>
      </c>
      <c r="D285" s="4">
        <f t="shared" si="3"/>
        <v>-0.0001435574545</v>
      </c>
      <c r="E285" s="4">
        <f>('Equity Price Data'!C287-'Equity Price Data'!C286)/'Equity Price Data'!C286</f>
        <v>0.004745071402</v>
      </c>
      <c r="F285" s="4">
        <f>('Equity Price Data'!D287-'Equity Price Data'!D286)/'Equity Price Data'!D286</f>
        <v>0.009416474574</v>
      </c>
      <c r="G285" s="4">
        <f>('Equity Price Data'!E287-'Equity Price Data'!E286)/'Equity Price Data'!E286</f>
        <v>-0.0002364313785</v>
      </c>
      <c r="H285" s="4">
        <f>('Equity Price Data'!F287-'Equity Price Data'!F286)/'Equity Price Data'!F286</f>
        <v>0.01312376567</v>
      </c>
      <c r="L285" s="1"/>
      <c r="M285" s="1"/>
      <c r="N285" s="1"/>
      <c r="O285" s="1"/>
    </row>
    <row r="286">
      <c r="A286" s="43">
        <f>Sheet11!A286</f>
        <v>45841.54514</v>
      </c>
      <c r="B286" s="44">
        <f t="shared" si="2"/>
        <v>45869</v>
      </c>
      <c r="C286" s="4">
        <f>('Equity Price Data'!B288-'Equity Price Data'!B287)/'Equity Price Data'!B287</f>
        <v>0.007204876957</v>
      </c>
      <c r="D286" s="4">
        <f t="shared" si="3"/>
        <v>0.007006464259</v>
      </c>
      <c r="E286" s="4">
        <f>('Equity Price Data'!C288-'Equity Price Data'!C287)/'Equity Price Data'!C287</f>
        <v>0.008338926875</v>
      </c>
      <c r="F286" s="4">
        <f>('Equity Price Data'!D288-'Equity Price Data'!D287)/'Equity Price Data'!D287</f>
        <v>0.01019804218</v>
      </c>
      <c r="G286" s="4">
        <f>('Equity Price Data'!E288-'Equity Price Data'!E287)/'Equity Price Data'!E287</f>
        <v>0.007735517289</v>
      </c>
      <c r="H286" s="4">
        <f>('Equity Price Data'!F288-'Equity Price Data'!F287)/'Equity Price Data'!F287</f>
        <v>0.01017795704</v>
      </c>
      <c r="L286" s="1"/>
      <c r="M286" s="1"/>
      <c r="N286" s="1"/>
      <c r="O286" s="1"/>
    </row>
    <row r="287">
      <c r="A287" s="43">
        <f>Sheet11!A287</f>
        <v>45845.66667</v>
      </c>
      <c r="B287" s="44">
        <f t="shared" si="2"/>
        <v>45869</v>
      </c>
      <c r="C287" s="4">
        <f>('Equity Price Data'!B289-'Equity Price Data'!B288)/'Equity Price Data'!B288</f>
        <v>-0.006864405094</v>
      </c>
      <c r="D287" s="4">
        <f t="shared" si="3"/>
        <v>-0.007062817792</v>
      </c>
      <c r="E287" s="4">
        <f>('Equity Price Data'!C289-'Equity Price Data'!C288)/'Equity Price Data'!C288</f>
        <v>-0.007862278739</v>
      </c>
      <c r="F287" s="4">
        <f>('Equity Price Data'!D289-'Equity Price Data'!D288)/'Equity Price Data'!D288</f>
        <v>-0.009153880133</v>
      </c>
      <c r="G287" s="4">
        <f>('Equity Price Data'!E289-'Equity Price Data'!E288)/'Equity Price Data'!E288</f>
        <v>-0.009417440188</v>
      </c>
      <c r="H287" s="4">
        <f>('Equity Price Data'!F289-'Equity Price Data'!F288)/'Equity Price Data'!F288</f>
        <v>-0.01547771494</v>
      </c>
      <c r="L287" s="1"/>
      <c r="M287" s="1"/>
      <c r="N287" s="1"/>
      <c r="O287" s="1"/>
    </row>
    <row r="288">
      <c r="A288" s="43">
        <f>Sheet11!A288</f>
        <v>45846.66667</v>
      </c>
      <c r="B288" s="44">
        <f t="shared" si="2"/>
        <v>45869</v>
      </c>
      <c r="C288" s="4">
        <f>('Equity Price Data'!B290-'Equity Price Data'!B289)/'Equity Price Data'!B289</f>
        <v>-0.002537824596</v>
      </c>
      <c r="D288" s="4">
        <f t="shared" si="3"/>
        <v>-0.002736237294</v>
      </c>
      <c r="E288" s="4">
        <f>('Equity Price Data'!C290-'Equity Price Data'!C289)/'Equity Price Data'!C289</f>
        <v>-0.0007158931489</v>
      </c>
      <c r="F288" s="4">
        <f>('Equity Price Data'!D290-'Equity Price Data'!D289)/'Equity Price Data'!D289</f>
        <v>0.0002909978778</v>
      </c>
      <c r="G288" s="4">
        <f>('Equity Price Data'!E290-'Equity Price Data'!E289)/'Equity Price Data'!E289</f>
        <v>-0.003729195548</v>
      </c>
      <c r="H288" s="4">
        <f>('Equity Price Data'!F290-'Equity Price Data'!F289)/'Equity Price Data'!F289</f>
        <v>0.006553068109</v>
      </c>
      <c r="L288" s="1"/>
      <c r="M288" s="1"/>
      <c r="N288" s="1"/>
      <c r="O288" s="1"/>
    </row>
    <row r="289">
      <c r="A289" s="43">
        <f>Sheet11!A289</f>
        <v>45847.66667</v>
      </c>
      <c r="B289" s="44">
        <f t="shared" si="2"/>
        <v>45869</v>
      </c>
      <c r="C289" s="4">
        <f>('Equity Price Data'!B291-'Equity Price Data'!B290)/'Equity Price Data'!B290</f>
        <v>0.004494479677</v>
      </c>
      <c r="D289" s="4">
        <f t="shared" si="3"/>
        <v>0.004296066979</v>
      </c>
      <c r="E289" s="4">
        <f>('Equity Price Data'!C291-'Equity Price Data'!C290)/'Equity Price Data'!C290</f>
        <v>0.006062144206</v>
      </c>
      <c r="F289" s="4">
        <f>('Equity Price Data'!D291-'Equity Price Data'!D290)/'Equity Price Data'!D290</f>
        <v>0.009446353937</v>
      </c>
      <c r="G289" s="4">
        <f>('Equity Price Data'!E291-'Equity Price Data'!E290)/'Equity Price Data'!E290</f>
        <v>0.004917184967</v>
      </c>
      <c r="H289" s="4">
        <f>('Equity Price Data'!F291-'Equity Price Data'!F290)/'Equity Price Data'!F290</f>
        <v>0.01065624523</v>
      </c>
      <c r="L289" s="1"/>
      <c r="M289" s="1"/>
      <c r="N289" s="1"/>
      <c r="O289" s="1"/>
    </row>
    <row r="290">
      <c r="A290" s="43">
        <f>Sheet11!A290</f>
        <v>45848.66667</v>
      </c>
      <c r="B290" s="44">
        <f t="shared" si="2"/>
        <v>45869</v>
      </c>
      <c r="C290" s="4">
        <f>('Equity Price Data'!B292-'Equity Price Data'!B291)/'Equity Price Data'!B291</f>
        <v>0.006752007966</v>
      </c>
      <c r="D290" s="4">
        <f t="shared" si="3"/>
        <v>0.006553595268</v>
      </c>
      <c r="E290" s="4">
        <f>('Equity Price Data'!C292-'Equity Price Data'!C291)/'Equity Price Data'!C291</f>
        <v>0.002746173718</v>
      </c>
      <c r="F290" s="4">
        <f>('Equity Price Data'!D292-'Equity Price Data'!D291)/'Equity Price Data'!D291</f>
        <v>0.000937833251</v>
      </c>
      <c r="G290" s="4">
        <f>('Equity Price Data'!E292-'Equity Price Data'!E291)/'Equity Price Data'!E291</f>
        <v>0.004326301276</v>
      </c>
      <c r="H290" s="4">
        <f>('Equity Price Data'!F292-'Equity Price Data'!F291)/'Equity Price Data'!F291</f>
        <v>0.004847968248</v>
      </c>
      <c r="L290" s="1"/>
      <c r="M290" s="1"/>
      <c r="N290" s="1"/>
      <c r="O290" s="1"/>
    </row>
    <row r="291">
      <c r="A291" s="43">
        <f>Sheet11!A291</f>
        <v>45849.66667</v>
      </c>
      <c r="B291" s="44">
        <f t="shared" si="2"/>
        <v>45869</v>
      </c>
      <c r="C291" s="4">
        <f>('Equity Price Data'!B293-'Equity Price Data'!B292)/'Equity Price Data'!B292</f>
        <v>-0.006540310818</v>
      </c>
      <c r="D291" s="4">
        <f t="shared" si="3"/>
        <v>-0.006738723517</v>
      </c>
      <c r="E291" s="4">
        <f>('Equity Price Data'!C293-'Equity Price Data'!C292)/'Equity Price Data'!C292</f>
        <v>-0.003297529162</v>
      </c>
      <c r="F291" s="4">
        <f>('Equity Price Data'!D293-'Equity Price Data'!D292)/'Equity Price Data'!D292</f>
        <v>-0.002188004558</v>
      </c>
      <c r="G291" s="4">
        <f>('Equity Price Data'!E293-'Equity Price Data'!E292)/'Equity Price Data'!E292</f>
        <v>-0.006251422152</v>
      </c>
      <c r="H291" s="4">
        <f>('Equity Price Data'!F293-'Equity Price Data'!F292)/'Equity Price Data'!F292</f>
        <v>-0.01262696551</v>
      </c>
      <c r="L291" s="1"/>
      <c r="M291" s="1"/>
      <c r="N291" s="1"/>
      <c r="O291" s="1"/>
    </row>
    <row r="292">
      <c r="A292" s="43">
        <f>Sheet11!A292</f>
        <v>45852.66667</v>
      </c>
      <c r="B292" s="44">
        <f t="shared" si="2"/>
        <v>45869</v>
      </c>
      <c r="C292" s="4">
        <f>('Equity Price Data'!B294-'Equity Price Data'!B293)/'Equity Price Data'!B293</f>
        <v>0.006636344371</v>
      </c>
      <c r="D292" s="4">
        <f t="shared" si="3"/>
        <v>0.006437931673</v>
      </c>
      <c r="E292" s="4">
        <f>('Equity Price Data'!C294-'Equity Price Data'!C293)/'Equity Price Data'!C293</f>
        <v>0.001407404449</v>
      </c>
      <c r="F292" s="4">
        <f>('Equity Price Data'!D294-'Equity Price Data'!D293)/'Equity Price Data'!D293</f>
        <v>0.002662064081</v>
      </c>
      <c r="G292" s="4">
        <f>('Equity Price Data'!E294-'Equity Price Data'!E293)/'Equity Price Data'!E293</f>
        <v>0.001986409748</v>
      </c>
      <c r="H292" s="4">
        <f>('Equity Price Data'!F294-'Equity Price Data'!F293)/'Equity Price Data'!F293</f>
        <v>0.00666717379</v>
      </c>
      <c r="L292" s="1"/>
      <c r="M292" s="1"/>
      <c r="N292" s="1"/>
      <c r="O292" s="1"/>
    </row>
    <row r="293">
      <c r="A293" s="43">
        <f>Sheet11!A293</f>
        <v>45853.66667</v>
      </c>
      <c r="B293" s="44">
        <f t="shared" si="2"/>
        <v>45869</v>
      </c>
      <c r="C293" s="4">
        <f>('Equity Price Data'!B295-'Equity Price Data'!B294)/'Equity Price Data'!B294</f>
        <v>-0.003906149758</v>
      </c>
      <c r="D293" s="4">
        <f t="shared" si="3"/>
        <v>-0.004104562457</v>
      </c>
      <c r="E293" s="4">
        <f>('Equity Price Data'!C295-'Equity Price Data'!C294)/'Equity Price Data'!C294</f>
        <v>-0.003956251515</v>
      </c>
      <c r="F293" s="4">
        <f>('Equity Price Data'!D295-'Equity Price Data'!D294)/'Equity Price Data'!D294</f>
        <v>0.001815377952</v>
      </c>
      <c r="G293" s="4">
        <f>('Equity Price Data'!E295-'Equity Price Data'!E294)/'Equity Price Data'!E294</f>
        <v>-0.009814742131</v>
      </c>
      <c r="H293" s="4">
        <f>('Equity Price Data'!F295-'Equity Price Data'!F294)/'Equity Price Data'!F294</f>
        <v>-0.019860161</v>
      </c>
      <c r="L293" s="1"/>
      <c r="M293" s="1"/>
      <c r="N293" s="1"/>
      <c r="O293" s="1"/>
    </row>
    <row r="294">
      <c r="A294" s="43">
        <f>Sheet11!A294</f>
        <v>45854.66667</v>
      </c>
      <c r="B294" s="44">
        <f t="shared" si="2"/>
        <v>45869</v>
      </c>
      <c r="C294" s="4">
        <f>('Equity Price Data'!B296-'Equity Price Data'!B295)/'Equity Price Data'!B295</f>
        <v>0.003431646578</v>
      </c>
      <c r="D294" s="4">
        <f t="shared" si="3"/>
        <v>0.003233233879</v>
      </c>
      <c r="E294" s="4">
        <f>('Equity Price Data'!C296-'Equity Price Data'!C295)/'Equity Price Data'!C295</f>
        <v>0.003193588479</v>
      </c>
      <c r="F294" s="4">
        <f>('Equity Price Data'!D296-'Equity Price Data'!D295)/'Equity Price Data'!D295</f>
        <v>0.00254814342</v>
      </c>
      <c r="G294" s="4">
        <f>('Equity Price Data'!E296-'Equity Price Data'!E295)/'Equity Price Data'!E295</f>
        <v>0.005258353022</v>
      </c>
      <c r="H294" s="4">
        <f>('Equity Price Data'!F296-'Equity Price Data'!F295)/'Equity Price Data'!F295</f>
        <v>0.009945352713</v>
      </c>
      <c r="L294" s="1"/>
      <c r="M294" s="1"/>
      <c r="N294" s="1"/>
      <c r="O294" s="1"/>
    </row>
    <row r="295">
      <c r="A295" s="43">
        <f>Sheet11!A295</f>
        <v>45855.66667</v>
      </c>
      <c r="B295" s="44">
        <f t="shared" si="2"/>
        <v>45869</v>
      </c>
      <c r="C295" s="4">
        <f>('Equity Price Data'!B297-'Equity Price Data'!B296)/'Equity Price Data'!B296</f>
        <v>0.004879732094</v>
      </c>
      <c r="D295" s="4">
        <f t="shared" si="3"/>
        <v>0.004681319396</v>
      </c>
      <c r="E295" s="4">
        <f>('Equity Price Data'!C297-'Equity Price Data'!C296)/'Equity Price Data'!C296</f>
        <v>0.005373820585</v>
      </c>
      <c r="F295" s="4">
        <f>('Equity Price Data'!D297-'Equity Price Data'!D296)/'Equity Price Data'!D296</f>
        <v>0.007484627715</v>
      </c>
      <c r="G295" s="4">
        <f>('Equity Price Data'!E297-'Equity Price Data'!E296)/'Equity Price Data'!E296</f>
        <v>0.005190625736</v>
      </c>
      <c r="H295" s="4">
        <f>('Equity Price Data'!F297-'Equity Price Data'!F296)/'Equity Price Data'!F296</f>
        <v>0.01198933084</v>
      </c>
      <c r="L295" s="1"/>
      <c r="M295" s="1"/>
      <c r="N295" s="1"/>
      <c r="O295" s="1"/>
    </row>
    <row r="296">
      <c r="A296" s="43">
        <f>Sheet11!A296</f>
        <v>45856.66667</v>
      </c>
      <c r="B296" s="44">
        <f t="shared" si="2"/>
        <v>45869</v>
      </c>
      <c r="C296" s="4">
        <f>('Equity Price Data'!B298-'Equity Price Data'!B297)/'Equity Price Data'!B297</f>
        <v>-0.00204544107</v>
      </c>
      <c r="D296" s="4">
        <f t="shared" si="3"/>
        <v>-0.002243853769</v>
      </c>
      <c r="E296" s="4">
        <f>('Equity Price Data'!C298-'Equity Price Data'!C297)/'Equity Price Data'!C297</f>
        <v>-0.0000905141202</v>
      </c>
      <c r="F296" s="4">
        <f>('Equity Price Data'!D298-'Equity Price Data'!D297)/'Equity Price Data'!D297</f>
        <v>0.000479276441</v>
      </c>
      <c r="G296" s="4">
        <f>('Equity Price Data'!E298-'Equity Price Data'!E297)/'Equity Price Data'!E297</f>
        <v>-0.00319886774</v>
      </c>
      <c r="H296" s="4">
        <f>('Equity Price Data'!F298-'Equity Price Data'!F297)/'Equity Price Data'!F297</f>
        <v>-0.006065634873</v>
      </c>
      <c r="L296" s="1"/>
      <c r="M296" s="1"/>
      <c r="N296" s="1"/>
      <c r="O296" s="1"/>
    </row>
    <row r="297">
      <c r="A297" s="43">
        <f>Sheet11!A297</f>
        <v>45859.66667</v>
      </c>
      <c r="B297" s="44">
        <f t="shared" si="2"/>
        <v>45869</v>
      </c>
      <c r="C297" s="4">
        <f>('Equity Price Data'!B299-'Equity Price Data'!B298)/'Equity Price Data'!B298</f>
        <v>-0.001874831887</v>
      </c>
      <c r="D297" s="4">
        <f t="shared" si="3"/>
        <v>-0.002073244585</v>
      </c>
      <c r="E297" s="4">
        <f>('Equity Price Data'!C299-'Equity Price Data'!C298)/'Equity Price Data'!C298</f>
        <v>0.001399125586</v>
      </c>
      <c r="F297" s="4">
        <f>('Equity Price Data'!D299-'Equity Price Data'!D298)/'Equity Price Data'!D298</f>
        <v>0.00375771811</v>
      </c>
      <c r="G297" s="4">
        <f>('Equity Price Data'!E299-'Equity Price Data'!E298)/'Equity Price Data'!E298</f>
        <v>-0.0004311920543</v>
      </c>
      <c r="H297" s="4">
        <f>('Equity Price Data'!F299-'Equity Price Data'!F298)/'Equity Price Data'!F298</f>
        <v>-0.003964268017</v>
      </c>
      <c r="L297" s="1"/>
      <c r="M297" s="1"/>
      <c r="N297" s="1"/>
      <c r="O297" s="1"/>
    </row>
    <row r="298">
      <c r="A298" s="43">
        <f>Sheet11!A298</f>
        <v>45860.66667</v>
      </c>
      <c r="B298" s="44">
        <f t="shared" si="2"/>
        <v>45869</v>
      </c>
      <c r="C298" s="4">
        <f>('Equity Price Data'!B300-'Equity Price Data'!B299)/'Equity Price Data'!B299</f>
        <v>0.002461035598</v>
      </c>
      <c r="D298" s="4">
        <f t="shared" si="3"/>
        <v>0.0022626229</v>
      </c>
      <c r="E298" s="4">
        <f>('Equity Price Data'!C300-'Equity Price Data'!C299)/'Equity Price Data'!C299</f>
        <v>0.0006375285461</v>
      </c>
      <c r="F298" s="4">
        <f>('Equity Price Data'!D300-'Equity Price Data'!D299)/'Equity Price Data'!D299</f>
        <v>-0.003885253202</v>
      </c>
      <c r="G298" s="4">
        <f>('Equity Price Data'!E300-'Equity Price Data'!E299)/'Equity Price Data'!E299</f>
        <v>0.004046876717</v>
      </c>
      <c r="H298" s="4">
        <f>('Equity Price Data'!F300-'Equity Price Data'!F299)/'Equity Price Data'!F299</f>
        <v>0.007901825532</v>
      </c>
      <c r="L298" s="1"/>
      <c r="M298" s="1"/>
      <c r="N298" s="1"/>
      <c r="O298" s="1"/>
    </row>
    <row r="299">
      <c r="A299" s="43">
        <f>Sheet11!A299</f>
        <v>45861.66667</v>
      </c>
      <c r="B299" s="44">
        <f t="shared" si="2"/>
        <v>45869</v>
      </c>
      <c r="C299" s="4">
        <f>('Equity Price Data'!B301-'Equity Price Data'!B300)/'Equity Price Data'!B300</f>
        <v>0.01212887632</v>
      </c>
      <c r="D299" s="4">
        <f t="shared" si="3"/>
        <v>0.01193046362</v>
      </c>
      <c r="E299" s="4">
        <f>('Equity Price Data'!C301-'Equity Price Data'!C300)/'Equity Price Data'!C300</f>
        <v>0.007811880906</v>
      </c>
      <c r="F299" s="4">
        <f>('Equity Price Data'!D301-'Equity Price Data'!D300)/'Equity Price Data'!D300</f>
        <v>0.006094476106</v>
      </c>
      <c r="G299" s="4">
        <f>('Equity Price Data'!E301-'Equity Price Data'!E300)/'Equity Price Data'!E300</f>
        <v>0.01141173383</v>
      </c>
      <c r="H299" s="4">
        <f>('Equity Price Data'!F301-'Equity Price Data'!F300)/'Equity Price Data'!F300</f>
        <v>0.01528397873</v>
      </c>
      <c r="L299" s="1"/>
      <c r="M299" s="1"/>
      <c r="N299" s="1"/>
      <c r="O299" s="1"/>
    </row>
    <row r="300">
      <c r="A300" s="43">
        <f>Sheet11!A300</f>
        <v>45862.66667</v>
      </c>
      <c r="B300" s="44">
        <f t="shared" si="2"/>
        <v>45869</v>
      </c>
      <c r="C300" s="4">
        <f>('Equity Price Data'!B302-'Equity Price Data'!B301)/'Equity Price Data'!B301</f>
        <v>-0.0001582555523</v>
      </c>
      <c r="D300" s="4">
        <f t="shared" si="3"/>
        <v>-0.0003566682508</v>
      </c>
      <c r="E300" s="4">
        <f>('Equity Price Data'!C302-'Equity Price Data'!C301)/'Equity Price Data'!C301</f>
        <v>0.0006982328732</v>
      </c>
      <c r="F300" s="4">
        <f>('Equity Price Data'!D302-'Equity Price Data'!D301)/'Equity Price Data'!D301</f>
        <v>0.001804945952</v>
      </c>
      <c r="G300" s="4">
        <f>('Equity Price Data'!E302-'Equity Price Data'!E301)/'Equity Price Data'!E301</f>
        <v>-0.007029059355</v>
      </c>
      <c r="H300" s="4">
        <f>('Equity Price Data'!F302-'Equity Price Data'!F301)/'Equity Price Data'!F301</f>
        <v>-0.01357785146</v>
      </c>
      <c r="L300" s="1"/>
      <c r="M300" s="1"/>
      <c r="N300" s="1"/>
      <c r="O300" s="1"/>
    </row>
    <row r="301">
      <c r="A301" s="43">
        <f>Sheet11!A301</f>
        <v>45863.66667</v>
      </c>
      <c r="B301" s="44">
        <f t="shared" si="2"/>
        <v>45869</v>
      </c>
      <c r="C301" s="4">
        <f>('Equity Price Data'!B303-'Equity Price Data'!B302)/'Equity Price Data'!B302</f>
        <v>0.004407092737</v>
      </c>
      <c r="D301" s="4">
        <f t="shared" si="3"/>
        <v>0.004208680038</v>
      </c>
      <c r="E301" s="4">
        <f>('Equity Price Data'!C303-'Equity Price Data'!C302)/'Equity Price Data'!C302</f>
        <v>0.003974321702</v>
      </c>
      <c r="F301" s="4">
        <f>('Equity Price Data'!D303-'Equity Price Data'!D302)/'Equity Price Data'!D302</f>
        <v>0.002391494713</v>
      </c>
      <c r="G301" s="4">
        <f>('Equity Price Data'!E303-'Equity Price Data'!E302)/'Equity Price Data'!E302</f>
        <v>0.004654101644</v>
      </c>
      <c r="H301" s="4">
        <f>('Equity Price Data'!F303-'Equity Price Data'!F302)/'Equity Price Data'!F302</f>
        <v>0.003969575469</v>
      </c>
      <c r="L301" s="1"/>
      <c r="M301" s="1"/>
      <c r="N301" s="1"/>
      <c r="O301" s="1"/>
    </row>
    <row r="302">
      <c r="A302" s="43">
        <f>Sheet11!A302</f>
        <v>45866.66667</v>
      </c>
      <c r="B302" s="44">
        <f t="shared" si="2"/>
        <v>45869</v>
      </c>
      <c r="C302" s="4">
        <f>('Equity Price Data'!B304-'Equity Price Data'!B303)/'Equity Price Data'!B303</f>
        <v>-0.003528636543</v>
      </c>
      <c r="D302" s="4">
        <f t="shared" si="3"/>
        <v>-0.003727049241</v>
      </c>
      <c r="E302" s="4">
        <f>('Equity Price Data'!C304-'Equity Price Data'!C303)/'Equity Price Data'!C303</f>
        <v>0.0001768764557</v>
      </c>
      <c r="F302" s="4">
        <f>('Equity Price Data'!D304-'Equity Price Data'!D303)/'Equity Price Data'!D303</f>
        <v>0.003328545332</v>
      </c>
      <c r="G302" s="4">
        <f>('Equity Price Data'!E304-'Equity Price Data'!E303)/'Equity Price Data'!E303</f>
        <v>-0.00143334628</v>
      </c>
      <c r="H302" s="4">
        <f>('Equity Price Data'!F304-'Equity Price Data'!F303)/'Equity Price Data'!F303</f>
        <v>-0.001919445218</v>
      </c>
      <c r="L302" s="1"/>
      <c r="M302" s="1"/>
      <c r="N302" s="1"/>
      <c r="O302" s="1"/>
    </row>
    <row r="303">
      <c r="A303" s="43">
        <f>Sheet11!A303</f>
        <v>45867.66667</v>
      </c>
      <c r="B303" s="44">
        <f t="shared" si="2"/>
        <v>45869</v>
      </c>
      <c r="C303" s="4">
        <f>('Equity Price Data'!B305-'Equity Price Data'!B304)/'Equity Price Data'!B304</f>
        <v>-0.004302054513</v>
      </c>
      <c r="D303" s="4">
        <f t="shared" si="3"/>
        <v>-0.004500467211</v>
      </c>
      <c r="E303" s="4">
        <f>('Equity Price Data'!C305-'Equity Price Data'!C304)/'Equity Price Data'!C304</f>
        <v>-0.002959417945</v>
      </c>
      <c r="F303" s="4">
        <f>('Equity Price Data'!D305-'Equity Price Data'!D304)/'Equity Price Data'!D304</f>
        <v>-0.003791094587</v>
      </c>
      <c r="G303" s="4">
        <f>('Equity Price Data'!E305-'Equity Price Data'!E304)/'Equity Price Data'!E304</f>
        <v>-0.004562469501</v>
      </c>
      <c r="H303" s="4">
        <f>('Equity Price Data'!F305-'Equity Price Data'!F304)/'Equity Price Data'!F304</f>
        <v>-0.006101748991</v>
      </c>
      <c r="L303" s="1"/>
      <c r="M303" s="1"/>
      <c r="N303" s="1"/>
      <c r="O303" s="1"/>
    </row>
    <row r="304">
      <c r="A304" s="43">
        <f>Sheet11!A304</f>
        <v>45868.66667</v>
      </c>
      <c r="B304" s="44">
        <f t="shared" si="2"/>
        <v>45869</v>
      </c>
      <c r="C304" s="4">
        <f>('Equity Price Data'!B306-'Equity Price Data'!B305)/'Equity Price Data'!B305</f>
        <v>-0.004062388275</v>
      </c>
      <c r="D304" s="4">
        <f t="shared" si="3"/>
        <v>-0.004260800973</v>
      </c>
      <c r="E304" s="4">
        <f>('Equity Price Data'!C306-'Equity Price Data'!C305)/'Equity Price Data'!C305</f>
        <v>-0.001249438851</v>
      </c>
      <c r="F304" s="4">
        <f>('Equity Price Data'!D306-'Equity Price Data'!D305)/'Equity Price Data'!D305</f>
        <v>0.001487324328</v>
      </c>
      <c r="G304" s="4">
        <f>('Equity Price Data'!E306-'Equity Price Data'!E305)/'Equity Price Data'!E305</f>
        <v>-0.003847154313</v>
      </c>
      <c r="H304" s="4">
        <f>('Equity Price Data'!F306-'Equity Price Data'!F305)/'Equity Price Data'!F305</f>
        <v>-0.004708064344</v>
      </c>
      <c r="L304" s="1"/>
      <c r="M304" s="1"/>
      <c r="N304" s="1"/>
      <c r="O304" s="1"/>
    </row>
    <row r="305">
      <c r="A305" s="43">
        <f>Sheet11!A305</f>
        <v>45869.66667</v>
      </c>
      <c r="B305" s="44">
        <f t="shared" si="2"/>
        <v>45869</v>
      </c>
      <c r="C305" s="4">
        <f>('Equity Price Data'!B307-'Equity Price Data'!B306)/'Equity Price Data'!B306</f>
        <v>-0.003849287623</v>
      </c>
      <c r="D305" s="4">
        <f t="shared" si="3"/>
        <v>-0.004047700321</v>
      </c>
      <c r="E305" s="4">
        <f>('Equity Price Data'!C307-'Equity Price Data'!C306)/'Equity Price Data'!C306</f>
        <v>-0.003694856119</v>
      </c>
      <c r="F305" s="4">
        <f>('Equity Price Data'!D307-'Equity Price Data'!D306)/'Equity Price Data'!D306</f>
        <v>-0.0003416996101</v>
      </c>
      <c r="G305" s="4">
        <f>('Equity Price Data'!E307-'Equity Price Data'!E306)/'Equity Price Data'!E306</f>
        <v>-0.007428935919</v>
      </c>
      <c r="H305" s="4">
        <f>('Equity Price Data'!F307-'Equity Price Data'!F306)/'Equity Price Data'!F306</f>
        <v>-0.009294929224</v>
      </c>
      <c r="L305" s="1"/>
      <c r="M305" s="1"/>
      <c r="N305" s="1"/>
      <c r="O305" s="1"/>
    </row>
    <row r="306">
      <c r="A306" s="43">
        <f>Sheet11!A306</f>
        <v>45870.66667</v>
      </c>
      <c r="B306" s="44">
        <f t="shared" si="2"/>
        <v>45900</v>
      </c>
      <c r="C306" s="4">
        <f>('Equity Price Data'!B308-'Equity Price Data'!B307)/'Equity Price Data'!B307</f>
        <v>-0.01272704695</v>
      </c>
      <c r="D306" s="4">
        <f t="shared" si="3"/>
        <v>-0.01292545965</v>
      </c>
      <c r="E306" s="4">
        <f>('Equity Price Data'!C308-'Equity Price Data'!C307)/'Equity Price Data'!C307</f>
        <v>-0.01599207495</v>
      </c>
      <c r="F306" s="4">
        <f>('Equity Price Data'!D308-'Equity Price Data'!D307)/'Equity Price Data'!D307</f>
        <v>-0.0223610424</v>
      </c>
      <c r="G306" s="4">
        <f>('Equity Price Data'!E308-'Equity Price Data'!E307)/'Equity Price Data'!E307</f>
        <v>-0.01229068559</v>
      </c>
      <c r="H306" s="4">
        <f>('Equity Price Data'!F308-'Equity Price Data'!F307)/'Equity Price Data'!F307</f>
        <v>-0.02028802026</v>
      </c>
      <c r="L306" s="1"/>
      <c r="M306" s="1"/>
      <c r="N306" s="1"/>
      <c r="O306" s="1"/>
    </row>
    <row r="307">
      <c r="A307" s="43">
        <f>Sheet11!A307</f>
        <v>45873.66667</v>
      </c>
      <c r="B307" s="44">
        <f t="shared" si="2"/>
        <v>45900</v>
      </c>
      <c r="C307" s="4">
        <f>('Equity Price Data'!B309-'Equity Price Data'!B308)/'Equity Price Data'!B308</f>
        <v>0.01649165654</v>
      </c>
      <c r="D307" s="4">
        <f t="shared" si="3"/>
        <v>0.01629324384</v>
      </c>
      <c r="E307" s="4">
        <f>('Equity Price Data'!C309-'Equity Price Data'!C308)/'Equity Price Data'!C308</f>
        <v>0.0147370716</v>
      </c>
      <c r="F307" s="4">
        <f>('Equity Price Data'!D309-'Equity Price Data'!D308)/'Equity Price Data'!D308</f>
        <v>0.01953740727</v>
      </c>
      <c r="G307" s="4">
        <f>('Equity Price Data'!E309-'Equity Price Data'!E308)/'Equity Price Data'!E308</f>
        <v>0.013422323</v>
      </c>
      <c r="H307" s="4">
        <f>('Equity Price Data'!F309-'Equity Price Data'!F308)/'Equity Price Data'!F308</f>
        <v>0.02100813188</v>
      </c>
      <c r="L307" s="1"/>
      <c r="M307" s="1"/>
      <c r="N307" s="1"/>
      <c r="O307" s="1"/>
    </row>
    <row r="308">
      <c r="A308" s="43">
        <f>Sheet11!A308</f>
        <v>45874.66667</v>
      </c>
      <c r="B308" s="44">
        <f t="shared" si="2"/>
        <v>45900</v>
      </c>
      <c r="C308" s="4">
        <f>('Equity Price Data'!B310-'Equity Price Data'!B309)/'Equity Price Data'!B309</f>
        <v>0.002806664919</v>
      </c>
      <c r="D308" s="4">
        <f t="shared" si="3"/>
        <v>0.002608252221</v>
      </c>
      <c r="E308" s="4">
        <f>('Equity Price Data'!C310-'Equity Price Data'!C309)/'Equity Price Data'!C309</f>
        <v>-0.004857865951</v>
      </c>
      <c r="F308" s="4">
        <f>('Equity Price Data'!D310-'Equity Price Data'!D309)/'Equity Price Data'!D309</f>
        <v>-0.006508631786</v>
      </c>
      <c r="G308" s="4">
        <f>('Equity Price Data'!E310-'Equity Price Data'!E309)/'Equity Price Data'!E309</f>
        <v>-0.001401288189</v>
      </c>
      <c r="H308" s="4">
        <f>('Equity Price Data'!F310-'Equity Price Data'!F309)/'Equity Price Data'!F309</f>
        <v>0.006043484157</v>
      </c>
      <c r="L308" s="1"/>
      <c r="M308" s="1"/>
      <c r="N308" s="1"/>
      <c r="O308" s="1"/>
    </row>
    <row r="309">
      <c r="A309" s="43">
        <f>Sheet11!A309</f>
        <v>45875.66667</v>
      </c>
      <c r="B309" s="44">
        <f t="shared" si="2"/>
        <v>45900</v>
      </c>
      <c r="C309" s="4">
        <f>('Equity Price Data'!B311-'Equity Price Data'!B310)/'Equity Price Data'!B310</f>
        <v>0.003549234886</v>
      </c>
      <c r="D309" s="4">
        <f t="shared" si="3"/>
        <v>0.003350822187</v>
      </c>
      <c r="E309" s="4">
        <f>('Equity Price Data'!C311-'Equity Price Data'!C310)/'Equity Price Data'!C310</f>
        <v>0.007281888624</v>
      </c>
      <c r="F309" s="4">
        <f>('Equity Price Data'!D311-'Equity Price Data'!D310)/'Equity Price Data'!D310</f>
        <v>0.01208946982</v>
      </c>
      <c r="G309" s="4">
        <f>('Equity Price Data'!E311-'Equity Price Data'!E310)/'Equity Price Data'!E310</f>
        <v>0.001844860348</v>
      </c>
      <c r="H309" s="4">
        <f>('Equity Price Data'!F311-'Equity Price Data'!F310)/'Equity Price Data'!F310</f>
        <v>-0.001967946731</v>
      </c>
      <c r="L309" s="1"/>
      <c r="M309" s="1"/>
      <c r="N309" s="1"/>
      <c r="O309" s="1"/>
    </row>
    <row r="310">
      <c r="A310" s="43">
        <f>Sheet11!A310</f>
        <v>45876.66667</v>
      </c>
      <c r="B310" s="44">
        <f t="shared" si="2"/>
        <v>45900</v>
      </c>
      <c r="C310" s="4">
        <f>('Equity Price Data'!B312-'Equity Price Data'!B311)/'Equity Price Data'!B311</f>
        <v>-0.0003075844404</v>
      </c>
      <c r="D310" s="4">
        <f t="shared" si="3"/>
        <v>-0.0005059971388</v>
      </c>
      <c r="E310" s="4">
        <f>('Equity Price Data'!C312-'Equity Price Data'!C311)/'Equity Price Data'!C311</f>
        <v>-0.0007974707883</v>
      </c>
      <c r="F310" s="4">
        <f>('Equity Price Data'!D312-'Equity Price Data'!D311)/'Equity Price Data'!D311</f>
        <v>0.003461596964</v>
      </c>
      <c r="G310" s="4">
        <f>('Equity Price Data'!E312-'Equity Price Data'!E311)/'Equity Price Data'!E311</f>
        <v>-0.005079523691</v>
      </c>
      <c r="H310" s="4">
        <f>('Equity Price Data'!F312-'Equity Price Data'!F311)/'Equity Price Data'!F311</f>
        <v>-0.002957740772</v>
      </c>
      <c r="L310" s="1"/>
      <c r="M310" s="1"/>
      <c r="N310" s="1"/>
      <c r="O310" s="1"/>
    </row>
    <row r="311">
      <c r="A311" s="43">
        <f>Sheet11!A311</f>
        <v>45877.66667</v>
      </c>
      <c r="B311" s="44">
        <f t="shared" si="2"/>
        <v>45900</v>
      </c>
      <c r="C311" s="4">
        <f>('Equity Price Data'!B313-'Equity Price Data'!B312)/'Equity Price Data'!B312</f>
        <v>0.008288408915</v>
      </c>
      <c r="D311" s="4">
        <f t="shared" si="3"/>
        <v>0.008089996217</v>
      </c>
      <c r="E311" s="4">
        <f>('Equity Price Data'!C313-'Equity Price Data'!C312)/'Equity Price Data'!C312</f>
        <v>0.007799684543</v>
      </c>
      <c r="F311" s="4">
        <f>('Equity Price Data'!D313-'Equity Price Data'!D312)/'Equity Price Data'!D312</f>
        <v>0.009759588</v>
      </c>
      <c r="G311" s="4">
        <f>('Equity Price Data'!E313-'Equity Price Data'!E312)/'Equity Price Data'!E312</f>
        <v>0.004707218599</v>
      </c>
      <c r="H311" s="4">
        <f>('Equity Price Data'!F313-'Equity Price Data'!F312)/'Equity Price Data'!F312</f>
        <v>0.001670640081</v>
      </c>
      <c r="L311" s="1"/>
      <c r="M311" s="1"/>
      <c r="N311" s="1"/>
      <c r="O311" s="1"/>
    </row>
    <row r="312">
      <c r="A312" s="43">
        <f>Sheet11!A312</f>
        <v>45880.66667</v>
      </c>
      <c r="B312" s="44">
        <f t="shared" si="2"/>
        <v>45900</v>
      </c>
      <c r="C312" s="4">
        <f>('Equity Price Data'!B314-'Equity Price Data'!B313)/'Equity Price Data'!B313</f>
        <v>-0.001105645056</v>
      </c>
      <c r="D312" s="4">
        <f t="shared" si="3"/>
        <v>-0.001304057754</v>
      </c>
      <c r="E312" s="4">
        <f>('Equity Price Data'!C314-'Equity Price Data'!C313)/'Equity Price Data'!C313</f>
        <v>-0.002504127898</v>
      </c>
      <c r="F312" s="4">
        <f>('Equity Price Data'!D314-'Equity Price Data'!D313)/'Equity Price Data'!D313</f>
        <v>-0.003012584604</v>
      </c>
      <c r="G312" s="4">
        <f>('Equity Price Data'!E314-'Equity Price Data'!E313)/'Equity Price Data'!E313</f>
        <v>-0.004539156335</v>
      </c>
      <c r="H312" s="4">
        <f>('Equity Price Data'!F314-'Equity Price Data'!F313)/'Equity Price Data'!F313</f>
        <v>-0.000860973125</v>
      </c>
      <c r="L312" s="1"/>
      <c r="M312" s="1"/>
      <c r="N312" s="1"/>
      <c r="O312" s="1"/>
    </row>
    <row r="313">
      <c r="A313" s="43">
        <f>Sheet11!A313</f>
        <v>45881.66667</v>
      </c>
      <c r="B313" s="44">
        <f t="shared" si="2"/>
        <v>45900</v>
      </c>
      <c r="C313" s="4">
        <f>('Equity Price Data'!B315-'Equity Price Data'!B314)/'Equity Price Data'!B314</f>
        <v>0.01032219035</v>
      </c>
      <c r="D313" s="4">
        <f t="shared" si="3"/>
        <v>0.01012377765</v>
      </c>
      <c r="E313" s="4">
        <f>('Equity Price Data'!C315-'Equity Price Data'!C314)/'Equity Price Data'!C314</f>
        <v>0.01134550361</v>
      </c>
      <c r="F313" s="4">
        <f>('Equity Price Data'!D315-'Equity Price Data'!D314)/'Equity Price Data'!D314</f>
        <v>0.01386459921</v>
      </c>
      <c r="G313" s="4">
        <f>('Equity Price Data'!E315-'Equity Price Data'!E314)/'Equity Price Data'!E314</f>
        <v>0.01099531576</v>
      </c>
      <c r="H313" s="4">
        <f>('Equity Price Data'!F315-'Equity Price Data'!F314)/'Equity Price Data'!F314</f>
        <v>0.02989835372</v>
      </c>
      <c r="L313" s="1"/>
      <c r="M313" s="1"/>
      <c r="N313" s="1"/>
      <c r="O313" s="1"/>
    </row>
    <row r="314">
      <c r="A314" s="43">
        <f>Sheet11!A314</f>
        <v>45882.66667</v>
      </c>
      <c r="B314" s="44">
        <f t="shared" si="2"/>
        <v>45900</v>
      </c>
      <c r="C314" s="4">
        <f>('Equity Price Data'!B316-'Equity Price Data'!B315)/'Equity Price Data'!B315</f>
        <v>0.006511386471</v>
      </c>
      <c r="D314" s="4">
        <f t="shared" si="3"/>
        <v>0.006312973772</v>
      </c>
      <c r="E314" s="4">
        <f>('Equity Price Data'!C316-'Equity Price Data'!C315)/'Equity Price Data'!C315</f>
        <v>0.003230030283</v>
      </c>
      <c r="F314" s="4">
        <f>('Equity Price Data'!D316-'Equity Price Data'!D315)/'Equity Price Data'!D315</f>
        <v>0.001440833137</v>
      </c>
      <c r="G314" s="4">
        <f>('Equity Price Data'!E316-'Equity Price Data'!E315)/'Equity Price Data'!E315</f>
        <v>0.01042902601</v>
      </c>
      <c r="H314" s="4">
        <f>('Equity Price Data'!F316-'Equity Price Data'!F315)/'Equity Price Data'!F315</f>
        <v>0.01983546378</v>
      </c>
      <c r="L314" s="1"/>
      <c r="M314" s="1"/>
      <c r="N314" s="1"/>
      <c r="O314" s="1"/>
    </row>
    <row r="315">
      <c r="A315" s="43">
        <f>Sheet11!A315</f>
        <v>45883.66667</v>
      </c>
      <c r="B315" s="44">
        <f t="shared" si="2"/>
        <v>45900</v>
      </c>
      <c r="C315" s="4">
        <f>('Equity Price Data'!B317-'Equity Price Data'!B316)/'Equity Price Data'!B316</f>
        <v>-0.001306385972</v>
      </c>
      <c r="D315" s="4">
        <f t="shared" si="3"/>
        <v>-0.001504798671</v>
      </c>
      <c r="E315" s="4">
        <f>('Equity Price Data'!C317-'Equity Price Data'!C316)/'Equity Price Data'!C316</f>
        <v>0.0003030968456</v>
      </c>
      <c r="F315" s="4">
        <f>('Equity Price Data'!D317-'Equity Price Data'!D316)/'Equity Price Data'!D316</f>
        <v>-0.0001137560021</v>
      </c>
      <c r="G315" s="4">
        <f>('Equity Price Data'!E317-'Equity Price Data'!E316)/'Equity Price Data'!E316</f>
        <v>-0.0002450900188</v>
      </c>
      <c r="H315" s="4">
        <f>('Equity Price Data'!F317-'Equity Price Data'!F316)/'Equity Price Data'!F316</f>
        <v>-0.01244813278</v>
      </c>
      <c r="L315" s="1"/>
      <c r="M315" s="1"/>
      <c r="N315" s="1"/>
      <c r="O315" s="1"/>
    </row>
    <row r="316">
      <c r="A316" s="43">
        <f>Sheet11!A316</f>
        <v>45884.66667</v>
      </c>
      <c r="B316" s="44">
        <f t="shared" si="2"/>
        <v>45900</v>
      </c>
      <c r="C316" s="4">
        <f>('Equity Price Data'!B318-'Equity Price Data'!B317)/'Equity Price Data'!B317</f>
        <v>-0.003523358333</v>
      </c>
      <c r="D316" s="4">
        <f t="shared" si="3"/>
        <v>-0.003721771031</v>
      </c>
      <c r="E316" s="4">
        <f>('Equity Price Data'!C318-'Equity Price Data'!C317)/'Equity Price Data'!C317</f>
        <v>-0.002897098882</v>
      </c>
      <c r="F316" s="4">
        <f>('Equity Price Data'!D318-'Equity Price Data'!D317)/'Equity Price Data'!D317</f>
        <v>-0.004039027814</v>
      </c>
      <c r="G316" s="4">
        <f>('Equity Price Data'!E318-'Equity Price Data'!E317)/'Equity Price Data'!E317</f>
        <v>0.0007761973278</v>
      </c>
      <c r="H316" s="4">
        <f>('Equity Price Data'!F318-'Equity Price Data'!F317)/'Equity Price Data'!F317</f>
        <v>-0.005463054787</v>
      </c>
      <c r="L316" s="1"/>
      <c r="M316" s="1"/>
      <c r="N316" s="1"/>
      <c r="O316" s="1"/>
    </row>
    <row r="317">
      <c r="A317" s="43">
        <f>Sheet11!A317</f>
        <v>45887.66667</v>
      </c>
      <c r="B317" s="44">
        <f t="shared" si="2"/>
        <v>45900</v>
      </c>
      <c r="C317" s="4">
        <f>('Equity Price Data'!B319-'Equity Price Data'!B318)/'Equity Price Data'!B318</f>
        <v>-0.001219262754</v>
      </c>
      <c r="D317" s="4">
        <f t="shared" si="3"/>
        <v>-0.001417675452</v>
      </c>
      <c r="E317" s="4">
        <f>('Equity Price Data'!C319-'Equity Price Data'!C318)/'Equity Price Data'!C318</f>
        <v>-0.0001007783187</v>
      </c>
      <c r="F317" s="4">
        <f>('Equity Price Data'!D319-'Equity Price Data'!D318)/'Equity Price Data'!D318</f>
        <v>0.0003140177718</v>
      </c>
      <c r="G317" s="4">
        <f>('Equity Price Data'!E319-'Equity Price Data'!E318)/'Equity Price Data'!E318</f>
        <v>-0.0007631359503</v>
      </c>
      <c r="H317" s="4">
        <f>('Equity Price Data'!F319-'Equity Price Data'!F318)/'Equity Price Data'!F318</f>
        <v>0.003476899393</v>
      </c>
      <c r="L317" s="1"/>
      <c r="M317" s="1"/>
      <c r="N317" s="1"/>
      <c r="O317" s="1"/>
    </row>
    <row r="318">
      <c r="A318" s="43">
        <f>Sheet11!A318</f>
        <v>45888.66667</v>
      </c>
      <c r="B318" s="44">
        <f t="shared" si="2"/>
        <v>45900</v>
      </c>
      <c r="C318" s="4">
        <f>('Equity Price Data'!B320-'Equity Price Data'!B319)/'Equity Price Data'!B319</f>
        <v>-0.005437029131</v>
      </c>
      <c r="D318" s="4">
        <f t="shared" si="3"/>
        <v>-0.005635441829</v>
      </c>
      <c r="E318" s="4">
        <f>('Equity Price Data'!C320-'Equity Price Data'!C319)/'Equity Price Data'!C319</f>
        <v>-0.005858136344</v>
      </c>
      <c r="F318" s="4">
        <f>('Equity Price Data'!D320-'Equity Price Data'!D319)/'Equity Price Data'!D319</f>
        <v>-0.01455493979</v>
      </c>
      <c r="G318" s="4">
        <f>('Equity Price Data'!E320-'Equity Price Data'!E319)/'Equity Price Data'!E319</f>
        <v>0.000232678168</v>
      </c>
      <c r="H318" s="4">
        <f>('Equity Price Data'!F320-'Equity Price Data'!F319)/'Equity Price Data'!F319</f>
        <v>-0.007783932673</v>
      </c>
      <c r="L318" s="1"/>
      <c r="M318" s="1"/>
      <c r="N318" s="1"/>
      <c r="O318" s="1"/>
    </row>
    <row r="319">
      <c r="A319" s="43">
        <f>Sheet11!A319</f>
        <v>45889.66667</v>
      </c>
      <c r="B319" s="44">
        <f t="shared" si="2"/>
        <v>45900</v>
      </c>
      <c r="C319" s="4">
        <f>('Equity Price Data'!B321-'Equity Price Data'!B320)/'Equity Price Data'!B320</f>
        <v>-0.001937942879</v>
      </c>
      <c r="D319" s="4">
        <f t="shared" si="3"/>
        <v>-0.002136355578</v>
      </c>
      <c r="E319" s="4">
        <f>('Equity Price Data'!C321-'Equity Price Data'!C320)/'Equity Price Data'!C320</f>
        <v>-0.002431617579</v>
      </c>
      <c r="F319" s="4">
        <f>('Equity Price Data'!D321-'Equity Price Data'!D320)/'Equity Price Data'!D320</f>
        <v>-0.006666213151</v>
      </c>
      <c r="G319" s="4">
        <f>('Equity Price Data'!E321-'Equity Price Data'!E320)/'Equity Price Data'!E320</f>
        <v>0.0003570612082</v>
      </c>
      <c r="H319" s="4">
        <f>('Equity Price Data'!F321-'Equity Price Data'!F320)/'Equity Price Data'!F320</f>
        <v>-0.003188951994</v>
      </c>
      <c r="L319" s="1"/>
      <c r="M319" s="1"/>
      <c r="N319" s="1"/>
      <c r="O319" s="1"/>
    </row>
    <row r="320">
      <c r="A320" s="43">
        <f>Sheet11!A320</f>
        <v>45890.66667</v>
      </c>
      <c r="B320" s="44">
        <f t="shared" si="2"/>
        <v>45900</v>
      </c>
      <c r="C320" s="4">
        <f>('Equity Price Data'!B322-'Equity Price Data'!B321)/'Equity Price Data'!B321</f>
        <v>-0.003648470114</v>
      </c>
      <c r="D320" s="4">
        <f t="shared" si="3"/>
        <v>-0.003846882812</v>
      </c>
      <c r="E320" s="4">
        <f>('Equity Price Data'!C322-'Equity Price Data'!C321)/'Equity Price Data'!C321</f>
        <v>-0.004004202771</v>
      </c>
      <c r="F320" s="4">
        <f>('Equity Price Data'!D322-'Equity Price Data'!D321)/'Equity Price Data'!D321</f>
        <v>-0.00342655645</v>
      </c>
      <c r="G320" s="4">
        <f>('Equity Price Data'!E322-'Equity Price Data'!E321)/'Equity Price Data'!E321</f>
        <v>-0.003400439402</v>
      </c>
      <c r="H320" s="4">
        <f>('Equity Price Data'!F322-'Equity Price Data'!F321)/'Equity Price Data'!F321</f>
        <v>0.002093110362</v>
      </c>
      <c r="L320" s="1"/>
      <c r="M320" s="1"/>
      <c r="N320" s="1"/>
      <c r="O320" s="1"/>
    </row>
    <row r="321">
      <c r="A321" s="43">
        <f>Sheet11!A321</f>
        <v>45891.66667</v>
      </c>
      <c r="B321" s="44">
        <f t="shared" si="2"/>
        <v>45900</v>
      </c>
      <c r="C321" s="4">
        <f>('Equity Price Data'!B323-'Equity Price Data'!B322)/'Equity Price Data'!B322</f>
        <v>0.01389156723</v>
      </c>
      <c r="D321" s="4">
        <f t="shared" si="3"/>
        <v>0.01369315453</v>
      </c>
      <c r="E321" s="4">
        <f>('Equity Price Data'!C323-'Equity Price Data'!C322)/'Equity Price Data'!C322</f>
        <v>0.0151864079</v>
      </c>
      <c r="F321" s="4">
        <f>('Equity Price Data'!D323-'Equity Price Data'!D322)/'Equity Price Data'!D322</f>
        <v>0.01877839709</v>
      </c>
      <c r="G321" s="4">
        <f>('Equity Price Data'!E323-'Equity Price Data'!E322)/'Equity Price Data'!E322</f>
        <v>0.01889540141</v>
      </c>
      <c r="H321" s="4">
        <f>('Equity Price Data'!F323-'Equity Price Data'!F322)/'Equity Price Data'!F322</f>
        <v>0.03863066708</v>
      </c>
      <c r="L321" s="1"/>
      <c r="M321" s="1"/>
      <c r="N321" s="1"/>
      <c r="O321" s="1"/>
    </row>
    <row r="322">
      <c r="A322" s="43">
        <f>Sheet11!A322</f>
        <v>45894.66667</v>
      </c>
      <c r="B322" s="44">
        <f t="shared" si="2"/>
        <v>45900</v>
      </c>
      <c r="C322" s="4">
        <f>('Equity Price Data'!B324-'Equity Price Data'!B323)/'Equity Price Data'!B323</f>
        <v>-0.006118255791</v>
      </c>
      <c r="D322" s="4">
        <f t="shared" si="3"/>
        <v>-0.00631666849</v>
      </c>
      <c r="E322" s="4">
        <f>('Equity Price Data'!C324-'Equity Price Data'!C323)/'Equity Price Data'!C323</f>
        <v>-0.004266334308</v>
      </c>
      <c r="F322" s="4">
        <f>('Equity Price Data'!D324-'Equity Price Data'!D323)/'Equity Price Data'!D323</f>
        <v>-0.002198028148</v>
      </c>
      <c r="G322" s="4">
        <f>('Equity Price Data'!E324-'Equity Price Data'!E323)/'Equity Price Data'!E323</f>
        <v>-0.007654102167</v>
      </c>
      <c r="H322" s="4">
        <f>('Equity Price Data'!F324-'Equity Price Data'!F323)/'Equity Price Data'!F323</f>
        <v>-0.00964457334</v>
      </c>
      <c r="L322" s="1"/>
      <c r="M322" s="1"/>
      <c r="N322" s="1"/>
      <c r="O322" s="1"/>
    </row>
    <row r="323">
      <c r="A323" s="43">
        <f>Sheet11!A323</f>
        <v>45895.66667</v>
      </c>
      <c r="B323" s="44">
        <f t="shared" si="2"/>
        <v>45900</v>
      </c>
      <c r="C323" s="4">
        <f>('Equity Price Data'!B325-'Equity Price Data'!B324)/'Equity Price Data'!B324</f>
        <v>0.003120319303</v>
      </c>
      <c r="D323" s="4">
        <f t="shared" si="3"/>
        <v>0.002921906605</v>
      </c>
      <c r="E323" s="4">
        <f>('Equity Price Data'!C325-'Equity Price Data'!C324)/'Equity Price Data'!C324</f>
        <v>0.00413397688</v>
      </c>
      <c r="F323" s="4">
        <f>('Equity Price Data'!D325-'Equity Price Data'!D324)/'Equity Price Data'!D324</f>
        <v>0.0044281186</v>
      </c>
      <c r="G323" s="4">
        <f>('Equity Price Data'!E325-'Equity Price Data'!E324)/'Equity Price Data'!E324</f>
        <v>0.002994536296</v>
      </c>
      <c r="H323" s="4">
        <f>('Equity Price Data'!F325-'Equity Price Data'!F324)/'Equity Price Data'!F324</f>
        <v>0.008306365078</v>
      </c>
      <c r="L323" s="1"/>
      <c r="M323" s="1"/>
      <c r="N323" s="1"/>
      <c r="O323" s="1"/>
    </row>
    <row r="324">
      <c r="A324" s="43">
        <f>Sheet11!A324</f>
        <v>45896.66667</v>
      </c>
      <c r="B324" s="44">
        <f t="shared" si="2"/>
        <v>45900</v>
      </c>
      <c r="C324" s="4">
        <f>('Equity Price Data'!B326-'Equity Price Data'!B325)/'Equity Price Data'!B325</f>
        <v>0.001511930943</v>
      </c>
      <c r="D324" s="4">
        <f t="shared" si="3"/>
        <v>0.001313518244</v>
      </c>
      <c r="E324" s="4">
        <f>('Equity Price Data'!C326-'Equity Price Data'!C325)/'Equity Price Data'!C325</f>
        <v>0.002390990328</v>
      </c>
      <c r="F324" s="4">
        <f>('Equity Price Data'!D326-'Equity Price Data'!D325)/'Equity Price Data'!D325</f>
        <v>0.002129104398</v>
      </c>
      <c r="G324" s="4">
        <f>('Equity Price Data'!E326-'Equity Price Data'!E325)/'Equity Price Data'!E325</f>
        <v>0.003240120067</v>
      </c>
      <c r="H324" s="4">
        <f>('Equity Price Data'!F326-'Equity Price Data'!F325)/'Equity Price Data'!F325</f>
        <v>0.006444500975</v>
      </c>
      <c r="L324" s="1"/>
      <c r="M324" s="1"/>
      <c r="N324" s="1"/>
      <c r="O324" s="1"/>
    </row>
    <row r="325">
      <c r="A325" s="43">
        <f>Sheet11!A325</f>
        <v>45897.66667</v>
      </c>
      <c r="B325" s="44">
        <f t="shared" si="2"/>
        <v>45900</v>
      </c>
      <c r="C325" s="4">
        <f>('Equity Price Data'!B327-'Equity Price Data'!B326)/'Equity Price Data'!B326</f>
        <v>0.002568111183</v>
      </c>
      <c r="D325" s="4">
        <f t="shared" si="3"/>
        <v>0.002369698485</v>
      </c>
      <c r="E325" s="4">
        <f>('Equity Price Data'!C327-'Equity Price Data'!C326)/'Equity Price Data'!C326</f>
        <v>0.003156725399</v>
      </c>
      <c r="F325" s="4">
        <f>('Equity Price Data'!D327-'Equity Price Data'!D326)/'Equity Price Data'!D326</f>
        <v>0.005327431874</v>
      </c>
      <c r="G325" s="4">
        <f>('Equity Price Data'!E327-'Equity Price Data'!E326)/'Equity Price Data'!E326</f>
        <v>0.00157290987</v>
      </c>
      <c r="H325" s="4">
        <f>('Equity Price Data'!F327-'Equity Price Data'!F326)/'Equity Price Data'!F326</f>
        <v>0.00194203387</v>
      </c>
      <c r="L325" s="1"/>
      <c r="M325" s="1"/>
      <c r="N325" s="1"/>
      <c r="O325" s="1"/>
    </row>
    <row r="326">
      <c r="A326" s="43">
        <f>Sheet11!A326</f>
        <v>45898.66667</v>
      </c>
      <c r="B326" s="44">
        <f t="shared" si="2"/>
        <v>45900</v>
      </c>
      <c r="C326" s="4">
        <f>('Equity Price Data'!B328-'Equity Price Data'!B327)/'Equity Price Data'!B327</f>
        <v>-0.003943908357</v>
      </c>
      <c r="D326" s="4">
        <f t="shared" si="3"/>
        <v>-0.004142321055</v>
      </c>
      <c r="E326" s="4">
        <f>('Equity Price Data'!C328-'Equity Price Data'!C327)/'Equity Price Data'!C327</f>
        <v>-0.006398169139</v>
      </c>
      <c r="F326" s="4">
        <f>('Equity Price Data'!D328-'Equity Price Data'!D327)/'Equity Price Data'!D327</f>
        <v>-0.01150003041</v>
      </c>
      <c r="G326" s="4">
        <f>('Equity Price Data'!E328-'Equity Price Data'!E327)/'Equity Price Data'!E327</f>
        <v>-0.002016350804</v>
      </c>
      <c r="H326" s="4">
        <f>('Equity Price Data'!F328-'Equity Price Data'!F327)/'Equity Price Data'!F327</f>
        <v>-0.005041182975</v>
      </c>
      <c r="L326" s="1"/>
      <c r="M326" s="1"/>
      <c r="N326" s="1"/>
      <c r="O326" s="1"/>
    </row>
    <row r="327">
      <c r="A327" s="43">
        <f>Sheet11!A327</f>
        <v>45902.66667</v>
      </c>
      <c r="B327" s="44">
        <f t="shared" si="2"/>
        <v>45930</v>
      </c>
      <c r="C327" s="4">
        <f>('Equity Price Data'!B329-'Equity Price Data'!B328)/'Equity Price Data'!B328</f>
        <v>-0.005638341592</v>
      </c>
      <c r="D327" s="4">
        <f t="shared" si="3"/>
        <v>-0.00583675429</v>
      </c>
      <c r="E327" s="4">
        <f>('Equity Price Data'!C329-'Equity Price Data'!C328)/'Equity Price Data'!C328</f>
        <v>-0.006922322012</v>
      </c>
      <c r="F327" s="4">
        <f>('Equity Price Data'!D329-'Equity Price Data'!D328)/'Equity Price Data'!D328</f>
        <v>-0.00819927711</v>
      </c>
      <c r="G327" s="4">
        <f>('Equity Price Data'!E329-'Equity Price Data'!E328)/'Equity Price Data'!E328</f>
        <v>-0.00546867178</v>
      </c>
      <c r="H327" s="4">
        <f>('Equity Price Data'!F329-'Equity Price Data'!F328)/'Equity Price Data'!F328</f>
        <v>-0.00600485121</v>
      </c>
      <c r="L327" s="1"/>
      <c r="M327" s="1"/>
      <c r="N327" s="1"/>
      <c r="O327" s="1"/>
    </row>
    <row r="328">
      <c r="A328" s="43">
        <f>Sheet11!A328</f>
        <v>45903.66667</v>
      </c>
      <c r="B328" s="44">
        <f t="shared" si="2"/>
        <v>45930</v>
      </c>
      <c r="C328" s="4">
        <f>('Equity Price Data'!B330-'Equity Price Data'!B329)/'Equity Price Data'!B329</f>
        <v>-0.001968314356</v>
      </c>
      <c r="D328" s="4">
        <f t="shared" si="3"/>
        <v>-0.002166727054</v>
      </c>
      <c r="E328" s="4">
        <f>('Equity Price Data'!C330-'Equity Price Data'!C329)/'Equity Price Data'!C329</f>
        <v>0.00510011628</v>
      </c>
      <c r="F328" s="4">
        <f>('Equity Price Data'!D330-'Equity Price Data'!D329)/'Equity Price Data'!D329</f>
        <v>0.01024923836</v>
      </c>
      <c r="G328" s="4">
        <f>('Equity Price Data'!E330-'Equity Price Data'!E329)/'Equity Price Data'!E329</f>
        <v>-0.0005426550491</v>
      </c>
      <c r="H328" s="4">
        <f>('Equity Price Data'!F330-'Equity Price Data'!F329)/'Equity Price Data'!F329</f>
        <v>-0.000952295926</v>
      </c>
      <c r="L328" s="1"/>
      <c r="M328" s="1"/>
      <c r="N328" s="1"/>
      <c r="O328" s="1"/>
    </row>
    <row r="329">
      <c r="A329" s="43">
        <f>Sheet11!A329</f>
        <v>45904.66667</v>
      </c>
      <c r="B329" s="44">
        <f t="shared" si="2"/>
        <v>45930</v>
      </c>
      <c r="C329" s="4">
        <f>('Equity Price Data'!B331-'Equity Price Data'!B330)/'Equity Price Data'!B330</f>
        <v>0.007007712661</v>
      </c>
      <c r="D329" s="4">
        <f t="shared" si="3"/>
        <v>0.006809299963</v>
      </c>
      <c r="E329" s="4">
        <f>('Equity Price Data'!C331-'Equity Price Data'!C330)/'Equity Price Data'!C330</f>
        <v>0.008346437644</v>
      </c>
      <c r="F329" s="4">
        <f>('Equity Price Data'!D331-'Equity Price Data'!D330)/'Equity Price Data'!D330</f>
        <v>0.009766612568</v>
      </c>
      <c r="G329" s="4">
        <f>('Equity Price Data'!E331-'Equity Price Data'!E330)/'Equity Price Data'!E330</f>
        <v>0.007732504728</v>
      </c>
      <c r="H329" s="4">
        <f>('Equity Price Data'!F331-'Equity Price Data'!F330)/'Equity Price Data'!F330</f>
        <v>0.01261292697</v>
      </c>
      <c r="L329" s="1"/>
      <c r="M329" s="1"/>
      <c r="N329" s="1"/>
      <c r="O329" s="1"/>
    </row>
    <row r="330">
      <c r="A330" s="43">
        <f>Sheet11!A330</f>
        <v>45905.66667</v>
      </c>
      <c r="B330" s="44">
        <f t="shared" si="2"/>
        <v>45930</v>
      </c>
      <c r="C330" s="4">
        <f>('Equity Price Data'!B332-'Equity Price Data'!B331)/'Equity Price Data'!B331</f>
        <v>-0.004812124423</v>
      </c>
      <c r="D330" s="4">
        <f t="shared" si="3"/>
        <v>-0.005010537121</v>
      </c>
      <c r="E330" s="4">
        <f>('Equity Price Data'!C332-'Equity Price Data'!C331)/'Equity Price Data'!C331</f>
        <v>-0.003165141001</v>
      </c>
      <c r="F330" s="4">
        <f>('Equity Price Data'!D332-'Equity Price Data'!D331)/'Equity Price Data'!D331</f>
        <v>-0.0003362863575</v>
      </c>
      <c r="G330" s="4">
        <f>('Equity Price Data'!E332-'Equity Price Data'!E331)/'Equity Price Data'!E331</f>
        <v>-0.004831735359</v>
      </c>
      <c r="H330" s="4">
        <f>('Equity Price Data'!F332-'Equity Price Data'!F331)/'Equity Price Data'!F331</f>
        <v>0.004807510474</v>
      </c>
      <c r="L330" s="1"/>
      <c r="M330" s="1"/>
      <c r="N330" s="1"/>
      <c r="O330" s="1"/>
    </row>
    <row r="331">
      <c r="A331" s="43">
        <f>Sheet11!A331</f>
        <v>45908.66667</v>
      </c>
      <c r="B331" s="44">
        <f t="shared" si="2"/>
        <v>45930</v>
      </c>
      <c r="C331" s="4">
        <f>('Equity Price Data'!B333-'Equity Price Data'!B332)/'Equity Price Data'!B332</f>
        <v>-0.0006368725117</v>
      </c>
      <c r="D331" s="4">
        <f t="shared" si="3"/>
        <v>-0.0008352852101</v>
      </c>
      <c r="E331" s="4">
        <f>('Equity Price Data'!C333-'Equity Price Data'!C332)/'Equity Price Data'!C332</f>
        <v>0.002105993983</v>
      </c>
      <c r="F331" s="4">
        <f>('Equity Price Data'!D333-'Equity Price Data'!D332)/'Equity Price Data'!D332</f>
        <v>0.004530333326</v>
      </c>
      <c r="G331" s="4">
        <f>('Equity Price Data'!E333-'Equity Price Data'!E332)/'Equity Price Data'!E332</f>
        <v>0.002512947993</v>
      </c>
      <c r="H331" s="4">
        <f>('Equity Price Data'!F333-'Equity Price Data'!F332)/'Equity Price Data'!F332</f>
        <v>0.001605989001</v>
      </c>
      <c r="L331" s="1"/>
      <c r="M331" s="1"/>
      <c r="N331" s="1"/>
      <c r="O331" s="1"/>
    </row>
    <row r="332">
      <c r="A332" s="43">
        <f>Sheet11!A332</f>
        <v>45909.66667</v>
      </c>
      <c r="B332" s="44">
        <f t="shared" si="2"/>
        <v>45930</v>
      </c>
      <c r="C332" s="4">
        <f>('Equity Price Data'!B334-'Equity Price Data'!B333)/'Equity Price Data'!B333</f>
        <v>0.004460165132</v>
      </c>
      <c r="D332" s="4">
        <f t="shared" si="3"/>
        <v>0.004261752434</v>
      </c>
      <c r="E332" s="4">
        <f>('Equity Price Data'!C334-'Equity Price Data'!C333)/'Equity Price Data'!C333</f>
        <v>0.002688159627</v>
      </c>
      <c r="F332" s="4">
        <f>('Equity Price Data'!D334-'Equity Price Data'!D333)/'Equity Price Data'!D333</f>
        <v>0.003706184314</v>
      </c>
      <c r="G332" s="4">
        <f>('Equity Price Data'!E334-'Equity Price Data'!E333)/'Equity Price Data'!E333</f>
        <v>0.004314846001</v>
      </c>
      <c r="H332" s="4">
        <f>('Equity Price Data'!F334-'Equity Price Data'!F333)/'Equity Price Data'!F333</f>
        <v>-0.005457453161</v>
      </c>
      <c r="L332" s="1"/>
      <c r="M332" s="1"/>
      <c r="N332" s="1"/>
      <c r="O332" s="1"/>
    </row>
    <row r="333">
      <c r="A333" s="43">
        <f>Sheet11!A333</f>
        <v>45910.66667</v>
      </c>
      <c r="B333" s="44">
        <f t="shared" si="2"/>
        <v>45930</v>
      </c>
      <c r="C333" s="4">
        <f>('Equity Price Data'!B335-'Equity Price Data'!B334)/'Equity Price Data'!B334</f>
        <v>-0.001732013836</v>
      </c>
      <c r="D333" s="4">
        <f t="shared" si="3"/>
        <v>-0.001930426534</v>
      </c>
      <c r="E333" s="4">
        <f>('Equity Price Data'!C335-'Equity Price Data'!C334)/'Equity Price Data'!C334</f>
        <v>0.00298344289</v>
      </c>
      <c r="F333" s="4">
        <f>('Equity Price Data'!D335-'Equity Price Data'!D334)/'Equity Price Data'!D334</f>
        <v>0.0003002812223</v>
      </c>
      <c r="G333" s="4">
        <f>('Equity Price Data'!E335-'Equity Price Data'!E334)/'Equity Price Data'!E334</f>
        <v>-0.004821998218</v>
      </c>
      <c r="H333" s="4">
        <f>('Equity Price Data'!F335-'Equity Price Data'!F334)/'Equity Price Data'!F334</f>
        <v>-0.0015996171</v>
      </c>
      <c r="L333" s="1"/>
      <c r="M333" s="1"/>
      <c r="N333" s="1"/>
      <c r="O333" s="1"/>
    </row>
    <row r="334">
      <c r="A334" s="43">
        <f>Sheet11!A334</f>
        <v>45911.66667</v>
      </c>
      <c r="B334" s="44">
        <f t="shared" si="2"/>
        <v>45930</v>
      </c>
      <c r="C334" s="4">
        <f>('Equity Price Data'!B336-'Equity Price Data'!B335)/'Equity Price Data'!B335</f>
        <v>0.004054495984</v>
      </c>
      <c r="D334" s="4">
        <f t="shared" si="3"/>
        <v>0.003856083285</v>
      </c>
      <c r="E334" s="4">
        <f>('Equity Price Data'!C336-'Equity Price Data'!C335)/'Equity Price Data'!C335</f>
        <v>0.008485863528</v>
      </c>
      <c r="F334" s="4">
        <f>('Equity Price Data'!D336-'Equity Price Data'!D335)/'Equity Price Data'!D335</f>
        <v>0.007174429751</v>
      </c>
      <c r="G334" s="4">
        <f>('Equity Price Data'!E336-'Equity Price Data'!E335)/'Equity Price Data'!E335</f>
        <v>0.01356490482</v>
      </c>
      <c r="H334" s="4">
        <f>('Equity Price Data'!F336-'Equity Price Data'!F335)/'Equity Price Data'!F335</f>
        <v>0.0183010164</v>
      </c>
      <c r="L334" s="1"/>
      <c r="M334" s="1"/>
      <c r="N334" s="1"/>
      <c r="O334" s="1"/>
    </row>
    <row r="335">
      <c r="A335" s="43">
        <f>Sheet11!A335</f>
        <v>45912.66667</v>
      </c>
      <c r="B335" s="44">
        <f t="shared" si="2"/>
        <v>45930</v>
      </c>
      <c r="C335" s="4">
        <f>('Equity Price Data'!B337-'Equity Price Data'!B336)/'Equity Price Data'!B336</f>
        <v>-0.002003736159</v>
      </c>
      <c r="D335" s="4">
        <f t="shared" si="3"/>
        <v>-0.002202148857</v>
      </c>
      <c r="E335" s="4">
        <f>('Equity Price Data'!C337-'Equity Price Data'!C336)/'Equity Price Data'!C336</f>
        <v>-0.0004827346462</v>
      </c>
      <c r="F335" s="4">
        <f>('Equity Price Data'!D337-'Equity Price Data'!D336)/'Equity Price Data'!D336</f>
        <v>0.004446747006</v>
      </c>
      <c r="G335" s="4">
        <f>('Equity Price Data'!E337-'Equity Price Data'!E336)/'Equity Price Data'!E336</f>
        <v>-0.005937798213</v>
      </c>
      <c r="H335" s="4">
        <f>('Equity Price Data'!F337-'Equity Price Data'!F336)/'Equity Price Data'!F336</f>
        <v>-0.01010518143</v>
      </c>
      <c r="L335" s="1"/>
      <c r="M335" s="1"/>
      <c r="N335" s="1"/>
      <c r="O335" s="1"/>
    </row>
    <row r="336">
      <c r="A336" s="43">
        <f>Sheet11!A336</f>
        <v>45915.66667</v>
      </c>
      <c r="B336" s="44">
        <f t="shared" si="2"/>
        <v>45930</v>
      </c>
      <c r="C336" s="4">
        <f>('Equity Price Data'!B338-'Equity Price Data'!B337)/'Equity Price Data'!B337</f>
        <v>0.003534985075</v>
      </c>
      <c r="D336" s="4">
        <f t="shared" si="3"/>
        <v>0.003336572376</v>
      </c>
      <c r="E336" s="4">
        <f>('Equity Price Data'!C338-'Equity Price Data'!C337)/'Equity Price Data'!C337</f>
        <v>0.004706657817</v>
      </c>
      <c r="F336" s="4">
        <f>('Equity Price Data'!D338-'Equity Price Data'!D337)/'Equity Price Data'!D337</f>
        <v>0.009378486164</v>
      </c>
      <c r="G336" s="4">
        <f>('Equity Price Data'!E338-'Equity Price Data'!E337)/'Equity Price Data'!E337</f>
        <v>0.001074088312</v>
      </c>
      <c r="H336" s="4">
        <f>('Equity Price Data'!F338-'Equity Price Data'!F337)/'Equity Price Data'!F337</f>
        <v>0.003366624115</v>
      </c>
      <c r="L336" s="1"/>
      <c r="M336" s="1"/>
      <c r="N336" s="1"/>
      <c r="O336" s="1"/>
    </row>
    <row r="337">
      <c r="A337" s="43">
        <f>Sheet11!A337</f>
        <v>45916.66667</v>
      </c>
      <c r="B337" s="44">
        <f t="shared" si="2"/>
        <v>45930</v>
      </c>
      <c r="C337" s="4">
        <f>('Equity Price Data'!B339-'Equity Price Data'!B338)/'Equity Price Data'!B338</f>
        <v>-0.003295828187</v>
      </c>
      <c r="D337" s="4">
        <f t="shared" si="3"/>
        <v>-0.003494240885</v>
      </c>
      <c r="E337" s="4">
        <f>('Equity Price Data'!C339-'Equity Price Data'!C338)/'Equity Price Data'!C338</f>
        <v>-0.001287927344</v>
      </c>
      <c r="F337" s="4">
        <f>('Equity Price Data'!D339-'Equity Price Data'!D338)/'Equity Price Data'!D338</f>
        <v>-0.0006617819789</v>
      </c>
      <c r="G337" s="4">
        <f>('Equity Price Data'!E339-'Equity Price Data'!E338)/'Equity Price Data'!E338</f>
        <v>-0.002736280729</v>
      </c>
      <c r="H337" s="4">
        <f>('Equity Price Data'!F339-'Equity Price Data'!F338)/'Equity Price Data'!F338</f>
        <v>-0.0008731336768</v>
      </c>
      <c r="L337" s="1"/>
      <c r="M337" s="1"/>
      <c r="N337" s="1"/>
      <c r="O337" s="1"/>
    </row>
    <row r="338">
      <c r="A338" s="43">
        <f>Sheet11!A338</f>
        <v>45917.66667</v>
      </c>
      <c r="B338" s="44">
        <f t="shared" si="2"/>
        <v>45930</v>
      </c>
      <c r="C338" s="4">
        <f>('Equity Price Data'!B340-'Equity Price Data'!B339)/'Equity Price Data'!B339</f>
        <v>0.002492568272</v>
      </c>
      <c r="D338" s="4">
        <f t="shared" si="3"/>
        <v>0.002294155573</v>
      </c>
      <c r="E338" s="4">
        <f>('Equity Price Data'!C340-'Equity Price Data'!C339)/'Equity Price Data'!C339</f>
        <v>-0.0009702183824</v>
      </c>
      <c r="F338" s="4">
        <f>('Equity Price Data'!D340-'Equity Price Data'!D339)/'Equity Price Data'!D339</f>
        <v>-0.003251998302</v>
      </c>
      <c r="G338" s="4">
        <f>('Equity Price Data'!E340-'Equity Price Data'!E339)/'Equity Price Data'!E339</f>
        <v>0.005691257684</v>
      </c>
      <c r="H338" s="4">
        <f>('Equity Price Data'!F340-'Equity Price Data'!F339)/'Equity Price Data'!F339</f>
        <v>0.001793568953</v>
      </c>
      <c r="L338" s="1"/>
      <c r="M338" s="1"/>
      <c r="N338" s="1"/>
      <c r="O338" s="1"/>
    </row>
    <row r="339">
      <c r="A339" s="43">
        <f>Sheet11!A339</f>
        <v>45918.66667</v>
      </c>
      <c r="B339" s="44">
        <f t="shared" si="2"/>
        <v>45930</v>
      </c>
      <c r="C339" s="4">
        <f>('Equity Price Data'!B341-'Equity Price Data'!B340)/'Equity Price Data'!B340</f>
        <v>0.007551969104</v>
      </c>
      <c r="D339" s="4">
        <f t="shared" si="3"/>
        <v>0.007353556406</v>
      </c>
      <c r="E339" s="4">
        <f>('Equity Price Data'!C341-'Equity Price Data'!C340)/'Equity Price Data'!C340</f>
        <v>0.00478913997</v>
      </c>
      <c r="F339" s="4">
        <f>('Equity Price Data'!D341-'Equity Price Data'!D340)/'Equity Price Data'!D340</f>
        <v>0.009406446066</v>
      </c>
      <c r="G339" s="4">
        <f>('Equity Price Data'!E341-'Equity Price Data'!E340)/'Equity Price Data'!E340</f>
        <v>0.002696752076</v>
      </c>
      <c r="H339" s="4">
        <f>('Equity Price Data'!F341-'Equity Price Data'!F340)/'Equity Price Data'!F340</f>
        <v>0.02507331744</v>
      </c>
      <c r="L339" s="1"/>
      <c r="M339" s="1"/>
      <c r="N339" s="1"/>
      <c r="O339" s="1"/>
    </row>
    <row r="340">
      <c r="A340" s="43">
        <f>Sheet11!A340</f>
        <v>45919.66667</v>
      </c>
      <c r="B340" s="44">
        <f t="shared" si="2"/>
        <v>45930</v>
      </c>
      <c r="C340" s="4">
        <f>('Equity Price Data'!B342-'Equity Price Data'!B341)/'Equity Price Data'!B341</f>
        <v>0.003502618955</v>
      </c>
      <c r="D340" s="4">
        <f t="shared" si="3"/>
        <v>0.003304206256</v>
      </c>
      <c r="E340" s="4">
        <f>('Equity Price Data'!C342-'Equity Price Data'!C341)/'Equity Price Data'!C341</f>
        <v>0.004885433567</v>
      </c>
      <c r="F340" s="4">
        <f>('Equity Price Data'!D342-'Equity Price Data'!D341)/'Equity Price Data'!D341</f>
        <v>0.007153750679</v>
      </c>
      <c r="G340" s="4">
        <f>('Equity Price Data'!E342-'Equity Price Data'!E341)/'Equity Price Data'!E341</f>
        <v>0.003746010721</v>
      </c>
      <c r="H340" s="4">
        <f>('Equity Price Data'!F342-'Equity Price Data'!F341)/'Equity Price Data'!F341</f>
        <v>-0.007671110751</v>
      </c>
      <c r="L340" s="1"/>
      <c r="M340" s="1"/>
      <c r="N340" s="1"/>
      <c r="O340" s="1"/>
    </row>
    <row r="341">
      <c r="A341" s="43">
        <f>Sheet11!A341</f>
        <v>45922.66667</v>
      </c>
      <c r="B341" s="44">
        <f t="shared" si="2"/>
        <v>45930</v>
      </c>
      <c r="C341" s="4">
        <f>('Equity Price Data'!B343-'Equity Price Data'!B342)/'Equity Price Data'!B342</f>
        <v>0.003902697224</v>
      </c>
      <c r="D341" s="4">
        <f t="shared" si="3"/>
        <v>0.003704284525</v>
      </c>
      <c r="E341" s="4">
        <f>('Equity Price Data'!C343-'Equity Price Data'!C342)/'Equity Price Data'!C342</f>
        <v>0.004410025869</v>
      </c>
      <c r="F341" s="4">
        <f>('Equity Price Data'!D343-'Equity Price Data'!D342)/'Equity Price Data'!D342</f>
        <v>0.006959332752</v>
      </c>
      <c r="G341" s="4">
        <f>('Equity Price Data'!E343-'Equity Price Data'!E342)/'Equity Price Data'!E342</f>
        <v>0.001430845594</v>
      </c>
      <c r="H341" s="4">
        <f>('Equity Price Data'!F343-'Equity Price Data'!F342)/'Equity Price Data'!F342</f>
        <v>0.005949925881</v>
      </c>
      <c r="L341" s="1"/>
      <c r="M341" s="1"/>
      <c r="N341" s="1"/>
      <c r="O341" s="1"/>
    </row>
    <row r="342">
      <c r="A342" s="43">
        <f>Sheet11!A342</f>
        <v>45923.66667</v>
      </c>
      <c r="B342" s="44">
        <f t="shared" si="2"/>
        <v>45930</v>
      </c>
      <c r="C342" s="4">
        <f>('Equity Price Data'!B344-'Equity Price Data'!B343)/'Equity Price Data'!B343</f>
        <v>-0.0002452914928</v>
      </c>
      <c r="D342" s="4">
        <f t="shared" si="3"/>
        <v>-0.0004437041912</v>
      </c>
      <c r="E342" s="4">
        <f>('Equity Price Data'!C344-'Equity Price Data'!C343)/'Equity Price Data'!C343</f>
        <v>-0.005502147526</v>
      </c>
      <c r="F342" s="4">
        <f>('Equity Price Data'!D344-'Equity Price Data'!D343)/'Equity Price Data'!D343</f>
        <v>-0.009456763752</v>
      </c>
      <c r="G342" s="4">
        <f>('Equity Price Data'!E344-'Equity Price Data'!E343)/'Equity Price Data'!E343</f>
        <v>-0.001913692387</v>
      </c>
      <c r="H342" s="4">
        <f>('Equity Price Data'!F344-'Equity Price Data'!F343)/'Equity Price Data'!F343</f>
        <v>-0.002366705368</v>
      </c>
      <c r="L342" s="1"/>
      <c r="M342" s="1"/>
      <c r="N342" s="1"/>
      <c r="O342" s="1"/>
    </row>
    <row r="343">
      <c r="A343" s="43">
        <f>Sheet11!A343</f>
        <v>45924.66667</v>
      </c>
      <c r="B343" s="44">
        <f t="shared" si="2"/>
        <v>45930</v>
      </c>
      <c r="C343" s="4">
        <f>('Equity Price Data'!B345-'Equity Price Data'!B344)/'Equity Price Data'!B344</f>
        <v>-0.002467176533</v>
      </c>
      <c r="D343" s="4">
        <f t="shared" si="3"/>
        <v>-0.002665589232</v>
      </c>
      <c r="E343" s="4">
        <f>('Equity Price Data'!C345-'Equity Price Data'!C344)/'Equity Price Data'!C344</f>
        <v>-0.00284666182</v>
      </c>
      <c r="F343" s="4">
        <f>('Equity Price Data'!D345-'Equity Price Data'!D344)/'Equity Price Data'!D344</f>
        <v>-0.003349507187</v>
      </c>
      <c r="G343" s="4">
        <f>('Equity Price Data'!E345-'Equity Price Data'!E344)/'Equity Price Data'!E344</f>
        <v>-0.003704681378</v>
      </c>
      <c r="H343" s="4">
        <f>('Equity Price Data'!F345-'Equity Price Data'!F344)/'Equity Price Data'!F344</f>
        <v>-0.009167816204</v>
      </c>
      <c r="L343" s="1"/>
      <c r="M343" s="1"/>
      <c r="N343" s="1"/>
      <c r="O343" s="1"/>
    </row>
    <row r="344">
      <c r="A344" s="43">
        <f>Sheet11!A344</f>
        <v>45925.66667</v>
      </c>
      <c r="B344" s="44">
        <f t="shared" si="2"/>
        <v>45930</v>
      </c>
      <c r="C344" s="4">
        <f>('Equity Price Data'!B346-'Equity Price Data'!B345)/'Equity Price Data'!B345</f>
        <v>-0.003025199229</v>
      </c>
      <c r="D344" s="4">
        <f t="shared" si="3"/>
        <v>-0.003223611928</v>
      </c>
      <c r="E344" s="4">
        <f>('Equity Price Data'!C346-'Equity Price Data'!C345)/'Equity Price Data'!C345</f>
        <v>-0.005009061505</v>
      </c>
      <c r="F344" s="4">
        <f>('Equity Price Data'!D346-'Equity Price Data'!D345)/'Equity Price Data'!D345</f>
        <v>-0.005029811724</v>
      </c>
      <c r="G344" s="4">
        <f>('Equity Price Data'!E346-'Equity Price Data'!E345)/'Equity Price Data'!E345</f>
        <v>-0.003771794712</v>
      </c>
      <c r="H344" s="4">
        <f>('Equity Price Data'!F346-'Equity Price Data'!F345)/'Equity Price Data'!F345</f>
        <v>-0.00983170293</v>
      </c>
      <c r="L344" s="1"/>
      <c r="M344" s="1"/>
      <c r="N344" s="1"/>
      <c r="O344" s="1"/>
    </row>
    <row r="345">
      <c r="A345" s="43">
        <f>Sheet11!A345</f>
        <v>45926.66667</v>
      </c>
      <c r="B345" s="44">
        <f t="shared" si="2"/>
        <v>45930</v>
      </c>
      <c r="C345" s="4">
        <f>('Equity Price Data'!B347-'Equity Price Data'!B346)/'Equity Price Data'!B346</f>
        <v>0.002734612657</v>
      </c>
      <c r="D345" s="4">
        <f t="shared" si="3"/>
        <v>0.002536199958</v>
      </c>
      <c r="E345" s="4">
        <f>('Equity Price Data'!C347-'Equity Price Data'!C346)/'Equity Price Data'!C346</f>
        <v>0.005901839896</v>
      </c>
      <c r="F345" s="4">
        <f>('Equity Price Data'!D347-'Equity Price Data'!D346)/'Equity Price Data'!D346</f>
        <v>0.004439192842</v>
      </c>
      <c r="G345" s="4">
        <f>('Equity Price Data'!E347-'Equity Price Data'!E346)/'Equity Price Data'!E346</f>
        <v>0.006528563581</v>
      </c>
      <c r="H345" s="4">
        <f>('Equity Price Data'!F347-'Equity Price Data'!F346)/'Equity Price Data'!F346</f>
        <v>0.009655584312</v>
      </c>
      <c r="L345" s="1"/>
      <c r="M345" s="1"/>
      <c r="N345" s="1"/>
      <c r="O345" s="1"/>
    </row>
    <row r="346">
      <c r="A346" s="43">
        <f>Sheet11!A346</f>
        <v>45929.66667</v>
      </c>
      <c r="B346" s="44">
        <f t="shared" si="2"/>
        <v>45930</v>
      </c>
      <c r="C346" s="4">
        <f>('Equity Price Data'!B348-'Equity Price Data'!B347)/'Equity Price Data'!B347</f>
        <v>0.002265310671</v>
      </c>
      <c r="D346" s="4">
        <f t="shared" si="3"/>
        <v>0.002066897972</v>
      </c>
      <c r="E346" s="4">
        <f>('Equity Price Data'!C348-'Equity Price Data'!C347)/'Equity Price Data'!C347</f>
        <v>0.002635579572</v>
      </c>
      <c r="F346" s="4">
        <f>('Equity Price Data'!D348-'Equity Price Data'!D347)/'Equity Price Data'!D347</f>
        <v>0.004762482949</v>
      </c>
      <c r="G346" s="4">
        <f>('Equity Price Data'!E348-'Equity Price Data'!E347)/'Equity Price Data'!E347</f>
        <v>0.001487222278</v>
      </c>
      <c r="H346" s="4">
        <f>('Equity Price Data'!F348-'Equity Price Data'!F347)/'Equity Price Data'!F347</f>
        <v>0.0003820368727</v>
      </c>
      <c r="L346" s="1"/>
      <c r="M346" s="1"/>
      <c r="N346" s="1"/>
      <c r="O346" s="1"/>
    </row>
    <row r="347">
      <c r="A347" s="43">
        <f>Sheet11!A347</f>
        <v>45930.66667</v>
      </c>
      <c r="B347" s="44">
        <f t="shared" si="2"/>
        <v>45930</v>
      </c>
      <c r="C347" s="4">
        <f>('Equity Price Data'!B349-'Equity Price Data'!B348)/'Equity Price Data'!B348</f>
        <v>0.002865742365</v>
      </c>
      <c r="D347" s="4">
        <f t="shared" si="3"/>
        <v>0.002667329667</v>
      </c>
      <c r="E347" s="4">
        <f>('Equity Price Data'!C349-'Equity Price Data'!C348)/'Equity Price Data'!C348</f>
        <v>0.004090848359</v>
      </c>
      <c r="F347" s="4">
        <f>('Equity Price Data'!D349-'Equity Price Data'!D348)/'Equity Price Data'!D348</f>
        <v>0.003048096268</v>
      </c>
      <c r="G347" s="4">
        <f>('Equity Price Data'!E349-'Equity Price Data'!E348)/'Equity Price Data'!E348</f>
        <v>0.001766557482</v>
      </c>
      <c r="H347" s="4">
        <f>('Equity Price Data'!F349-'Equity Price Data'!F348)/'Equity Price Data'!F348</f>
        <v>0.0005050816138</v>
      </c>
      <c r="L347" s="1"/>
      <c r="M347" s="1"/>
      <c r="N347" s="1"/>
      <c r="O347" s="1"/>
    </row>
    <row r="348">
      <c r="A348" s="43">
        <f>Sheet11!A348</f>
        <v>45931.66667</v>
      </c>
      <c r="B348" s="44">
        <f t="shared" si="2"/>
        <v>45961</v>
      </c>
      <c r="C348" s="4">
        <f>('Equity Price Data'!B350-'Equity Price Data'!B349)/'Equity Price Data'!B349</f>
        <v>-0.009844189014</v>
      </c>
      <c r="D348" s="4">
        <f t="shared" si="3"/>
        <v>-0.01004260171</v>
      </c>
      <c r="E348" s="4">
        <f>('Equity Price Data'!C350-'Equity Price Data'!C349)/'Equity Price Data'!C349</f>
        <v>0.003399885773</v>
      </c>
      <c r="F348" s="4">
        <f>('Equity Price Data'!D350-'Equity Price Data'!D349)/'Equity Price Data'!D349</f>
        <v>0.004199027273</v>
      </c>
      <c r="G348" s="4">
        <f>('Equity Price Data'!E350-'Equity Price Data'!E349)/'Equity Price Data'!E349</f>
        <v>0.0009312923497</v>
      </c>
      <c r="H348" s="4">
        <f>('Equity Price Data'!F350-'Equity Price Data'!F349)/'Equity Price Data'!F349</f>
        <v>0.002409213291</v>
      </c>
      <c r="L348" s="1"/>
      <c r="M348" s="1"/>
      <c r="N348" s="1"/>
      <c r="O348" s="1"/>
    </row>
    <row r="349">
      <c r="A349" s="43">
        <f>Sheet11!A349</f>
        <v>45932.66667</v>
      </c>
      <c r="B349" s="44">
        <f t="shared" si="2"/>
        <v>45961</v>
      </c>
      <c r="C349" s="4">
        <f>('Equity Price Data'!B351-'Equity Price Data'!B350)/'Equity Price Data'!B350</f>
        <v>0.002475277451</v>
      </c>
      <c r="D349" s="4">
        <f t="shared" si="3"/>
        <v>0.002276864752</v>
      </c>
      <c r="E349" s="4">
        <f>('Equity Price Data'!C351-'Equity Price Data'!C350)/'Equity Price Data'!C350</f>
        <v>0.0006183692931</v>
      </c>
      <c r="F349" s="4">
        <f>('Equity Price Data'!D351-'Equity Price Data'!D350)/'Equity Price Data'!D350</f>
        <v>0.003906366732</v>
      </c>
      <c r="G349" s="4">
        <f>('Equity Price Data'!E351-'Equity Price Data'!E350)/'Equity Price Data'!E350</f>
        <v>0.001692897024</v>
      </c>
      <c r="H349" s="4">
        <f>('Equity Price Data'!F351-'Equity Price Data'!F350)/'Equity Price Data'!F350</f>
        <v>0.006608389461</v>
      </c>
      <c r="L349" s="1"/>
      <c r="M349" s="1"/>
      <c r="N349" s="1"/>
      <c r="O349" s="1"/>
    </row>
    <row r="350">
      <c r="A350" s="43">
        <f>Sheet11!A350</f>
        <v>45933.66667</v>
      </c>
      <c r="B350" s="44">
        <f t="shared" si="2"/>
        <v>45961</v>
      </c>
      <c r="C350" s="4">
        <f>('Equity Price Data'!B352-'Equity Price Data'!B351)/'Equity Price Data'!B351</f>
        <v>0.005192083917</v>
      </c>
      <c r="D350" s="4">
        <f t="shared" si="3"/>
        <v>0.004993671218</v>
      </c>
      <c r="E350" s="4">
        <f>('Equity Price Data'!C352-'Equity Price Data'!C351)/'Equity Price Data'!C351</f>
        <v>0.00006552152903</v>
      </c>
      <c r="F350" s="4">
        <f>('Equity Price Data'!D352-'Equity Price Data'!D351)/'Equity Price Data'!D351</f>
        <v>-0.00278146826</v>
      </c>
      <c r="G350" s="4">
        <f>('Equity Price Data'!E352-'Equity Price Data'!E351)/'Equity Price Data'!E351</f>
        <v>0.005128147805</v>
      </c>
      <c r="H350" s="4">
        <f>('Equity Price Data'!F352-'Equity Price Data'!F351)/'Equity Price Data'!F351</f>
        <v>0.007195473644</v>
      </c>
      <c r="L350" s="1"/>
      <c r="M350" s="1"/>
      <c r="N350" s="1"/>
      <c r="O350" s="1"/>
    </row>
    <row r="351">
      <c r="A351" s="43">
        <f>Sheet11!A351</f>
        <v>45936.66667</v>
      </c>
      <c r="B351" s="44">
        <f t="shared" si="2"/>
        <v>45961</v>
      </c>
      <c r="C351" s="4">
        <f>('Equity Price Data'!B353-'Equity Price Data'!B352)/'Equity Price Data'!B352</f>
        <v>0.00126917382</v>
      </c>
      <c r="D351" s="4">
        <f t="shared" si="3"/>
        <v>0.001070761122</v>
      </c>
      <c r="E351" s="4">
        <f>('Equity Price Data'!C353-'Equity Price Data'!C352)/'Equity Price Data'!C352</f>
        <v>0.003646629808</v>
      </c>
      <c r="F351" s="4">
        <f>('Equity Price Data'!D353-'Equity Price Data'!D352)/'Equity Price Data'!D352</f>
        <v>0.007074468482</v>
      </c>
      <c r="G351" s="4">
        <f>('Equity Price Data'!E353-'Equity Price Data'!E352)/'Equity Price Data'!E352</f>
        <v>-0.001353984792</v>
      </c>
      <c r="H351" s="4">
        <f>('Equity Price Data'!F353-'Equity Price Data'!F352)/'Equity Price Data'!F352</f>
        <v>0.004107132761</v>
      </c>
      <c r="L351" s="1"/>
      <c r="M351" s="1"/>
      <c r="N351" s="1"/>
      <c r="O351" s="1"/>
    </row>
    <row r="352">
      <c r="A352" s="43">
        <f>Sheet11!A352</f>
        <v>45937.66667</v>
      </c>
      <c r="B352" s="44">
        <f t="shared" si="2"/>
        <v>45961</v>
      </c>
      <c r="C352" s="4">
        <f>('Equity Price Data'!B354-'Equity Price Data'!B353)/'Equity Price Data'!B353</f>
        <v>-0.001027204258</v>
      </c>
      <c r="D352" s="4">
        <f t="shared" si="3"/>
        <v>-0.001225616956</v>
      </c>
      <c r="E352" s="4">
        <f>('Equity Price Data'!C354-'Equity Price Data'!C353)/'Equity Price Data'!C353</f>
        <v>-0.003811414363</v>
      </c>
      <c r="F352" s="4">
        <f>('Equity Price Data'!D354-'Equity Price Data'!D353)/'Equity Price Data'!D353</f>
        <v>-0.006682599828</v>
      </c>
      <c r="G352" s="4">
        <f>('Equity Price Data'!E354-'Equity Price Data'!E353)/'Equity Price Data'!E353</f>
        <v>-0.001970019469</v>
      </c>
      <c r="H352" s="4">
        <f>('Equity Price Data'!F354-'Equity Price Data'!F353)/'Equity Price Data'!F353</f>
        <v>-0.011233334</v>
      </c>
      <c r="L352" s="1"/>
      <c r="M352" s="1"/>
      <c r="N352" s="1"/>
      <c r="O352" s="1"/>
    </row>
    <row r="353">
      <c r="A353" s="43">
        <f>Sheet11!A353</f>
        <v>45938.66667</v>
      </c>
      <c r="B353" s="44">
        <f t="shared" si="2"/>
        <v>45961</v>
      </c>
      <c r="C353" s="4">
        <f>('Equity Price Data'!B355-'Equity Price Data'!B354)/'Equity Price Data'!B354</f>
        <v>0.002625492773</v>
      </c>
      <c r="D353" s="4">
        <f t="shared" si="3"/>
        <v>0.002427080075</v>
      </c>
      <c r="E353" s="4">
        <f>('Equity Price Data'!C355-'Equity Price Data'!C354)/'Equity Price Data'!C354</f>
        <v>0.005827608238</v>
      </c>
      <c r="F353" s="4">
        <f>('Equity Price Data'!D355-'Equity Price Data'!D354)/'Equity Price Data'!D354</f>
        <v>0.01119080092</v>
      </c>
      <c r="G353" s="4">
        <f>('Equity Price Data'!E355-'Equity Price Data'!E354)/'Equity Price Data'!E354</f>
        <v>-0.00002574942632</v>
      </c>
      <c r="H353" s="4">
        <f>('Equity Price Data'!F355-'Equity Price Data'!F354)/'Equity Price Data'!F354</f>
        <v>0.01040098925</v>
      </c>
      <c r="L353" s="1"/>
      <c r="M353" s="1"/>
      <c r="N353" s="1"/>
      <c r="O353" s="1"/>
    </row>
    <row r="354">
      <c r="A354" s="43">
        <f>Sheet11!A354</f>
        <v>45939.66667</v>
      </c>
      <c r="B354" s="44">
        <f t="shared" si="2"/>
        <v>45961</v>
      </c>
      <c r="C354" s="4">
        <f>('Equity Price Data'!B356-'Equity Price Data'!B355)/'Equity Price Data'!B355</f>
        <v>-0.007083634063</v>
      </c>
      <c r="D354" s="4">
        <f t="shared" si="3"/>
        <v>-0.007282046761</v>
      </c>
      <c r="E354" s="4">
        <f>('Equity Price Data'!C356-'Equity Price Data'!C355)/'Equity Price Data'!C355</f>
        <v>-0.00275551844</v>
      </c>
      <c r="F354" s="4">
        <f>('Equity Price Data'!D356-'Equity Price Data'!D355)/'Equity Price Data'!D355</f>
        <v>-0.0008136827149</v>
      </c>
      <c r="G354" s="4">
        <f>('Equity Price Data'!E356-'Equity Price Data'!E355)/'Equity Price Data'!E355</f>
        <v>-0.005222118125</v>
      </c>
      <c r="H354" s="4">
        <f>('Equity Price Data'!F356-'Equity Price Data'!F355)/'Equity Price Data'!F355</f>
        <v>-0.006095032589</v>
      </c>
      <c r="L354" s="1"/>
      <c r="M354" s="1"/>
      <c r="N354" s="1"/>
      <c r="O354" s="1"/>
    </row>
    <row r="355">
      <c r="A355" s="43">
        <f>Sheet11!A355</f>
        <v>45940.66667</v>
      </c>
      <c r="B355" s="44">
        <f t="shared" si="2"/>
        <v>45961</v>
      </c>
      <c r="C355" s="4">
        <f>('Equity Price Data'!B357-'Equity Price Data'!B356)/'Equity Price Data'!B356</f>
        <v>-0.01800957586</v>
      </c>
      <c r="D355" s="4">
        <f t="shared" si="3"/>
        <v>-0.01820798856</v>
      </c>
      <c r="E355" s="4">
        <f>('Equity Price Data'!C357-'Equity Price Data'!C356)/'Equity Price Data'!C356</f>
        <v>-0.02711165816</v>
      </c>
      <c r="F355" s="4">
        <f>('Equity Price Data'!D357-'Equity Price Data'!D356)/'Equity Price Data'!D356</f>
        <v>-0.03562272228</v>
      </c>
      <c r="G355" s="4">
        <f>('Equity Price Data'!E357-'Equity Price Data'!E356)/'Equity Price Data'!E356</f>
        <v>-0.01895707403</v>
      </c>
      <c r="H355" s="4">
        <f>('Equity Price Data'!F357-'Equity Price Data'!F356)/'Equity Price Data'!F356</f>
        <v>-0.03007878162</v>
      </c>
      <c r="L355" s="1"/>
      <c r="M355" s="1"/>
      <c r="N355" s="1"/>
      <c r="O355" s="1"/>
    </row>
    <row r="356">
      <c r="A356" s="43">
        <f>Sheet11!A356</f>
        <v>45943.66667</v>
      </c>
      <c r="B356" s="44">
        <f t="shared" si="2"/>
        <v>45961</v>
      </c>
      <c r="C356" s="4">
        <f>('Equity Price Data'!B358-'Equity Price Data'!B357)/'Equity Price Data'!B357</f>
        <v>0.01269434621</v>
      </c>
      <c r="D356" s="4">
        <f t="shared" si="3"/>
        <v>0.01249593351</v>
      </c>
      <c r="E356" s="4">
        <f>('Equity Price Data'!C358-'Equity Price Data'!C357)/'Equity Price Data'!C357</f>
        <v>0.01559860267</v>
      </c>
      <c r="F356" s="4">
        <f>('Equity Price Data'!D358-'Equity Price Data'!D357)/'Equity Price Data'!D357</f>
        <v>0.02207577497</v>
      </c>
      <c r="G356" s="4">
        <f>('Equity Price Data'!E358-'Equity Price Data'!E357)/'Equity Price Data'!E357</f>
        <v>0.01292843385</v>
      </c>
      <c r="H356" s="4">
        <f>('Equity Price Data'!F358-'Equity Price Data'!F357)/'Equity Price Data'!F357</f>
        <v>0.02790874429</v>
      </c>
      <c r="L356" s="1"/>
      <c r="M356" s="1"/>
      <c r="N356" s="1"/>
      <c r="O356" s="1"/>
    </row>
    <row r="357">
      <c r="A357" s="43">
        <f>Sheet11!A357</f>
        <v>45944.66667</v>
      </c>
      <c r="B357" s="44">
        <f t="shared" si="2"/>
        <v>45961</v>
      </c>
      <c r="C357" s="4">
        <f>('Equity Price Data'!B359-'Equity Price Data'!B358)/'Equity Price Data'!B358</f>
        <v>0.005493423586</v>
      </c>
      <c r="D357" s="4">
        <f t="shared" si="3"/>
        <v>0.005295010887</v>
      </c>
      <c r="E357" s="4">
        <f>('Equity Price Data'!C359-'Equity Price Data'!C358)/'Equity Price Data'!C358</f>
        <v>-0.001564303231</v>
      </c>
      <c r="F357" s="4">
        <f>('Equity Price Data'!D359-'Equity Price Data'!D358)/'Equity Price Data'!D358</f>
        <v>-0.007618989707</v>
      </c>
      <c r="G357" s="4">
        <f>('Equity Price Data'!E359-'Equity Price Data'!E358)/'Equity Price Data'!E358</f>
        <v>0.004403964784</v>
      </c>
      <c r="H357" s="4">
        <f>('Equity Price Data'!F359-'Equity Price Data'!F358)/'Equity Price Data'!F358</f>
        <v>0.01384566632</v>
      </c>
      <c r="L357" s="1"/>
      <c r="M357" s="1"/>
      <c r="N357" s="1"/>
      <c r="O357" s="1"/>
    </row>
    <row r="358">
      <c r="A358" s="43">
        <f>Sheet11!A358</f>
        <v>45945.66667</v>
      </c>
      <c r="B358" s="44">
        <f t="shared" si="2"/>
        <v>45961</v>
      </c>
      <c r="C358" s="4">
        <f>('Equity Price Data'!B360-'Equity Price Data'!B359)/'Equity Price Data'!B359</f>
        <v>-0.0005987212532</v>
      </c>
      <c r="D358" s="4">
        <f t="shared" si="3"/>
        <v>-0.0007971339516</v>
      </c>
      <c r="E358" s="4">
        <f>('Equity Price Data'!C360-'Equity Price Data'!C359)/'Equity Price Data'!C359</f>
        <v>0.004026001195</v>
      </c>
      <c r="F358" s="4">
        <f>('Equity Price Data'!D360-'Equity Price Data'!D359)/'Equity Price Data'!D359</f>
        <v>0.006588312605</v>
      </c>
      <c r="G358" s="4">
        <f>('Equity Price Data'!E360-'Equity Price Data'!E359)/'Equity Price Data'!E359</f>
        <v>-0.0003706468447</v>
      </c>
      <c r="H358" s="4">
        <f>('Equity Price Data'!F360-'Equity Price Data'!F359)/'Equity Price Data'!F359</f>
        <v>0.009717491485</v>
      </c>
      <c r="L358" s="1"/>
      <c r="M358" s="1"/>
      <c r="N358" s="1"/>
      <c r="O358" s="1"/>
    </row>
    <row r="359">
      <c r="A359" s="43">
        <f>Sheet11!A359</f>
        <v>45946.66667</v>
      </c>
      <c r="B359" s="44">
        <f t="shared" si="2"/>
        <v>45961</v>
      </c>
      <c r="C359" s="4">
        <f>('Equity Price Data'!B361-'Equity Price Data'!B360)/'Equity Price Data'!B360</f>
        <v>-0.00727820315</v>
      </c>
      <c r="D359" s="4">
        <f t="shared" si="3"/>
        <v>-0.007476615849</v>
      </c>
      <c r="E359" s="4">
        <f>('Equity Price Data'!C361-'Equity Price Data'!C360)/'Equity Price Data'!C360</f>
        <v>-0.006294352022</v>
      </c>
      <c r="F359" s="4">
        <f>('Equity Price Data'!D361-'Equity Price Data'!D360)/'Equity Price Data'!D360</f>
        <v>-0.00474369742</v>
      </c>
      <c r="G359" s="4">
        <f>('Equity Price Data'!E361-'Equity Price Data'!E360)/'Equity Price Data'!E360</f>
        <v>-0.006509155777</v>
      </c>
      <c r="H359" s="4">
        <f>('Equity Price Data'!F361-'Equity Price Data'!F360)/'Equity Price Data'!F360</f>
        <v>-0.02093064788</v>
      </c>
      <c r="L359" s="1"/>
      <c r="M359" s="1"/>
      <c r="N359" s="1"/>
      <c r="O359" s="1"/>
    </row>
    <row r="360">
      <c r="A360" s="43">
        <f>Sheet11!A360</f>
        <v>45947.66667</v>
      </c>
      <c r="B360" s="44">
        <f t="shared" si="2"/>
        <v>45961</v>
      </c>
      <c r="C360" s="4">
        <f>('Equity Price Data'!B362-'Equity Price Data'!B361)/'Equity Price Data'!B361</f>
        <v>0.002767241889</v>
      </c>
      <c r="D360" s="4">
        <f t="shared" si="3"/>
        <v>0.002568829191</v>
      </c>
      <c r="E360" s="4">
        <f>('Equity Price Data'!C362-'Equity Price Data'!C361)/'Equity Price Data'!C361</f>
        <v>0.005270724249</v>
      </c>
      <c r="F360" s="4">
        <f>('Equity Price Data'!D362-'Equity Price Data'!D361)/'Equity Price Data'!D361</f>
        <v>0.005205087725</v>
      </c>
      <c r="G360" s="4">
        <f>('Equity Price Data'!E362-'Equity Price Data'!E361)/'Equity Price Data'!E361</f>
        <v>0.005187342336</v>
      </c>
      <c r="H360" s="4">
        <f>('Equity Price Data'!F362-'Equity Price Data'!F361)/'Equity Price Data'!F361</f>
        <v>-0.00601537894</v>
      </c>
      <c r="L360" s="1"/>
      <c r="M360" s="1"/>
      <c r="N360" s="1"/>
      <c r="O360" s="1"/>
    </row>
    <row r="361">
      <c r="A361" s="43">
        <f>Sheet11!A361</f>
        <v>45950.66667</v>
      </c>
      <c r="B361" s="44">
        <f t="shared" si="2"/>
        <v>45961</v>
      </c>
      <c r="C361" s="4">
        <f>('Equity Price Data'!B363-'Equity Price Data'!B362)/'Equity Price Data'!B362</f>
        <v>0.03462727966</v>
      </c>
      <c r="D361" s="4">
        <f t="shared" si="3"/>
        <v>0.03442886697</v>
      </c>
      <c r="E361" s="4">
        <f>('Equity Price Data'!C363-'Equity Price Data'!C362)/'Equity Price Data'!C362</f>
        <v>0.01067225289</v>
      </c>
      <c r="F361" s="4">
        <f>('Equity Price Data'!D363-'Equity Price Data'!D362)/'Equity Price Data'!D362</f>
        <v>0.01369313377</v>
      </c>
      <c r="G361" s="4">
        <f>('Equity Price Data'!E363-'Equity Price Data'!E362)/'Equity Price Data'!E362</f>
        <v>0.01117045218</v>
      </c>
      <c r="H361" s="4">
        <f>('Equity Price Data'!F363-'Equity Price Data'!F362)/'Equity Price Data'!F362</f>
        <v>0.01946847078</v>
      </c>
      <c r="L361" s="1"/>
      <c r="M361" s="1"/>
      <c r="N361" s="1"/>
      <c r="O361" s="1"/>
    </row>
    <row r="362">
      <c r="A362" s="43">
        <f>Sheet11!A362</f>
        <v>45951.66667</v>
      </c>
      <c r="B362" s="44">
        <f t="shared" si="2"/>
        <v>45961</v>
      </c>
      <c r="C362" s="4">
        <f>('Equity Price Data'!B364-'Equity Price Data'!B363)/'Equity Price Data'!B363</f>
        <v>-0.001232456223</v>
      </c>
      <c r="D362" s="4">
        <f t="shared" si="3"/>
        <v>-0.001430868921</v>
      </c>
      <c r="E362" s="4">
        <f>('Equity Price Data'!C364-'Equity Price Data'!C363)/'Equity Price Data'!C363</f>
        <v>0.00003266455139</v>
      </c>
      <c r="F362" s="4">
        <f>('Equity Price Data'!D364-'Equity Price Data'!D363)/'Equity Price Data'!D363</f>
        <v>-0.001603703088</v>
      </c>
      <c r="G362" s="4">
        <f>('Equity Price Data'!E364-'Equity Price Data'!E363)/'Equity Price Data'!E363</f>
        <v>0.004670862221</v>
      </c>
      <c r="H362" s="4">
        <f>('Equity Price Data'!F364-'Equity Price Data'!F363)/'Equity Price Data'!F363</f>
        <v>-0.004888175974</v>
      </c>
      <c r="L362" s="1"/>
      <c r="M362" s="1"/>
      <c r="N362" s="1"/>
      <c r="O362" s="1"/>
    </row>
    <row r="363">
      <c r="A363" s="43">
        <f>Sheet11!A363</f>
        <v>45952.66667</v>
      </c>
      <c r="B363" s="44">
        <f t="shared" si="2"/>
        <v>45961</v>
      </c>
      <c r="C363" s="4">
        <f>('Equity Price Data'!B365-'Equity Price Data'!B364)/'Equity Price Data'!B364</f>
        <v>-0.003618424932</v>
      </c>
      <c r="D363" s="4">
        <f t="shared" si="3"/>
        <v>-0.00381683763</v>
      </c>
      <c r="E363" s="4">
        <f>('Equity Price Data'!C365-'Equity Price Data'!C364)/'Equity Price Data'!C364</f>
        <v>-0.0053375103</v>
      </c>
      <c r="F363" s="4">
        <f>('Equity Price Data'!D365-'Equity Price Data'!D364)/'Equity Price Data'!D364</f>
        <v>-0.009291324655</v>
      </c>
      <c r="G363" s="4">
        <f>('Equity Price Data'!E365-'Equity Price Data'!E364)/'Equity Price Data'!E364</f>
        <v>-0.007124813052</v>
      </c>
      <c r="H363" s="4">
        <f>('Equity Price Data'!F365-'Equity Price Data'!F364)/'Equity Price Data'!F364</f>
        <v>-0.01452753358</v>
      </c>
      <c r="L363" s="1"/>
      <c r="M363" s="1"/>
      <c r="N363" s="1"/>
      <c r="O363" s="1"/>
    </row>
    <row r="364">
      <c r="A364" s="43">
        <f>Sheet11!A364</f>
        <v>45953.66667</v>
      </c>
      <c r="B364" s="44">
        <f t="shared" si="2"/>
        <v>45961</v>
      </c>
      <c r="C364" s="4">
        <f>('Equity Price Data'!B366-'Equity Price Data'!B365)/'Equity Price Data'!B365</f>
        <v>0.00453611719</v>
      </c>
      <c r="D364" s="4">
        <f t="shared" si="3"/>
        <v>0.004337704491</v>
      </c>
      <c r="E364" s="4">
        <f>('Equity Price Data'!C366-'Equity Price Data'!C365)/'Equity Price Data'!C365</f>
        <v>0.005827387527</v>
      </c>
      <c r="F364" s="4">
        <f>('Equity Price Data'!D366-'Equity Price Data'!D365)/'Equity Price Data'!D365</f>
        <v>0.008856484495</v>
      </c>
      <c r="G364" s="4">
        <f>('Equity Price Data'!E366-'Equity Price Data'!E365)/'Equity Price Data'!E365</f>
        <v>0.003095057545</v>
      </c>
      <c r="H364" s="4">
        <f>('Equity Price Data'!F366-'Equity Price Data'!F365)/'Equity Price Data'!F365</f>
        <v>0.01268993086</v>
      </c>
      <c r="L364" s="1"/>
      <c r="M364" s="1"/>
      <c r="N364" s="1"/>
      <c r="O364" s="1"/>
    </row>
    <row r="365">
      <c r="A365" s="43">
        <f>Sheet11!A365</f>
        <v>45954.66667</v>
      </c>
      <c r="B365" s="44">
        <f t="shared" si="2"/>
        <v>45961</v>
      </c>
      <c r="C365" s="4">
        <f>('Equity Price Data'!B367-'Equity Price Data'!B366)/'Equity Price Data'!B366</f>
        <v>0.005952173122</v>
      </c>
      <c r="D365" s="4">
        <f t="shared" si="3"/>
        <v>0.005753760424</v>
      </c>
      <c r="E365" s="4">
        <f>('Equity Price Data'!C367-'Equity Price Data'!C366)/'Equity Price Data'!C366</f>
        <v>0.007902422519</v>
      </c>
      <c r="F365" s="4">
        <f>('Equity Price Data'!D367-'Equity Price Data'!D366)/'Equity Price Data'!D366</f>
        <v>0.01146684218</v>
      </c>
      <c r="G365" s="4">
        <f>('Equity Price Data'!E367-'Equity Price Data'!E366)/'Equity Price Data'!E366</f>
        <v>0.01011049413</v>
      </c>
      <c r="H365" s="4">
        <f>('Equity Price Data'!F367-'Equity Price Data'!F366)/'Equity Price Data'!F366</f>
        <v>0.01241007629</v>
      </c>
      <c r="L365" s="1"/>
      <c r="M365" s="1"/>
      <c r="N365" s="1"/>
      <c r="O365" s="1"/>
    </row>
    <row r="366">
      <c r="A366" s="43">
        <f>Sheet11!A366</f>
        <v>45957.66667</v>
      </c>
      <c r="B366" s="44">
        <f t="shared" si="2"/>
        <v>45961</v>
      </c>
      <c r="C366" s="4">
        <f>('Equity Price Data'!B368-'Equity Price Data'!B367)/'Equity Price Data'!B367</f>
        <v>0.006888254683</v>
      </c>
      <c r="D366" s="4">
        <f t="shared" si="3"/>
        <v>0.006689841985</v>
      </c>
      <c r="E366" s="4">
        <f>('Equity Price Data'!C368-'Equity Price Data'!C367)/'Equity Price Data'!C367</f>
        <v>0.01229001913</v>
      </c>
      <c r="F366" s="4">
        <f>('Equity Price Data'!D368-'Equity Price Data'!D367)/'Equity Price Data'!D367</f>
        <v>0.01864220743</v>
      </c>
      <c r="G366" s="4">
        <f>('Equity Price Data'!E368-'Equity Price Data'!E367)/'Equity Price Data'!E367</f>
        <v>0.007148709771</v>
      </c>
      <c r="H366" s="4">
        <f>('Equity Price Data'!F368-'Equity Price Data'!F367)/'Equity Price Data'!F367</f>
        <v>0.002773058759</v>
      </c>
      <c r="L366" s="1"/>
      <c r="M366" s="1"/>
      <c r="N366" s="1"/>
      <c r="O366" s="1"/>
    </row>
    <row r="367">
      <c r="A367" s="43">
        <f>Sheet11!A367</f>
        <v>45958.66667</v>
      </c>
      <c r="B367" s="44">
        <f t="shared" si="2"/>
        <v>45961</v>
      </c>
      <c r="C367" s="4">
        <f>('Equity Price Data'!B369-'Equity Price Data'!B368)/'Equity Price Data'!B368</f>
        <v>0.004832870189</v>
      </c>
      <c r="D367" s="4">
        <f t="shared" si="3"/>
        <v>0.00463445749</v>
      </c>
      <c r="E367" s="4">
        <f>('Equity Price Data'!C369-'Equity Price Data'!C368)/'Equity Price Data'!C368</f>
        <v>0.002287946753</v>
      </c>
      <c r="F367" s="4">
        <f>('Equity Price Data'!D369-'Equity Price Data'!D368)/'Equity Price Data'!D368</f>
        <v>0.008039357867</v>
      </c>
      <c r="G367" s="4">
        <f>('Equity Price Data'!E369-'Equity Price Data'!E368)/'Equity Price Data'!E368</f>
        <v>0.003402700497</v>
      </c>
      <c r="H367" s="4">
        <f>('Equity Price Data'!F369-'Equity Price Data'!F368)/'Equity Price Data'!F368</f>
        <v>-0.005471266922</v>
      </c>
      <c r="L367" s="1"/>
      <c r="M367" s="1"/>
      <c r="N367" s="1"/>
      <c r="O367" s="1"/>
    </row>
    <row r="368">
      <c r="A368" s="43">
        <f>Sheet11!A368</f>
        <v>45959.66667</v>
      </c>
      <c r="B368" s="44">
        <f t="shared" si="2"/>
        <v>45961</v>
      </c>
      <c r="C368" s="4">
        <f>('Equity Price Data'!B370-'Equity Price Data'!B369)/'Equity Price Data'!B369</f>
        <v>0.003010675835</v>
      </c>
      <c r="D368" s="4">
        <f t="shared" si="3"/>
        <v>0.002812263137</v>
      </c>
      <c r="E368" s="4">
        <f>('Equity Price Data'!C370-'Equity Price Data'!C369)/'Equity Price Data'!C369</f>
        <v>-0.00004353574067</v>
      </c>
      <c r="F368" s="4">
        <f>('Equity Price Data'!D370-'Equity Price Data'!D369)/'Equity Price Data'!D369</f>
        <v>0.005497012065</v>
      </c>
      <c r="G368" s="4">
        <f>('Equity Price Data'!E370-'Equity Price Data'!E369)/'Equity Price Data'!E369</f>
        <v>-0.001558911315</v>
      </c>
      <c r="H368" s="4">
        <f>('Equity Price Data'!F370-'Equity Price Data'!F369)/'Equity Price Data'!F369</f>
        <v>-0.008712823888</v>
      </c>
      <c r="L368" s="1"/>
      <c r="M368" s="1"/>
      <c r="N368" s="1"/>
      <c r="O368" s="1"/>
    </row>
    <row r="369">
      <c r="A369" s="43">
        <f>Sheet11!A369</f>
        <v>45960.66667</v>
      </c>
      <c r="B369" s="44">
        <f t="shared" si="2"/>
        <v>45961</v>
      </c>
      <c r="C369" s="4">
        <f>('Equity Price Data'!B371-'Equity Price Data'!B370)/'Equity Price Data'!B370</f>
        <v>0.001188937191</v>
      </c>
      <c r="D369" s="4">
        <f t="shared" si="3"/>
        <v>0.0009905244923</v>
      </c>
      <c r="E369" s="4">
        <f>('Equity Price Data'!C371-'Equity Price Data'!C370)/'Equity Price Data'!C370</f>
        <v>-0.009904812215</v>
      </c>
      <c r="F369" s="4">
        <f>('Equity Price Data'!D371-'Equity Price Data'!D370)/'Equity Price Data'!D370</f>
        <v>-0.01574933625</v>
      </c>
      <c r="G369" s="4">
        <f>('Equity Price Data'!E371-'Equity Price Data'!E370)/'Equity Price Data'!E370</f>
        <v>-0.002306852536</v>
      </c>
      <c r="H369" s="4">
        <f>('Equity Price Data'!F371-'Equity Price Data'!F370)/'Equity Price Data'!F370</f>
        <v>-0.007590117554</v>
      </c>
      <c r="L369" s="1"/>
      <c r="M369" s="1"/>
      <c r="N369" s="1"/>
      <c r="O369" s="1"/>
    </row>
    <row r="370">
      <c r="A370" s="43">
        <f>Sheet11!A370</f>
        <v>45961.66667</v>
      </c>
      <c r="B370" s="44">
        <f t="shared" si="2"/>
        <v>45961</v>
      </c>
      <c r="C370" s="4">
        <f>('Equity Price Data'!B372-'Equity Price Data'!B371)/'Equity Price Data'!B371</f>
        <v>0.00245815766</v>
      </c>
      <c r="D370" s="4">
        <f t="shared" si="3"/>
        <v>0.002259744962</v>
      </c>
      <c r="E370" s="4">
        <f>('Equity Price Data'!C372-'Equity Price Data'!C371)/'Equity Price Data'!C371</f>
        <v>0.002617870115</v>
      </c>
      <c r="F370" s="4">
        <f>('Equity Price Data'!D372-'Equity Price Data'!D371)/'Equity Price Data'!D371</f>
        <v>0.006098941781</v>
      </c>
      <c r="G370" s="4">
        <f>('Equity Price Data'!E372-'Equity Price Data'!E371)/'Equity Price Data'!E371</f>
        <v>0.0008574954148</v>
      </c>
      <c r="H370" s="4">
        <f>('Equity Price Data'!F372-'Equity Price Data'!F371)/'Equity Price Data'!F371</f>
        <v>0.00544617693</v>
      </c>
      <c r="L370" s="1"/>
      <c r="M370" s="1"/>
      <c r="N370" s="1"/>
      <c r="O370" s="1"/>
    </row>
    <row r="371">
      <c r="A371" s="43">
        <f>Sheet11!A371</f>
        <v>45964.66667</v>
      </c>
      <c r="B371" s="44">
        <f t="shared" si="2"/>
        <v>45991</v>
      </c>
      <c r="C371" s="4">
        <f>('Equity Price Data'!B373-'Equity Price Data'!B372)/'Equity Price Data'!B372</f>
        <v>-0.002206423251</v>
      </c>
      <c r="D371" s="4">
        <f t="shared" si="3"/>
        <v>-0.00240483595</v>
      </c>
      <c r="E371" s="4">
        <f>('Equity Price Data'!C373-'Equity Price Data'!C372)/'Equity Price Data'!C372</f>
        <v>0.001720709921</v>
      </c>
      <c r="F371" s="4">
        <f>('Equity Price Data'!D373-'Equity Price Data'!D372)/'Equity Price Data'!D372</f>
        <v>0.004626351319</v>
      </c>
      <c r="G371" s="4">
        <f>('Equity Price Data'!E373-'Equity Price Data'!E372)/'Equity Price Data'!E372</f>
        <v>-0.004755600324</v>
      </c>
      <c r="H371" s="4">
        <f>('Equity Price Data'!F373-'Equity Price Data'!F372)/'Equity Price Data'!F372</f>
        <v>-0.003283078834</v>
      </c>
      <c r="L371" s="1"/>
      <c r="M371" s="1"/>
      <c r="N371" s="1"/>
      <c r="O371" s="1"/>
    </row>
    <row r="372">
      <c r="A372" s="43">
        <f>Sheet11!A372</f>
        <v>45965.66667</v>
      </c>
      <c r="B372" s="44">
        <f t="shared" si="2"/>
        <v>45991</v>
      </c>
      <c r="C372" s="4">
        <f>('Equity Price Data'!B374-'Equity Price Data'!B373)/'Equity Price Data'!B373</f>
        <v>-0.007563402593</v>
      </c>
      <c r="D372" s="4">
        <f t="shared" si="3"/>
        <v>-0.007761815292</v>
      </c>
      <c r="E372" s="4">
        <f>('Equity Price Data'!C374-'Equity Price Data'!C373)/'Equity Price Data'!C373</f>
        <v>-0.01173677059</v>
      </c>
      <c r="F372" s="4">
        <f>('Equity Price Data'!D374-'Equity Price Data'!D373)/'Equity Price Data'!D373</f>
        <v>-0.02039377849</v>
      </c>
      <c r="G372" s="4">
        <f>('Equity Price Data'!E374-'Equity Price Data'!E373)/'Equity Price Data'!E373</f>
        <v>-0.005311737114</v>
      </c>
      <c r="H372" s="4">
        <f>('Equity Price Data'!F374-'Equity Price Data'!F373)/'Equity Price Data'!F373</f>
        <v>-0.01776436121</v>
      </c>
      <c r="L372" s="1"/>
      <c r="M372" s="1"/>
      <c r="N372" s="1"/>
      <c r="O372" s="1"/>
    </row>
    <row r="373">
      <c r="A373" s="43">
        <f>Sheet11!A373</f>
        <v>45966.66667</v>
      </c>
      <c r="B373" s="44">
        <f t="shared" si="2"/>
        <v>45991</v>
      </c>
      <c r="C373" s="4">
        <f>('Equity Price Data'!B375-'Equity Price Data'!B374)/'Equity Price Data'!B374</f>
        <v>0.00167586398</v>
      </c>
      <c r="D373" s="4">
        <f t="shared" si="3"/>
        <v>0.001477451281</v>
      </c>
      <c r="E373" s="4">
        <f>('Equity Price Data'!C375-'Equity Price Data'!C374)/'Equity Price Data'!C374</f>
        <v>0.003653520981</v>
      </c>
      <c r="F373" s="4">
        <f>('Equity Price Data'!D375-'Equity Price Data'!D374)/'Equity Price Data'!D374</f>
        <v>0.006474038745</v>
      </c>
      <c r="G373" s="4">
        <f>('Equity Price Data'!E375-'Equity Price Data'!E374)/'Equity Price Data'!E374</f>
        <v>0.00479470849</v>
      </c>
      <c r="H373" s="4">
        <f>('Equity Price Data'!F375-'Equity Price Data'!F374)/'Equity Price Data'!F374</f>
        <v>0.01542429161</v>
      </c>
      <c r="L373" s="1"/>
      <c r="M373" s="1"/>
      <c r="N373" s="1"/>
      <c r="O373" s="1"/>
    </row>
    <row r="374">
      <c r="A374" s="43">
        <f>Sheet11!A374</f>
        <v>45967.66667</v>
      </c>
      <c r="B374" s="44">
        <f t="shared" si="2"/>
        <v>45991</v>
      </c>
      <c r="C374" s="4">
        <f>('Equity Price Data'!B376-'Equity Price Data'!B375)/'Equity Price Data'!B375</f>
        <v>-0.007260482143</v>
      </c>
      <c r="D374" s="4">
        <f t="shared" si="3"/>
        <v>-0.007458894841</v>
      </c>
      <c r="E374" s="4">
        <f>('Equity Price Data'!C376-'Equity Price Data'!C375)/'Equity Price Data'!C375</f>
        <v>-0.01117815749</v>
      </c>
      <c r="F374" s="4">
        <f>('Equity Price Data'!D376-'Equity Price Data'!D375)/'Equity Price Data'!D375</f>
        <v>-0.01897079975</v>
      </c>
      <c r="G374" s="4">
        <f>('Equity Price Data'!E376-'Equity Price Data'!E375)/'Equity Price Data'!E375</f>
        <v>-0.008427215658</v>
      </c>
      <c r="H374" s="4">
        <f>('Equity Price Data'!F376-'Equity Price Data'!F375)/'Equity Price Data'!F375</f>
        <v>-0.01864669463</v>
      </c>
      <c r="L374" s="1"/>
      <c r="M374" s="1"/>
      <c r="N374" s="1"/>
      <c r="O374" s="1"/>
    </row>
    <row r="375">
      <c r="A375" s="43">
        <f>Sheet11!A375</f>
        <v>45968.66667</v>
      </c>
      <c r="B375" s="44">
        <f t="shared" si="2"/>
        <v>45991</v>
      </c>
      <c r="C375" s="4">
        <f>('Equity Price Data'!B377-'Equity Price Data'!B376)/'Equity Price Data'!B376</f>
        <v>0.005371239154</v>
      </c>
      <c r="D375" s="4">
        <f t="shared" si="3"/>
        <v>0.005172826455</v>
      </c>
      <c r="E375" s="4">
        <f>('Equity Price Data'!C377-'Equity Price Data'!C376)/'Equity Price Data'!C376</f>
        <v>0.001261844674</v>
      </c>
      <c r="F375" s="4">
        <f>('Equity Price Data'!D377-'Equity Price Data'!D376)/'Equity Price Data'!D376</f>
        <v>-0.002144964928</v>
      </c>
      <c r="G375" s="4">
        <f>('Equity Price Data'!E377-'Equity Price Data'!E376)/'Equity Price Data'!E376</f>
        <v>0.001594464565</v>
      </c>
      <c r="H375" s="4">
        <f>('Equity Price Data'!F377-'Equity Price Data'!F376)/'Equity Price Data'!F376</f>
        <v>0.005787946189</v>
      </c>
      <c r="L375" s="1"/>
      <c r="M375" s="1"/>
      <c r="N375" s="1"/>
      <c r="O375" s="1"/>
    </row>
    <row r="376">
      <c r="A376" s="43">
        <f>Sheet11!A376</f>
        <v>45971.66667</v>
      </c>
      <c r="B376" s="44">
        <f t="shared" si="2"/>
        <v>45991</v>
      </c>
      <c r="C376" s="4">
        <f>('Equity Price Data'!B378-'Equity Price Data'!B377)/'Equity Price Data'!B377</f>
        <v>0.009939810722</v>
      </c>
      <c r="D376" s="4">
        <f t="shared" si="3"/>
        <v>0.009741398023</v>
      </c>
      <c r="E376" s="4">
        <f>('Equity Price Data'!C378-'Equity Price Data'!C377)/'Equity Price Data'!C377</f>
        <v>0.01540096302</v>
      </c>
      <c r="F376" s="4">
        <f>('Equity Price Data'!D378-'Equity Price Data'!D377)/'Equity Price Data'!D377</f>
        <v>0.02271855903</v>
      </c>
      <c r="G376" s="4">
        <f>('Equity Price Data'!E378-'Equity Price Data'!E377)/'Equity Price Data'!E377</f>
        <v>0.008119888225</v>
      </c>
      <c r="H376" s="4">
        <f>('Equity Price Data'!F378-'Equity Price Data'!F377)/'Equity Price Data'!F377</f>
        <v>0.009384171455</v>
      </c>
      <c r="L376" s="1"/>
      <c r="M376" s="1"/>
      <c r="N376" s="1"/>
      <c r="O376" s="1"/>
    </row>
    <row r="377">
      <c r="A377" s="43">
        <f>Sheet11!A377</f>
        <v>45972.66667</v>
      </c>
      <c r="B377" s="44">
        <f t="shared" si="2"/>
        <v>45991</v>
      </c>
      <c r="C377" s="4">
        <f>('Equity Price Data'!B379-'Equity Price Data'!B378)/'Equity Price Data'!B378</f>
        <v>0.006670373202</v>
      </c>
      <c r="D377" s="4">
        <f t="shared" si="3"/>
        <v>0.006471960503</v>
      </c>
      <c r="E377" s="4">
        <f>('Equity Price Data'!C379-'Equity Price Data'!C378)/'Equity Price Data'!C378</f>
        <v>0.002075396308</v>
      </c>
      <c r="F377" s="4">
        <f>('Equity Price Data'!D379-'Equity Price Data'!D378)/'Equity Price Data'!D378</f>
        <v>-0.002502213398</v>
      </c>
      <c r="G377" s="4">
        <f>('Equity Price Data'!E379-'Equity Price Data'!E378)/'Equity Price Data'!E378</f>
        <v>0.01180802569</v>
      </c>
      <c r="H377" s="4">
        <f>('Equity Price Data'!F379-'Equity Price Data'!F378)/'Equity Price Data'!F378</f>
        <v>0.001070999532</v>
      </c>
      <c r="L377" s="1"/>
      <c r="M377" s="1"/>
      <c r="N377" s="1"/>
      <c r="O377" s="1"/>
    </row>
    <row r="378">
      <c r="A378" s="43">
        <f>Sheet11!A378</f>
        <v>45973.66667</v>
      </c>
      <c r="B378" s="44">
        <f t="shared" si="2"/>
        <v>45991</v>
      </c>
      <c r="C378" s="4">
        <f>('Equity Price Data'!B380-'Equity Price Data'!B379)/'Equity Price Data'!B379</f>
        <v>0.001901014124</v>
      </c>
      <c r="D378" s="4">
        <f t="shared" si="3"/>
        <v>0.001702601425</v>
      </c>
      <c r="E378" s="4">
        <f>('Equity Price Data'!C380-'Equity Price Data'!C379)/'Equity Price Data'!C379</f>
        <v>0.0006295086181</v>
      </c>
      <c r="F378" s="4">
        <f>('Equity Price Data'!D380-'Equity Price Data'!D379)/'Equity Price Data'!D379</f>
        <v>-0.002635043868</v>
      </c>
      <c r="G378" s="4">
        <f>('Equity Price Data'!E380-'Equity Price Data'!E379)/'Equity Price Data'!E379</f>
        <v>0.006819818745</v>
      </c>
      <c r="H378" s="4">
        <f>('Equity Price Data'!F380-'Equity Price Data'!F379)/'Equity Price Data'!F379</f>
        <v>-0.003042777877</v>
      </c>
      <c r="L378" s="1"/>
      <c r="M378" s="1"/>
      <c r="N378" s="1"/>
      <c r="O378" s="1"/>
    </row>
    <row r="379">
      <c r="A379" s="43">
        <f>Sheet11!A379</f>
        <v>45974.66667</v>
      </c>
      <c r="B379" s="44">
        <f t="shared" si="2"/>
        <v>45991</v>
      </c>
      <c r="C379" s="4">
        <f>('Equity Price Data'!B381-'Equity Price Data'!B380)/'Equity Price Data'!B380</f>
        <v>-0.01527827</v>
      </c>
      <c r="D379" s="4">
        <f t="shared" si="3"/>
        <v>-0.01547668269</v>
      </c>
      <c r="E379" s="4">
        <f>('Equity Price Data'!C381-'Equity Price Data'!C380)/'Equity Price Data'!C380</f>
        <v>-0.01655690039</v>
      </c>
      <c r="F379" s="4">
        <f>('Equity Price Data'!D381-'Equity Price Data'!D380)/'Equity Price Data'!D380</f>
        <v>-0.02290393336</v>
      </c>
      <c r="G379" s="4">
        <f>('Equity Price Data'!E381-'Equity Price Data'!E380)/'Equity Price Data'!E380</f>
        <v>-0.01652891877</v>
      </c>
      <c r="H379" s="4">
        <f>('Equity Price Data'!F381-'Equity Price Data'!F380)/'Equity Price Data'!F380</f>
        <v>-0.0276725967</v>
      </c>
      <c r="L379" s="1"/>
      <c r="M379" s="1"/>
      <c r="N379" s="1"/>
      <c r="O379" s="1"/>
    </row>
    <row r="380">
      <c r="A380" s="43">
        <f>Sheet11!A380</f>
        <v>45975.66667</v>
      </c>
      <c r="B380" s="44">
        <f t="shared" si="2"/>
        <v>45991</v>
      </c>
      <c r="C380" s="4">
        <f>('Equity Price Data'!B382-'Equity Price Data'!B381)/'Equity Price Data'!B381</f>
        <v>-0.001638359472</v>
      </c>
      <c r="D380" s="4">
        <f t="shared" si="3"/>
        <v>-0.00183677217</v>
      </c>
      <c r="E380" s="4">
        <f>('Equity Price Data'!C382-'Equity Price Data'!C381)/'Equity Price Data'!C381</f>
        <v>-0.0005016705034</v>
      </c>
      <c r="F380" s="4">
        <f>('Equity Price Data'!D382-'Equity Price Data'!D381)/'Equity Price Data'!D381</f>
        <v>0.00132179817</v>
      </c>
      <c r="G380" s="4">
        <f>('Equity Price Data'!E382-'Equity Price Data'!E381)/'Equity Price Data'!E381</f>
        <v>-0.006526720276</v>
      </c>
      <c r="H380" s="4">
        <f>('Equity Price Data'!F382-'Equity Price Data'!F381)/'Equity Price Data'!F381</f>
        <v>0.00220312382</v>
      </c>
      <c r="L380" s="1"/>
      <c r="M380" s="1"/>
      <c r="N380" s="1"/>
      <c r="O380" s="1"/>
    </row>
    <row r="381">
      <c r="A381" s="43">
        <f>Sheet11!A381</f>
        <v>45978.66667</v>
      </c>
      <c r="B381" s="44">
        <f t="shared" si="2"/>
        <v>45991</v>
      </c>
      <c r="C381" s="4">
        <f>('Equity Price Data'!B383-'Equity Price Data'!B382)/'Equity Price Data'!B382</f>
        <v>-0.008828140428</v>
      </c>
      <c r="D381" s="4">
        <f t="shared" si="3"/>
        <v>-0.009026553127</v>
      </c>
      <c r="E381" s="4">
        <f>('Equity Price Data'!C383-'Equity Price Data'!C382)/'Equity Price Data'!C382</f>
        <v>-0.009162309496</v>
      </c>
      <c r="F381" s="4">
        <f>('Equity Price Data'!D383-'Equity Price Data'!D382)/'Equity Price Data'!D382</f>
        <v>-0.008406333636</v>
      </c>
      <c r="G381" s="4">
        <f>('Equity Price Data'!E383-'Equity Price Data'!E382)/'Equity Price Data'!E382</f>
        <v>-0.01181908344</v>
      </c>
      <c r="H381" s="4">
        <f>('Equity Price Data'!F383-'Equity Price Data'!F382)/'Equity Price Data'!F382</f>
        <v>-0.01961703856</v>
      </c>
      <c r="L381" s="1"/>
      <c r="M381" s="1"/>
      <c r="N381" s="1"/>
      <c r="O381" s="1"/>
    </row>
    <row r="382">
      <c r="A382" s="43">
        <f>Sheet11!A382</f>
        <v>45979.66667</v>
      </c>
      <c r="B382" s="44">
        <f t="shared" si="2"/>
        <v>45991</v>
      </c>
      <c r="C382" s="4">
        <f>('Equity Price Data'!B384-'Equity Price Data'!B383)/'Equity Price Data'!B383</f>
        <v>-0.004483315453</v>
      </c>
      <c r="D382" s="4">
        <f t="shared" si="3"/>
        <v>-0.004681728151</v>
      </c>
      <c r="E382" s="4">
        <f>('Equity Price Data'!C384-'Equity Price Data'!C383)/'Equity Price Data'!C383</f>
        <v>-0.008256387122</v>
      </c>
      <c r="F382" s="4">
        <f>('Equity Price Data'!D384-'Equity Price Data'!D383)/'Equity Price Data'!D383</f>
        <v>-0.0121203554</v>
      </c>
      <c r="G382" s="4">
        <f>('Equity Price Data'!E384-'Equity Price Data'!E383)/'Equity Price Data'!E383</f>
        <v>-0.01069966585</v>
      </c>
      <c r="H382" s="4">
        <f>('Equity Price Data'!F384-'Equity Price Data'!F383)/'Equity Price Data'!F383</f>
        <v>0.003143445319</v>
      </c>
      <c r="L382" s="1"/>
      <c r="M382" s="1"/>
      <c r="N382" s="1"/>
      <c r="O382" s="1"/>
    </row>
    <row r="383">
      <c r="A383" s="43">
        <f>Sheet11!A383</f>
        <v>45980.66667</v>
      </c>
      <c r="B383" s="44">
        <f t="shared" si="2"/>
        <v>45991</v>
      </c>
      <c r="C383" s="4">
        <f>('Equity Price Data'!B385-'Equity Price Data'!B384)/'Equity Price Data'!B384</f>
        <v>0.004087336407</v>
      </c>
      <c r="D383" s="4">
        <f t="shared" si="3"/>
        <v>0.003888923709</v>
      </c>
      <c r="E383" s="4">
        <f>('Equity Price Data'!C385-'Equity Price Data'!C384)/'Equity Price Data'!C384</f>
        <v>0.00375378552</v>
      </c>
      <c r="F383" s="4">
        <f>('Equity Price Data'!D385-'Equity Price Data'!D384)/'Equity Price Data'!D384</f>
        <v>0.005856589778</v>
      </c>
      <c r="G383" s="4">
        <f>('Equity Price Data'!E385-'Equity Price Data'!E384)/'Equity Price Data'!E384</f>
        <v>0.001020356359</v>
      </c>
      <c r="H383" s="4">
        <f>('Equity Price Data'!F385-'Equity Price Data'!F384)/'Equity Price Data'!F384</f>
        <v>-0.0003618961656</v>
      </c>
      <c r="L383" s="1"/>
      <c r="M383" s="1"/>
      <c r="N383" s="1"/>
      <c r="O383" s="1"/>
    </row>
    <row r="384">
      <c r="A384" s="43">
        <f>Sheet11!A384</f>
        <v>45981.66667</v>
      </c>
      <c r="B384" s="44">
        <f t="shared" si="2"/>
        <v>45991</v>
      </c>
      <c r="C384" s="4">
        <f>('Equity Price Data'!B386-'Equity Price Data'!B385)/'Equity Price Data'!B385</f>
        <v>-0.0140278778</v>
      </c>
      <c r="D384" s="4">
        <f t="shared" si="3"/>
        <v>-0.01422629049</v>
      </c>
      <c r="E384" s="4">
        <f>('Equity Price Data'!C386-'Equity Price Data'!C385)/'Equity Price Data'!C385</f>
        <v>-0.01556722512</v>
      </c>
      <c r="F384" s="4">
        <f>('Equity Price Data'!D386-'Equity Price Data'!D385)/'Equity Price Data'!D385</f>
        <v>-0.02154649195</v>
      </c>
      <c r="G384" s="4">
        <f>('Equity Price Data'!E386-'Equity Price Data'!E385)/'Equity Price Data'!E385</f>
        <v>-0.008377119719</v>
      </c>
      <c r="H384" s="4">
        <f>('Equity Price Data'!F386-'Equity Price Data'!F385)/'Equity Price Data'!F385</f>
        <v>-0.01822061511</v>
      </c>
      <c r="L384" s="1"/>
      <c r="M384" s="1"/>
      <c r="N384" s="1"/>
      <c r="O384" s="1"/>
    </row>
    <row r="385">
      <c r="A385" s="43">
        <f>Sheet11!A385</f>
        <v>45982.66667</v>
      </c>
      <c r="B385" s="44">
        <f t="shared" si="2"/>
        <v>45991</v>
      </c>
      <c r="C385" s="4">
        <f>('Equity Price Data'!B387-'Equity Price Data'!B386)/'Equity Price Data'!B386</f>
        <v>0.008801361965</v>
      </c>
      <c r="D385" s="4">
        <f t="shared" si="3"/>
        <v>0.008602949267</v>
      </c>
      <c r="E385" s="4">
        <f>('Equity Price Data'!C387-'Equity Price Data'!C386)/'Equity Price Data'!C386</f>
        <v>0.009822963375</v>
      </c>
      <c r="F385" s="4">
        <f>('Equity Price Data'!D387-'Equity Price Data'!D386)/'Equity Price Data'!D386</f>
        <v>0.008833660581</v>
      </c>
      <c r="G385" s="4">
        <f>('Equity Price Data'!E387-'Equity Price Data'!E386)/'Equity Price Data'!E386</f>
        <v>0.01077870252</v>
      </c>
      <c r="H385" s="4">
        <f>('Equity Price Data'!F387-'Equity Price Data'!F386)/'Equity Price Data'!F386</f>
        <v>0.02797263471</v>
      </c>
      <c r="L385" s="1"/>
      <c r="M385" s="1"/>
      <c r="N385" s="1"/>
      <c r="O385" s="1"/>
    </row>
    <row r="386">
      <c r="A386" s="43">
        <f>Sheet11!A386</f>
        <v>45985.66667</v>
      </c>
      <c r="B386" s="44">
        <f t="shared" si="2"/>
        <v>45991</v>
      </c>
      <c r="C386" s="4">
        <f>('Equity Price Data'!B388-'Equity Price Data'!B387)/'Equity Price Data'!B387</f>
        <v>0.007268996938</v>
      </c>
      <c r="D386" s="4">
        <f t="shared" si="3"/>
        <v>0.007070584239</v>
      </c>
      <c r="E386" s="4">
        <f>('Equity Price Data'!C388-'Equity Price Data'!C387)/'Equity Price Data'!C387</f>
        <v>0.0154672353</v>
      </c>
      <c r="F386" s="4">
        <f>('Equity Price Data'!D388-'Equity Price Data'!D387)/'Equity Price Data'!D387</f>
        <v>0.02689030884</v>
      </c>
      <c r="G386" s="4">
        <f>('Equity Price Data'!E388-'Equity Price Data'!E387)/'Equity Price Data'!E387</f>
        <v>0.004386597502</v>
      </c>
      <c r="H386" s="4">
        <f>('Equity Price Data'!F388-'Equity Price Data'!F387)/'Equity Price Data'!F387</f>
        <v>0.01885980275</v>
      </c>
      <c r="L386" s="1"/>
      <c r="M386" s="1"/>
      <c r="N386" s="1"/>
      <c r="O386" s="1"/>
    </row>
    <row r="387">
      <c r="A387" s="43">
        <f>Sheet11!A387</f>
        <v>45986.66667</v>
      </c>
      <c r="B387" s="44">
        <f t="shared" si="2"/>
        <v>45991</v>
      </c>
      <c r="C387" s="4">
        <f>('Equity Price Data'!B389-'Equity Price Data'!B388)/'Equity Price Data'!B388</f>
        <v>0.01279371669</v>
      </c>
      <c r="D387" s="4">
        <f t="shared" si="3"/>
        <v>0.01259530399</v>
      </c>
      <c r="E387" s="4">
        <f>('Equity Price Data'!C389-'Equity Price Data'!C388)/'Equity Price Data'!C388</f>
        <v>0.00906173193</v>
      </c>
      <c r="F387" s="4">
        <f>('Equity Price Data'!D389-'Equity Price Data'!D388)/'Equity Price Data'!D388</f>
        <v>0.00671475747</v>
      </c>
      <c r="G387" s="4">
        <f>('Equity Price Data'!E389-'Equity Price Data'!E388)/'Equity Price Data'!E388</f>
        <v>0.0142993485</v>
      </c>
      <c r="H387" s="4">
        <f>('Equity Price Data'!F389-'Equity Price Data'!F388)/'Equity Price Data'!F388</f>
        <v>0.02141425187</v>
      </c>
      <c r="L387" s="1"/>
      <c r="M387" s="1"/>
      <c r="N387" s="1"/>
      <c r="O387" s="1"/>
    </row>
    <row r="388">
      <c r="A388" s="43">
        <f>Sheet11!A388</f>
        <v>45987.66667</v>
      </c>
      <c r="B388" s="44">
        <f t="shared" si="2"/>
        <v>45991</v>
      </c>
      <c r="C388" s="4">
        <f>('Equity Price Data'!B390-'Equity Price Data'!B389)/'Equity Price Data'!B389</f>
        <v>0.005968618862</v>
      </c>
      <c r="D388" s="4">
        <f t="shared" si="3"/>
        <v>0.005770206164</v>
      </c>
      <c r="E388" s="4">
        <f>('Equity Price Data'!C390-'Equity Price Data'!C389)/'Equity Price Data'!C389</f>
        <v>0.006906714278</v>
      </c>
      <c r="F388" s="4">
        <f>('Equity Price Data'!D390-'Equity Price Data'!D389)/'Equity Price Data'!D389</f>
        <v>0.008212601718</v>
      </c>
      <c r="G388" s="4">
        <f>('Equity Price Data'!E390-'Equity Price Data'!E389)/'Equity Price Data'!E389</f>
        <v>0.006679126218</v>
      </c>
      <c r="H388" s="4">
        <f>('Equity Price Data'!F390-'Equity Price Data'!F389)/'Equity Price Data'!F389</f>
        <v>0.00816713842</v>
      </c>
      <c r="L388" s="1"/>
      <c r="M388" s="1"/>
      <c r="N388" s="1"/>
      <c r="O388" s="1"/>
    </row>
    <row r="389">
      <c r="A389" s="43">
        <f>Sheet11!A389</f>
        <v>45989.54514</v>
      </c>
      <c r="B389" s="44">
        <f t="shared" si="2"/>
        <v>45991</v>
      </c>
      <c r="C389" s="4">
        <f>('Equity Price Data'!B391-'Equity Price Data'!B390)/'Equity Price Data'!B390</f>
        <v>0.005726809506</v>
      </c>
      <c r="D389" s="4">
        <f t="shared" si="3"/>
        <v>0.005528396808</v>
      </c>
      <c r="E389" s="4">
        <f>('Equity Price Data'!C391-'Equity Price Data'!C390)/'Equity Price Data'!C390</f>
        <v>0.005354775923</v>
      </c>
      <c r="F389" s="4">
        <f>('Equity Price Data'!D391-'Equity Price Data'!D390)/'Equity Price Data'!D390</f>
        <v>0.006504502106</v>
      </c>
      <c r="G389" s="4">
        <f>('Equity Price Data'!E391-'Equity Price Data'!E390)/'Equity Price Data'!E390</f>
        <v>0.006099885466</v>
      </c>
      <c r="H389" s="4">
        <f>('Equity Price Data'!F391-'Equity Price Data'!F390)/'Equity Price Data'!F390</f>
        <v>0.005755957074</v>
      </c>
      <c r="L389" s="1"/>
      <c r="M389" s="1"/>
      <c r="N389" s="1"/>
      <c r="O389" s="1"/>
    </row>
    <row r="390">
      <c r="A390" s="43">
        <f>Sheet11!A390</f>
        <v>45992.66667</v>
      </c>
      <c r="B390" s="44">
        <f t="shared" si="2"/>
        <v>46022</v>
      </c>
      <c r="C390" s="4">
        <f>('Equity Price Data'!B392-'Equity Price Data'!B391)/'Equity Price Data'!B391</f>
        <v>-0.006433508789</v>
      </c>
      <c r="D390" s="4">
        <f t="shared" si="3"/>
        <v>-0.006631921488</v>
      </c>
      <c r="E390" s="4">
        <f>('Equity Price Data'!C392-'Equity Price Data'!C391)/'Equity Price Data'!C391</f>
        <v>-0.005323334925</v>
      </c>
      <c r="F390" s="4">
        <f>('Equity Price Data'!D392-'Equity Price Data'!D391)/'Equity Price Data'!D391</f>
        <v>-0.003841958016</v>
      </c>
      <c r="G390" s="4">
        <f>('Equity Price Data'!E392-'Equity Price Data'!E391)/'Equity Price Data'!E391</f>
        <v>-0.008950587659</v>
      </c>
      <c r="H390" s="4">
        <f>('Equity Price Data'!F392-'Equity Price Data'!F391)/'Equity Price Data'!F391</f>
        <v>-0.01251784693</v>
      </c>
      <c r="L390" s="1"/>
      <c r="M390" s="1"/>
      <c r="N390" s="1"/>
      <c r="O390" s="1"/>
    </row>
    <row r="391">
      <c r="A391" s="43">
        <f>Sheet11!A391</f>
        <v>45993.66667</v>
      </c>
      <c r="B391" s="44">
        <f t="shared" si="2"/>
        <v>46022</v>
      </c>
      <c r="C391" s="4">
        <f>('Equity Price Data'!B393-'Equity Price Data'!B392)/'Equity Price Data'!B392</f>
        <v>0.001878973179</v>
      </c>
      <c r="D391" s="4">
        <f t="shared" si="3"/>
        <v>0.001680560481</v>
      </c>
      <c r="E391" s="4">
        <f>('Equity Price Data'!C393-'Equity Price Data'!C392)/'Equity Price Data'!C392</f>
        <v>0.002457200817</v>
      </c>
      <c r="F391" s="4">
        <f>('Equity Price Data'!D393-'Equity Price Data'!D392)/'Equity Price Data'!D392</f>
        <v>0.005918133419</v>
      </c>
      <c r="G391" s="4">
        <f>('Equity Price Data'!E393-'Equity Price Data'!E392)/'Equity Price Data'!E392</f>
        <v>0.003914836603</v>
      </c>
      <c r="H391" s="4">
        <f>('Equity Price Data'!F393-'Equity Price Data'!F392)/'Equity Price Data'!F392</f>
        <v>-0.00168075395</v>
      </c>
      <c r="L391" s="1"/>
      <c r="M391" s="1"/>
      <c r="N391" s="1"/>
      <c r="O391" s="1"/>
    </row>
    <row r="392">
      <c r="A392" s="43">
        <f>Sheet11!A392</f>
        <v>45994.66667</v>
      </c>
      <c r="B392" s="44">
        <f t="shared" si="2"/>
        <v>46022</v>
      </c>
      <c r="C392" s="4">
        <f>('Equity Price Data'!B394-'Equity Price Data'!B393)/'Equity Price Data'!B393</f>
        <v>0.004905362684</v>
      </c>
      <c r="D392" s="4">
        <f t="shared" si="3"/>
        <v>0.004706949986</v>
      </c>
      <c r="E392" s="4">
        <f>('Equity Price Data'!C394-'Equity Price Data'!C393)/'Equity Price Data'!C393</f>
        <v>0.002979777051</v>
      </c>
      <c r="F392" s="4">
        <f>('Equity Price Data'!D394-'Equity Price Data'!D393)/'Equity Price Data'!D393</f>
        <v>0.001726341919</v>
      </c>
      <c r="G392" s="4">
        <f>('Equity Price Data'!E394-'Equity Price Data'!E393)/'Equity Price Data'!E393</f>
        <v>0.008603362734</v>
      </c>
      <c r="H392" s="4">
        <f>('Equity Price Data'!F394-'Equity Price Data'!F393)/'Equity Price Data'!F393</f>
        <v>0.01913200107</v>
      </c>
      <c r="L392" s="1"/>
      <c r="M392" s="1"/>
      <c r="N392" s="1"/>
      <c r="O392" s="1"/>
    </row>
    <row r="393">
      <c r="A393" s="43">
        <f>Sheet11!A393</f>
        <v>45995.66667</v>
      </c>
      <c r="B393" s="44">
        <f t="shared" si="2"/>
        <v>46022</v>
      </c>
      <c r="C393" s="4">
        <f>('Equity Price Data'!B395-'Equity Price Data'!B394)/'Equity Price Data'!B394</f>
        <v>0.002816969111</v>
      </c>
      <c r="D393" s="4">
        <f t="shared" si="3"/>
        <v>0.002618556413</v>
      </c>
      <c r="E393" s="4">
        <f>('Equity Price Data'!C395-'Equity Price Data'!C394)/'Equity Price Data'!C394</f>
        <v>0.001080336131</v>
      </c>
      <c r="F393" s="4">
        <f>('Equity Price Data'!D395-'Equity Price Data'!D394)/'Equity Price Data'!D394</f>
        <v>0.002176592654</v>
      </c>
      <c r="G393" s="4">
        <f>('Equity Price Data'!E395-'Equity Price Data'!E394)/'Equity Price Data'!E394</f>
        <v>-0.0006674616617</v>
      </c>
      <c r="H393" s="4">
        <f>('Equity Price Data'!F395-'Equity Price Data'!F394)/'Equity Price Data'!F394</f>
        <v>0.007571234087</v>
      </c>
      <c r="L393" s="1"/>
      <c r="M393" s="1"/>
      <c r="N393" s="1"/>
      <c r="O393" s="1"/>
    </row>
    <row r="394">
      <c r="A394" s="43">
        <f>Sheet11!A394</f>
        <v>45996.66667</v>
      </c>
      <c r="B394" s="44">
        <f t="shared" si="2"/>
        <v>46022</v>
      </c>
      <c r="C394" s="4">
        <f>('Equity Price Data'!B396-'Equity Price Data'!B395)/'Equity Price Data'!B395</f>
        <v>-0.0001037490878</v>
      </c>
      <c r="D394" s="4">
        <f t="shared" si="3"/>
        <v>-0.0003021617862</v>
      </c>
      <c r="E394" s="4">
        <f>('Equity Price Data'!C396-'Equity Price Data'!C395)/'Equity Price Data'!C395</f>
        <v>0.001936673122</v>
      </c>
      <c r="F394" s="4">
        <f>('Equity Price Data'!D396-'Equity Price Data'!D395)/'Equity Price Data'!D395</f>
        <v>0.00310527825</v>
      </c>
      <c r="G394" s="4">
        <f>('Equity Price Data'!E396-'Equity Price Data'!E395)/'Equity Price Data'!E395</f>
        <v>0.002174460941</v>
      </c>
      <c r="H394" s="4">
        <f>('Equity Price Data'!F396-'Equity Price Data'!F395)/'Equity Price Data'!F395</f>
        <v>-0.003824333507</v>
      </c>
      <c r="L394" s="1"/>
      <c r="M394" s="1"/>
      <c r="N394" s="1"/>
      <c r="O394" s="1"/>
    </row>
    <row r="395">
      <c r="A395" s="43">
        <f>Sheet11!A395</f>
        <v>45999.66667</v>
      </c>
      <c r="B395" s="44">
        <f t="shared" si="2"/>
        <v>46022</v>
      </c>
      <c r="C395" s="4">
        <f>('Equity Price Data'!B397-'Equity Price Data'!B396)/'Equity Price Data'!B396</f>
        <v>-0.00363653941</v>
      </c>
      <c r="D395" s="4">
        <f t="shared" si="3"/>
        <v>-0.003834952108</v>
      </c>
      <c r="E395" s="4">
        <f>('Equity Price Data'!C397-'Equity Price Data'!C396)/'Equity Price Data'!C396</f>
        <v>-0.003477235678</v>
      </c>
      <c r="F395" s="4">
        <f>('Equity Price Data'!D397-'Equity Price Data'!D396)/'Equity Price Data'!D396</f>
        <v>-0.001366944707</v>
      </c>
      <c r="G395" s="4">
        <f>('Equity Price Data'!E397-'Equity Price Data'!E396)/'Equity Price Data'!E396</f>
        <v>-0.004497342195</v>
      </c>
      <c r="H395" s="4">
        <f>('Equity Price Data'!F397-'Equity Price Data'!F396)/'Equity Price Data'!F396</f>
        <v>-0.0001982962387</v>
      </c>
      <c r="L395" s="1"/>
      <c r="M395" s="1"/>
      <c r="N395" s="1"/>
      <c r="O395" s="1"/>
    </row>
    <row r="396">
      <c r="A396" s="43">
        <f>Sheet11!A396</f>
        <v>46000.66667</v>
      </c>
      <c r="B396" s="44">
        <f t="shared" si="2"/>
        <v>46022</v>
      </c>
      <c r="C396" s="4">
        <f>('Equity Price Data'!B398-'Equity Price Data'!B397)/'Equity Price Data'!B397</f>
        <v>-0.00397831018</v>
      </c>
      <c r="D396" s="4">
        <f t="shared" si="3"/>
        <v>-0.004176722878</v>
      </c>
      <c r="E396" s="4">
        <f>('Equity Price Data'!C398-'Equity Price Data'!C397)/'Equity Price Data'!C397</f>
        <v>-0.000876358904</v>
      </c>
      <c r="F396" s="4">
        <f>('Equity Price Data'!D398-'Equity Price Data'!D397)/'Equity Price Data'!D397</f>
        <v>0.00129916461</v>
      </c>
      <c r="G396" s="4">
        <f>('Equity Price Data'!E398-'Equity Price Data'!E397)/'Equity Price Data'!E397</f>
        <v>-0.003750158151</v>
      </c>
      <c r="H396" s="4">
        <f>('Equity Price Data'!F398-'Equity Price Data'!F397)/'Equity Price Data'!F397</f>
        <v>0.002086490174</v>
      </c>
      <c r="L396" s="1"/>
      <c r="M396" s="1"/>
      <c r="N396" s="1"/>
      <c r="O396" s="1"/>
    </row>
    <row r="397">
      <c r="A397" s="43">
        <f>Sheet11!A397</f>
        <v>46001.66667</v>
      </c>
      <c r="B397" s="44">
        <f t="shared" si="2"/>
        <v>46022</v>
      </c>
      <c r="C397" s="4">
        <f>('Equity Price Data'!B399-'Equity Price Data'!B398)/'Equity Price Data'!B398</f>
        <v>0.008377623651</v>
      </c>
      <c r="D397" s="4">
        <f t="shared" si="3"/>
        <v>0.008179210953</v>
      </c>
      <c r="E397" s="4">
        <f>('Equity Price Data'!C399-'Equity Price Data'!C398)/'Equity Price Data'!C398</f>
        <v>0.006749496748</v>
      </c>
      <c r="F397" s="4">
        <f>('Equity Price Data'!D399-'Equity Price Data'!D398)/'Equity Price Data'!D398</f>
        <v>0.003294383515</v>
      </c>
      <c r="G397" s="4">
        <f>('Equity Price Data'!E399-'Equity Price Data'!E398)/'Equity Price Data'!E398</f>
        <v>0.01045956616</v>
      </c>
      <c r="H397" s="4">
        <f>('Equity Price Data'!F399-'Equity Price Data'!F398)/'Equity Price Data'!F398</f>
        <v>0.01320935461</v>
      </c>
      <c r="L397" s="1"/>
      <c r="M397" s="1"/>
      <c r="N397" s="1"/>
      <c r="O397" s="1"/>
    </row>
    <row r="398">
      <c r="A398" s="43">
        <f>Sheet11!A398</f>
        <v>46002.66667</v>
      </c>
      <c r="B398" s="44">
        <f t="shared" si="2"/>
        <v>46022</v>
      </c>
      <c r="C398" s="4">
        <f>('Equity Price Data'!B400-'Equity Price Data'!B399)/'Equity Price Data'!B399</f>
        <v>0.0060420346</v>
      </c>
      <c r="D398" s="4">
        <f t="shared" si="3"/>
        <v>0.005843621902</v>
      </c>
      <c r="E398" s="4">
        <f>('Equity Price Data'!C400-'Equity Price Data'!C399)/'Equity Price Data'!C399</f>
        <v>0.002079376419</v>
      </c>
      <c r="F398" s="4">
        <f>('Equity Price Data'!D400-'Equity Price Data'!D399)/'Equity Price Data'!D399</f>
        <v>-0.002549234469</v>
      </c>
      <c r="G398" s="4">
        <f>('Equity Price Data'!E400-'Equity Price Data'!E399)/'Equity Price Data'!E399</f>
        <v>0.01344757089</v>
      </c>
      <c r="H398" s="4">
        <f>('Equity Price Data'!F400-'Equity Price Data'!F399)/'Equity Price Data'!F399</f>
        <v>0.01211122007</v>
      </c>
      <c r="L398" s="1"/>
      <c r="M398" s="1"/>
      <c r="N398" s="1"/>
      <c r="O398" s="1"/>
    </row>
    <row r="399">
      <c r="A399" s="43">
        <f>Sheet11!A399</f>
        <v>46003.66667</v>
      </c>
      <c r="B399" s="44">
        <f t="shared" si="2"/>
        <v>46022</v>
      </c>
      <c r="C399" s="4">
        <f>('Equity Price Data'!B401-'Equity Price Data'!B400)/'Equity Price Data'!B400</f>
        <v>-0.00700806813</v>
      </c>
      <c r="D399" s="4">
        <f t="shared" si="3"/>
        <v>-0.007206480829</v>
      </c>
      <c r="E399" s="4">
        <f>('Equity Price Data'!C401-'Equity Price Data'!C400)/'Equity Price Data'!C400</f>
        <v>-0.01066367193</v>
      </c>
      <c r="F399" s="4">
        <f>('Equity Price Data'!D401-'Equity Price Data'!D400)/'Equity Price Data'!D400</f>
        <v>-0.01689804042</v>
      </c>
      <c r="G399" s="4">
        <f>('Equity Price Data'!E401-'Equity Price Data'!E400)/'Equity Price Data'!E400</f>
        <v>-0.005050097518</v>
      </c>
      <c r="H399" s="4">
        <f>('Equity Price Data'!F401-'Equity Price Data'!F400)/'Equity Price Data'!F400</f>
        <v>-0.01511227086</v>
      </c>
      <c r="L399" s="1"/>
      <c r="M399" s="1"/>
      <c r="N399" s="1"/>
      <c r="O399" s="1"/>
    </row>
    <row r="400">
      <c r="A400" s="43">
        <f>Sheet11!A400</f>
        <v>46006.66667</v>
      </c>
      <c r="B400" s="44">
        <f t="shared" si="2"/>
        <v>46022</v>
      </c>
      <c r="C400" s="4">
        <f>('Equity Price Data'!B402-'Equity Price Data'!B401)/'Equity Price Data'!B401</f>
        <v>-0.002247439476</v>
      </c>
      <c r="D400" s="4">
        <f t="shared" si="3"/>
        <v>-0.002445852174</v>
      </c>
      <c r="E400" s="4">
        <f>('Equity Price Data'!C402-'Equity Price Data'!C401)/'Equity Price Data'!C401</f>
        <v>-0.001596505849</v>
      </c>
      <c r="F400" s="4">
        <f>('Equity Price Data'!D402-'Equity Price Data'!D401)/'Equity Price Data'!D401</f>
        <v>-0.005939167508</v>
      </c>
      <c r="G400" s="4">
        <f>('Equity Price Data'!E402-'Equity Price Data'!E401)/'Equity Price Data'!E401</f>
        <v>-0.0008562044903</v>
      </c>
      <c r="H400" s="4">
        <f>('Equity Price Data'!F402-'Equity Price Data'!F401)/'Equity Price Data'!F401</f>
        <v>-0.008148275889</v>
      </c>
      <c r="L400" s="1"/>
      <c r="M400" s="1"/>
      <c r="N400" s="1"/>
      <c r="O400" s="1"/>
    </row>
    <row r="401">
      <c r="A401" s="43">
        <f>Sheet11!A401</f>
        <v>46007.66667</v>
      </c>
      <c r="B401" s="44">
        <f t="shared" si="2"/>
        <v>46022</v>
      </c>
      <c r="C401" s="4">
        <f>('Equity Price Data'!B403-'Equity Price Data'!B402)/'Equity Price Data'!B402</f>
        <v>-0.004625416468</v>
      </c>
      <c r="D401" s="4">
        <f t="shared" si="3"/>
        <v>-0.004823829166</v>
      </c>
      <c r="E401" s="4">
        <f>('Equity Price Data'!C403-'Equity Price Data'!C402)/'Equity Price Data'!C402</f>
        <v>-0.00238391787</v>
      </c>
      <c r="F401" s="4">
        <f>('Equity Price Data'!D403-'Equity Price Data'!D402)/'Equity Price Data'!D402</f>
        <v>0.002344148801</v>
      </c>
      <c r="G401" s="4">
        <f>('Equity Price Data'!E403-'Equity Price Data'!E402)/'Equity Price Data'!E402</f>
        <v>-0.006243731484</v>
      </c>
      <c r="H401" s="4">
        <f>('Equity Price Data'!F403-'Equity Price Data'!F402)/'Equity Price Data'!F402</f>
        <v>-0.004492881332</v>
      </c>
      <c r="L401" s="1"/>
      <c r="M401" s="1"/>
      <c r="N401" s="1"/>
      <c r="O401" s="1"/>
    </row>
    <row r="402">
      <c r="A402" s="43">
        <f>Sheet11!A402</f>
        <v>46008.66667</v>
      </c>
      <c r="B402" s="44">
        <f t="shared" si="2"/>
        <v>46022</v>
      </c>
      <c r="C402" s="4">
        <f>('Equity Price Data'!B404-'Equity Price Data'!B403)/'Equity Price Data'!B403</f>
        <v>-0.006663789841</v>
      </c>
      <c r="D402" s="4">
        <f t="shared" si="3"/>
        <v>-0.006862202539</v>
      </c>
      <c r="E402" s="4">
        <f>('Equity Price Data'!C404-'Equity Price Data'!C403)/'Equity Price Data'!C403</f>
        <v>-0.01159220383</v>
      </c>
      <c r="F402" s="4">
        <f>('Equity Price Data'!D404-'Equity Price Data'!D403)/'Equity Price Data'!D403</f>
        <v>-0.01809232303</v>
      </c>
      <c r="G402" s="4">
        <f>('Equity Price Data'!E404-'Equity Price Data'!E403)/'Equity Price Data'!E403</f>
        <v>-0.004744747191</v>
      </c>
      <c r="H402" s="4">
        <f>('Equity Price Data'!F404-'Equity Price Data'!F403)/'Equity Price Data'!F403</f>
        <v>-0.01072123209</v>
      </c>
      <c r="L402" s="1"/>
      <c r="M402" s="1"/>
      <c r="N402" s="1"/>
      <c r="O402" s="1"/>
    </row>
    <row r="403">
      <c r="A403" s="43">
        <f>Sheet11!A403</f>
        <v>46009.66667</v>
      </c>
      <c r="B403" s="44">
        <f t="shared" si="2"/>
        <v>46022</v>
      </c>
      <c r="C403" s="4">
        <f>('Equity Price Data'!B405-'Equity Price Data'!B404)/'Equity Price Data'!B404</f>
        <v>0.003622369178</v>
      </c>
      <c r="D403" s="4">
        <f t="shared" si="3"/>
        <v>0.00342395648</v>
      </c>
      <c r="E403" s="4">
        <f>('Equity Price Data'!C405-'Equity Price Data'!C404)/'Equity Price Data'!C404</f>
        <v>0.0079343235</v>
      </c>
      <c r="F403" s="4">
        <f>('Equity Price Data'!D405-'Equity Price Data'!D404)/'Equity Price Data'!D404</f>
        <v>0.01379436768</v>
      </c>
      <c r="G403" s="4">
        <f>('Equity Price Data'!E405-'Equity Price Data'!E404)/'Equity Price Data'!E404</f>
        <v>0.00137576831</v>
      </c>
      <c r="H403" s="4">
        <f>('Equity Price Data'!F405-'Equity Price Data'!F404)/'Equity Price Data'!F404</f>
        <v>0.006251278944</v>
      </c>
      <c r="L403" s="1"/>
      <c r="M403" s="1"/>
      <c r="N403" s="1"/>
      <c r="O403" s="1"/>
    </row>
    <row r="404">
      <c r="A404" s="43">
        <f>Sheet11!A404</f>
        <v>46010.66667</v>
      </c>
      <c r="B404" s="44">
        <f t="shared" si="2"/>
        <v>46022</v>
      </c>
      <c r="C404" s="4">
        <f>('Equity Price Data'!B406-'Equity Price Data'!B405)/'Equity Price Data'!B405</f>
        <v>0.007302746162</v>
      </c>
      <c r="D404" s="4">
        <f t="shared" si="3"/>
        <v>0.007104333464</v>
      </c>
      <c r="E404" s="4">
        <f>('Equity Price Data'!C406-'Equity Price Data'!C405)/'Equity Price Data'!C405</f>
        <v>0.00881802455</v>
      </c>
      <c r="F404" s="4">
        <f>('Equity Price Data'!D406-'Equity Price Data'!D405)/'Equity Price Data'!D405</f>
        <v>0.01309463992</v>
      </c>
      <c r="G404" s="4">
        <f>('Equity Price Data'!E406-'Equity Price Data'!E405)/'Equity Price Data'!E405</f>
        <v>0.003817162424</v>
      </c>
      <c r="H404" s="4">
        <f>('Equity Price Data'!F406-'Equity Price Data'!F405)/'Equity Price Data'!F405</f>
        <v>0.008592949395</v>
      </c>
      <c r="L404" s="1"/>
      <c r="M404" s="1"/>
      <c r="N404" s="1"/>
      <c r="O404" s="1"/>
    </row>
    <row r="405">
      <c r="A405" s="43">
        <f>Sheet11!A405</f>
        <v>46013.66667</v>
      </c>
      <c r="B405" s="44">
        <f t="shared" si="2"/>
        <v>46022</v>
      </c>
      <c r="C405" s="4">
        <f>('Equity Price Data'!B407-'Equity Price Data'!B406)/'Equity Price Data'!B406</f>
        <v>0.005874279896</v>
      </c>
      <c r="D405" s="4">
        <f t="shared" si="3"/>
        <v>0.005675867198</v>
      </c>
      <c r="E405" s="4">
        <f>('Equity Price Data'!C407-'Equity Price Data'!C406)/'Equity Price Data'!C406</f>
        <v>0.006436462067</v>
      </c>
      <c r="F405" s="4">
        <f>('Equity Price Data'!D407-'Equity Price Data'!D406)/'Equity Price Data'!D406</f>
        <v>0.005200445176</v>
      </c>
      <c r="G405" s="4">
        <f>('Equity Price Data'!E407-'Equity Price Data'!E406)/'Equity Price Data'!E406</f>
        <v>0.004732326178</v>
      </c>
      <c r="H405" s="4">
        <f>('Equity Price Data'!F407-'Equity Price Data'!F406)/'Equity Price Data'!F406</f>
        <v>0.01160740407</v>
      </c>
      <c r="L405" s="1"/>
      <c r="M405" s="1"/>
      <c r="N405" s="1"/>
      <c r="O405" s="1"/>
    </row>
    <row r="406">
      <c r="A406" s="43">
        <f>Sheet11!A406</f>
        <v>46014.66667</v>
      </c>
      <c r="B406" s="44">
        <f t="shared" si="2"/>
        <v>46022</v>
      </c>
      <c r="C406" s="4">
        <f>('Equity Price Data'!B408-'Equity Price Data'!B407)/'Equity Price Data'!B407</f>
        <v>0.00225346685</v>
      </c>
      <c r="D406" s="4">
        <f t="shared" si="3"/>
        <v>0.002055054152</v>
      </c>
      <c r="E406" s="4">
        <f>('Equity Price Data'!C408-'Equity Price Data'!C407)/'Equity Price Data'!C407</f>
        <v>0.004550417315</v>
      </c>
      <c r="F406" s="4">
        <f>('Equity Price Data'!D408-'Equity Price Data'!D407)/'Equity Price Data'!D407</f>
        <v>0.005677193441</v>
      </c>
      <c r="G406" s="4">
        <f>('Equity Price Data'!E408-'Equity Price Data'!E407)/'Equity Price Data'!E407</f>
        <v>0.001648585231</v>
      </c>
      <c r="H406" s="4">
        <f>('Equity Price Data'!F408-'Equity Price Data'!F407)/'Equity Price Data'!F407</f>
        <v>-0.006901726604</v>
      </c>
      <c r="L406" s="1"/>
      <c r="M406" s="1"/>
      <c r="N406" s="1"/>
      <c r="O406" s="1"/>
    </row>
    <row r="407">
      <c r="A407" s="43">
        <f>Sheet11!A407</f>
        <v>46015.54514</v>
      </c>
      <c r="B407" s="44">
        <f t="shared" si="2"/>
        <v>46022</v>
      </c>
      <c r="C407" s="4">
        <f>('Equity Price Data'!B409-'Equity Price Data'!B408)/'Equity Price Data'!B408</f>
        <v>0.00322542266</v>
      </c>
      <c r="D407" s="4">
        <f t="shared" si="3"/>
        <v>0.003027009962</v>
      </c>
      <c r="E407" s="4">
        <f>('Equity Price Data'!C409-'Equity Price Data'!C408)/'Equity Price Data'!C408</f>
        <v>0.003221516139</v>
      </c>
      <c r="F407" s="4">
        <f>('Equity Price Data'!D409-'Equity Price Data'!D408)/'Equity Price Data'!D408</f>
        <v>0.002184464371</v>
      </c>
      <c r="G407" s="4">
        <f>('Equity Price Data'!E409-'Equity Price Data'!E408)/'Equity Price Data'!E408</f>
        <v>0.005960686101</v>
      </c>
      <c r="H407" s="4">
        <f>('Equity Price Data'!F409-'Equity Price Data'!F408)/'Equity Price Data'!F408</f>
        <v>0.002738949754</v>
      </c>
      <c r="L407" s="1"/>
      <c r="M407" s="1"/>
      <c r="N407" s="1"/>
      <c r="O407" s="1"/>
    </row>
    <row r="408">
      <c r="A408" s="43">
        <f>Sheet11!A408</f>
        <v>46017.66667</v>
      </c>
      <c r="B408" s="44">
        <f t="shared" si="2"/>
        <v>46022</v>
      </c>
      <c r="C408" s="4">
        <f>('Equity Price Data'!B410-'Equity Price Data'!B409)/'Equity Price Data'!B409</f>
        <v>-0.001840979512</v>
      </c>
      <c r="D408" s="4">
        <f t="shared" si="3"/>
        <v>-0.00203939221</v>
      </c>
      <c r="E408" s="4">
        <f>('Equity Price Data'!C410-'Equity Price Data'!C409)/'Equity Price Data'!C409</f>
        <v>-0.0003043832632</v>
      </c>
      <c r="F408" s="4">
        <f>('Equity Price Data'!D410-'Equity Price Data'!D409)/'Equity Price Data'!D409</f>
        <v>-0.0008558732342</v>
      </c>
      <c r="G408" s="4">
        <f>('Equity Price Data'!E410-'Equity Price Data'!E409)/'Equity Price Data'!E409</f>
        <v>-0.0004143139626</v>
      </c>
      <c r="H408" s="4">
        <f>('Equity Price Data'!F410-'Equity Price Data'!F409)/'Equity Price Data'!F409</f>
        <v>-0.005388370852</v>
      </c>
      <c r="L408" s="1"/>
      <c r="M408" s="1"/>
      <c r="N408" s="1"/>
      <c r="O408" s="1"/>
    </row>
    <row r="409">
      <c r="A409" s="43">
        <f>Sheet11!A409</f>
        <v>46020.66667</v>
      </c>
      <c r="B409" s="44">
        <f t="shared" si="2"/>
        <v>46022</v>
      </c>
      <c r="C409" s="4">
        <f>('Equity Price Data'!B411-'Equity Price Data'!B410)/'Equity Price Data'!B410</f>
        <v>-0.002606652129</v>
      </c>
      <c r="D409" s="4">
        <f t="shared" si="3"/>
        <v>-0.002805064827</v>
      </c>
      <c r="E409" s="4">
        <f>('Equity Price Data'!C411-'Equity Price Data'!C410)/'Equity Price Data'!C410</f>
        <v>-0.003492093727</v>
      </c>
      <c r="F409" s="4">
        <f>('Equity Price Data'!D411-'Equity Price Data'!D410)/'Equity Price Data'!D410</f>
        <v>-0.005033251247</v>
      </c>
      <c r="G409" s="4">
        <f>('Equity Price Data'!E411-'Equity Price Data'!E410)/'Equity Price Data'!E410</f>
        <v>-0.005112606052</v>
      </c>
      <c r="H409" s="4">
        <f>('Equity Price Data'!F411-'Equity Price Data'!F410)/'Equity Price Data'!F410</f>
        <v>-0.005741117052</v>
      </c>
      <c r="L409" s="1"/>
      <c r="M409" s="1"/>
      <c r="N409" s="1"/>
      <c r="O409" s="1"/>
    </row>
    <row r="410">
      <c r="A410" s="43">
        <f>Sheet11!A410</f>
        <v>46021.66667</v>
      </c>
      <c r="B410" s="44">
        <f t="shared" si="2"/>
        <v>46022</v>
      </c>
      <c r="C410" s="4">
        <f>('Equity Price Data'!B412-'Equity Price Data'!B411)/'Equity Price Data'!B411</f>
        <v>-0.002870798195</v>
      </c>
      <c r="D410" s="4">
        <f t="shared" si="3"/>
        <v>-0.003069210894</v>
      </c>
      <c r="E410" s="4">
        <f>('Equity Price Data'!C412-'Equity Price Data'!C411)/'Equity Price Data'!C411</f>
        <v>-0.001375667199</v>
      </c>
      <c r="F410" s="4">
        <f>('Equity Price Data'!D412-'Equity Price Data'!D411)/'Equity Price Data'!D411</f>
        <v>-0.002354484789</v>
      </c>
      <c r="G410" s="4">
        <f>('Equity Price Data'!E412-'Equity Price Data'!E411)/'Equity Price Data'!E411</f>
        <v>-0.001957619104</v>
      </c>
      <c r="H410" s="4">
        <f>('Equity Price Data'!F412-'Equity Price Data'!F411)/'Equity Price Data'!F411</f>
        <v>-0.007623620922</v>
      </c>
      <c r="L410" s="1"/>
      <c r="M410" s="1"/>
      <c r="N410" s="1"/>
      <c r="O410" s="1"/>
    </row>
    <row r="411">
      <c r="A411" s="43">
        <f>Sheet11!A411</f>
        <v>46022.66667</v>
      </c>
      <c r="B411" s="44">
        <f t="shared" si="2"/>
        <v>46022</v>
      </c>
      <c r="C411" s="4">
        <f>('Equity Price Data'!B413-'Equity Price Data'!B412)/'Equity Price Data'!B412</f>
        <v>-0.005675812381</v>
      </c>
      <c r="D411" s="4">
        <f t="shared" si="3"/>
        <v>-0.005874225079</v>
      </c>
      <c r="E411" s="4">
        <f>('Equity Price Data'!C413-'Equity Price Data'!C412)/'Equity Price Data'!C412</f>
        <v>-0.007357632565</v>
      </c>
      <c r="F411" s="4">
        <f>('Equity Price Data'!D413-'Equity Price Data'!D412)/'Equity Price Data'!D412</f>
        <v>-0.007561782956</v>
      </c>
      <c r="G411" s="4">
        <f>('Equity Price Data'!E413-'Equity Price Data'!E412)/'Equity Price Data'!E412</f>
        <v>-0.006280514052</v>
      </c>
      <c r="H411" s="4">
        <f>('Equity Price Data'!F413-'Equity Price Data'!F412)/'Equity Price Data'!F412</f>
        <v>-0.007470237024</v>
      </c>
      <c r="L411" s="1"/>
      <c r="M411" s="1"/>
      <c r="N411" s="1"/>
      <c r="O411" s="1"/>
    </row>
    <row r="412">
      <c r="A412" s="43">
        <f>Sheet11!A412</f>
        <v>46024.66667</v>
      </c>
      <c r="B412" s="44">
        <f t="shared" si="2"/>
        <v>46053</v>
      </c>
      <c r="C412" s="4">
        <f>('Equity Price Data'!B414-'Equity Price Data'!B413)/'Equity Price Data'!B413</f>
        <v>0.006095544949</v>
      </c>
      <c r="D412" s="4">
        <f t="shared" si="3"/>
        <v>0.005897132251</v>
      </c>
      <c r="E412" s="4">
        <f>('Equity Price Data'!C414-'Equity Price Data'!C413)/'Equity Price Data'!C413</f>
        <v>0.001894675334</v>
      </c>
      <c r="F412" s="4">
        <f>('Equity Price Data'!D414-'Equity Price Data'!D413)/'Equity Price Data'!D413</f>
        <v>-0.0002736426614</v>
      </c>
      <c r="G412" s="4">
        <f>('Equity Price Data'!E414-'Equity Price Data'!E413)/'Equity Price Data'!E413</f>
        <v>0.006639162654</v>
      </c>
      <c r="H412" s="4">
        <f>('Equity Price Data'!F414-'Equity Price Data'!F413)/'Equity Price Data'!F413</f>
        <v>0.01060070671</v>
      </c>
      <c r="L412" s="1"/>
      <c r="M412" s="1"/>
      <c r="N412" s="1"/>
      <c r="O412" s="1"/>
    </row>
    <row r="413">
      <c r="A413" s="43">
        <f>Sheet11!A413</f>
        <v>46027.66667</v>
      </c>
      <c r="B413" s="44">
        <f t="shared" si="2"/>
        <v>46053</v>
      </c>
      <c r="C413" s="4">
        <f>('Equity Price Data'!B415-'Equity Price Data'!B414)/'Equity Price Data'!B414</f>
        <v>0.01383147888</v>
      </c>
      <c r="D413" s="4">
        <f t="shared" si="3"/>
        <v>0.01363306618</v>
      </c>
      <c r="E413" s="4">
        <f>('Equity Price Data'!C415-'Equity Price Data'!C414)/'Equity Price Data'!C414</f>
        <v>0.006354186867</v>
      </c>
      <c r="F413" s="4">
        <f>('Equity Price Data'!D415-'Equity Price Data'!D414)/'Equity Price Data'!D414</f>
        <v>0.006894153505</v>
      </c>
      <c r="G413" s="4">
        <f>('Equity Price Data'!E415-'Equity Price Data'!E414)/'Equity Price Data'!E414</f>
        <v>0.0122935225</v>
      </c>
      <c r="H413" s="4">
        <f>('Equity Price Data'!F415-'Equity Price Data'!F414)/'Equity Price Data'!F414</f>
        <v>0.01582795768</v>
      </c>
      <c r="L413" s="1"/>
      <c r="M413" s="1"/>
      <c r="N413" s="1"/>
      <c r="O413" s="1"/>
    </row>
    <row r="414">
      <c r="A414" s="43">
        <f>Sheet11!A414</f>
        <v>46028.66667</v>
      </c>
      <c r="B414" s="44">
        <f t="shared" si="2"/>
        <v>46053</v>
      </c>
      <c r="C414" s="4">
        <f>('Equity Price Data'!B416-'Equity Price Data'!B415)/'Equity Price Data'!B415</f>
        <v>0.009320748765</v>
      </c>
      <c r="D414" s="4">
        <f t="shared" si="3"/>
        <v>0.009122336066</v>
      </c>
      <c r="E414" s="4">
        <f>('Equity Price Data'!C416-'Equity Price Data'!C415)/'Equity Price Data'!C415</f>
        <v>0.006196709673</v>
      </c>
      <c r="F414" s="4">
        <f>('Equity Price Data'!D416-'Equity Price Data'!D415)/'Equity Price Data'!D415</f>
        <v>0.00646910431</v>
      </c>
      <c r="G414" s="4">
        <f>('Equity Price Data'!E416-'Equity Price Data'!E415)/'Equity Price Data'!E415</f>
        <v>0.009900529185</v>
      </c>
      <c r="H414" s="4">
        <f>('Equity Price Data'!F416-'Equity Price Data'!F415)/'Equity Price Data'!F415</f>
        <v>0.01372884549</v>
      </c>
      <c r="L414" s="1"/>
      <c r="M414" s="1"/>
      <c r="N414" s="1"/>
      <c r="O414" s="1"/>
    </row>
    <row r="415">
      <c r="A415" s="43">
        <f>Sheet11!A415</f>
        <v>46029.66667</v>
      </c>
      <c r="B415" s="44">
        <f t="shared" si="2"/>
        <v>46053</v>
      </c>
      <c r="C415" s="4">
        <f>('Equity Price Data'!B417-'Equity Price Data'!B416)/'Equity Price Data'!B416</f>
        <v>-0.003570382782</v>
      </c>
      <c r="D415" s="4">
        <f t="shared" si="3"/>
        <v>-0.003768795481</v>
      </c>
      <c r="E415" s="4">
        <f>('Equity Price Data'!C417-'Equity Price Data'!C416)/'Equity Price Data'!C416</f>
        <v>-0.003439973966</v>
      </c>
      <c r="F415" s="4">
        <f>('Equity Price Data'!D417-'Equity Price Data'!D416)/'Equity Price Data'!D416</f>
        <v>0.001575985564</v>
      </c>
      <c r="G415" s="4">
        <f>('Equity Price Data'!E417-'Equity Price Data'!E416)/'Equity Price Data'!E416</f>
        <v>-0.009421358746</v>
      </c>
      <c r="H415" s="4">
        <f>('Equity Price Data'!F417-'Equity Price Data'!F416)/'Equity Price Data'!F416</f>
        <v>-0.002895969647</v>
      </c>
      <c r="L415" s="1"/>
      <c r="M415" s="1"/>
      <c r="N415" s="1"/>
      <c r="O415" s="1"/>
    </row>
    <row r="416">
      <c r="A416" s="43">
        <f>Sheet11!A416</f>
        <v>46030.66667</v>
      </c>
      <c r="B416" s="44">
        <f t="shared" si="2"/>
        <v>46053</v>
      </c>
      <c r="C416" s="4">
        <f>('Equity Price Data'!B418-'Equity Price Data'!B417)/'Equity Price Data'!B417</f>
        <v>0.005555829581</v>
      </c>
      <c r="D416" s="4">
        <f t="shared" si="3"/>
        <v>0.005357416882</v>
      </c>
      <c r="E416" s="4">
        <f>('Equity Price Data'!C418-'Equity Price Data'!C417)/'Equity Price Data'!C417</f>
        <v>0.00007657930365</v>
      </c>
      <c r="F416" s="4">
        <f>('Equity Price Data'!D418-'Equity Price Data'!D417)/'Equity Price Data'!D417</f>
        <v>-0.004420741273</v>
      </c>
      <c r="G416" s="4">
        <f>('Equity Price Data'!E418-'Equity Price Data'!E417)/'Equity Price Data'!E417</f>
        <v>0.005511257227</v>
      </c>
      <c r="H416" s="4">
        <f>('Equity Price Data'!F418-'Equity Price Data'!F417)/'Equity Price Data'!F417</f>
        <v>0.01106227334</v>
      </c>
      <c r="L416" s="1"/>
      <c r="M416" s="1"/>
      <c r="N416" s="1"/>
      <c r="O416" s="1"/>
    </row>
    <row r="417">
      <c r="A417" s="43">
        <f>Sheet11!A417</f>
        <v>46031.66667</v>
      </c>
      <c r="B417" s="44">
        <f t="shared" si="2"/>
        <v>46053</v>
      </c>
      <c r="C417" s="4">
        <f>('Equity Price Data'!B419-'Equity Price Data'!B418)/'Equity Price Data'!B418</f>
        <v>0.008935633146</v>
      </c>
      <c r="D417" s="4">
        <f t="shared" si="3"/>
        <v>0.008737220447</v>
      </c>
      <c r="E417" s="4">
        <f>('Equity Price Data'!C419-'Equity Price Data'!C418)/'Equity Price Data'!C418</f>
        <v>0.006475512392</v>
      </c>
      <c r="F417" s="4">
        <f>('Equity Price Data'!D419-'Equity Price Data'!D418)/'Equity Price Data'!D418</f>
        <v>0.008148630197</v>
      </c>
      <c r="G417" s="4">
        <f>('Equity Price Data'!E419-'Equity Price Data'!E418)/'Equity Price Data'!E418</f>
        <v>0.004830095171</v>
      </c>
      <c r="H417" s="4">
        <f>('Equity Price Data'!F419-'Equity Price Data'!F418)/'Equity Price Data'!F418</f>
        <v>0.007799808749</v>
      </c>
      <c r="L417" s="1"/>
      <c r="M417" s="1"/>
      <c r="N417" s="1"/>
      <c r="O417" s="1"/>
    </row>
    <row r="418">
      <c r="A418" s="43">
        <f>Sheet11!A418</f>
        <v>46034.66667</v>
      </c>
      <c r="B418" s="44">
        <f t="shared" si="2"/>
        <v>46053</v>
      </c>
      <c r="C418" s="4">
        <f>('Equity Price Data'!B420-'Equity Price Data'!B419)/'Equity Price Data'!B419</f>
        <v>0.001230749478</v>
      </c>
      <c r="D418" s="4">
        <f t="shared" si="3"/>
        <v>0.00103233678</v>
      </c>
      <c r="E418" s="4">
        <f>('Equity Price Data'!C420-'Equity Price Data'!C419)/'Equity Price Data'!C419</f>
        <v>-0.0003646135384</v>
      </c>
      <c r="F418" s="4">
        <f>('Equity Price Data'!D420-'Equity Price Data'!D419)/'Equity Price Data'!D419</f>
        <v>0.002642434842</v>
      </c>
      <c r="G418" s="4">
        <f>('Equity Price Data'!E420-'Equity Price Data'!E419)/'Equity Price Data'!E419</f>
        <v>0.001739856945</v>
      </c>
      <c r="H418" s="4">
        <f>('Equity Price Data'!F420-'Equity Price Data'!F419)/'Equity Price Data'!F419</f>
        <v>0.004370822568</v>
      </c>
      <c r="L418" s="1"/>
      <c r="M418" s="1"/>
      <c r="N418" s="1"/>
      <c r="O418" s="1"/>
    </row>
    <row r="419">
      <c r="A419" s="43">
        <f>Sheet11!A419</f>
        <v>46035.66667</v>
      </c>
      <c r="B419" s="44">
        <f t="shared" si="2"/>
        <v>46053</v>
      </c>
      <c r="C419" s="4">
        <f>('Equity Price Data'!B421-'Equity Price Data'!B420)/'Equity Price Data'!B420</f>
        <v>-0.00283850617</v>
      </c>
      <c r="D419" s="4">
        <f t="shared" si="3"/>
        <v>-0.003036918869</v>
      </c>
      <c r="E419" s="4">
        <f>('Equity Price Data'!C421-'Equity Price Data'!C420)/'Equity Price Data'!C420</f>
        <v>-0.005333340992</v>
      </c>
      <c r="F419" s="4">
        <f>('Equity Price Data'!D421-'Equity Price Data'!D420)/'Equity Price Data'!D420</f>
        <v>-0.001012475826</v>
      </c>
      <c r="G419" s="4">
        <f>('Equity Price Data'!E421-'Equity Price Data'!E420)/'Equity Price Data'!E420</f>
        <v>-0.008030013995</v>
      </c>
      <c r="H419" s="4">
        <f>('Equity Price Data'!F421-'Equity Price Data'!F420)/'Equity Price Data'!F420</f>
        <v>-0.0009826648809</v>
      </c>
      <c r="L419" s="1"/>
      <c r="M419" s="1"/>
      <c r="N419" s="1"/>
      <c r="O419" s="1"/>
    </row>
    <row r="420">
      <c r="A420" s="43">
        <f>Sheet11!A420</f>
        <v>46036.66667</v>
      </c>
      <c r="B420" s="44">
        <f t="shared" si="2"/>
        <v>46053</v>
      </c>
      <c r="C420" s="4">
        <f>('Equity Price Data'!B422-'Equity Price Data'!B421)/'Equity Price Data'!B421</f>
        <v>0.001675830086</v>
      </c>
      <c r="D420" s="4">
        <f t="shared" si="3"/>
        <v>0.001477417387</v>
      </c>
      <c r="E420" s="4">
        <f>('Equity Price Data'!C422-'Equity Price Data'!C421)/'Equity Price Data'!C421</f>
        <v>0.002579909335</v>
      </c>
      <c r="F420" s="4">
        <f>('Equity Price Data'!D422-'Equity Price Data'!D421)/'Equity Price Data'!D421</f>
        <v>-0.01004307489</v>
      </c>
      <c r="G420" s="4">
        <f>('Equity Price Data'!E422-'Equity Price Data'!E421)/'Equity Price Data'!E421</f>
        <v>-0.0008611158036</v>
      </c>
      <c r="H420" s="4">
        <f>('Equity Price Data'!F422-'Equity Price Data'!F421)/'Equity Price Data'!F421</f>
        <v>0.007041130227</v>
      </c>
      <c r="L420" s="1"/>
      <c r="M420" s="1"/>
      <c r="N420" s="1"/>
      <c r="O420" s="1"/>
    </row>
    <row r="421">
      <c r="A421" s="43">
        <f>Sheet11!A421</f>
        <v>46037.66667</v>
      </c>
      <c r="B421" s="44">
        <f t="shared" si="2"/>
        <v>46053</v>
      </c>
      <c r="C421" s="4">
        <f>('Equity Price Data'!B423-'Equity Price Data'!B422)/'Equity Price Data'!B422</f>
        <v>0.00506664871</v>
      </c>
      <c r="D421" s="4">
        <f t="shared" si="3"/>
        <v>0.004868236011</v>
      </c>
      <c r="E421" s="4">
        <f>('Equity Price Data'!C423-'Equity Price Data'!C422)/'Equity Price Data'!C422</f>
        <v>-0.0006422376366</v>
      </c>
      <c r="F421" s="4">
        <f>('Equity Price Data'!D423-'Equity Price Data'!D422)/'Equity Price Data'!D422</f>
        <v>0.002482558821</v>
      </c>
      <c r="G421" s="4">
        <f>('Equity Price Data'!E423-'Equity Price Data'!E422)/'Equity Price Data'!E422</f>
        <v>0.005957521959</v>
      </c>
      <c r="H421" s="4">
        <f>('Equity Price Data'!F423-'Equity Price Data'!F422)/'Equity Price Data'!F422</f>
        <v>0.008643707291</v>
      </c>
      <c r="L421" s="1"/>
      <c r="M421" s="1"/>
      <c r="N421" s="1"/>
      <c r="O421" s="1"/>
    </row>
    <row r="422">
      <c r="A422" s="43">
        <f>Sheet11!A422</f>
        <v>46038.66667</v>
      </c>
      <c r="B422" s="44">
        <f t="shared" si="2"/>
        <v>46053</v>
      </c>
      <c r="C422" s="4">
        <f>('Equity Price Data'!B424-'Equity Price Data'!B423)/'Equity Price Data'!B423</f>
        <v>-0.003096816679</v>
      </c>
      <c r="D422" s="4">
        <f t="shared" si="3"/>
        <v>-0.003295229378</v>
      </c>
      <c r="E422" s="4">
        <f>('Equity Price Data'!C424-'Equity Price Data'!C423)/'Equity Price Data'!C423</f>
        <v>-0.02062677143</v>
      </c>
      <c r="F422" s="4">
        <f>('Equity Price Data'!D424-'Equity Price Data'!D423)/'Equity Price Data'!D423</f>
        <v>-0.0006217589275</v>
      </c>
      <c r="G422" s="4">
        <f>('Equity Price Data'!E424-'Equity Price Data'!E423)/'Equity Price Data'!E423</f>
        <v>-0.001680944549</v>
      </c>
      <c r="H422" s="4">
        <f>('Equity Price Data'!F424-'Equity Price Data'!F423)/'Equity Price Data'!F423</f>
        <v>0.001188980617</v>
      </c>
      <c r="L422" s="1"/>
      <c r="M422" s="1"/>
      <c r="N422" s="1"/>
      <c r="O422" s="1"/>
    </row>
    <row r="423">
      <c r="A423" s="43">
        <f>Sheet11!A423</f>
        <v>46042.66667</v>
      </c>
      <c r="B423" s="44">
        <f t="shared" si="2"/>
        <v>46053</v>
      </c>
      <c r="C423" s="4">
        <f>('Equity Price Data'!B425-'Equity Price Data'!B424)/'Equity Price Data'!B424</f>
        <v>-0.01506566196</v>
      </c>
      <c r="D423" s="4">
        <f t="shared" si="3"/>
        <v>-0.01526407466</v>
      </c>
      <c r="E423" s="4">
        <f>('Equity Price Data'!C425-'Equity Price Data'!C424)/'Equity Price Data'!C424</f>
        <v>0.01158770373</v>
      </c>
      <c r="F423" s="4">
        <f>('Equity Price Data'!D425-'Equity Price Data'!D424)/'Equity Price Data'!D424</f>
        <v>-0.02385969359</v>
      </c>
      <c r="G423" s="4">
        <f>('Equity Price Data'!E425-'Equity Price Data'!E424)/'Equity Price Data'!E424</f>
        <v>-0.01764083913</v>
      </c>
      <c r="H423" s="4">
        <f>('Equity Price Data'!F425-'Equity Price Data'!F424)/'Equity Price Data'!F424</f>
        <v>-0.01209228678</v>
      </c>
      <c r="L423" s="1"/>
      <c r="M423" s="1"/>
      <c r="N423" s="1"/>
      <c r="O423" s="1"/>
    </row>
    <row r="424">
      <c r="A424" s="43">
        <f>Sheet11!A424</f>
        <v>46043.66667</v>
      </c>
      <c r="B424" s="44">
        <f t="shared" si="2"/>
        <v>46053</v>
      </c>
      <c r="C424" s="4">
        <f>('Equity Price Data'!B426-'Equity Price Data'!B425)/'Equity Price Data'!B425</f>
        <v>0.008531833614</v>
      </c>
      <c r="D424" s="4">
        <f t="shared" si="3"/>
        <v>0.008333420915</v>
      </c>
      <c r="E424" s="4">
        <f>('Equity Price Data'!C426-'Equity Price Data'!C425)/'Equity Price Data'!C425</f>
        <v>0.005487505127</v>
      </c>
      <c r="F424" s="4">
        <f>('Equity Price Data'!D426-'Equity Price Data'!D425)/'Equity Price Data'!D425</f>
        <v>0.01178470981</v>
      </c>
      <c r="G424" s="4">
        <f>('Equity Price Data'!E426-'Equity Price Data'!E425)/'Equity Price Data'!E425</f>
        <v>0.01213976319</v>
      </c>
      <c r="H424" s="4">
        <f>('Equity Price Data'!F426-'Equity Price Data'!F425)/'Equity Price Data'!F425</f>
        <v>0.01996325642</v>
      </c>
      <c r="L424" s="1"/>
      <c r="M424" s="1"/>
      <c r="N424" s="1"/>
      <c r="O424" s="1"/>
    </row>
    <row r="425">
      <c r="A425" s="43">
        <f>Sheet11!A425</f>
        <v>46044.66667</v>
      </c>
      <c r="B425" s="44">
        <f t="shared" si="2"/>
        <v>46053</v>
      </c>
      <c r="C425" s="4">
        <f>('Equity Price Data'!B427-'Equity Price Data'!B426)/'Equity Price Data'!B426</f>
        <v>0.005410832502</v>
      </c>
      <c r="D425" s="4">
        <f t="shared" si="3"/>
        <v>0.005212419804</v>
      </c>
      <c r="E425" s="4">
        <f>('Equity Price Data'!C427-'Equity Price Data'!C426)/'Equity Price Data'!C426</f>
        <v>0.0003269037442</v>
      </c>
      <c r="F425" s="4">
        <f>('Equity Price Data'!D427-'Equity Price Data'!D426)/'Equity Price Data'!D426</f>
        <v>0.009093285075</v>
      </c>
      <c r="G425" s="4">
        <f>('Equity Price Data'!E427-'Equity Price Data'!E426)/'Equity Price Data'!E426</f>
        <v>0.006250964042</v>
      </c>
      <c r="H425" s="4">
        <f>('Equity Price Data'!F427-'Equity Price Data'!F426)/'Equity Price Data'!F426</f>
        <v>0.00763480433</v>
      </c>
      <c r="L425" s="1"/>
      <c r="M425" s="1"/>
      <c r="N425" s="1"/>
      <c r="O425" s="1"/>
    </row>
    <row r="426">
      <c r="A426" s="43">
        <f>Sheet11!A426</f>
        <v>46045.66667</v>
      </c>
      <c r="B426" s="44">
        <f t="shared" si="2"/>
        <v>46053</v>
      </c>
      <c r="C426" s="4">
        <f>('Equity Price Data'!B428-'Equity Price Data'!B427)/'Equity Price Data'!B427</f>
        <v>-0.00193780288</v>
      </c>
      <c r="D426" s="4">
        <f t="shared" si="3"/>
        <v>-0.002136215578</v>
      </c>
      <c r="E426" s="4">
        <f>('Equity Price Data'!C428-'Equity Price Data'!C427)/'Equity Price Data'!C427</f>
        <v>0.005006065987</v>
      </c>
      <c r="F426" s="4">
        <f>('Equity Price Data'!D428-'Equity Price Data'!D427)/'Equity Price Data'!D427</f>
        <v>0.002782895731</v>
      </c>
      <c r="G426" s="4">
        <f>('Equity Price Data'!E428-'Equity Price Data'!E427)/'Equity Price Data'!E427</f>
        <v>-0.005777173624</v>
      </c>
      <c r="H426" s="4">
        <f>('Equity Price Data'!F428-'Equity Price Data'!F427)/'Equity Price Data'!F427</f>
        <v>-0.01824722209</v>
      </c>
      <c r="L426" s="1"/>
      <c r="M426" s="1"/>
      <c r="N426" s="1"/>
      <c r="O426" s="1"/>
    </row>
    <row r="427">
      <c r="A427" s="43">
        <f>Sheet11!A427</f>
        <v>46048.66667</v>
      </c>
      <c r="B427" s="44">
        <f t="shared" si="2"/>
        <v>46053</v>
      </c>
      <c r="C427" s="4">
        <f>('Equity Price Data'!B429-'Equity Price Data'!B428)/'Equity Price Data'!B428</f>
        <v>0.0002553153317</v>
      </c>
      <c r="D427" s="4">
        <f t="shared" si="3"/>
        <v>0.00005690263331</v>
      </c>
      <c r="E427" s="4">
        <f>('Equity Price Data'!C429-'Equity Price Data'!C428)/'Equity Price Data'!C428</f>
        <v>0.004081879305</v>
      </c>
      <c r="F427" s="4">
        <f>('Equity Price Data'!D429-'Equity Price Data'!D428)/'Equity Price Data'!D428</f>
        <v>0.004260200738</v>
      </c>
      <c r="G427" s="4">
        <f>('Equity Price Data'!E429-'Equity Price Data'!E428)/'Equity Price Data'!E428</f>
        <v>0.006388966227</v>
      </c>
      <c r="H427" s="4">
        <f>('Equity Price Data'!F429-'Equity Price Data'!F428)/'Equity Price Data'!F428</f>
        <v>-0.003555425677</v>
      </c>
      <c r="L427" s="1"/>
      <c r="M427" s="1"/>
      <c r="N427" s="1"/>
      <c r="O427" s="1"/>
    </row>
    <row r="428">
      <c r="A428" s="43">
        <f>Sheet11!A428</f>
        <v>46049.66667</v>
      </c>
      <c r="B428" s="44">
        <f t="shared" si="2"/>
        <v>46053</v>
      </c>
      <c r="C428" s="4">
        <f>('Equity Price Data'!B430-'Equity Price Data'!B429)/'Equity Price Data'!B429</f>
        <v>0.002687648097</v>
      </c>
      <c r="D428" s="4">
        <f t="shared" si="3"/>
        <v>0.002489235399</v>
      </c>
      <c r="E428" s="4">
        <f>('Equity Price Data'!C430-'Equity Price Data'!C429)/'Equity Price Data'!C429</f>
        <v>-0.00008167827358</v>
      </c>
      <c r="F428" s="4">
        <f>('Equity Price Data'!D430-'Equity Price Data'!D429)/'Equity Price Data'!D429</f>
        <v>0.009140998654</v>
      </c>
      <c r="G428" s="4">
        <f>('Equity Price Data'!E430-'Equity Price Data'!E429)/'Equity Price Data'!E429</f>
        <v>-0.008277072152</v>
      </c>
      <c r="H428" s="4">
        <f>('Equity Price Data'!F430-'Equity Price Data'!F429)/'Equity Price Data'!F429</f>
        <v>0.002643185057</v>
      </c>
      <c r="L428" s="1"/>
      <c r="M428" s="1"/>
      <c r="N428" s="1"/>
      <c r="O428" s="1"/>
    </row>
    <row r="429">
      <c r="A429" s="43">
        <f>Sheet11!A429</f>
        <v>46050.66667</v>
      </c>
      <c r="B429" s="44">
        <f t="shared" si="2"/>
        <v>46053</v>
      </c>
      <c r="C429" s="4">
        <f>('Equity Price Data'!B431-'Equity Price Data'!B430)/'Equity Price Data'!B430</f>
        <v>-0.0002732534704</v>
      </c>
      <c r="D429" s="4">
        <f t="shared" si="3"/>
        <v>-0.0004716661688</v>
      </c>
      <c r="E429" s="4">
        <f>('Equity Price Data'!C431-'Equity Price Data'!C430)/'Equity Price Data'!C430</f>
        <v>-0.001292628435</v>
      </c>
      <c r="F429" s="4">
        <f>('Equity Price Data'!D431-'Equity Price Data'!D430)/'Equity Price Data'!D430</f>
        <v>0.001694160918</v>
      </c>
      <c r="G429" s="4">
        <f>('Equity Price Data'!E431-'Equity Price Data'!E430)/'Equity Price Data'!E430</f>
        <v>0.0002487581987</v>
      </c>
      <c r="H429" s="4">
        <f>('Equity Price Data'!F431-'Equity Price Data'!F430)/'Equity Price Data'!F430</f>
        <v>-0.00493118836</v>
      </c>
      <c r="L429" s="1"/>
      <c r="M429" s="1"/>
      <c r="N429" s="1"/>
      <c r="O429" s="1"/>
    </row>
    <row r="430">
      <c r="A430" s="43">
        <f>Sheet11!A430</f>
        <v>46051.66667</v>
      </c>
      <c r="B430" s="44">
        <f t="shared" si="2"/>
        <v>46053</v>
      </c>
      <c r="C430" s="4">
        <f>('Equity Price Data'!B432-'Equity Price Data'!B431)/'Equity Price Data'!B431</f>
        <v>0.001582591274</v>
      </c>
      <c r="D430" s="4">
        <f t="shared" si="3"/>
        <v>0.001384178575</v>
      </c>
      <c r="E430" s="4">
        <f>('Equity Price Data'!C432-'Equity Price Data'!C431)/'Equity Price Data'!C431</f>
        <v>-0.004301902279</v>
      </c>
      <c r="F430" s="4">
        <f>('Equity Price Data'!D432-'Equity Price Data'!D431)/'Equity Price Data'!D431</f>
        <v>-0.007223320179</v>
      </c>
      <c r="G430" s="4">
        <f>('Equity Price Data'!E432-'Equity Price Data'!E431)/'Equity Price Data'!E431</f>
        <v>0.001141677344</v>
      </c>
      <c r="H430" s="4">
        <f>('Equity Price Data'!F432-'Equity Price Data'!F431)/'Equity Price Data'!F431</f>
        <v>0.0004635299881</v>
      </c>
      <c r="L430" s="1"/>
      <c r="M430" s="1"/>
      <c r="N430" s="1"/>
      <c r="O430" s="1"/>
    </row>
    <row r="431">
      <c r="A431" s="43">
        <f>Sheet11!A431</f>
        <v>46052.66667</v>
      </c>
      <c r="B431" s="44">
        <f t="shared" si="2"/>
        <v>46053</v>
      </c>
      <c r="C431" s="4">
        <f>('Equity Price Data'!B433-'Equity Price Data'!B432)/'Equity Price Data'!B432</f>
        <v>-0.004895833997</v>
      </c>
      <c r="D431" s="4">
        <f t="shared" si="3"/>
        <v>-0.005094246695</v>
      </c>
      <c r="E431" s="4">
        <f>('Equity Price Data'!C433-'Equity Price Data'!C432)/'Equity Price Data'!C432</f>
        <v>0.005391243445</v>
      </c>
      <c r="F431" s="4">
        <f>('Equity Price Data'!D433-'Equity Price Data'!D432)/'Equity Price Data'!D432</f>
        <v>-0.009427860192</v>
      </c>
      <c r="G431" s="4">
        <f>('Equity Price Data'!E433-'Equity Price Data'!E432)/'Equity Price Data'!E432</f>
        <v>-0.0036495681</v>
      </c>
      <c r="H431" s="4">
        <f>('Equity Price Data'!F433-'Equity Price Data'!F432)/'Equity Price Data'!F432</f>
        <v>-0.01545890808</v>
      </c>
      <c r="L431" s="1"/>
      <c r="M431" s="1"/>
      <c r="N431" s="1"/>
      <c r="O431" s="1"/>
    </row>
    <row r="432">
      <c r="A432" s="43">
        <f>Sheet11!A432</f>
        <v>46055.66667</v>
      </c>
      <c r="B432" s="44">
        <f t="shared" si="2"/>
        <v>46081</v>
      </c>
      <c r="C432" s="4">
        <f>('Equity Price Data'!B434-'Equity Price Data'!B433)/'Equity Price Data'!B433</f>
        <v>0.005042198306</v>
      </c>
      <c r="D432" s="4">
        <f t="shared" si="3"/>
        <v>0.004843785608</v>
      </c>
      <c r="E432" s="4">
        <f>('Equity Price Data'!C434-'Equity Price Data'!C433)/'Equity Price Data'!C433</f>
        <v>-0.008403999748</v>
      </c>
      <c r="F432" s="4">
        <f>('Equity Price Data'!D434-'Equity Price Data'!D433)/'Equity Price Data'!D433</f>
        <v>0.005553277623</v>
      </c>
      <c r="G432" s="4">
        <f>('Equity Price Data'!E434-'Equity Price Data'!E433)/'Equity Price Data'!E433</f>
        <v>0.01053720542</v>
      </c>
      <c r="H432" s="4">
        <f>('Equity Price Data'!F434-'Equity Price Data'!F433)/'Equity Price Data'!F433</f>
        <v>0.01015403215</v>
      </c>
      <c r="L432" s="1"/>
      <c r="M432" s="1"/>
      <c r="N432" s="1"/>
      <c r="O432" s="1"/>
    </row>
    <row r="433">
      <c r="A433" s="43">
        <f>Sheet11!A433</f>
        <v>46056.66667</v>
      </c>
      <c r="B433" s="44">
        <f t="shared" si="2"/>
        <v>46081</v>
      </c>
      <c r="C433" s="4">
        <f>('Equity Price Data'!B435-'Equity Price Data'!B434)/'Equity Price Data'!B434</f>
        <v>0.002243596334</v>
      </c>
      <c r="D433" s="4">
        <f t="shared" si="3"/>
        <v>0.002045183635</v>
      </c>
      <c r="E433" s="4">
        <f>('Equity Price Data'!C435-'Equity Price Data'!C434)/'Equity Price Data'!C434</f>
        <v>-0.005072414536</v>
      </c>
      <c r="F433" s="4">
        <f>('Equity Price Data'!D435-'Equity Price Data'!D434)/'Equity Price Data'!D434</f>
        <v>-0.01428104565</v>
      </c>
      <c r="G433" s="4">
        <f>('Equity Price Data'!E435-'Equity Price Data'!E434)/'Equity Price Data'!E434</f>
        <v>-0.003373363563</v>
      </c>
      <c r="H433" s="4">
        <f>('Equity Price Data'!F435-'Equity Price Data'!F434)/'Equity Price Data'!F434</f>
        <v>0.003113306164</v>
      </c>
      <c r="L433" s="1"/>
      <c r="M433" s="1"/>
      <c r="N433" s="1"/>
      <c r="O433" s="1"/>
    </row>
    <row r="434">
      <c r="A434" s="43">
        <f>Sheet11!A434</f>
        <v>46057.66667</v>
      </c>
      <c r="B434" s="44">
        <f t="shared" si="2"/>
        <v>46081</v>
      </c>
      <c r="C434" s="4">
        <f>('Equity Price Data'!B436-'Equity Price Data'!B435)/'Equity Price Data'!B435</f>
        <v>-0.008396898116</v>
      </c>
      <c r="D434" s="4">
        <f t="shared" si="3"/>
        <v>-0.008595310815</v>
      </c>
      <c r="E434" s="4">
        <f>('Equity Price Data'!C436-'Equity Price Data'!C435)/'Equity Price Data'!C435</f>
        <v>-0.01225097055</v>
      </c>
      <c r="F434" s="4">
        <f>('Equity Price Data'!D436-'Equity Price Data'!D435)/'Equity Price Data'!D435</f>
        <v>-0.01507663451</v>
      </c>
      <c r="G434" s="4">
        <f>('Equity Price Data'!E436-'Equity Price Data'!E435)/'Equity Price Data'!E435</f>
        <v>0.005286449359</v>
      </c>
      <c r="H434" s="4">
        <f>('Equity Price Data'!F436-'Equity Price Data'!F435)/'Equity Price Data'!F435</f>
        <v>-0.009042854446</v>
      </c>
      <c r="L434" s="1"/>
      <c r="M434" s="1"/>
      <c r="N434" s="1"/>
      <c r="O434" s="1"/>
    </row>
    <row r="435">
      <c r="A435" s="43">
        <f>Sheet11!A435</f>
        <v>46058.66667</v>
      </c>
      <c r="B435" s="44">
        <f t="shared" si="2"/>
        <v>46081</v>
      </c>
      <c r="C435" s="4">
        <f>('Equity Price Data'!B437-'Equity Price Data'!B436)/'Equity Price Data'!B436</f>
        <v>-0.009899873985</v>
      </c>
      <c r="D435" s="4">
        <f t="shared" si="3"/>
        <v>-0.01009828668</v>
      </c>
      <c r="E435" s="4">
        <f>('Equity Price Data'!C437-'Equity Price Data'!C436)/'Equity Price Data'!C436</f>
        <v>0.01969581078</v>
      </c>
      <c r="F435" s="4">
        <f>('Equity Price Data'!D437-'Equity Price Data'!D436)/'Equity Price Data'!D436</f>
        <v>-0.01589158151</v>
      </c>
      <c r="G435" s="4">
        <f>('Equity Price Data'!E437-'Equity Price Data'!E436)/'Equity Price Data'!E436</f>
        <v>-0.01197099874</v>
      </c>
      <c r="H435" s="4">
        <f>('Equity Price Data'!F437-'Equity Price Data'!F436)/'Equity Price Data'!F436</f>
        <v>-0.01786973005</v>
      </c>
      <c r="L435" s="1"/>
      <c r="M435" s="1"/>
      <c r="N435" s="1"/>
      <c r="O435" s="1"/>
    </row>
    <row r="436">
      <c r="A436" s="43">
        <f>Sheet11!A436</f>
        <v>46059.66667</v>
      </c>
      <c r="B436" s="44">
        <f t="shared" si="2"/>
        <v>46081</v>
      </c>
      <c r="C436" s="4">
        <f>('Equity Price Data'!B438-'Equity Price Data'!B437)/'Equity Price Data'!B437</f>
        <v>0.01897109277</v>
      </c>
      <c r="D436" s="4">
        <f t="shared" si="3"/>
        <v>0.01877268007</v>
      </c>
      <c r="E436" s="4">
        <f>('Equity Price Data'!C438-'Equity Price Data'!C437)/'Equity Price Data'!C437</f>
        <v>0.004691083767</v>
      </c>
      <c r="F436" s="4">
        <f>('Equity Price Data'!D438-'Equity Price Data'!D437)/'Equity Price Data'!D437</f>
        <v>0.02176606735</v>
      </c>
      <c r="G436" s="4">
        <f>('Equity Price Data'!E438-'Equity Price Data'!E437)/'Equity Price Data'!E437</f>
        <v>0.0246776035</v>
      </c>
      <c r="H436" s="4">
        <f>('Equity Price Data'!F438-'Equity Price Data'!F437)/'Equity Price Data'!F437</f>
        <v>0.03595911004</v>
      </c>
      <c r="L436" s="1"/>
      <c r="M436" s="1"/>
      <c r="N436" s="1"/>
      <c r="O436" s="1"/>
    </row>
    <row r="437">
      <c r="A437" s="43">
        <f>Sheet11!A437</f>
        <v>46062.66667</v>
      </c>
      <c r="B437" s="44">
        <f t="shared" si="2"/>
        <v>46081</v>
      </c>
      <c r="C437" s="4">
        <f>('Equity Price Data'!B439-'Equity Price Data'!B438)/'Equity Price Data'!B438</f>
        <v>0.004008714099</v>
      </c>
      <c r="D437" s="4">
        <f t="shared" si="3"/>
        <v>0.003810301401</v>
      </c>
      <c r="E437" s="4">
        <f>('Equity Price Data'!C439-'Equity Price Data'!C438)/'Equity Price Data'!C438</f>
        <v>-0.003303746543</v>
      </c>
      <c r="F437" s="4">
        <f>('Equity Price Data'!D439-'Equity Price Data'!D438)/'Equity Price Data'!D438</f>
        <v>0.009007776838</v>
      </c>
      <c r="G437" s="4">
        <f>('Equity Price Data'!E439-'Equity Price Data'!E438)/'Equity Price Data'!E438</f>
        <v>0.0004030675435</v>
      </c>
      <c r="H437" s="4">
        <f>('Equity Price Data'!F439-'Equity Price Data'!F438)/'Equity Price Data'!F438</f>
        <v>0.007006598411</v>
      </c>
      <c r="L437" s="1"/>
      <c r="M437" s="1"/>
      <c r="N437" s="1"/>
      <c r="O437" s="1"/>
    </row>
    <row r="438">
      <c r="A438" s="43">
        <f>Sheet11!A438</f>
        <v>46063.66667</v>
      </c>
      <c r="B438" s="44">
        <f t="shared" si="2"/>
        <v>46081</v>
      </c>
      <c r="C438" s="4">
        <f>('Equity Price Data'!B440-'Equity Price Data'!B439)/'Equity Price Data'!B439</f>
        <v>-0.001670579165</v>
      </c>
      <c r="D438" s="4">
        <f t="shared" si="3"/>
        <v>-0.001868991863</v>
      </c>
      <c r="E438" s="4">
        <f>('Equity Price Data'!C440-'Equity Price Data'!C439)/'Equity Price Data'!C439</f>
        <v>-0.00004897858051</v>
      </c>
      <c r="F438" s="4">
        <f>('Equity Price Data'!D440-'Equity Price Data'!D439)/'Equity Price Data'!D439</f>
        <v>-0.005860920612</v>
      </c>
      <c r="G438" s="4">
        <f>('Equity Price Data'!E440-'Equity Price Data'!E439)/'Equity Price Data'!E439</f>
        <v>0.001042566929</v>
      </c>
      <c r="H438" s="4">
        <f>('Equity Price Data'!F440-'Equity Price Data'!F439)/'Equity Price Data'!F439</f>
        <v>-0.003451032893</v>
      </c>
      <c r="L438" s="1"/>
      <c r="M438" s="1"/>
      <c r="N438" s="1"/>
      <c r="O438" s="1"/>
    </row>
    <row r="439">
      <c r="A439" s="43">
        <f>Sheet11!A439</f>
        <v>46064.66667</v>
      </c>
      <c r="B439" s="1"/>
      <c r="C439" s="1"/>
      <c r="D439" s="4"/>
      <c r="E439" s="4"/>
      <c r="F439" s="1"/>
      <c r="G439" s="1"/>
      <c r="H439" s="1"/>
      <c r="L439" s="1"/>
      <c r="M439" s="1"/>
      <c r="N439" s="1"/>
      <c r="O439" s="1"/>
    </row>
    <row r="440">
      <c r="A440" s="43">
        <f>Sheet11!A440</f>
        <v>46065.66667</v>
      </c>
      <c r="B440" s="1"/>
      <c r="C440" s="1"/>
      <c r="D440" s="4"/>
      <c r="E440" s="4"/>
      <c r="F440" s="1"/>
      <c r="G440" s="1"/>
      <c r="H440" s="1"/>
      <c r="L440" s="1"/>
      <c r="M440" s="1"/>
      <c r="N440" s="1"/>
      <c r="O440" s="1"/>
    </row>
    <row r="441">
      <c r="A441" s="43">
        <f>Sheet11!A441</f>
        <v>46066.66667</v>
      </c>
      <c r="B441" s="1"/>
      <c r="C441" s="1"/>
      <c r="D441" s="4"/>
      <c r="E441" s="4"/>
      <c r="F441" s="1"/>
      <c r="G441" s="1"/>
      <c r="H441" s="1"/>
      <c r="L441" s="1"/>
      <c r="M441" s="1"/>
      <c r="N441" s="1"/>
      <c r="O441" s="1"/>
    </row>
    <row r="442">
      <c r="A442" s="43">
        <f>Sheet11!A442</f>
        <v>46070.66667</v>
      </c>
      <c r="B442" s="1"/>
      <c r="C442" s="1"/>
      <c r="D442" s="4"/>
      <c r="E442" s="4"/>
      <c r="F442" s="1"/>
      <c r="G442" s="1"/>
      <c r="H442" s="1"/>
      <c r="L442" s="1"/>
      <c r="M442" s="1"/>
      <c r="N442" s="1"/>
      <c r="O442" s="1"/>
    </row>
    <row r="443">
      <c r="A443" s="43">
        <f>Sheet11!A443</f>
        <v>46071.66667</v>
      </c>
      <c r="B443" s="1"/>
      <c r="C443" s="1"/>
      <c r="D443" s="4"/>
      <c r="E443" s="4"/>
      <c r="F443" s="1"/>
      <c r="G443" s="1"/>
      <c r="H443" s="1"/>
      <c r="L443" s="1"/>
      <c r="M443" s="1"/>
      <c r="N443" s="1"/>
      <c r="O443" s="1"/>
    </row>
    <row r="444">
      <c r="A444" s="43">
        <f>Sheet11!A444</f>
        <v>46072.66667</v>
      </c>
      <c r="B444" s="1"/>
      <c r="C444" s="1"/>
      <c r="D444" s="4"/>
      <c r="E444" s="4"/>
      <c r="F444" s="1"/>
      <c r="G444" s="1"/>
      <c r="H444" s="1"/>
      <c r="L444" s="1"/>
      <c r="M444" s="1"/>
      <c r="N444" s="1"/>
      <c r="O444" s="1"/>
    </row>
    <row r="445">
      <c r="A445" s="43">
        <f>Sheet11!A445</f>
        <v>46073.66667</v>
      </c>
      <c r="B445" s="1"/>
      <c r="C445" s="1"/>
      <c r="D445" s="4"/>
      <c r="E445" s="4"/>
      <c r="F445" s="1"/>
      <c r="G445" s="1"/>
      <c r="H445" s="1"/>
      <c r="L445" s="1"/>
      <c r="M445" s="1"/>
      <c r="N445" s="1"/>
      <c r="O445" s="1"/>
    </row>
    <row r="446">
      <c r="A446" s="43">
        <f>Sheet11!A446</f>
        <v>46076.66667</v>
      </c>
      <c r="B446" s="1"/>
      <c r="C446" s="1"/>
      <c r="D446" s="4"/>
      <c r="E446" s="4"/>
      <c r="F446" s="1"/>
      <c r="G446" s="1"/>
      <c r="H446" s="1"/>
      <c r="L446" s="1"/>
      <c r="M446" s="1"/>
      <c r="N446" s="1"/>
      <c r="O446" s="1"/>
    </row>
    <row r="447">
      <c r="A447" s="43">
        <f>Sheet11!A447</f>
        <v>46077.66667</v>
      </c>
      <c r="B447" s="1"/>
      <c r="C447" s="1"/>
      <c r="D447" s="4"/>
      <c r="E447" s="4"/>
      <c r="F447" s="1"/>
      <c r="G447" s="1"/>
      <c r="H447" s="1"/>
      <c r="L447" s="1"/>
      <c r="M447" s="1"/>
      <c r="N447" s="1"/>
      <c r="O447" s="1"/>
    </row>
    <row r="448">
      <c r="A448" s="43" t="str">
        <f>Sheet11!A448</f>
        <v/>
      </c>
      <c r="B448" s="1"/>
      <c r="C448" s="1"/>
      <c r="D448" s="4"/>
      <c r="E448" s="4"/>
      <c r="F448" s="1"/>
      <c r="G448" s="1"/>
      <c r="H448" s="1"/>
      <c r="L448" s="1"/>
      <c r="M448" s="1"/>
      <c r="N448" s="1"/>
      <c r="O448" s="1"/>
    </row>
    <row r="449">
      <c r="A449" s="43" t="str">
        <f>Sheet11!A449</f>
        <v/>
      </c>
      <c r="B449" s="1"/>
      <c r="C449" s="1"/>
      <c r="D449" s="4"/>
      <c r="E449" s="4"/>
      <c r="F449" s="1"/>
      <c r="G449" s="1"/>
      <c r="H449" s="1"/>
      <c r="L449" s="1"/>
      <c r="M449" s="1"/>
      <c r="N449" s="1"/>
      <c r="O449" s="1"/>
    </row>
    <row r="450">
      <c r="A450" s="43" t="str">
        <f>Sheet11!A450</f>
        <v/>
      </c>
      <c r="B450" s="1"/>
      <c r="C450" s="1"/>
      <c r="D450" s="4"/>
      <c r="E450" s="4"/>
      <c r="F450" s="1"/>
      <c r="G450" s="1"/>
      <c r="H450" s="1"/>
      <c r="L450" s="1"/>
      <c r="M450" s="1"/>
      <c r="N450" s="1"/>
      <c r="O450" s="1"/>
    </row>
    <row r="451">
      <c r="A451" s="43" t="str">
        <f>Sheet11!A451</f>
        <v/>
      </c>
      <c r="B451" s="1"/>
      <c r="C451" s="1"/>
      <c r="D451" s="4"/>
      <c r="E451" s="4"/>
      <c r="F451" s="1"/>
      <c r="G451" s="1"/>
      <c r="H451" s="1"/>
      <c r="L451" s="1"/>
      <c r="M451" s="1"/>
      <c r="N451" s="1"/>
      <c r="O451" s="1"/>
    </row>
    <row r="452">
      <c r="A452" s="43" t="str">
        <f>Sheet11!A452</f>
        <v/>
      </c>
      <c r="B452" s="1"/>
      <c r="C452" s="1"/>
      <c r="D452" s="4"/>
      <c r="E452" s="4"/>
      <c r="F452" s="1"/>
      <c r="G452" s="1"/>
      <c r="H452" s="1"/>
      <c r="L452" s="1"/>
      <c r="M452" s="1"/>
      <c r="N452" s="1"/>
      <c r="O452" s="1"/>
    </row>
    <row r="453">
      <c r="A453" s="43" t="str">
        <f>Sheet11!A453</f>
        <v/>
      </c>
      <c r="B453" s="1"/>
      <c r="C453" s="1"/>
      <c r="D453" s="4"/>
      <c r="E453" s="4"/>
      <c r="F453" s="1"/>
      <c r="G453" s="1"/>
      <c r="H453" s="1"/>
      <c r="L453" s="1"/>
      <c r="M453" s="1"/>
      <c r="N453" s="1"/>
      <c r="O453" s="1"/>
    </row>
    <row r="454">
      <c r="A454" s="43" t="str">
        <f>Sheet11!A454</f>
        <v/>
      </c>
      <c r="B454" s="1"/>
      <c r="C454" s="1"/>
      <c r="D454" s="4"/>
      <c r="E454" s="4"/>
      <c r="F454" s="1"/>
      <c r="G454" s="1"/>
      <c r="H454" s="1"/>
      <c r="L454" s="1"/>
      <c r="M454" s="1"/>
      <c r="N454" s="1"/>
      <c r="O454" s="1"/>
    </row>
    <row r="455">
      <c r="A455" s="43" t="str">
        <f>Sheet11!A455</f>
        <v/>
      </c>
      <c r="B455" s="1"/>
      <c r="C455" s="1"/>
      <c r="D455" s="4"/>
      <c r="E455" s="4"/>
      <c r="F455" s="1"/>
      <c r="G455" s="1"/>
      <c r="H455" s="1"/>
      <c r="L455" s="1"/>
      <c r="M455" s="1"/>
      <c r="N455" s="1"/>
      <c r="O455" s="1"/>
    </row>
    <row r="456">
      <c r="A456" s="43" t="str">
        <f>Sheet11!A456</f>
        <v/>
      </c>
      <c r="B456" s="1"/>
      <c r="C456" s="1"/>
      <c r="D456" s="4"/>
      <c r="E456" s="4"/>
      <c r="F456" s="1"/>
      <c r="G456" s="1"/>
      <c r="H456" s="1"/>
      <c r="L456" s="1"/>
      <c r="M456" s="1"/>
      <c r="N456" s="1"/>
      <c r="O456" s="1"/>
    </row>
    <row r="457">
      <c r="A457" s="43" t="str">
        <f>Sheet11!A457</f>
        <v/>
      </c>
      <c r="B457" s="1"/>
      <c r="C457" s="1"/>
      <c r="D457" s="4"/>
      <c r="E457" s="4"/>
      <c r="F457" s="1"/>
      <c r="G457" s="1"/>
      <c r="H457" s="1"/>
      <c r="L457" s="1"/>
      <c r="M457" s="1"/>
      <c r="N457" s="1"/>
      <c r="O457" s="1"/>
    </row>
    <row r="458">
      <c r="A458" s="43" t="str">
        <f>Sheet11!A458</f>
        <v/>
      </c>
      <c r="B458" s="1"/>
      <c r="C458" s="1"/>
      <c r="D458" s="4"/>
      <c r="E458" s="4"/>
      <c r="F458" s="1"/>
      <c r="G458" s="1"/>
      <c r="H458" s="1"/>
      <c r="L458" s="1"/>
      <c r="M458" s="1"/>
      <c r="N458" s="1"/>
      <c r="O458" s="1"/>
    </row>
    <row r="459">
      <c r="A459" s="43" t="str">
        <f>Sheet11!A459</f>
        <v/>
      </c>
      <c r="B459" s="1"/>
      <c r="C459" s="1"/>
      <c r="D459" s="4"/>
      <c r="E459" s="4"/>
      <c r="F459" s="1"/>
      <c r="G459" s="1"/>
      <c r="H459" s="1"/>
      <c r="L459" s="1"/>
      <c r="M459" s="1"/>
      <c r="N459" s="1"/>
      <c r="O459" s="1"/>
    </row>
    <row r="460">
      <c r="A460" s="43" t="str">
        <f>Sheet11!A460</f>
        <v/>
      </c>
      <c r="B460" s="1"/>
      <c r="C460" s="1"/>
      <c r="D460" s="4"/>
      <c r="E460" s="4"/>
      <c r="F460" s="1"/>
      <c r="G460" s="1"/>
      <c r="H460" s="1"/>
      <c r="L460" s="1"/>
      <c r="M460" s="1"/>
      <c r="N460" s="1"/>
      <c r="O460" s="1"/>
    </row>
    <row r="461">
      <c r="A461" s="43" t="str">
        <f>Sheet11!A461</f>
        <v/>
      </c>
      <c r="B461" s="1"/>
      <c r="C461" s="1"/>
      <c r="D461" s="4"/>
      <c r="E461" s="4"/>
      <c r="F461" s="1"/>
      <c r="G461" s="1"/>
      <c r="H461" s="1"/>
      <c r="L461" s="1"/>
      <c r="M461" s="1"/>
      <c r="N461" s="1"/>
      <c r="O461" s="1"/>
    </row>
    <row r="462">
      <c r="A462" s="43" t="str">
        <f>Sheet11!A462</f>
        <v/>
      </c>
      <c r="B462" s="1"/>
      <c r="C462" s="1"/>
      <c r="D462" s="4"/>
      <c r="E462" s="4"/>
      <c r="F462" s="1"/>
      <c r="G462" s="1"/>
      <c r="H462" s="1"/>
      <c r="L462" s="1"/>
      <c r="M462" s="1"/>
      <c r="N462" s="1"/>
      <c r="O462" s="1"/>
    </row>
    <row r="463">
      <c r="A463" s="43" t="str">
        <f>Sheet11!A463</f>
        <v/>
      </c>
      <c r="B463" s="1"/>
      <c r="C463" s="1"/>
      <c r="D463" s="4"/>
      <c r="E463" s="4"/>
      <c r="F463" s="1"/>
      <c r="G463" s="1"/>
      <c r="H463" s="1"/>
      <c r="L463" s="1"/>
      <c r="M463" s="1"/>
      <c r="N463" s="1"/>
      <c r="O463" s="1"/>
    </row>
    <row r="464">
      <c r="A464" s="43" t="str">
        <f>Sheet11!A464</f>
        <v/>
      </c>
      <c r="B464" s="1"/>
      <c r="C464" s="1"/>
      <c r="D464" s="4"/>
      <c r="E464" s="4"/>
      <c r="F464" s="1"/>
      <c r="G464" s="1"/>
      <c r="H464" s="1"/>
      <c r="L464" s="1"/>
      <c r="M464" s="1"/>
      <c r="N464" s="1"/>
      <c r="O464" s="1"/>
    </row>
    <row r="465">
      <c r="A465" s="43" t="str">
        <f>Sheet11!A465</f>
        <v/>
      </c>
      <c r="B465" s="1"/>
      <c r="C465" s="1"/>
      <c r="D465" s="4"/>
      <c r="E465" s="4"/>
      <c r="F465" s="1"/>
      <c r="G465" s="1"/>
      <c r="H465" s="1"/>
      <c r="L465" s="1"/>
      <c r="M465" s="1"/>
      <c r="N465" s="1"/>
      <c r="O465" s="1"/>
    </row>
    <row r="466">
      <c r="A466" s="43" t="str">
        <f>Sheet11!A466</f>
        <v/>
      </c>
      <c r="B466" s="1"/>
      <c r="C466" s="1"/>
      <c r="D466" s="4"/>
      <c r="E466" s="4"/>
      <c r="F466" s="1"/>
      <c r="G466" s="1"/>
      <c r="H466" s="1"/>
      <c r="L466" s="1"/>
      <c r="M466" s="1"/>
      <c r="N466" s="1"/>
      <c r="O466" s="1"/>
    </row>
    <row r="467">
      <c r="A467" s="43" t="str">
        <f>Sheet11!A467</f>
        <v/>
      </c>
      <c r="B467" s="1"/>
      <c r="C467" s="1"/>
      <c r="D467" s="4"/>
      <c r="E467" s="4"/>
      <c r="F467" s="1"/>
      <c r="G467" s="1"/>
      <c r="H467" s="1"/>
      <c r="L467" s="1"/>
      <c r="M467" s="1"/>
      <c r="N467" s="1"/>
      <c r="O467" s="1"/>
    </row>
    <row r="468">
      <c r="A468" s="43" t="str">
        <f>Sheet11!A468</f>
        <v/>
      </c>
      <c r="B468" s="1"/>
      <c r="C468" s="1"/>
      <c r="D468" s="4"/>
      <c r="E468" s="4"/>
      <c r="F468" s="1"/>
      <c r="G468" s="1"/>
      <c r="H468" s="1"/>
      <c r="L468" s="1"/>
      <c r="M468" s="1"/>
      <c r="N468" s="1"/>
      <c r="O468" s="1"/>
    </row>
    <row r="469">
      <c r="A469" s="43" t="str">
        <f>Sheet11!A469</f>
        <v/>
      </c>
      <c r="B469" s="1"/>
      <c r="C469" s="1"/>
      <c r="D469" s="4"/>
      <c r="E469" s="4"/>
      <c r="F469" s="1"/>
      <c r="G469" s="1"/>
      <c r="H469" s="1"/>
      <c r="L469" s="1"/>
      <c r="M469" s="1"/>
      <c r="N469" s="1"/>
      <c r="O469" s="1"/>
    </row>
    <row r="470">
      <c r="A470" s="43" t="str">
        <f>Sheet11!A470</f>
        <v/>
      </c>
      <c r="B470" s="1"/>
      <c r="C470" s="1"/>
      <c r="D470" s="4"/>
      <c r="E470" s="4"/>
      <c r="F470" s="1"/>
      <c r="G470" s="1"/>
      <c r="H470" s="1"/>
      <c r="L470" s="1"/>
      <c r="M470" s="1"/>
      <c r="N470" s="1"/>
      <c r="O470" s="1"/>
    </row>
    <row r="471">
      <c r="A471" s="43" t="str">
        <f>Sheet11!A471</f>
        <v/>
      </c>
      <c r="B471" s="1"/>
      <c r="C471" s="1"/>
      <c r="D471" s="4"/>
      <c r="E471" s="4"/>
      <c r="F471" s="1"/>
      <c r="G471" s="1"/>
      <c r="H471" s="1"/>
      <c r="L471" s="1"/>
      <c r="M471" s="1"/>
      <c r="N471" s="1"/>
      <c r="O471" s="1"/>
    </row>
    <row r="472">
      <c r="A472" s="43" t="str">
        <f>Sheet11!A472</f>
        <v/>
      </c>
      <c r="B472" s="1"/>
      <c r="C472" s="1"/>
      <c r="D472" s="4"/>
      <c r="E472" s="4"/>
      <c r="F472" s="1"/>
      <c r="G472" s="1"/>
      <c r="H472" s="1"/>
      <c r="L472" s="1"/>
      <c r="M472" s="1"/>
      <c r="N472" s="1"/>
      <c r="O472" s="1"/>
    </row>
    <row r="473">
      <c r="A473" s="43" t="str">
        <f>Sheet11!A473</f>
        <v/>
      </c>
      <c r="B473" s="1"/>
      <c r="C473" s="1"/>
      <c r="D473" s="4"/>
      <c r="E473" s="4"/>
      <c r="F473" s="1"/>
      <c r="G473" s="1"/>
      <c r="H473" s="1"/>
      <c r="L473" s="1"/>
      <c r="M473" s="1"/>
      <c r="N473" s="1"/>
      <c r="O473" s="1"/>
    </row>
    <row r="474">
      <c r="A474" s="43" t="str">
        <f>Sheet11!A474</f>
        <v/>
      </c>
      <c r="B474" s="1"/>
      <c r="C474" s="1"/>
      <c r="D474" s="4"/>
      <c r="E474" s="4"/>
      <c r="F474" s="1"/>
      <c r="G474" s="1"/>
      <c r="H474" s="1"/>
      <c r="L474" s="1"/>
      <c r="M474" s="1"/>
      <c r="N474" s="1"/>
      <c r="O474" s="1"/>
    </row>
    <row r="475">
      <c r="A475" s="43" t="str">
        <f>Sheet11!A475</f>
        <v/>
      </c>
      <c r="B475" s="1"/>
      <c r="C475" s="1"/>
      <c r="D475" s="4"/>
      <c r="E475" s="4"/>
      <c r="F475" s="1"/>
      <c r="G475" s="1"/>
      <c r="H475" s="1"/>
      <c r="L475" s="1"/>
      <c r="M475" s="1"/>
      <c r="N475" s="1"/>
      <c r="O475" s="1"/>
    </row>
    <row r="476">
      <c r="A476" s="43" t="str">
        <f>Sheet11!A476</f>
        <v/>
      </c>
      <c r="B476" s="1"/>
      <c r="C476" s="1"/>
      <c r="D476" s="4"/>
      <c r="E476" s="4"/>
      <c r="F476" s="1"/>
      <c r="G476" s="1"/>
      <c r="H476" s="1"/>
      <c r="L476" s="1"/>
      <c r="M476" s="1"/>
      <c r="N476" s="1"/>
      <c r="O476" s="1"/>
    </row>
    <row r="477">
      <c r="A477" s="43" t="str">
        <f>Sheet11!A477</f>
        <v/>
      </c>
      <c r="B477" s="1"/>
      <c r="C477" s="1"/>
      <c r="D477" s="4"/>
      <c r="E477" s="4"/>
      <c r="F477" s="1"/>
      <c r="G477" s="1"/>
      <c r="H477" s="1"/>
      <c r="L477" s="1"/>
      <c r="M477" s="1"/>
      <c r="N477" s="1"/>
      <c r="O477" s="1"/>
    </row>
    <row r="478">
      <c r="A478" s="43" t="str">
        <f>Sheet11!A478</f>
        <v/>
      </c>
      <c r="B478" s="1"/>
      <c r="C478" s="1"/>
      <c r="D478" s="4"/>
      <c r="E478" s="4"/>
      <c r="F478" s="1"/>
      <c r="G478" s="1"/>
      <c r="H478" s="1"/>
      <c r="L478" s="1"/>
      <c r="M478" s="1"/>
      <c r="N478" s="1"/>
      <c r="O478" s="1"/>
    </row>
    <row r="479">
      <c r="A479" s="43" t="str">
        <f>Sheet11!A479</f>
        <v/>
      </c>
      <c r="B479" s="1"/>
      <c r="C479" s="1"/>
      <c r="D479" s="4"/>
      <c r="E479" s="4"/>
      <c r="F479" s="1"/>
      <c r="G479" s="1"/>
      <c r="H479" s="1"/>
      <c r="L479" s="1"/>
      <c r="M479" s="1"/>
      <c r="N479" s="1"/>
      <c r="O479" s="1"/>
    </row>
    <row r="480">
      <c r="A480" s="43" t="str">
        <f>Sheet11!A480</f>
        <v/>
      </c>
      <c r="B480" s="1"/>
      <c r="C480" s="1"/>
      <c r="D480" s="4"/>
      <c r="E480" s="4"/>
      <c r="F480" s="1"/>
      <c r="G480" s="1"/>
      <c r="H480" s="1"/>
      <c r="L480" s="1"/>
      <c r="M480" s="1"/>
      <c r="N480" s="1"/>
      <c r="O480" s="1"/>
    </row>
    <row r="481">
      <c r="A481" s="43" t="str">
        <f>Sheet11!A481</f>
        <v/>
      </c>
      <c r="B481" s="1"/>
      <c r="C481" s="1"/>
      <c r="D481" s="4"/>
      <c r="E481" s="4"/>
      <c r="F481" s="1"/>
      <c r="G481" s="1"/>
      <c r="H481" s="1"/>
      <c r="L481" s="1"/>
      <c r="M481" s="1"/>
      <c r="N481" s="1"/>
      <c r="O481" s="1"/>
    </row>
    <row r="482">
      <c r="A482" s="43" t="str">
        <f>Sheet11!A482</f>
        <v/>
      </c>
      <c r="B482" s="1"/>
      <c r="C482" s="1"/>
      <c r="D482" s="4"/>
      <c r="E482" s="4"/>
      <c r="F482" s="1"/>
      <c r="G482" s="1"/>
      <c r="H482" s="1"/>
      <c r="L482" s="1"/>
      <c r="M482" s="1"/>
      <c r="N482" s="1"/>
      <c r="O482" s="1"/>
    </row>
    <row r="483">
      <c r="A483" s="43" t="str">
        <f>Sheet11!A483</f>
        <v/>
      </c>
      <c r="B483" s="1"/>
      <c r="C483" s="1"/>
      <c r="D483" s="4"/>
      <c r="E483" s="4"/>
      <c r="F483" s="1"/>
      <c r="G483" s="1"/>
      <c r="H483" s="1"/>
      <c r="L483" s="1"/>
      <c r="M483" s="1"/>
      <c r="N483" s="1"/>
      <c r="O483" s="1"/>
    </row>
    <row r="484">
      <c r="A484" s="43" t="str">
        <f>Sheet11!A484</f>
        <v/>
      </c>
      <c r="B484" s="1"/>
      <c r="C484" s="1"/>
      <c r="D484" s="4"/>
      <c r="E484" s="4"/>
      <c r="F484" s="1"/>
      <c r="G484" s="1"/>
      <c r="H484" s="1"/>
      <c r="L484" s="1"/>
      <c r="M484" s="1"/>
      <c r="N484" s="1"/>
      <c r="O484" s="1"/>
    </row>
    <row r="485">
      <c r="A485" s="43" t="str">
        <f>Sheet11!A485</f>
        <v/>
      </c>
      <c r="B485" s="1"/>
      <c r="C485" s="1"/>
      <c r="D485" s="4"/>
      <c r="E485" s="4"/>
      <c r="F485" s="1"/>
      <c r="G485" s="1"/>
      <c r="H485" s="1"/>
      <c r="L485" s="1"/>
      <c r="M485" s="1"/>
      <c r="N485" s="1"/>
      <c r="O485" s="1"/>
    </row>
    <row r="486">
      <c r="A486" s="43" t="str">
        <f>Sheet11!A486</f>
        <v/>
      </c>
      <c r="B486" s="1"/>
      <c r="C486" s="1"/>
      <c r="D486" s="4"/>
      <c r="E486" s="4"/>
      <c r="F486" s="1"/>
      <c r="G486" s="1"/>
      <c r="H486" s="1"/>
      <c r="L486" s="1"/>
      <c r="M486" s="1"/>
      <c r="N486" s="1"/>
      <c r="O486" s="1"/>
    </row>
    <row r="487">
      <c r="A487" s="43" t="str">
        <f>Sheet11!A487</f>
        <v/>
      </c>
      <c r="B487" s="1"/>
      <c r="C487" s="1"/>
      <c r="D487" s="4"/>
      <c r="E487" s="4"/>
      <c r="F487" s="1"/>
      <c r="G487" s="1"/>
      <c r="H487" s="1"/>
      <c r="L487" s="1"/>
      <c r="M487" s="1"/>
      <c r="N487" s="1"/>
      <c r="O487" s="1"/>
    </row>
    <row r="488">
      <c r="A488" s="43" t="str">
        <f>Sheet11!A488</f>
        <v/>
      </c>
      <c r="B488" s="1"/>
      <c r="C488" s="1"/>
      <c r="D488" s="4"/>
      <c r="E488" s="4"/>
      <c r="F488" s="1"/>
      <c r="G488" s="1"/>
      <c r="H488" s="1"/>
      <c r="L488" s="1"/>
      <c r="M488" s="1"/>
      <c r="N488" s="1"/>
      <c r="O488" s="1"/>
    </row>
    <row r="489">
      <c r="A489" s="43" t="str">
        <f>Sheet11!A489</f>
        <v/>
      </c>
      <c r="B489" s="1"/>
      <c r="C489" s="1"/>
      <c r="D489" s="1"/>
      <c r="E489" s="1"/>
      <c r="F489" s="1"/>
      <c r="G489" s="1"/>
      <c r="H489" s="1"/>
      <c r="L489" s="1"/>
      <c r="M489" s="1"/>
      <c r="N489" s="1"/>
      <c r="O489" s="1"/>
    </row>
    <row r="490">
      <c r="A490" s="43" t="str">
        <f>Sheet11!A490</f>
        <v/>
      </c>
      <c r="B490" s="1"/>
      <c r="C490" s="1"/>
      <c r="D490" s="1"/>
      <c r="E490" s="1"/>
      <c r="F490" s="1"/>
      <c r="G490" s="1"/>
      <c r="H490" s="1"/>
      <c r="L490" s="1"/>
      <c r="M490" s="1"/>
      <c r="N490" s="1"/>
      <c r="O490" s="1"/>
    </row>
    <row r="491">
      <c r="A491" s="43" t="str">
        <f>Sheet11!A491</f>
        <v/>
      </c>
      <c r="B491" s="1"/>
      <c r="C491" s="1"/>
      <c r="D491" s="1"/>
      <c r="E491" s="1"/>
      <c r="F491" s="1"/>
      <c r="G491" s="1"/>
      <c r="H491" s="1"/>
      <c r="L491" s="1"/>
      <c r="M491" s="1"/>
      <c r="N491" s="1"/>
      <c r="O491" s="1"/>
    </row>
    <row r="492">
      <c r="A492" s="43" t="str">
        <f>Sheet11!A492</f>
        <v/>
      </c>
      <c r="B492" s="1"/>
      <c r="C492" s="1"/>
      <c r="D492" s="1"/>
      <c r="E492" s="1"/>
      <c r="F492" s="1"/>
      <c r="G492" s="1"/>
      <c r="H492" s="1"/>
      <c r="L492" s="1"/>
      <c r="M492" s="1"/>
      <c r="N492" s="1"/>
      <c r="O492" s="1"/>
    </row>
    <row r="493">
      <c r="A493" s="43" t="str">
        <f>Sheet11!A493</f>
        <v/>
      </c>
      <c r="B493" s="1"/>
      <c r="C493" s="1"/>
      <c r="D493" s="1"/>
      <c r="E493" s="1"/>
      <c r="F493" s="1"/>
      <c r="G493" s="1"/>
      <c r="H493" s="1"/>
      <c r="L493" s="1"/>
      <c r="M493" s="1"/>
      <c r="N493" s="1"/>
      <c r="O493" s="1"/>
    </row>
    <row r="494">
      <c r="A494" s="43" t="str">
        <f>Sheet11!A494</f>
        <v/>
      </c>
      <c r="B494" s="1"/>
      <c r="C494" s="1"/>
      <c r="D494" s="1"/>
      <c r="E494" s="1"/>
      <c r="F494" s="1"/>
      <c r="G494" s="1"/>
      <c r="H494" s="1"/>
      <c r="L494" s="1"/>
      <c r="M494" s="1"/>
      <c r="N494" s="1"/>
      <c r="O494" s="1"/>
    </row>
    <row r="495">
      <c r="A495" s="43" t="str">
        <f>Sheet11!A495</f>
        <v/>
      </c>
      <c r="B495" s="1"/>
      <c r="C495" s="1"/>
      <c r="D495" s="1"/>
      <c r="E495" s="1"/>
      <c r="F495" s="1"/>
      <c r="G495" s="1"/>
      <c r="H495" s="1"/>
      <c r="L495" s="1"/>
      <c r="M495" s="1"/>
      <c r="N495" s="1"/>
      <c r="O495" s="1"/>
    </row>
    <row r="496">
      <c r="A496" s="43" t="str">
        <f>Sheet11!A496</f>
        <v/>
      </c>
      <c r="B496" s="1"/>
      <c r="C496" s="1"/>
      <c r="D496" s="1"/>
      <c r="E496" s="1"/>
      <c r="F496" s="1"/>
      <c r="G496" s="1"/>
      <c r="H496" s="1"/>
      <c r="L496" s="1"/>
      <c r="M496" s="1"/>
      <c r="N496" s="1"/>
      <c r="O496" s="1"/>
    </row>
    <row r="497">
      <c r="A497" s="43" t="str">
        <f>Sheet11!A497</f>
        <v/>
      </c>
      <c r="B497" s="1"/>
      <c r="C497" s="1"/>
      <c r="D497" s="1"/>
      <c r="E497" s="1"/>
      <c r="F497" s="1"/>
      <c r="G497" s="1"/>
      <c r="H497" s="1"/>
      <c r="L497" s="1"/>
      <c r="M497" s="1"/>
      <c r="N497" s="1"/>
      <c r="O497" s="1"/>
    </row>
    <row r="498">
      <c r="A498" s="43" t="str">
        <f>Sheet11!A498</f>
        <v/>
      </c>
      <c r="B498" s="1"/>
      <c r="C498" s="1"/>
      <c r="D498" s="1"/>
      <c r="E498" s="1"/>
      <c r="F498" s="1"/>
      <c r="G498" s="1"/>
      <c r="H498" s="1"/>
      <c r="L498" s="1"/>
      <c r="M498" s="1"/>
      <c r="N498" s="1"/>
      <c r="O498" s="1"/>
    </row>
    <row r="499">
      <c r="A499" s="43" t="str">
        <f>Sheet11!A499</f>
        <v/>
      </c>
      <c r="B499" s="1"/>
      <c r="C499" s="1"/>
      <c r="D499" s="1"/>
      <c r="E499" s="1"/>
      <c r="F499" s="1"/>
      <c r="G499" s="1"/>
      <c r="H499" s="1"/>
      <c r="L499" s="1"/>
      <c r="M499" s="1"/>
      <c r="N499" s="1"/>
      <c r="O499" s="1"/>
    </row>
    <row r="500">
      <c r="A500" s="43" t="str">
        <f>Sheet11!A500</f>
        <v/>
      </c>
      <c r="B500" s="1"/>
      <c r="C500" s="1"/>
      <c r="D500" s="1"/>
      <c r="E500" s="1"/>
      <c r="F500" s="1"/>
      <c r="G500" s="1"/>
      <c r="H500" s="1"/>
      <c r="L500" s="1"/>
      <c r="M500" s="1"/>
      <c r="N500" s="1"/>
      <c r="O500" s="1"/>
    </row>
    <row r="501">
      <c r="A501" s="1" t="str">
        <f>Sheet11!A501</f>
        <v/>
      </c>
      <c r="B501" s="1"/>
      <c r="C501" s="1"/>
      <c r="D501" s="1"/>
      <c r="E501" s="1"/>
      <c r="F501" s="1"/>
      <c r="G501" s="1"/>
      <c r="H501" s="1"/>
      <c r="L501" s="1"/>
      <c r="M501" s="1"/>
      <c r="N501" s="1"/>
      <c r="O501" s="1"/>
    </row>
    <row r="502">
      <c r="A502" s="1" t="str">
        <f>Sheet11!A502</f>
        <v/>
      </c>
      <c r="B502" s="1"/>
      <c r="C502" s="1"/>
      <c r="D502" s="1"/>
      <c r="E502" s="1"/>
      <c r="F502" s="1"/>
      <c r="G502" s="1"/>
      <c r="H502" s="1"/>
      <c r="L502" s="1"/>
      <c r="M502" s="1"/>
      <c r="N502" s="1"/>
      <c r="O502" s="1"/>
    </row>
    <row r="503">
      <c r="A503" s="1" t="str">
        <f>Sheet11!A503</f>
        <v/>
      </c>
      <c r="B503" s="1"/>
      <c r="C503" s="1"/>
      <c r="D503" s="1"/>
      <c r="E503" s="1"/>
      <c r="F503" s="1"/>
      <c r="G503" s="1"/>
      <c r="H503" s="1"/>
      <c r="L503" s="1"/>
      <c r="M503" s="1"/>
      <c r="N503" s="1"/>
      <c r="O503" s="1"/>
    </row>
    <row r="504">
      <c r="A504" s="1" t="str">
        <f>Sheet11!A504</f>
        <v/>
      </c>
      <c r="B504" s="1"/>
      <c r="C504" s="1"/>
      <c r="D504" s="1"/>
      <c r="E504" s="1"/>
      <c r="F504" s="1"/>
      <c r="G504" s="1"/>
      <c r="H504" s="1"/>
      <c r="L504" s="1"/>
      <c r="M504" s="1"/>
      <c r="N504" s="1"/>
      <c r="O504" s="1"/>
    </row>
    <row r="505">
      <c r="A505" s="1" t="str">
        <f>Sheet11!A505</f>
        <v/>
      </c>
      <c r="B505" s="1"/>
      <c r="C505" s="1"/>
      <c r="D505" s="1"/>
      <c r="E505" s="1"/>
      <c r="F505" s="1"/>
      <c r="G505" s="1"/>
      <c r="H505" s="1"/>
      <c r="L505" s="1"/>
      <c r="M505" s="1"/>
      <c r="N505" s="1"/>
      <c r="O505" s="1"/>
    </row>
    <row r="506">
      <c r="A506" s="1" t="str">
        <f>Sheet11!A506</f>
        <v/>
      </c>
      <c r="B506" s="1"/>
      <c r="C506" s="1"/>
      <c r="D506" s="1"/>
      <c r="E506" s="1"/>
      <c r="F506" s="1"/>
      <c r="G506" s="1"/>
      <c r="H506" s="1"/>
      <c r="L506" s="1"/>
      <c r="M506" s="1"/>
      <c r="N506" s="1"/>
      <c r="O506" s="1"/>
    </row>
    <row r="507">
      <c r="A507" s="1" t="str">
        <f>Sheet11!A507</f>
        <v/>
      </c>
      <c r="B507" s="1"/>
      <c r="C507" s="1"/>
      <c r="D507" s="1"/>
      <c r="E507" s="1"/>
      <c r="F507" s="1"/>
      <c r="G507" s="1"/>
      <c r="H507" s="1"/>
      <c r="L507" s="1"/>
      <c r="M507" s="1"/>
      <c r="N507" s="1"/>
      <c r="O507" s="1"/>
    </row>
    <row r="508">
      <c r="A508" s="1" t="str">
        <f>Sheet11!A508</f>
        <v/>
      </c>
      <c r="B508" s="1"/>
      <c r="C508" s="1"/>
      <c r="D508" s="1"/>
      <c r="E508" s="1"/>
      <c r="F508" s="1"/>
      <c r="G508" s="1"/>
      <c r="H508" s="1"/>
      <c r="L508" s="1"/>
      <c r="M508" s="1"/>
      <c r="N508" s="1"/>
      <c r="O508" s="1"/>
    </row>
    <row r="509">
      <c r="A509" s="1" t="str">
        <f>Sheet11!A509</f>
        <v/>
      </c>
      <c r="B509" s="1"/>
      <c r="C509" s="1"/>
      <c r="D509" s="1"/>
      <c r="E509" s="1"/>
      <c r="F509" s="1"/>
      <c r="G509" s="1"/>
      <c r="H509" s="1"/>
      <c r="L509" s="1"/>
      <c r="M509" s="1"/>
      <c r="N509" s="1"/>
      <c r="O509" s="1"/>
    </row>
    <row r="510">
      <c r="A510" s="1" t="str">
        <f>Sheet11!A510</f>
        <v/>
      </c>
      <c r="B510" s="1"/>
      <c r="C510" s="1"/>
      <c r="D510" s="1"/>
      <c r="E510" s="1"/>
      <c r="F510" s="1"/>
      <c r="G510" s="1"/>
      <c r="H510" s="1"/>
      <c r="L510" s="1"/>
      <c r="M510" s="1"/>
      <c r="N510" s="1"/>
      <c r="O510" s="1"/>
    </row>
    <row r="511">
      <c r="A511" s="1" t="str">
        <f>Sheet11!A511</f>
        <v/>
      </c>
      <c r="B511" s="1"/>
      <c r="C511" s="1"/>
      <c r="D511" s="1"/>
      <c r="E511" s="1"/>
      <c r="F511" s="1"/>
      <c r="G511" s="1"/>
      <c r="H511" s="1"/>
      <c r="L511" s="1"/>
      <c r="M511" s="1"/>
      <c r="N511" s="1"/>
      <c r="O511" s="1"/>
    </row>
    <row r="512">
      <c r="A512" s="1" t="str">
        <f>Sheet11!A512</f>
        <v/>
      </c>
      <c r="B512" s="1"/>
      <c r="C512" s="1"/>
      <c r="D512" s="1"/>
      <c r="E512" s="1"/>
      <c r="F512" s="1"/>
      <c r="G512" s="1"/>
      <c r="H512" s="1"/>
      <c r="L512" s="1"/>
      <c r="M512" s="1"/>
      <c r="N512" s="1"/>
      <c r="O512" s="1"/>
    </row>
    <row r="513">
      <c r="A513" s="1" t="str">
        <f>Sheet11!A513</f>
        <v/>
      </c>
      <c r="B513" s="1"/>
      <c r="C513" s="1"/>
      <c r="D513" s="1"/>
      <c r="E513" s="1"/>
      <c r="F513" s="1"/>
      <c r="G513" s="1"/>
      <c r="H513" s="1"/>
      <c r="L513" s="1"/>
      <c r="M513" s="1"/>
      <c r="N513" s="1"/>
      <c r="O513" s="1"/>
    </row>
    <row r="514">
      <c r="A514" s="1" t="str">
        <f>Sheet11!A514</f>
        <v/>
      </c>
      <c r="B514" s="1"/>
      <c r="C514" s="1"/>
      <c r="D514" s="1"/>
      <c r="E514" s="1"/>
      <c r="F514" s="1"/>
      <c r="G514" s="1"/>
      <c r="H514" s="1"/>
      <c r="L514" s="1"/>
      <c r="M514" s="1"/>
      <c r="N514" s="1"/>
      <c r="O514" s="1"/>
    </row>
    <row r="515">
      <c r="A515" s="1" t="str">
        <f>Sheet11!A515</f>
        <v/>
      </c>
      <c r="B515" s="1"/>
      <c r="C515" s="1"/>
      <c r="D515" s="1"/>
      <c r="E515" s="1"/>
      <c r="F515" s="1"/>
      <c r="G515" s="1"/>
      <c r="H515" s="1"/>
      <c r="L515" s="1"/>
      <c r="M515" s="1"/>
      <c r="N515" s="1"/>
      <c r="O515" s="1"/>
    </row>
    <row r="516">
      <c r="A516" s="1" t="str">
        <f>Sheet11!A516</f>
        <v/>
      </c>
      <c r="B516" s="1"/>
      <c r="C516" s="1"/>
      <c r="D516" s="1"/>
      <c r="E516" s="1"/>
      <c r="F516" s="1"/>
      <c r="G516" s="1"/>
      <c r="H516" s="1"/>
      <c r="L516" s="1"/>
      <c r="M516" s="1"/>
      <c r="N516" s="1"/>
      <c r="O516" s="1"/>
    </row>
    <row r="517">
      <c r="A517" s="1" t="str">
        <f>Sheet11!A517</f>
        <v/>
      </c>
      <c r="B517" s="1"/>
      <c r="C517" s="1"/>
      <c r="D517" s="1"/>
      <c r="E517" s="1"/>
      <c r="F517" s="1"/>
      <c r="G517" s="1"/>
      <c r="H517" s="1"/>
      <c r="L517" s="1"/>
      <c r="M517" s="1"/>
      <c r="N517" s="1"/>
      <c r="O517" s="1"/>
    </row>
    <row r="518">
      <c r="A518" s="1" t="str">
        <f>Sheet11!A518</f>
        <v/>
      </c>
      <c r="B518" s="1"/>
      <c r="C518" s="1"/>
      <c r="D518" s="1"/>
      <c r="E518" s="1"/>
      <c r="F518" s="1"/>
      <c r="G518" s="1"/>
      <c r="H518" s="1"/>
      <c r="L518" s="1"/>
      <c r="M518" s="1"/>
      <c r="N518" s="1"/>
      <c r="O518" s="1"/>
    </row>
    <row r="519">
      <c r="A519" s="1" t="str">
        <f>Sheet11!A519</f>
        <v/>
      </c>
      <c r="B519" s="1"/>
      <c r="C519" s="1"/>
      <c r="D519" s="1"/>
      <c r="E519" s="1"/>
      <c r="F519" s="1"/>
      <c r="G519" s="1"/>
      <c r="H519" s="1"/>
      <c r="L519" s="1"/>
      <c r="M519" s="1"/>
      <c r="N519" s="1"/>
      <c r="O519" s="1"/>
    </row>
    <row r="520">
      <c r="A520" s="1" t="str">
        <f>Sheet11!A520</f>
        <v/>
      </c>
      <c r="B520" s="1"/>
      <c r="C520" s="1"/>
      <c r="D520" s="1"/>
      <c r="E520" s="1"/>
      <c r="F520" s="1"/>
      <c r="G520" s="1"/>
      <c r="H520" s="1"/>
      <c r="L520" s="1"/>
      <c r="M520" s="1"/>
      <c r="N520" s="1"/>
      <c r="O520" s="1"/>
    </row>
    <row r="521">
      <c r="A521" s="1" t="str">
        <f>Sheet11!A521</f>
        <v/>
      </c>
      <c r="B521" s="1"/>
      <c r="C521" s="1"/>
      <c r="D521" s="1"/>
      <c r="E521" s="1"/>
      <c r="F521" s="1"/>
      <c r="G521" s="1"/>
      <c r="H521" s="1"/>
      <c r="L521" s="1"/>
      <c r="M521" s="1"/>
      <c r="N521" s="1"/>
      <c r="O521" s="1"/>
    </row>
    <row r="522">
      <c r="A522" s="1" t="str">
        <f>Sheet11!A522</f>
        <v/>
      </c>
      <c r="B522" s="1"/>
      <c r="C522" s="1"/>
      <c r="D522" s="1"/>
      <c r="E522" s="1"/>
      <c r="F522" s="1"/>
      <c r="G522" s="1"/>
      <c r="H522" s="1"/>
      <c r="L522" s="1"/>
      <c r="M522" s="1"/>
      <c r="N522" s="1"/>
      <c r="O522" s="1"/>
    </row>
    <row r="523">
      <c r="A523" s="1" t="str">
        <f>Sheet11!A523</f>
        <v/>
      </c>
      <c r="B523" s="1"/>
      <c r="C523" s="1"/>
      <c r="D523" s="1"/>
      <c r="E523" s="1"/>
      <c r="F523" s="1"/>
      <c r="G523" s="1"/>
      <c r="H523" s="1"/>
      <c r="L523" s="1"/>
      <c r="M523" s="1"/>
      <c r="N523" s="1"/>
      <c r="O523" s="1"/>
    </row>
    <row r="524">
      <c r="A524" s="1" t="str">
        <f>Sheet11!A524</f>
        <v/>
      </c>
      <c r="B524" s="1"/>
      <c r="C524" s="1"/>
      <c r="D524" s="1"/>
      <c r="E524" s="1"/>
      <c r="F524" s="1"/>
      <c r="G524" s="1"/>
      <c r="H524" s="1"/>
      <c r="L524" s="1"/>
      <c r="M524" s="1"/>
      <c r="N524" s="1"/>
      <c r="O524" s="1"/>
    </row>
    <row r="525">
      <c r="A525" s="1" t="str">
        <f>Sheet11!A525</f>
        <v/>
      </c>
      <c r="B525" s="1"/>
      <c r="C525" s="1"/>
      <c r="D525" s="1"/>
      <c r="E525" s="1"/>
      <c r="F525" s="1"/>
      <c r="G525" s="1"/>
      <c r="H525" s="1"/>
      <c r="L525" s="1"/>
      <c r="M525" s="1"/>
      <c r="N525" s="1"/>
      <c r="O525" s="1"/>
    </row>
    <row r="526">
      <c r="A526" s="1" t="str">
        <f>Sheet11!A526</f>
        <v/>
      </c>
      <c r="B526" s="1"/>
      <c r="C526" s="1"/>
      <c r="D526" s="1"/>
      <c r="E526" s="1"/>
      <c r="F526" s="1"/>
      <c r="G526" s="1"/>
      <c r="H526" s="1"/>
      <c r="L526" s="1"/>
      <c r="M526" s="1"/>
      <c r="N526" s="1"/>
      <c r="O526" s="1"/>
    </row>
    <row r="527">
      <c r="A527" s="1" t="str">
        <f>Sheet11!A527</f>
        <v/>
      </c>
      <c r="B527" s="1"/>
      <c r="C527" s="1"/>
      <c r="D527" s="1"/>
      <c r="E527" s="1"/>
      <c r="F527" s="1"/>
      <c r="G527" s="1"/>
      <c r="H527" s="1"/>
      <c r="L527" s="1"/>
      <c r="M527" s="1"/>
      <c r="N527" s="1"/>
      <c r="O527" s="1"/>
    </row>
    <row r="528">
      <c r="A528" s="1" t="str">
        <f>Sheet11!A528</f>
        <v/>
      </c>
      <c r="B528" s="1"/>
      <c r="C528" s="1"/>
      <c r="D528" s="1"/>
      <c r="E528" s="1"/>
      <c r="F528" s="1"/>
      <c r="G528" s="1"/>
      <c r="H528" s="1"/>
      <c r="L528" s="1"/>
      <c r="M528" s="1"/>
      <c r="N528" s="1"/>
      <c r="O528" s="1"/>
    </row>
    <row r="529">
      <c r="A529" s="1" t="str">
        <f>Sheet11!A529</f>
        <v/>
      </c>
      <c r="B529" s="1"/>
      <c r="C529" s="1"/>
      <c r="D529" s="1"/>
      <c r="E529" s="1"/>
      <c r="F529" s="1"/>
      <c r="G529" s="1"/>
      <c r="H529" s="1"/>
      <c r="L529" s="1"/>
      <c r="M529" s="1"/>
      <c r="N529" s="1"/>
      <c r="O529" s="1"/>
    </row>
    <row r="530">
      <c r="A530" s="1" t="str">
        <f>Sheet11!A530</f>
        <v/>
      </c>
      <c r="B530" s="1"/>
      <c r="C530" s="1"/>
      <c r="D530" s="1"/>
      <c r="E530" s="1"/>
      <c r="F530" s="1"/>
      <c r="G530" s="1"/>
      <c r="H530" s="1"/>
      <c r="L530" s="1"/>
      <c r="M530" s="1"/>
      <c r="N530" s="1"/>
      <c r="O530" s="1"/>
    </row>
    <row r="531">
      <c r="A531" s="1" t="str">
        <f>Sheet11!A531</f>
        <v/>
      </c>
      <c r="B531" s="1"/>
      <c r="C531" s="1"/>
      <c r="D531" s="1"/>
      <c r="E531" s="1"/>
      <c r="F531" s="1"/>
      <c r="G531" s="1"/>
      <c r="H531" s="1"/>
      <c r="L531" s="1"/>
      <c r="M531" s="1"/>
      <c r="N531" s="1"/>
      <c r="O531" s="1"/>
    </row>
    <row r="532">
      <c r="A532" s="1" t="str">
        <f>Sheet11!A532</f>
        <v/>
      </c>
      <c r="B532" s="1"/>
      <c r="C532" s="1"/>
      <c r="D532" s="1"/>
      <c r="E532" s="1"/>
      <c r="F532" s="1"/>
      <c r="G532" s="1"/>
      <c r="H532" s="1"/>
      <c r="L532" s="1"/>
      <c r="M532" s="1"/>
      <c r="N532" s="1"/>
      <c r="O532" s="1"/>
    </row>
    <row r="533">
      <c r="A533" s="1" t="str">
        <f>Sheet11!A533</f>
        <v/>
      </c>
      <c r="B533" s="1"/>
      <c r="C533" s="1"/>
      <c r="D533" s="1"/>
      <c r="E533" s="1"/>
      <c r="F533" s="1"/>
      <c r="G533" s="1"/>
      <c r="H533" s="1"/>
      <c r="L533" s="1"/>
      <c r="M533" s="1"/>
      <c r="N533" s="1"/>
      <c r="O533" s="1"/>
    </row>
    <row r="534">
      <c r="A534" s="1" t="str">
        <f>Sheet11!A534</f>
        <v/>
      </c>
      <c r="B534" s="1"/>
      <c r="C534" s="1"/>
      <c r="D534" s="1"/>
      <c r="E534" s="1"/>
      <c r="F534" s="1"/>
      <c r="G534" s="1"/>
      <c r="H534" s="1"/>
      <c r="L534" s="1"/>
      <c r="M534" s="1"/>
      <c r="N534" s="1"/>
      <c r="O534" s="1"/>
    </row>
    <row r="535">
      <c r="A535" s="1" t="str">
        <f>Sheet11!A535</f>
        <v/>
      </c>
      <c r="B535" s="1"/>
      <c r="C535" s="1"/>
      <c r="D535" s="1"/>
      <c r="E535" s="1"/>
      <c r="F535" s="1"/>
      <c r="G535" s="1"/>
      <c r="H535" s="1"/>
      <c r="L535" s="1"/>
      <c r="M535" s="1"/>
      <c r="N535" s="1"/>
      <c r="O535" s="1"/>
    </row>
    <row r="536">
      <c r="A536" s="1" t="str">
        <f>Sheet11!A536</f>
        <v/>
      </c>
      <c r="B536" s="1"/>
      <c r="C536" s="1"/>
      <c r="D536" s="1"/>
      <c r="E536" s="1"/>
      <c r="F536" s="1"/>
      <c r="G536" s="1"/>
      <c r="H536" s="1"/>
      <c r="L536" s="1"/>
      <c r="M536" s="1"/>
      <c r="N536" s="1"/>
      <c r="O536" s="1"/>
    </row>
    <row r="537">
      <c r="A537" s="1" t="str">
        <f>Sheet11!A537</f>
        <v/>
      </c>
      <c r="B537" s="1"/>
      <c r="C537" s="1"/>
      <c r="D537" s="1"/>
      <c r="E537" s="1"/>
      <c r="F537" s="1"/>
      <c r="G537" s="1"/>
      <c r="H537" s="1"/>
      <c r="L537" s="1"/>
      <c r="M537" s="1"/>
      <c r="N537" s="1"/>
      <c r="O537" s="1"/>
    </row>
    <row r="538">
      <c r="A538" s="1" t="str">
        <f>Sheet11!A538</f>
        <v/>
      </c>
      <c r="B538" s="1"/>
      <c r="C538" s="1"/>
      <c r="D538" s="1"/>
      <c r="E538" s="1"/>
      <c r="F538" s="1"/>
      <c r="G538" s="1"/>
      <c r="H538" s="1"/>
      <c r="L538" s="1"/>
      <c r="M538" s="1"/>
      <c r="N538" s="1"/>
      <c r="O538" s="1"/>
    </row>
    <row r="539">
      <c r="A539" s="1" t="str">
        <f>Sheet11!A539</f>
        <v/>
      </c>
      <c r="B539" s="1"/>
      <c r="C539" s="1"/>
      <c r="D539" s="1"/>
      <c r="E539" s="1"/>
      <c r="F539" s="1"/>
      <c r="G539" s="1"/>
      <c r="H539" s="1"/>
      <c r="L539" s="1"/>
      <c r="M539" s="1"/>
      <c r="N539" s="1"/>
      <c r="O539" s="1"/>
    </row>
    <row r="540">
      <c r="A540" s="1" t="str">
        <f>Sheet11!A540</f>
        <v/>
      </c>
      <c r="B540" s="1"/>
      <c r="C540" s="1"/>
      <c r="D540" s="1"/>
      <c r="E540" s="1"/>
      <c r="F540" s="1"/>
      <c r="G540" s="1"/>
      <c r="H540" s="1"/>
      <c r="L540" s="1"/>
      <c r="M540" s="1"/>
      <c r="N540" s="1"/>
      <c r="O540" s="1"/>
    </row>
    <row r="541">
      <c r="A541" s="1" t="str">
        <f>Sheet11!A541</f>
        <v/>
      </c>
      <c r="B541" s="1"/>
      <c r="C541" s="1"/>
      <c r="D541" s="1"/>
      <c r="E541" s="1"/>
      <c r="F541" s="1"/>
      <c r="G541" s="1"/>
      <c r="H541" s="1"/>
      <c r="L541" s="1"/>
      <c r="M541" s="1"/>
      <c r="N541" s="1"/>
      <c r="O541" s="1"/>
    </row>
    <row r="542">
      <c r="A542" s="1" t="str">
        <f>Sheet11!A542</f>
        <v/>
      </c>
      <c r="B542" s="1"/>
      <c r="C542" s="1"/>
      <c r="D542" s="1"/>
      <c r="E542" s="1"/>
      <c r="F542" s="1"/>
      <c r="G542" s="1"/>
      <c r="H542" s="1"/>
      <c r="L542" s="1"/>
      <c r="M542" s="1"/>
      <c r="N542" s="1"/>
      <c r="O542" s="1"/>
    </row>
    <row r="543">
      <c r="A543" s="1" t="str">
        <f>Sheet11!A543</f>
        <v/>
      </c>
      <c r="B543" s="1"/>
      <c r="C543" s="1"/>
      <c r="D543" s="1"/>
      <c r="E543" s="1"/>
      <c r="F543" s="1"/>
      <c r="G543" s="1"/>
      <c r="H543" s="1"/>
      <c r="L543" s="1"/>
      <c r="M543" s="1"/>
      <c r="N543" s="1"/>
      <c r="O543" s="1"/>
    </row>
    <row r="544">
      <c r="A544" s="1" t="str">
        <f>Sheet11!A544</f>
        <v/>
      </c>
      <c r="B544" s="1"/>
      <c r="C544" s="1"/>
      <c r="D544" s="1"/>
      <c r="E544" s="1"/>
      <c r="F544" s="1"/>
      <c r="G544" s="1"/>
      <c r="H544" s="1"/>
      <c r="L544" s="1"/>
      <c r="M544" s="1"/>
      <c r="N544" s="1"/>
      <c r="O544" s="1"/>
    </row>
    <row r="545">
      <c r="A545" s="1" t="str">
        <f>Sheet11!A545</f>
        <v/>
      </c>
      <c r="B545" s="1"/>
      <c r="C545" s="1"/>
      <c r="D545" s="1"/>
      <c r="E545" s="1"/>
      <c r="F545" s="1"/>
      <c r="G545" s="1"/>
      <c r="H545" s="1"/>
      <c r="L545" s="1"/>
      <c r="M545" s="1"/>
      <c r="N545" s="1"/>
      <c r="O545" s="1"/>
    </row>
    <row r="546">
      <c r="A546" s="1" t="str">
        <f>Sheet11!A546</f>
        <v/>
      </c>
      <c r="B546" s="1"/>
      <c r="C546" s="1"/>
      <c r="D546" s="1"/>
      <c r="E546" s="1"/>
      <c r="F546" s="1"/>
      <c r="G546" s="1"/>
      <c r="H546" s="1"/>
      <c r="L546" s="1"/>
      <c r="M546" s="1"/>
      <c r="N546" s="1"/>
      <c r="O546" s="1"/>
    </row>
    <row r="547">
      <c r="A547" s="1" t="str">
        <f>Sheet11!A547</f>
        <v/>
      </c>
      <c r="B547" s="1"/>
      <c r="C547" s="1"/>
      <c r="D547" s="1"/>
      <c r="E547" s="1"/>
      <c r="F547" s="1"/>
      <c r="G547" s="1"/>
      <c r="H547" s="1"/>
      <c r="L547" s="1"/>
      <c r="M547" s="1"/>
      <c r="N547" s="1"/>
      <c r="O547" s="1"/>
    </row>
    <row r="548">
      <c r="A548" s="1" t="str">
        <f>Sheet11!A548</f>
        <v/>
      </c>
      <c r="B548" s="1"/>
      <c r="C548" s="1"/>
      <c r="D548" s="1"/>
      <c r="E548" s="1"/>
      <c r="F548" s="1"/>
      <c r="G548" s="1"/>
      <c r="H548" s="1"/>
      <c r="L548" s="1"/>
      <c r="M548" s="1"/>
      <c r="N548" s="1"/>
      <c r="O548" s="1"/>
    </row>
    <row r="549">
      <c r="A549" s="1" t="str">
        <f>Sheet11!A549</f>
        <v/>
      </c>
      <c r="B549" s="1"/>
      <c r="C549" s="1"/>
      <c r="D549" s="1"/>
      <c r="E549" s="1"/>
      <c r="F549" s="1"/>
      <c r="G549" s="1"/>
      <c r="H549" s="1"/>
      <c r="L549" s="1"/>
      <c r="M549" s="1"/>
      <c r="N549" s="1"/>
      <c r="O549" s="1"/>
    </row>
    <row r="550">
      <c r="A550" s="1" t="str">
        <f>Sheet11!A550</f>
        <v/>
      </c>
      <c r="B550" s="1"/>
      <c r="C550" s="1"/>
      <c r="D550" s="1"/>
      <c r="E550" s="1"/>
      <c r="F550" s="1"/>
      <c r="G550" s="1"/>
      <c r="H550" s="1"/>
      <c r="L550" s="1"/>
      <c r="M550" s="1"/>
      <c r="N550" s="1"/>
      <c r="O550" s="1"/>
    </row>
    <row r="551">
      <c r="A551" s="1" t="str">
        <f>Sheet11!A551</f>
        <v/>
      </c>
      <c r="B551" s="1"/>
      <c r="C551" s="1"/>
      <c r="D551" s="1"/>
      <c r="E551" s="1"/>
      <c r="F551" s="1"/>
      <c r="G551" s="1"/>
      <c r="H551" s="1"/>
      <c r="L551" s="1"/>
      <c r="M551" s="1"/>
      <c r="N551" s="1"/>
      <c r="O551" s="1"/>
    </row>
    <row r="552">
      <c r="A552" s="1" t="str">
        <f>Sheet11!A552</f>
        <v/>
      </c>
      <c r="B552" s="1"/>
      <c r="C552" s="1"/>
      <c r="D552" s="1"/>
      <c r="E552" s="1"/>
      <c r="F552" s="1"/>
      <c r="G552" s="1"/>
      <c r="H552" s="1"/>
      <c r="L552" s="1"/>
      <c r="M552" s="1"/>
      <c r="N552" s="1"/>
      <c r="O552" s="1"/>
    </row>
    <row r="553">
      <c r="A553" s="1" t="str">
        <f>Sheet11!A553</f>
        <v/>
      </c>
      <c r="B553" s="1"/>
      <c r="C553" s="1"/>
      <c r="D553" s="1"/>
      <c r="E553" s="1"/>
      <c r="F553" s="1"/>
      <c r="G553" s="1"/>
      <c r="H553" s="1"/>
      <c r="L553" s="1"/>
      <c r="M553" s="1"/>
      <c r="N553" s="1"/>
      <c r="O553" s="1"/>
    </row>
    <row r="554">
      <c r="A554" s="1" t="str">
        <f>Sheet11!A554</f>
        <v/>
      </c>
      <c r="B554" s="1"/>
      <c r="C554" s="1"/>
      <c r="D554" s="1"/>
      <c r="E554" s="1"/>
      <c r="F554" s="1"/>
      <c r="G554" s="1"/>
      <c r="H554" s="1"/>
      <c r="L554" s="1"/>
      <c r="M554" s="1"/>
      <c r="N554" s="1"/>
      <c r="O554" s="1"/>
    </row>
    <row r="555">
      <c r="A555" s="1" t="str">
        <f>Sheet11!A555</f>
        <v/>
      </c>
      <c r="B555" s="1"/>
      <c r="C555" s="1"/>
      <c r="D555" s="1"/>
      <c r="E555" s="1"/>
      <c r="F555" s="1"/>
      <c r="G555" s="1"/>
      <c r="H555" s="1"/>
      <c r="L555" s="1"/>
      <c r="M555" s="1"/>
      <c r="N555" s="1"/>
      <c r="O555" s="1"/>
    </row>
    <row r="556">
      <c r="A556" s="1" t="str">
        <f>Sheet11!A556</f>
        <v/>
      </c>
      <c r="B556" s="1"/>
      <c r="C556" s="1"/>
      <c r="D556" s="1"/>
      <c r="E556" s="1"/>
      <c r="F556" s="1"/>
      <c r="G556" s="1"/>
      <c r="H556" s="1"/>
      <c r="L556" s="1"/>
      <c r="M556" s="1"/>
      <c r="N556" s="1"/>
      <c r="O556" s="1"/>
    </row>
    <row r="557">
      <c r="A557" s="1" t="str">
        <f>Sheet11!A557</f>
        <v/>
      </c>
      <c r="B557" s="1"/>
      <c r="C557" s="1"/>
      <c r="D557" s="1"/>
      <c r="E557" s="1"/>
      <c r="F557" s="1"/>
      <c r="G557" s="1"/>
      <c r="H557" s="1"/>
      <c r="L557" s="1"/>
      <c r="M557" s="1"/>
      <c r="N557" s="1"/>
      <c r="O557" s="1"/>
    </row>
    <row r="558">
      <c r="A558" s="1" t="str">
        <f>Sheet11!A558</f>
        <v/>
      </c>
      <c r="B558" s="1"/>
      <c r="C558" s="1"/>
      <c r="D558" s="1"/>
      <c r="E558" s="1"/>
      <c r="F558" s="1"/>
      <c r="G558" s="1"/>
      <c r="H558" s="1"/>
      <c r="L558" s="1"/>
      <c r="M558" s="1"/>
      <c r="N558" s="1"/>
      <c r="O558" s="1"/>
    </row>
    <row r="559">
      <c r="A559" s="1" t="str">
        <f>Sheet11!A559</f>
        <v/>
      </c>
      <c r="B559" s="1"/>
      <c r="C559" s="1"/>
      <c r="D559" s="1"/>
      <c r="E559" s="1"/>
      <c r="F559" s="1"/>
      <c r="G559" s="1"/>
      <c r="H559" s="1"/>
      <c r="L559" s="1"/>
      <c r="M559" s="1"/>
      <c r="N559" s="1"/>
      <c r="O559" s="1"/>
    </row>
    <row r="560">
      <c r="A560" s="1" t="str">
        <f>Sheet11!A560</f>
        <v/>
      </c>
      <c r="B560" s="1"/>
      <c r="C560" s="1"/>
      <c r="D560" s="1"/>
      <c r="E560" s="1"/>
      <c r="F560" s="1"/>
      <c r="G560" s="1"/>
      <c r="H560" s="1"/>
      <c r="L560" s="1"/>
      <c r="M560" s="1"/>
      <c r="N560" s="1"/>
      <c r="O560" s="1"/>
    </row>
    <row r="561">
      <c r="A561" s="1" t="str">
        <f>Sheet11!A561</f>
        <v/>
      </c>
      <c r="B561" s="1"/>
      <c r="C561" s="1"/>
      <c r="D561" s="1"/>
      <c r="E561" s="1"/>
      <c r="F561" s="1"/>
      <c r="G561" s="1"/>
      <c r="H561" s="1"/>
      <c r="L561" s="1"/>
      <c r="M561" s="1"/>
      <c r="N561" s="1"/>
      <c r="O561" s="1"/>
    </row>
    <row r="562">
      <c r="A562" s="1" t="str">
        <f>Sheet11!A562</f>
        <v/>
      </c>
      <c r="B562" s="1"/>
      <c r="C562" s="1"/>
      <c r="D562" s="1"/>
      <c r="E562" s="1"/>
      <c r="F562" s="1"/>
      <c r="G562" s="1"/>
      <c r="H562" s="1"/>
      <c r="L562" s="1"/>
      <c r="M562" s="1"/>
      <c r="N562" s="1"/>
      <c r="O562" s="1"/>
    </row>
    <row r="563">
      <c r="A563" s="1" t="str">
        <f>Sheet11!A563</f>
        <v/>
      </c>
      <c r="B563" s="1"/>
      <c r="C563" s="1"/>
      <c r="D563" s="1"/>
      <c r="E563" s="1"/>
      <c r="F563" s="1"/>
      <c r="G563" s="1"/>
      <c r="H563" s="1"/>
      <c r="L563" s="1"/>
      <c r="M563" s="1"/>
      <c r="N563" s="1"/>
      <c r="O563" s="1"/>
    </row>
    <row r="564">
      <c r="A564" s="1" t="str">
        <f>Sheet11!A564</f>
        <v/>
      </c>
      <c r="B564" s="1"/>
      <c r="C564" s="1"/>
      <c r="D564" s="1"/>
      <c r="E564" s="1"/>
      <c r="F564" s="1"/>
      <c r="G564" s="1"/>
      <c r="H564" s="1"/>
      <c r="L564" s="1"/>
      <c r="M564" s="1"/>
      <c r="N564" s="1"/>
      <c r="O564" s="1"/>
    </row>
    <row r="565">
      <c r="A565" s="1" t="str">
        <f>Sheet11!A565</f>
        <v/>
      </c>
      <c r="B565" s="1"/>
      <c r="C565" s="1"/>
      <c r="D565" s="1"/>
      <c r="E565" s="1"/>
      <c r="F565" s="1"/>
      <c r="G565" s="1"/>
      <c r="H565" s="1"/>
      <c r="L565" s="1"/>
      <c r="M565" s="1"/>
      <c r="N565" s="1"/>
      <c r="O565" s="1"/>
    </row>
    <row r="566">
      <c r="A566" s="1" t="str">
        <f>Sheet11!A566</f>
        <v/>
      </c>
      <c r="B566" s="1"/>
      <c r="C566" s="1"/>
      <c r="D566" s="1"/>
      <c r="E566" s="1"/>
      <c r="F566" s="1"/>
      <c r="G566" s="1"/>
      <c r="H566" s="1"/>
      <c r="L566" s="1"/>
      <c r="M566" s="1"/>
      <c r="N566" s="1"/>
      <c r="O566" s="1"/>
    </row>
    <row r="567">
      <c r="A567" s="1" t="str">
        <f>Sheet11!A567</f>
        <v/>
      </c>
      <c r="B567" s="1"/>
      <c r="C567" s="1"/>
      <c r="D567" s="1"/>
      <c r="E567" s="1"/>
      <c r="F567" s="1"/>
      <c r="G567" s="1"/>
      <c r="H567" s="1"/>
      <c r="L567" s="1"/>
      <c r="M567" s="1"/>
      <c r="N567" s="1"/>
      <c r="O567" s="1"/>
    </row>
    <row r="568">
      <c r="A568" s="1" t="str">
        <f>Sheet11!A568</f>
        <v/>
      </c>
      <c r="B568" s="1"/>
      <c r="C568" s="1"/>
      <c r="D568" s="1"/>
      <c r="E568" s="1"/>
      <c r="F568" s="1"/>
      <c r="G568" s="1"/>
      <c r="H568" s="1"/>
      <c r="L568" s="1"/>
      <c r="M568" s="1"/>
      <c r="N568" s="1"/>
      <c r="O568" s="1"/>
    </row>
    <row r="569">
      <c r="A569" s="1" t="str">
        <f>Sheet11!A569</f>
        <v/>
      </c>
      <c r="B569" s="1"/>
      <c r="C569" s="1"/>
      <c r="D569" s="1"/>
      <c r="E569" s="1"/>
      <c r="F569" s="1"/>
      <c r="G569" s="1"/>
      <c r="H569" s="1"/>
      <c r="L569" s="1"/>
      <c r="M569" s="1"/>
      <c r="N569" s="1"/>
      <c r="O569" s="1"/>
    </row>
    <row r="570">
      <c r="A570" s="1" t="str">
        <f>Sheet11!A570</f>
        <v/>
      </c>
      <c r="B570" s="1"/>
      <c r="C570" s="1"/>
      <c r="D570" s="1"/>
      <c r="E570" s="1"/>
      <c r="F570" s="1"/>
      <c r="G570" s="1"/>
      <c r="H570" s="1"/>
      <c r="L570" s="1"/>
      <c r="M570" s="1"/>
      <c r="N570" s="1"/>
      <c r="O570" s="1"/>
    </row>
    <row r="571">
      <c r="A571" s="1" t="str">
        <f>Sheet11!A571</f>
        <v/>
      </c>
      <c r="B571" s="1"/>
      <c r="C571" s="1"/>
      <c r="D571" s="1"/>
      <c r="E571" s="1"/>
      <c r="F571" s="1"/>
      <c r="G571" s="1"/>
      <c r="H571" s="1"/>
      <c r="L571" s="1"/>
      <c r="M571" s="1"/>
      <c r="N571" s="1"/>
      <c r="O571" s="1"/>
    </row>
    <row r="572">
      <c r="A572" s="1" t="str">
        <f>Sheet11!A572</f>
        <v/>
      </c>
      <c r="B572" s="1"/>
      <c r="C572" s="1"/>
      <c r="D572" s="1"/>
      <c r="E572" s="1"/>
      <c r="F572" s="1"/>
      <c r="G572" s="1"/>
      <c r="H572" s="1"/>
      <c r="L572" s="1"/>
      <c r="M572" s="1"/>
      <c r="N572" s="1"/>
      <c r="O572" s="1"/>
    </row>
    <row r="573">
      <c r="A573" s="1" t="str">
        <f>Sheet11!A573</f>
        <v/>
      </c>
      <c r="B573" s="1"/>
      <c r="C573" s="1"/>
      <c r="D573" s="1"/>
      <c r="E573" s="1"/>
      <c r="F573" s="1"/>
      <c r="G573" s="1"/>
      <c r="H573" s="1"/>
      <c r="L573" s="1"/>
      <c r="M573" s="1"/>
      <c r="N573" s="1"/>
      <c r="O573" s="1"/>
    </row>
    <row r="574">
      <c r="A574" s="1" t="str">
        <f>Sheet11!A574</f>
        <v/>
      </c>
      <c r="B574" s="1"/>
      <c r="C574" s="1"/>
      <c r="D574" s="1"/>
      <c r="E574" s="1"/>
      <c r="F574" s="1"/>
      <c r="G574" s="1"/>
      <c r="H574" s="1"/>
      <c r="L574" s="1"/>
      <c r="M574" s="1"/>
      <c r="N574" s="1"/>
      <c r="O574" s="1"/>
    </row>
    <row r="575">
      <c r="A575" s="1" t="str">
        <f>Sheet11!A575</f>
        <v/>
      </c>
      <c r="B575" s="1"/>
      <c r="C575" s="1"/>
      <c r="D575" s="1"/>
      <c r="E575" s="1"/>
      <c r="F575" s="1"/>
      <c r="G575" s="1"/>
      <c r="H575" s="1"/>
      <c r="L575" s="1"/>
      <c r="M575" s="1"/>
      <c r="N575" s="1"/>
      <c r="O575" s="1"/>
    </row>
    <row r="576">
      <c r="A576" s="1" t="str">
        <f>Sheet11!A576</f>
        <v/>
      </c>
      <c r="B576" s="1"/>
      <c r="C576" s="1"/>
      <c r="D576" s="1"/>
      <c r="E576" s="1"/>
      <c r="F576" s="1"/>
      <c r="G576" s="1"/>
      <c r="H576" s="1"/>
      <c r="L576" s="1"/>
      <c r="M576" s="1"/>
      <c r="N576" s="1"/>
      <c r="O576" s="1"/>
    </row>
    <row r="577">
      <c r="A577" s="1" t="str">
        <f>Sheet11!A577</f>
        <v/>
      </c>
      <c r="B577" s="1"/>
      <c r="C577" s="1"/>
      <c r="D577" s="1"/>
      <c r="E577" s="1"/>
      <c r="F577" s="1"/>
      <c r="G577" s="1"/>
      <c r="H577" s="1"/>
      <c r="L577" s="1"/>
      <c r="M577" s="1"/>
      <c r="N577" s="1"/>
      <c r="O577" s="1"/>
    </row>
    <row r="578">
      <c r="A578" s="1" t="str">
        <f>Sheet11!A578</f>
        <v/>
      </c>
      <c r="B578" s="1"/>
      <c r="C578" s="1"/>
      <c r="D578" s="1"/>
      <c r="E578" s="1"/>
      <c r="F578" s="1"/>
      <c r="G578" s="1"/>
      <c r="H578" s="1"/>
      <c r="L578" s="1"/>
      <c r="M578" s="1"/>
      <c r="N578" s="1"/>
      <c r="O578" s="1"/>
    </row>
    <row r="579">
      <c r="A579" s="1" t="str">
        <f>Sheet11!A579</f>
        <v/>
      </c>
      <c r="B579" s="1"/>
      <c r="C579" s="1"/>
      <c r="D579" s="1"/>
      <c r="E579" s="1"/>
      <c r="F579" s="1"/>
      <c r="G579" s="1"/>
      <c r="H579" s="1"/>
      <c r="L579" s="1"/>
      <c r="M579" s="1"/>
      <c r="N579" s="1"/>
      <c r="O579" s="1"/>
    </row>
    <row r="580">
      <c r="A580" s="1" t="str">
        <f>Sheet11!A580</f>
        <v/>
      </c>
      <c r="B580" s="1"/>
      <c r="C580" s="1"/>
      <c r="D580" s="1"/>
      <c r="E580" s="1"/>
      <c r="F580" s="1"/>
      <c r="G580" s="1"/>
      <c r="H580" s="1"/>
      <c r="L580" s="1"/>
      <c r="M580" s="1"/>
      <c r="N580" s="1"/>
      <c r="O580" s="1"/>
    </row>
    <row r="581">
      <c r="A581" s="1" t="str">
        <f>Sheet11!A581</f>
        <v/>
      </c>
      <c r="B581" s="1"/>
      <c r="C581" s="1"/>
      <c r="D581" s="1"/>
      <c r="E581" s="1"/>
      <c r="F581" s="1"/>
      <c r="G581" s="1"/>
      <c r="H581" s="1"/>
      <c r="L581" s="1"/>
      <c r="M581" s="1"/>
      <c r="N581" s="1"/>
      <c r="O581" s="1"/>
    </row>
    <row r="582">
      <c r="A582" s="1" t="str">
        <f>Sheet11!A582</f>
        <v/>
      </c>
      <c r="B582" s="1"/>
      <c r="C582" s="1"/>
      <c r="D582" s="1"/>
      <c r="E582" s="1"/>
      <c r="F582" s="1"/>
      <c r="G582" s="1"/>
      <c r="H582" s="1"/>
      <c r="L582" s="1"/>
      <c r="M582" s="1"/>
      <c r="N582" s="1"/>
      <c r="O582" s="1"/>
    </row>
    <row r="583">
      <c r="A583" s="1" t="str">
        <f>Sheet11!A583</f>
        <v/>
      </c>
      <c r="B583" s="1"/>
      <c r="C583" s="1"/>
      <c r="D583" s="1"/>
      <c r="E583" s="1"/>
      <c r="F583" s="1"/>
      <c r="G583" s="1"/>
      <c r="H583" s="1"/>
      <c r="L583" s="1"/>
      <c r="M583" s="1"/>
      <c r="N583" s="1"/>
      <c r="O583" s="1"/>
    </row>
    <row r="584">
      <c r="A584" s="1" t="str">
        <f>Sheet11!A584</f>
        <v/>
      </c>
      <c r="B584" s="1"/>
      <c r="C584" s="1"/>
      <c r="D584" s="1"/>
      <c r="E584" s="1"/>
      <c r="F584" s="1"/>
      <c r="G584" s="1"/>
      <c r="H584" s="1"/>
      <c r="L584" s="1"/>
      <c r="M584" s="1"/>
      <c r="N584" s="1"/>
      <c r="O584" s="1"/>
    </row>
    <row r="585">
      <c r="A585" s="1" t="str">
        <f>Sheet11!A585</f>
        <v/>
      </c>
      <c r="B585" s="1"/>
      <c r="C585" s="1"/>
      <c r="D585" s="1"/>
      <c r="E585" s="1"/>
      <c r="F585" s="1"/>
      <c r="G585" s="1"/>
      <c r="H585" s="1"/>
      <c r="L585" s="1"/>
      <c r="M585" s="1"/>
      <c r="N585" s="1"/>
      <c r="O585" s="1"/>
    </row>
    <row r="586">
      <c r="A586" s="1" t="str">
        <f>Sheet11!A586</f>
        <v/>
      </c>
      <c r="B586" s="1"/>
      <c r="C586" s="1"/>
      <c r="D586" s="1"/>
      <c r="E586" s="1"/>
      <c r="F586" s="1"/>
      <c r="G586" s="1"/>
      <c r="H586" s="1"/>
      <c r="L586" s="1"/>
      <c r="M586" s="1"/>
      <c r="N586" s="1"/>
      <c r="O586" s="1"/>
    </row>
    <row r="587">
      <c r="A587" s="1" t="str">
        <f>Sheet11!A587</f>
        <v/>
      </c>
      <c r="B587" s="1"/>
      <c r="C587" s="1"/>
      <c r="D587" s="1"/>
      <c r="E587" s="1"/>
      <c r="F587" s="1"/>
      <c r="G587" s="1"/>
      <c r="H587" s="1"/>
      <c r="L587" s="1"/>
      <c r="M587" s="1"/>
      <c r="N587" s="1"/>
      <c r="O587" s="1"/>
    </row>
    <row r="588">
      <c r="A588" s="1" t="str">
        <f>Sheet11!A588</f>
        <v/>
      </c>
      <c r="B588" s="1"/>
      <c r="C588" s="1"/>
      <c r="D588" s="1"/>
      <c r="E588" s="1"/>
      <c r="F588" s="1"/>
      <c r="G588" s="1"/>
      <c r="H588" s="1"/>
      <c r="L588" s="1"/>
      <c r="M588" s="1"/>
      <c r="N588" s="1"/>
      <c r="O588" s="1"/>
    </row>
    <row r="589">
      <c r="A589" s="1" t="str">
        <f>Sheet11!A589</f>
        <v/>
      </c>
      <c r="B589" s="1"/>
      <c r="C589" s="1"/>
      <c r="D589" s="1"/>
      <c r="E589" s="1"/>
      <c r="F589" s="1"/>
      <c r="G589" s="1"/>
      <c r="H589" s="1"/>
      <c r="L589" s="1"/>
      <c r="M589" s="1"/>
      <c r="N589" s="1"/>
      <c r="O589" s="1"/>
    </row>
    <row r="590">
      <c r="A590" s="1" t="str">
        <f>Sheet11!A590</f>
        <v/>
      </c>
      <c r="B590" s="1"/>
      <c r="C590" s="1"/>
      <c r="D590" s="1"/>
      <c r="E590" s="1"/>
      <c r="F590" s="1"/>
      <c r="G590" s="1"/>
      <c r="H590" s="1"/>
      <c r="L590" s="1"/>
      <c r="M590" s="1"/>
      <c r="N590" s="1"/>
      <c r="O590" s="1"/>
    </row>
    <row r="591">
      <c r="A591" s="1" t="str">
        <f>Sheet11!A591</f>
        <v/>
      </c>
      <c r="B591" s="1"/>
      <c r="C591" s="1"/>
      <c r="D591" s="1"/>
      <c r="E591" s="1"/>
      <c r="F591" s="1"/>
      <c r="G591" s="1"/>
      <c r="H591" s="1"/>
      <c r="L591" s="1"/>
      <c r="M591" s="1"/>
      <c r="N591" s="1"/>
      <c r="O591" s="1"/>
    </row>
    <row r="592">
      <c r="A592" s="1" t="str">
        <f>Sheet11!A592</f>
        <v/>
      </c>
      <c r="B592" s="1"/>
      <c r="C592" s="1"/>
      <c r="D592" s="1"/>
      <c r="E592" s="1"/>
      <c r="F592" s="1"/>
      <c r="G592" s="1"/>
      <c r="H592" s="1"/>
      <c r="L592" s="1"/>
      <c r="M592" s="1"/>
      <c r="N592" s="1"/>
      <c r="O592" s="1"/>
    </row>
    <row r="593">
      <c r="A593" s="1" t="str">
        <f>Sheet11!A593</f>
        <v/>
      </c>
      <c r="B593" s="1"/>
      <c r="C593" s="1"/>
      <c r="D593" s="1"/>
      <c r="E593" s="1"/>
      <c r="F593" s="1"/>
      <c r="G593" s="1"/>
      <c r="H593" s="1"/>
      <c r="L593" s="1"/>
      <c r="M593" s="1"/>
      <c r="N593" s="1"/>
      <c r="O593" s="1"/>
    </row>
    <row r="594">
      <c r="A594" s="1" t="str">
        <f>Sheet11!A594</f>
        <v/>
      </c>
      <c r="B594" s="1"/>
      <c r="C594" s="1"/>
      <c r="D594" s="1"/>
      <c r="E594" s="1"/>
      <c r="F594" s="1"/>
      <c r="G594" s="1"/>
      <c r="H594" s="1"/>
      <c r="L594" s="1"/>
      <c r="M594" s="1"/>
      <c r="N594" s="1"/>
      <c r="O594" s="1"/>
    </row>
    <row r="595">
      <c r="A595" s="1" t="str">
        <f>Sheet11!A595</f>
        <v/>
      </c>
      <c r="B595" s="1"/>
      <c r="C595" s="1"/>
      <c r="D595" s="1"/>
      <c r="E595" s="1"/>
      <c r="F595" s="1"/>
      <c r="G595" s="1"/>
      <c r="H595" s="1"/>
      <c r="L595" s="1"/>
      <c r="M595" s="1"/>
      <c r="N595" s="1"/>
      <c r="O595" s="1"/>
    </row>
    <row r="596">
      <c r="A596" s="1" t="str">
        <f>Sheet11!A596</f>
        <v/>
      </c>
      <c r="B596" s="1"/>
      <c r="C596" s="1"/>
      <c r="D596" s="1"/>
      <c r="E596" s="1"/>
      <c r="F596" s="1"/>
      <c r="G596" s="1"/>
      <c r="H596" s="1"/>
      <c r="L596" s="1"/>
      <c r="M596" s="1"/>
      <c r="N596" s="1"/>
      <c r="O596" s="1"/>
    </row>
    <row r="597">
      <c r="A597" s="1" t="str">
        <f>Sheet11!A597</f>
        <v/>
      </c>
      <c r="B597" s="1"/>
      <c r="C597" s="1"/>
      <c r="D597" s="1"/>
      <c r="E597" s="1"/>
      <c r="F597" s="1"/>
      <c r="G597" s="1"/>
      <c r="H597" s="1"/>
      <c r="L597" s="1"/>
      <c r="M597" s="1"/>
      <c r="N597" s="1"/>
      <c r="O597" s="1"/>
    </row>
    <row r="598">
      <c r="A598" s="1" t="str">
        <f>Sheet11!A598</f>
        <v/>
      </c>
      <c r="B598" s="1"/>
      <c r="C598" s="1"/>
      <c r="D598" s="1"/>
      <c r="E598" s="1"/>
      <c r="F598" s="1"/>
      <c r="G598" s="1"/>
      <c r="H598" s="1"/>
      <c r="L598" s="1"/>
      <c r="M598" s="1"/>
      <c r="N598" s="1"/>
      <c r="O598" s="1"/>
    </row>
    <row r="599">
      <c r="A599" s="1" t="str">
        <f>Sheet11!A599</f>
        <v/>
      </c>
      <c r="B599" s="1"/>
      <c r="C599" s="1"/>
      <c r="D599" s="1"/>
      <c r="E599" s="1"/>
      <c r="F599" s="1"/>
      <c r="G599" s="1"/>
      <c r="H599" s="1"/>
      <c r="L599" s="1"/>
      <c r="M599" s="1"/>
      <c r="N599" s="1"/>
      <c r="O599" s="1"/>
    </row>
    <row r="600">
      <c r="A600" s="1" t="str">
        <f>Sheet11!A600</f>
        <v/>
      </c>
      <c r="B600" s="1"/>
      <c r="C600" s="1"/>
      <c r="D600" s="1"/>
      <c r="E600" s="1"/>
      <c r="F600" s="1"/>
      <c r="G600" s="1"/>
      <c r="H600" s="1"/>
      <c r="L600" s="1"/>
      <c r="M600" s="1"/>
      <c r="N600" s="1"/>
      <c r="O600" s="1"/>
    </row>
    <row r="601">
      <c r="A601" s="1" t="str">
        <f>Sheet11!A601</f>
        <v/>
      </c>
      <c r="B601" s="1"/>
      <c r="C601" s="1"/>
      <c r="D601" s="1"/>
      <c r="E601" s="1"/>
      <c r="F601" s="1"/>
      <c r="G601" s="1"/>
      <c r="H601" s="1"/>
      <c r="L601" s="1"/>
      <c r="M601" s="1"/>
      <c r="N601" s="1"/>
      <c r="O601" s="1"/>
    </row>
    <row r="602">
      <c r="A602" s="1" t="str">
        <f>Sheet11!A602</f>
        <v/>
      </c>
      <c r="B602" s="1"/>
      <c r="C602" s="1"/>
      <c r="D602" s="1"/>
      <c r="E602" s="1"/>
      <c r="F602" s="1"/>
      <c r="G602" s="1"/>
      <c r="H602" s="1"/>
      <c r="L602" s="1"/>
      <c r="M602" s="1"/>
      <c r="N602" s="1"/>
      <c r="O602" s="1"/>
    </row>
    <row r="603">
      <c r="A603" s="1" t="str">
        <f>Sheet11!A603</f>
        <v/>
      </c>
      <c r="B603" s="1"/>
      <c r="C603" s="1"/>
      <c r="D603" s="1"/>
      <c r="E603" s="1"/>
      <c r="F603" s="1"/>
      <c r="G603" s="1"/>
      <c r="H603" s="1"/>
      <c r="L603" s="1"/>
      <c r="M603" s="1"/>
      <c r="N603" s="1"/>
      <c r="O603" s="1"/>
    </row>
    <row r="604">
      <c r="A604" s="1" t="str">
        <f>Sheet11!A604</f>
        <v/>
      </c>
      <c r="B604" s="1"/>
      <c r="C604" s="1"/>
      <c r="D604" s="1"/>
      <c r="E604" s="1"/>
      <c r="F604" s="1"/>
      <c r="G604" s="1"/>
      <c r="H604" s="1"/>
      <c r="L604" s="1"/>
      <c r="M604" s="1"/>
      <c r="N604" s="1"/>
      <c r="O604" s="1"/>
    </row>
    <row r="605">
      <c r="A605" s="1" t="str">
        <f>Sheet11!A605</f>
        <v/>
      </c>
      <c r="B605" s="1"/>
      <c r="C605" s="1"/>
      <c r="D605" s="1"/>
      <c r="E605" s="1"/>
      <c r="F605" s="1"/>
      <c r="G605" s="1"/>
      <c r="H605" s="1"/>
      <c r="L605" s="1"/>
      <c r="M605" s="1"/>
      <c r="N605" s="1"/>
      <c r="O605" s="1"/>
    </row>
    <row r="606">
      <c r="A606" s="1" t="str">
        <f>Sheet11!A606</f>
        <v/>
      </c>
      <c r="B606" s="1"/>
      <c r="C606" s="1"/>
      <c r="D606" s="1"/>
      <c r="E606" s="1"/>
      <c r="F606" s="1"/>
      <c r="G606" s="1"/>
      <c r="H606" s="1"/>
      <c r="L606" s="1"/>
      <c r="M606" s="1"/>
      <c r="N606" s="1"/>
      <c r="O606" s="1"/>
    </row>
    <row r="607">
      <c r="A607" s="1" t="str">
        <f>Sheet11!A607</f>
        <v/>
      </c>
      <c r="B607" s="1"/>
      <c r="C607" s="1"/>
      <c r="D607" s="1"/>
      <c r="E607" s="1"/>
      <c r="F607" s="1"/>
      <c r="G607" s="1"/>
      <c r="H607" s="1"/>
      <c r="L607" s="1"/>
      <c r="M607" s="1"/>
      <c r="N607" s="1"/>
      <c r="O607" s="1"/>
    </row>
    <row r="608">
      <c r="A608" s="1" t="str">
        <f>Sheet11!A608</f>
        <v/>
      </c>
      <c r="B608" s="1"/>
      <c r="C608" s="1"/>
      <c r="D608" s="1"/>
      <c r="E608" s="1"/>
      <c r="F608" s="1"/>
      <c r="G608" s="1"/>
      <c r="H608" s="1"/>
      <c r="L608" s="1"/>
      <c r="M608" s="1"/>
      <c r="N608" s="1"/>
      <c r="O608" s="1"/>
    </row>
    <row r="609">
      <c r="A609" s="1" t="str">
        <f>Sheet11!A609</f>
        <v/>
      </c>
      <c r="B609" s="1"/>
      <c r="C609" s="1"/>
      <c r="D609" s="1"/>
      <c r="E609" s="1"/>
      <c r="F609" s="1"/>
      <c r="G609" s="1"/>
      <c r="H609" s="1"/>
      <c r="L609" s="1"/>
      <c r="M609" s="1"/>
      <c r="N609" s="1"/>
      <c r="O609" s="1"/>
    </row>
    <row r="610">
      <c r="A610" s="1" t="str">
        <f>Sheet11!A610</f>
        <v/>
      </c>
      <c r="B610" s="1"/>
      <c r="C610" s="1"/>
      <c r="D610" s="1"/>
      <c r="E610" s="1"/>
      <c r="F610" s="1"/>
      <c r="G610" s="1"/>
      <c r="H610" s="1"/>
      <c r="L610" s="1"/>
      <c r="M610" s="1"/>
      <c r="N610" s="1"/>
      <c r="O610" s="1"/>
    </row>
    <row r="611">
      <c r="A611" s="1" t="str">
        <f>Sheet11!A611</f>
        <v/>
      </c>
      <c r="B611" s="1"/>
      <c r="C611" s="1"/>
      <c r="D611" s="1"/>
      <c r="E611" s="1"/>
      <c r="F611" s="1"/>
      <c r="G611" s="1"/>
      <c r="H611" s="1"/>
      <c r="L611" s="1"/>
      <c r="M611" s="1"/>
      <c r="N611" s="1"/>
      <c r="O611" s="1"/>
    </row>
    <row r="612">
      <c r="A612" s="1" t="str">
        <f>Sheet11!A612</f>
        <v/>
      </c>
      <c r="B612" s="1"/>
      <c r="C612" s="1"/>
      <c r="D612" s="1"/>
      <c r="E612" s="1"/>
      <c r="F612" s="1"/>
      <c r="G612" s="1"/>
      <c r="H612" s="1"/>
      <c r="L612" s="1"/>
      <c r="M612" s="1"/>
      <c r="N612" s="1"/>
      <c r="O612" s="1"/>
    </row>
    <row r="613">
      <c r="A613" s="1" t="str">
        <f>Sheet11!A613</f>
        <v/>
      </c>
      <c r="B613" s="1"/>
      <c r="C613" s="1"/>
      <c r="D613" s="1"/>
      <c r="E613" s="1"/>
      <c r="F613" s="1"/>
      <c r="G613" s="1"/>
      <c r="H613" s="1"/>
      <c r="L613" s="1"/>
      <c r="M613" s="1"/>
      <c r="N613" s="1"/>
      <c r="O613" s="1"/>
    </row>
    <row r="614">
      <c r="A614" s="1" t="str">
        <f>Sheet11!A614</f>
        <v/>
      </c>
      <c r="B614" s="1"/>
      <c r="C614" s="1"/>
      <c r="D614" s="1"/>
      <c r="E614" s="1"/>
      <c r="F614" s="1"/>
      <c r="G614" s="1"/>
      <c r="H614" s="1"/>
      <c r="L614" s="1"/>
      <c r="M614" s="1"/>
      <c r="N614" s="1"/>
      <c r="O614" s="1"/>
    </row>
    <row r="615">
      <c r="A615" s="1" t="str">
        <f>Sheet11!A615</f>
        <v/>
      </c>
      <c r="B615" s="1"/>
      <c r="C615" s="1"/>
      <c r="D615" s="1"/>
      <c r="E615" s="1"/>
      <c r="F615" s="1"/>
      <c r="G615" s="1"/>
      <c r="H615" s="1"/>
      <c r="L615" s="1"/>
      <c r="M615" s="1"/>
      <c r="N615" s="1"/>
      <c r="O615" s="1"/>
    </row>
    <row r="616">
      <c r="A616" s="1" t="str">
        <f>Sheet11!A616</f>
        <v/>
      </c>
      <c r="B616" s="1"/>
      <c r="C616" s="1"/>
      <c r="D616" s="1"/>
      <c r="E616" s="1"/>
      <c r="F616" s="1"/>
      <c r="G616" s="1"/>
      <c r="H616" s="1"/>
      <c r="L616" s="1"/>
      <c r="M616" s="1"/>
      <c r="N616" s="1"/>
      <c r="O616" s="1"/>
    </row>
    <row r="617">
      <c r="A617" s="1" t="str">
        <f>Sheet11!A617</f>
        <v/>
      </c>
      <c r="B617" s="1"/>
      <c r="C617" s="1"/>
      <c r="D617" s="1"/>
      <c r="E617" s="1"/>
      <c r="F617" s="1"/>
      <c r="G617" s="1"/>
      <c r="H617" s="1"/>
      <c r="L617" s="1"/>
      <c r="M617" s="1"/>
      <c r="N617" s="1"/>
      <c r="O617" s="1"/>
    </row>
    <row r="618">
      <c r="A618" s="1" t="str">
        <f>Sheet11!A618</f>
        <v/>
      </c>
      <c r="B618" s="1"/>
      <c r="C618" s="1"/>
      <c r="D618" s="1"/>
      <c r="E618" s="1"/>
      <c r="F618" s="1"/>
      <c r="G618" s="1"/>
      <c r="H618" s="1"/>
      <c r="L618" s="1"/>
      <c r="M618" s="1"/>
      <c r="N618" s="1"/>
      <c r="O618" s="1"/>
    </row>
    <row r="619">
      <c r="A619" s="1" t="str">
        <f>Sheet11!A619</f>
        <v/>
      </c>
      <c r="B619" s="1"/>
      <c r="C619" s="1"/>
      <c r="D619" s="1"/>
      <c r="E619" s="1"/>
      <c r="F619" s="1"/>
      <c r="G619" s="1"/>
      <c r="H619" s="1"/>
      <c r="L619" s="1"/>
      <c r="M619" s="1"/>
      <c r="N619" s="1"/>
      <c r="O619" s="1"/>
    </row>
    <row r="620">
      <c r="A620" s="1" t="str">
        <f>Sheet11!A620</f>
        <v/>
      </c>
      <c r="B620" s="1"/>
      <c r="C620" s="1"/>
      <c r="D620" s="1"/>
      <c r="E620" s="1"/>
      <c r="F620" s="1"/>
      <c r="G620" s="1"/>
      <c r="H620" s="1"/>
      <c r="L620" s="1"/>
      <c r="M620" s="1"/>
      <c r="N620" s="1"/>
      <c r="O620" s="1"/>
    </row>
    <row r="621">
      <c r="A621" s="1" t="str">
        <f>Sheet11!A621</f>
        <v/>
      </c>
      <c r="B621" s="1"/>
      <c r="C621" s="1"/>
      <c r="D621" s="1"/>
      <c r="E621" s="1"/>
      <c r="F621" s="1"/>
      <c r="G621" s="1"/>
      <c r="H621" s="1"/>
      <c r="L621" s="1"/>
      <c r="M621" s="1"/>
      <c r="N621" s="1"/>
      <c r="O621" s="1"/>
    </row>
    <row r="622">
      <c r="A622" s="1" t="str">
        <f>Sheet11!A622</f>
        <v/>
      </c>
      <c r="B622" s="1"/>
      <c r="C622" s="1"/>
      <c r="D622" s="1"/>
      <c r="E622" s="1"/>
      <c r="F622" s="1"/>
      <c r="G622" s="1"/>
      <c r="H622" s="1"/>
      <c r="L622" s="1"/>
      <c r="M622" s="1"/>
      <c r="N622" s="1"/>
      <c r="O622" s="1"/>
    </row>
    <row r="623">
      <c r="A623" s="1" t="str">
        <f>Sheet11!A623</f>
        <v/>
      </c>
      <c r="B623" s="1"/>
      <c r="C623" s="1"/>
      <c r="D623" s="1"/>
      <c r="E623" s="1"/>
      <c r="F623" s="1"/>
      <c r="G623" s="1"/>
      <c r="H623" s="1"/>
      <c r="L623" s="1"/>
      <c r="M623" s="1"/>
      <c r="N623" s="1"/>
      <c r="O623" s="1"/>
    </row>
    <row r="624">
      <c r="A624" s="1" t="str">
        <f>Sheet11!A624</f>
        <v/>
      </c>
      <c r="B624" s="1"/>
      <c r="C624" s="1"/>
      <c r="D624" s="1"/>
      <c r="E624" s="1"/>
      <c r="F624" s="1"/>
      <c r="G624" s="1"/>
      <c r="H624" s="1"/>
      <c r="L624" s="1"/>
      <c r="M624" s="1"/>
      <c r="N624" s="1"/>
      <c r="O624" s="1"/>
    </row>
    <row r="625">
      <c r="A625" s="1" t="str">
        <f>Sheet11!A625</f>
        <v/>
      </c>
      <c r="B625" s="1"/>
      <c r="C625" s="1"/>
      <c r="D625" s="1"/>
      <c r="E625" s="1"/>
      <c r="F625" s="1"/>
      <c r="G625" s="1"/>
      <c r="H625" s="1"/>
      <c r="L625" s="1"/>
      <c r="M625" s="1"/>
      <c r="N625" s="1"/>
      <c r="O625" s="1"/>
    </row>
    <row r="626">
      <c r="A626" s="1" t="str">
        <f>Sheet11!A626</f>
        <v/>
      </c>
      <c r="B626" s="1"/>
      <c r="C626" s="1"/>
      <c r="D626" s="1"/>
      <c r="E626" s="1"/>
      <c r="F626" s="1"/>
      <c r="G626" s="1"/>
      <c r="H626" s="1"/>
      <c r="L626" s="1"/>
      <c r="M626" s="1"/>
      <c r="N626" s="1"/>
      <c r="O626" s="1"/>
    </row>
    <row r="627">
      <c r="A627" s="1" t="str">
        <f>Sheet11!A627</f>
        <v/>
      </c>
      <c r="B627" s="1"/>
      <c r="C627" s="1"/>
      <c r="D627" s="1"/>
      <c r="E627" s="1"/>
      <c r="F627" s="1"/>
      <c r="G627" s="1"/>
      <c r="H627" s="1"/>
      <c r="L627" s="1"/>
      <c r="M627" s="1"/>
      <c r="N627" s="1"/>
      <c r="O627" s="1"/>
    </row>
    <row r="628">
      <c r="A628" s="1" t="str">
        <f>Sheet11!A628</f>
        <v/>
      </c>
      <c r="B628" s="1"/>
      <c r="C628" s="1"/>
      <c r="D628" s="1"/>
      <c r="E628" s="1"/>
      <c r="F628" s="1"/>
      <c r="G628" s="1"/>
      <c r="H628" s="1"/>
      <c r="L628" s="1"/>
      <c r="M628" s="1"/>
      <c r="N628" s="1"/>
      <c r="O628" s="1"/>
    </row>
    <row r="629">
      <c r="A629" s="1" t="str">
        <f>Sheet11!A629</f>
        <v/>
      </c>
      <c r="B629" s="1"/>
      <c r="C629" s="1"/>
      <c r="D629" s="1"/>
      <c r="E629" s="1"/>
      <c r="F629" s="1"/>
      <c r="G629" s="1"/>
      <c r="H629" s="1"/>
      <c r="L629" s="1"/>
      <c r="M629" s="1"/>
      <c r="N629" s="1"/>
      <c r="O629" s="1"/>
    </row>
    <row r="630">
      <c r="A630" s="1" t="str">
        <f>Sheet11!A630</f>
        <v/>
      </c>
      <c r="B630" s="1"/>
      <c r="C630" s="1"/>
      <c r="D630" s="1"/>
      <c r="E630" s="1"/>
      <c r="F630" s="1"/>
      <c r="G630" s="1"/>
      <c r="H630" s="1"/>
      <c r="L630" s="1"/>
      <c r="M630" s="1"/>
      <c r="N630" s="1"/>
      <c r="O630" s="1"/>
    </row>
    <row r="631">
      <c r="A631" s="1" t="str">
        <f>Sheet11!A631</f>
        <v/>
      </c>
      <c r="B631" s="1"/>
      <c r="C631" s="1"/>
      <c r="D631" s="1"/>
      <c r="E631" s="1"/>
      <c r="F631" s="1"/>
      <c r="G631" s="1"/>
      <c r="H631" s="1"/>
      <c r="L631" s="1"/>
      <c r="M631" s="1"/>
      <c r="N631" s="1"/>
      <c r="O631" s="1"/>
    </row>
    <row r="632">
      <c r="A632" s="1" t="str">
        <f>Sheet11!A632</f>
        <v/>
      </c>
      <c r="B632" s="1"/>
      <c r="C632" s="1"/>
      <c r="D632" s="1"/>
      <c r="E632" s="1"/>
      <c r="F632" s="1"/>
      <c r="G632" s="1"/>
      <c r="H632" s="1"/>
      <c r="L632" s="1"/>
      <c r="M632" s="1"/>
      <c r="N632" s="1"/>
      <c r="O632" s="1"/>
    </row>
    <row r="633">
      <c r="A633" s="1" t="str">
        <f>Sheet11!A633</f>
        <v/>
      </c>
      <c r="B633" s="1"/>
      <c r="C633" s="1"/>
      <c r="D633" s="1"/>
      <c r="E633" s="1"/>
      <c r="F633" s="1"/>
      <c r="G633" s="1"/>
      <c r="H633" s="1"/>
      <c r="L633" s="1"/>
      <c r="M633" s="1"/>
      <c r="N633" s="1"/>
      <c r="O633" s="1"/>
    </row>
    <row r="634">
      <c r="A634" s="1" t="str">
        <f>Sheet11!A634</f>
        <v/>
      </c>
      <c r="B634" s="1"/>
      <c r="C634" s="1"/>
      <c r="D634" s="1"/>
      <c r="E634" s="1"/>
      <c r="F634" s="1"/>
      <c r="G634" s="1"/>
      <c r="H634" s="1"/>
      <c r="L634" s="1"/>
      <c r="M634" s="1"/>
      <c r="N634" s="1"/>
      <c r="O634" s="1"/>
    </row>
    <row r="635">
      <c r="A635" s="1" t="str">
        <f>Sheet11!A635</f>
        <v/>
      </c>
      <c r="B635" s="1"/>
      <c r="C635" s="1"/>
      <c r="D635" s="1"/>
      <c r="E635" s="1"/>
      <c r="F635" s="1"/>
      <c r="G635" s="1"/>
      <c r="H635" s="1"/>
      <c r="L635" s="1"/>
      <c r="M635" s="1"/>
      <c r="N635" s="1"/>
      <c r="O635" s="1"/>
    </row>
    <row r="636">
      <c r="A636" s="1" t="str">
        <f>Sheet11!A636</f>
        <v/>
      </c>
      <c r="B636" s="1"/>
      <c r="C636" s="1"/>
      <c r="D636" s="1"/>
      <c r="E636" s="1"/>
      <c r="F636" s="1"/>
      <c r="G636" s="1"/>
      <c r="H636" s="1"/>
      <c r="L636" s="1"/>
      <c r="M636" s="1"/>
      <c r="N636" s="1"/>
      <c r="O636" s="1"/>
    </row>
    <row r="637">
      <c r="A637" s="1" t="str">
        <f>Sheet11!A637</f>
        <v/>
      </c>
      <c r="B637" s="1"/>
      <c r="C637" s="1"/>
      <c r="D637" s="1"/>
      <c r="E637" s="1"/>
      <c r="F637" s="1"/>
      <c r="G637" s="1"/>
      <c r="H637" s="1"/>
      <c r="L637" s="1"/>
      <c r="M637" s="1"/>
      <c r="N637" s="1"/>
      <c r="O637" s="1"/>
    </row>
    <row r="638">
      <c r="A638" s="1" t="str">
        <f>Sheet11!A638</f>
        <v/>
      </c>
      <c r="B638" s="1"/>
      <c r="C638" s="1"/>
      <c r="D638" s="1"/>
      <c r="E638" s="1"/>
      <c r="F638" s="1"/>
      <c r="G638" s="1"/>
      <c r="H638" s="1"/>
      <c r="L638" s="1"/>
      <c r="M638" s="1"/>
      <c r="N638" s="1"/>
      <c r="O638" s="1"/>
    </row>
    <row r="639">
      <c r="A639" s="1" t="str">
        <f>Sheet11!A639</f>
        <v/>
      </c>
      <c r="B639" s="1"/>
      <c r="C639" s="1"/>
      <c r="D639" s="1"/>
      <c r="E639" s="1"/>
      <c r="F639" s="1"/>
      <c r="G639" s="1"/>
      <c r="H639" s="1"/>
      <c r="L639" s="1"/>
      <c r="M639" s="1"/>
      <c r="N639" s="1"/>
      <c r="O639" s="1"/>
    </row>
    <row r="640">
      <c r="A640" s="1" t="str">
        <f>Sheet11!A640</f>
        <v/>
      </c>
      <c r="B640" s="1"/>
      <c r="C640" s="1"/>
      <c r="D640" s="1"/>
      <c r="E640" s="1"/>
      <c r="F640" s="1"/>
      <c r="G640" s="1"/>
      <c r="H640" s="1"/>
      <c r="L640" s="1"/>
      <c r="M640" s="1"/>
      <c r="N640" s="1"/>
      <c r="O640" s="1"/>
    </row>
    <row r="641">
      <c r="A641" s="1"/>
      <c r="B641" s="1"/>
      <c r="C641" s="1"/>
      <c r="D641" s="1"/>
      <c r="E641" s="1"/>
      <c r="F641" s="1"/>
      <c r="G641" s="1"/>
      <c r="H641" s="1"/>
      <c r="L641" s="1"/>
      <c r="M641" s="1"/>
      <c r="N641" s="1"/>
      <c r="O641" s="1"/>
    </row>
    <row r="642">
      <c r="A642" s="1"/>
      <c r="B642" s="1"/>
      <c r="C642" s="1"/>
      <c r="D642" s="1"/>
      <c r="E642" s="1"/>
      <c r="F642" s="1"/>
      <c r="G642" s="1"/>
      <c r="H642" s="1"/>
      <c r="L642" s="1"/>
      <c r="M642" s="1"/>
      <c r="N642" s="1"/>
      <c r="O642" s="1"/>
    </row>
    <row r="643">
      <c r="A643" s="1"/>
      <c r="B643" s="1"/>
      <c r="C643" s="1"/>
      <c r="D643" s="1"/>
      <c r="E643" s="1"/>
      <c r="F643" s="1"/>
      <c r="G643" s="1"/>
      <c r="H643" s="1"/>
      <c r="L643" s="1"/>
      <c r="M643" s="1"/>
      <c r="N643" s="1"/>
      <c r="O643" s="1"/>
    </row>
    <row r="644">
      <c r="A644" s="1"/>
      <c r="B644" s="1"/>
      <c r="C644" s="1"/>
      <c r="D644" s="1"/>
      <c r="E644" s="1"/>
      <c r="F644" s="1"/>
      <c r="G644" s="1"/>
      <c r="H644" s="1"/>
      <c r="L644" s="1"/>
      <c r="M644" s="1"/>
      <c r="N644" s="1"/>
      <c r="O644" s="1"/>
    </row>
    <row r="645">
      <c r="A645" s="1"/>
      <c r="B645" s="1"/>
      <c r="C645" s="1"/>
      <c r="D645" s="1"/>
      <c r="E645" s="1"/>
      <c r="F645" s="1"/>
      <c r="G645" s="1"/>
      <c r="H645" s="1"/>
      <c r="L645" s="1"/>
      <c r="M645" s="1"/>
      <c r="N645" s="1"/>
      <c r="O645" s="1"/>
    </row>
    <row r="646">
      <c r="A646" s="1"/>
      <c r="B646" s="1"/>
      <c r="C646" s="1"/>
      <c r="D646" s="1"/>
      <c r="E646" s="1"/>
      <c r="F646" s="1"/>
      <c r="G646" s="1"/>
      <c r="H646" s="1"/>
      <c r="L646" s="1"/>
      <c r="M646" s="1"/>
      <c r="N646" s="1"/>
      <c r="O646" s="1"/>
    </row>
    <row r="647">
      <c r="A647" s="1"/>
      <c r="B647" s="1"/>
      <c r="C647" s="1"/>
      <c r="D647" s="1"/>
      <c r="E647" s="1"/>
      <c r="F647" s="1"/>
      <c r="G647" s="1"/>
      <c r="H647" s="1"/>
      <c r="L647" s="1"/>
      <c r="M647" s="1"/>
      <c r="N647" s="1"/>
      <c r="O647" s="1"/>
    </row>
    <row r="648">
      <c r="A648" s="1"/>
      <c r="B648" s="1"/>
      <c r="C648" s="1"/>
      <c r="D648" s="1"/>
      <c r="E648" s="1"/>
      <c r="F648" s="1"/>
      <c r="G648" s="1"/>
      <c r="H648" s="1"/>
      <c r="L648" s="1"/>
      <c r="M648" s="1"/>
      <c r="N648" s="1"/>
      <c r="O648" s="1"/>
    </row>
    <row r="649">
      <c r="A649" s="1"/>
      <c r="B649" s="1"/>
      <c r="C649" s="1"/>
      <c r="D649" s="1"/>
      <c r="E649" s="1"/>
      <c r="F649" s="1"/>
      <c r="G649" s="1"/>
      <c r="H649" s="1"/>
      <c r="L649" s="1"/>
      <c r="M649" s="1"/>
      <c r="N649" s="1"/>
      <c r="O649" s="1"/>
    </row>
    <row r="650">
      <c r="A650" s="1"/>
      <c r="B650" s="1"/>
      <c r="C650" s="1"/>
      <c r="D650" s="1"/>
      <c r="E650" s="1"/>
      <c r="F650" s="1"/>
      <c r="G650" s="1"/>
      <c r="H650" s="1"/>
      <c r="L650" s="1"/>
      <c r="M650" s="1"/>
      <c r="N650" s="1"/>
      <c r="O650" s="1"/>
    </row>
    <row r="651">
      <c r="A651" s="1"/>
      <c r="B651" s="1"/>
      <c r="C651" s="1"/>
      <c r="D651" s="1"/>
      <c r="E651" s="1"/>
      <c r="F651" s="1"/>
      <c r="G651" s="1"/>
      <c r="H651" s="1"/>
      <c r="L651" s="1"/>
      <c r="M651" s="1"/>
      <c r="N651" s="1"/>
      <c r="O651" s="1"/>
    </row>
    <row r="652">
      <c r="A652" s="1"/>
      <c r="B652" s="1"/>
      <c r="C652" s="1"/>
      <c r="D652" s="1"/>
      <c r="E652" s="1"/>
      <c r="F652" s="1"/>
      <c r="G652" s="1"/>
      <c r="H652" s="1"/>
      <c r="L652" s="1"/>
      <c r="M652" s="1"/>
      <c r="N652" s="1"/>
      <c r="O652" s="1"/>
    </row>
    <row r="653">
      <c r="A653" s="1"/>
      <c r="B653" s="1"/>
      <c r="C653" s="1"/>
      <c r="D653" s="1"/>
      <c r="E653" s="1"/>
      <c r="F653" s="1"/>
      <c r="G653" s="1"/>
      <c r="H653" s="1"/>
      <c r="L653" s="1"/>
      <c r="M653" s="1"/>
      <c r="N653" s="1"/>
      <c r="O653" s="1"/>
    </row>
    <row r="654">
      <c r="A654" s="1"/>
      <c r="B654" s="1"/>
      <c r="C654" s="1"/>
      <c r="D654" s="1"/>
      <c r="E654" s="1"/>
      <c r="F654" s="1"/>
      <c r="G654" s="1"/>
      <c r="H654" s="1"/>
      <c r="L654" s="1"/>
      <c r="M654" s="1"/>
      <c r="N654" s="1"/>
      <c r="O654" s="1"/>
    </row>
    <row r="655">
      <c r="A655" s="1"/>
      <c r="B655" s="1"/>
      <c r="C655" s="1"/>
      <c r="D655" s="1"/>
      <c r="E655" s="1"/>
      <c r="F655" s="1"/>
      <c r="G655" s="1"/>
      <c r="H655" s="1"/>
      <c r="L655" s="1"/>
      <c r="M655" s="1"/>
      <c r="N655" s="1"/>
      <c r="O655" s="1"/>
    </row>
    <row r="656">
      <c r="A656" s="1"/>
      <c r="B656" s="1"/>
      <c r="C656" s="1"/>
      <c r="D656" s="1"/>
      <c r="E656" s="1"/>
      <c r="F656" s="1"/>
      <c r="G656" s="1"/>
      <c r="H656" s="1"/>
      <c r="L656" s="1"/>
      <c r="M656" s="1"/>
      <c r="N656" s="1"/>
      <c r="O656" s="1"/>
    </row>
    <row r="657">
      <c r="A657" s="1"/>
      <c r="B657" s="1"/>
      <c r="C657" s="1"/>
      <c r="D657" s="1"/>
      <c r="E657" s="1"/>
      <c r="F657" s="1"/>
      <c r="G657" s="1"/>
      <c r="H657" s="1"/>
      <c r="L657" s="1"/>
      <c r="M657" s="1"/>
      <c r="N657" s="1"/>
      <c r="O657" s="1"/>
    </row>
    <row r="658">
      <c r="A658" s="1"/>
      <c r="B658" s="1"/>
      <c r="C658" s="1"/>
      <c r="D658" s="1"/>
      <c r="E658" s="1"/>
      <c r="F658" s="1"/>
      <c r="G658" s="1"/>
      <c r="H658" s="1"/>
      <c r="L658" s="1"/>
      <c r="M658" s="1"/>
      <c r="N658" s="1"/>
      <c r="O658" s="1"/>
    </row>
    <row r="659">
      <c r="A659" s="1"/>
      <c r="B659" s="1"/>
      <c r="C659" s="1"/>
      <c r="D659" s="1"/>
      <c r="E659" s="1"/>
      <c r="F659" s="1"/>
      <c r="G659" s="1"/>
      <c r="H659" s="1"/>
      <c r="L659" s="1"/>
      <c r="M659" s="1"/>
      <c r="N659" s="1"/>
      <c r="O659" s="1"/>
    </row>
    <row r="660">
      <c r="A660" s="1"/>
      <c r="B660" s="1"/>
      <c r="C660" s="1"/>
      <c r="D660" s="1"/>
      <c r="E660" s="1"/>
      <c r="F660" s="1"/>
      <c r="G660" s="1"/>
      <c r="H660" s="1"/>
      <c r="L660" s="1"/>
      <c r="M660" s="1"/>
      <c r="N660" s="1"/>
      <c r="O660" s="1"/>
    </row>
    <row r="661">
      <c r="A661" s="1"/>
      <c r="B661" s="1"/>
      <c r="C661" s="1"/>
      <c r="D661" s="1"/>
      <c r="E661" s="1"/>
      <c r="F661" s="1"/>
      <c r="G661" s="1"/>
      <c r="H661" s="1"/>
      <c r="L661" s="1"/>
      <c r="M661" s="1"/>
      <c r="N661" s="1"/>
      <c r="O661" s="1"/>
    </row>
    <row r="662">
      <c r="A662" s="1"/>
      <c r="B662" s="1"/>
      <c r="C662" s="1"/>
      <c r="D662" s="1"/>
      <c r="E662" s="1"/>
      <c r="F662" s="1"/>
      <c r="G662" s="1"/>
      <c r="H662" s="1"/>
      <c r="L662" s="1"/>
      <c r="M662" s="1"/>
      <c r="N662" s="1"/>
      <c r="O662" s="1"/>
    </row>
    <row r="663">
      <c r="A663" s="1"/>
      <c r="B663" s="1"/>
      <c r="C663" s="1"/>
      <c r="D663" s="1"/>
      <c r="E663" s="1"/>
      <c r="F663" s="1"/>
      <c r="G663" s="1"/>
      <c r="H663" s="1"/>
      <c r="L663" s="1"/>
      <c r="M663" s="1"/>
      <c r="N663" s="1"/>
      <c r="O663" s="1"/>
    </row>
    <row r="664">
      <c r="A664" s="1"/>
      <c r="B664" s="1"/>
      <c r="C664" s="1"/>
      <c r="D664" s="1"/>
      <c r="E664" s="1"/>
      <c r="F664" s="1"/>
      <c r="G664" s="1"/>
      <c r="H664" s="1"/>
      <c r="L664" s="1"/>
      <c r="M664" s="1"/>
      <c r="N664" s="1"/>
      <c r="O664" s="1"/>
    </row>
    <row r="665">
      <c r="A665" s="1"/>
      <c r="B665" s="1"/>
      <c r="C665" s="1"/>
      <c r="D665" s="1"/>
      <c r="E665" s="1"/>
      <c r="F665" s="1"/>
      <c r="G665" s="1"/>
      <c r="H665" s="1"/>
      <c r="L665" s="1"/>
      <c r="M665" s="1"/>
      <c r="N665" s="1"/>
      <c r="O665" s="1"/>
    </row>
    <row r="666">
      <c r="A666" s="1"/>
      <c r="B666" s="1"/>
      <c r="C666" s="1"/>
      <c r="D666" s="1"/>
      <c r="E666" s="1"/>
      <c r="F666" s="1"/>
      <c r="G666" s="1"/>
      <c r="H666" s="1"/>
      <c r="L666" s="1"/>
      <c r="M666" s="1"/>
      <c r="N666" s="1"/>
      <c r="O666" s="1"/>
    </row>
    <row r="667">
      <c r="A667" s="1"/>
      <c r="B667" s="1"/>
      <c r="C667" s="1"/>
      <c r="D667" s="1"/>
      <c r="E667" s="1"/>
      <c r="F667" s="1"/>
      <c r="G667" s="1"/>
      <c r="H667" s="1"/>
      <c r="L667" s="1"/>
      <c r="M667" s="1"/>
      <c r="N667" s="1"/>
      <c r="O667" s="1"/>
    </row>
    <row r="668">
      <c r="A668" s="1"/>
      <c r="B668" s="1"/>
      <c r="C668" s="1"/>
      <c r="D668" s="1"/>
      <c r="E668" s="1"/>
      <c r="F668" s="1"/>
      <c r="G668" s="1"/>
      <c r="H668" s="1"/>
      <c r="L668" s="1"/>
      <c r="M668" s="1"/>
      <c r="N668" s="1"/>
      <c r="O668" s="1"/>
    </row>
    <row r="669">
      <c r="A669" s="1"/>
      <c r="B669" s="1"/>
      <c r="C669" s="1"/>
      <c r="D669" s="1"/>
      <c r="E669" s="1"/>
      <c r="F669" s="1"/>
      <c r="G669" s="1"/>
      <c r="H669" s="1"/>
      <c r="L669" s="1"/>
      <c r="M669" s="1"/>
      <c r="N669" s="1"/>
      <c r="O669" s="1"/>
    </row>
    <row r="670">
      <c r="A670" s="1"/>
      <c r="B670" s="1"/>
      <c r="C670" s="1"/>
      <c r="D670" s="1"/>
      <c r="E670" s="1"/>
      <c r="F670" s="1"/>
      <c r="G670" s="1"/>
      <c r="H670" s="1"/>
      <c r="L670" s="1"/>
      <c r="M670" s="1"/>
      <c r="N670" s="1"/>
      <c r="O670" s="1"/>
    </row>
    <row r="671">
      <c r="A671" s="1"/>
      <c r="B671" s="1"/>
      <c r="C671" s="1"/>
      <c r="D671" s="1"/>
      <c r="E671" s="1"/>
      <c r="F671" s="1"/>
      <c r="G671" s="1"/>
      <c r="H671" s="1"/>
      <c r="L671" s="1"/>
      <c r="M671" s="1"/>
      <c r="N671" s="1"/>
      <c r="O671" s="1"/>
    </row>
    <row r="672">
      <c r="A672" s="1"/>
      <c r="B672" s="1"/>
      <c r="C672" s="1"/>
      <c r="D672" s="1"/>
      <c r="E672" s="1"/>
      <c r="F672" s="1"/>
      <c r="G672" s="1"/>
      <c r="H672" s="1"/>
      <c r="L672" s="1"/>
      <c r="M672" s="1"/>
      <c r="N672" s="1"/>
      <c r="O672" s="1"/>
    </row>
    <row r="673">
      <c r="A673" s="1"/>
      <c r="B673" s="1"/>
      <c r="C673" s="1"/>
      <c r="D673" s="1"/>
      <c r="E673" s="1"/>
      <c r="F673" s="1"/>
      <c r="G673" s="1"/>
      <c r="H673" s="1"/>
      <c r="L673" s="1"/>
      <c r="M673" s="1"/>
      <c r="N673" s="1"/>
      <c r="O673" s="1"/>
    </row>
    <row r="674">
      <c r="A674" s="1"/>
      <c r="B674" s="1"/>
      <c r="C674" s="1"/>
      <c r="D674" s="1"/>
      <c r="E674" s="1"/>
      <c r="F674" s="1"/>
      <c r="G674" s="1"/>
      <c r="H674" s="1"/>
      <c r="L674" s="1"/>
      <c r="M674" s="1"/>
      <c r="N674" s="1"/>
      <c r="O674" s="1"/>
    </row>
    <row r="675">
      <c r="A675" s="1"/>
      <c r="B675" s="1"/>
      <c r="C675" s="1"/>
      <c r="D675" s="1"/>
      <c r="E675" s="1"/>
      <c r="F675" s="1"/>
      <c r="G675" s="1"/>
      <c r="H675" s="1"/>
      <c r="L675" s="1"/>
      <c r="M675" s="1"/>
      <c r="N675" s="1"/>
      <c r="O675" s="1"/>
    </row>
    <row r="676">
      <c r="A676" s="1"/>
      <c r="B676" s="1"/>
      <c r="C676" s="1"/>
      <c r="D676" s="1"/>
      <c r="E676" s="1"/>
      <c r="F676" s="1"/>
      <c r="G676" s="1"/>
      <c r="H676" s="1"/>
      <c r="L676" s="1"/>
      <c r="M676" s="1"/>
      <c r="N676" s="1"/>
      <c r="O676" s="1"/>
    </row>
    <row r="677">
      <c r="A677" s="1"/>
      <c r="B677" s="1"/>
      <c r="C677" s="1"/>
      <c r="D677" s="1"/>
      <c r="E677" s="1"/>
      <c r="F677" s="1"/>
      <c r="G677" s="1"/>
      <c r="H677" s="1"/>
      <c r="L677" s="1"/>
      <c r="M677" s="1"/>
      <c r="N677" s="1"/>
      <c r="O677" s="1"/>
    </row>
    <row r="678">
      <c r="A678" s="1"/>
      <c r="B678" s="1"/>
      <c r="C678" s="1"/>
      <c r="D678" s="1"/>
      <c r="E678" s="1"/>
      <c r="F678" s="1"/>
      <c r="G678" s="1"/>
      <c r="H678" s="1"/>
      <c r="L678" s="1"/>
      <c r="M678" s="1"/>
      <c r="N678" s="1"/>
      <c r="O678" s="1"/>
    </row>
    <row r="679">
      <c r="A679" s="1"/>
      <c r="B679" s="1"/>
      <c r="C679" s="1"/>
      <c r="D679" s="1"/>
      <c r="E679" s="1"/>
      <c r="F679" s="1"/>
      <c r="G679" s="1"/>
      <c r="H679" s="1"/>
      <c r="L679" s="1"/>
      <c r="M679" s="1"/>
      <c r="N679" s="1"/>
      <c r="O679" s="1"/>
    </row>
    <row r="680">
      <c r="A680" s="1"/>
      <c r="B680" s="1"/>
      <c r="C680" s="1"/>
      <c r="D680" s="1"/>
      <c r="E680" s="1"/>
      <c r="F680" s="1"/>
      <c r="G680" s="1"/>
      <c r="H680" s="1"/>
      <c r="L680" s="1"/>
      <c r="M680" s="1"/>
      <c r="N680" s="1"/>
      <c r="O680" s="1"/>
    </row>
    <row r="681">
      <c r="A681" s="1"/>
      <c r="B681" s="1"/>
      <c r="C681" s="1"/>
      <c r="D681" s="1"/>
      <c r="E681" s="1"/>
      <c r="F681" s="1"/>
      <c r="G681" s="1"/>
      <c r="H681" s="1"/>
      <c r="L681" s="1"/>
      <c r="M681" s="1"/>
      <c r="N681" s="1"/>
      <c r="O681" s="1"/>
    </row>
    <row r="682">
      <c r="A682" s="1"/>
      <c r="B682" s="1"/>
      <c r="C682" s="1"/>
      <c r="D682" s="1"/>
      <c r="E682" s="1"/>
      <c r="F682" s="1"/>
      <c r="G682" s="1"/>
      <c r="H682" s="1"/>
      <c r="L682" s="1"/>
      <c r="M682" s="1"/>
      <c r="N682" s="1"/>
      <c r="O682" s="1"/>
    </row>
    <row r="683">
      <c r="A683" s="1"/>
      <c r="B683" s="1"/>
      <c r="C683" s="1"/>
      <c r="D683" s="1"/>
      <c r="E683" s="1"/>
      <c r="F683" s="1"/>
      <c r="G683" s="1"/>
      <c r="H683" s="1"/>
      <c r="L683" s="1"/>
      <c r="M683" s="1"/>
      <c r="N683" s="1"/>
      <c r="O683" s="1"/>
    </row>
    <row r="684">
      <c r="A684" s="1"/>
      <c r="B684" s="1"/>
      <c r="C684" s="1"/>
      <c r="D684" s="1"/>
      <c r="E684" s="1"/>
      <c r="F684" s="1"/>
      <c r="G684" s="1"/>
      <c r="H684" s="1"/>
      <c r="L684" s="1"/>
      <c r="M684" s="1"/>
      <c r="N684" s="1"/>
      <c r="O684" s="1"/>
    </row>
    <row r="685">
      <c r="A685" s="1"/>
      <c r="B685" s="1"/>
      <c r="C685" s="1"/>
      <c r="D685" s="1"/>
      <c r="E685" s="1"/>
      <c r="F685" s="1"/>
      <c r="G685" s="1"/>
      <c r="H685" s="1"/>
      <c r="L685" s="1"/>
      <c r="M685" s="1"/>
      <c r="N685" s="1"/>
      <c r="O685" s="1"/>
    </row>
    <row r="686">
      <c r="A686" s="1"/>
      <c r="B686" s="1"/>
      <c r="C686" s="1"/>
      <c r="D686" s="1"/>
      <c r="E686" s="1"/>
      <c r="F686" s="1"/>
      <c r="G686" s="1"/>
      <c r="H686" s="1"/>
      <c r="L686" s="1"/>
      <c r="M686" s="1"/>
      <c r="N686" s="1"/>
      <c r="O686" s="1"/>
    </row>
    <row r="687">
      <c r="A687" s="1"/>
      <c r="B687" s="1"/>
      <c r="C687" s="1"/>
      <c r="D687" s="1"/>
      <c r="E687" s="1"/>
      <c r="F687" s="1"/>
      <c r="G687" s="1"/>
      <c r="H687" s="1"/>
      <c r="L687" s="1"/>
      <c r="M687" s="1"/>
      <c r="N687" s="1"/>
      <c r="O687" s="1"/>
    </row>
    <row r="688">
      <c r="A688" s="1"/>
      <c r="B688" s="1"/>
      <c r="C688" s="1"/>
      <c r="D688" s="1"/>
      <c r="E688" s="1"/>
      <c r="F688" s="1"/>
      <c r="G688" s="1"/>
      <c r="H688" s="1"/>
      <c r="L688" s="1"/>
      <c r="M688" s="1"/>
      <c r="N688" s="1"/>
      <c r="O688" s="1"/>
    </row>
    <row r="689">
      <c r="A689" s="1"/>
      <c r="B689" s="1"/>
      <c r="C689" s="1"/>
      <c r="D689" s="1"/>
      <c r="E689" s="1"/>
      <c r="F689" s="1"/>
      <c r="G689" s="1"/>
      <c r="H689" s="1"/>
      <c r="L689" s="1"/>
      <c r="M689" s="1"/>
      <c r="N689" s="1"/>
      <c r="O689" s="1"/>
    </row>
    <row r="690">
      <c r="A690" s="1"/>
      <c r="B690" s="1"/>
      <c r="C690" s="1"/>
      <c r="D690" s="1"/>
      <c r="E690" s="1"/>
      <c r="F690" s="1"/>
      <c r="G690" s="1"/>
      <c r="H690" s="1"/>
      <c r="L690" s="1"/>
      <c r="M690" s="1"/>
      <c r="N690" s="1"/>
      <c r="O690" s="1"/>
    </row>
    <row r="691">
      <c r="A691" s="1"/>
      <c r="B691" s="1"/>
      <c r="C691" s="1"/>
      <c r="D691" s="1"/>
      <c r="E691" s="1"/>
      <c r="F691" s="1"/>
      <c r="G691" s="1"/>
      <c r="H691" s="1"/>
      <c r="L691" s="1"/>
      <c r="M691" s="1"/>
      <c r="N691" s="1"/>
      <c r="O691" s="1"/>
    </row>
    <row r="692">
      <c r="A692" s="1"/>
      <c r="B692" s="1"/>
      <c r="C692" s="1"/>
      <c r="D692" s="1"/>
      <c r="E692" s="1"/>
      <c r="F692" s="1"/>
      <c r="G692" s="1"/>
      <c r="H692" s="1"/>
      <c r="L692" s="1"/>
      <c r="M692" s="1"/>
      <c r="N692" s="1"/>
      <c r="O692" s="1"/>
    </row>
    <row r="693">
      <c r="A693" s="1"/>
      <c r="B693" s="1"/>
      <c r="C693" s="1"/>
      <c r="D693" s="1"/>
      <c r="E693" s="1"/>
      <c r="F693" s="1"/>
      <c r="G693" s="1"/>
      <c r="H693" s="1"/>
      <c r="L693" s="1"/>
      <c r="M693" s="1"/>
      <c r="N693" s="1"/>
      <c r="O693" s="1"/>
    </row>
    <row r="694">
      <c r="A694" s="1"/>
      <c r="B694" s="1"/>
      <c r="C694" s="1"/>
      <c r="D694" s="1"/>
      <c r="E694" s="1"/>
      <c r="F694" s="1"/>
      <c r="G694" s="1"/>
      <c r="H694" s="1"/>
      <c r="L694" s="1"/>
      <c r="M694" s="1"/>
      <c r="N694" s="1"/>
      <c r="O694" s="1"/>
    </row>
    <row r="695">
      <c r="A695" s="1"/>
      <c r="B695" s="1"/>
      <c r="C695" s="1"/>
      <c r="D695" s="1"/>
      <c r="E695" s="1"/>
      <c r="F695" s="1"/>
      <c r="G695" s="1"/>
      <c r="H695" s="1"/>
      <c r="L695" s="1"/>
      <c r="M695" s="1"/>
      <c r="N695" s="1"/>
      <c r="O695" s="1"/>
    </row>
    <row r="696">
      <c r="A696" s="1"/>
      <c r="B696" s="1"/>
      <c r="C696" s="1"/>
      <c r="D696" s="1"/>
      <c r="E696" s="1"/>
      <c r="F696" s="1"/>
      <c r="G696" s="1"/>
      <c r="H696" s="1"/>
      <c r="L696" s="1"/>
      <c r="M696" s="1"/>
      <c r="N696" s="1"/>
      <c r="O696" s="1"/>
    </row>
    <row r="697">
      <c r="A697" s="1"/>
      <c r="B697" s="1"/>
      <c r="C697" s="1"/>
      <c r="D697" s="1"/>
      <c r="E697" s="1"/>
      <c r="F697" s="1"/>
      <c r="G697" s="1"/>
      <c r="H697" s="1"/>
      <c r="L697" s="1"/>
      <c r="M697" s="1"/>
      <c r="N697" s="1"/>
      <c r="O697" s="1"/>
    </row>
    <row r="698">
      <c r="A698" s="1"/>
      <c r="B698" s="1"/>
      <c r="C698" s="1"/>
      <c r="D698" s="1"/>
      <c r="E698" s="1"/>
      <c r="F698" s="1"/>
      <c r="G698" s="1"/>
      <c r="H698" s="1"/>
      <c r="L698" s="1"/>
      <c r="M698" s="1"/>
      <c r="N698" s="1"/>
      <c r="O698" s="1"/>
    </row>
    <row r="699">
      <c r="A699" s="1"/>
      <c r="B699" s="1"/>
      <c r="C699" s="1"/>
      <c r="D699" s="1"/>
      <c r="E699" s="1"/>
      <c r="F699" s="1"/>
      <c r="G699" s="1"/>
      <c r="H699" s="1"/>
      <c r="L699" s="1"/>
      <c r="M699" s="1"/>
      <c r="N699" s="1"/>
      <c r="O699" s="1"/>
    </row>
    <row r="700">
      <c r="A700" s="1"/>
      <c r="B700" s="1"/>
      <c r="C700" s="1"/>
      <c r="D700" s="1"/>
      <c r="E700" s="1"/>
      <c r="F700" s="1"/>
      <c r="G700" s="1"/>
      <c r="H700" s="1"/>
      <c r="L700" s="1"/>
      <c r="M700" s="1"/>
      <c r="N700" s="1"/>
      <c r="O700" s="1"/>
    </row>
    <row r="701">
      <c r="A701" s="1"/>
      <c r="B701" s="1"/>
      <c r="C701" s="1"/>
      <c r="D701" s="1"/>
      <c r="E701" s="1"/>
      <c r="F701" s="1"/>
      <c r="G701" s="1"/>
      <c r="H701" s="1"/>
      <c r="L701" s="1"/>
      <c r="M701" s="1"/>
      <c r="N701" s="1"/>
      <c r="O701" s="1"/>
    </row>
    <row r="702">
      <c r="A702" s="1"/>
      <c r="B702" s="1"/>
      <c r="C702" s="1"/>
      <c r="D702" s="1"/>
      <c r="E702" s="1"/>
      <c r="F702" s="1"/>
      <c r="G702" s="1"/>
      <c r="H702" s="1"/>
      <c r="L702" s="1"/>
      <c r="M702" s="1"/>
      <c r="N702" s="1"/>
      <c r="O702" s="1"/>
    </row>
    <row r="703">
      <c r="A703" s="1"/>
      <c r="B703" s="1"/>
      <c r="C703" s="1"/>
      <c r="D703" s="1"/>
      <c r="E703" s="1"/>
      <c r="F703" s="1"/>
      <c r="G703" s="1"/>
      <c r="H703" s="1"/>
      <c r="L703" s="1"/>
      <c r="M703" s="1"/>
      <c r="N703" s="1"/>
      <c r="O703" s="1"/>
    </row>
    <row r="704">
      <c r="A704" s="1"/>
      <c r="B704" s="1"/>
      <c r="C704" s="1"/>
      <c r="D704" s="1"/>
      <c r="E704" s="1"/>
      <c r="F704" s="1"/>
      <c r="G704" s="1"/>
      <c r="H704" s="1"/>
      <c r="L704" s="1"/>
      <c r="M704" s="1"/>
      <c r="N704" s="1"/>
      <c r="O704" s="1"/>
    </row>
    <row r="705">
      <c r="A705" s="1"/>
      <c r="B705" s="1"/>
      <c r="C705" s="1"/>
      <c r="D705" s="1"/>
      <c r="E705" s="1"/>
      <c r="F705" s="1"/>
      <c r="G705" s="1"/>
      <c r="H705" s="1"/>
      <c r="L705" s="1"/>
      <c r="M705" s="1"/>
      <c r="N705" s="1"/>
      <c r="O705" s="1"/>
    </row>
    <row r="706">
      <c r="A706" s="1"/>
      <c r="B706" s="1"/>
      <c r="C706" s="1"/>
      <c r="D706" s="1"/>
      <c r="E706" s="1"/>
      <c r="F706" s="1"/>
      <c r="G706" s="1"/>
      <c r="H706" s="1"/>
      <c r="L706" s="1"/>
      <c r="M706" s="1"/>
      <c r="N706" s="1"/>
      <c r="O706" s="1"/>
    </row>
    <row r="707">
      <c r="A707" s="1"/>
      <c r="B707" s="1"/>
      <c r="C707" s="1"/>
      <c r="D707" s="1"/>
      <c r="E707" s="1"/>
      <c r="F707" s="1"/>
      <c r="G707" s="1"/>
      <c r="H707" s="1"/>
      <c r="L707" s="1"/>
      <c r="M707" s="1"/>
      <c r="N707" s="1"/>
      <c r="O707" s="1"/>
    </row>
    <row r="708">
      <c r="A708" s="1"/>
      <c r="B708" s="1"/>
      <c r="C708" s="1"/>
      <c r="D708" s="1"/>
      <c r="E708" s="1"/>
      <c r="F708" s="1"/>
      <c r="G708" s="1"/>
      <c r="H708" s="1"/>
      <c r="L708" s="1"/>
      <c r="M708" s="1"/>
      <c r="N708" s="1"/>
      <c r="O708" s="1"/>
    </row>
    <row r="709">
      <c r="A709" s="1"/>
      <c r="B709" s="1"/>
      <c r="C709" s="1"/>
      <c r="D709" s="1"/>
      <c r="E709" s="1"/>
      <c r="F709" s="1"/>
      <c r="G709" s="1"/>
      <c r="H709" s="1"/>
      <c r="L709" s="1"/>
      <c r="M709" s="1"/>
      <c r="N709" s="1"/>
      <c r="O709" s="1"/>
    </row>
    <row r="710">
      <c r="A710" s="1"/>
      <c r="B710" s="1"/>
      <c r="C710" s="1"/>
      <c r="D710" s="1"/>
      <c r="E710" s="1"/>
      <c r="F710" s="1"/>
      <c r="G710" s="1"/>
      <c r="H710" s="1"/>
      <c r="L710" s="1"/>
      <c r="M710" s="1"/>
      <c r="N710" s="1"/>
      <c r="O710" s="1"/>
    </row>
    <row r="711">
      <c r="A711" s="1"/>
      <c r="B711" s="1"/>
      <c r="C711" s="1"/>
      <c r="D711" s="1"/>
      <c r="E711" s="1"/>
      <c r="F711" s="1"/>
      <c r="G711" s="1"/>
      <c r="H711" s="1"/>
      <c r="L711" s="1"/>
      <c r="M711" s="1"/>
      <c r="N711" s="1"/>
      <c r="O711" s="1"/>
    </row>
    <row r="712">
      <c r="A712" s="1"/>
      <c r="B712" s="1"/>
      <c r="C712" s="1"/>
      <c r="D712" s="1"/>
      <c r="E712" s="1"/>
      <c r="F712" s="1"/>
      <c r="G712" s="1"/>
      <c r="H712" s="1"/>
      <c r="L712" s="1"/>
      <c r="M712" s="1"/>
      <c r="N712" s="1"/>
      <c r="O712" s="1"/>
    </row>
    <row r="713">
      <c r="A713" s="1"/>
      <c r="B713" s="1"/>
      <c r="C713" s="1"/>
      <c r="D713" s="1"/>
      <c r="E713" s="1"/>
      <c r="F713" s="1"/>
      <c r="G713" s="1"/>
      <c r="H713" s="1"/>
      <c r="L713" s="1"/>
      <c r="M713" s="1"/>
      <c r="N713" s="1"/>
      <c r="O713" s="1"/>
    </row>
    <row r="714">
      <c r="A714" s="1"/>
      <c r="B714" s="1"/>
      <c r="C714" s="1"/>
      <c r="D714" s="1"/>
      <c r="E714" s="1"/>
      <c r="F714" s="1"/>
      <c r="G714" s="1"/>
      <c r="H714" s="1"/>
      <c r="L714" s="1"/>
      <c r="M714" s="1"/>
      <c r="N714" s="1"/>
      <c r="O714" s="1"/>
    </row>
    <row r="715">
      <c r="A715" s="1"/>
      <c r="B715" s="1"/>
      <c r="C715" s="1"/>
      <c r="D715" s="1"/>
      <c r="E715" s="1"/>
      <c r="F715" s="1"/>
      <c r="G715" s="1"/>
      <c r="H715" s="1"/>
      <c r="L715" s="1"/>
      <c r="M715" s="1"/>
      <c r="N715" s="1"/>
      <c r="O715" s="1"/>
    </row>
    <row r="716">
      <c r="A716" s="1"/>
      <c r="B716" s="1"/>
      <c r="C716" s="1"/>
      <c r="D716" s="1"/>
      <c r="E716" s="1"/>
      <c r="F716" s="1"/>
      <c r="G716" s="1"/>
      <c r="H716" s="1"/>
      <c r="L716" s="1"/>
      <c r="M716" s="1"/>
      <c r="N716" s="1"/>
      <c r="O716" s="1"/>
    </row>
    <row r="717">
      <c r="A717" s="1"/>
      <c r="B717" s="1"/>
      <c r="C717" s="1"/>
      <c r="D717" s="1"/>
      <c r="E717" s="1"/>
      <c r="F717" s="1"/>
      <c r="G717" s="1"/>
      <c r="H717" s="1"/>
      <c r="L717" s="1"/>
      <c r="M717" s="1"/>
      <c r="N717" s="1"/>
      <c r="O717" s="1"/>
    </row>
    <row r="718">
      <c r="A718" s="1"/>
      <c r="B718" s="1"/>
      <c r="C718" s="1"/>
      <c r="D718" s="1"/>
      <c r="E718" s="1"/>
      <c r="F718" s="1"/>
      <c r="G718" s="1"/>
      <c r="H718" s="1"/>
      <c r="L718" s="1"/>
      <c r="M718" s="1"/>
      <c r="N718" s="1"/>
      <c r="O718" s="1"/>
    </row>
    <row r="719">
      <c r="A719" s="1"/>
      <c r="B719" s="1"/>
      <c r="C719" s="1"/>
      <c r="D719" s="1"/>
      <c r="E719" s="1"/>
      <c r="F719" s="1"/>
      <c r="G719" s="1"/>
      <c r="H719" s="1"/>
      <c r="L719" s="1"/>
      <c r="M719" s="1"/>
      <c r="N719" s="1"/>
      <c r="O719" s="1"/>
    </row>
    <row r="720">
      <c r="A720" s="1"/>
      <c r="B720" s="1"/>
      <c r="C720" s="1"/>
      <c r="D720" s="1"/>
      <c r="E720" s="1"/>
      <c r="F720" s="1"/>
      <c r="G720" s="1"/>
      <c r="H720" s="1"/>
      <c r="L720" s="1"/>
      <c r="M720" s="1"/>
      <c r="N720" s="1"/>
      <c r="O720" s="1"/>
    </row>
    <row r="721">
      <c r="A721" s="1"/>
      <c r="B721" s="1"/>
      <c r="C721" s="1"/>
      <c r="D721" s="1"/>
      <c r="E721" s="1"/>
      <c r="F721" s="1"/>
      <c r="G721" s="1"/>
      <c r="H721" s="1"/>
      <c r="L721" s="1"/>
      <c r="M721" s="1"/>
      <c r="N721" s="1"/>
      <c r="O721" s="1"/>
    </row>
    <row r="722">
      <c r="A722" s="1"/>
      <c r="B722" s="1"/>
      <c r="C722" s="1"/>
      <c r="D722" s="1"/>
      <c r="E722" s="1"/>
      <c r="F722" s="1"/>
      <c r="G722" s="1"/>
      <c r="H722" s="1"/>
      <c r="L722" s="1"/>
      <c r="M722" s="1"/>
      <c r="N722" s="1"/>
      <c r="O722" s="1"/>
    </row>
    <row r="723">
      <c r="A723" s="1"/>
      <c r="B723" s="1"/>
      <c r="C723" s="1"/>
      <c r="D723" s="1"/>
      <c r="E723" s="1"/>
      <c r="F723" s="1"/>
      <c r="G723" s="1"/>
      <c r="H723" s="1"/>
      <c r="L723" s="1"/>
      <c r="M723" s="1"/>
      <c r="N723" s="1"/>
      <c r="O723" s="1"/>
    </row>
    <row r="724">
      <c r="A724" s="1"/>
      <c r="B724" s="1"/>
      <c r="C724" s="1"/>
      <c r="D724" s="1"/>
      <c r="E724" s="1"/>
      <c r="F724" s="1"/>
      <c r="G724" s="1"/>
      <c r="H724" s="1"/>
      <c r="L724" s="1"/>
      <c r="M724" s="1"/>
      <c r="N724" s="1"/>
      <c r="O724" s="1"/>
    </row>
    <row r="725">
      <c r="A725" s="1"/>
      <c r="B725" s="1"/>
      <c r="C725" s="1"/>
      <c r="D725" s="1"/>
      <c r="E725" s="1"/>
      <c r="F725" s="1"/>
      <c r="G725" s="1"/>
      <c r="H725" s="1"/>
      <c r="L725" s="1"/>
      <c r="M725" s="1"/>
      <c r="N725" s="1"/>
      <c r="O725" s="1"/>
    </row>
    <row r="726">
      <c r="A726" s="1"/>
      <c r="B726" s="1"/>
      <c r="C726" s="1"/>
      <c r="D726" s="1"/>
      <c r="E726" s="1"/>
      <c r="F726" s="1"/>
      <c r="G726" s="1"/>
      <c r="H726" s="1"/>
      <c r="L726" s="1"/>
      <c r="M726" s="1"/>
      <c r="N726" s="1"/>
      <c r="O726" s="1"/>
    </row>
    <row r="727">
      <c r="A727" s="1"/>
      <c r="B727" s="1"/>
      <c r="C727" s="1"/>
      <c r="D727" s="1"/>
      <c r="E727" s="1"/>
      <c r="F727" s="1"/>
      <c r="G727" s="1"/>
      <c r="H727" s="1"/>
      <c r="L727" s="1"/>
      <c r="M727" s="1"/>
      <c r="N727" s="1"/>
      <c r="O727" s="1"/>
    </row>
    <row r="728">
      <c r="A728" s="1"/>
      <c r="B728" s="1"/>
      <c r="C728" s="1"/>
      <c r="D728" s="1"/>
      <c r="E728" s="1"/>
      <c r="F728" s="1"/>
      <c r="G728" s="1"/>
      <c r="H728" s="1"/>
      <c r="L728" s="1"/>
      <c r="M728" s="1"/>
      <c r="N728" s="1"/>
      <c r="O728" s="1"/>
    </row>
    <row r="729">
      <c r="A729" s="1"/>
      <c r="B729" s="1"/>
      <c r="C729" s="1"/>
      <c r="D729" s="1"/>
      <c r="E729" s="1"/>
      <c r="F729" s="1"/>
      <c r="G729" s="1"/>
      <c r="H729" s="1"/>
      <c r="L729" s="1"/>
      <c r="M729" s="1"/>
      <c r="N729" s="1"/>
      <c r="O729" s="1"/>
    </row>
    <row r="730">
      <c r="A730" s="1"/>
      <c r="B730" s="1"/>
      <c r="C730" s="1"/>
      <c r="D730" s="1"/>
      <c r="E730" s="1"/>
      <c r="F730" s="1"/>
      <c r="G730" s="1"/>
      <c r="H730" s="1"/>
      <c r="L730" s="1"/>
      <c r="M730" s="1"/>
      <c r="N730" s="1"/>
      <c r="O730" s="1"/>
    </row>
    <row r="731">
      <c r="A731" s="1"/>
      <c r="B731" s="1"/>
      <c r="C731" s="1"/>
      <c r="D731" s="1"/>
      <c r="E731" s="1"/>
      <c r="F731" s="1"/>
      <c r="G731" s="1"/>
      <c r="H731" s="1"/>
      <c r="L731" s="1"/>
      <c r="M731" s="1"/>
      <c r="N731" s="1"/>
      <c r="O731" s="1"/>
    </row>
    <row r="732">
      <c r="A732" s="1"/>
      <c r="B732" s="1"/>
      <c r="C732" s="1"/>
      <c r="D732" s="1"/>
      <c r="E732" s="1"/>
      <c r="F732" s="1"/>
      <c r="G732" s="1"/>
      <c r="H732" s="1"/>
      <c r="L732" s="1"/>
      <c r="M732" s="1"/>
      <c r="N732" s="1"/>
      <c r="O732" s="1"/>
    </row>
    <row r="733">
      <c r="A733" s="1"/>
      <c r="B733" s="1"/>
      <c r="C733" s="1"/>
      <c r="D733" s="1"/>
      <c r="E733" s="1"/>
      <c r="F733" s="1"/>
      <c r="G733" s="1"/>
      <c r="H733" s="1"/>
      <c r="L733" s="1"/>
      <c r="M733" s="1"/>
      <c r="N733" s="1"/>
      <c r="O733" s="1"/>
    </row>
    <row r="734">
      <c r="A734" s="1"/>
      <c r="B734" s="1"/>
      <c r="C734" s="1"/>
      <c r="D734" s="1"/>
      <c r="E734" s="1"/>
      <c r="F734" s="1"/>
      <c r="G734" s="1"/>
      <c r="H734" s="1"/>
      <c r="L734" s="1"/>
      <c r="M734" s="1"/>
      <c r="N734" s="1"/>
      <c r="O734" s="1"/>
    </row>
    <row r="735">
      <c r="A735" s="1"/>
      <c r="B735" s="1"/>
      <c r="C735" s="1"/>
      <c r="D735" s="1"/>
      <c r="E735" s="1"/>
      <c r="F735" s="1"/>
      <c r="G735" s="1"/>
      <c r="H735" s="1"/>
      <c r="L735" s="1"/>
      <c r="M735" s="1"/>
      <c r="N735" s="1"/>
      <c r="O735" s="1"/>
    </row>
    <row r="736">
      <c r="A736" s="1"/>
      <c r="B736" s="1"/>
      <c r="C736" s="1"/>
      <c r="D736" s="1"/>
      <c r="E736" s="1"/>
      <c r="F736" s="1"/>
      <c r="G736" s="1"/>
      <c r="H736" s="1"/>
      <c r="L736" s="1"/>
      <c r="M736" s="1"/>
      <c r="N736" s="1"/>
      <c r="O736" s="1"/>
    </row>
    <row r="737">
      <c r="A737" s="1"/>
      <c r="B737" s="1"/>
      <c r="C737" s="1"/>
      <c r="D737" s="1"/>
      <c r="E737" s="1"/>
      <c r="F737" s="1"/>
      <c r="G737" s="1"/>
      <c r="H737" s="1"/>
      <c r="L737" s="1"/>
      <c r="M737" s="1"/>
      <c r="N737" s="1"/>
      <c r="O737" s="1"/>
    </row>
    <row r="738">
      <c r="A738" s="1"/>
      <c r="B738" s="1"/>
      <c r="C738" s="1"/>
      <c r="D738" s="1"/>
      <c r="E738" s="1"/>
      <c r="F738" s="1"/>
      <c r="G738" s="1"/>
      <c r="H738" s="1"/>
      <c r="L738" s="1"/>
      <c r="M738" s="1"/>
      <c r="N738" s="1"/>
      <c r="O738" s="1"/>
    </row>
    <row r="739">
      <c r="A739" s="1"/>
      <c r="B739" s="1"/>
      <c r="C739" s="1"/>
      <c r="D739" s="1"/>
      <c r="E739" s="1"/>
      <c r="F739" s="1"/>
      <c r="G739" s="1"/>
      <c r="H739" s="1"/>
      <c r="L739" s="1"/>
      <c r="M739" s="1"/>
      <c r="N739" s="1"/>
      <c r="O739" s="1"/>
    </row>
    <row r="740">
      <c r="A740" s="1"/>
      <c r="B740" s="1"/>
      <c r="C740" s="1"/>
      <c r="D740" s="1"/>
      <c r="E740" s="1"/>
      <c r="F740" s="1"/>
      <c r="G740" s="1"/>
      <c r="H740" s="1"/>
      <c r="L740" s="1"/>
      <c r="M740" s="1"/>
      <c r="N740" s="1"/>
      <c r="O740" s="1"/>
    </row>
    <row r="741">
      <c r="A741" s="1"/>
      <c r="B741" s="1"/>
      <c r="C741" s="1"/>
      <c r="D741" s="1"/>
      <c r="E741" s="1"/>
      <c r="F741" s="1"/>
      <c r="G741" s="1"/>
      <c r="H741" s="1"/>
      <c r="L741" s="1"/>
      <c r="M741" s="1"/>
      <c r="N741" s="1"/>
      <c r="O741" s="1"/>
    </row>
    <row r="742">
      <c r="A742" s="1"/>
      <c r="B742" s="1"/>
      <c r="C742" s="1"/>
      <c r="D742" s="1"/>
      <c r="E742" s="1"/>
      <c r="F742" s="1"/>
      <c r="G742" s="1"/>
      <c r="H742" s="1"/>
      <c r="L742" s="1"/>
      <c r="M742" s="1"/>
      <c r="N742" s="1"/>
      <c r="O742" s="1"/>
    </row>
    <row r="743">
      <c r="A743" s="1"/>
      <c r="B743" s="1"/>
      <c r="C743" s="1"/>
      <c r="D743" s="1"/>
      <c r="E743" s="1"/>
      <c r="F743" s="1"/>
      <c r="G743" s="1"/>
      <c r="H743" s="1"/>
      <c r="L743" s="1"/>
      <c r="M743" s="1"/>
      <c r="N743" s="1"/>
      <c r="O743" s="1"/>
    </row>
    <row r="744">
      <c r="A744" s="1"/>
      <c r="B744" s="1"/>
      <c r="C744" s="1"/>
      <c r="D744" s="1"/>
      <c r="E744" s="1"/>
      <c r="F744" s="1"/>
      <c r="G744" s="1"/>
      <c r="H744" s="1"/>
      <c r="L744" s="1"/>
      <c r="M744" s="1"/>
      <c r="N744" s="1"/>
      <c r="O744" s="1"/>
    </row>
    <row r="745">
      <c r="A745" s="1"/>
      <c r="B745" s="1"/>
      <c r="C745" s="1"/>
      <c r="D745" s="1"/>
      <c r="E745" s="1"/>
      <c r="F745" s="1"/>
      <c r="G745" s="1"/>
      <c r="H745" s="1"/>
      <c r="L745" s="1"/>
      <c r="M745" s="1"/>
      <c r="N745" s="1"/>
      <c r="O745" s="1"/>
    </row>
    <row r="746">
      <c r="A746" s="1"/>
      <c r="B746" s="1"/>
      <c r="C746" s="1"/>
      <c r="D746" s="1"/>
      <c r="E746" s="1"/>
      <c r="F746" s="1"/>
      <c r="G746" s="1"/>
      <c r="H746" s="1"/>
      <c r="L746" s="1"/>
      <c r="M746" s="1"/>
      <c r="N746" s="1"/>
      <c r="O746" s="1"/>
    </row>
    <row r="747">
      <c r="A747" s="1"/>
      <c r="B747" s="1"/>
      <c r="C747" s="1"/>
      <c r="D747" s="1"/>
      <c r="E747" s="1"/>
      <c r="F747" s="1"/>
      <c r="G747" s="1"/>
      <c r="H747" s="1"/>
      <c r="L747" s="1"/>
      <c r="M747" s="1"/>
      <c r="N747" s="1"/>
      <c r="O747" s="1"/>
    </row>
    <row r="748">
      <c r="A748" s="1"/>
      <c r="B748" s="1"/>
      <c r="C748" s="1"/>
      <c r="D748" s="1"/>
      <c r="E748" s="1"/>
      <c r="F748" s="1"/>
      <c r="G748" s="1"/>
      <c r="H748" s="1"/>
      <c r="L748" s="1"/>
      <c r="M748" s="1"/>
      <c r="N748" s="1"/>
      <c r="O748" s="1"/>
    </row>
    <row r="749">
      <c r="A749" s="1"/>
      <c r="B749" s="1"/>
      <c r="C749" s="1"/>
      <c r="D749" s="1"/>
      <c r="E749" s="1"/>
      <c r="F749" s="1"/>
      <c r="G749" s="1"/>
      <c r="H749" s="1"/>
      <c r="L749" s="1"/>
      <c r="M749" s="1"/>
      <c r="N749" s="1"/>
      <c r="O749" s="1"/>
    </row>
    <row r="750">
      <c r="A750" s="1"/>
      <c r="B750" s="1"/>
      <c r="C750" s="1"/>
      <c r="D750" s="1"/>
      <c r="E750" s="1"/>
      <c r="F750" s="1"/>
      <c r="G750" s="1"/>
      <c r="H750" s="1"/>
      <c r="L750" s="1"/>
      <c r="M750" s="1"/>
      <c r="N750" s="1"/>
      <c r="O750" s="1"/>
    </row>
    <row r="751">
      <c r="A751" s="1"/>
      <c r="B751" s="1"/>
      <c r="C751" s="1"/>
      <c r="D751" s="1"/>
      <c r="E751" s="1"/>
      <c r="F751" s="1"/>
      <c r="G751" s="1"/>
      <c r="H751" s="1"/>
      <c r="L751" s="1"/>
      <c r="M751" s="1"/>
      <c r="N751" s="1"/>
      <c r="O751" s="1"/>
    </row>
    <row r="752">
      <c r="A752" s="1"/>
      <c r="B752" s="1"/>
      <c r="C752" s="1"/>
      <c r="D752" s="1"/>
      <c r="E752" s="1"/>
      <c r="F752" s="1"/>
      <c r="G752" s="1"/>
      <c r="H752" s="1"/>
      <c r="L752" s="1"/>
      <c r="M752" s="1"/>
      <c r="N752" s="1"/>
      <c r="O752" s="1"/>
    </row>
    <row r="753">
      <c r="A753" s="1"/>
      <c r="B753" s="1"/>
      <c r="C753" s="1"/>
      <c r="D753" s="1"/>
      <c r="E753" s="1"/>
      <c r="F753" s="1"/>
      <c r="G753" s="1"/>
      <c r="H753" s="1"/>
      <c r="L753" s="1"/>
      <c r="M753" s="1"/>
      <c r="N753" s="1"/>
      <c r="O753" s="1"/>
    </row>
    <row r="754">
      <c r="A754" s="1"/>
      <c r="B754" s="1"/>
      <c r="C754" s="1"/>
      <c r="D754" s="1"/>
      <c r="E754" s="1"/>
      <c r="F754" s="1"/>
      <c r="G754" s="1"/>
      <c r="H754" s="1"/>
      <c r="L754" s="1"/>
      <c r="M754" s="1"/>
      <c r="N754" s="1"/>
      <c r="O754" s="1"/>
    </row>
    <row r="755">
      <c r="A755" s="1"/>
      <c r="B755" s="1"/>
      <c r="C755" s="1"/>
      <c r="D755" s="1"/>
      <c r="E755" s="1"/>
      <c r="F755" s="1"/>
      <c r="G755" s="1"/>
      <c r="H755" s="1"/>
      <c r="L755" s="1"/>
      <c r="M755" s="1"/>
      <c r="N755" s="1"/>
      <c r="O755" s="1"/>
    </row>
    <row r="756">
      <c r="A756" s="1"/>
      <c r="B756" s="1"/>
      <c r="C756" s="1"/>
      <c r="D756" s="1"/>
      <c r="E756" s="1"/>
      <c r="F756" s="1"/>
      <c r="G756" s="1"/>
      <c r="H756" s="1"/>
      <c r="L756" s="1"/>
      <c r="M756" s="1"/>
      <c r="N756" s="1"/>
      <c r="O756" s="1"/>
    </row>
    <row r="757">
      <c r="A757" s="1"/>
      <c r="B757" s="1"/>
      <c r="C757" s="1"/>
      <c r="D757" s="1"/>
      <c r="E757" s="1"/>
      <c r="F757" s="1"/>
      <c r="G757" s="1"/>
      <c r="H757" s="1"/>
      <c r="L757" s="1"/>
      <c r="M757" s="1"/>
      <c r="N757" s="1"/>
      <c r="O757" s="1"/>
    </row>
    <row r="758">
      <c r="A758" s="1"/>
      <c r="B758" s="1"/>
      <c r="C758" s="1"/>
      <c r="D758" s="1"/>
      <c r="E758" s="1"/>
      <c r="F758" s="1"/>
      <c r="G758" s="1"/>
      <c r="H758" s="1"/>
      <c r="L758" s="1"/>
      <c r="M758" s="1"/>
      <c r="N758" s="1"/>
      <c r="O758" s="1"/>
    </row>
    <row r="759">
      <c r="A759" s="1"/>
      <c r="B759" s="1"/>
      <c r="C759" s="1"/>
      <c r="D759" s="1"/>
      <c r="E759" s="1"/>
      <c r="F759" s="1"/>
      <c r="G759" s="1"/>
      <c r="H759" s="1"/>
      <c r="L759" s="1"/>
      <c r="M759" s="1"/>
      <c r="N759" s="1"/>
      <c r="O759" s="1"/>
    </row>
    <row r="760">
      <c r="A760" s="1"/>
      <c r="B760" s="1"/>
      <c r="C760" s="1"/>
      <c r="D760" s="1"/>
      <c r="E760" s="1"/>
      <c r="F760" s="1"/>
      <c r="G760" s="1"/>
      <c r="H760" s="1"/>
      <c r="L760" s="1"/>
      <c r="M760" s="1"/>
      <c r="N760" s="1"/>
      <c r="O760" s="1"/>
    </row>
    <row r="761">
      <c r="A761" s="1"/>
      <c r="B761" s="1"/>
      <c r="C761" s="1"/>
      <c r="D761" s="1"/>
      <c r="E761" s="1"/>
      <c r="F761" s="1"/>
      <c r="G761" s="1"/>
      <c r="H761" s="1"/>
      <c r="L761" s="1"/>
      <c r="M761" s="1"/>
      <c r="N761" s="1"/>
      <c r="O761" s="1"/>
    </row>
    <row r="762">
      <c r="A762" s="1"/>
      <c r="B762" s="1"/>
      <c r="C762" s="1"/>
      <c r="D762" s="1"/>
      <c r="E762" s="1"/>
      <c r="F762" s="1"/>
      <c r="G762" s="1"/>
      <c r="H762" s="1"/>
      <c r="L762" s="1"/>
      <c r="M762" s="1"/>
      <c r="N762" s="1"/>
      <c r="O762" s="1"/>
    </row>
    <row r="763">
      <c r="A763" s="1"/>
      <c r="B763" s="1"/>
      <c r="C763" s="1"/>
      <c r="D763" s="1"/>
      <c r="E763" s="1"/>
      <c r="F763" s="1"/>
      <c r="G763" s="1"/>
      <c r="H763" s="1"/>
      <c r="L763" s="1"/>
      <c r="M763" s="1"/>
      <c r="N763" s="1"/>
      <c r="O763" s="1"/>
    </row>
    <row r="764">
      <c r="A764" s="1"/>
      <c r="B764" s="1"/>
      <c r="C764" s="1"/>
      <c r="D764" s="1"/>
      <c r="E764" s="1"/>
      <c r="F764" s="1"/>
      <c r="G764" s="1"/>
      <c r="H764" s="1"/>
      <c r="L764" s="1"/>
      <c r="M764" s="1"/>
      <c r="N764" s="1"/>
      <c r="O764" s="1"/>
    </row>
    <row r="765">
      <c r="A765" s="1"/>
      <c r="B765" s="1"/>
      <c r="C765" s="1"/>
      <c r="D765" s="1"/>
      <c r="E765" s="1"/>
      <c r="F765" s="1"/>
      <c r="G765" s="1"/>
      <c r="H765" s="1"/>
      <c r="L765" s="1"/>
      <c r="M765" s="1"/>
      <c r="N765" s="1"/>
      <c r="O765" s="1"/>
    </row>
    <row r="766">
      <c r="A766" s="1"/>
      <c r="B766" s="1"/>
      <c r="C766" s="1"/>
      <c r="D766" s="1"/>
      <c r="E766" s="1"/>
      <c r="F766" s="1"/>
      <c r="G766" s="1"/>
      <c r="H766" s="1"/>
      <c r="L766" s="1"/>
      <c r="M766" s="1"/>
      <c r="N766" s="1"/>
      <c r="O766" s="1"/>
    </row>
    <row r="767">
      <c r="A767" s="1"/>
      <c r="B767" s="1"/>
      <c r="C767" s="1"/>
      <c r="D767" s="1"/>
      <c r="E767" s="1"/>
      <c r="F767" s="1"/>
      <c r="G767" s="1"/>
      <c r="H767" s="1"/>
      <c r="L767" s="1"/>
      <c r="M767" s="1"/>
      <c r="N767" s="1"/>
      <c r="O767" s="1"/>
    </row>
    <row r="768">
      <c r="A768" s="1"/>
      <c r="B768" s="1"/>
      <c r="C768" s="1"/>
      <c r="D768" s="1"/>
      <c r="E768" s="1"/>
      <c r="F768" s="1"/>
      <c r="G768" s="1"/>
      <c r="H768" s="1"/>
      <c r="L768" s="1"/>
      <c r="M768" s="1"/>
      <c r="N768" s="1"/>
      <c r="O768" s="1"/>
    </row>
    <row r="769">
      <c r="A769" s="1"/>
      <c r="B769" s="1"/>
      <c r="C769" s="1"/>
      <c r="D769" s="1"/>
      <c r="E769" s="1"/>
      <c r="F769" s="1"/>
      <c r="G769" s="1"/>
      <c r="H769" s="1"/>
      <c r="L769" s="1"/>
      <c r="M769" s="1"/>
      <c r="N769" s="1"/>
      <c r="O769" s="1"/>
    </row>
    <row r="770">
      <c r="A770" s="1"/>
      <c r="B770" s="1"/>
      <c r="C770" s="1"/>
      <c r="D770" s="1"/>
      <c r="E770" s="1"/>
      <c r="F770" s="1"/>
      <c r="G770" s="1"/>
      <c r="H770" s="1"/>
      <c r="L770" s="1"/>
      <c r="M770" s="1"/>
      <c r="N770" s="1"/>
      <c r="O770" s="1"/>
    </row>
    <row r="771">
      <c r="A771" s="1"/>
      <c r="B771" s="1"/>
      <c r="C771" s="1"/>
      <c r="D771" s="1"/>
      <c r="E771" s="1"/>
      <c r="F771" s="1"/>
      <c r="G771" s="1"/>
      <c r="H771" s="1"/>
      <c r="L771" s="1"/>
      <c r="M771" s="1"/>
      <c r="N771" s="1"/>
      <c r="O771" s="1"/>
    </row>
    <row r="772">
      <c r="A772" s="1"/>
      <c r="B772" s="1"/>
      <c r="C772" s="1"/>
      <c r="D772" s="1"/>
      <c r="E772" s="1"/>
      <c r="F772" s="1"/>
      <c r="G772" s="1"/>
      <c r="H772" s="1"/>
      <c r="L772" s="1"/>
      <c r="M772" s="1"/>
      <c r="N772" s="1"/>
      <c r="O772" s="1"/>
    </row>
    <row r="773">
      <c r="A773" s="1"/>
      <c r="B773" s="1"/>
      <c r="C773" s="1"/>
      <c r="D773" s="1"/>
      <c r="E773" s="1"/>
      <c r="F773" s="1"/>
      <c r="G773" s="1"/>
      <c r="H773" s="1"/>
      <c r="L773" s="1"/>
      <c r="M773" s="1"/>
      <c r="N773" s="1"/>
      <c r="O773" s="1"/>
    </row>
    <row r="774">
      <c r="A774" s="1"/>
      <c r="B774" s="1"/>
      <c r="C774" s="1"/>
      <c r="D774" s="1"/>
      <c r="E774" s="1"/>
      <c r="F774" s="1"/>
      <c r="G774" s="1"/>
      <c r="H774" s="1"/>
      <c r="L774" s="1"/>
      <c r="M774" s="1"/>
      <c r="N774" s="1"/>
      <c r="O774" s="1"/>
    </row>
    <row r="775">
      <c r="A775" s="1"/>
      <c r="B775" s="1"/>
      <c r="C775" s="1"/>
      <c r="D775" s="1"/>
      <c r="E775" s="1"/>
      <c r="F775" s="1"/>
      <c r="G775" s="1"/>
      <c r="H775" s="1"/>
      <c r="L775" s="1"/>
      <c r="M775" s="1"/>
      <c r="N775" s="1"/>
      <c r="O775" s="1"/>
    </row>
    <row r="776">
      <c r="A776" s="1"/>
      <c r="B776" s="1"/>
      <c r="C776" s="1"/>
      <c r="D776" s="1"/>
      <c r="E776" s="1"/>
      <c r="F776" s="1"/>
      <c r="G776" s="1"/>
      <c r="H776" s="1"/>
      <c r="L776" s="1"/>
      <c r="M776" s="1"/>
      <c r="N776" s="1"/>
      <c r="O776" s="1"/>
    </row>
    <row r="777">
      <c r="A777" s="1"/>
      <c r="B777" s="1"/>
      <c r="C777" s="1"/>
      <c r="D777" s="1"/>
      <c r="E777" s="1"/>
      <c r="F777" s="1"/>
      <c r="G777" s="1"/>
      <c r="H777" s="1"/>
      <c r="L777" s="1"/>
      <c r="M777" s="1"/>
      <c r="N777" s="1"/>
      <c r="O777" s="1"/>
    </row>
    <row r="778">
      <c r="A778" s="1"/>
      <c r="B778" s="1"/>
      <c r="C778" s="1"/>
      <c r="D778" s="1"/>
      <c r="E778" s="1"/>
      <c r="F778" s="1"/>
      <c r="G778" s="1"/>
      <c r="H778" s="1"/>
      <c r="L778" s="1"/>
      <c r="M778" s="1"/>
      <c r="N778" s="1"/>
      <c r="O778" s="1"/>
    </row>
    <row r="779">
      <c r="A779" s="1"/>
      <c r="B779" s="1"/>
      <c r="C779" s="1"/>
      <c r="D779" s="1"/>
      <c r="E779" s="1"/>
      <c r="F779" s="1"/>
      <c r="G779" s="1"/>
      <c r="H779" s="1"/>
      <c r="L779" s="1"/>
      <c r="M779" s="1"/>
      <c r="N779" s="1"/>
      <c r="O779" s="1"/>
    </row>
    <row r="780">
      <c r="A780" s="1"/>
      <c r="B780" s="1"/>
      <c r="C780" s="1"/>
      <c r="D780" s="1"/>
      <c r="E780" s="1"/>
      <c r="F780" s="1"/>
      <c r="G780" s="1"/>
      <c r="H780" s="1"/>
      <c r="L780" s="1"/>
      <c r="M780" s="1"/>
      <c r="N780" s="1"/>
      <c r="O780" s="1"/>
    </row>
    <row r="781">
      <c r="A781" s="1"/>
      <c r="B781" s="1"/>
      <c r="C781" s="1"/>
      <c r="D781" s="1"/>
      <c r="E781" s="1"/>
      <c r="F781" s="1"/>
      <c r="G781" s="1"/>
      <c r="H781" s="1"/>
      <c r="L781" s="1"/>
      <c r="M781" s="1"/>
      <c r="N781" s="1"/>
      <c r="O781" s="1"/>
    </row>
    <row r="782">
      <c r="A782" s="1"/>
      <c r="B782" s="1"/>
      <c r="C782" s="1"/>
      <c r="D782" s="1"/>
      <c r="E782" s="1"/>
      <c r="F782" s="1"/>
      <c r="G782" s="1"/>
      <c r="H782" s="1"/>
      <c r="L782" s="1"/>
      <c r="M782" s="1"/>
      <c r="N782" s="1"/>
      <c r="O782" s="1"/>
    </row>
    <row r="783">
      <c r="A783" s="1"/>
      <c r="B783" s="1"/>
      <c r="C783" s="1"/>
      <c r="D783" s="1"/>
      <c r="E783" s="1"/>
      <c r="F783" s="1"/>
      <c r="G783" s="1"/>
      <c r="H783" s="1"/>
      <c r="L783" s="1"/>
      <c r="M783" s="1"/>
      <c r="N783" s="1"/>
      <c r="O783" s="1"/>
    </row>
    <row r="784">
      <c r="A784" s="1"/>
      <c r="B784" s="1"/>
      <c r="C784" s="1"/>
      <c r="D784" s="1"/>
      <c r="E784" s="1"/>
      <c r="F784" s="1"/>
      <c r="G784" s="1"/>
      <c r="H784" s="1"/>
      <c r="L784" s="1"/>
      <c r="M784" s="1"/>
      <c r="N784" s="1"/>
      <c r="O784" s="1"/>
    </row>
    <row r="785">
      <c r="A785" s="1"/>
      <c r="B785" s="1"/>
      <c r="C785" s="1"/>
      <c r="D785" s="1"/>
      <c r="E785" s="1"/>
      <c r="F785" s="1"/>
      <c r="G785" s="1"/>
      <c r="H785" s="1"/>
      <c r="L785" s="1"/>
      <c r="M785" s="1"/>
      <c r="N785" s="1"/>
      <c r="O785" s="1"/>
    </row>
    <row r="786">
      <c r="A786" s="1"/>
      <c r="B786" s="1"/>
      <c r="C786" s="1"/>
      <c r="D786" s="1"/>
      <c r="E786" s="1"/>
      <c r="F786" s="1"/>
      <c r="G786" s="1"/>
      <c r="H786" s="1"/>
      <c r="L786" s="1"/>
      <c r="M786" s="1"/>
      <c r="N786" s="1"/>
      <c r="O786" s="1"/>
    </row>
    <row r="787">
      <c r="A787" s="1"/>
      <c r="B787" s="1"/>
      <c r="C787" s="1"/>
      <c r="D787" s="1"/>
      <c r="E787" s="1"/>
      <c r="F787" s="1"/>
      <c r="G787" s="1"/>
      <c r="H787" s="1"/>
      <c r="L787" s="1"/>
      <c r="M787" s="1"/>
      <c r="N787" s="1"/>
      <c r="O787" s="1"/>
    </row>
    <row r="788">
      <c r="A788" s="1"/>
      <c r="B788" s="1"/>
      <c r="C788" s="1"/>
      <c r="D788" s="1"/>
      <c r="E788" s="1"/>
      <c r="F788" s="1"/>
      <c r="G788" s="1"/>
      <c r="H788" s="1"/>
      <c r="L788" s="1"/>
      <c r="M788" s="1"/>
      <c r="N788" s="1"/>
      <c r="O788" s="1"/>
    </row>
    <row r="789">
      <c r="A789" s="1"/>
      <c r="B789" s="1"/>
      <c r="C789" s="1"/>
      <c r="D789" s="1"/>
      <c r="E789" s="1"/>
      <c r="F789" s="1"/>
      <c r="G789" s="1"/>
      <c r="H789" s="1"/>
      <c r="L789" s="1"/>
      <c r="M789" s="1"/>
      <c r="N789" s="1"/>
      <c r="O789" s="1"/>
    </row>
    <row r="790">
      <c r="A790" s="1"/>
      <c r="B790" s="1"/>
      <c r="C790" s="1"/>
      <c r="D790" s="1"/>
      <c r="E790" s="1"/>
      <c r="F790" s="1"/>
      <c r="G790" s="1"/>
      <c r="H790" s="1"/>
      <c r="L790" s="1"/>
      <c r="M790" s="1"/>
      <c r="N790" s="1"/>
      <c r="O790" s="1"/>
    </row>
    <row r="791">
      <c r="A791" s="1"/>
      <c r="B791" s="1"/>
      <c r="C791" s="1"/>
      <c r="D791" s="1"/>
      <c r="E791" s="1"/>
      <c r="F791" s="1"/>
      <c r="G791" s="1"/>
      <c r="H791" s="1"/>
      <c r="L791" s="1"/>
      <c r="M791" s="1"/>
      <c r="N791" s="1"/>
      <c r="O791" s="1"/>
    </row>
    <row r="792">
      <c r="A792" s="1"/>
      <c r="B792" s="1"/>
      <c r="C792" s="1"/>
      <c r="D792" s="1"/>
      <c r="E792" s="1"/>
      <c r="F792" s="1"/>
      <c r="G792" s="1"/>
      <c r="H792" s="1"/>
      <c r="L792" s="1"/>
      <c r="M792" s="1"/>
      <c r="N792" s="1"/>
      <c r="O792" s="1"/>
    </row>
    <row r="793">
      <c r="A793" s="1"/>
      <c r="B793" s="1"/>
      <c r="C793" s="1"/>
      <c r="D793" s="1"/>
      <c r="E793" s="1"/>
      <c r="F793" s="1"/>
      <c r="G793" s="1"/>
      <c r="H793" s="1"/>
      <c r="L793" s="1"/>
      <c r="M793" s="1"/>
      <c r="N793" s="1"/>
      <c r="O793" s="1"/>
    </row>
    <row r="794">
      <c r="A794" s="1"/>
      <c r="B794" s="1"/>
      <c r="C794" s="1"/>
      <c r="D794" s="1"/>
      <c r="E794" s="1"/>
      <c r="F794" s="1"/>
      <c r="G794" s="1"/>
      <c r="H794" s="1"/>
      <c r="L794" s="1"/>
      <c r="M794" s="1"/>
      <c r="N794" s="1"/>
      <c r="O794" s="1"/>
    </row>
    <row r="795">
      <c r="A795" s="1"/>
      <c r="B795" s="1"/>
      <c r="C795" s="1"/>
      <c r="D795" s="1"/>
      <c r="E795" s="1"/>
      <c r="F795" s="1"/>
      <c r="G795" s="1"/>
      <c r="H795" s="1"/>
      <c r="L795" s="1"/>
      <c r="M795" s="1"/>
      <c r="N795" s="1"/>
      <c r="O795" s="1"/>
    </row>
    <row r="796">
      <c r="A796" s="1"/>
      <c r="B796" s="1"/>
      <c r="C796" s="1"/>
      <c r="D796" s="1"/>
      <c r="E796" s="1"/>
      <c r="F796" s="1"/>
      <c r="G796" s="1"/>
      <c r="H796" s="1"/>
      <c r="L796" s="1"/>
      <c r="M796" s="1"/>
      <c r="N796" s="1"/>
      <c r="O796" s="1"/>
    </row>
    <row r="797">
      <c r="A797" s="1"/>
      <c r="B797" s="1"/>
      <c r="C797" s="1"/>
      <c r="D797" s="1"/>
      <c r="E797" s="1"/>
      <c r="F797" s="1"/>
      <c r="G797" s="1"/>
      <c r="H797" s="1"/>
      <c r="L797" s="1"/>
      <c r="M797" s="1"/>
      <c r="N797" s="1"/>
      <c r="O797" s="1"/>
    </row>
    <row r="798">
      <c r="A798" s="1"/>
      <c r="B798" s="1"/>
      <c r="C798" s="1"/>
      <c r="D798" s="1"/>
      <c r="E798" s="1"/>
      <c r="F798" s="1"/>
      <c r="G798" s="1"/>
      <c r="H798" s="1"/>
      <c r="L798" s="1"/>
      <c r="M798" s="1"/>
      <c r="N798" s="1"/>
      <c r="O798" s="1"/>
    </row>
    <row r="799">
      <c r="A799" s="1"/>
      <c r="B799" s="1"/>
      <c r="C799" s="1"/>
      <c r="D799" s="1"/>
      <c r="E799" s="1"/>
      <c r="F799" s="1"/>
      <c r="G799" s="1"/>
      <c r="H799" s="1"/>
      <c r="L799" s="1"/>
      <c r="M799" s="1"/>
      <c r="N799" s="1"/>
      <c r="O799" s="1"/>
    </row>
    <row r="800">
      <c r="A800" s="1"/>
      <c r="B800" s="1"/>
      <c r="C800" s="1"/>
      <c r="D800" s="1"/>
      <c r="E800" s="1"/>
      <c r="F800" s="1"/>
      <c r="G800" s="1"/>
      <c r="H800" s="1"/>
      <c r="L800" s="1"/>
      <c r="M800" s="1"/>
      <c r="N800" s="1"/>
      <c r="O800" s="1"/>
    </row>
    <row r="801">
      <c r="A801" s="1"/>
      <c r="B801" s="1"/>
      <c r="C801" s="1"/>
      <c r="D801" s="1"/>
      <c r="E801" s="1"/>
      <c r="F801" s="1"/>
      <c r="G801" s="1"/>
      <c r="H801" s="1"/>
      <c r="L801" s="1"/>
      <c r="M801" s="1"/>
      <c r="N801" s="1"/>
      <c r="O801" s="1"/>
    </row>
    <row r="802">
      <c r="A802" s="1"/>
      <c r="B802" s="1"/>
      <c r="C802" s="1"/>
      <c r="D802" s="1"/>
      <c r="E802" s="1"/>
      <c r="F802" s="1"/>
      <c r="G802" s="1"/>
      <c r="H802" s="1"/>
      <c r="L802" s="1"/>
      <c r="M802" s="1"/>
      <c r="N802" s="1"/>
      <c r="O802" s="1"/>
    </row>
    <row r="803">
      <c r="A803" s="1"/>
      <c r="B803" s="1"/>
      <c r="C803" s="1"/>
      <c r="D803" s="1"/>
      <c r="E803" s="1"/>
      <c r="F803" s="1"/>
      <c r="G803" s="1"/>
      <c r="H803" s="1"/>
      <c r="L803" s="1"/>
      <c r="M803" s="1"/>
      <c r="N803" s="1"/>
      <c r="O803" s="1"/>
    </row>
    <row r="804">
      <c r="A804" s="1"/>
      <c r="B804" s="1"/>
      <c r="C804" s="1"/>
      <c r="D804" s="1"/>
      <c r="E804" s="1"/>
      <c r="F804" s="1"/>
      <c r="G804" s="1"/>
      <c r="H804" s="1"/>
      <c r="L804" s="1"/>
      <c r="M804" s="1"/>
      <c r="N804" s="1"/>
      <c r="O804" s="1"/>
    </row>
    <row r="805">
      <c r="A805" s="1"/>
      <c r="B805" s="1"/>
      <c r="C805" s="1"/>
      <c r="D805" s="1"/>
      <c r="E805" s="1"/>
      <c r="F805" s="1"/>
      <c r="G805" s="1"/>
      <c r="H805" s="1"/>
      <c r="L805" s="1"/>
      <c r="M805" s="1"/>
      <c r="N805" s="1"/>
      <c r="O805" s="1"/>
    </row>
    <row r="806">
      <c r="A806" s="1"/>
      <c r="B806" s="1"/>
      <c r="C806" s="1"/>
      <c r="D806" s="1"/>
      <c r="E806" s="1"/>
      <c r="F806" s="1"/>
      <c r="G806" s="1"/>
      <c r="H806" s="1"/>
      <c r="L806" s="1"/>
      <c r="M806" s="1"/>
      <c r="N806" s="1"/>
      <c r="O806" s="1"/>
    </row>
    <row r="807">
      <c r="A807" s="1"/>
      <c r="B807" s="1"/>
      <c r="C807" s="1"/>
      <c r="D807" s="1"/>
      <c r="E807" s="1"/>
      <c r="F807" s="1"/>
      <c r="G807" s="1"/>
      <c r="H807" s="1"/>
      <c r="L807" s="1"/>
      <c r="M807" s="1"/>
      <c r="N807" s="1"/>
      <c r="O807" s="1"/>
    </row>
    <row r="808">
      <c r="A808" s="1"/>
      <c r="B808" s="1"/>
      <c r="C808" s="1"/>
      <c r="D808" s="1"/>
      <c r="E808" s="1"/>
      <c r="F808" s="1"/>
      <c r="G808" s="1"/>
      <c r="H808" s="1"/>
      <c r="L808" s="1"/>
      <c r="M808" s="1"/>
      <c r="N808" s="1"/>
      <c r="O808" s="1"/>
    </row>
    <row r="809">
      <c r="A809" s="1"/>
      <c r="B809" s="1"/>
      <c r="C809" s="1"/>
      <c r="D809" s="1"/>
      <c r="E809" s="1"/>
      <c r="F809" s="1"/>
      <c r="G809" s="1"/>
      <c r="H809" s="1"/>
      <c r="L809" s="1"/>
      <c r="M809" s="1"/>
      <c r="N809" s="1"/>
      <c r="O809" s="1"/>
    </row>
    <row r="810">
      <c r="A810" s="1"/>
      <c r="B810" s="1"/>
      <c r="C810" s="1"/>
      <c r="D810" s="1"/>
      <c r="E810" s="1"/>
      <c r="F810" s="1"/>
      <c r="G810" s="1"/>
      <c r="H810" s="1"/>
      <c r="L810" s="1"/>
      <c r="M810" s="1"/>
      <c r="N810" s="1"/>
      <c r="O810" s="1"/>
    </row>
    <row r="811">
      <c r="A811" s="1"/>
      <c r="B811" s="1"/>
      <c r="C811" s="1"/>
      <c r="D811" s="1"/>
      <c r="E811" s="1"/>
      <c r="F811" s="1"/>
      <c r="G811" s="1"/>
      <c r="H811" s="1"/>
      <c r="L811" s="1"/>
      <c r="M811" s="1"/>
      <c r="N811" s="1"/>
      <c r="O811" s="1"/>
    </row>
    <row r="812">
      <c r="A812" s="1"/>
      <c r="B812" s="1"/>
      <c r="C812" s="1"/>
      <c r="D812" s="1"/>
      <c r="E812" s="1"/>
      <c r="F812" s="1"/>
      <c r="G812" s="1"/>
      <c r="H812" s="1"/>
      <c r="L812" s="1"/>
      <c r="M812" s="1"/>
      <c r="N812" s="1"/>
      <c r="O812" s="1"/>
    </row>
    <row r="813">
      <c r="A813" s="1"/>
      <c r="B813" s="1"/>
      <c r="C813" s="1"/>
      <c r="D813" s="1"/>
      <c r="E813" s="1"/>
      <c r="F813" s="1"/>
      <c r="G813" s="1"/>
      <c r="H813" s="1"/>
      <c r="L813" s="1"/>
      <c r="M813" s="1"/>
      <c r="N813" s="1"/>
      <c r="O813" s="1"/>
    </row>
    <row r="814">
      <c r="A814" s="1"/>
      <c r="B814" s="1"/>
      <c r="C814" s="1"/>
      <c r="D814" s="1"/>
      <c r="E814" s="1"/>
      <c r="F814" s="1"/>
      <c r="G814" s="1"/>
      <c r="H814" s="1"/>
      <c r="L814" s="1"/>
      <c r="M814" s="1"/>
      <c r="N814" s="1"/>
      <c r="O814" s="1"/>
    </row>
    <row r="815">
      <c r="A815" s="1"/>
      <c r="B815" s="1"/>
      <c r="C815" s="1"/>
      <c r="D815" s="1"/>
      <c r="E815" s="1"/>
      <c r="F815" s="1"/>
      <c r="G815" s="1"/>
      <c r="H815" s="1"/>
      <c r="L815" s="1"/>
      <c r="M815" s="1"/>
      <c r="N815" s="1"/>
      <c r="O815" s="1"/>
    </row>
    <row r="816">
      <c r="A816" s="1"/>
      <c r="B816" s="1"/>
      <c r="C816" s="1"/>
      <c r="D816" s="1"/>
      <c r="E816" s="1"/>
      <c r="F816" s="1"/>
      <c r="G816" s="1"/>
      <c r="H816" s="1"/>
      <c r="L816" s="1"/>
      <c r="M816" s="1"/>
      <c r="N816" s="1"/>
      <c r="O816" s="1"/>
    </row>
    <row r="817">
      <c r="A817" s="1"/>
      <c r="B817" s="1"/>
      <c r="C817" s="1"/>
      <c r="D817" s="1"/>
      <c r="E817" s="1"/>
      <c r="F817" s="1"/>
      <c r="G817" s="1"/>
      <c r="H817" s="1"/>
      <c r="L817" s="1"/>
      <c r="M817" s="1"/>
      <c r="N817" s="1"/>
      <c r="O817" s="1"/>
    </row>
    <row r="818">
      <c r="A818" s="1"/>
      <c r="B818" s="1"/>
      <c r="C818" s="1"/>
      <c r="D818" s="1"/>
      <c r="E818" s="1"/>
      <c r="F818" s="1"/>
      <c r="G818" s="1"/>
      <c r="H818" s="1"/>
      <c r="L818" s="1"/>
      <c r="M818" s="1"/>
      <c r="N818" s="1"/>
      <c r="O818" s="1"/>
    </row>
    <row r="819">
      <c r="A819" s="1"/>
      <c r="B819" s="1"/>
      <c r="C819" s="1"/>
      <c r="D819" s="1"/>
      <c r="E819" s="1"/>
      <c r="F819" s="1"/>
      <c r="G819" s="1"/>
      <c r="H819" s="1"/>
      <c r="L819" s="1"/>
      <c r="M819" s="1"/>
      <c r="N819" s="1"/>
      <c r="O819" s="1"/>
    </row>
    <row r="820">
      <c r="A820" s="1"/>
      <c r="B820" s="1"/>
      <c r="C820" s="1"/>
      <c r="D820" s="1"/>
      <c r="E820" s="1"/>
      <c r="F820" s="1"/>
      <c r="G820" s="1"/>
      <c r="H820" s="1"/>
      <c r="L820" s="1"/>
      <c r="M820" s="1"/>
      <c r="N820" s="1"/>
      <c r="O820" s="1"/>
    </row>
    <row r="821">
      <c r="A821" s="1"/>
      <c r="B821" s="1"/>
      <c r="C821" s="1"/>
      <c r="D821" s="1"/>
      <c r="E821" s="1"/>
      <c r="F821" s="1"/>
      <c r="G821" s="1"/>
      <c r="H821" s="1"/>
      <c r="L821" s="1"/>
      <c r="M821" s="1"/>
      <c r="N821" s="1"/>
      <c r="O821" s="1"/>
    </row>
    <row r="822">
      <c r="A822" s="1"/>
      <c r="B822" s="1"/>
      <c r="C822" s="1"/>
      <c r="D822" s="1"/>
      <c r="E822" s="1"/>
      <c r="F822" s="1"/>
      <c r="G822" s="1"/>
      <c r="H822" s="1"/>
      <c r="L822" s="1"/>
      <c r="M822" s="1"/>
      <c r="N822" s="1"/>
      <c r="O822" s="1"/>
    </row>
    <row r="823">
      <c r="A823" s="1"/>
      <c r="B823" s="1"/>
      <c r="C823" s="1"/>
      <c r="D823" s="1"/>
      <c r="E823" s="1"/>
      <c r="F823" s="1"/>
      <c r="G823" s="1"/>
      <c r="H823" s="1"/>
      <c r="L823" s="1"/>
      <c r="M823" s="1"/>
      <c r="N823" s="1"/>
      <c r="O823" s="1"/>
    </row>
    <row r="824">
      <c r="A824" s="1"/>
      <c r="B824" s="1"/>
      <c r="C824" s="1"/>
      <c r="D824" s="1"/>
      <c r="E824" s="1"/>
      <c r="F824" s="1"/>
      <c r="G824" s="1"/>
      <c r="H824" s="1"/>
      <c r="L824" s="1"/>
      <c r="M824" s="1"/>
      <c r="N824" s="1"/>
      <c r="O824" s="1"/>
    </row>
    <row r="825">
      <c r="A825" s="1"/>
      <c r="B825" s="1"/>
      <c r="C825" s="1"/>
      <c r="D825" s="1"/>
      <c r="E825" s="1"/>
      <c r="F825" s="1"/>
      <c r="G825" s="1"/>
      <c r="H825" s="1"/>
      <c r="L825" s="1"/>
      <c r="M825" s="1"/>
      <c r="N825" s="1"/>
      <c r="O825" s="1"/>
    </row>
    <row r="826">
      <c r="A826" s="1"/>
      <c r="B826" s="1"/>
      <c r="C826" s="1"/>
      <c r="D826" s="1"/>
      <c r="E826" s="1"/>
      <c r="F826" s="1"/>
      <c r="G826" s="1"/>
      <c r="H826" s="1"/>
      <c r="L826" s="1"/>
      <c r="M826" s="1"/>
      <c r="N826" s="1"/>
      <c r="O826" s="1"/>
    </row>
    <row r="827">
      <c r="A827" s="1"/>
      <c r="B827" s="1"/>
      <c r="C827" s="1"/>
      <c r="D827" s="1"/>
      <c r="E827" s="1"/>
      <c r="F827" s="1"/>
      <c r="G827" s="1"/>
      <c r="H827" s="1"/>
      <c r="L827" s="1"/>
      <c r="M827" s="1"/>
      <c r="N827" s="1"/>
      <c r="O827" s="1"/>
    </row>
    <row r="828">
      <c r="A828" s="1"/>
      <c r="B828" s="1"/>
      <c r="C828" s="1"/>
      <c r="D828" s="1"/>
      <c r="E828" s="1"/>
      <c r="F828" s="1"/>
      <c r="G828" s="1"/>
      <c r="H828" s="1"/>
      <c r="L828" s="1"/>
      <c r="M828" s="1"/>
      <c r="N828" s="1"/>
      <c r="O828" s="1"/>
    </row>
    <row r="829">
      <c r="A829" s="1"/>
      <c r="B829" s="1"/>
      <c r="C829" s="1"/>
      <c r="D829" s="1"/>
      <c r="E829" s="1"/>
      <c r="F829" s="1"/>
      <c r="G829" s="1"/>
      <c r="H829" s="1"/>
      <c r="L829" s="1"/>
      <c r="M829" s="1"/>
      <c r="N829" s="1"/>
      <c r="O829" s="1"/>
    </row>
    <row r="830">
      <c r="A830" s="1"/>
      <c r="B830" s="1"/>
      <c r="C830" s="1"/>
      <c r="D830" s="1"/>
      <c r="E830" s="1"/>
      <c r="F830" s="1"/>
      <c r="G830" s="1"/>
      <c r="H830" s="1"/>
      <c r="L830" s="1"/>
      <c r="M830" s="1"/>
      <c r="N830" s="1"/>
      <c r="O830" s="1"/>
    </row>
    <row r="831">
      <c r="A831" s="1"/>
      <c r="B831" s="1"/>
      <c r="C831" s="1"/>
      <c r="D831" s="1"/>
      <c r="E831" s="1"/>
      <c r="F831" s="1"/>
      <c r="G831" s="1"/>
      <c r="H831" s="1"/>
      <c r="L831" s="1"/>
      <c r="M831" s="1"/>
      <c r="N831" s="1"/>
      <c r="O831" s="1"/>
    </row>
    <row r="832">
      <c r="A832" s="1"/>
      <c r="B832" s="1"/>
      <c r="C832" s="1"/>
      <c r="D832" s="1"/>
      <c r="E832" s="1"/>
      <c r="F832" s="1"/>
      <c r="G832" s="1"/>
      <c r="H832" s="1"/>
      <c r="L832" s="1"/>
      <c r="M832" s="1"/>
      <c r="N832" s="1"/>
      <c r="O832" s="1"/>
    </row>
    <row r="833">
      <c r="A833" s="1"/>
      <c r="B833" s="1"/>
      <c r="C833" s="1"/>
      <c r="D833" s="1"/>
      <c r="E833" s="1"/>
      <c r="F833" s="1"/>
      <c r="G833" s="1"/>
      <c r="H833" s="1"/>
      <c r="L833" s="1"/>
      <c r="M833" s="1"/>
      <c r="N833" s="1"/>
      <c r="O833" s="1"/>
    </row>
    <row r="834">
      <c r="A834" s="1"/>
      <c r="B834" s="1"/>
      <c r="C834" s="1"/>
      <c r="D834" s="1"/>
      <c r="E834" s="1"/>
      <c r="F834" s="1"/>
      <c r="G834" s="1"/>
      <c r="H834" s="1"/>
      <c r="L834" s="1"/>
      <c r="M834" s="1"/>
      <c r="N834" s="1"/>
      <c r="O834" s="1"/>
    </row>
    <row r="835">
      <c r="A835" s="1"/>
      <c r="B835" s="1"/>
      <c r="C835" s="1"/>
      <c r="D835" s="1"/>
      <c r="E835" s="1"/>
      <c r="F835" s="1"/>
      <c r="G835" s="1"/>
      <c r="H835" s="1"/>
      <c r="L835" s="1"/>
      <c r="M835" s="1"/>
      <c r="N835" s="1"/>
      <c r="O835" s="1"/>
    </row>
    <row r="836">
      <c r="A836" s="1"/>
      <c r="B836" s="1"/>
      <c r="C836" s="1"/>
      <c r="D836" s="1"/>
      <c r="E836" s="1"/>
      <c r="F836" s="1"/>
      <c r="G836" s="1"/>
      <c r="H836" s="1"/>
      <c r="L836" s="1"/>
      <c r="M836" s="1"/>
      <c r="N836" s="1"/>
      <c r="O836" s="1"/>
    </row>
    <row r="837">
      <c r="A837" s="1"/>
      <c r="B837" s="1"/>
      <c r="C837" s="1"/>
      <c r="D837" s="1"/>
      <c r="E837" s="1"/>
      <c r="F837" s="1"/>
      <c r="G837" s="1"/>
      <c r="H837" s="1"/>
      <c r="L837" s="1"/>
      <c r="M837" s="1"/>
      <c r="N837" s="1"/>
      <c r="O837" s="1"/>
    </row>
    <row r="838">
      <c r="A838" s="1"/>
      <c r="B838" s="1"/>
      <c r="C838" s="1"/>
      <c r="D838" s="1"/>
      <c r="E838" s="1"/>
      <c r="F838" s="1"/>
      <c r="G838" s="1"/>
      <c r="H838" s="1"/>
      <c r="L838" s="1"/>
      <c r="M838" s="1"/>
      <c r="N838" s="1"/>
      <c r="O838" s="1"/>
    </row>
    <row r="839">
      <c r="A839" s="1"/>
      <c r="B839" s="1"/>
      <c r="C839" s="1"/>
      <c r="D839" s="1"/>
      <c r="E839" s="1"/>
      <c r="F839" s="1"/>
      <c r="G839" s="1"/>
      <c r="H839" s="1"/>
      <c r="L839" s="1"/>
      <c r="M839" s="1"/>
      <c r="N839" s="1"/>
      <c r="O839" s="1"/>
    </row>
    <row r="840">
      <c r="A840" s="1"/>
      <c r="B840" s="1"/>
      <c r="C840" s="1"/>
      <c r="D840" s="1"/>
      <c r="E840" s="1"/>
      <c r="F840" s="1"/>
      <c r="G840" s="1"/>
      <c r="H840" s="1"/>
      <c r="L840" s="1"/>
      <c r="M840" s="1"/>
      <c r="N840" s="1"/>
      <c r="O840" s="1"/>
    </row>
    <row r="841">
      <c r="A841" s="1"/>
      <c r="B841" s="1"/>
      <c r="C841" s="1"/>
      <c r="D841" s="1"/>
      <c r="E841" s="1"/>
      <c r="F841" s="1"/>
      <c r="G841" s="1"/>
      <c r="H841" s="1"/>
      <c r="L841" s="1"/>
      <c r="M841" s="1"/>
      <c r="N841" s="1"/>
      <c r="O841" s="1"/>
    </row>
    <row r="842">
      <c r="A842" s="1"/>
      <c r="B842" s="1"/>
      <c r="C842" s="1"/>
      <c r="D842" s="1"/>
      <c r="E842" s="1"/>
      <c r="F842" s="1"/>
      <c r="G842" s="1"/>
      <c r="H842" s="1"/>
      <c r="L842" s="1"/>
      <c r="M842" s="1"/>
      <c r="N842" s="1"/>
      <c r="O842" s="1"/>
    </row>
    <row r="843">
      <c r="A843" s="1"/>
      <c r="B843" s="1"/>
      <c r="C843" s="1"/>
      <c r="D843" s="1"/>
      <c r="E843" s="1"/>
      <c r="F843" s="1"/>
      <c r="G843" s="1"/>
      <c r="H843" s="1"/>
      <c r="L843" s="1"/>
      <c r="M843" s="1"/>
      <c r="N843" s="1"/>
      <c r="O843" s="1"/>
    </row>
    <row r="844">
      <c r="A844" s="1"/>
      <c r="B844" s="1"/>
      <c r="C844" s="1"/>
      <c r="D844" s="1"/>
      <c r="E844" s="1"/>
      <c r="F844" s="1"/>
      <c r="G844" s="1"/>
      <c r="H844" s="1"/>
      <c r="L844" s="1"/>
      <c r="M844" s="1"/>
      <c r="N844" s="1"/>
      <c r="O844" s="1"/>
    </row>
    <row r="845">
      <c r="A845" s="1"/>
      <c r="B845" s="1"/>
      <c r="C845" s="1"/>
      <c r="D845" s="1"/>
      <c r="E845" s="1"/>
      <c r="F845" s="1"/>
      <c r="G845" s="1"/>
      <c r="H845" s="1"/>
      <c r="L845" s="1"/>
      <c r="M845" s="1"/>
      <c r="N845" s="1"/>
      <c r="O845" s="1"/>
    </row>
    <row r="846">
      <c r="A846" s="1"/>
      <c r="B846" s="1"/>
      <c r="C846" s="1"/>
      <c r="D846" s="1"/>
      <c r="E846" s="1"/>
      <c r="F846" s="1"/>
      <c r="G846" s="1"/>
      <c r="H846" s="1"/>
      <c r="L846" s="1"/>
      <c r="M846" s="1"/>
      <c r="N846" s="1"/>
      <c r="O846" s="1"/>
    </row>
    <row r="847">
      <c r="A847" s="1"/>
      <c r="B847" s="1"/>
      <c r="C847" s="1"/>
      <c r="D847" s="1"/>
      <c r="E847" s="1"/>
      <c r="F847" s="1"/>
      <c r="G847" s="1"/>
      <c r="H847" s="1"/>
      <c r="L847" s="1"/>
      <c r="M847" s="1"/>
      <c r="N847" s="1"/>
      <c r="O847" s="1"/>
    </row>
    <row r="848">
      <c r="A848" s="1"/>
      <c r="B848" s="1"/>
      <c r="C848" s="1"/>
      <c r="D848" s="1"/>
      <c r="E848" s="1"/>
      <c r="F848" s="1"/>
      <c r="G848" s="1"/>
      <c r="H848" s="1"/>
      <c r="L848" s="1"/>
      <c r="M848" s="1"/>
      <c r="N848" s="1"/>
      <c r="O848" s="1"/>
    </row>
    <row r="849">
      <c r="A849" s="1"/>
      <c r="B849" s="1"/>
      <c r="C849" s="1"/>
      <c r="D849" s="1"/>
      <c r="E849" s="1"/>
      <c r="F849" s="1"/>
      <c r="G849" s="1"/>
      <c r="H849" s="1"/>
      <c r="L849" s="1"/>
      <c r="M849" s="1"/>
      <c r="N849" s="1"/>
      <c r="O849" s="1"/>
    </row>
    <row r="850">
      <c r="A850" s="1"/>
      <c r="B850" s="1"/>
      <c r="C850" s="1"/>
      <c r="D850" s="1"/>
      <c r="E850" s="1"/>
      <c r="F850" s="1"/>
      <c r="G850" s="1"/>
      <c r="H850" s="1"/>
      <c r="L850" s="1"/>
      <c r="M850" s="1"/>
      <c r="N850" s="1"/>
      <c r="O850" s="1"/>
    </row>
    <row r="851">
      <c r="A851" s="1"/>
      <c r="B851" s="1"/>
      <c r="C851" s="1"/>
      <c r="D851" s="1"/>
      <c r="E851" s="1"/>
      <c r="F851" s="1"/>
      <c r="G851" s="1"/>
      <c r="H851" s="1"/>
      <c r="L851" s="1"/>
      <c r="M851" s="1"/>
      <c r="N851" s="1"/>
      <c r="O851" s="1"/>
    </row>
    <row r="852">
      <c r="A852" s="1"/>
      <c r="B852" s="1"/>
      <c r="C852" s="1"/>
      <c r="D852" s="1"/>
      <c r="E852" s="1"/>
      <c r="F852" s="1"/>
      <c r="G852" s="1"/>
      <c r="H852" s="1"/>
      <c r="L852" s="1"/>
      <c r="M852" s="1"/>
      <c r="N852" s="1"/>
      <c r="O852" s="1"/>
    </row>
    <row r="853">
      <c r="A853" s="1"/>
      <c r="B853" s="1"/>
      <c r="C853" s="1"/>
      <c r="D853" s="1"/>
      <c r="E853" s="1"/>
      <c r="F853" s="1"/>
      <c r="G853" s="1"/>
      <c r="H853" s="1"/>
      <c r="L853" s="1"/>
      <c r="M853" s="1"/>
      <c r="N853" s="1"/>
      <c r="O853" s="1"/>
    </row>
    <row r="854">
      <c r="A854" s="1"/>
      <c r="B854" s="1"/>
      <c r="C854" s="1"/>
      <c r="D854" s="1"/>
      <c r="E854" s="1"/>
      <c r="F854" s="1"/>
      <c r="G854" s="1"/>
      <c r="H854" s="1"/>
      <c r="L854" s="1"/>
      <c r="M854" s="1"/>
      <c r="N854" s="1"/>
      <c r="O854" s="1"/>
    </row>
    <row r="855">
      <c r="A855" s="1"/>
      <c r="B855" s="1"/>
      <c r="C855" s="1"/>
      <c r="D855" s="1"/>
      <c r="E855" s="1"/>
      <c r="F855" s="1"/>
      <c r="G855" s="1"/>
      <c r="H855" s="1"/>
      <c r="L855" s="1"/>
      <c r="M855" s="1"/>
      <c r="N855" s="1"/>
      <c r="O855" s="1"/>
    </row>
    <row r="856">
      <c r="A856" s="1"/>
      <c r="B856" s="1"/>
      <c r="C856" s="1"/>
      <c r="D856" s="1"/>
      <c r="E856" s="1"/>
      <c r="F856" s="1"/>
      <c r="G856" s="1"/>
      <c r="H856" s="1"/>
      <c r="L856" s="1"/>
      <c r="M856" s="1"/>
      <c r="N856" s="1"/>
      <c r="O856" s="1"/>
    </row>
    <row r="857">
      <c r="A857" s="1"/>
      <c r="B857" s="1"/>
      <c r="C857" s="1"/>
      <c r="D857" s="1"/>
      <c r="E857" s="1"/>
      <c r="F857" s="1"/>
      <c r="G857" s="1"/>
      <c r="H857" s="1"/>
      <c r="L857" s="1"/>
      <c r="M857" s="1"/>
      <c r="N857" s="1"/>
      <c r="O857" s="1"/>
    </row>
    <row r="858">
      <c r="A858" s="1"/>
      <c r="B858" s="1"/>
      <c r="C858" s="1"/>
      <c r="D858" s="1"/>
      <c r="E858" s="1"/>
      <c r="F858" s="1"/>
      <c r="G858" s="1"/>
      <c r="H858" s="1"/>
      <c r="L858" s="1"/>
      <c r="M858" s="1"/>
      <c r="N858" s="1"/>
      <c r="O858" s="1"/>
    </row>
    <row r="859">
      <c r="A859" s="1"/>
      <c r="B859" s="1"/>
      <c r="C859" s="1"/>
      <c r="D859" s="1"/>
      <c r="E859" s="1"/>
      <c r="F859" s="1"/>
      <c r="G859" s="1"/>
      <c r="H859" s="1"/>
      <c r="L859" s="1"/>
      <c r="M859" s="1"/>
      <c r="N859" s="1"/>
      <c r="O859" s="1"/>
    </row>
    <row r="860">
      <c r="A860" s="1"/>
      <c r="B860" s="1"/>
      <c r="C860" s="1"/>
      <c r="D860" s="1"/>
      <c r="E860" s="1"/>
      <c r="F860" s="1"/>
      <c r="G860" s="1"/>
      <c r="H860" s="1"/>
      <c r="L860" s="1"/>
      <c r="M860" s="1"/>
      <c r="N860" s="1"/>
      <c r="O860" s="1"/>
    </row>
    <row r="861">
      <c r="A861" s="1"/>
      <c r="B861" s="1"/>
      <c r="C861" s="1"/>
      <c r="D861" s="1"/>
      <c r="E861" s="1"/>
      <c r="F861" s="1"/>
      <c r="G861" s="1"/>
      <c r="H861" s="1"/>
      <c r="L861" s="1"/>
      <c r="M861" s="1"/>
      <c r="N861" s="1"/>
      <c r="O861" s="1"/>
    </row>
    <row r="862">
      <c r="A862" s="1"/>
      <c r="B862" s="1"/>
      <c r="C862" s="1"/>
      <c r="D862" s="1"/>
      <c r="E862" s="1"/>
      <c r="F862" s="1"/>
      <c r="G862" s="1"/>
      <c r="H862" s="1"/>
      <c r="L862" s="1"/>
      <c r="M862" s="1"/>
      <c r="N862" s="1"/>
      <c r="O862" s="1"/>
    </row>
    <row r="863">
      <c r="A863" s="1"/>
      <c r="B863" s="1"/>
      <c r="C863" s="1"/>
      <c r="D863" s="1"/>
      <c r="E863" s="1"/>
      <c r="F863" s="1"/>
      <c r="G863" s="1"/>
      <c r="H863" s="1"/>
      <c r="L863" s="1"/>
      <c r="M863" s="1"/>
      <c r="N863" s="1"/>
      <c r="O863" s="1"/>
    </row>
    <row r="864">
      <c r="A864" s="1"/>
      <c r="B864" s="1"/>
      <c r="C864" s="1"/>
      <c r="D864" s="1"/>
      <c r="E864" s="1"/>
      <c r="F864" s="1"/>
      <c r="G864" s="1"/>
      <c r="H864" s="1"/>
      <c r="L864" s="1"/>
      <c r="M864" s="1"/>
      <c r="N864" s="1"/>
      <c r="O864" s="1"/>
    </row>
    <row r="865">
      <c r="A865" s="1"/>
      <c r="B865" s="1"/>
      <c r="C865" s="1"/>
      <c r="D865" s="1"/>
      <c r="E865" s="1"/>
      <c r="F865" s="1"/>
      <c r="G865" s="1"/>
      <c r="H865" s="1"/>
      <c r="L865" s="1"/>
      <c r="M865" s="1"/>
      <c r="N865" s="1"/>
      <c r="O865" s="1"/>
    </row>
    <row r="866">
      <c r="A866" s="1"/>
      <c r="B866" s="1"/>
      <c r="C866" s="1"/>
      <c r="D866" s="1"/>
      <c r="E866" s="1"/>
      <c r="F866" s="1"/>
      <c r="G866" s="1"/>
      <c r="H866" s="1"/>
      <c r="L866" s="1"/>
      <c r="M866" s="1"/>
      <c r="N866" s="1"/>
      <c r="O866" s="1"/>
    </row>
    <row r="867">
      <c r="A867" s="1"/>
      <c r="B867" s="1"/>
      <c r="C867" s="1"/>
      <c r="D867" s="1"/>
      <c r="E867" s="1"/>
      <c r="F867" s="1"/>
      <c r="G867" s="1"/>
      <c r="H867" s="1"/>
      <c r="L867" s="1"/>
      <c r="M867" s="1"/>
      <c r="N867" s="1"/>
      <c r="O867" s="1"/>
    </row>
    <row r="868">
      <c r="A868" s="1"/>
      <c r="B868" s="1"/>
      <c r="C868" s="1"/>
      <c r="D868" s="1"/>
      <c r="E868" s="1"/>
      <c r="F868" s="1"/>
      <c r="G868" s="1"/>
      <c r="H868" s="1"/>
      <c r="L868" s="1"/>
      <c r="M868" s="1"/>
      <c r="N868" s="1"/>
      <c r="O868" s="1"/>
    </row>
    <row r="869">
      <c r="A869" s="1"/>
      <c r="B869" s="1"/>
      <c r="C869" s="1"/>
      <c r="D869" s="1"/>
      <c r="E869" s="1"/>
      <c r="F869" s="1"/>
      <c r="G869" s="1"/>
      <c r="H869" s="1"/>
      <c r="L869" s="1"/>
      <c r="M869" s="1"/>
      <c r="N869" s="1"/>
      <c r="O869" s="1"/>
    </row>
    <row r="870">
      <c r="A870" s="1"/>
      <c r="B870" s="1"/>
      <c r="C870" s="1"/>
      <c r="D870" s="1"/>
      <c r="E870" s="1"/>
      <c r="F870" s="1"/>
      <c r="G870" s="1"/>
      <c r="H870" s="1"/>
      <c r="L870" s="1"/>
      <c r="M870" s="1"/>
      <c r="N870" s="1"/>
      <c r="O870" s="1"/>
    </row>
    <row r="871">
      <c r="A871" s="1"/>
      <c r="B871" s="1"/>
      <c r="C871" s="1"/>
      <c r="D871" s="1"/>
      <c r="E871" s="1"/>
      <c r="F871" s="1"/>
      <c r="G871" s="1"/>
      <c r="H871" s="1"/>
      <c r="L871" s="1"/>
      <c r="M871" s="1"/>
      <c r="N871" s="1"/>
      <c r="O871" s="1"/>
    </row>
    <row r="872">
      <c r="A872" s="1"/>
      <c r="B872" s="1"/>
      <c r="C872" s="1"/>
      <c r="D872" s="1"/>
      <c r="E872" s="1"/>
      <c r="F872" s="1"/>
      <c r="G872" s="1"/>
      <c r="H872" s="1"/>
      <c r="L872" s="1"/>
      <c r="M872" s="1"/>
      <c r="N872" s="1"/>
      <c r="O872" s="1"/>
    </row>
    <row r="873">
      <c r="A873" s="1"/>
      <c r="B873" s="1"/>
      <c r="C873" s="1"/>
      <c r="D873" s="1"/>
      <c r="E873" s="1"/>
      <c r="F873" s="1"/>
      <c r="G873" s="1"/>
      <c r="H873" s="1"/>
      <c r="L873" s="1"/>
      <c r="M873" s="1"/>
      <c r="N873" s="1"/>
      <c r="O873" s="1"/>
    </row>
    <row r="874">
      <c r="A874" s="1"/>
      <c r="B874" s="1"/>
      <c r="C874" s="1"/>
      <c r="D874" s="1"/>
      <c r="E874" s="1"/>
      <c r="F874" s="1"/>
      <c r="G874" s="1"/>
      <c r="H874" s="1"/>
      <c r="L874" s="1"/>
      <c r="M874" s="1"/>
      <c r="N874" s="1"/>
      <c r="O874" s="1"/>
    </row>
    <row r="875">
      <c r="A875" s="1"/>
      <c r="B875" s="1"/>
      <c r="C875" s="1"/>
      <c r="D875" s="1"/>
      <c r="E875" s="1"/>
      <c r="F875" s="1"/>
      <c r="G875" s="1"/>
      <c r="H875" s="1"/>
      <c r="L875" s="1"/>
      <c r="M875" s="1"/>
      <c r="N875" s="1"/>
      <c r="O875" s="1"/>
    </row>
    <row r="876">
      <c r="A876" s="1"/>
      <c r="B876" s="1"/>
      <c r="C876" s="1"/>
      <c r="D876" s="1"/>
      <c r="E876" s="1"/>
      <c r="F876" s="1"/>
      <c r="G876" s="1"/>
      <c r="H876" s="1"/>
      <c r="L876" s="1"/>
      <c r="M876" s="1"/>
      <c r="N876" s="1"/>
      <c r="O876" s="1"/>
    </row>
    <row r="877">
      <c r="A877" s="1"/>
      <c r="B877" s="1"/>
      <c r="C877" s="1"/>
      <c r="D877" s="1"/>
      <c r="E877" s="1"/>
      <c r="F877" s="1"/>
      <c r="G877" s="1"/>
      <c r="H877" s="1"/>
      <c r="L877" s="1"/>
      <c r="M877" s="1"/>
      <c r="N877" s="1"/>
      <c r="O877" s="1"/>
    </row>
    <row r="878">
      <c r="A878" s="1"/>
      <c r="B878" s="1"/>
      <c r="C878" s="1"/>
      <c r="D878" s="1"/>
      <c r="E878" s="1"/>
      <c r="F878" s="1"/>
      <c r="G878" s="1"/>
      <c r="H878" s="1"/>
      <c r="L878" s="1"/>
      <c r="M878" s="1"/>
      <c r="N878" s="1"/>
      <c r="O878" s="1"/>
    </row>
    <row r="879">
      <c r="A879" s="1"/>
      <c r="B879" s="1"/>
      <c r="C879" s="1"/>
      <c r="D879" s="1"/>
      <c r="E879" s="1"/>
      <c r="F879" s="1"/>
      <c r="G879" s="1"/>
      <c r="H879" s="1"/>
      <c r="L879" s="1"/>
      <c r="M879" s="1"/>
      <c r="N879" s="1"/>
      <c r="O879" s="1"/>
    </row>
    <row r="880">
      <c r="A880" s="1"/>
      <c r="B880" s="1"/>
      <c r="C880" s="1"/>
      <c r="D880" s="1"/>
      <c r="E880" s="1"/>
      <c r="F880" s="1"/>
      <c r="G880" s="1"/>
      <c r="H880" s="1"/>
      <c r="L880" s="1"/>
      <c r="M880" s="1"/>
      <c r="N880" s="1"/>
      <c r="O880" s="1"/>
    </row>
    <row r="881">
      <c r="A881" s="1"/>
      <c r="B881" s="1"/>
      <c r="C881" s="1"/>
      <c r="D881" s="1"/>
      <c r="E881" s="1"/>
      <c r="F881" s="1"/>
      <c r="G881" s="1"/>
      <c r="H881" s="1"/>
      <c r="L881" s="1"/>
      <c r="M881" s="1"/>
      <c r="N881" s="1"/>
      <c r="O881" s="1"/>
    </row>
    <row r="882">
      <c r="A882" s="1"/>
      <c r="B882" s="1"/>
      <c r="C882" s="1"/>
      <c r="D882" s="1"/>
      <c r="E882" s="1"/>
      <c r="F882" s="1"/>
      <c r="G882" s="1"/>
      <c r="H882" s="1"/>
      <c r="L882" s="1"/>
      <c r="M882" s="1"/>
      <c r="N882" s="1"/>
      <c r="O882" s="1"/>
    </row>
    <row r="883">
      <c r="A883" s="1"/>
      <c r="B883" s="1"/>
      <c r="C883" s="1"/>
      <c r="D883" s="1"/>
      <c r="E883" s="1"/>
      <c r="F883" s="1"/>
      <c r="G883" s="1"/>
      <c r="H883" s="1"/>
      <c r="L883" s="1"/>
      <c r="M883" s="1"/>
      <c r="N883" s="1"/>
      <c r="O883" s="1"/>
    </row>
    <row r="884">
      <c r="A884" s="1"/>
      <c r="B884" s="1"/>
      <c r="C884" s="1"/>
      <c r="D884" s="1"/>
      <c r="E884" s="1"/>
      <c r="F884" s="1"/>
      <c r="G884" s="1"/>
      <c r="H884" s="1"/>
      <c r="L884" s="1"/>
      <c r="M884" s="1"/>
      <c r="N884" s="1"/>
      <c r="O884" s="1"/>
    </row>
    <row r="885">
      <c r="A885" s="1"/>
      <c r="B885" s="1"/>
      <c r="C885" s="1"/>
      <c r="D885" s="1"/>
      <c r="E885" s="1"/>
      <c r="F885" s="1"/>
      <c r="G885" s="1"/>
      <c r="H885" s="1"/>
      <c r="L885" s="1"/>
      <c r="M885" s="1"/>
      <c r="N885" s="1"/>
      <c r="O885" s="1"/>
    </row>
    <row r="886">
      <c r="A886" s="1"/>
      <c r="B886" s="1"/>
      <c r="C886" s="1"/>
      <c r="D886" s="1"/>
      <c r="E886" s="1"/>
      <c r="F886" s="1"/>
      <c r="G886" s="1"/>
      <c r="H886" s="1"/>
      <c r="L886" s="1"/>
      <c r="M886" s="1"/>
      <c r="N886" s="1"/>
      <c r="O886" s="1"/>
    </row>
    <row r="887">
      <c r="A887" s="1"/>
      <c r="B887" s="1"/>
      <c r="C887" s="1"/>
      <c r="D887" s="1"/>
      <c r="E887" s="1"/>
      <c r="F887" s="1"/>
      <c r="G887" s="1"/>
      <c r="H887" s="1"/>
      <c r="L887" s="1"/>
      <c r="M887" s="1"/>
      <c r="N887" s="1"/>
      <c r="O887" s="1"/>
    </row>
    <row r="888">
      <c r="A888" s="1"/>
      <c r="B888" s="1"/>
      <c r="C888" s="1"/>
      <c r="D888" s="1"/>
      <c r="E888" s="1"/>
      <c r="F888" s="1"/>
      <c r="G888" s="1"/>
      <c r="H888" s="1"/>
      <c r="L888" s="1"/>
      <c r="M888" s="1"/>
      <c r="N888" s="1"/>
      <c r="O888" s="1"/>
    </row>
    <row r="889">
      <c r="A889" s="1"/>
      <c r="B889" s="1"/>
      <c r="C889" s="1"/>
      <c r="D889" s="1"/>
      <c r="E889" s="1"/>
      <c r="F889" s="1"/>
      <c r="G889" s="1"/>
      <c r="H889" s="1"/>
      <c r="L889" s="1"/>
      <c r="M889" s="1"/>
      <c r="N889" s="1"/>
      <c r="O889" s="1"/>
    </row>
    <row r="890">
      <c r="A890" s="1"/>
      <c r="B890" s="1"/>
      <c r="C890" s="1"/>
      <c r="D890" s="1"/>
      <c r="E890" s="1"/>
      <c r="F890" s="1"/>
      <c r="G890" s="1"/>
      <c r="H890" s="1"/>
      <c r="L890" s="1"/>
      <c r="M890" s="1"/>
      <c r="N890" s="1"/>
      <c r="O890" s="1"/>
    </row>
    <row r="891">
      <c r="A891" s="1"/>
      <c r="B891" s="1"/>
      <c r="C891" s="1"/>
      <c r="D891" s="1"/>
      <c r="E891" s="1"/>
      <c r="F891" s="1"/>
      <c r="G891" s="1"/>
      <c r="H891" s="1"/>
      <c r="L891" s="1"/>
      <c r="M891" s="1"/>
      <c r="N891" s="1"/>
      <c r="O891" s="1"/>
    </row>
    <row r="892">
      <c r="A892" s="1"/>
      <c r="B892" s="1"/>
      <c r="C892" s="1"/>
      <c r="D892" s="1"/>
      <c r="E892" s="1"/>
      <c r="F892" s="1"/>
      <c r="G892" s="1"/>
      <c r="H892" s="1"/>
      <c r="L892" s="1"/>
      <c r="M892" s="1"/>
      <c r="N892" s="1"/>
      <c r="O892" s="1"/>
    </row>
    <row r="893">
      <c r="A893" s="1"/>
      <c r="B893" s="1"/>
      <c r="C893" s="1"/>
      <c r="D893" s="1"/>
      <c r="E893" s="1"/>
      <c r="F893" s="1"/>
      <c r="G893" s="1"/>
      <c r="H893" s="1"/>
      <c r="L893" s="1"/>
      <c r="M893" s="1"/>
      <c r="N893" s="1"/>
      <c r="O893" s="1"/>
    </row>
    <row r="894">
      <c r="A894" s="1"/>
      <c r="B894" s="1"/>
      <c r="C894" s="1"/>
      <c r="D894" s="1"/>
      <c r="E894" s="1"/>
      <c r="F894" s="1"/>
      <c r="G894" s="1"/>
      <c r="H894" s="1"/>
      <c r="L894" s="1"/>
      <c r="M894" s="1"/>
      <c r="N894" s="1"/>
      <c r="O894" s="1"/>
    </row>
    <row r="895">
      <c r="A895" s="1"/>
      <c r="B895" s="1"/>
      <c r="C895" s="1"/>
      <c r="D895" s="1"/>
      <c r="E895" s="1"/>
      <c r="F895" s="1"/>
      <c r="G895" s="1"/>
      <c r="H895" s="1"/>
      <c r="L895" s="1"/>
      <c r="M895" s="1"/>
      <c r="N895" s="1"/>
      <c r="O895" s="1"/>
    </row>
    <row r="896">
      <c r="A896" s="1"/>
      <c r="B896" s="1"/>
      <c r="C896" s="1"/>
      <c r="D896" s="1"/>
      <c r="E896" s="1"/>
      <c r="F896" s="1"/>
      <c r="G896" s="1"/>
      <c r="H896" s="1"/>
      <c r="L896" s="1"/>
      <c r="M896" s="1"/>
      <c r="N896" s="1"/>
      <c r="O896" s="1"/>
    </row>
    <row r="897">
      <c r="A897" s="1"/>
      <c r="B897" s="1"/>
      <c r="C897" s="1"/>
      <c r="D897" s="1"/>
      <c r="E897" s="1"/>
      <c r="F897" s="1"/>
      <c r="G897" s="1"/>
      <c r="H897" s="1"/>
      <c r="L897" s="1"/>
      <c r="M897" s="1"/>
      <c r="N897" s="1"/>
      <c r="O897" s="1"/>
    </row>
    <row r="898">
      <c r="A898" s="1"/>
      <c r="B898" s="1"/>
      <c r="C898" s="1"/>
      <c r="D898" s="1"/>
      <c r="E898" s="1"/>
      <c r="F898" s="1"/>
      <c r="G898" s="1"/>
      <c r="H898" s="1"/>
      <c r="L898" s="1"/>
      <c r="M898" s="1"/>
      <c r="N898" s="1"/>
      <c r="O898" s="1"/>
    </row>
    <row r="899">
      <c r="A899" s="1"/>
      <c r="B899" s="1"/>
      <c r="C899" s="1"/>
      <c r="D899" s="1"/>
      <c r="E899" s="1"/>
      <c r="F899" s="1"/>
      <c r="G899" s="1"/>
      <c r="H899" s="1"/>
      <c r="L899" s="1"/>
      <c r="M899" s="1"/>
      <c r="N899" s="1"/>
      <c r="O899" s="1"/>
    </row>
    <row r="900">
      <c r="A900" s="1"/>
      <c r="B900" s="1"/>
      <c r="C900" s="1"/>
      <c r="D900" s="1"/>
      <c r="E900" s="1"/>
      <c r="F900" s="1"/>
      <c r="G900" s="1"/>
      <c r="H900" s="1"/>
      <c r="L900" s="1"/>
      <c r="M900" s="1"/>
      <c r="N900" s="1"/>
      <c r="O900" s="1"/>
    </row>
    <row r="901">
      <c r="A901" s="1"/>
      <c r="B901" s="1"/>
      <c r="C901" s="1"/>
      <c r="D901" s="1"/>
      <c r="E901" s="1"/>
      <c r="F901" s="1"/>
      <c r="G901" s="1"/>
      <c r="H901" s="1"/>
      <c r="L901" s="1"/>
      <c r="M901" s="1"/>
      <c r="N901" s="1"/>
      <c r="O901" s="1"/>
    </row>
    <row r="902">
      <c r="A902" s="1"/>
      <c r="B902" s="1"/>
      <c r="C902" s="1"/>
      <c r="D902" s="1"/>
      <c r="E902" s="1"/>
      <c r="F902" s="1"/>
      <c r="G902" s="1"/>
      <c r="H902" s="1"/>
      <c r="L902" s="1"/>
      <c r="M902" s="1"/>
      <c r="N902" s="1"/>
      <c r="O902" s="1"/>
    </row>
    <row r="903">
      <c r="A903" s="1"/>
      <c r="B903" s="1"/>
      <c r="C903" s="1"/>
      <c r="D903" s="1"/>
      <c r="E903" s="1"/>
      <c r="F903" s="1"/>
      <c r="G903" s="1"/>
      <c r="H903" s="1"/>
      <c r="L903" s="1"/>
      <c r="M903" s="1"/>
      <c r="N903" s="1"/>
      <c r="O903" s="1"/>
    </row>
    <row r="904">
      <c r="A904" s="1"/>
      <c r="B904" s="1"/>
      <c r="C904" s="1"/>
      <c r="D904" s="1"/>
      <c r="E904" s="1"/>
      <c r="F904" s="1"/>
      <c r="G904" s="1"/>
      <c r="H904" s="1"/>
      <c r="L904" s="1"/>
      <c r="M904" s="1"/>
      <c r="N904" s="1"/>
      <c r="O904" s="1"/>
    </row>
    <row r="905">
      <c r="A905" s="1"/>
      <c r="B905" s="1"/>
      <c r="C905" s="1"/>
      <c r="D905" s="1"/>
      <c r="E905" s="1"/>
      <c r="F905" s="1"/>
      <c r="G905" s="1"/>
      <c r="H905" s="1"/>
      <c r="L905" s="1"/>
      <c r="M905" s="1"/>
      <c r="N905" s="1"/>
      <c r="O905" s="1"/>
    </row>
    <row r="906">
      <c r="A906" s="1"/>
      <c r="B906" s="1"/>
      <c r="C906" s="1"/>
      <c r="D906" s="1"/>
      <c r="E906" s="1"/>
      <c r="F906" s="1"/>
      <c r="G906" s="1"/>
      <c r="H906" s="1"/>
      <c r="L906" s="1"/>
      <c r="M906" s="1"/>
      <c r="N906" s="1"/>
      <c r="O906" s="1"/>
    </row>
    <row r="907">
      <c r="A907" s="1"/>
      <c r="B907" s="1"/>
      <c r="C907" s="1"/>
      <c r="D907" s="1"/>
      <c r="E907" s="1"/>
      <c r="F907" s="1"/>
      <c r="G907" s="1"/>
      <c r="H907" s="1"/>
      <c r="L907" s="1"/>
      <c r="M907" s="1"/>
      <c r="N907" s="1"/>
      <c r="O907" s="1"/>
    </row>
    <row r="908">
      <c r="A908" s="1"/>
      <c r="B908" s="1"/>
      <c r="C908" s="1"/>
      <c r="D908" s="1"/>
      <c r="E908" s="1"/>
      <c r="F908" s="1"/>
      <c r="G908" s="1"/>
      <c r="H908" s="1"/>
      <c r="L908" s="1"/>
      <c r="M908" s="1"/>
      <c r="N908" s="1"/>
      <c r="O908" s="1"/>
    </row>
    <row r="909">
      <c r="A909" s="1"/>
      <c r="B909" s="1"/>
      <c r="C909" s="1"/>
      <c r="D909" s="1"/>
      <c r="E909" s="1"/>
      <c r="F909" s="1"/>
      <c r="G909" s="1"/>
      <c r="H909" s="1"/>
      <c r="L909" s="1"/>
      <c r="M909" s="1"/>
      <c r="N909" s="1"/>
      <c r="O909" s="1"/>
    </row>
    <row r="910">
      <c r="A910" s="1"/>
      <c r="B910" s="1"/>
      <c r="C910" s="1"/>
      <c r="D910" s="1"/>
      <c r="E910" s="1"/>
      <c r="F910" s="1"/>
      <c r="G910" s="1"/>
      <c r="H910" s="1"/>
      <c r="L910" s="1"/>
      <c r="M910" s="1"/>
      <c r="N910" s="1"/>
      <c r="O910" s="1"/>
    </row>
    <row r="911">
      <c r="A911" s="1"/>
      <c r="B911" s="1"/>
      <c r="C911" s="1"/>
      <c r="D911" s="1"/>
      <c r="E911" s="1"/>
      <c r="F911" s="1"/>
      <c r="G911" s="1"/>
      <c r="H911" s="1"/>
      <c r="L911" s="1"/>
      <c r="M911" s="1"/>
      <c r="N911" s="1"/>
      <c r="O911" s="1"/>
    </row>
    <row r="912">
      <c r="A912" s="1"/>
      <c r="B912" s="1"/>
      <c r="C912" s="1"/>
      <c r="D912" s="1"/>
      <c r="E912" s="1"/>
      <c r="F912" s="1"/>
      <c r="G912" s="1"/>
      <c r="H912" s="1"/>
      <c r="L912" s="1"/>
      <c r="M912" s="1"/>
      <c r="N912" s="1"/>
      <c r="O912" s="1"/>
    </row>
    <row r="913">
      <c r="A913" s="1"/>
      <c r="B913" s="1"/>
      <c r="C913" s="1"/>
      <c r="D913" s="1"/>
      <c r="E913" s="1"/>
      <c r="F913" s="1"/>
      <c r="G913" s="1"/>
      <c r="H913" s="1"/>
      <c r="L913" s="1"/>
      <c r="M913" s="1"/>
      <c r="N913" s="1"/>
      <c r="O913" s="1"/>
    </row>
    <row r="914">
      <c r="A914" s="1"/>
      <c r="B914" s="1"/>
      <c r="C914" s="1"/>
      <c r="D914" s="1"/>
      <c r="E914" s="1"/>
      <c r="F914" s="1"/>
      <c r="G914" s="1"/>
      <c r="H914" s="1"/>
      <c r="L914" s="1"/>
      <c r="M914" s="1"/>
      <c r="N914" s="1"/>
      <c r="O914" s="1"/>
    </row>
    <row r="915">
      <c r="A915" s="1"/>
      <c r="B915" s="1"/>
      <c r="C915" s="1"/>
      <c r="D915" s="1"/>
      <c r="E915" s="1"/>
      <c r="F915" s="1"/>
      <c r="G915" s="1"/>
      <c r="H915" s="1"/>
      <c r="L915" s="1"/>
      <c r="M915" s="1"/>
      <c r="N915" s="1"/>
      <c r="O915" s="1"/>
    </row>
    <row r="916">
      <c r="A916" s="1"/>
      <c r="B916" s="1"/>
      <c r="C916" s="1"/>
      <c r="D916" s="1"/>
      <c r="E916" s="1"/>
      <c r="F916" s="1"/>
      <c r="G916" s="1"/>
      <c r="H916" s="1"/>
      <c r="L916" s="1"/>
      <c r="M916" s="1"/>
      <c r="N916" s="1"/>
      <c r="O916" s="1"/>
    </row>
    <row r="917">
      <c r="A917" s="1"/>
      <c r="B917" s="1"/>
      <c r="C917" s="1"/>
      <c r="D917" s="1"/>
      <c r="E917" s="1"/>
      <c r="F917" s="1"/>
      <c r="G917" s="1"/>
      <c r="H917" s="1"/>
      <c r="L917" s="1"/>
      <c r="M917" s="1"/>
      <c r="N917" s="1"/>
      <c r="O917" s="1"/>
    </row>
    <row r="918">
      <c r="A918" s="1"/>
      <c r="B918" s="1"/>
      <c r="C918" s="1"/>
      <c r="D918" s="1"/>
      <c r="E918" s="1"/>
      <c r="F918" s="1"/>
      <c r="G918" s="1"/>
      <c r="H918" s="1"/>
      <c r="L918" s="1"/>
      <c r="M918" s="1"/>
      <c r="N918" s="1"/>
      <c r="O918" s="1"/>
    </row>
    <row r="919">
      <c r="A919" s="1"/>
      <c r="B919" s="1"/>
      <c r="C919" s="1"/>
      <c r="D919" s="1"/>
      <c r="E919" s="1"/>
      <c r="F919" s="1"/>
      <c r="G919" s="1"/>
      <c r="H919" s="1"/>
      <c r="L919" s="1"/>
      <c r="M919" s="1"/>
      <c r="N919" s="1"/>
      <c r="O919" s="1"/>
    </row>
    <row r="920">
      <c r="A920" s="1"/>
      <c r="B920" s="1"/>
      <c r="C920" s="1"/>
      <c r="D920" s="1"/>
      <c r="E920" s="1"/>
      <c r="F920" s="1"/>
      <c r="G920" s="1"/>
      <c r="H920" s="1"/>
      <c r="L920" s="1"/>
      <c r="M920" s="1"/>
      <c r="N920" s="1"/>
      <c r="O920" s="1"/>
    </row>
    <row r="921">
      <c r="A921" s="1"/>
      <c r="B921" s="1"/>
      <c r="C921" s="1"/>
      <c r="D921" s="1"/>
      <c r="E921" s="1"/>
      <c r="F921" s="1"/>
      <c r="G921" s="1"/>
      <c r="H921" s="1"/>
      <c r="L921" s="1"/>
      <c r="M921" s="1"/>
      <c r="N921" s="1"/>
      <c r="O921" s="1"/>
    </row>
    <row r="922">
      <c r="A922" s="1"/>
      <c r="B922" s="1"/>
      <c r="C922" s="1"/>
      <c r="D922" s="1"/>
      <c r="E922" s="1"/>
      <c r="F922" s="1"/>
      <c r="G922" s="1"/>
      <c r="H922" s="1"/>
      <c r="L922" s="1"/>
      <c r="M922" s="1"/>
      <c r="N922" s="1"/>
      <c r="O922" s="1"/>
    </row>
    <row r="923">
      <c r="A923" s="1"/>
      <c r="B923" s="1"/>
      <c r="C923" s="1"/>
      <c r="D923" s="1"/>
      <c r="E923" s="1"/>
      <c r="F923" s="1"/>
      <c r="G923" s="1"/>
      <c r="H923" s="1"/>
      <c r="L923" s="1"/>
      <c r="M923" s="1"/>
      <c r="N923" s="1"/>
      <c r="O923" s="1"/>
    </row>
    <row r="924">
      <c r="A924" s="1"/>
      <c r="B924" s="1"/>
      <c r="C924" s="1"/>
      <c r="D924" s="1"/>
      <c r="E924" s="1"/>
      <c r="F924" s="1"/>
      <c r="G924" s="1"/>
      <c r="H924" s="1"/>
      <c r="L924" s="1"/>
      <c r="M924" s="1"/>
      <c r="N924" s="1"/>
      <c r="O924" s="1"/>
    </row>
    <row r="925">
      <c r="A925" s="1"/>
      <c r="B925" s="1"/>
      <c r="C925" s="1"/>
      <c r="D925" s="1"/>
      <c r="E925" s="1"/>
      <c r="F925" s="1"/>
      <c r="G925" s="1"/>
      <c r="H925" s="1"/>
      <c r="L925" s="1"/>
      <c r="M925" s="1"/>
      <c r="N925" s="1"/>
      <c r="O925" s="1"/>
    </row>
    <row r="926">
      <c r="A926" s="1"/>
      <c r="B926" s="1"/>
      <c r="C926" s="1"/>
      <c r="D926" s="1"/>
      <c r="E926" s="1"/>
      <c r="F926" s="1"/>
      <c r="G926" s="1"/>
      <c r="H926" s="1"/>
      <c r="L926" s="1"/>
      <c r="M926" s="1"/>
      <c r="N926" s="1"/>
      <c r="O926" s="1"/>
    </row>
    <row r="927">
      <c r="A927" s="1"/>
      <c r="B927" s="1"/>
      <c r="C927" s="1"/>
      <c r="D927" s="1"/>
      <c r="E927" s="1"/>
      <c r="F927" s="1"/>
      <c r="G927" s="1"/>
      <c r="H927" s="1"/>
      <c r="L927" s="1"/>
      <c r="M927" s="1"/>
      <c r="N927" s="1"/>
      <c r="O927" s="1"/>
    </row>
    <row r="928">
      <c r="A928" s="1"/>
      <c r="B928" s="1"/>
      <c r="C928" s="1"/>
      <c r="D928" s="1"/>
      <c r="E928" s="1"/>
      <c r="F928" s="1"/>
      <c r="G928" s="1"/>
      <c r="H928" s="1"/>
      <c r="L928" s="1"/>
      <c r="M928" s="1"/>
      <c r="N928" s="1"/>
      <c r="O928" s="1"/>
    </row>
    <row r="929">
      <c r="A929" s="1"/>
      <c r="B929" s="1"/>
      <c r="C929" s="1"/>
      <c r="D929" s="1"/>
      <c r="E929" s="1"/>
      <c r="F929" s="1"/>
      <c r="G929" s="1"/>
      <c r="H929" s="1"/>
      <c r="L929" s="1"/>
      <c r="M929" s="1"/>
      <c r="N929" s="1"/>
      <c r="O929" s="1"/>
    </row>
    <row r="930">
      <c r="A930" s="1"/>
      <c r="B930" s="1"/>
      <c r="C930" s="1"/>
      <c r="D930" s="1"/>
      <c r="E930" s="1"/>
      <c r="F930" s="1"/>
      <c r="G930" s="1"/>
      <c r="H930" s="1"/>
      <c r="L930" s="1"/>
      <c r="M930" s="1"/>
      <c r="N930" s="1"/>
      <c r="O930" s="1"/>
    </row>
    <row r="931">
      <c r="A931" s="1"/>
      <c r="B931" s="1"/>
      <c r="C931" s="1"/>
      <c r="D931" s="1"/>
      <c r="E931" s="1"/>
      <c r="F931" s="1"/>
      <c r="G931" s="1"/>
      <c r="H931" s="1"/>
      <c r="L931" s="1"/>
      <c r="M931" s="1"/>
      <c r="N931" s="1"/>
      <c r="O931" s="1"/>
    </row>
    <row r="932">
      <c r="A932" s="1"/>
      <c r="B932" s="1"/>
      <c r="C932" s="1"/>
      <c r="D932" s="1"/>
      <c r="E932" s="1"/>
      <c r="F932" s="1"/>
      <c r="G932" s="1"/>
      <c r="H932" s="1"/>
      <c r="L932" s="1"/>
      <c r="M932" s="1"/>
      <c r="N932" s="1"/>
      <c r="O932" s="1"/>
    </row>
    <row r="933">
      <c r="A933" s="1"/>
      <c r="B933" s="1"/>
      <c r="C933" s="1"/>
      <c r="D933" s="1"/>
      <c r="E933" s="1"/>
      <c r="F933" s="1"/>
      <c r="G933" s="1"/>
      <c r="H933" s="1"/>
      <c r="L933" s="1"/>
      <c r="M933" s="1"/>
      <c r="N933" s="1"/>
      <c r="O933" s="1"/>
    </row>
    <row r="934">
      <c r="A934" s="1"/>
      <c r="B934" s="1"/>
      <c r="C934" s="1"/>
      <c r="D934" s="1"/>
      <c r="E934" s="1"/>
      <c r="F934" s="1"/>
      <c r="G934" s="1"/>
      <c r="H934" s="1"/>
      <c r="L934" s="1"/>
      <c r="M934" s="1"/>
      <c r="N934" s="1"/>
      <c r="O934" s="1"/>
    </row>
    <row r="935">
      <c r="A935" s="1"/>
      <c r="B935" s="1"/>
      <c r="C935" s="1"/>
      <c r="D935" s="1"/>
      <c r="E935" s="1"/>
      <c r="F935" s="1"/>
      <c r="G935" s="1"/>
      <c r="H935" s="1"/>
      <c r="L935" s="1"/>
      <c r="M935" s="1"/>
      <c r="N935" s="1"/>
      <c r="O935" s="1"/>
    </row>
    <row r="936">
      <c r="A936" s="1"/>
      <c r="B936" s="1"/>
      <c r="C936" s="1"/>
      <c r="D936" s="1"/>
      <c r="E936" s="1"/>
      <c r="F936" s="1"/>
      <c r="G936" s="1"/>
      <c r="H936" s="1"/>
      <c r="L936" s="1"/>
      <c r="M936" s="1"/>
      <c r="N936" s="1"/>
      <c r="O936" s="1"/>
    </row>
    <row r="937">
      <c r="A937" s="1"/>
      <c r="B937" s="1"/>
      <c r="C937" s="1"/>
      <c r="D937" s="1"/>
      <c r="E937" s="1"/>
      <c r="F937" s="1"/>
      <c r="G937" s="1"/>
      <c r="H937" s="1"/>
      <c r="L937" s="1"/>
      <c r="M937" s="1"/>
      <c r="N937" s="1"/>
      <c r="O937" s="1"/>
    </row>
    <row r="938">
      <c r="A938" s="1"/>
      <c r="B938" s="1"/>
      <c r="C938" s="1"/>
      <c r="D938" s="1"/>
      <c r="E938" s="1"/>
      <c r="F938" s="1"/>
      <c r="G938" s="1"/>
      <c r="H938" s="1"/>
      <c r="L938" s="1"/>
      <c r="M938" s="1"/>
      <c r="N938" s="1"/>
      <c r="O938" s="1"/>
    </row>
    <row r="939">
      <c r="A939" s="1"/>
      <c r="B939" s="1"/>
      <c r="C939" s="1"/>
      <c r="D939" s="1"/>
      <c r="E939" s="1"/>
      <c r="F939" s="1"/>
      <c r="G939" s="1"/>
      <c r="H939" s="1"/>
      <c r="L939" s="1"/>
      <c r="M939" s="1"/>
      <c r="N939" s="1"/>
      <c r="O939" s="1"/>
    </row>
    <row r="940">
      <c r="A940" s="1"/>
      <c r="B940" s="1"/>
      <c r="C940" s="1"/>
      <c r="D940" s="1"/>
      <c r="E940" s="1"/>
      <c r="F940" s="1"/>
      <c r="G940" s="1"/>
      <c r="H940" s="1"/>
      <c r="L940" s="1"/>
      <c r="M940" s="1"/>
      <c r="N940" s="1"/>
      <c r="O940" s="1"/>
    </row>
    <row r="941">
      <c r="A941" s="1"/>
      <c r="B941" s="1"/>
      <c r="C941" s="1"/>
      <c r="D941" s="1"/>
      <c r="E941" s="1"/>
      <c r="F941" s="1"/>
      <c r="G941" s="1"/>
      <c r="H941" s="1"/>
      <c r="L941" s="1"/>
      <c r="M941" s="1"/>
      <c r="N941" s="1"/>
      <c r="O941" s="1"/>
    </row>
    <row r="942">
      <c r="A942" s="1"/>
      <c r="B942" s="1"/>
      <c r="C942" s="1"/>
      <c r="D942" s="1"/>
      <c r="E942" s="1"/>
      <c r="F942" s="1"/>
      <c r="G942" s="1"/>
      <c r="H942" s="1"/>
      <c r="L942" s="1"/>
      <c r="M942" s="1"/>
      <c r="N942" s="1"/>
      <c r="O942" s="1"/>
    </row>
    <row r="943">
      <c r="A943" s="1"/>
      <c r="B943" s="1"/>
      <c r="C943" s="1"/>
      <c r="D943" s="1"/>
      <c r="E943" s="1"/>
      <c r="F943" s="1"/>
      <c r="G943" s="1"/>
      <c r="H943" s="1"/>
      <c r="L943" s="1"/>
      <c r="M943" s="1"/>
      <c r="N943" s="1"/>
      <c r="O943" s="1"/>
    </row>
    <row r="944">
      <c r="A944" s="1"/>
      <c r="B944" s="1"/>
      <c r="C944" s="1"/>
      <c r="D944" s="1"/>
      <c r="E944" s="1"/>
      <c r="F944" s="1"/>
      <c r="G944" s="1"/>
      <c r="H944" s="1"/>
      <c r="L944" s="1"/>
      <c r="M944" s="1"/>
      <c r="N944" s="1"/>
      <c r="O944" s="1"/>
    </row>
    <row r="945">
      <c r="A945" s="1"/>
      <c r="B945" s="1"/>
      <c r="C945" s="1"/>
      <c r="D945" s="1"/>
      <c r="E945" s="1"/>
      <c r="F945" s="1"/>
      <c r="G945" s="1"/>
      <c r="H945" s="1"/>
      <c r="L945" s="1"/>
      <c r="M945" s="1"/>
      <c r="N945" s="1"/>
      <c r="O945" s="1"/>
    </row>
    <row r="946">
      <c r="A946" s="1"/>
      <c r="B946" s="1"/>
      <c r="C946" s="1"/>
      <c r="D946" s="1"/>
      <c r="E946" s="1"/>
      <c r="F946" s="1"/>
      <c r="G946" s="1"/>
      <c r="H946" s="1"/>
      <c r="L946" s="1"/>
      <c r="M946" s="1"/>
      <c r="N946" s="1"/>
      <c r="O946" s="1"/>
    </row>
    <row r="947">
      <c r="A947" s="1"/>
      <c r="B947" s="1"/>
      <c r="C947" s="1"/>
      <c r="D947" s="1"/>
      <c r="E947" s="1"/>
      <c r="F947" s="1"/>
      <c r="G947" s="1"/>
      <c r="H947" s="1"/>
      <c r="L947" s="1"/>
      <c r="M947" s="1"/>
      <c r="N947" s="1"/>
      <c r="O947" s="1"/>
    </row>
    <row r="948">
      <c r="A948" s="1"/>
      <c r="B948" s="1"/>
      <c r="C948" s="1"/>
      <c r="D948" s="1"/>
      <c r="E948" s="1"/>
      <c r="F948" s="1"/>
      <c r="G948" s="1"/>
      <c r="H948" s="1"/>
      <c r="L948" s="1"/>
      <c r="M948" s="1"/>
      <c r="N948" s="1"/>
      <c r="O948" s="1"/>
    </row>
    <row r="949">
      <c r="A949" s="1"/>
      <c r="B949" s="1"/>
      <c r="C949" s="1"/>
      <c r="D949" s="1"/>
      <c r="E949" s="1"/>
      <c r="F949" s="1"/>
      <c r="G949" s="1"/>
      <c r="H949" s="1"/>
      <c r="L949" s="1"/>
      <c r="M949" s="1"/>
      <c r="N949" s="1"/>
      <c r="O949" s="1"/>
    </row>
    <row r="950">
      <c r="A950" s="1"/>
      <c r="B950" s="1"/>
      <c r="C950" s="1"/>
      <c r="D950" s="1"/>
      <c r="E950" s="1"/>
      <c r="F950" s="1"/>
      <c r="G950" s="1"/>
      <c r="H950" s="1"/>
      <c r="L950" s="1"/>
      <c r="M950" s="1"/>
      <c r="N950" s="1"/>
      <c r="O950" s="1"/>
    </row>
    <row r="951">
      <c r="A951" s="1"/>
      <c r="B951" s="1"/>
      <c r="C951" s="1"/>
      <c r="D951" s="1"/>
      <c r="E951" s="1"/>
      <c r="F951" s="1"/>
      <c r="G951" s="1"/>
      <c r="H951" s="1"/>
      <c r="L951" s="1"/>
      <c r="M951" s="1"/>
      <c r="N951" s="1"/>
      <c r="O951" s="1"/>
    </row>
    <row r="952">
      <c r="A952" s="1"/>
      <c r="B952" s="1"/>
      <c r="C952" s="1"/>
      <c r="D952" s="1"/>
      <c r="E952" s="1"/>
      <c r="F952" s="1"/>
      <c r="G952" s="1"/>
      <c r="H952" s="1"/>
      <c r="L952" s="1"/>
      <c r="M952" s="1"/>
      <c r="N952" s="1"/>
      <c r="O952" s="1"/>
    </row>
    <row r="953">
      <c r="A953" s="1"/>
      <c r="B953" s="1"/>
      <c r="C953" s="1"/>
      <c r="D953" s="1"/>
      <c r="E953" s="1"/>
      <c r="F953" s="1"/>
      <c r="G953" s="1"/>
      <c r="H953" s="1"/>
      <c r="L953" s="1"/>
      <c r="M953" s="1"/>
      <c r="N953" s="1"/>
      <c r="O953" s="1"/>
    </row>
    <row r="954">
      <c r="A954" s="1"/>
      <c r="B954" s="1"/>
      <c r="C954" s="1"/>
      <c r="D954" s="1"/>
      <c r="E954" s="1"/>
      <c r="F954" s="1"/>
      <c r="G954" s="1"/>
      <c r="H954" s="1"/>
      <c r="L954" s="1"/>
      <c r="M954" s="1"/>
      <c r="N954" s="1"/>
      <c r="O954" s="1"/>
    </row>
    <row r="955">
      <c r="A955" s="1"/>
      <c r="B955" s="1"/>
      <c r="C955" s="1"/>
      <c r="D955" s="1"/>
      <c r="E955" s="1"/>
      <c r="F955" s="1"/>
      <c r="G955" s="1"/>
      <c r="H955" s="1"/>
      <c r="L955" s="1"/>
      <c r="M955" s="1"/>
      <c r="N955" s="1"/>
      <c r="O955" s="1"/>
    </row>
    <row r="956">
      <c r="A956" s="1"/>
      <c r="B956" s="1"/>
      <c r="C956" s="1"/>
      <c r="D956" s="1"/>
      <c r="E956" s="1"/>
      <c r="F956" s="1"/>
      <c r="G956" s="1"/>
      <c r="H956" s="1"/>
      <c r="L956" s="1"/>
      <c r="M956" s="1"/>
      <c r="N956" s="1"/>
      <c r="O956" s="1"/>
    </row>
    <row r="957">
      <c r="A957" s="1"/>
      <c r="B957" s="1"/>
      <c r="C957" s="1"/>
      <c r="D957" s="1"/>
      <c r="E957" s="1"/>
      <c r="F957" s="1"/>
      <c r="G957" s="1"/>
      <c r="H957" s="1"/>
      <c r="L957" s="1"/>
      <c r="M957" s="1"/>
      <c r="N957" s="1"/>
      <c r="O957" s="1"/>
    </row>
    <row r="958">
      <c r="A958" s="1"/>
      <c r="B958" s="1"/>
      <c r="C958" s="1"/>
      <c r="D958" s="1"/>
      <c r="E958" s="1"/>
      <c r="F958" s="1"/>
      <c r="G958" s="1"/>
      <c r="H958" s="1"/>
      <c r="L958" s="1"/>
      <c r="M958" s="1"/>
      <c r="N958" s="1"/>
      <c r="O958" s="1"/>
    </row>
    <row r="959">
      <c r="A959" s="1"/>
      <c r="B959" s="1"/>
      <c r="C959" s="1"/>
      <c r="D959" s="1"/>
      <c r="E959" s="1"/>
      <c r="F959" s="1"/>
      <c r="G959" s="1"/>
      <c r="H959" s="1"/>
      <c r="L959" s="1"/>
      <c r="M959" s="1"/>
      <c r="N959" s="1"/>
      <c r="O959" s="1"/>
    </row>
    <row r="960">
      <c r="A960" s="1"/>
      <c r="B960" s="1"/>
      <c r="C960" s="1"/>
      <c r="D960" s="1"/>
      <c r="E960" s="1"/>
      <c r="F960" s="1"/>
      <c r="G960" s="1"/>
      <c r="H960" s="1"/>
      <c r="L960" s="1"/>
      <c r="M960" s="1"/>
      <c r="N960" s="1"/>
      <c r="O960" s="1"/>
    </row>
    <row r="961">
      <c r="A961" s="1"/>
      <c r="B961" s="1"/>
      <c r="C961" s="1"/>
      <c r="D961" s="1"/>
      <c r="E961" s="1"/>
      <c r="F961" s="1"/>
      <c r="G961" s="1"/>
      <c r="H961" s="1"/>
      <c r="L961" s="1"/>
      <c r="M961" s="1"/>
      <c r="N961" s="1"/>
      <c r="O961" s="1"/>
    </row>
    <row r="962">
      <c r="A962" s="1"/>
      <c r="B962" s="1"/>
      <c r="C962" s="1"/>
      <c r="D962" s="1"/>
      <c r="E962" s="1"/>
      <c r="F962" s="1"/>
      <c r="G962" s="1"/>
      <c r="H962" s="1"/>
      <c r="L962" s="1"/>
      <c r="M962" s="1"/>
      <c r="N962" s="1"/>
      <c r="O962" s="1"/>
    </row>
    <row r="963">
      <c r="A963" s="1"/>
      <c r="B963" s="1"/>
      <c r="C963" s="1"/>
      <c r="D963" s="1"/>
      <c r="E963" s="1"/>
      <c r="F963" s="1"/>
      <c r="G963" s="1"/>
      <c r="H963" s="1"/>
      <c r="L963" s="1"/>
      <c r="M963" s="1"/>
      <c r="N963" s="1"/>
      <c r="O963" s="1"/>
    </row>
    <row r="964">
      <c r="A964" s="1"/>
      <c r="B964" s="1"/>
      <c r="C964" s="1"/>
      <c r="D964" s="1"/>
      <c r="E964" s="1"/>
      <c r="F964" s="1"/>
      <c r="G964" s="1"/>
      <c r="H964" s="1"/>
      <c r="L964" s="1"/>
      <c r="M964" s="1"/>
      <c r="N964" s="1"/>
      <c r="O964" s="1"/>
    </row>
    <row r="965">
      <c r="A965" s="1"/>
      <c r="B965" s="1"/>
      <c r="C965" s="1"/>
      <c r="D965" s="1"/>
      <c r="E965" s="1"/>
      <c r="F965" s="1"/>
      <c r="G965" s="1"/>
      <c r="H965" s="1"/>
      <c r="L965" s="1"/>
      <c r="M965" s="1"/>
      <c r="N965" s="1"/>
      <c r="O965" s="1"/>
    </row>
    <row r="966">
      <c r="A966" s="1"/>
      <c r="B966" s="1"/>
      <c r="C966" s="1"/>
      <c r="D966" s="1"/>
      <c r="E966" s="1"/>
      <c r="F966" s="1"/>
      <c r="G966" s="1"/>
      <c r="H966" s="1"/>
      <c r="L966" s="1"/>
      <c r="M966" s="1"/>
      <c r="N966" s="1"/>
      <c r="O966" s="1"/>
    </row>
    <row r="967">
      <c r="A967" s="1"/>
      <c r="B967" s="1"/>
      <c r="C967" s="1"/>
      <c r="D967" s="1"/>
      <c r="E967" s="1"/>
      <c r="F967" s="1"/>
      <c r="G967" s="1"/>
      <c r="H967" s="1"/>
      <c r="L967" s="1"/>
      <c r="M967" s="1"/>
      <c r="N967" s="1"/>
      <c r="O967" s="1"/>
    </row>
    <row r="968">
      <c r="A968" s="1"/>
      <c r="B968" s="1"/>
      <c r="C968" s="1"/>
      <c r="D968" s="1"/>
      <c r="E968" s="1"/>
      <c r="F968" s="1"/>
      <c r="G968" s="1"/>
      <c r="H968" s="1"/>
      <c r="L968" s="1"/>
      <c r="M968" s="1"/>
      <c r="N968" s="1"/>
      <c r="O968" s="1"/>
    </row>
    <row r="969">
      <c r="A969" s="1"/>
      <c r="B969" s="1"/>
      <c r="C969" s="1"/>
      <c r="D969" s="1"/>
      <c r="E969" s="1"/>
      <c r="F969" s="1"/>
      <c r="G969" s="1"/>
      <c r="H969" s="1"/>
      <c r="L969" s="1"/>
      <c r="M969" s="1"/>
      <c r="N969" s="1"/>
      <c r="O969" s="1"/>
    </row>
    <row r="970">
      <c r="A970" s="1"/>
      <c r="B970" s="1"/>
      <c r="C970" s="1"/>
      <c r="D970" s="1"/>
      <c r="E970" s="1"/>
      <c r="F970" s="1"/>
      <c r="G970" s="1"/>
      <c r="H970" s="1"/>
      <c r="L970" s="1"/>
      <c r="M970" s="1"/>
      <c r="N970" s="1"/>
      <c r="O970" s="1"/>
    </row>
    <row r="971">
      <c r="A971" s="1"/>
      <c r="B971" s="1"/>
      <c r="C971" s="1"/>
      <c r="D971" s="1"/>
      <c r="E971" s="1"/>
      <c r="F971" s="1"/>
      <c r="G971" s="1"/>
      <c r="H971" s="1"/>
      <c r="L971" s="1"/>
      <c r="M971" s="1"/>
      <c r="N971" s="1"/>
      <c r="O971" s="1"/>
    </row>
    <row r="972">
      <c r="A972" s="1"/>
      <c r="B972" s="1"/>
      <c r="C972" s="1"/>
      <c r="D972" s="1"/>
      <c r="E972" s="1"/>
      <c r="F972" s="1"/>
      <c r="G972" s="1"/>
      <c r="H972" s="1"/>
      <c r="L972" s="1"/>
      <c r="M972" s="1"/>
      <c r="N972" s="1"/>
      <c r="O972" s="1"/>
    </row>
    <row r="973">
      <c r="A973" s="1"/>
      <c r="B973" s="1"/>
      <c r="C973" s="1"/>
      <c r="D973" s="1"/>
      <c r="E973" s="1"/>
      <c r="F973" s="1"/>
      <c r="G973" s="1"/>
      <c r="H973" s="1"/>
      <c r="L973" s="1"/>
      <c r="M973" s="1"/>
      <c r="N973" s="1"/>
      <c r="O973" s="1"/>
    </row>
    <row r="974">
      <c r="A974" s="1"/>
      <c r="B974" s="1"/>
      <c r="C974" s="1"/>
      <c r="D974" s="1"/>
      <c r="E974" s="1"/>
      <c r="F974" s="1"/>
      <c r="G974" s="1"/>
      <c r="H974" s="1"/>
      <c r="L974" s="1"/>
      <c r="M974" s="1"/>
      <c r="N974" s="1"/>
      <c r="O974" s="1"/>
    </row>
    <row r="975">
      <c r="A975" s="1"/>
      <c r="B975" s="1"/>
      <c r="C975" s="1"/>
      <c r="D975" s="1"/>
      <c r="E975" s="1"/>
      <c r="F975" s="1"/>
      <c r="G975" s="1"/>
      <c r="H975" s="1"/>
      <c r="L975" s="1"/>
      <c r="M975" s="1"/>
      <c r="N975" s="1"/>
      <c r="O975" s="1"/>
    </row>
    <row r="976">
      <c r="A976" s="1"/>
      <c r="B976" s="1"/>
      <c r="C976" s="1"/>
      <c r="D976" s="1"/>
      <c r="E976" s="1"/>
      <c r="F976" s="1"/>
      <c r="G976" s="1"/>
      <c r="H976" s="1"/>
      <c r="L976" s="1"/>
      <c r="M976" s="1"/>
      <c r="N976" s="1"/>
      <c r="O976" s="1"/>
    </row>
    <row r="977">
      <c r="A977" s="1"/>
      <c r="B977" s="1"/>
      <c r="C977" s="1"/>
      <c r="D977" s="1"/>
      <c r="E977" s="1"/>
      <c r="F977" s="1"/>
      <c r="G977" s="1"/>
      <c r="H977" s="1"/>
      <c r="L977" s="1"/>
      <c r="M977" s="1"/>
      <c r="N977" s="1"/>
      <c r="O977" s="1"/>
    </row>
    <row r="978">
      <c r="A978" s="1"/>
      <c r="B978" s="1"/>
      <c r="C978" s="1"/>
      <c r="D978" s="1"/>
      <c r="E978" s="1"/>
      <c r="F978" s="1"/>
      <c r="G978" s="1"/>
      <c r="H978" s="1"/>
      <c r="L978" s="1"/>
      <c r="M978" s="1"/>
      <c r="N978" s="1"/>
      <c r="O978" s="1"/>
    </row>
    <row r="979">
      <c r="A979" s="1"/>
      <c r="B979" s="1"/>
      <c r="C979" s="1"/>
      <c r="D979" s="1"/>
      <c r="E979" s="1"/>
      <c r="F979" s="1"/>
      <c r="G979" s="1"/>
      <c r="H979" s="1"/>
      <c r="L979" s="1"/>
      <c r="M979" s="1"/>
      <c r="N979" s="1"/>
      <c r="O979" s="1"/>
    </row>
    <row r="980">
      <c r="A980" s="1"/>
      <c r="B980" s="1"/>
      <c r="C980" s="1"/>
      <c r="D980" s="1"/>
      <c r="E980" s="1"/>
      <c r="F980" s="1"/>
      <c r="G980" s="1"/>
      <c r="H980" s="1"/>
      <c r="L980" s="1"/>
      <c r="M980" s="1"/>
      <c r="N980" s="1"/>
      <c r="O980" s="1"/>
    </row>
    <row r="981">
      <c r="A981" s="1"/>
      <c r="B981" s="1"/>
      <c r="C981" s="1"/>
      <c r="D981" s="1"/>
      <c r="E981" s="1"/>
      <c r="F981" s="1"/>
      <c r="G981" s="1"/>
      <c r="H981" s="1"/>
      <c r="L981" s="1"/>
      <c r="M981" s="1"/>
      <c r="N981" s="1"/>
      <c r="O981" s="1"/>
    </row>
    <row r="982">
      <c r="A982" s="1"/>
      <c r="B982" s="1"/>
      <c r="C982" s="1"/>
      <c r="D982" s="1"/>
      <c r="E982" s="1"/>
      <c r="F982" s="1"/>
      <c r="G982" s="1"/>
      <c r="H982" s="1"/>
      <c r="L982" s="1"/>
      <c r="M982" s="1"/>
      <c r="N982" s="1"/>
      <c r="O982" s="1"/>
    </row>
    <row r="983">
      <c r="A983" s="1"/>
      <c r="B983" s="1"/>
      <c r="C983" s="1"/>
      <c r="D983" s="1"/>
      <c r="E983" s="1"/>
      <c r="F983" s="1"/>
      <c r="G983" s="1"/>
      <c r="H983" s="1"/>
      <c r="L983" s="1"/>
      <c r="M983" s="1"/>
      <c r="N983" s="1"/>
      <c r="O983" s="1"/>
    </row>
    <row r="984">
      <c r="A984" s="1"/>
      <c r="B984" s="1"/>
      <c r="C984" s="1"/>
      <c r="D984" s="1"/>
      <c r="E984" s="1"/>
      <c r="F984" s="1"/>
      <c r="G984" s="1"/>
      <c r="H984" s="1"/>
      <c r="L984" s="1"/>
      <c r="M984" s="1"/>
      <c r="N984" s="1"/>
      <c r="O984" s="1"/>
    </row>
    <row r="985">
      <c r="A985" s="1"/>
      <c r="B985" s="1"/>
      <c r="C985" s="1"/>
      <c r="D985" s="1"/>
      <c r="E985" s="1"/>
      <c r="F985" s="1"/>
      <c r="G985" s="1"/>
      <c r="H985" s="1"/>
      <c r="L985" s="1"/>
      <c r="M985" s="1"/>
      <c r="N985" s="1"/>
      <c r="O985" s="1"/>
    </row>
    <row r="986">
      <c r="A986" s="1"/>
      <c r="B986" s="1"/>
      <c r="C986" s="1"/>
      <c r="D986" s="1"/>
      <c r="E986" s="1"/>
      <c r="F986" s="1"/>
      <c r="G986" s="1"/>
      <c r="H986" s="1"/>
      <c r="L986" s="1"/>
      <c r="M986" s="1"/>
      <c r="N986" s="1"/>
      <c r="O986" s="1"/>
    </row>
    <row r="987">
      <c r="A987" s="1"/>
      <c r="B987" s="1"/>
      <c r="C987" s="1"/>
      <c r="D987" s="1"/>
      <c r="E987" s="1"/>
      <c r="F987" s="1"/>
      <c r="G987" s="1"/>
      <c r="H987" s="1"/>
      <c r="L987" s="1"/>
      <c r="M987" s="1"/>
      <c r="N987" s="1"/>
      <c r="O987" s="1"/>
    </row>
    <row r="988">
      <c r="A988" s="1"/>
      <c r="B988" s="1"/>
      <c r="C988" s="1"/>
      <c r="D988" s="1"/>
      <c r="E988" s="1"/>
      <c r="F988" s="1"/>
      <c r="G988" s="1"/>
      <c r="H988" s="1"/>
      <c r="L988" s="1"/>
      <c r="M988" s="1"/>
      <c r="N988" s="1"/>
      <c r="O988" s="1"/>
    </row>
    <row r="989">
      <c r="A989" s="1"/>
      <c r="B989" s="1"/>
      <c r="C989" s="1"/>
      <c r="D989" s="1"/>
      <c r="E989" s="1"/>
      <c r="F989" s="1"/>
      <c r="G989" s="1"/>
      <c r="H989" s="1"/>
      <c r="L989" s="1"/>
      <c r="M989" s="1"/>
      <c r="N989" s="1"/>
      <c r="O989" s="1"/>
    </row>
    <row r="990">
      <c r="A990" s="1"/>
      <c r="B990" s="1"/>
      <c r="C990" s="1"/>
      <c r="D990" s="1"/>
      <c r="E990" s="1"/>
      <c r="F990" s="1"/>
      <c r="G990" s="1"/>
      <c r="H990" s="1"/>
      <c r="L990" s="1"/>
      <c r="M990" s="1"/>
      <c r="N990" s="1"/>
      <c r="O990" s="1"/>
    </row>
    <row r="991">
      <c r="A991" s="1"/>
      <c r="B991" s="1"/>
      <c r="C991" s="1"/>
      <c r="D991" s="1"/>
      <c r="E991" s="1"/>
      <c r="F991" s="1"/>
      <c r="G991" s="1"/>
      <c r="H991" s="1"/>
      <c r="L991" s="1"/>
      <c r="M991" s="1"/>
      <c r="N991" s="1"/>
      <c r="O991" s="1"/>
    </row>
    <row r="992">
      <c r="A992" s="1"/>
      <c r="B992" s="1"/>
      <c r="C992" s="1"/>
      <c r="D992" s="1"/>
      <c r="E992" s="1"/>
      <c r="F992" s="1"/>
      <c r="G992" s="1"/>
      <c r="H992" s="1"/>
      <c r="L992" s="1"/>
      <c r="M992" s="1"/>
      <c r="N992" s="1"/>
      <c r="O992" s="1"/>
    </row>
    <row r="993">
      <c r="A993" s="1"/>
      <c r="B993" s="1"/>
      <c r="C993" s="1"/>
      <c r="D993" s="1"/>
      <c r="E993" s="1"/>
      <c r="F993" s="1"/>
      <c r="G993" s="1"/>
      <c r="H993" s="1"/>
      <c r="L993" s="1"/>
      <c r="M993" s="1"/>
      <c r="N993" s="1"/>
      <c r="O993" s="1"/>
    </row>
    <row r="994">
      <c r="A994" s="1"/>
      <c r="B994" s="1"/>
      <c r="C994" s="1"/>
      <c r="D994" s="1"/>
      <c r="E994" s="1"/>
      <c r="F994" s="1"/>
      <c r="G994" s="1"/>
      <c r="H994" s="1"/>
      <c r="L994" s="1"/>
      <c r="M994" s="1"/>
      <c r="N994" s="1"/>
      <c r="O994" s="1"/>
    </row>
    <row r="995">
      <c r="A995" s="1"/>
      <c r="B995" s="1"/>
      <c r="C995" s="1"/>
      <c r="D995" s="1"/>
      <c r="E995" s="1"/>
      <c r="F995" s="1"/>
      <c r="G995" s="1"/>
      <c r="H995" s="1"/>
      <c r="L995" s="1"/>
      <c r="M995" s="1"/>
      <c r="N995" s="1"/>
      <c r="O995" s="1"/>
    </row>
    <row r="996">
      <c r="A996" s="1"/>
      <c r="B996" s="1"/>
      <c r="C996" s="1"/>
      <c r="D996" s="1"/>
      <c r="E996" s="1"/>
      <c r="F996" s="1"/>
      <c r="G996" s="1"/>
      <c r="H996" s="1"/>
      <c r="L996" s="1"/>
      <c r="M996" s="1"/>
      <c r="N996" s="1"/>
      <c r="O996" s="1"/>
    </row>
    <row r="997">
      <c r="A997" s="1"/>
      <c r="B997" s="1"/>
      <c r="C997" s="1"/>
      <c r="D997" s="1"/>
      <c r="E997" s="1"/>
      <c r="F997" s="1"/>
      <c r="G997" s="1"/>
      <c r="H997" s="1"/>
      <c r="L997" s="1"/>
      <c r="M997" s="1"/>
      <c r="N997" s="1"/>
      <c r="O997" s="1"/>
    </row>
    <row r="998">
      <c r="A998" s="1"/>
      <c r="B998" s="1"/>
      <c r="C998" s="1"/>
      <c r="D998" s="1"/>
      <c r="E998" s="1"/>
      <c r="F998" s="1"/>
      <c r="G998" s="1"/>
      <c r="H998" s="1"/>
      <c r="L998" s="1"/>
      <c r="M998" s="1"/>
      <c r="N998" s="1"/>
      <c r="O998" s="1"/>
    </row>
    <row r="999">
      <c r="A999" s="1"/>
      <c r="B999" s="1"/>
      <c r="C999" s="1"/>
      <c r="D999" s="1"/>
      <c r="E999" s="1"/>
      <c r="F999" s="1"/>
      <c r="G999" s="1"/>
      <c r="H999" s="1"/>
      <c r="L999" s="1"/>
      <c r="M999" s="1"/>
      <c r="N999" s="1"/>
      <c r="O999" s="1"/>
    </row>
    <row r="1000">
      <c r="A1000" s="1"/>
      <c r="B1000" s="1"/>
      <c r="C1000" s="1"/>
      <c r="D1000" s="1"/>
      <c r="E1000" s="1"/>
      <c r="F1000" s="1"/>
      <c r="G1000" s="1"/>
      <c r="H1000" s="1"/>
      <c r="L1000" s="1"/>
      <c r="M1000" s="1"/>
      <c r="N1000" s="1"/>
      <c r="O100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9">
        <v>44793.0</v>
      </c>
    </row>
    <row r="3">
      <c r="B3" s="19">
        <v>44794.0</v>
      </c>
    </row>
    <row r="4">
      <c r="B4" s="19">
        <v>44795.0</v>
      </c>
    </row>
    <row r="5">
      <c r="B5" s="19">
        <v>44796.0</v>
      </c>
    </row>
    <row r="6">
      <c r="B6" s="19">
        <v>44797.0</v>
      </c>
    </row>
    <row r="7">
      <c r="B7" s="19">
        <v>44798.0</v>
      </c>
    </row>
    <row r="8">
      <c r="B8" s="19">
        <v>44799.0</v>
      </c>
    </row>
    <row r="9">
      <c r="B9" s="19">
        <v>44800.0</v>
      </c>
    </row>
    <row r="10">
      <c r="B10" s="19">
        <v>44801.0</v>
      </c>
    </row>
    <row r="11">
      <c r="B11" s="19">
        <v>44802.0</v>
      </c>
    </row>
    <row r="12">
      <c r="B12" s="19">
        <v>44803.0</v>
      </c>
    </row>
    <row r="13">
      <c r="B13" s="19">
        <v>44804.0</v>
      </c>
    </row>
    <row r="14">
      <c r="B14" s="19">
        <v>44805.0</v>
      </c>
    </row>
    <row r="15">
      <c r="B15" s="19">
        <v>44806.0</v>
      </c>
    </row>
    <row r="16">
      <c r="B16" s="19">
        <v>44807.0</v>
      </c>
    </row>
    <row r="17">
      <c r="B17" s="19">
        <v>44808.0</v>
      </c>
    </row>
    <row r="18">
      <c r="B18" s="19">
        <v>44809.0</v>
      </c>
    </row>
    <row r="19">
      <c r="B19" s="19">
        <v>44810.0</v>
      </c>
    </row>
    <row r="20">
      <c r="B20" s="19">
        <v>44811.0</v>
      </c>
    </row>
    <row r="21">
      <c r="B21" s="19">
        <v>44812.0</v>
      </c>
    </row>
    <row r="22">
      <c r="B22" s="19">
        <v>44813.0</v>
      </c>
    </row>
    <row r="23">
      <c r="B23" s="19">
        <v>44814.0</v>
      </c>
    </row>
    <row r="24">
      <c r="B24" s="19">
        <v>44815.0</v>
      </c>
    </row>
    <row r="25">
      <c r="B25" s="19">
        <v>44816.0</v>
      </c>
    </row>
    <row r="26">
      <c r="B26" s="19">
        <v>44817.0</v>
      </c>
    </row>
    <row r="27">
      <c r="B27" s="19">
        <v>44818.0</v>
      </c>
    </row>
    <row r="28">
      <c r="B28" s="19">
        <v>44819.0</v>
      </c>
    </row>
    <row r="29">
      <c r="B29" s="19">
        <v>44820.0</v>
      </c>
    </row>
    <row r="30">
      <c r="B30" s="19">
        <v>44821.0</v>
      </c>
    </row>
    <row r="31">
      <c r="B31" s="19">
        <v>44822.0</v>
      </c>
    </row>
    <row r="32">
      <c r="B32" s="19">
        <v>44823.0</v>
      </c>
    </row>
    <row r="33">
      <c r="B33" s="19">
        <v>44824.0</v>
      </c>
    </row>
    <row r="34">
      <c r="B34" s="19">
        <v>44825.0</v>
      </c>
    </row>
    <row r="35">
      <c r="B35" s="19">
        <v>44826.0</v>
      </c>
    </row>
    <row r="36">
      <c r="B36" s="19">
        <v>44827.0</v>
      </c>
    </row>
    <row r="37">
      <c r="B37" s="19">
        <v>44828.0</v>
      </c>
    </row>
    <row r="38">
      <c r="B38" s="19">
        <v>44829.0</v>
      </c>
    </row>
    <row r="39">
      <c r="B39" s="19">
        <v>44830.0</v>
      </c>
    </row>
    <row r="40">
      <c r="B40" s="19">
        <v>44831.0</v>
      </c>
    </row>
    <row r="41">
      <c r="B41" s="19">
        <v>44832.0</v>
      </c>
    </row>
    <row r="42">
      <c r="B42" s="19">
        <v>44833.0</v>
      </c>
    </row>
    <row r="43">
      <c r="B43" s="19">
        <v>44834.0</v>
      </c>
    </row>
    <row r="44">
      <c r="B44" s="19">
        <v>44835.0</v>
      </c>
    </row>
    <row r="45">
      <c r="B45" s="19">
        <v>44836.0</v>
      </c>
    </row>
    <row r="46">
      <c r="B46" s="19">
        <v>44837.0</v>
      </c>
    </row>
    <row r="47">
      <c r="B47" s="19">
        <v>44838.0</v>
      </c>
    </row>
    <row r="48">
      <c r="B48" s="19">
        <v>44839.0</v>
      </c>
    </row>
    <row r="49">
      <c r="B49" s="19">
        <v>44840.0</v>
      </c>
    </row>
    <row r="50">
      <c r="B50" s="19">
        <v>44841.0</v>
      </c>
    </row>
    <row r="51">
      <c r="B51" s="19">
        <v>44842.0</v>
      </c>
    </row>
    <row r="52">
      <c r="B52" s="19">
        <v>44843.0</v>
      </c>
    </row>
    <row r="53">
      <c r="B53" s="19">
        <v>44844.0</v>
      </c>
    </row>
    <row r="54">
      <c r="B54" s="19">
        <v>44845.0</v>
      </c>
    </row>
    <row r="55">
      <c r="B55" s="19">
        <v>44846.0</v>
      </c>
    </row>
    <row r="56">
      <c r="B56" s="19">
        <v>44847.0</v>
      </c>
    </row>
    <row r="57">
      <c r="B57" s="19">
        <v>44848.0</v>
      </c>
    </row>
    <row r="58">
      <c r="B58" s="19">
        <v>44849.0</v>
      </c>
    </row>
    <row r="59">
      <c r="B59" s="19">
        <v>44850.0</v>
      </c>
    </row>
    <row r="60">
      <c r="B60" s="19">
        <v>44851.0</v>
      </c>
    </row>
    <row r="61">
      <c r="B61" s="19">
        <v>44852.0</v>
      </c>
    </row>
    <row r="62">
      <c r="B62" s="19">
        <v>44853.0</v>
      </c>
    </row>
    <row r="63">
      <c r="B63" s="19">
        <v>44854.0</v>
      </c>
    </row>
    <row r="64">
      <c r="B64" s="19">
        <v>44855.0</v>
      </c>
    </row>
    <row r="65">
      <c r="B65" s="19">
        <v>44856.0</v>
      </c>
    </row>
    <row r="66">
      <c r="B66" s="19">
        <v>44857.0</v>
      </c>
    </row>
    <row r="67">
      <c r="B67" s="19">
        <v>44858.0</v>
      </c>
    </row>
    <row r="68">
      <c r="B68" s="19">
        <v>44859.0</v>
      </c>
    </row>
    <row r="69">
      <c r="B69" s="19">
        <v>44860.0</v>
      </c>
    </row>
    <row r="70">
      <c r="B70" s="19">
        <v>44861.0</v>
      </c>
    </row>
    <row r="71">
      <c r="B71" s="19">
        <v>44862.0</v>
      </c>
    </row>
    <row r="72">
      <c r="B72" s="19">
        <v>44863.0</v>
      </c>
    </row>
    <row r="73">
      <c r="B73" s="19">
        <v>44864.0</v>
      </c>
    </row>
    <row r="74">
      <c r="B74" s="19">
        <v>44865.0</v>
      </c>
    </row>
    <row r="75">
      <c r="B75" s="19">
        <v>44866.0</v>
      </c>
    </row>
    <row r="76">
      <c r="B76" s="19">
        <v>44867.0</v>
      </c>
    </row>
    <row r="77">
      <c r="B77" s="19">
        <v>44868.0</v>
      </c>
    </row>
    <row r="78">
      <c r="B78" s="19">
        <v>44869.0</v>
      </c>
    </row>
    <row r="79">
      <c r="B79" s="19">
        <v>44870.0</v>
      </c>
    </row>
    <row r="80">
      <c r="B80" s="19">
        <v>44871.0</v>
      </c>
    </row>
    <row r="81">
      <c r="B81" s="19">
        <v>44872.0</v>
      </c>
    </row>
    <row r="82">
      <c r="B82" s="19">
        <v>44873.0</v>
      </c>
    </row>
    <row r="83">
      <c r="B83" s="19">
        <v>44874.0</v>
      </c>
    </row>
    <row r="84">
      <c r="B84" s="19">
        <v>44875.0</v>
      </c>
    </row>
    <row r="85">
      <c r="B85" s="19">
        <v>44876.0</v>
      </c>
    </row>
    <row r="86">
      <c r="B86" s="19">
        <v>44877.0</v>
      </c>
    </row>
    <row r="87">
      <c r="B87" s="19">
        <v>44878.0</v>
      </c>
    </row>
    <row r="88">
      <c r="B88" s="19">
        <v>44879.0</v>
      </c>
    </row>
    <row r="89">
      <c r="B89" s="19">
        <v>44880.0</v>
      </c>
    </row>
    <row r="90">
      <c r="B90" s="19">
        <v>44881.0</v>
      </c>
    </row>
    <row r="91">
      <c r="B91" s="19">
        <v>44882.0</v>
      </c>
    </row>
    <row r="92">
      <c r="B92" s="19">
        <v>44883.0</v>
      </c>
    </row>
    <row r="93">
      <c r="B93" s="19">
        <v>44884.0</v>
      </c>
    </row>
    <row r="94">
      <c r="B94" s="19">
        <v>44885.0</v>
      </c>
    </row>
    <row r="95">
      <c r="B95" s="19">
        <v>44886.0</v>
      </c>
    </row>
    <row r="96">
      <c r="B96" s="19">
        <v>44887.0</v>
      </c>
    </row>
    <row r="97">
      <c r="B97" s="19">
        <v>44888.0</v>
      </c>
    </row>
    <row r="98">
      <c r="B98" s="19">
        <v>44889.0</v>
      </c>
    </row>
    <row r="99">
      <c r="B99" s="19">
        <v>44890.0</v>
      </c>
    </row>
    <row r="100">
      <c r="B100" s="19">
        <v>44891.0</v>
      </c>
    </row>
    <row r="101">
      <c r="B101" s="19">
        <v>44892.0</v>
      </c>
    </row>
    <row r="102">
      <c r="B102" s="19">
        <v>44893.0</v>
      </c>
    </row>
    <row r="103">
      <c r="B103" s="19">
        <v>44894.0</v>
      </c>
    </row>
    <row r="104">
      <c r="B104" s="19">
        <v>44895.0</v>
      </c>
    </row>
    <row r="105">
      <c r="B105" s="19">
        <v>44896.0</v>
      </c>
    </row>
    <row r="106">
      <c r="B106" s="19">
        <v>44897.0</v>
      </c>
    </row>
    <row r="107">
      <c r="B107" s="19">
        <v>44898.0</v>
      </c>
    </row>
    <row r="108">
      <c r="B108" s="19">
        <v>44899.0</v>
      </c>
    </row>
    <row r="109">
      <c r="B109" s="19">
        <v>44900.0</v>
      </c>
    </row>
    <row r="110">
      <c r="B110" s="19">
        <v>44901.0</v>
      </c>
    </row>
    <row r="111">
      <c r="B111" s="19">
        <v>44902.0</v>
      </c>
    </row>
    <row r="112">
      <c r="B112" s="19">
        <v>44903.0</v>
      </c>
    </row>
    <row r="113">
      <c r="B113" s="19">
        <v>44904.0</v>
      </c>
    </row>
    <row r="114">
      <c r="B114" s="19">
        <v>44905.0</v>
      </c>
    </row>
    <row r="115">
      <c r="B115" s="19">
        <v>44906.0</v>
      </c>
    </row>
    <row r="116">
      <c r="B116" s="19">
        <v>44907.0</v>
      </c>
    </row>
    <row r="117">
      <c r="B117" s="19">
        <v>44908.0</v>
      </c>
    </row>
    <row r="118">
      <c r="B118" s="19">
        <v>44909.0</v>
      </c>
    </row>
    <row r="119">
      <c r="B119" s="19">
        <v>44910.0</v>
      </c>
    </row>
    <row r="120">
      <c r="B120" s="19">
        <v>44911.0</v>
      </c>
    </row>
    <row r="121">
      <c r="B121" s="19">
        <v>44912.0</v>
      </c>
    </row>
    <row r="122">
      <c r="B122" s="19">
        <v>44913.0</v>
      </c>
    </row>
    <row r="123">
      <c r="B123" s="19">
        <v>44914.0</v>
      </c>
    </row>
    <row r="124">
      <c r="B124" s="19">
        <v>44915.0</v>
      </c>
    </row>
    <row r="125">
      <c r="B125" s="19">
        <v>44916.0</v>
      </c>
    </row>
    <row r="126">
      <c r="B126" s="19">
        <v>44917.0</v>
      </c>
    </row>
    <row r="127">
      <c r="B127" s="19">
        <v>44918.0</v>
      </c>
    </row>
    <row r="128">
      <c r="B128" s="19">
        <v>44919.0</v>
      </c>
    </row>
    <row r="129">
      <c r="B129" s="19">
        <v>44920.0</v>
      </c>
    </row>
    <row r="130">
      <c r="B130" s="19">
        <v>44921.0</v>
      </c>
    </row>
    <row r="131">
      <c r="B131" s="19">
        <v>44922.0</v>
      </c>
    </row>
    <row r="132">
      <c r="B132" s="19">
        <v>44923.0</v>
      </c>
    </row>
    <row r="133">
      <c r="B133" s="19">
        <v>44924.0</v>
      </c>
    </row>
    <row r="134">
      <c r="B134" s="19">
        <v>44925.0</v>
      </c>
    </row>
    <row r="135">
      <c r="B135" s="19">
        <v>44926.0</v>
      </c>
    </row>
    <row r="136">
      <c r="B136" s="19">
        <v>44927.0</v>
      </c>
    </row>
    <row r="137">
      <c r="B137" s="19">
        <v>44928.0</v>
      </c>
    </row>
    <row r="138">
      <c r="B138" s="19">
        <v>44929.0</v>
      </c>
    </row>
    <row r="139">
      <c r="B139" s="19">
        <v>44930.0</v>
      </c>
    </row>
    <row r="140">
      <c r="B140" s="19">
        <v>44931.0</v>
      </c>
    </row>
    <row r="141">
      <c r="B141" s="19">
        <v>44932.0</v>
      </c>
    </row>
    <row r="142">
      <c r="B142" s="19">
        <v>44933.0</v>
      </c>
    </row>
    <row r="143">
      <c r="B143" s="19">
        <v>44934.0</v>
      </c>
    </row>
    <row r="144">
      <c r="B144" s="19">
        <v>44935.0</v>
      </c>
    </row>
    <row r="145">
      <c r="B145" s="19">
        <v>44936.0</v>
      </c>
    </row>
    <row r="146">
      <c r="B146" s="19">
        <v>44937.0</v>
      </c>
    </row>
    <row r="147">
      <c r="B147" s="19">
        <v>44938.0</v>
      </c>
    </row>
    <row r="148">
      <c r="B148" s="19">
        <v>44939.0</v>
      </c>
    </row>
    <row r="149">
      <c r="B149" s="19">
        <v>44940.0</v>
      </c>
    </row>
    <row r="150">
      <c r="B150" s="19">
        <v>44941.0</v>
      </c>
    </row>
    <row r="151">
      <c r="B151" s="19">
        <v>44942.0</v>
      </c>
    </row>
    <row r="152">
      <c r="B152" s="19">
        <v>44943.0</v>
      </c>
    </row>
    <row r="153">
      <c r="B153" s="19">
        <v>44944.0</v>
      </c>
    </row>
    <row r="154">
      <c r="B154" s="19">
        <v>44945.0</v>
      </c>
    </row>
    <row r="155">
      <c r="B155" s="19">
        <v>44946.0</v>
      </c>
    </row>
    <row r="156">
      <c r="B156" s="19">
        <v>44947.0</v>
      </c>
    </row>
    <row r="157">
      <c r="B157" s="19">
        <v>44948.0</v>
      </c>
    </row>
    <row r="158">
      <c r="B158" s="19">
        <v>44949.0</v>
      </c>
    </row>
    <row r="159">
      <c r="B159" s="19">
        <v>44950.0</v>
      </c>
    </row>
    <row r="160">
      <c r="B160" s="19">
        <v>44951.0</v>
      </c>
    </row>
    <row r="161">
      <c r="B161" s="19">
        <v>44952.0</v>
      </c>
    </row>
    <row r="162">
      <c r="B162" s="19">
        <v>44953.0</v>
      </c>
    </row>
    <row r="163">
      <c r="B163" s="19">
        <v>44954.0</v>
      </c>
    </row>
    <row r="164">
      <c r="B164" s="19">
        <v>44955.0</v>
      </c>
    </row>
    <row r="165">
      <c r="B165" s="19">
        <v>44956.0</v>
      </c>
    </row>
    <row r="166">
      <c r="B166" s="19">
        <v>44957.0</v>
      </c>
    </row>
    <row r="167">
      <c r="B167" s="19">
        <v>44958.0</v>
      </c>
    </row>
    <row r="168">
      <c r="B168" s="19">
        <v>44959.0</v>
      </c>
    </row>
    <row r="169">
      <c r="B169" s="19">
        <v>44960.0</v>
      </c>
    </row>
    <row r="170">
      <c r="B170" s="19">
        <v>44961.0</v>
      </c>
    </row>
    <row r="171">
      <c r="B171" s="19">
        <v>44962.0</v>
      </c>
    </row>
    <row r="172">
      <c r="B172" s="19">
        <v>44963.0</v>
      </c>
    </row>
    <row r="173">
      <c r="B173" s="19">
        <v>44964.0</v>
      </c>
    </row>
    <row r="174">
      <c r="B174" s="19">
        <v>44965.0</v>
      </c>
    </row>
    <row r="175">
      <c r="B175" s="19">
        <v>44966.0</v>
      </c>
    </row>
    <row r="176">
      <c r="B176" s="19">
        <v>44967.0</v>
      </c>
    </row>
    <row r="177">
      <c r="B177" s="19">
        <v>44968.0</v>
      </c>
    </row>
    <row r="178">
      <c r="B178" s="19">
        <v>44969.0</v>
      </c>
    </row>
    <row r="179">
      <c r="B179" s="19">
        <v>44970.0</v>
      </c>
    </row>
    <row r="180">
      <c r="B180" s="19">
        <v>44971.0</v>
      </c>
    </row>
    <row r="181">
      <c r="B181" s="19">
        <v>44972.0</v>
      </c>
    </row>
    <row r="182">
      <c r="B182" s="19">
        <v>44973.0</v>
      </c>
    </row>
    <row r="183">
      <c r="B183" s="19">
        <v>44974.0</v>
      </c>
    </row>
    <row r="184">
      <c r="B184" s="19">
        <v>44975.0</v>
      </c>
    </row>
    <row r="185">
      <c r="B185" s="19">
        <v>44976.0</v>
      </c>
    </row>
    <row r="186">
      <c r="B186" s="19">
        <v>44977.0</v>
      </c>
    </row>
    <row r="187">
      <c r="B187" s="19">
        <v>44978.0</v>
      </c>
    </row>
    <row r="188">
      <c r="B188" s="19">
        <v>44979.0</v>
      </c>
    </row>
    <row r="189">
      <c r="B189" s="19">
        <v>44980.0</v>
      </c>
    </row>
    <row r="190">
      <c r="B190" s="19">
        <v>44981.0</v>
      </c>
    </row>
    <row r="191">
      <c r="B191" s="19">
        <v>44982.0</v>
      </c>
    </row>
    <row r="192">
      <c r="B192" s="19">
        <v>44983.0</v>
      </c>
    </row>
    <row r="193">
      <c r="B193" s="19">
        <v>44984.0</v>
      </c>
    </row>
    <row r="194">
      <c r="B194" s="19">
        <v>44985.0</v>
      </c>
    </row>
    <row r="195">
      <c r="B195" s="19">
        <v>44986.0</v>
      </c>
    </row>
    <row r="196">
      <c r="B196" s="19">
        <v>44987.0</v>
      </c>
    </row>
    <row r="197">
      <c r="B197" s="19">
        <v>44988.0</v>
      </c>
    </row>
    <row r="198">
      <c r="B198" s="19">
        <v>44989.0</v>
      </c>
    </row>
    <row r="199">
      <c r="B199" s="19">
        <v>44990.0</v>
      </c>
    </row>
    <row r="200">
      <c r="B200" s="19">
        <v>44991.0</v>
      </c>
    </row>
    <row r="201">
      <c r="B201" s="19">
        <v>44992.0</v>
      </c>
    </row>
    <row r="202">
      <c r="B202" s="19">
        <v>44993.0</v>
      </c>
    </row>
    <row r="203">
      <c r="B203" s="19">
        <v>44994.0</v>
      </c>
    </row>
    <row r="204">
      <c r="B204" s="19">
        <v>44995.0</v>
      </c>
    </row>
    <row r="205">
      <c r="B205" s="19">
        <v>44996.0</v>
      </c>
    </row>
    <row r="206">
      <c r="B206" s="19">
        <v>44997.0</v>
      </c>
    </row>
    <row r="207">
      <c r="B207" s="19">
        <v>44998.0</v>
      </c>
    </row>
    <row r="208">
      <c r="B208" s="19">
        <v>44999.0</v>
      </c>
    </row>
    <row r="209">
      <c r="B209" s="19">
        <v>45000.0</v>
      </c>
    </row>
    <row r="210">
      <c r="B210" s="19">
        <v>45001.0</v>
      </c>
    </row>
    <row r="211">
      <c r="B211" s="19">
        <v>45002.0</v>
      </c>
    </row>
    <row r="212">
      <c r="B212" s="19">
        <v>45003.0</v>
      </c>
    </row>
    <row r="213">
      <c r="B213" s="19">
        <v>45004.0</v>
      </c>
    </row>
    <row r="214">
      <c r="B214" s="19">
        <v>45005.0</v>
      </c>
    </row>
    <row r="215">
      <c r="B215" s="19">
        <v>45006.0</v>
      </c>
    </row>
    <row r="216">
      <c r="B216" s="19">
        <v>45007.0</v>
      </c>
    </row>
    <row r="217">
      <c r="B217" s="19">
        <v>45008.0</v>
      </c>
    </row>
    <row r="218">
      <c r="B218" s="19">
        <v>45009.0</v>
      </c>
    </row>
    <row r="219">
      <c r="B219" s="19">
        <v>45010.0</v>
      </c>
    </row>
    <row r="220">
      <c r="B220" s="19">
        <v>45011.0</v>
      </c>
    </row>
    <row r="221">
      <c r="B221" s="19">
        <v>45012.0</v>
      </c>
    </row>
    <row r="222">
      <c r="B222" s="19">
        <v>45013.0</v>
      </c>
    </row>
    <row r="223">
      <c r="B223" s="19">
        <v>45014.0</v>
      </c>
    </row>
    <row r="224">
      <c r="B224" s="19">
        <v>45015.0</v>
      </c>
    </row>
    <row r="225">
      <c r="B225" s="19">
        <v>45016.0</v>
      </c>
    </row>
    <row r="226">
      <c r="B226" s="19">
        <v>45017.0</v>
      </c>
    </row>
    <row r="227">
      <c r="B227" s="19">
        <v>45018.0</v>
      </c>
    </row>
    <row r="228">
      <c r="B228" s="19">
        <v>45019.0</v>
      </c>
    </row>
    <row r="229">
      <c r="B229" s="19">
        <v>45020.0</v>
      </c>
    </row>
    <row r="230">
      <c r="B230" s="19">
        <v>45021.0</v>
      </c>
    </row>
    <row r="231">
      <c r="B231" s="19">
        <v>45022.0</v>
      </c>
    </row>
    <row r="232">
      <c r="B232" s="19">
        <v>45023.0</v>
      </c>
    </row>
    <row r="233">
      <c r="B233" s="19">
        <v>45024.0</v>
      </c>
    </row>
    <row r="234">
      <c r="B234" s="19">
        <v>45025.0</v>
      </c>
    </row>
    <row r="235">
      <c r="B235" s="19">
        <v>45026.0</v>
      </c>
    </row>
    <row r="236">
      <c r="B236" s="19">
        <v>45027.0</v>
      </c>
    </row>
    <row r="237">
      <c r="B237" s="19">
        <v>45028.0</v>
      </c>
    </row>
    <row r="238">
      <c r="B238" s="19">
        <v>45029.0</v>
      </c>
    </row>
    <row r="239">
      <c r="B239" s="19">
        <v>45030.0</v>
      </c>
    </row>
    <row r="240">
      <c r="B240" s="19">
        <v>45031.0</v>
      </c>
    </row>
    <row r="241">
      <c r="B241" s="19">
        <v>45032.0</v>
      </c>
    </row>
    <row r="242">
      <c r="B242" s="19">
        <v>45033.0</v>
      </c>
    </row>
    <row r="243">
      <c r="B243" s="19">
        <v>45034.0</v>
      </c>
    </row>
    <row r="244">
      <c r="B244" s="19">
        <v>45035.0</v>
      </c>
    </row>
    <row r="245">
      <c r="B245" s="19">
        <v>45036.0</v>
      </c>
    </row>
    <row r="246">
      <c r="B246" s="19">
        <v>45037.0</v>
      </c>
    </row>
    <row r="247">
      <c r="B247" s="19">
        <v>45038.0</v>
      </c>
    </row>
    <row r="248">
      <c r="B248" s="19">
        <v>45039.0</v>
      </c>
    </row>
    <row r="249">
      <c r="B249" s="19">
        <v>45040.0</v>
      </c>
    </row>
    <row r="250">
      <c r="B250" s="19">
        <v>45041.0</v>
      </c>
    </row>
    <row r="251">
      <c r="B251" s="19">
        <v>45042.0</v>
      </c>
    </row>
    <row r="252">
      <c r="B252" s="19">
        <v>45043.0</v>
      </c>
    </row>
    <row r="253">
      <c r="B253" s="19">
        <v>45044.0</v>
      </c>
    </row>
    <row r="254">
      <c r="B254" s="19">
        <v>45045.0</v>
      </c>
    </row>
    <row r="255">
      <c r="B255" s="19">
        <v>45046.0</v>
      </c>
    </row>
    <row r="256">
      <c r="B256" s="19">
        <v>45047.0</v>
      </c>
    </row>
    <row r="257">
      <c r="B257" s="19">
        <v>45048.0</v>
      </c>
    </row>
    <row r="258">
      <c r="B258" s="19">
        <v>45049.0</v>
      </c>
    </row>
    <row r="259">
      <c r="B259" s="19">
        <v>45050.0</v>
      </c>
    </row>
    <row r="260">
      <c r="B260" s="19">
        <v>45051.0</v>
      </c>
    </row>
    <row r="261">
      <c r="B261" s="19">
        <v>45052.0</v>
      </c>
    </row>
    <row r="262">
      <c r="B262" s="19">
        <v>45053.0</v>
      </c>
    </row>
    <row r="263">
      <c r="B263" s="19">
        <v>45054.0</v>
      </c>
    </row>
    <row r="264">
      <c r="B264" s="19">
        <v>45055.0</v>
      </c>
    </row>
    <row r="265">
      <c r="B265" s="19">
        <v>45056.0</v>
      </c>
    </row>
    <row r="266">
      <c r="B266" s="19">
        <v>45057.0</v>
      </c>
    </row>
    <row r="267">
      <c r="B267" s="19">
        <v>45058.0</v>
      </c>
    </row>
    <row r="268">
      <c r="B268" s="19">
        <v>45059.0</v>
      </c>
    </row>
    <row r="269">
      <c r="B269" s="19">
        <v>45060.0</v>
      </c>
    </row>
    <row r="270">
      <c r="B270" s="19">
        <v>45061.0</v>
      </c>
    </row>
    <row r="271">
      <c r="B271" s="19">
        <v>45062.0</v>
      </c>
    </row>
    <row r="272">
      <c r="B272" s="19">
        <v>45063.0</v>
      </c>
    </row>
    <row r="273">
      <c r="B273" s="19">
        <v>45064.0</v>
      </c>
    </row>
    <row r="274">
      <c r="B274" s="19">
        <v>45065.0</v>
      </c>
    </row>
    <row r="275">
      <c r="B275" s="19">
        <v>45066.0</v>
      </c>
    </row>
    <row r="276">
      <c r="B276" s="19">
        <v>45067.0</v>
      </c>
    </row>
    <row r="277">
      <c r="B277" s="19">
        <v>45068.0</v>
      </c>
    </row>
    <row r="278">
      <c r="B278" s="19">
        <v>45069.0</v>
      </c>
    </row>
    <row r="279">
      <c r="B279" s="19">
        <v>45070.0</v>
      </c>
    </row>
    <row r="280">
      <c r="B280" s="19">
        <v>45071.0</v>
      </c>
    </row>
    <row r="281">
      <c r="B281" s="19">
        <v>45072.0</v>
      </c>
    </row>
    <row r="282">
      <c r="B282" s="19">
        <v>45073.0</v>
      </c>
    </row>
    <row r="283">
      <c r="B283" s="19">
        <v>45074.0</v>
      </c>
    </row>
    <row r="284">
      <c r="B284" s="19">
        <v>45075.0</v>
      </c>
    </row>
    <row r="285">
      <c r="B285" s="19">
        <v>45076.0</v>
      </c>
    </row>
    <row r="286">
      <c r="B286" s="19">
        <v>45077.0</v>
      </c>
    </row>
    <row r="287">
      <c r="B287" s="19">
        <v>45078.0</v>
      </c>
    </row>
    <row r="288">
      <c r="B288" s="19">
        <v>45079.0</v>
      </c>
    </row>
    <row r="289">
      <c r="B289" s="19">
        <v>45080.0</v>
      </c>
    </row>
    <row r="290">
      <c r="B290" s="19">
        <v>45081.0</v>
      </c>
    </row>
    <row r="291">
      <c r="B291" s="19">
        <v>45082.0</v>
      </c>
    </row>
    <row r="292">
      <c r="B292" s="19">
        <v>45083.0</v>
      </c>
    </row>
    <row r="293">
      <c r="B293" s="19">
        <v>45084.0</v>
      </c>
    </row>
    <row r="294">
      <c r="B294" s="19">
        <v>45085.0</v>
      </c>
    </row>
    <row r="295">
      <c r="B295" s="19">
        <v>45086.0</v>
      </c>
    </row>
    <row r="296">
      <c r="B296" s="19">
        <v>45087.0</v>
      </c>
    </row>
    <row r="297">
      <c r="B297" s="19">
        <v>45088.0</v>
      </c>
    </row>
    <row r="298">
      <c r="B298" s="19">
        <v>45089.0</v>
      </c>
    </row>
    <row r="299">
      <c r="B299" s="19">
        <v>45090.0</v>
      </c>
    </row>
    <row r="300">
      <c r="B300" s="19">
        <v>45091.0</v>
      </c>
    </row>
    <row r="301">
      <c r="B301" s="19">
        <v>45092.0</v>
      </c>
    </row>
    <row r="302">
      <c r="B302" s="19">
        <v>45093.0</v>
      </c>
    </row>
    <row r="303">
      <c r="B303" s="19">
        <v>45094.0</v>
      </c>
    </row>
    <row r="304">
      <c r="B304" s="19">
        <v>45095.0</v>
      </c>
    </row>
    <row r="305">
      <c r="B305" s="19">
        <v>45096.0</v>
      </c>
    </row>
    <row r="306">
      <c r="B306" s="19">
        <v>45097.0</v>
      </c>
    </row>
    <row r="307">
      <c r="B307" s="19">
        <v>45098.0</v>
      </c>
    </row>
    <row r="308">
      <c r="B308" s="19">
        <v>45099.0</v>
      </c>
    </row>
    <row r="309">
      <c r="B309" s="19">
        <v>45100.0</v>
      </c>
    </row>
    <row r="310">
      <c r="B310" s="19">
        <v>45101.0</v>
      </c>
    </row>
    <row r="311">
      <c r="B311" s="19">
        <v>45102.0</v>
      </c>
    </row>
    <row r="312">
      <c r="B312" s="19">
        <v>45103.0</v>
      </c>
    </row>
    <row r="313">
      <c r="B313" s="19">
        <v>45104.0</v>
      </c>
    </row>
    <row r="314">
      <c r="B314" s="19">
        <v>45105.0</v>
      </c>
    </row>
    <row r="315">
      <c r="B315" s="19">
        <v>45106.0</v>
      </c>
    </row>
    <row r="316">
      <c r="B316" s="19">
        <v>45107.0</v>
      </c>
    </row>
    <row r="317">
      <c r="B317" s="19">
        <v>45108.0</v>
      </c>
    </row>
    <row r="318">
      <c r="B318" s="19">
        <v>45109.0</v>
      </c>
    </row>
    <row r="319">
      <c r="B319" s="19">
        <v>45110.0</v>
      </c>
    </row>
    <row r="320">
      <c r="B320" s="19">
        <v>45111.0</v>
      </c>
    </row>
    <row r="321">
      <c r="B321" s="19">
        <v>45112.0</v>
      </c>
    </row>
    <row r="322">
      <c r="B322" s="19">
        <v>45113.0</v>
      </c>
    </row>
    <row r="323">
      <c r="B323" s="19">
        <v>45114.0</v>
      </c>
    </row>
    <row r="324">
      <c r="B324" s="19">
        <v>45115.0</v>
      </c>
    </row>
    <row r="325">
      <c r="B325" s="19">
        <v>45116.0</v>
      </c>
    </row>
    <row r="326">
      <c r="B326" s="19">
        <v>45117.0</v>
      </c>
    </row>
    <row r="327">
      <c r="B327" s="19">
        <v>45118.0</v>
      </c>
    </row>
    <row r="328">
      <c r="B328" s="19">
        <v>45119.0</v>
      </c>
    </row>
    <row r="329">
      <c r="B329" s="19">
        <v>45120.0</v>
      </c>
    </row>
    <row r="330">
      <c r="B330" s="19">
        <v>45121.0</v>
      </c>
    </row>
    <row r="331">
      <c r="B331" s="19">
        <v>45122.0</v>
      </c>
    </row>
    <row r="332">
      <c r="B332" s="19">
        <v>45123.0</v>
      </c>
    </row>
    <row r="333">
      <c r="B333" s="19">
        <v>45124.0</v>
      </c>
    </row>
    <row r="334">
      <c r="B334" s="19">
        <v>45125.0</v>
      </c>
    </row>
    <row r="335">
      <c r="B335" s="19">
        <v>45126.0</v>
      </c>
    </row>
    <row r="336">
      <c r="B336" s="19">
        <v>45127.0</v>
      </c>
    </row>
    <row r="337">
      <c r="B337" s="19">
        <v>45128.0</v>
      </c>
    </row>
    <row r="338">
      <c r="B338" s="19">
        <v>45129.0</v>
      </c>
    </row>
    <row r="339">
      <c r="B339" s="19">
        <v>45130.0</v>
      </c>
    </row>
    <row r="340">
      <c r="B340" s="19">
        <v>45131.0</v>
      </c>
    </row>
    <row r="341">
      <c r="B341" s="19">
        <v>45132.0</v>
      </c>
    </row>
    <row r="342">
      <c r="B342" s="19">
        <v>45133.0</v>
      </c>
    </row>
    <row r="343">
      <c r="B343" s="19">
        <v>45134.0</v>
      </c>
    </row>
    <row r="344">
      <c r="B344" s="19">
        <v>45135.0</v>
      </c>
    </row>
    <row r="345">
      <c r="B345" s="19">
        <v>45136.0</v>
      </c>
    </row>
    <row r="346">
      <c r="B346" s="19">
        <v>45137.0</v>
      </c>
    </row>
    <row r="347">
      <c r="B347" s="19">
        <v>45138.0</v>
      </c>
    </row>
    <row r="348">
      <c r="B348" s="19">
        <v>45139.0</v>
      </c>
    </row>
    <row r="349">
      <c r="B349" s="19">
        <v>45140.0</v>
      </c>
    </row>
    <row r="350">
      <c r="B350" s="19">
        <v>45141.0</v>
      </c>
    </row>
    <row r="351">
      <c r="B351" s="19">
        <v>45142.0</v>
      </c>
    </row>
    <row r="352">
      <c r="B352" s="19">
        <v>45143.0</v>
      </c>
    </row>
    <row r="353">
      <c r="B353" s="19">
        <v>45144.0</v>
      </c>
    </row>
    <row r="354">
      <c r="B354" s="19">
        <v>45145.0</v>
      </c>
    </row>
    <row r="355">
      <c r="B355" s="19">
        <v>45146.0</v>
      </c>
    </row>
    <row r="356">
      <c r="B356" s="19">
        <v>45147.0</v>
      </c>
    </row>
    <row r="357">
      <c r="B357" s="19">
        <v>45148.0</v>
      </c>
    </row>
    <row r="358">
      <c r="B358" s="19">
        <v>45149.0</v>
      </c>
    </row>
    <row r="359">
      <c r="B359" s="19">
        <v>45150.0</v>
      </c>
    </row>
    <row r="360">
      <c r="B360" s="19">
        <v>45151.0</v>
      </c>
    </row>
    <row r="361">
      <c r="B361" s="19">
        <v>45152.0</v>
      </c>
    </row>
    <row r="362">
      <c r="B362" s="19">
        <v>45153.0</v>
      </c>
    </row>
    <row r="363">
      <c r="B363" s="19">
        <v>45154.0</v>
      </c>
    </row>
    <row r="364">
      <c r="B364" s="19">
        <v>45155.0</v>
      </c>
    </row>
    <row r="365">
      <c r="B365" s="19">
        <v>45156.0</v>
      </c>
    </row>
    <row r="366">
      <c r="B366" s="19">
        <v>45157.0</v>
      </c>
    </row>
    <row r="367">
      <c r="B367" s="19">
        <v>45158.0</v>
      </c>
    </row>
    <row r="368">
      <c r="B368" s="19">
        <v>45159.0</v>
      </c>
    </row>
    <row r="369">
      <c r="B369" s="19">
        <v>45160.0</v>
      </c>
    </row>
    <row r="370">
      <c r="B370" s="19">
        <v>45161.0</v>
      </c>
    </row>
    <row r="371">
      <c r="B371" s="19">
        <v>45162.0</v>
      </c>
    </row>
    <row r="372">
      <c r="B372" s="19">
        <v>45163.0</v>
      </c>
    </row>
    <row r="373">
      <c r="B373" s="19">
        <v>45164.0</v>
      </c>
    </row>
    <row r="374">
      <c r="B374" s="19">
        <v>45165.0</v>
      </c>
    </row>
    <row r="375">
      <c r="B375" s="19">
        <v>45166.0</v>
      </c>
    </row>
    <row r="376">
      <c r="B376" s="19">
        <v>45167.0</v>
      </c>
    </row>
    <row r="377">
      <c r="B377" s="19">
        <v>45168.0</v>
      </c>
    </row>
    <row r="378">
      <c r="B378" s="19">
        <v>45169.0</v>
      </c>
    </row>
    <row r="379">
      <c r="B379" s="19">
        <v>45170.0</v>
      </c>
    </row>
    <row r="380">
      <c r="B380" s="19">
        <v>45171.0</v>
      </c>
    </row>
    <row r="381">
      <c r="B381" s="19">
        <v>45172.0</v>
      </c>
    </row>
    <row r="382">
      <c r="B382" s="19">
        <v>45173.0</v>
      </c>
    </row>
    <row r="383">
      <c r="B383" s="19">
        <v>45174.0</v>
      </c>
    </row>
    <row r="384">
      <c r="B384" s="19">
        <v>45175.0</v>
      </c>
    </row>
    <row r="385">
      <c r="B385" s="19">
        <v>45176.0</v>
      </c>
    </row>
    <row r="386">
      <c r="B386" s="19">
        <v>45177.0</v>
      </c>
    </row>
    <row r="387">
      <c r="B387" s="19">
        <v>45178.0</v>
      </c>
    </row>
    <row r="388">
      <c r="B388" s="19">
        <v>45179.0</v>
      </c>
    </row>
    <row r="389">
      <c r="B389" s="19">
        <v>45180.0</v>
      </c>
    </row>
    <row r="390">
      <c r="B390" s="19">
        <v>45181.0</v>
      </c>
    </row>
    <row r="391">
      <c r="B391" s="19">
        <v>45182.0</v>
      </c>
    </row>
    <row r="392">
      <c r="B392" s="19">
        <v>45183.0</v>
      </c>
    </row>
    <row r="393">
      <c r="B393" s="19">
        <v>45184.0</v>
      </c>
    </row>
    <row r="394">
      <c r="B394" s="19">
        <v>45185.0</v>
      </c>
    </row>
    <row r="395">
      <c r="B395" s="19">
        <v>45186.0</v>
      </c>
    </row>
    <row r="396">
      <c r="B396" s="19">
        <v>45187.0</v>
      </c>
    </row>
    <row r="397">
      <c r="B397" s="19">
        <v>45188.0</v>
      </c>
    </row>
    <row r="398">
      <c r="B398" s="19">
        <v>45189.0</v>
      </c>
    </row>
    <row r="399">
      <c r="B399" s="19">
        <v>45190.0</v>
      </c>
    </row>
    <row r="400">
      <c r="B400" s="19">
        <v>45191.0</v>
      </c>
    </row>
    <row r="401">
      <c r="B401" s="19">
        <v>45192.0</v>
      </c>
    </row>
    <row r="402">
      <c r="B402" s="19">
        <v>45193.0</v>
      </c>
    </row>
    <row r="403">
      <c r="B403" s="19">
        <v>45194.0</v>
      </c>
    </row>
    <row r="404">
      <c r="B404" s="19">
        <v>45195.0</v>
      </c>
    </row>
    <row r="405">
      <c r="B405" s="19">
        <v>45196.0</v>
      </c>
    </row>
    <row r="406">
      <c r="B406" s="19">
        <v>45197.0</v>
      </c>
    </row>
    <row r="407">
      <c r="B407" s="19">
        <v>45198.0</v>
      </c>
    </row>
    <row r="408">
      <c r="B408" s="19">
        <v>45199.0</v>
      </c>
    </row>
    <row r="409">
      <c r="B409" s="19">
        <v>45200.0</v>
      </c>
    </row>
    <row r="410">
      <c r="B410" s="19">
        <v>45201.0</v>
      </c>
    </row>
    <row r="411">
      <c r="B411" s="19">
        <v>45202.0</v>
      </c>
    </row>
    <row r="412">
      <c r="B412" s="19">
        <v>45203.0</v>
      </c>
    </row>
    <row r="413">
      <c r="B413" s="19">
        <v>45204.0</v>
      </c>
    </row>
    <row r="414">
      <c r="B414" s="19">
        <v>45205.0</v>
      </c>
    </row>
    <row r="415">
      <c r="B415" s="19">
        <v>45206.0</v>
      </c>
    </row>
    <row r="416">
      <c r="B416" s="19">
        <v>45207.0</v>
      </c>
    </row>
    <row r="417">
      <c r="B417" s="19">
        <v>45208.0</v>
      </c>
    </row>
    <row r="418">
      <c r="B418" s="19">
        <v>45209.0</v>
      </c>
    </row>
    <row r="419">
      <c r="B419" s="19">
        <v>45210.0</v>
      </c>
    </row>
    <row r="420">
      <c r="B420" s="19">
        <v>45211.0</v>
      </c>
    </row>
    <row r="421">
      <c r="B421" s="19">
        <v>45212.0</v>
      </c>
    </row>
    <row r="422">
      <c r="B422" s="19">
        <v>45213.0</v>
      </c>
    </row>
    <row r="423">
      <c r="B423" s="19">
        <v>45214.0</v>
      </c>
    </row>
    <row r="424">
      <c r="B424" s="19">
        <v>45215.0</v>
      </c>
    </row>
    <row r="425">
      <c r="B425" s="19">
        <v>45216.0</v>
      </c>
    </row>
    <row r="426">
      <c r="B426" s="19">
        <v>45217.0</v>
      </c>
    </row>
    <row r="427">
      <c r="B427" s="19">
        <v>45218.0</v>
      </c>
    </row>
    <row r="428">
      <c r="B428" s="19">
        <v>45219.0</v>
      </c>
    </row>
    <row r="429">
      <c r="B429" s="19">
        <v>45220.0</v>
      </c>
    </row>
    <row r="430">
      <c r="B430" s="19">
        <v>45221.0</v>
      </c>
    </row>
    <row r="431">
      <c r="B431" s="19">
        <v>45222.0</v>
      </c>
    </row>
    <row r="432">
      <c r="B432" s="19">
        <v>45223.0</v>
      </c>
    </row>
    <row r="433">
      <c r="B433" s="19">
        <v>45224.0</v>
      </c>
    </row>
    <row r="434">
      <c r="B434" s="19">
        <v>45225.0</v>
      </c>
    </row>
    <row r="435">
      <c r="B435" s="19">
        <v>45226.0</v>
      </c>
    </row>
    <row r="436">
      <c r="B436" s="19">
        <v>45227.0</v>
      </c>
    </row>
    <row r="437">
      <c r="B437" s="19">
        <v>45228.0</v>
      </c>
    </row>
    <row r="438">
      <c r="B438" s="19">
        <v>45229.0</v>
      </c>
    </row>
    <row r="439">
      <c r="B439" s="19">
        <v>45230.0</v>
      </c>
    </row>
    <row r="440">
      <c r="B440" s="19">
        <v>45231.0</v>
      </c>
    </row>
    <row r="441">
      <c r="B441" s="19">
        <v>45232.0</v>
      </c>
    </row>
    <row r="442">
      <c r="B442" s="19">
        <v>45233.0</v>
      </c>
    </row>
    <row r="443">
      <c r="B443" s="19">
        <v>45234.0</v>
      </c>
    </row>
    <row r="444">
      <c r="B444" s="19">
        <v>45235.0</v>
      </c>
    </row>
    <row r="445">
      <c r="B445" s="19">
        <v>45236.0</v>
      </c>
    </row>
    <row r="446">
      <c r="B446" s="19">
        <v>45237.0</v>
      </c>
    </row>
    <row r="447">
      <c r="B447" s="19">
        <v>45238.0</v>
      </c>
    </row>
    <row r="448">
      <c r="B448" s="19">
        <v>45239.0</v>
      </c>
    </row>
    <row r="449">
      <c r="B449" s="19">
        <v>45240.0</v>
      </c>
    </row>
    <row r="450">
      <c r="B450" s="19">
        <v>45241.0</v>
      </c>
    </row>
    <row r="451">
      <c r="B451" s="19">
        <v>45242.0</v>
      </c>
    </row>
    <row r="452">
      <c r="B452" s="19">
        <v>45243.0</v>
      </c>
    </row>
    <row r="453">
      <c r="B453" s="19">
        <v>45244.0</v>
      </c>
    </row>
    <row r="454">
      <c r="B454" s="19">
        <v>45245.0</v>
      </c>
    </row>
    <row r="455">
      <c r="B455" s="19">
        <v>45246.0</v>
      </c>
    </row>
    <row r="456">
      <c r="B456" s="19">
        <v>45247.0</v>
      </c>
    </row>
    <row r="457">
      <c r="B457" s="19">
        <v>45248.0</v>
      </c>
    </row>
    <row r="458">
      <c r="B458" s="19">
        <v>45249.0</v>
      </c>
    </row>
    <row r="459">
      <c r="B459" s="19">
        <v>45250.0</v>
      </c>
    </row>
    <row r="460">
      <c r="B460" s="19">
        <v>45251.0</v>
      </c>
    </row>
    <row r="461">
      <c r="B461" s="19">
        <v>45252.0</v>
      </c>
    </row>
    <row r="462">
      <c r="B462" s="19">
        <v>45253.0</v>
      </c>
    </row>
    <row r="463">
      <c r="B463" s="19">
        <v>45254.0</v>
      </c>
    </row>
    <row r="464">
      <c r="B464" s="19">
        <v>45255.0</v>
      </c>
    </row>
    <row r="465">
      <c r="B465" s="19">
        <v>45256.0</v>
      </c>
    </row>
    <row r="466">
      <c r="B466" s="19">
        <v>45257.0</v>
      </c>
    </row>
    <row r="467">
      <c r="B467" s="19">
        <v>45258.0</v>
      </c>
    </row>
    <row r="468">
      <c r="B468" s="19">
        <v>45259.0</v>
      </c>
    </row>
    <row r="469">
      <c r="B469" s="19">
        <v>45260.0</v>
      </c>
    </row>
    <row r="470">
      <c r="B470" s="19">
        <v>45261.0</v>
      </c>
    </row>
    <row r="471">
      <c r="B471" s="19">
        <v>45262.0</v>
      </c>
    </row>
    <row r="472">
      <c r="B472" s="19">
        <v>45263.0</v>
      </c>
    </row>
    <row r="473">
      <c r="B473" s="19">
        <v>45264.0</v>
      </c>
    </row>
    <row r="474">
      <c r="B474" s="19">
        <v>45265.0</v>
      </c>
    </row>
    <row r="475">
      <c r="B475" s="19">
        <v>45266.0</v>
      </c>
    </row>
    <row r="476">
      <c r="B476" s="19">
        <v>45267.0</v>
      </c>
    </row>
    <row r="477">
      <c r="B477" s="19">
        <v>45268.0</v>
      </c>
    </row>
    <row r="478">
      <c r="B478" s="19">
        <v>45269.0</v>
      </c>
    </row>
    <row r="479">
      <c r="B479" s="19">
        <v>45270.0</v>
      </c>
    </row>
    <row r="480">
      <c r="B480" s="19">
        <v>45271.0</v>
      </c>
    </row>
    <row r="481">
      <c r="B481" s="19">
        <v>45272.0</v>
      </c>
    </row>
    <row r="482">
      <c r="B482" s="19">
        <v>45273.0</v>
      </c>
    </row>
    <row r="483">
      <c r="B483" s="19">
        <v>45274.0</v>
      </c>
    </row>
    <row r="484">
      <c r="B484" s="19">
        <v>45275.0</v>
      </c>
    </row>
    <row r="485">
      <c r="B485" s="19">
        <v>45276.0</v>
      </c>
    </row>
    <row r="486">
      <c r="B486" s="19">
        <v>45277.0</v>
      </c>
    </row>
    <row r="487">
      <c r="B487" s="19">
        <v>45278.0</v>
      </c>
    </row>
    <row r="488">
      <c r="B488" s="19">
        <v>45279.0</v>
      </c>
    </row>
    <row r="489">
      <c r="B489" s="19">
        <v>45280.0</v>
      </c>
    </row>
    <row r="490">
      <c r="B490" s="19">
        <v>45281.0</v>
      </c>
    </row>
    <row r="491">
      <c r="B491" s="19">
        <v>45282.0</v>
      </c>
    </row>
    <row r="492">
      <c r="B492" s="19">
        <v>45283.0</v>
      </c>
    </row>
    <row r="493">
      <c r="B493" s="19">
        <v>45284.0</v>
      </c>
    </row>
    <row r="494">
      <c r="B494" s="19">
        <v>45285.0</v>
      </c>
    </row>
    <row r="495">
      <c r="B495" s="19">
        <v>45286.0</v>
      </c>
    </row>
    <row r="496">
      <c r="B496" s="19">
        <v>45287.0</v>
      </c>
    </row>
    <row r="497">
      <c r="B497" s="19">
        <v>45288.0</v>
      </c>
    </row>
    <row r="498">
      <c r="B498" s="19">
        <v>45289.0</v>
      </c>
    </row>
    <row r="499">
      <c r="B499" s="19">
        <v>45290.0</v>
      </c>
    </row>
    <row r="500">
      <c r="B500" s="19">
        <v>45291.0</v>
      </c>
    </row>
    <row r="501">
      <c r="B501" s="19">
        <v>45292.0</v>
      </c>
    </row>
    <row r="502">
      <c r="B502" s="19">
        <v>45293.0</v>
      </c>
    </row>
    <row r="503">
      <c r="B503" s="19">
        <v>45294.0</v>
      </c>
    </row>
    <row r="504">
      <c r="B504" s="19">
        <v>45295.0</v>
      </c>
    </row>
    <row r="505">
      <c r="B505" s="19">
        <v>45296.0</v>
      </c>
    </row>
    <row r="506">
      <c r="B506" s="19">
        <v>45297.0</v>
      </c>
    </row>
    <row r="507">
      <c r="B507" s="19">
        <v>45298.0</v>
      </c>
    </row>
    <row r="508">
      <c r="B508" s="19">
        <v>45299.0</v>
      </c>
    </row>
    <row r="509">
      <c r="B509" s="19">
        <v>45300.0</v>
      </c>
    </row>
    <row r="510">
      <c r="B510" s="19">
        <v>45301.0</v>
      </c>
    </row>
    <row r="511">
      <c r="B511" s="19">
        <v>45302.0</v>
      </c>
    </row>
    <row r="512">
      <c r="B512" s="19">
        <v>45303.0</v>
      </c>
    </row>
    <row r="513">
      <c r="B513" s="19">
        <v>45304.0</v>
      </c>
    </row>
    <row r="514">
      <c r="B514" s="19">
        <v>45305.0</v>
      </c>
    </row>
    <row r="515">
      <c r="B515" s="19">
        <v>45306.0</v>
      </c>
    </row>
    <row r="516">
      <c r="B516" s="19">
        <v>45307.0</v>
      </c>
    </row>
    <row r="517">
      <c r="B517" s="19">
        <v>45308.0</v>
      </c>
    </row>
    <row r="518">
      <c r="B518" s="19">
        <v>45309.0</v>
      </c>
    </row>
    <row r="519">
      <c r="B519" s="19">
        <v>45310.0</v>
      </c>
    </row>
    <row r="520">
      <c r="B520" s="19">
        <v>45311.0</v>
      </c>
    </row>
    <row r="521">
      <c r="B521" s="19">
        <v>45312.0</v>
      </c>
    </row>
    <row r="522">
      <c r="B522" s="19">
        <v>45313.0</v>
      </c>
    </row>
    <row r="523">
      <c r="B523" s="19">
        <v>45314.0</v>
      </c>
    </row>
    <row r="524">
      <c r="B524" s="19">
        <v>45315.0</v>
      </c>
    </row>
    <row r="525">
      <c r="B525" s="19">
        <v>45316.0</v>
      </c>
    </row>
    <row r="526">
      <c r="B526" s="19">
        <v>45317.0</v>
      </c>
    </row>
    <row r="527">
      <c r="B527" s="19">
        <v>45318.0</v>
      </c>
    </row>
    <row r="528">
      <c r="B528" s="19">
        <v>45319.0</v>
      </c>
    </row>
    <row r="529">
      <c r="B529" s="19">
        <v>45320.0</v>
      </c>
    </row>
    <row r="530">
      <c r="B530" s="19">
        <v>45321.0</v>
      </c>
    </row>
    <row r="531">
      <c r="B531" s="19">
        <v>45322.0</v>
      </c>
    </row>
    <row r="532">
      <c r="B532" s="19">
        <v>45323.0</v>
      </c>
    </row>
    <row r="533">
      <c r="B533" s="19">
        <v>45324.0</v>
      </c>
    </row>
    <row r="534">
      <c r="B534" s="19">
        <v>45325.0</v>
      </c>
    </row>
    <row r="535">
      <c r="B535" s="19">
        <v>45326.0</v>
      </c>
    </row>
    <row r="536">
      <c r="B536" s="19">
        <v>45327.0</v>
      </c>
    </row>
    <row r="537">
      <c r="B537" s="19">
        <v>45328.0</v>
      </c>
    </row>
    <row r="538">
      <c r="B538" s="19">
        <v>45329.0</v>
      </c>
    </row>
    <row r="539">
      <c r="B539" s="19">
        <v>45330.0</v>
      </c>
    </row>
    <row r="540">
      <c r="B540" s="19">
        <v>45331.0</v>
      </c>
    </row>
    <row r="541">
      <c r="B541" s="19">
        <v>45332.0</v>
      </c>
    </row>
    <row r="542">
      <c r="B542" s="19">
        <v>45333.0</v>
      </c>
    </row>
    <row r="543">
      <c r="B543" s="19">
        <v>45334.0</v>
      </c>
    </row>
    <row r="544">
      <c r="B544" s="19">
        <v>45335.0</v>
      </c>
    </row>
    <row r="545">
      <c r="B545" s="19">
        <v>45336.0</v>
      </c>
    </row>
    <row r="546">
      <c r="B546" s="19">
        <v>45337.0</v>
      </c>
    </row>
    <row r="547">
      <c r="B547" s="19">
        <v>45338.0</v>
      </c>
    </row>
    <row r="548">
      <c r="B548" s="19">
        <v>45339.0</v>
      </c>
    </row>
    <row r="549">
      <c r="B549" s="19">
        <v>45340.0</v>
      </c>
    </row>
    <row r="550">
      <c r="B550" s="19">
        <v>45341.0</v>
      </c>
    </row>
    <row r="551">
      <c r="B551" s="19">
        <v>45342.0</v>
      </c>
    </row>
    <row r="552">
      <c r="B552" s="19">
        <v>45343.0</v>
      </c>
    </row>
    <row r="553">
      <c r="B553" s="19">
        <v>45344.0</v>
      </c>
    </row>
    <row r="554">
      <c r="B554" s="19">
        <v>45345.0</v>
      </c>
    </row>
    <row r="555">
      <c r="B555" s="19">
        <v>45346.0</v>
      </c>
    </row>
    <row r="556">
      <c r="B556" s="19">
        <v>45347.0</v>
      </c>
    </row>
    <row r="557">
      <c r="B557" s="19">
        <v>45348.0</v>
      </c>
    </row>
    <row r="558">
      <c r="B558" s="19">
        <v>45349.0</v>
      </c>
    </row>
    <row r="559">
      <c r="B559" s="19">
        <v>45350.0</v>
      </c>
    </row>
    <row r="560">
      <c r="B560" s="19">
        <v>45351.0</v>
      </c>
    </row>
    <row r="561">
      <c r="B561" s="19">
        <v>45352.0</v>
      </c>
    </row>
    <row r="562">
      <c r="B562" s="19">
        <v>45353.0</v>
      </c>
    </row>
    <row r="563">
      <c r="B563" s="19">
        <v>45354.0</v>
      </c>
    </row>
    <row r="564">
      <c r="B564" s="19">
        <v>45355.0</v>
      </c>
    </row>
    <row r="565">
      <c r="B565" s="19">
        <v>45356.0</v>
      </c>
    </row>
    <row r="566">
      <c r="B566" s="19">
        <v>45357.0</v>
      </c>
    </row>
    <row r="567">
      <c r="B567" s="19">
        <v>45358.0</v>
      </c>
    </row>
    <row r="568">
      <c r="B568" s="19">
        <v>45359.0</v>
      </c>
    </row>
    <row r="569">
      <c r="B569" s="19">
        <v>45360.0</v>
      </c>
    </row>
    <row r="570">
      <c r="B570" s="19">
        <v>45361.0</v>
      </c>
    </row>
    <row r="571">
      <c r="B571" s="19">
        <v>45362.0</v>
      </c>
    </row>
    <row r="572">
      <c r="B572" s="19">
        <v>45363.0</v>
      </c>
    </row>
    <row r="573">
      <c r="B573" s="19">
        <v>45364.0</v>
      </c>
    </row>
    <row r="574">
      <c r="B574" s="19">
        <v>45365.0</v>
      </c>
    </row>
    <row r="575">
      <c r="B575" s="19">
        <v>45366.0</v>
      </c>
    </row>
    <row r="576">
      <c r="B576" s="19">
        <v>45367.0</v>
      </c>
    </row>
    <row r="577">
      <c r="B577" s="19">
        <v>45368.0</v>
      </c>
    </row>
    <row r="578">
      <c r="B578" s="19">
        <v>45369.0</v>
      </c>
    </row>
    <row r="579">
      <c r="B579" s="19">
        <v>45370.0</v>
      </c>
    </row>
    <row r="580">
      <c r="B580" s="19">
        <v>45371.0</v>
      </c>
    </row>
    <row r="581">
      <c r="B581" s="19">
        <v>45372.0</v>
      </c>
    </row>
    <row r="582">
      <c r="B582" s="19">
        <v>45373.0</v>
      </c>
    </row>
    <row r="583">
      <c r="B583" s="19">
        <v>45374.0</v>
      </c>
    </row>
    <row r="584">
      <c r="B584" s="19">
        <v>45375.0</v>
      </c>
    </row>
    <row r="585">
      <c r="B585" s="19">
        <v>45376.0</v>
      </c>
    </row>
    <row r="586">
      <c r="B586" s="19">
        <v>45377.0</v>
      </c>
    </row>
    <row r="587">
      <c r="B587" s="19">
        <v>45378.0</v>
      </c>
    </row>
    <row r="588">
      <c r="B588" s="19">
        <v>45379.0</v>
      </c>
    </row>
    <row r="589">
      <c r="B589" s="19">
        <v>45380.0</v>
      </c>
    </row>
    <row r="590">
      <c r="B590" s="19">
        <v>45381.0</v>
      </c>
    </row>
    <row r="591">
      <c r="B591" s="19">
        <v>45382.0</v>
      </c>
    </row>
    <row r="592">
      <c r="B592" s="19">
        <v>45383.0</v>
      </c>
    </row>
    <row r="593">
      <c r="B593" s="19">
        <v>45384.0</v>
      </c>
    </row>
    <row r="594">
      <c r="B594" s="19">
        <v>45385.0</v>
      </c>
    </row>
    <row r="595">
      <c r="B595" s="19">
        <v>45386.0</v>
      </c>
    </row>
    <row r="596">
      <c r="B596" s="19">
        <v>45387.0</v>
      </c>
    </row>
    <row r="597">
      <c r="B597" s="19">
        <v>45388.0</v>
      </c>
    </row>
    <row r="598">
      <c r="B598" s="19">
        <v>45389.0</v>
      </c>
    </row>
    <row r="599">
      <c r="B599" s="19">
        <v>45390.0</v>
      </c>
    </row>
    <row r="600">
      <c r="B600" s="19">
        <v>45391.0</v>
      </c>
    </row>
    <row r="601">
      <c r="B601" s="19">
        <v>45392.0</v>
      </c>
    </row>
    <row r="602">
      <c r="B602" s="19">
        <v>45393.0</v>
      </c>
    </row>
    <row r="603">
      <c r="B603" s="19">
        <v>45394.0</v>
      </c>
    </row>
    <row r="604">
      <c r="B604" s="19">
        <v>45395.0</v>
      </c>
    </row>
    <row r="605">
      <c r="B605" s="19">
        <v>45396.0</v>
      </c>
    </row>
    <row r="606">
      <c r="B606" s="19">
        <v>45397.0</v>
      </c>
    </row>
    <row r="607">
      <c r="B607" s="19">
        <v>45398.0</v>
      </c>
    </row>
    <row r="608">
      <c r="B608" s="19">
        <v>45399.0</v>
      </c>
    </row>
    <row r="609">
      <c r="B609" s="19">
        <v>45400.0</v>
      </c>
    </row>
    <row r="610">
      <c r="B610" s="19">
        <v>45401.0</v>
      </c>
    </row>
    <row r="611">
      <c r="B611" s="19">
        <v>45402.0</v>
      </c>
    </row>
    <row r="612">
      <c r="B612" s="19">
        <v>45403.0</v>
      </c>
    </row>
    <row r="613">
      <c r="B613" s="19">
        <v>45404.0</v>
      </c>
    </row>
    <row r="614">
      <c r="B614" s="19">
        <v>45405.0</v>
      </c>
    </row>
    <row r="615">
      <c r="B615" s="19">
        <v>45406.0</v>
      </c>
    </row>
    <row r="616">
      <c r="B616" s="19">
        <v>45407.0</v>
      </c>
    </row>
    <row r="617">
      <c r="B617" s="19">
        <v>45408.0</v>
      </c>
    </row>
    <row r="618">
      <c r="B618" s="19">
        <v>45409.0</v>
      </c>
    </row>
    <row r="619">
      <c r="B619" s="19">
        <v>45410.0</v>
      </c>
    </row>
    <row r="620">
      <c r="B620" s="19">
        <v>45411.0</v>
      </c>
    </row>
    <row r="621">
      <c r="B621" s="19">
        <v>45412.0</v>
      </c>
    </row>
    <row r="622">
      <c r="B622" s="19">
        <v>45413.0</v>
      </c>
    </row>
    <row r="623">
      <c r="B623" s="19">
        <v>45414.0</v>
      </c>
    </row>
    <row r="624">
      <c r="B624" s="19">
        <v>45415.0</v>
      </c>
    </row>
    <row r="625">
      <c r="B625" s="19">
        <v>45416.0</v>
      </c>
    </row>
    <row r="626">
      <c r="B626" s="19">
        <v>45417.0</v>
      </c>
    </row>
    <row r="627">
      <c r="B627" s="19">
        <v>45418.0</v>
      </c>
    </row>
    <row r="628">
      <c r="B628" s="19">
        <v>45419.0</v>
      </c>
    </row>
    <row r="629">
      <c r="B629" s="19">
        <v>45420.0</v>
      </c>
    </row>
    <row r="630">
      <c r="B630" s="19">
        <v>45421.0</v>
      </c>
    </row>
    <row r="631">
      <c r="B631" s="19">
        <v>45422.0</v>
      </c>
    </row>
    <row r="632">
      <c r="B632" s="19">
        <v>45423.0</v>
      </c>
    </row>
    <row r="633">
      <c r="B633" s="19">
        <v>45424.0</v>
      </c>
    </row>
    <row r="634">
      <c r="B634" s="19">
        <v>45425.0</v>
      </c>
    </row>
    <row r="635">
      <c r="B635" s="19">
        <v>45426.0</v>
      </c>
    </row>
    <row r="636">
      <c r="B636" s="19">
        <v>45427.0</v>
      </c>
    </row>
    <row r="637">
      <c r="B637" s="19">
        <v>45428.0</v>
      </c>
    </row>
    <row r="638">
      <c r="B638" s="19">
        <v>45429.0</v>
      </c>
    </row>
    <row r="639">
      <c r="B639" s="19">
        <v>45430.0</v>
      </c>
    </row>
    <row r="640">
      <c r="B640" s="19">
        <v>45431.0</v>
      </c>
    </row>
    <row r="641">
      <c r="B641" s="19">
        <v>45432.0</v>
      </c>
    </row>
    <row r="642">
      <c r="B642" s="19">
        <v>45433.0</v>
      </c>
    </row>
    <row r="643">
      <c r="B643" s="19">
        <v>45434.0</v>
      </c>
    </row>
    <row r="644">
      <c r="B644" s="19">
        <v>45435.0</v>
      </c>
    </row>
    <row r="645">
      <c r="B645" s="19">
        <v>45436.0</v>
      </c>
    </row>
    <row r="646">
      <c r="B646" s="19">
        <v>45437.0</v>
      </c>
    </row>
    <row r="647">
      <c r="B647" s="19">
        <v>45438.0</v>
      </c>
    </row>
    <row r="648">
      <c r="B648" s="19">
        <v>45439.0</v>
      </c>
    </row>
    <row r="649">
      <c r="B649" s="19">
        <v>45440.0</v>
      </c>
    </row>
    <row r="650">
      <c r="B650" s="19">
        <v>45441.0</v>
      </c>
    </row>
    <row r="651">
      <c r="B651" s="19">
        <v>45442.0</v>
      </c>
    </row>
    <row r="652">
      <c r="B652" s="19">
        <v>45443.0</v>
      </c>
    </row>
    <row r="653">
      <c r="B653" s="19">
        <v>45444.0</v>
      </c>
    </row>
    <row r="654">
      <c r="B654" s="19">
        <v>45445.0</v>
      </c>
    </row>
    <row r="655">
      <c r="B655" s="19">
        <v>45446.0</v>
      </c>
    </row>
    <row r="656">
      <c r="B656" s="19">
        <v>45447.0</v>
      </c>
    </row>
    <row r="657">
      <c r="B657" s="19">
        <v>45448.0</v>
      </c>
    </row>
    <row r="658">
      <c r="B658" s="19">
        <v>45449.0</v>
      </c>
    </row>
    <row r="659">
      <c r="B659" s="19">
        <v>45450.0</v>
      </c>
    </row>
    <row r="660">
      <c r="B660" s="19">
        <v>45451.0</v>
      </c>
    </row>
    <row r="661">
      <c r="B661" s="19">
        <v>45452.0</v>
      </c>
    </row>
    <row r="662">
      <c r="B662" s="19">
        <v>45453.0</v>
      </c>
    </row>
    <row r="663">
      <c r="B663" s="19">
        <v>45454.0</v>
      </c>
    </row>
    <row r="664">
      <c r="B664" s="19">
        <v>45455.0</v>
      </c>
    </row>
    <row r="665">
      <c r="B665" s="19">
        <v>45456.0</v>
      </c>
    </row>
    <row r="666">
      <c r="B666" s="19">
        <v>45457.0</v>
      </c>
    </row>
    <row r="667">
      <c r="B667" s="19">
        <v>45458.0</v>
      </c>
    </row>
    <row r="668">
      <c r="B668" s="19">
        <v>45459.0</v>
      </c>
    </row>
    <row r="669">
      <c r="B669" s="19">
        <v>45460.0</v>
      </c>
    </row>
    <row r="670">
      <c r="B670" s="19">
        <v>45461.0</v>
      </c>
    </row>
    <row r="671">
      <c r="B671" s="19">
        <v>45462.0</v>
      </c>
    </row>
    <row r="672">
      <c r="B672" s="19">
        <v>45463.0</v>
      </c>
    </row>
    <row r="673">
      <c r="B673" s="19">
        <v>45464.0</v>
      </c>
    </row>
    <row r="674">
      <c r="B674" s="19">
        <v>45465.0</v>
      </c>
    </row>
    <row r="675">
      <c r="B675" s="19">
        <v>45466.0</v>
      </c>
    </row>
    <row r="676">
      <c r="B676" s="19">
        <v>45467.0</v>
      </c>
    </row>
    <row r="677">
      <c r="B677" s="19">
        <v>45468.0</v>
      </c>
    </row>
    <row r="678">
      <c r="B678" s="19">
        <v>45469.0</v>
      </c>
    </row>
    <row r="679">
      <c r="B679" s="19">
        <v>45470.0</v>
      </c>
    </row>
    <row r="680">
      <c r="B680" s="19">
        <v>45471.0</v>
      </c>
    </row>
    <row r="681">
      <c r="B681" s="19">
        <v>45472.0</v>
      </c>
    </row>
    <row r="682">
      <c r="B682" s="19">
        <v>45473.0</v>
      </c>
    </row>
    <row r="683">
      <c r="B683" s="19">
        <v>45474.0</v>
      </c>
    </row>
    <row r="684">
      <c r="B684" s="19">
        <v>45475.0</v>
      </c>
    </row>
    <row r="685">
      <c r="B685" s="19">
        <v>45476.0</v>
      </c>
    </row>
    <row r="686">
      <c r="B686" s="19">
        <v>45477.0</v>
      </c>
    </row>
    <row r="687">
      <c r="B687" s="19">
        <v>45478.0</v>
      </c>
    </row>
    <row r="688">
      <c r="B688" s="19">
        <v>45479.0</v>
      </c>
    </row>
    <row r="689">
      <c r="B689" s="19">
        <v>45480.0</v>
      </c>
    </row>
    <row r="690">
      <c r="B690" s="19">
        <v>45481.0</v>
      </c>
    </row>
    <row r="691">
      <c r="B691" s="19">
        <v>45482.0</v>
      </c>
    </row>
    <row r="692">
      <c r="B692" s="19">
        <v>45483.0</v>
      </c>
    </row>
    <row r="693">
      <c r="B693" s="19">
        <v>45484.0</v>
      </c>
    </row>
    <row r="694">
      <c r="B694" s="19">
        <v>45485.0</v>
      </c>
    </row>
    <row r="695">
      <c r="B695" s="19">
        <v>45486.0</v>
      </c>
    </row>
    <row r="696">
      <c r="B696" s="19">
        <v>45487.0</v>
      </c>
    </row>
    <row r="697">
      <c r="B697" s="19">
        <v>45488.0</v>
      </c>
    </row>
    <row r="698">
      <c r="B698" s="19">
        <v>45489.0</v>
      </c>
    </row>
    <row r="699">
      <c r="B699" s="19">
        <v>45490.0</v>
      </c>
    </row>
    <row r="700">
      <c r="B700" s="19">
        <v>45491.0</v>
      </c>
    </row>
    <row r="701">
      <c r="B701" s="19">
        <v>45492.0</v>
      </c>
    </row>
    <row r="702">
      <c r="B702" s="19">
        <v>45493.0</v>
      </c>
    </row>
    <row r="703">
      <c r="B703" s="19">
        <v>45494.0</v>
      </c>
    </row>
    <row r="704">
      <c r="B704" s="19">
        <v>45495.0</v>
      </c>
    </row>
    <row r="705">
      <c r="B705" s="19">
        <v>45496.0</v>
      </c>
    </row>
    <row r="706">
      <c r="B706" s="19">
        <v>45497.0</v>
      </c>
    </row>
    <row r="707">
      <c r="B707" s="19">
        <v>45498.0</v>
      </c>
    </row>
    <row r="708">
      <c r="B708" s="19">
        <v>45499.0</v>
      </c>
    </row>
    <row r="709">
      <c r="B709" s="19">
        <v>45500.0</v>
      </c>
    </row>
    <row r="710">
      <c r="B710" s="19">
        <v>45501.0</v>
      </c>
    </row>
    <row r="711">
      <c r="B711" s="19">
        <v>45502.0</v>
      </c>
    </row>
    <row r="712">
      <c r="B712" s="19">
        <v>45503.0</v>
      </c>
    </row>
    <row r="713">
      <c r="B713" s="19">
        <v>45504.0</v>
      </c>
    </row>
    <row r="714">
      <c r="B714" s="19">
        <v>45505.0</v>
      </c>
    </row>
    <row r="715">
      <c r="B715" s="19">
        <v>45506.0</v>
      </c>
    </row>
    <row r="716">
      <c r="B716" s="19">
        <v>45507.0</v>
      </c>
    </row>
    <row r="717">
      <c r="B717" s="19">
        <v>45508.0</v>
      </c>
    </row>
    <row r="718">
      <c r="B718" s="19">
        <v>45509.0</v>
      </c>
    </row>
    <row r="719">
      <c r="B719" s="19">
        <v>45510.0</v>
      </c>
    </row>
    <row r="720">
      <c r="B720" s="19">
        <v>45511.0</v>
      </c>
    </row>
    <row r="721">
      <c r="B721" s="19">
        <v>45512.0</v>
      </c>
    </row>
    <row r="722">
      <c r="B722" s="19">
        <v>45513.0</v>
      </c>
    </row>
    <row r="723">
      <c r="B723" s="19">
        <v>45514.0</v>
      </c>
    </row>
    <row r="724">
      <c r="B724" s="19">
        <v>45515.0</v>
      </c>
    </row>
    <row r="725">
      <c r="B725" s="19">
        <v>45516.0</v>
      </c>
    </row>
    <row r="726">
      <c r="B726" s="19">
        <v>45517.0</v>
      </c>
    </row>
    <row r="727">
      <c r="B727" s="19">
        <v>45518.0</v>
      </c>
    </row>
    <row r="728">
      <c r="B728" s="19">
        <v>45519.0</v>
      </c>
    </row>
    <row r="729">
      <c r="B729" s="19">
        <v>45520.0</v>
      </c>
    </row>
    <row r="730">
      <c r="B730" s="19">
        <v>45521.0</v>
      </c>
    </row>
    <row r="731">
      <c r="B731" s="19">
        <v>45522.0</v>
      </c>
    </row>
    <row r="732">
      <c r="B732" s="19">
        <v>45523.0</v>
      </c>
    </row>
    <row r="733">
      <c r="B733" s="19">
        <v>45524.0</v>
      </c>
    </row>
    <row r="734">
      <c r="B734" s="19">
        <v>45525.0</v>
      </c>
    </row>
    <row r="735">
      <c r="B735" s="19">
        <v>45526.0</v>
      </c>
    </row>
    <row r="736">
      <c r="B736" s="19">
        <v>45527.0</v>
      </c>
    </row>
    <row r="737">
      <c r="B737" s="19">
        <v>45528.0</v>
      </c>
    </row>
    <row r="738">
      <c r="B738" s="19">
        <v>45529.0</v>
      </c>
    </row>
    <row r="739">
      <c r="B739" s="19">
        <v>45530.0</v>
      </c>
    </row>
    <row r="740">
      <c r="B740" s="19">
        <v>45531.0</v>
      </c>
    </row>
    <row r="741">
      <c r="B741" s="19">
        <v>45532.0</v>
      </c>
    </row>
    <row r="742">
      <c r="B742" s="19">
        <v>45533.0</v>
      </c>
    </row>
    <row r="743">
      <c r="B743" s="19">
        <v>45534.0</v>
      </c>
    </row>
    <row r="744">
      <c r="B744" s="19">
        <v>45535.0</v>
      </c>
    </row>
    <row r="745">
      <c r="B745" s="19">
        <v>45536.0</v>
      </c>
    </row>
    <row r="746">
      <c r="B746" s="19">
        <v>45537.0</v>
      </c>
    </row>
    <row r="747">
      <c r="B747" s="19">
        <v>45538.0</v>
      </c>
    </row>
    <row r="748">
      <c r="B748" s="19">
        <v>45539.0</v>
      </c>
    </row>
    <row r="749">
      <c r="B749" s="19">
        <v>45540.0</v>
      </c>
    </row>
    <row r="750">
      <c r="B750" s="19">
        <v>45541.0</v>
      </c>
    </row>
    <row r="751">
      <c r="B751" s="19">
        <v>45542.0</v>
      </c>
    </row>
    <row r="752">
      <c r="B752" s="19">
        <v>45543.0</v>
      </c>
    </row>
    <row r="753">
      <c r="B753" s="19">
        <v>45544.0</v>
      </c>
    </row>
    <row r="754">
      <c r="B754" s="19">
        <v>45545.0</v>
      </c>
    </row>
    <row r="755">
      <c r="B755" s="19">
        <v>45546.0</v>
      </c>
    </row>
    <row r="756">
      <c r="B756" s="19">
        <v>45547.0</v>
      </c>
    </row>
    <row r="757">
      <c r="B757" s="19">
        <v>45548.0</v>
      </c>
    </row>
    <row r="758">
      <c r="B758" s="19">
        <v>45549.0</v>
      </c>
    </row>
    <row r="759">
      <c r="B759" s="19">
        <v>45550.0</v>
      </c>
    </row>
    <row r="760">
      <c r="B760" s="19">
        <v>45551.0</v>
      </c>
    </row>
    <row r="761">
      <c r="B761" s="19">
        <v>45552.0</v>
      </c>
    </row>
    <row r="762">
      <c r="B762" s="19">
        <v>45553.0</v>
      </c>
    </row>
    <row r="763">
      <c r="B763" s="19">
        <v>45554.0</v>
      </c>
    </row>
    <row r="764">
      <c r="B764" s="19">
        <v>45555.0</v>
      </c>
    </row>
    <row r="765">
      <c r="B765" s="19">
        <v>45556.0</v>
      </c>
    </row>
    <row r="766">
      <c r="B766" s="19">
        <v>45557.0</v>
      </c>
    </row>
    <row r="767">
      <c r="B767" s="19">
        <v>45558.0</v>
      </c>
    </row>
    <row r="768">
      <c r="B768" s="19">
        <v>45559.0</v>
      </c>
    </row>
    <row r="769">
      <c r="B769" s="19">
        <v>45560.0</v>
      </c>
    </row>
    <row r="770">
      <c r="B770" s="19">
        <v>45561.0</v>
      </c>
    </row>
    <row r="771">
      <c r="B771" s="19">
        <v>45562.0</v>
      </c>
    </row>
    <row r="772">
      <c r="B772" s="19">
        <v>45563.0</v>
      </c>
    </row>
    <row r="773">
      <c r="B773" s="19">
        <v>45564.0</v>
      </c>
    </row>
    <row r="774">
      <c r="B774" s="19">
        <v>45565.0</v>
      </c>
    </row>
    <row r="775">
      <c r="B775" s="19">
        <v>45566.0</v>
      </c>
    </row>
    <row r="776">
      <c r="B776" s="19">
        <v>45567.0</v>
      </c>
    </row>
    <row r="777">
      <c r="B777" s="19">
        <v>45568.0</v>
      </c>
    </row>
    <row r="778">
      <c r="B778" s="19">
        <v>45569.0</v>
      </c>
    </row>
    <row r="779">
      <c r="B779" s="19">
        <v>45570.0</v>
      </c>
    </row>
    <row r="780">
      <c r="B780" s="19">
        <v>45571.0</v>
      </c>
    </row>
    <row r="781">
      <c r="B781" s="19">
        <v>45572.0</v>
      </c>
    </row>
    <row r="782">
      <c r="B782" s="19">
        <v>45573.0</v>
      </c>
    </row>
    <row r="783">
      <c r="B783" s="19">
        <v>45574.0</v>
      </c>
    </row>
    <row r="784">
      <c r="B784" s="19">
        <v>45575.0</v>
      </c>
    </row>
    <row r="785">
      <c r="B785" s="19">
        <v>45576.0</v>
      </c>
    </row>
    <row r="786">
      <c r="B786" s="19">
        <v>45577.0</v>
      </c>
    </row>
    <row r="787">
      <c r="B787" s="19">
        <v>45578.0</v>
      </c>
    </row>
    <row r="788">
      <c r="B788" s="19">
        <v>45579.0</v>
      </c>
    </row>
    <row r="789">
      <c r="B789" s="19">
        <v>45580.0</v>
      </c>
    </row>
    <row r="790">
      <c r="B790" s="19">
        <v>45581.0</v>
      </c>
    </row>
    <row r="791">
      <c r="B791" s="19">
        <v>45582.0</v>
      </c>
    </row>
    <row r="792">
      <c r="B792" s="19">
        <v>45583.0</v>
      </c>
    </row>
    <row r="793">
      <c r="B793" s="19">
        <v>45584.0</v>
      </c>
    </row>
    <row r="794">
      <c r="B794" s="19">
        <v>45585.0</v>
      </c>
    </row>
    <row r="795">
      <c r="B795" s="19">
        <v>45586.0</v>
      </c>
    </row>
    <row r="796">
      <c r="B796" s="19">
        <v>45587.0</v>
      </c>
    </row>
    <row r="797">
      <c r="B797" s="19">
        <v>45588.0</v>
      </c>
    </row>
    <row r="798">
      <c r="B798" s="19">
        <v>45589.0</v>
      </c>
    </row>
    <row r="799">
      <c r="B799" s="19">
        <v>45590.0</v>
      </c>
    </row>
    <row r="800">
      <c r="B800" s="19">
        <v>45591.0</v>
      </c>
    </row>
    <row r="801">
      <c r="B801" s="19">
        <v>45592.0</v>
      </c>
    </row>
    <row r="802">
      <c r="B802" s="19">
        <v>45593.0</v>
      </c>
    </row>
    <row r="803">
      <c r="B803" s="19">
        <v>45594.0</v>
      </c>
    </row>
    <row r="804">
      <c r="B804" s="19">
        <v>45595.0</v>
      </c>
    </row>
    <row r="805">
      <c r="B805" s="19">
        <v>45596.0</v>
      </c>
    </row>
    <row r="806">
      <c r="B806" s="19">
        <v>45597.0</v>
      </c>
    </row>
    <row r="807">
      <c r="B807" s="19">
        <v>45598.0</v>
      </c>
    </row>
    <row r="808">
      <c r="B808" s="19">
        <v>45599.0</v>
      </c>
    </row>
    <row r="809">
      <c r="B809" s="19">
        <v>45600.0</v>
      </c>
    </row>
    <row r="810">
      <c r="B810" s="19">
        <v>45601.0</v>
      </c>
    </row>
    <row r="811">
      <c r="B811" s="19">
        <v>45602.0</v>
      </c>
    </row>
    <row r="812">
      <c r="B812" s="19">
        <v>45603.0</v>
      </c>
    </row>
    <row r="813">
      <c r="B813" s="19">
        <v>45604.0</v>
      </c>
    </row>
    <row r="814">
      <c r="B814" s="19">
        <v>45605.0</v>
      </c>
    </row>
    <row r="815">
      <c r="B815" s="19">
        <v>45606.0</v>
      </c>
    </row>
    <row r="816">
      <c r="B816" s="19">
        <v>45607.0</v>
      </c>
    </row>
    <row r="817">
      <c r="B817" s="19">
        <v>45608.0</v>
      </c>
    </row>
    <row r="818">
      <c r="B818" s="19">
        <v>45609.0</v>
      </c>
    </row>
    <row r="819">
      <c r="B819" s="19">
        <v>45610.0</v>
      </c>
    </row>
    <row r="820">
      <c r="B820" s="19">
        <v>45611.0</v>
      </c>
    </row>
    <row r="821">
      <c r="B821" s="19">
        <v>45612.0</v>
      </c>
    </row>
    <row r="822">
      <c r="B822" s="19">
        <v>45613.0</v>
      </c>
    </row>
    <row r="823">
      <c r="B823" s="19">
        <v>45614.0</v>
      </c>
    </row>
    <row r="824">
      <c r="B824" s="19">
        <v>45615.0</v>
      </c>
    </row>
    <row r="825">
      <c r="B825" s="19">
        <v>45616.0</v>
      </c>
    </row>
    <row r="826">
      <c r="B826" s="19">
        <v>45617.0</v>
      </c>
    </row>
    <row r="827">
      <c r="B827" s="19">
        <v>45618.0</v>
      </c>
    </row>
    <row r="828">
      <c r="B828" s="19">
        <v>45619.0</v>
      </c>
    </row>
    <row r="829">
      <c r="B829" s="19">
        <v>45620.0</v>
      </c>
    </row>
    <row r="830">
      <c r="B830" s="19">
        <v>45621.0</v>
      </c>
    </row>
    <row r="831">
      <c r="B831" s="19">
        <v>45622.0</v>
      </c>
    </row>
    <row r="832">
      <c r="B832" s="19">
        <v>45623.0</v>
      </c>
    </row>
    <row r="833">
      <c r="B833" s="19">
        <v>45624.0</v>
      </c>
    </row>
    <row r="834">
      <c r="B834" s="19">
        <v>45625.0</v>
      </c>
    </row>
    <row r="835">
      <c r="B835" s="19">
        <v>45626.0</v>
      </c>
    </row>
    <row r="836">
      <c r="B836" s="19">
        <v>45627.0</v>
      </c>
    </row>
    <row r="837">
      <c r="B837" s="19">
        <v>45628.0</v>
      </c>
    </row>
    <row r="838">
      <c r="B838" s="19">
        <v>45629.0</v>
      </c>
    </row>
    <row r="839">
      <c r="B839" s="19">
        <v>45630.0</v>
      </c>
    </row>
    <row r="840">
      <c r="B840" s="19">
        <v>45631.0</v>
      </c>
    </row>
    <row r="841">
      <c r="B841" s="19">
        <v>45632.0</v>
      </c>
    </row>
    <row r="842">
      <c r="B842" s="19">
        <v>45633.0</v>
      </c>
    </row>
    <row r="843">
      <c r="B843" s="19">
        <v>45634.0</v>
      </c>
    </row>
    <row r="844">
      <c r="B844" s="19">
        <v>45635.0</v>
      </c>
    </row>
    <row r="845">
      <c r="B845" s="19">
        <v>45636.0</v>
      </c>
    </row>
    <row r="846">
      <c r="B846" s="19">
        <v>45637.0</v>
      </c>
    </row>
    <row r="847">
      <c r="B847" s="19">
        <v>45638.0</v>
      </c>
    </row>
    <row r="848">
      <c r="B848" s="19">
        <v>45639.0</v>
      </c>
    </row>
    <row r="849">
      <c r="B849" s="19">
        <v>45640.0</v>
      </c>
    </row>
    <row r="850">
      <c r="B850" s="19">
        <v>45641.0</v>
      </c>
    </row>
    <row r="851">
      <c r="B851" s="19">
        <v>45642.0</v>
      </c>
    </row>
    <row r="852">
      <c r="B852" s="19">
        <v>45643.0</v>
      </c>
    </row>
    <row r="853">
      <c r="B853" s="19">
        <v>45644.0</v>
      </c>
    </row>
    <row r="854">
      <c r="B854" s="19">
        <v>45645.0</v>
      </c>
    </row>
    <row r="855">
      <c r="B855" s="19">
        <v>45646.0</v>
      </c>
    </row>
    <row r="856">
      <c r="B856" s="19">
        <v>45647.0</v>
      </c>
    </row>
    <row r="857">
      <c r="B857" s="19">
        <v>45648.0</v>
      </c>
    </row>
    <row r="858">
      <c r="B858" s="19">
        <v>45649.0</v>
      </c>
    </row>
    <row r="859">
      <c r="B859" s="19">
        <v>45650.0</v>
      </c>
    </row>
    <row r="860">
      <c r="B860" s="19">
        <v>45651.0</v>
      </c>
    </row>
    <row r="861">
      <c r="B861" s="19">
        <v>45652.0</v>
      </c>
    </row>
    <row r="862">
      <c r="B862" s="19">
        <v>45653.0</v>
      </c>
    </row>
    <row r="863">
      <c r="B863" s="19">
        <v>45654.0</v>
      </c>
    </row>
    <row r="864">
      <c r="B864" s="19">
        <v>45655.0</v>
      </c>
    </row>
    <row r="865">
      <c r="B865" s="19">
        <v>45656.0</v>
      </c>
    </row>
    <row r="866">
      <c r="B866" s="19">
        <v>45657.0</v>
      </c>
    </row>
    <row r="867">
      <c r="B867" s="19">
        <v>45658.0</v>
      </c>
    </row>
    <row r="868">
      <c r="B868" s="19">
        <v>45659.0</v>
      </c>
    </row>
    <row r="869">
      <c r="B869" s="19">
        <v>45660.0</v>
      </c>
    </row>
    <row r="870">
      <c r="B870" s="19">
        <v>45661.0</v>
      </c>
    </row>
    <row r="871">
      <c r="B871" s="19">
        <v>45662.0</v>
      </c>
    </row>
    <row r="872">
      <c r="B872" s="19">
        <v>45663.0</v>
      </c>
    </row>
    <row r="873">
      <c r="B873" s="19">
        <v>45664.0</v>
      </c>
    </row>
    <row r="874">
      <c r="B874" s="19">
        <v>45665.0</v>
      </c>
    </row>
    <row r="875">
      <c r="B875" s="19">
        <v>45666.0</v>
      </c>
    </row>
    <row r="876">
      <c r="B876" s="19">
        <v>45667.0</v>
      </c>
    </row>
    <row r="877">
      <c r="B877" s="19">
        <v>45668.0</v>
      </c>
    </row>
    <row r="878">
      <c r="B878" s="19">
        <v>45669.0</v>
      </c>
    </row>
    <row r="879">
      <c r="B879" s="19">
        <v>45670.0</v>
      </c>
    </row>
    <row r="880">
      <c r="B880" s="19">
        <v>45671.0</v>
      </c>
    </row>
    <row r="881">
      <c r="B881" s="19">
        <v>45672.0</v>
      </c>
    </row>
    <row r="882">
      <c r="B882" s="19">
        <v>45673.0</v>
      </c>
    </row>
    <row r="883">
      <c r="B883" s="19">
        <v>45674.0</v>
      </c>
    </row>
    <row r="884">
      <c r="B884" s="19">
        <v>45675.0</v>
      </c>
    </row>
    <row r="885">
      <c r="B885" s="19">
        <v>45676.0</v>
      </c>
    </row>
    <row r="886">
      <c r="B886" s="19">
        <v>45677.0</v>
      </c>
    </row>
    <row r="887">
      <c r="B887" s="19">
        <v>45678.0</v>
      </c>
    </row>
    <row r="888">
      <c r="B888" s="19">
        <v>45679.0</v>
      </c>
    </row>
    <row r="889">
      <c r="B889" s="19">
        <v>45680.0</v>
      </c>
    </row>
    <row r="890">
      <c r="B890" s="19">
        <v>45681.0</v>
      </c>
    </row>
    <row r="891">
      <c r="B891" s="19">
        <v>45682.0</v>
      </c>
    </row>
    <row r="892">
      <c r="B892" s="19">
        <v>45683.0</v>
      </c>
    </row>
    <row r="893">
      <c r="B893" s="19">
        <v>45684.0</v>
      </c>
    </row>
    <row r="894">
      <c r="B894" s="19">
        <v>45685.0</v>
      </c>
    </row>
    <row r="895">
      <c r="B895" s="19">
        <v>45686.0</v>
      </c>
    </row>
    <row r="896">
      <c r="B896" s="19">
        <v>45687.0</v>
      </c>
    </row>
    <row r="897">
      <c r="B897" s="19">
        <v>45688.0</v>
      </c>
    </row>
    <row r="898">
      <c r="B898" s="19">
        <v>45689.0</v>
      </c>
    </row>
    <row r="899">
      <c r="B899" s="19">
        <v>45690.0</v>
      </c>
    </row>
    <row r="900">
      <c r="B900" s="19">
        <v>45691.0</v>
      </c>
    </row>
    <row r="901">
      <c r="B901" s="19">
        <v>45692.0</v>
      </c>
    </row>
    <row r="902">
      <c r="B902" s="19">
        <v>45693.0</v>
      </c>
    </row>
    <row r="903">
      <c r="B903" s="19">
        <v>45694.0</v>
      </c>
    </row>
    <row r="904">
      <c r="B904" s="19">
        <v>45695.0</v>
      </c>
    </row>
    <row r="905">
      <c r="B905" s="19">
        <v>45696.0</v>
      </c>
    </row>
    <row r="906">
      <c r="B906" s="19">
        <v>45697.0</v>
      </c>
    </row>
    <row r="907">
      <c r="B907" s="19">
        <v>45698.0</v>
      </c>
    </row>
    <row r="908">
      <c r="B908" s="19">
        <v>45699.0</v>
      </c>
    </row>
    <row r="909">
      <c r="B909" s="19">
        <v>45700.0</v>
      </c>
    </row>
    <row r="910">
      <c r="B910" s="19">
        <v>45701.0</v>
      </c>
    </row>
    <row r="911">
      <c r="B911" s="19">
        <v>45702.0</v>
      </c>
    </row>
    <row r="912">
      <c r="B912" s="19">
        <v>45703.0</v>
      </c>
    </row>
    <row r="913">
      <c r="B913" s="19">
        <v>45704.0</v>
      </c>
    </row>
    <row r="914">
      <c r="B914" s="19">
        <v>45705.0</v>
      </c>
    </row>
    <row r="915">
      <c r="B915" s="19">
        <v>45706.0</v>
      </c>
    </row>
    <row r="916">
      <c r="B916" s="19">
        <v>45707.0</v>
      </c>
    </row>
    <row r="917">
      <c r="B917" s="19">
        <v>45708.0</v>
      </c>
    </row>
    <row r="918">
      <c r="B918" s="19">
        <v>45709.0</v>
      </c>
    </row>
    <row r="919">
      <c r="B919" s="19">
        <v>45710.0</v>
      </c>
    </row>
    <row r="920">
      <c r="B920" s="19">
        <v>45711.0</v>
      </c>
    </row>
    <row r="921">
      <c r="B921" s="19">
        <v>45712.0</v>
      </c>
    </row>
    <row r="922">
      <c r="B922" s="19">
        <v>45713.0</v>
      </c>
    </row>
    <row r="923">
      <c r="B923" s="19">
        <v>45714.0</v>
      </c>
    </row>
    <row r="924">
      <c r="B924" s="19">
        <v>45715.0</v>
      </c>
    </row>
    <row r="925">
      <c r="B925" s="19">
        <v>45716.0</v>
      </c>
    </row>
    <row r="926">
      <c r="B926" s="19">
        <v>45717.0</v>
      </c>
    </row>
    <row r="927">
      <c r="B927" s="19">
        <v>45718.0</v>
      </c>
    </row>
    <row r="928">
      <c r="B928" s="19">
        <v>45719.0</v>
      </c>
    </row>
    <row r="929">
      <c r="B929" s="19">
        <v>45720.0</v>
      </c>
    </row>
    <row r="930">
      <c r="B930" s="19">
        <v>45721.0</v>
      </c>
    </row>
    <row r="931">
      <c r="B931" s="19">
        <v>45722.0</v>
      </c>
    </row>
    <row r="932">
      <c r="B932" s="19">
        <v>45723.0</v>
      </c>
    </row>
    <row r="933">
      <c r="B933" s="19">
        <v>45724.0</v>
      </c>
    </row>
    <row r="934">
      <c r="B934" s="19">
        <v>45725.0</v>
      </c>
    </row>
    <row r="935">
      <c r="B935" s="19">
        <v>45726.0</v>
      </c>
    </row>
    <row r="936">
      <c r="B936" s="19">
        <v>45727.0</v>
      </c>
    </row>
    <row r="937">
      <c r="B937" s="19">
        <v>45728.0</v>
      </c>
    </row>
    <row r="938">
      <c r="B938" s="19">
        <v>45729.0</v>
      </c>
    </row>
    <row r="939">
      <c r="B939" s="19">
        <v>45730.0</v>
      </c>
    </row>
    <row r="940">
      <c r="B940" s="19">
        <v>45731.0</v>
      </c>
    </row>
    <row r="941">
      <c r="B941" s="19">
        <v>45732.0</v>
      </c>
    </row>
    <row r="942">
      <c r="B942" s="19">
        <v>45733.0</v>
      </c>
    </row>
    <row r="943">
      <c r="B943" s="19">
        <v>45734.0</v>
      </c>
    </row>
    <row r="944">
      <c r="B944" s="19">
        <v>45735.0</v>
      </c>
    </row>
    <row r="945">
      <c r="B945" s="19">
        <v>45736.0</v>
      </c>
    </row>
    <row r="946">
      <c r="B946" s="19">
        <v>45737.0</v>
      </c>
    </row>
    <row r="947">
      <c r="B947" s="19">
        <v>45738.0</v>
      </c>
    </row>
    <row r="948">
      <c r="B948" s="19">
        <v>45739.0</v>
      </c>
    </row>
    <row r="949">
      <c r="B949" s="19">
        <v>45740.0</v>
      </c>
    </row>
    <row r="950">
      <c r="B950" s="19">
        <v>45741.0</v>
      </c>
    </row>
    <row r="951">
      <c r="B951" s="19">
        <v>45742.0</v>
      </c>
    </row>
    <row r="952">
      <c r="B952" s="19">
        <v>45743.0</v>
      </c>
    </row>
    <row r="953">
      <c r="B953" s="19">
        <v>45744.0</v>
      </c>
    </row>
    <row r="954">
      <c r="B954" s="19">
        <v>45745.0</v>
      </c>
    </row>
    <row r="955">
      <c r="B955" s="19">
        <v>45746.0</v>
      </c>
    </row>
    <row r="956">
      <c r="B956" s="19">
        <v>45747.0</v>
      </c>
    </row>
    <row r="957">
      <c r="B957" s="19">
        <v>45748.0</v>
      </c>
    </row>
    <row r="958">
      <c r="B958" s="19">
        <v>45749.0</v>
      </c>
    </row>
    <row r="959">
      <c r="B959" s="19">
        <v>45750.0</v>
      </c>
    </row>
    <row r="960">
      <c r="B960" s="19">
        <v>45751.0</v>
      </c>
    </row>
    <row r="961">
      <c r="B961" s="19">
        <v>45752.0</v>
      </c>
    </row>
    <row r="962">
      <c r="B962" s="19">
        <v>45753.0</v>
      </c>
    </row>
    <row r="963">
      <c r="B963" s="19">
        <v>45754.0</v>
      </c>
    </row>
    <row r="964">
      <c r="B964" s="19">
        <v>45755.0</v>
      </c>
    </row>
    <row r="965">
      <c r="B965" s="19">
        <v>45756.0</v>
      </c>
    </row>
    <row r="966">
      <c r="B966" s="19">
        <v>45757.0</v>
      </c>
    </row>
    <row r="967">
      <c r="B967" s="19">
        <v>45758.0</v>
      </c>
    </row>
    <row r="968">
      <c r="B968" s="19">
        <v>45759.0</v>
      </c>
    </row>
    <row r="969">
      <c r="B969" s="19">
        <v>45760.0</v>
      </c>
    </row>
    <row r="970">
      <c r="B970" s="19">
        <v>45761.0</v>
      </c>
    </row>
    <row r="971">
      <c r="B971" s="19">
        <v>45762.0</v>
      </c>
    </row>
    <row r="972">
      <c r="B972" s="19">
        <v>45763.0</v>
      </c>
    </row>
    <row r="973">
      <c r="B973" s="19">
        <v>45764.0</v>
      </c>
    </row>
    <row r="974">
      <c r="B974" s="19">
        <v>45765.0</v>
      </c>
    </row>
    <row r="975">
      <c r="B975" s="19">
        <v>45766.0</v>
      </c>
    </row>
    <row r="976">
      <c r="B976" s="19">
        <v>45767.0</v>
      </c>
    </row>
    <row r="977">
      <c r="B977" s="19">
        <v>45768.0</v>
      </c>
    </row>
    <row r="978">
      <c r="B978" s="19">
        <v>45769.0</v>
      </c>
    </row>
    <row r="979">
      <c r="B979" s="19">
        <v>45770.0</v>
      </c>
    </row>
    <row r="980">
      <c r="B980" s="19">
        <v>45771.0</v>
      </c>
    </row>
    <row r="981">
      <c r="B981" s="19">
        <v>45772.0</v>
      </c>
    </row>
    <row r="982">
      <c r="B982" s="19">
        <v>45773.0</v>
      </c>
    </row>
    <row r="983">
      <c r="B983" s="19">
        <v>45774.0</v>
      </c>
    </row>
    <row r="984">
      <c r="B984" s="19">
        <v>45775.0</v>
      </c>
    </row>
    <row r="985">
      <c r="B985" s="19">
        <v>45776.0</v>
      </c>
    </row>
    <row r="986">
      <c r="B986" s="19">
        <v>45777.0</v>
      </c>
    </row>
    <row r="987">
      <c r="B987" s="19">
        <v>45778.0</v>
      </c>
    </row>
    <row r="988">
      <c r="B988" s="19">
        <v>45779.0</v>
      </c>
    </row>
    <row r="989">
      <c r="B989" s="19">
        <v>45780.0</v>
      </c>
    </row>
    <row r="990">
      <c r="B990" s="19">
        <v>45781.0</v>
      </c>
    </row>
    <row r="991">
      <c r="B991" s="19">
        <v>45782.0</v>
      </c>
    </row>
    <row r="992">
      <c r="B992" s="19">
        <v>45783.0</v>
      </c>
    </row>
    <row r="993">
      <c r="B993" s="19">
        <v>45784.0</v>
      </c>
    </row>
    <row r="994">
      <c r="B994" s="19">
        <v>45785.0</v>
      </c>
    </row>
    <row r="995">
      <c r="B995" s="19">
        <v>45786.0</v>
      </c>
    </row>
    <row r="996">
      <c r="B996" s="19">
        <v>45787.0</v>
      </c>
    </row>
    <row r="997">
      <c r="B997" s="19">
        <v>45788.0</v>
      </c>
    </row>
    <row r="998">
      <c r="B998" s="19">
        <v>45789.0</v>
      </c>
    </row>
    <row r="999">
      <c r="B999" s="19">
        <v>45790.0</v>
      </c>
    </row>
    <row r="1000">
      <c r="B1000" s="19">
        <v>45791.0</v>
      </c>
    </row>
  </sheetData>
  <drawing r:id="rId1"/>
</worksheet>
</file>